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6"/>
  <mc:AlternateContent xmlns:mc="http://schemas.openxmlformats.org/markup-compatibility/2006">
    <mc:Choice Requires="x15">
      <x15ac:absPath xmlns:x15ac="http://schemas.microsoft.com/office/spreadsheetml/2010/11/ac" url="E:\EXCEL PROJECT\SAMICIOUS MICROFINANCE\"/>
    </mc:Choice>
  </mc:AlternateContent>
  <xr:revisionPtr revIDLastSave="0" documentId="13_ncr:1_{CBC4A682-2CB9-44AF-AAE9-139FE1DE82D9}" xr6:coauthVersionLast="47" xr6:coauthVersionMax="47" xr10:uidLastSave="{00000000-0000-0000-0000-000000000000}"/>
  <bookViews>
    <workbookView xWindow="-120" yWindow="-120" windowWidth="29040" windowHeight="15720" tabRatio="500" firstSheet="3" activeTab="7" xr2:uid="{00000000-000D-0000-FFFF-FFFF00000000}"/>
  </bookViews>
  <sheets>
    <sheet name="DEVELOPER" sheetId="1" r:id="rId1"/>
    <sheet name="ACKNOWLEDGEMENT" sheetId="2" r:id="rId2"/>
    <sheet name="📅 Year Control" sheetId="3" r:id="rId3"/>
    <sheet name="🔧 Dynamic Hub" sheetId="4" r:id="rId4"/>
    <sheet name="🧮 TimeCalc" sheetId="5" r:id="rId5"/>
    <sheet name="📊 Multi-Year Dashboard" sheetId="6" r:id="rId6"/>
    <sheet name="Manager_Dashboard" sheetId="7" r:id="rId7"/>
    <sheet name="Account_Opening" sheetId="8" r:id="rId8"/>
    <sheet name="Customer Account Database" sheetId="9" r:id="rId9"/>
    <sheet name="Agent01_Savings" sheetId="10" r:id="rId10"/>
    <sheet name="Agent01_Withdrawals" sheetId="11" r:id="rId11"/>
    <sheet name="Agent01_Loans" sheetId="12" r:id="rId12"/>
    <sheet name="Agent02_Savings" sheetId="13" r:id="rId13"/>
    <sheet name="Agent02_Withdrawals" sheetId="14" r:id="rId14"/>
    <sheet name="Agent02_Loans" sheetId="15" r:id="rId15"/>
    <sheet name="Agent03_Savings" sheetId="16" r:id="rId16"/>
    <sheet name="Agent03_Withdrawals" sheetId="17" r:id="rId17"/>
    <sheet name="Agent03_Loans" sheetId="18" r:id="rId18"/>
    <sheet name="Agent04_Savings" sheetId="19" r:id="rId19"/>
    <sheet name="Agent04_Withdrawals" sheetId="20" r:id="rId20"/>
    <sheet name="Agent04_Loans" sheetId="21" r:id="rId21"/>
    <sheet name="Agent05_Savings" sheetId="22" r:id="rId22"/>
    <sheet name="Agent05_Withdrawals" sheetId="23" r:id="rId23"/>
    <sheet name="Agent05_Loans" sheetId="24" r:id="rId24"/>
    <sheet name="Agent06_Savings" sheetId="25" r:id="rId25"/>
    <sheet name="Agent06_Withdrawals" sheetId="26" r:id="rId26"/>
    <sheet name="Agent06_Loans" sheetId="27" r:id="rId27"/>
    <sheet name="Agent07_Savings" sheetId="28" r:id="rId28"/>
    <sheet name="Agent07_Withdrawals" sheetId="29" r:id="rId29"/>
    <sheet name="Agent07_Loans" sheetId="30" r:id="rId30"/>
    <sheet name="Agent08_Savings" sheetId="31" r:id="rId31"/>
    <sheet name="Agent08_Withdrawals" sheetId="32" r:id="rId32"/>
    <sheet name="Agent08_Loans" sheetId="33" r:id="rId33"/>
    <sheet name="Agent09_Savings" sheetId="34" r:id="rId34"/>
    <sheet name="Agent09_Withdrawals" sheetId="35" r:id="rId35"/>
    <sheet name="Agent09_Loans" sheetId="36" r:id="rId36"/>
    <sheet name="Agent10_Savings" sheetId="37" r:id="rId37"/>
    <sheet name="Agent10_Withdrawals" sheetId="38" r:id="rId38"/>
    <sheet name="Agent10_Loans" sheetId="39" r:id="rId39"/>
    <sheet name="DB_Customers" sheetId="40" r:id="rId40"/>
    <sheet name="DB_Savings" sheetId="41" r:id="rId41"/>
    <sheet name="DB_Withdrawals" sheetId="42" r:id="rId42"/>
    <sheet name="DB_Loans" sheetId="43" r:id="rId43"/>
    <sheet name="DB_Corrections" sheetId="44" r:id="rId44"/>
    <sheet name="Daily_Balancing" sheetId="45" r:id="rId45"/>
    <sheet name="Weekly_Balancing" sheetId="46" r:id="rId46"/>
    <sheet name="Monthly_Balancing" sheetId="47" r:id="rId47"/>
    <sheet name="MASTER_DATABASE" sheetId="48" r:id="rId48"/>
    <sheet name="CLOUD_SYNC" sheetId="49" r:id="rId49"/>
    <sheet name="DB_Agents" sheetId="50" r:id="rId50"/>
    <sheet name="System_Config" sheetId="51" state="hidden" r:id="rId51"/>
    <sheet name="Audit_Log" sheetId="52" state="hidden" r:id="rId52"/>
    <sheet name="VBA_Macros" sheetId="53" r:id="rId53"/>
    <sheet name="AI_Intelligence" sheetId="54" r:id="rId54"/>
    <sheet name="Annual_Report" sheetId="55" r:id="rId55"/>
    <sheet name="📋 ChangeLog" sheetId="56" r:id="rId56"/>
  </sheets>
  <functionGroups builtInGroupCount="19"/>
  <definedNames>
    <definedName name="_xlnm._FilterDatabase" localSheetId="8" hidden="1">'Customer Account Database'!$A$8:$N$508</definedName>
    <definedName name="_xlnm._FilterDatabase" localSheetId="39" hidden="1">DB_Customers!$A$3:$N$3</definedName>
    <definedName name="_xlnm._FilterDatabase" localSheetId="42" hidden="1">DB_Loans!$A$3:$M$3</definedName>
    <definedName name="_xlnm._FilterDatabase" localSheetId="40" hidden="1">DB_Savings!$A$3:$J$3</definedName>
    <definedName name="_xlnm._FilterDatabase" localSheetId="41" hidden="1">DB_Withdrawals!$A$3:$L$3</definedName>
    <definedName name="SelectedYear">'📅 Year Control'!$B$3</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8" i="55" l="1"/>
  <c r="B27" i="55"/>
  <c r="G17" i="55"/>
  <c r="F17" i="55"/>
  <c r="E17" i="55"/>
  <c r="D17" i="55"/>
  <c r="C17" i="55"/>
  <c r="B17" i="55"/>
  <c r="G16" i="55"/>
  <c r="F16" i="55"/>
  <c r="E16" i="55"/>
  <c r="D16" i="55"/>
  <c r="C16" i="55"/>
  <c r="B16" i="55"/>
  <c r="G15" i="55"/>
  <c r="F15" i="55"/>
  <c r="E15" i="55"/>
  <c r="D15" i="55"/>
  <c r="C15" i="55"/>
  <c r="B15" i="55"/>
  <c r="G14" i="55"/>
  <c r="F14" i="55"/>
  <c r="E14" i="55"/>
  <c r="D14" i="55"/>
  <c r="C14" i="55"/>
  <c r="B14" i="55"/>
  <c r="G13" i="55"/>
  <c r="F13" i="55"/>
  <c r="E13" i="55"/>
  <c r="D13" i="55"/>
  <c r="C13" i="55"/>
  <c r="B13" i="55"/>
  <c r="G12" i="55"/>
  <c r="F12" i="55"/>
  <c r="E12" i="55"/>
  <c r="D12" i="55"/>
  <c r="C12" i="55"/>
  <c r="B12" i="55"/>
  <c r="G11" i="55"/>
  <c r="F11" i="55"/>
  <c r="E11" i="55"/>
  <c r="D11" i="55"/>
  <c r="C11" i="55"/>
  <c r="B11" i="55"/>
  <c r="G10" i="55"/>
  <c r="F10" i="55"/>
  <c r="E10" i="55"/>
  <c r="D10" i="55"/>
  <c r="C10" i="55"/>
  <c r="B10" i="55"/>
  <c r="I9" i="55"/>
  <c r="H9" i="55"/>
  <c r="G9" i="55"/>
  <c r="F9" i="55"/>
  <c r="E9" i="55"/>
  <c r="D9" i="55"/>
  <c r="C9" i="55"/>
  <c r="B9" i="55"/>
  <c r="I8" i="55"/>
  <c r="H8" i="55"/>
  <c r="G8" i="55"/>
  <c r="F8" i="55"/>
  <c r="E8" i="55"/>
  <c r="D8" i="55"/>
  <c r="C8" i="55"/>
  <c r="B8" i="55"/>
  <c r="I7" i="55"/>
  <c r="H7" i="55"/>
  <c r="G7" i="55"/>
  <c r="F7" i="55"/>
  <c r="E7" i="55"/>
  <c r="D7" i="55"/>
  <c r="C7" i="55"/>
  <c r="B7" i="55"/>
  <c r="I6" i="55"/>
  <c r="H6" i="55"/>
  <c r="G6" i="55"/>
  <c r="G18" i="55" s="1"/>
  <c r="B24" i="55" s="1"/>
  <c r="F6" i="55"/>
  <c r="F18" i="55" s="1"/>
  <c r="E6" i="55"/>
  <c r="E18" i="55" s="1"/>
  <c r="B25" i="55" s="1"/>
  <c r="D6" i="55"/>
  <c r="D18" i="55" s="1"/>
  <c r="B23" i="55" s="1"/>
  <c r="C6" i="55"/>
  <c r="C18" i="55" s="1"/>
  <c r="B22" i="55" s="1"/>
  <c r="B6" i="55"/>
  <c r="B18" i="55" s="1"/>
  <c r="B3" i="55"/>
  <c r="A2" i="55"/>
  <c r="C36" i="54"/>
  <c r="B36" i="54"/>
  <c r="C35" i="54"/>
  <c r="B35" i="54"/>
  <c r="B34" i="54"/>
  <c r="C34" i="54" s="1"/>
  <c r="C33" i="54"/>
  <c r="B33" i="54"/>
  <c r="C31" i="54"/>
  <c r="B31" i="54"/>
  <c r="F28" i="54"/>
  <c r="C28" i="54"/>
  <c r="F27" i="54"/>
  <c r="C27" i="54"/>
  <c r="F26" i="54"/>
  <c r="C26" i="54"/>
  <c r="F25" i="54"/>
  <c r="C25" i="54"/>
  <c r="F24" i="54"/>
  <c r="C24" i="54"/>
  <c r="F23" i="54"/>
  <c r="C23" i="54"/>
  <c r="E18" i="54"/>
  <c r="I18" i="54" s="1"/>
  <c r="C18" i="54"/>
  <c r="B18" i="54"/>
  <c r="J18" i="54" s="1"/>
  <c r="E17" i="54"/>
  <c r="I17" i="54" s="1"/>
  <c r="C17" i="54"/>
  <c r="B17" i="54"/>
  <c r="E16" i="54"/>
  <c r="I16" i="54" s="1"/>
  <c r="C16" i="54"/>
  <c r="B16" i="54"/>
  <c r="G16" i="54" s="1"/>
  <c r="E15" i="54"/>
  <c r="I15" i="54" s="1"/>
  <c r="C15" i="54"/>
  <c r="B15" i="54"/>
  <c r="J15" i="54" s="1"/>
  <c r="E14" i="54"/>
  <c r="I14" i="54" s="1"/>
  <c r="C14" i="54"/>
  <c r="B14" i="54"/>
  <c r="J14" i="54" s="1"/>
  <c r="E13" i="54"/>
  <c r="I13" i="54" s="1"/>
  <c r="C13" i="54"/>
  <c r="B13" i="54"/>
  <c r="J13" i="54" s="1"/>
  <c r="E12" i="54"/>
  <c r="C12" i="54"/>
  <c r="B12" i="54"/>
  <c r="K12" i="54" s="1"/>
  <c r="E11" i="54"/>
  <c r="I11" i="54" s="1"/>
  <c r="C11" i="54"/>
  <c r="B11" i="54"/>
  <c r="E10" i="54"/>
  <c r="I10" i="54" s="1"/>
  <c r="C10" i="54"/>
  <c r="B10" i="54"/>
  <c r="J10" i="54" s="1"/>
  <c r="E9" i="54"/>
  <c r="C9" i="54"/>
  <c r="B9" i="54"/>
  <c r="K5" i="54"/>
  <c r="I5" i="54"/>
  <c r="E5" i="54"/>
  <c r="A5" i="54"/>
  <c r="D10" i="49"/>
  <c r="F518" i="48"/>
  <c r="F517" i="48"/>
  <c r="F516" i="48"/>
  <c r="F515" i="48"/>
  <c r="F514" i="48"/>
  <c r="F513" i="48"/>
  <c r="G20" i="47"/>
  <c r="F20" i="47"/>
  <c r="E20" i="47"/>
  <c r="D20" i="47"/>
  <c r="C20" i="47"/>
  <c r="B20" i="47"/>
  <c r="I19" i="47"/>
  <c r="I17" i="55" s="1"/>
  <c r="H19" i="47"/>
  <c r="H17" i="55" s="1"/>
  <c r="I18" i="47"/>
  <c r="I16" i="55" s="1"/>
  <c r="H18" i="47"/>
  <c r="H16" i="55" s="1"/>
  <c r="I17" i="47"/>
  <c r="I15" i="55" s="1"/>
  <c r="H17" i="47"/>
  <c r="H15" i="55" s="1"/>
  <c r="I16" i="47"/>
  <c r="I14" i="55" s="1"/>
  <c r="H16" i="47"/>
  <c r="H14" i="55" s="1"/>
  <c r="I15" i="47"/>
  <c r="I13" i="55" s="1"/>
  <c r="H15" i="47"/>
  <c r="H13" i="55" s="1"/>
  <c r="I14" i="47"/>
  <c r="I12" i="55" s="1"/>
  <c r="H14" i="47"/>
  <c r="H12" i="55" s="1"/>
  <c r="I13" i="47"/>
  <c r="I11" i="55" s="1"/>
  <c r="H13" i="47"/>
  <c r="H11" i="55" s="1"/>
  <c r="I12" i="47"/>
  <c r="I10" i="55" s="1"/>
  <c r="H12" i="47"/>
  <c r="H10" i="55" s="1"/>
  <c r="E4" i="47"/>
  <c r="D4" i="47"/>
  <c r="A2" i="46"/>
  <c r="E13" i="45"/>
  <c r="E18" i="7" s="1"/>
  <c r="C13" i="45"/>
  <c r="B13" i="45"/>
  <c r="B17" i="46" s="1"/>
  <c r="E12" i="45"/>
  <c r="E17" i="7" s="1"/>
  <c r="C12" i="45"/>
  <c r="C17" i="7" s="1"/>
  <c r="B12" i="45"/>
  <c r="E11" i="45"/>
  <c r="C11" i="45"/>
  <c r="B11" i="45"/>
  <c r="G15" i="46" s="1"/>
  <c r="E10" i="45"/>
  <c r="C10" i="45"/>
  <c r="C15" i="7" s="1"/>
  <c r="B10" i="45"/>
  <c r="G14" i="46" s="1"/>
  <c r="E9" i="45"/>
  <c r="E14" i="7" s="1"/>
  <c r="C9" i="45"/>
  <c r="B9" i="45"/>
  <c r="F13" i="46" s="1"/>
  <c r="E8" i="45"/>
  <c r="C8" i="45"/>
  <c r="C13" i="7" s="1"/>
  <c r="B8" i="45"/>
  <c r="G12" i="46" s="1"/>
  <c r="E7" i="45"/>
  <c r="E12" i="7" s="1"/>
  <c r="C7" i="45"/>
  <c r="B7" i="45"/>
  <c r="E11" i="46" s="1"/>
  <c r="E6" i="45"/>
  <c r="E11" i="7" s="1"/>
  <c r="C6" i="45"/>
  <c r="C11" i="7" s="1"/>
  <c r="B6" i="45"/>
  <c r="C10" i="46" s="1"/>
  <c r="E5" i="45"/>
  <c r="E10" i="7" s="1"/>
  <c r="C5" i="45"/>
  <c r="C10" i="7" s="1"/>
  <c r="B5" i="45"/>
  <c r="B9" i="46" s="1"/>
  <c r="E4" i="45"/>
  <c r="E9" i="7" s="1"/>
  <c r="C4" i="45"/>
  <c r="C9" i="7" s="1"/>
  <c r="B4" i="45"/>
  <c r="G4" i="45" s="1"/>
  <c r="I5003" i="42"/>
  <c r="I5002" i="42"/>
  <c r="I5001" i="42"/>
  <c r="I5000" i="42"/>
  <c r="I4999" i="42"/>
  <c r="I4998" i="42"/>
  <c r="I4997" i="42"/>
  <c r="I4996" i="42"/>
  <c r="I4995" i="42"/>
  <c r="I4994" i="42"/>
  <c r="I4993" i="42"/>
  <c r="I4992" i="42"/>
  <c r="I4991" i="42"/>
  <c r="I4990" i="42"/>
  <c r="I4989" i="42"/>
  <c r="I4988" i="42"/>
  <c r="I4987" i="42"/>
  <c r="I4986" i="42"/>
  <c r="I4985" i="42"/>
  <c r="I4984" i="42"/>
  <c r="I4983" i="42"/>
  <c r="I4982" i="42"/>
  <c r="I4981" i="42"/>
  <c r="I4980" i="42"/>
  <c r="I4979" i="42"/>
  <c r="I4978" i="42"/>
  <c r="I4977" i="42"/>
  <c r="I4976" i="42"/>
  <c r="I4975" i="42"/>
  <c r="I4974" i="42"/>
  <c r="I4973" i="42"/>
  <c r="I4972" i="42"/>
  <c r="I4971" i="42"/>
  <c r="I4970" i="42"/>
  <c r="I4969" i="42"/>
  <c r="I4968" i="42"/>
  <c r="I4967" i="42"/>
  <c r="I4966" i="42"/>
  <c r="I4965" i="42"/>
  <c r="I4964" i="42"/>
  <c r="I4963" i="42"/>
  <c r="I4962" i="42"/>
  <c r="I4961" i="42"/>
  <c r="I4960" i="42"/>
  <c r="I4959" i="42"/>
  <c r="I4958" i="42"/>
  <c r="I4957" i="42"/>
  <c r="I4956" i="42"/>
  <c r="I4955" i="42"/>
  <c r="I4954" i="42"/>
  <c r="I4953" i="42"/>
  <c r="I4952" i="42"/>
  <c r="I4951" i="42"/>
  <c r="I4950" i="42"/>
  <c r="I4949" i="42"/>
  <c r="I4948" i="42"/>
  <c r="I4947" i="42"/>
  <c r="I4946" i="42"/>
  <c r="I4945" i="42"/>
  <c r="I4944" i="42"/>
  <c r="I4943" i="42"/>
  <c r="I4942" i="42"/>
  <c r="I4941" i="42"/>
  <c r="I4940" i="42"/>
  <c r="I4939" i="42"/>
  <c r="I4938" i="42"/>
  <c r="I4937" i="42"/>
  <c r="I4936" i="42"/>
  <c r="I4935" i="42"/>
  <c r="I4934" i="42"/>
  <c r="I4933" i="42"/>
  <c r="I4932" i="42"/>
  <c r="I4931" i="42"/>
  <c r="I4930" i="42"/>
  <c r="I4929" i="42"/>
  <c r="I4928" i="42"/>
  <c r="I4927" i="42"/>
  <c r="I4926" i="42"/>
  <c r="I4925" i="42"/>
  <c r="I4924" i="42"/>
  <c r="I4923" i="42"/>
  <c r="I4922" i="42"/>
  <c r="I4921" i="42"/>
  <c r="I4920" i="42"/>
  <c r="I4919" i="42"/>
  <c r="I4918" i="42"/>
  <c r="I4917" i="42"/>
  <c r="I4916" i="42"/>
  <c r="I4915" i="42"/>
  <c r="I4914" i="42"/>
  <c r="I4913" i="42"/>
  <c r="I4912" i="42"/>
  <c r="I4911" i="42"/>
  <c r="I4910" i="42"/>
  <c r="I4909" i="42"/>
  <c r="I4908" i="42"/>
  <c r="I4907" i="42"/>
  <c r="I4906" i="42"/>
  <c r="I4905" i="42"/>
  <c r="I4904" i="42"/>
  <c r="I4903" i="42"/>
  <c r="I4902" i="42"/>
  <c r="I4901" i="42"/>
  <c r="I4900" i="42"/>
  <c r="I4899" i="42"/>
  <c r="I4898" i="42"/>
  <c r="I4897" i="42"/>
  <c r="I4896" i="42"/>
  <c r="I4895" i="42"/>
  <c r="I4894" i="42"/>
  <c r="I4893" i="42"/>
  <c r="I4892" i="42"/>
  <c r="I4891" i="42"/>
  <c r="I4890" i="42"/>
  <c r="I4889" i="42"/>
  <c r="I4888" i="42"/>
  <c r="I4887" i="42"/>
  <c r="I4886" i="42"/>
  <c r="I4885" i="42"/>
  <c r="I4884" i="42"/>
  <c r="I4883" i="42"/>
  <c r="I4882" i="42"/>
  <c r="I4881" i="42"/>
  <c r="I4880" i="42"/>
  <c r="I4879" i="42"/>
  <c r="I4878" i="42"/>
  <c r="I4877" i="42"/>
  <c r="I4876" i="42"/>
  <c r="I4875" i="42"/>
  <c r="I4874" i="42"/>
  <c r="I4873" i="42"/>
  <c r="I4872" i="42"/>
  <c r="I4871" i="42"/>
  <c r="I4870" i="42"/>
  <c r="I4869" i="42"/>
  <c r="I4868" i="42"/>
  <c r="I4867" i="42"/>
  <c r="I4866" i="42"/>
  <c r="I4865" i="42"/>
  <c r="I4864" i="42"/>
  <c r="I4863" i="42"/>
  <c r="I4862" i="42"/>
  <c r="I4861" i="42"/>
  <c r="I4860" i="42"/>
  <c r="I4859" i="42"/>
  <c r="I4858" i="42"/>
  <c r="I4857" i="42"/>
  <c r="I4856" i="42"/>
  <c r="I4855" i="42"/>
  <c r="I4854" i="42"/>
  <c r="I4853" i="42"/>
  <c r="I4852" i="42"/>
  <c r="I4851" i="42"/>
  <c r="I4850" i="42"/>
  <c r="I4849" i="42"/>
  <c r="I4848" i="42"/>
  <c r="I4847" i="42"/>
  <c r="I4846" i="42"/>
  <c r="I4845" i="42"/>
  <c r="I4844" i="42"/>
  <c r="I4843" i="42"/>
  <c r="I4842" i="42"/>
  <c r="I4841" i="42"/>
  <c r="I4840" i="42"/>
  <c r="I4839" i="42"/>
  <c r="I4838" i="42"/>
  <c r="I4837" i="42"/>
  <c r="I4836" i="42"/>
  <c r="I4835" i="42"/>
  <c r="I4834" i="42"/>
  <c r="I4833" i="42"/>
  <c r="I4832" i="42"/>
  <c r="I4831" i="42"/>
  <c r="I4830" i="42"/>
  <c r="I4829" i="42"/>
  <c r="I4828" i="42"/>
  <c r="I4827" i="42"/>
  <c r="I4826" i="42"/>
  <c r="I4825" i="42"/>
  <c r="I4824" i="42"/>
  <c r="I4823" i="42"/>
  <c r="I4822" i="42"/>
  <c r="I4821" i="42"/>
  <c r="I4820" i="42"/>
  <c r="I4819" i="42"/>
  <c r="I4818" i="42"/>
  <c r="I4817" i="42"/>
  <c r="I4816" i="42"/>
  <c r="I4815" i="42"/>
  <c r="I4814" i="42"/>
  <c r="I4813" i="42"/>
  <c r="I4812" i="42"/>
  <c r="I4811" i="42"/>
  <c r="I4810" i="42"/>
  <c r="I4809" i="42"/>
  <c r="I4808" i="42"/>
  <c r="I4807" i="42"/>
  <c r="I4806" i="42"/>
  <c r="I4805" i="42"/>
  <c r="I4804" i="42"/>
  <c r="I4803" i="42"/>
  <c r="I4802" i="42"/>
  <c r="I4801" i="42"/>
  <c r="I4800" i="42"/>
  <c r="I4799" i="42"/>
  <c r="I4798" i="42"/>
  <c r="I4797" i="42"/>
  <c r="I4796" i="42"/>
  <c r="I4795" i="42"/>
  <c r="I4794" i="42"/>
  <c r="I4793" i="42"/>
  <c r="I4792" i="42"/>
  <c r="I4791" i="42"/>
  <c r="I4790" i="42"/>
  <c r="I4789" i="42"/>
  <c r="I4788" i="42"/>
  <c r="I4787" i="42"/>
  <c r="I4786" i="42"/>
  <c r="I4785" i="42"/>
  <c r="I4784" i="42"/>
  <c r="I4783" i="42"/>
  <c r="I4782" i="42"/>
  <c r="I4781" i="42"/>
  <c r="I4780" i="42"/>
  <c r="I4779" i="42"/>
  <c r="I4778" i="42"/>
  <c r="I4777" i="42"/>
  <c r="I4776" i="42"/>
  <c r="I4775" i="42"/>
  <c r="I4774" i="42"/>
  <c r="I4773" i="42"/>
  <c r="I4772" i="42"/>
  <c r="I4771" i="42"/>
  <c r="I4770" i="42"/>
  <c r="I4769" i="42"/>
  <c r="I4768" i="42"/>
  <c r="I4767" i="42"/>
  <c r="I4766" i="42"/>
  <c r="I4765" i="42"/>
  <c r="I4764" i="42"/>
  <c r="I4763" i="42"/>
  <c r="I4762" i="42"/>
  <c r="I4761" i="42"/>
  <c r="I4760" i="42"/>
  <c r="I4759" i="42"/>
  <c r="I4758" i="42"/>
  <c r="I4757" i="42"/>
  <c r="I4756" i="42"/>
  <c r="I4755" i="42"/>
  <c r="I4754" i="42"/>
  <c r="I4753" i="42"/>
  <c r="I4752" i="42"/>
  <c r="I4751" i="42"/>
  <c r="I4750" i="42"/>
  <c r="I4749" i="42"/>
  <c r="I4748" i="42"/>
  <c r="I4747" i="42"/>
  <c r="I4746" i="42"/>
  <c r="I4745" i="42"/>
  <c r="I4744" i="42"/>
  <c r="I4743" i="42"/>
  <c r="I4742" i="42"/>
  <c r="I4741" i="42"/>
  <c r="I4740" i="42"/>
  <c r="I4739" i="42"/>
  <c r="I4738" i="42"/>
  <c r="I4737" i="42"/>
  <c r="I4736" i="42"/>
  <c r="I4735" i="42"/>
  <c r="I4734" i="42"/>
  <c r="I4733" i="42"/>
  <c r="I4732" i="42"/>
  <c r="I4731" i="42"/>
  <c r="I4730" i="42"/>
  <c r="I4729" i="42"/>
  <c r="I4728" i="42"/>
  <c r="I4727" i="42"/>
  <c r="I4726" i="42"/>
  <c r="I4725" i="42"/>
  <c r="I4724" i="42"/>
  <c r="I4723" i="42"/>
  <c r="I4722" i="42"/>
  <c r="I4721" i="42"/>
  <c r="I4720" i="42"/>
  <c r="I4719" i="42"/>
  <c r="I4718" i="42"/>
  <c r="I4717" i="42"/>
  <c r="I4716" i="42"/>
  <c r="I4715" i="42"/>
  <c r="I4714" i="42"/>
  <c r="I4713" i="42"/>
  <c r="I4712" i="42"/>
  <c r="I4711" i="42"/>
  <c r="I4710" i="42"/>
  <c r="I4709" i="42"/>
  <c r="I4708" i="42"/>
  <c r="I4707" i="42"/>
  <c r="I4706" i="42"/>
  <c r="I4705" i="42"/>
  <c r="I4704" i="42"/>
  <c r="I4703" i="42"/>
  <c r="I4702" i="42"/>
  <c r="I4701" i="42"/>
  <c r="I4700" i="42"/>
  <c r="I4699" i="42"/>
  <c r="I4698" i="42"/>
  <c r="I4697" i="42"/>
  <c r="I4696" i="42"/>
  <c r="I4695" i="42"/>
  <c r="I4694" i="42"/>
  <c r="I4693" i="42"/>
  <c r="I4692" i="42"/>
  <c r="I4691" i="42"/>
  <c r="I4690" i="42"/>
  <c r="I4689" i="42"/>
  <c r="I4688" i="42"/>
  <c r="I4687" i="42"/>
  <c r="I4686" i="42"/>
  <c r="I4685" i="42"/>
  <c r="I4684" i="42"/>
  <c r="I4683" i="42"/>
  <c r="I4682" i="42"/>
  <c r="I4681" i="42"/>
  <c r="I4680" i="42"/>
  <c r="I4679" i="42"/>
  <c r="I4678" i="42"/>
  <c r="I4677" i="42"/>
  <c r="I4676" i="42"/>
  <c r="I4675" i="42"/>
  <c r="I4674" i="42"/>
  <c r="I4673" i="42"/>
  <c r="I4672" i="42"/>
  <c r="I4671" i="42"/>
  <c r="I4670" i="42"/>
  <c r="I4669" i="42"/>
  <c r="I4668" i="42"/>
  <c r="I4667" i="42"/>
  <c r="I4666" i="42"/>
  <c r="I4665" i="42"/>
  <c r="I4664" i="42"/>
  <c r="I4663" i="42"/>
  <c r="I4662" i="42"/>
  <c r="I4661" i="42"/>
  <c r="I4660" i="42"/>
  <c r="I4659" i="42"/>
  <c r="I4658" i="42"/>
  <c r="I4657" i="42"/>
  <c r="I4656" i="42"/>
  <c r="I4655" i="42"/>
  <c r="I4654" i="42"/>
  <c r="I4653" i="42"/>
  <c r="I4652" i="42"/>
  <c r="I4651" i="42"/>
  <c r="I4650" i="42"/>
  <c r="I4649" i="42"/>
  <c r="I4648" i="42"/>
  <c r="I4647" i="42"/>
  <c r="I4646" i="42"/>
  <c r="I4645" i="42"/>
  <c r="I4644" i="42"/>
  <c r="I4643" i="42"/>
  <c r="I4642" i="42"/>
  <c r="I4641" i="42"/>
  <c r="I4640" i="42"/>
  <c r="I4639" i="42"/>
  <c r="I4638" i="42"/>
  <c r="I4637" i="42"/>
  <c r="I4636" i="42"/>
  <c r="I4635" i="42"/>
  <c r="I4634" i="42"/>
  <c r="I4633" i="42"/>
  <c r="I4632" i="42"/>
  <c r="I4631" i="42"/>
  <c r="I4630" i="42"/>
  <c r="I4629" i="42"/>
  <c r="I4628" i="42"/>
  <c r="I4627" i="42"/>
  <c r="I4626" i="42"/>
  <c r="I4625" i="42"/>
  <c r="I4624" i="42"/>
  <c r="I4623" i="42"/>
  <c r="I4622" i="42"/>
  <c r="I4621" i="42"/>
  <c r="I4620" i="42"/>
  <c r="I4619" i="42"/>
  <c r="I4618" i="42"/>
  <c r="I4617" i="42"/>
  <c r="I4616" i="42"/>
  <c r="I4615" i="42"/>
  <c r="I4614" i="42"/>
  <c r="I4613" i="42"/>
  <c r="I4612" i="42"/>
  <c r="I4611" i="42"/>
  <c r="I4610" i="42"/>
  <c r="I4609" i="42"/>
  <c r="I4608" i="42"/>
  <c r="I4607" i="42"/>
  <c r="I4606" i="42"/>
  <c r="I4605" i="42"/>
  <c r="I4604" i="42"/>
  <c r="I4603" i="42"/>
  <c r="I4602" i="42"/>
  <c r="I4601" i="42"/>
  <c r="I4600" i="42"/>
  <c r="I4599" i="42"/>
  <c r="I4598" i="42"/>
  <c r="I4597" i="42"/>
  <c r="I4596" i="42"/>
  <c r="I4595" i="42"/>
  <c r="I4594" i="42"/>
  <c r="I4593" i="42"/>
  <c r="I4592" i="42"/>
  <c r="I4591" i="42"/>
  <c r="I4590" i="42"/>
  <c r="I4589" i="42"/>
  <c r="I4588" i="42"/>
  <c r="I4587" i="42"/>
  <c r="I4586" i="42"/>
  <c r="I4585" i="42"/>
  <c r="I4584" i="42"/>
  <c r="I4583" i="42"/>
  <c r="I4582" i="42"/>
  <c r="I4581" i="42"/>
  <c r="I4580" i="42"/>
  <c r="I4579" i="42"/>
  <c r="I4578" i="42"/>
  <c r="I4577" i="42"/>
  <c r="I4576" i="42"/>
  <c r="I4575" i="42"/>
  <c r="I4574" i="42"/>
  <c r="I4573" i="42"/>
  <c r="I4572" i="42"/>
  <c r="I4571" i="42"/>
  <c r="I4570" i="42"/>
  <c r="I4569" i="42"/>
  <c r="I4568" i="42"/>
  <c r="I4567" i="42"/>
  <c r="I4566" i="42"/>
  <c r="I4565" i="42"/>
  <c r="I4564" i="42"/>
  <c r="I4563" i="42"/>
  <c r="I4562" i="42"/>
  <c r="I4561" i="42"/>
  <c r="I4560" i="42"/>
  <c r="I4559" i="42"/>
  <c r="I4558" i="42"/>
  <c r="I4557" i="42"/>
  <c r="I4556" i="42"/>
  <c r="I4555" i="42"/>
  <c r="I4554" i="42"/>
  <c r="I4553" i="42"/>
  <c r="I4552" i="42"/>
  <c r="I4551" i="42"/>
  <c r="I4550" i="42"/>
  <c r="I4549" i="42"/>
  <c r="I4548" i="42"/>
  <c r="I4547" i="42"/>
  <c r="I4546" i="42"/>
  <c r="I4545" i="42"/>
  <c r="I4544" i="42"/>
  <c r="I4543" i="42"/>
  <c r="I4542" i="42"/>
  <c r="I4541" i="42"/>
  <c r="I4540" i="42"/>
  <c r="I4539" i="42"/>
  <c r="I4538" i="42"/>
  <c r="I4537" i="42"/>
  <c r="I4536" i="42"/>
  <c r="I4535" i="42"/>
  <c r="I4534" i="42"/>
  <c r="I4533" i="42"/>
  <c r="I4532" i="42"/>
  <c r="I4531" i="42"/>
  <c r="I4530" i="42"/>
  <c r="I4529" i="42"/>
  <c r="I4528" i="42"/>
  <c r="I4527" i="42"/>
  <c r="I4526" i="42"/>
  <c r="I4525" i="42"/>
  <c r="I4524" i="42"/>
  <c r="I4523" i="42"/>
  <c r="I4522" i="42"/>
  <c r="I4521" i="42"/>
  <c r="I4520" i="42"/>
  <c r="I4519" i="42"/>
  <c r="I4518" i="42"/>
  <c r="I4517" i="42"/>
  <c r="I4516" i="42"/>
  <c r="I4515" i="42"/>
  <c r="I4514" i="42"/>
  <c r="I4513" i="42"/>
  <c r="I4512" i="42"/>
  <c r="I4511" i="42"/>
  <c r="I4510" i="42"/>
  <c r="I4509" i="42"/>
  <c r="I4508" i="42"/>
  <c r="I4507" i="42"/>
  <c r="I4506" i="42"/>
  <c r="I4505" i="42"/>
  <c r="I4504" i="42"/>
  <c r="I4503" i="42"/>
  <c r="I4502" i="42"/>
  <c r="I4501" i="42"/>
  <c r="I4500" i="42"/>
  <c r="I4499" i="42"/>
  <c r="I4498" i="42"/>
  <c r="I4497" i="42"/>
  <c r="I4496" i="42"/>
  <c r="I4495" i="42"/>
  <c r="I4494" i="42"/>
  <c r="I4493" i="42"/>
  <c r="I4492" i="42"/>
  <c r="I4491" i="42"/>
  <c r="I4490" i="42"/>
  <c r="I4489" i="42"/>
  <c r="I4488" i="42"/>
  <c r="I4487" i="42"/>
  <c r="I4486" i="42"/>
  <c r="I4485" i="42"/>
  <c r="I4484" i="42"/>
  <c r="I4483" i="42"/>
  <c r="I4482" i="42"/>
  <c r="I4481" i="42"/>
  <c r="I4480" i="42"/>
  <c r="I4479" i="42"/>
  <c r="I4478" i="42"/>
  <c r="I4477" i="42"/>
  <c r="I4476" i="42"/>
  <c r="I4475" i="42"/>
  <c r="I4474" i="42"/>
  <c r="I4473" i="42"/>
  <c r="I4472" i="42"/>
  <c r="I4471" i="42"/>
  <c r="I4470" i="42"/>
  <c r="I4469" i="42"/>
  <c r="I4468" i="42"/>
  <c r="I4467" i="42"/>
  <c r="I4466" i="42"/>
  <c r="I4465" i="42"/>
  <c r="I4464" i="42"/>
  <c r="I4463" i="42"/>
  <c r="I4462" i="42"/>
  <c r="I4461" i="42"/>
  <c r="I4460" i="42"/>
  <c r="I4459" i="42"/>
  <c r="I4458" i="42"/>
  <c r="I4457" i="42"/>
  <c r="I4456" i="42"/>
  <c r="I4455" i="42"/>
  <c r="I4454" i="42"/>
  <c r="I4453" i="42"/>
  <c r="I4452" i="42"/>
  <c r="I4451" i="42"/>
  <c r="I4450" i="42"/>
  <c r="I4449" i="42"/>
  <c r="I4448" i="42"/>
  <c r="I4447" i="42"/>
  <c r="I4446" i="42"/>
  <c r="I4445" i="42"/>
  <c r="I4444" i="42"/>
  <c r="I4443" i="42"/>
  <c r="I4442" i="42"/>
  <c r="I4441" i="42"/>
  <c r="I4440" i="42"/>
  <c r="I4439" i="42"/>
  <c r="I4438" i="42"/>
  <c r="I4437" i="42"/>
  <c r="I4436" i="42"/>
  <c r="I4435" i="42"/>
  <c r="I4434" i="42"/>
  <c r="I4433" i="42"/>
  <c r="I4432" i="42"/>
  <c r="I4431" i="42"/>
  <c r="I4430" i="42"/>
  <c r="I4429" i="42"/>
  <c r="I4428" i="42"/>
  <c r="I4427" i="42"/>
  <c r="I4426" i="42"/>
  <c r="I4425" i="42"/>
  <c r="I4424" i="42"/>
  <c r="I4423" i="42"/>
  <c r="I4422" i="42"/>
  <c r="I4421" i="42"/>
  <c r="I4420" i="42"/>
  <c r="I4419" i="42"/>
  <c r="I4418" i="42"/>
  <c r="I4417" i="42"/>
  <c r="I4416" i="42"/>
  <c r="I4415" i="42"/>
  <c r="I4414" i="42"/>
  <c r="I4413" i="42"/>
  <c r="I4412" i="42"/>
  <c r="I4411" i="42"/>
  <c r="I4410" i="42"/>
  <c r="I4409" i="42"/>
  <c r="I4408" i="42"/>
  <c r="I4407" i="42"/>
  <c r="I4406" i="42"/>
  <c r="I4405" i="42"/>
  <c r="I4404" i="42"/>
  <c r="I4403" i="42"/>
  <c r="I4402" i="42"/>
  <c r="I4401" i="42"/>
  <c r="I4400" i="42"/>
  <c r="I4399" i="42"/>
  <c r="I4398" i="42"/>
  <c r="I4397" i="42"/>
  <c r="I4396" i="42"/>
  <c r="I4395" i="42"/>
  <c r="I4394" i="42"/>
  <c r="I4393" i="42"/>
  <c r="I4392" i="42"/>
  <c r="I4391" i="42"/>
  <c r="I4390" i="42"/>
  <c r="I4389" i="42"/>
  <c r="I4388" i="42"/>
  <c r="I4387" i="42"/>
  <c r="I4386" i="42"/>
  <c r="I4385" i="42"/>
  <c r="I4384" i="42"/>
  <c r="I4383" i="42"/>
  <c r="I4382" i="42"/>
  <c r="I4381" i="42"/>
  <c r="I4380" i="42"/>
  <c r="I4379" i="42"/>
  <c r="I4378" i="42"/>
  <c r="I4377" i="42"/>
  <c r="I4376" i="42"/>
  <c r="I4375" i="42"/>
  <c r="I4374" i="42"/>
  <c r="I4373" i="42"/>
  <c r="I4372" i="42"/>
  <c r="I4371" i="42"/>
  <c r="I4370" i="42"/>
  <c r="I4369" i="42"/>
  <c r="I4368" i="42"/>
  <c r="I4367" i="42"/>
  <c r="I4366" i="42"/>
  <c r="I4365" i="42"/>
  <c r="I4364" i="42"/>
  <c r="I4363" i="42"/>
  <c r="I4362" i="42"/>
  <c r="I4361" i="42"/>
  <c r="I4360" i="42"/>
  <c r="I4359" i="42"/>
  <c r="I4358" i="42"/>
  <c r="I4357" i="42"/>
  <c r="I4356" i="42"/>
  <c r="I4355" i="42"/>
  <c r="I4354" i="42"/>
  <c r="I4353" i="42"/>
  <c r="I4352" i="42"/>
  <c r="I4351" i="42"/>
  <c r="I4350" i="42"/>
  <c r="I4349" i="42"/>
  <c r="I4348" i="42"/>
  <c r="I4347" i="42"/>
  <c r="I4346" i="42"/>
  <c r="I4345" i="42"/>
  <c r="I4344" i="42"/>
  <c r="I4343" i="42"/>
  <c r="I4342" i="42"/>
  <c r="I4341" i="42"/>
  <c r="I4340" i="42"/>
  <c r="I4339" i="42"/>
  <c r="I4338" i="42"/>
  <c r="I4337" i="42"/>
  <c r="I4336" i="42"/>
  <c r="I4335" i="42"/>
  <c r="I4334" i="42"/>
  <c r="I4333" i="42"/>
  <c r="I4332" i="42"/>
  <c r="I4331" i="42"/>
  <c r="I4330" i="42"/>
  <c r="I4329" i="42"/>
  <c r="I4328" i="42"/>
  <c r="I4327" i="42"/>
  <c r="I4326" i="42"/>
  <c r="I4325" i="42"/>
  <c r="I4324" i="42"/>
  <c r="I4323" i="42"/>
  <c r="I4322" i="42"/>
  <c r="I4321" i="42"/>
  <c r="I4320" i="42"/>
  <c r="I4319" i="42"/>
  <c r="I4318" i="42"/>
  <c r="I4317" i="42"/>
  <c r="I4316" i="42"/>
  <c r="I4315" i="42"/>
  <c r="I4314" i="42"/>
  <c r="I4313" i="42"/>
  <c r="I4312" i="42"/>
  <c r="I4311" i="42"/>
  <c r="I4310" i="42"/>
  <c r="I4309" i="42"/>
  <c r="I4308" i="42"/>
  <c r="I4307" i="42"/>
  <c r="I4306" i="42"/>
  <c r="I4305" i="42"/>
  <c r="I4304" i="42"/>
  <c r="I4303" i="42"/>
  <c r="I4302" i="42"/>
  <c r="I4301" i="42"/>
  <c r="I4300" i="42"/>
  <c r="I4299" i="42"/>
  <c r="I4298" i="42"/>
  <c r="I4297" i="42"/>
  <c r="I4296" i="42"/>
  <c r="I4295" i="42"/>
  <c r="I4294" i="42"/>
  <c r="I4293" i="42"/>
  <c r="I4292" i="42"/>
  <c r="I4291" i="42"/>
  <c r="I4290" i="42"/>
  <c r="I4289" i="42"/>
  <c r="I4288" i="42"/>
  <c r="I4287" i="42"/>
  <c r="I4286" i="42"/>
  <c r="I4285" i="42"/>
  <c r="I4284" i="42"/>
  <c r="I4283" i="42"/>
  <c r="I4282" i="42"/>
  <c r="I4281" i="42"/>
  <c r="I4280" i="42"/>
  <c r="I4279" i="42"/>
  <c r="I4278" i="42"/>
  <c r="I4277" i="42"/>
  <c r="I4276" i="42"/>
  <c r="I4275" i="42"/>
  <c r="I4274" i="42"/>
  <c r="I4273" i="42"/>
  <c r="I4272" i="42"/>
  <c r="I4271" i="42"/>
  <c r="I4270" i="42"/>
  <c r="I4269" i="42"/>
  <c r="I4268" i="42"/>
  <c r="I4267" i="42"/>
  <c r="I4266" i="42"/>
  <c r="I4265" i="42"/>
  <c r="I4264" i="42"/>
  <c r="I4263" i="42"/>
  <c r="I4262" i="42"/>
  <c r="I4261" i="42"/>
  <c r="I4260" i="42"/>
  <c r="I4259" i="42"/>
  <c r="I4258" i="42"/>
  <c r="I4257" i="42"/>
  <c r="I4256" i="42"/>
  <c r="I4255" i="42"/>
  <c r="I4254" i="42"/>
  <c r="I4253" i="42"/>
  <c r="I4252" i="42"/>
  <c r="I4251" i="42"/>
  <c r="I4250" i="42"/>
  <c r="I4249" i="42"/>
  <c r="I4248" i="42"/>
  <c r="I4247" i="42"/>
  <c r="I4246" i="42"/>
  <c r="I4245" i="42"/>
  <c r="I4244" i="42"/>
  <c r="I4243" i="42"/>
  <c r="I4242" i="42"/>
  <c r="I4241" i="42"/>
  <c r="I4240" i="42"/>
  <c r="I4239" i="42"/>
  <c r="I4238" i="42"/>
  <c r="I4237" i="42"/>
  <c r="I4236" i="42"/>
  <c r="I4235" i="42"/>
  <c r="I4234" i="42"/>
  <c r="I4233" i="42"/>
  <c r="I4232" i="42"/>
  <c r="I4231" i="42"/>
  <c r="I4230" i="42"/>
  <c r="I4229" i="42"/>
  <c r="I4228" i="42"/>
  <c r="I4227" i="42"/>
  <c r="I4226" i="42"/>
  <c r="I4225" i="42"/>
  <c r="I4224" i="42"/>
  <c r="I4223" i="42"/>
  <c r="I4222" i="42"/>
  <c r="I4221" i="42"/>
  <c r="I4220" i="42"/>
  <c r="I4219" i="42"/>
  <c r="I4218" i="42"/>
  <c r="I4217" i="42"/>
  <c r="I4216" i="42"/>
  <c r="I4215" i="42"/>
  <c r="I4214" i="42"/>
  <c r="I4213" i="42"/>
  <c r="I4212" i="42"/>
  <c r="I4211" i="42"/>
  <c r="I4210" i="42"/>
  <c r="I4209" i="42"/>
  <c r="I4208" i="42"/>
  <c r="I4207" i="42"/>
  <c r="I4206" i="42"/>
  <c r="I4205" i="42"/>
  <c r="I4204" i="42"/>
  <c r="I4203" i="42"/>
  <c r="I4202" i="42"/>
  <c r="I4201" i="42"/>
  <c r="I4200" i="42"/>
  <c r="I4199" i="42"/>
  <c r="I4198" i="42"/>
  <c r="I4197" i="42"/>
  <c r="I4196" i="42"/>
  <c r="I4195" i="42"/>
  <c r="I4194" i="42"/>
  <c r="I4193" i="42"/>
  <c r="I4192" i="42"/>
  <c r="I4191" i="42"/>
  <c r="I4190" i="42"/>
  <c r="I4189" i="42"/>
  <c r="I4188" i="42"/>
  <c r="I4187" i="42"/>
  <c r="I4186" i="42"/>
  <c r="I4185" i="42"/>
  <c r="I4184" i="42"/>
  <c r="I4183" i="42"/>
  <c r="I4182" i="42"/>
  <c r="I4181" i="42"/>
  <c r="I4180" i="42"/>
  <c r="I4179" i="42"/>
  <c r="I4178" i="42"/>
  <c r="I4177" i="42"/>
  <c r="I4176" i="42"/>
  <c r="I4175" i="42"/>
  <c r="I4174" i="42"/>
  <c r="I4173" i="42"/>
  <c r="I4172" i="42"/>
  <c r="I4171" i="42"/>
  <c r="I4170" i="42"/>
  <c r="I4169" i="42"/>
  <c r="I4168" i="42"/>
  <c r="I4167" i="42"/>
  <c r="I4166" i="42"/>
  <c r="I4165" i="42"/>
  <c r="I4164" i="42"/>
  <c r="I4163" i="42"/>
  <c r="I4162" i="42"/>
  <c r="I4161" i="42"/>
  <c r="I4160" i="42"/>
  <c r="I4159" i="42"/>
  <c r="I4158" i="42"/>
  <c r="I4157" i="42"/>
  <c r="I4156" i="42"/>
  <c r="I4155" i="42"/>
  <c r="I4154" i="42"/>
  <c r="I4153" i="42"/>
  <c r="I4152" i="42"/>
  <c r="I4151" i="42"/>
  <c r="I4150" i="42"/>
  <c r="I4149" i="42"/>
  <c r="I4148" i="42"/>
  <c r="I4147" i="42"/>
  <c r="I4146" i="42"/>
  <c r="I4145" i="42"/>
  <c r="I4144" i="42"/>
  <c r="I4143" i="42"/>
  <c r="I4142" i="42"/>
  <c r="I4141" i="42"/>
  <c r="I4140" i="42"/>
  <c r="I4139" i="42"/>
  <c r="I4138" i="42"/>
  <c r="I4137" i="42"/>
  <c r="I4136" i="42"/>
  <c r="I4135" i="42"/>
  <c r="I4134" i="42"/>
  <c r="I4133" i="42"/>
  <c r="I4132" i="42"/>
  <c r="I4131" i="42"/>
  <c r="I4130" i="42"/>
  <c r="I4129" i="42"/>
  <c r="I4128" i="42"/>
  <c r="I4127" i="42"/>
  <c r="I4126" i="42"/>
  <c r="I4125" i="42"/>
  <c r="I4124" i="42"/>
  <c r="I4123" i="42"/>
  <c r="I4122" i="42"/>
  <c r="I4121" i="42"/>
  <c r="I4120" i="42"/>
  <c r="I4119" i="42"/>
  <c r="I4118" i="42"/>
  <c r="I4117" i="42"/>
  <c r="I4116" i="42"/>
  <c r="I4115" i="42"/>
  <c r="I4114" i="42"/>
  <c r="I4113" i="42"/>
  <c r="I4112" i="42"/>
  <c r="I4111" i="42"/>
  <c r="I4110" i="42"/>
  <c r="I4109" i="42"/>
  <c r="I4108" i="42"/>
  <c r="I4107" i="42"/>
  <c r="I4106" i="42"/>
  <c r="I4105" i="42"/>
  <c r="I4104" i="42"/>
  <c r="I4103" i="42"/>
  <c r="I4102" i="42"/>
  <c r="I4101" i="42"/>
  <c r="I4100" i="42"/>
  <c r="I4099" i="42"/>
  <c r="I4098" i="42"/>
  <c r="I4097" i="42"/>
  <c r="I4096" i="42"/>
  <c r="I4095" i="42"/>
  <c r="I4094" i="42"/>
  <c r="I4093" i="42"/>
  <c r="I4092" i="42"/>
  <c r="I4091" i="42"/>
  <c r="I4090" i="42"/>
  <c r="I4089" i="42"/>
  <c r="I4088" i="42"/>
  <c r="I4087" i="42"/>
  <c r="I4086" i="42"/>
  <c r="I4085" i="42"/>
  <c r="I4084" i="42"/>
  <c r="I4083" i="42"/>
  <c r="I4082" i="42"/>
  <c r="I4081" i="42"/>
  <c r="I4080" i="42"/>
  <c r="I4079" i="42"/>
  <c r="I4078" i="42"/>
  <c r="I4077" i="42"/>
  <c r="I4076" i="42"/>
  <c r="I4075" i="42"/>
  <c r="I4074" i="42"/>
  <c r="I4073" i="42"/>
  <c r="I4072" i="42"/>
  <c r="I4071" i="42"/>
  <c r="I4070" i="42"/>
  <c r="I4069" i="42"/>
  <c r="I4068" i="42"/>
  <c r="I4067" i="42"/>
  <c r="I4066" i="42"/>
  <c r="I4065" i="42"/>
  <c r="I4064" i="42"/>
  <c r="I4063" i="42"/>
  <c r="I4062" i="42"/>
  <c r="I4061" i="42"/>
  <c r="I4060" i="42"/>
  <c r="I4059" i="42"/>
  <c r="I4058" i="42"/>
  <c r="I4057" i="42"/>
  <c r="I4056" i="42"/>
  <c r="I4055" i="42"/>
  <c r="I4054" i="42"/>
  <c r="I4053" i="42"/>
  <c r="I4052" i="42"/>
  <c r="I4051" i="42"/>
  <c r="I4050" i="42"/>
  <c r="I4049" i="42"/>
  <c r="I4048" i="42"/>
  <c r="I4047" i="42"/>
  <c r="I4046" i="42"/>
  <c r="I4045" i="42"/>
  <c r="I4044" i="42"/>
  <c r="I4043" i="42"/>
  <c r="I4042" i="42"/>
  <c r="I4041" i="42"/>
  <c r="I4040" i="42"/>
  <c r="I4039" i="42"/>
  <c r="I4038" i="42"/>
  <c r="I4037" i="42"/>
  <c r="I4036" i="42"/>
  <c r="I4035" i="42"/>
  <c r="I4034" i="42"/>
  <c r="I4033" i="42"/>
  <c r="I4032" i="42"/>
  <c r="I4031" i="42"/>
  <c r="I4030" i="42"/>
  <c r="I4029" i="42"/>
  <c r="I4028" i="42"/>
  <c r="I4027" i="42"/>
  <c r="I4026" i="42"/>
  <c r="I4025" i="42"/>
  <c r="I4024" i="42"/>
  <c r="I4023" i="42"/>
  <c r="I4022" i="42"/>
  <c r="I4021" i="42"/>
  <c r="I4020" i="42"/>
  <c r="I4019" i="42"/>
  <c r="I4018" i="42"/>
  <c r="I4017" i="42"/>
  <c r="I4016" i="42"/>
  <c r="I4015" i="42"/>
  <c r="I4014" i="42"/>
  <c r="I4013" i="42"/>
  <c r="I4012" i="42"/>
  <c r="I4011" i="42"/>
  <c r="I4010" i="42"/>
  <c r="I4009" i="42"/>
  <c r="I4008" i="42"/>
  <c r="I4007" i="42"/>
  <c r="I4006" i="42"/>
  <c r="I4005" i="42"/>
  <c r="I4004" i="42"/>
  <c r="I4003" i="42"/>
  <c r="I4002" i="42"/>
  <c r="I4001" i="42"/>
  <c r="I4000" i="42"/>
  <c r="I3999" i="42"/>
  <c r="I3998" i="42"/>
  <c r="I3997" i="42"/>
  <c r="I3996" i="42"/>
  <c r="I3995" i="42"/>
  <c r="I3994" i="42"/>
  <c r="I3993" i="42"/>
  <c r="I3992" i="42"/>
  <c r="I3991" i="42"/>
  <c r="I3990" i="42"/>
  <c r="I3989" i="42"/>
  <c r="I3988" i="42"/>
  <c r="I3987" i="42"/>
  <c r="I3986" i="42"/>
  <c r="I3985" i="42"/>
  <c r="I3984" i="42"/>
  <c r="I3983" i="42"/>
  <c r="I3982" i="42"/>
  <c r="I3981" i="42"/>
  <c r="I3980" i="42"/>
  <c r="I3979" i="42"/>
  <c r="I3978" i="42"/>
  <c r="I3977" i="42"/>
  <c r="I3976" i="42"/>
  <c r="I3975" i="42"/>
  <c r="I3974" i="42"/>
  <c r="I3973" i="42"/>
  <c r="I3972" i="42"/>
  <c r="I3971" i="42"/>
  <c r="I3970" i="42"/>
  <c r="I3969" i="42"/>
  <c r="I3968" i="42"/>
  <c r="I3967" i="42"/>
  <c r="I3966" i="42"/>
  <c r="I3965" i="42"/>
  <c r="I3964" i="42"/>
  <c r="I3963" i="42"/>
  <c r="I3962" i="42"/>
  <c r="I3961" i="42"/>
  <c r="I3960" i="42"/>
  <c r="I3959" i="42"/>
  <c r="I3958" i="42"/>
  <c r="I3957" i="42"/>
  <c r="I3956" i="42"/>
  <c r="I3955" i="42"/>
  <c r="I3954" i="42"/>
  <c r="I3953" i="42"/>
  <c r="I3952" i="42"/>
  <c r="I3951" i="42"/>
  <c r="I3950" i="42"/>
  <c r="I3949" i="42"/>
  <c r="I3948" i="42"/>
  <c r="I3947" i="42"/>
  <c r="I3946" i="42"/>
  <c r="I3945" i="42"/>
  <c r="I3944" i="42"/>
  <c r="I3943" i="42"/>
  <c r="I3942" i="42"/>
  <c r="I3941" i="42"/>
  <c r="I3940" i="42"/>
  <c r="I3939" i="42"/>
  <c r="I3938" i="42"/>
  <c r="I3937" i="42"/>
  <c r="I3936" i="42"/>
  <c r="I3935" i="42"/>
  <c r="I3934" i="42"/>
  <c r="I3933" i="42"/>
  <c r="I3932" i="42"/>
  <c r="I3931" i="42"/>
  <c r="I3930" i="42"/>
  <c r="I3929" i="42"/>
  <c r="I3928" i="42"/>
  <c r="I3927" i="42"/>
  <c r="I3926" i="42"/>
  <c r="I3925" i="42"/>
  <c r="I3924" i="42"/>
  <c r="I3923" i="42"/>
  <c r="I3922" i="42"/>
  <c r="I3921" i="42"/>
  <c r="I3920" i="42"/>
  <c r="I3919" i="42"/>
  <c r="I3918" i="42"/>
  <c r="I3917" i="42"/>
  <c r="I3916" i="42"/>
  <c r="I3915" i="42"/>
  <c r="I3914" i="42"/>
  <c r="I3913" i="42"/>
  <c r="I3912" i="42"/>
  <c r="I3911" i="42"/>
  <c r="I3910" i="42"/>
  <c r="I3909" i="42"/>
  <c r="I3908" i="42"/>
  <c r="I3907" i="42"/>
  <c r="I3906" i="42"/>
  <c r="I3905" i="42"/>
  <c r="I3904" i="42"/>
  <c r="I3903" i="42"/>
  <c r="I3902" i="42"/>
  <c r="I3901" i="42"/>
  <c r="I3900" i="42"/>
  <c r="I3899" i="42"/>
  <c r="I3898" i="42"/>
  <c r="I3897" i="42"/>
  <c r="I3896" i="42"/>
  <c r="I3895" i="42"/>
  <c r="I3894" i="42"/>
  <c r="I3893" i="42"/>
  <c r="I3892" i="42"/>
  <c r="I3891" i="42"/>
  <c r="I3890" i="42"/>
  <c r="I3889" i="42"/>
  <c r="I3888" i="42"/>
  <c r="I3887" i="42"/>
  <c r="I3886" i="42"/>
  <c r="I3885" i="42"/>
  <c r="I3884" i="42"/>
  <c r="I3883" i="42"/>
  <c r="I3882" i="42"/>
  <c r="I3881" i="42"/>
  <c r="I3880" i="42"/>
  <c r="I3879" i="42"/>
  <c r="I3878" i="42"/>
  <c r="I3877" i="42"/>
  <c r="I3876" i="42"/>
  <c r="I3875" i="42"/>
  <c r="I3874" i="42"/>
  <c r="I3873" i="42"/>
  <c r="I3872" i="42"/>
  <c r="I3871" i="42"/>
  <c r="I3870" i="42"/>
  <c r="I3869" i="42"/>
  <c r="I3868" i="42"/>
  <c r="I3867" i="42"/>
  <c r="I3866" i="42"/>
  <c r="I3865" i="42"/>
  <c r="I3864" i="42"/>
  <c r="I3863" i="42"/>
  <c r="I3862" i="42"/>
  <c r="I3861" i="42"/>
  <c r="I3860" i="42"/>
  <c r="I3859" i="42"/>
  <c r="I3858" i="42"/>
  <c r="I3857" i="42"/>
  <c r="I3856" i="42"/>
  <c r="I3855" i="42"/>
  <c r="I3854" i="42"/>
  <c r="I3853" i="42"/>
  <c r="I3852" i="42"/>
  <c r="I3851" i="42"/>
  <c r="I3850" i="42"/>
  <c r="I3849" i="42"/>
  <c r="I3848" i="42"/>
  <c r="I3847" i="42"/>
  <c r="I3846" i="42"/>
  <c r="I3845" i="42"/>
  <c r="I3844" i="42"/>
  <c r="I3843" i="42"/>
  <c r="I3842" i="42"/>
  <c r="I3841" i="42"/>
  <c r="I3840" i="42"/>
  <c r="I3839" i="42"/>
  <c r="I3838" i="42"/>
  <c r="I3837" i="42"/>
  <c r="I3836" i="42"/>
  <c r="I3835" i="42"/>
  <c r="I3834" i="42"/>
  <c r="I3833" i="42"/>
  <c r="I3832" i="42"/>
  <c r="I3831" i="42"/>
  <c r="I3830" i="42"/>
  <c r="I3829" i="42"/>
  <c r="I3828" i="42"/>
  <c r="I3827" i="42"/>
  <c r="I3826" i="42"/>
  <c r="I3825" i="42"/>
  <c r="I3824" i="42"/>
  <c r="I3823" i="42"/>
  <c r="I3822" i="42"/>
  <c r="I3821" i="42"/>
  <c r="I3820" i="42"/>
  <c r="I3819" i="42"/>
  <c r="I3818" i="42"/>
  <c r="I3817" i="42"/>
  <c r="I3816" i="42"/>
  <c r="I3815" i="42"/>
  <c r="I3814" i="42"/>
  <c r="I3813" i="42"/>
  <c r="I3812" i="42"/>
  <c r="I3811" i="42"/>
  <c r="I3810" i="42"/>
  <c r="I3809" i="42"/>
  <c r="I3808" i="42"/>
  <c r="I3807" i="42"/>
  <c r="I3806" i="42"/>
  <c r="I3805" i="42"/>
  <c r="I3804" i="42"/>
  <c r="I3803" i="42"/>
  <c r="I3802" i="42"/>
  <c r="I3801" i="42"/>
  <c r="I3800" i="42"/>
  <c r="I3799" i="42"/>
  <c r="I3798" i="42"/>
  <c r="I3797" i="42"/>
  <c r="I3796" i="42"/>
  <c r="I3795" i="42"/>
  <c r="I3794" i="42"/>
  <c r="I3793" i="42"/>
  <c r="I3792" i="42"/>
  <c r="I3791" i="42"/>
  <c r="I3790" i="42"/>
  <c r="I3789" i="42"/>
  <c r="I3788" i="42"/>
  <c r="I3787" i="42"/>
  <c r="I3786" i="42"/>
  <c r="I3785" i="42"/>
  <c r="I3784" i="42"/>
  <c r="I3783" i="42"/>
  <c r="I3782" i="42"/>
  <c r="I3781" i="42"/>
  <c r="I3780" i="42"/>
  <c r="I3779" i="42"/>
  <c r="I3778" i="42"/>
  <c r="I3777" i="42"/>
  <c r="I3776" i="42"/>
  <c r="I3775" i="42"/>
  <c r="I3774" i="42"/>
  <c r="I3773" i="42"/>
  <c r="I3772" i="42"/>
  <c r="I3771" i="42"/>
  <c r="I3770" i="42"/>
  <c r="I3769" i="42"/>
  <c r="I3768" i="42"/>
  <c r="I3767" i="42"/>
  <c r="I3766" i="42"/>
  <c r="I3765" i="42"/>
  <c r="I3764" i="42"/>
  <c r="I3763" i="42"/>
  <c r="I3762" i="42"/>
  <c r="I3761" i="42"/>
  <c r="I3760" i="42"/>
  <c r="I3759" i="42"/>
  <c r="I3758" i="42"/>
  <c r="I3757" i="42"/>
  <c r="I3756" i="42"/>
  <c r="I3755" i="42"/>
  <c r="I3754" i="42"/>
  <c r="I3753" i="42"/>
  <c r="I3752" i="42"/>
  <c r="I3751" i="42"/>
  <c r="I3750" i="42"/>
  <c r="I3749" i="42"/>
  <c r="I3748" i="42"/>
  <c r="I3747" i="42"/>
  <c r="I3746" i="42"/>
  <c r="I3745" i="42"/>
  <c r="I3744" i="42"/>
  <c r="I3743" i="42"/>
  <c r="I3742" i="42"/>
  <c r="I3741" i="42"/>
  <c r="I3740" i="42"/>
  <c r="I3739" i="42"/>
  <c r="I3738" i="42"/>
  <c r="I3737" i="42"/>
  <c r="I3736" i="42"/>
  <c r="I3735" i="42"/>
  <c r="I3734" i="42"/>
  <c r="I3733" i="42"/>
  <c r="I3732" i="42"/>
  <c r="I3731" i="42"/>
  <c r="I3730" i="42"/>
  <c r="I3729" i="42"/>
  <c r="I3728" i="42"/>
  <c r="I3727" i="42"/>
  <c r="I3726" i="42"/>
  <c r="I3725" i="42"/>
  <c r="I3724" i="42"/>
  <c r="I3723" i="42"/>
  <c r="I3722" i="42"/>
  <c r="I3721" i="42"/>
  <c r="I3720" i="42"/>
  <c r="I3719" i="42"/>
  <c r="I3718" i="42"/>
  <c r="I3717" i="42"/>
  <c r="I3716" i="42"/>
  <c r="I3715" i="42"/>
  <c r="I3714" i="42"/>
  <c r="I3713" i="42"/>
  <c r="I3712" i="42"/>
  <c r="I3711" i="42"/>
  <c r="I3710" i="42"/>
  <c r="I3709" i="42"/>
  <c r="I3708" i="42"/>
  <c r="I3707" i="42"/>
  <c r="I3706" i="42"/>
  <c r="I3705" i="42"/>
  <c r="I3704" i="42"/>
  <c r="I3703" i="42"/>
  <c r="I3702" i="42"/>
  <c r="I3701" i="42"/>
  <c r="I3700" i="42"/>
  <c r="I3699" i="42"/>
  <c r="I3698" i="42"/>
  <c r="I3697" i="42"/>
  <c r="I3696" i="42"/>
  <c r="I3695" i="42"/>
  <c r="I3694" i="42"/>
  <c r="I3693" i="42"/>
  <c r="I3692" i="42"/>
  <c r="I3691" i="42"/>
  <c r="I3690" i="42"/>
  <c r="I3689" i="42"/>
  <c r="I3688" i="42"/>
  <c r="I3687" i="42"/>
  <c r="I3686" i="42"/>
  <c r="I3685" i="42"/>
  <c r="I3684" i="42"/>
  <c r="I3683" i="42"/>
  <c r="I3682" i="42"/>
  <c r="I3681" i="42"/>
  <c r="I3680" i="42"/>
  <c r="I3679" i="42"/>
  <c r="I3678" i="42"/>
  <c r="I3677" i="42"/>
  <c r="I3676" i="42"/>
  <c r="I3675" i="42"/>
  <c r="I3674" i="42"/>
  <c r="I3673" i="42"/>
  <c r="I3672" i="42"/>
  <c r="I3671" i="42"/>
  <c r="I3670" i="42"/>
  <c r="I3669" i="42"/>
  <c r="I3668" i="42"/>
  <c r="I3667" i="42"/>
  <c r="I3666" i="42"/>
  <c r="I3665" i="42"/>
  <c r="I3664" i="42"/>
  <c r="I3663" i="42"/>
  <c r="I3662" i="42"/>
  <c r="I3661" i="42"/>
  <c r="I3660" i="42"/>
  <c r="I3659" i="42"/>
  <c r="I3658" i="42"/>
  <c r="I3657" i="42"/>
  <c r="I3656" i="42"/>
  <c r="I3655" i="42"/>
  <c r="I3654" i="42"/>
  <c r="I3653" i="42"/>
  <c r="I3652" i="42"/>
  <c r="I3651" i="42"/>
  <c r="I3650" i="42"/>
  <c r="I3649" i="42"/>
  <c r="I3648" i="42"/>
  <c r="I3647" i="42"/>
  <c r="I3646" i="42"/>
  <c r="I3645" i="42"/>
  <c r="I3644" i="42"/>
  <c r="I3643" i="42"/>
  <c r="I3642" i="42"/>
  <c r="I3641" i="42"/>
  <c r="I3640" i="42"/>
  <c r="I3639" i="42"/>
  <c r="I3638" i="42"/>
  <c r="I3637" i="42"/>
  <c r="I3636" i="42"/>
  <c r="I3635" i="42"/>
  <c r="I3634" i="42"/>
  <c r="I3633" i="42"/>
  <c r="I3632" i="42"/>
  <c r="I3631" i="42"/>
  <c r="I3630" i="42"/>
  <c r="I3629" i="42"/>
  <c r="I3628" i="42"/>
  <c r="I3627" i="42"/>
  <c r="I3626" i="42"/>
  <c r="I3625" i="42"/>
  <c r="I3624" i="42"/>
  <c r="I3623" i="42"/>
  <c r="I3622" i="42"/>
  <c r="I3621" i="42"/>
  <c r="I3620" i="42"/>
  <c r="I3619" i="42"/>
  <c r="I3618" i="42"/>
  <c r="I3617" i="42"/>
  <c r="I3616" i="42"/>
  <c r="I3615" i="42"/>
  <c r="I3614" i="42"/>
  <c r="I3613" i="42"/>
  <c r="I3612" i="42"/>
  <c r="I3611" i="42"/>
  <c r="I3610" i="42"/>
  <c r="I3609" i="42"/>
  <c r="I3608" i="42"/>
  <c r="I3607" i="42"/>
  <c r="I3606" i="42"/>
  <c r="I3605" i="42"/>
  <c r="I3604" i="42"/>
  <c r="I3603" i="42"/>
  <c r="I3602" i="42"/>
  <c r="I3601" i="42"/>
  <c r="I3600" i="42"/>
  <c r="I3599" i="42"/>
  <c r="I3598" i="42"/>
  <c r="I3597" i="42"/>
  <c r="I3596" i="42"/>
  <c r="I3595" i="42"/>
  <c r="I3594" i="42"/>
  <c r="I3593" i="42"/>
  <c r="I3592" i="42"/>
  <c r="I3591" i="42"/>
  <c r="I3590" i="42"/>
  <c r="I3589" i="42"/>
  <c r="I3588" i="42"/>
  <c r="I3587" i="42"/>
  <c r="I3586" i="42"/>
  <c r="I3585" i="42"/>
  <c r="I3584" i="42"/>
  <c r="I3583" i="42"/>
  <c r="I3582" i="42"/>
  <c r="I3581" i="42"/>
  <c r="I3580" i="42"/>
  <c r="I3579" i="42"/>
  <c r="I3578" i="42"/>
  <c r="I3577" i="42"/>
  <c r="I3576" i="42"/>
  <c r="I3575" i="42"/>
  <c r="I3574" i="42"/>
  <c r="I3573" i="42"/>
  <c r="I3572" i="42"/>
  <c r="I3571" i="42"/>
  <c r="I3570" i="42"/>
  <c r="I3569" i="42"/>
  <c r="I3568" i="42"/>
  <c r="I3567" i="42"/>
  <c r="I3566" i="42"/>
  <c r="I3565" i="42"/>
  <c r="I3564" i="42"/>
  <c r="I3563" i="42"/>
  <c r="I3562" i="42"/>
  <c r="I3561" i="42"/>
  <c r="I3560" i="42"/>
  <c r="I3559" i="42"/>
  <c r="I3558" i="42"/>
  <c r="I3557" i="42"/>
  <c r="I3556" i="42"/>
  <c r="I3555" i="42"/>
  <c r="I3554" i="42"/>
  <c r="I3553" i="42"/>
  <c r="I3552" i="42"/>
  <c r="I3551" i="42"/>
  <c r="I3550" i="42"/>
  <c r="I3549" i="42"/>
  <c r="I3548" i="42"/>
  <c r="I3547" i="42"/>
  <c r="I3546" i="42"/>
  <c r="I3545" i="42"/>
  <c r="I3544" i="42"/>
  <c r="I3543" i="42"/>
  <c r="I3542" i="42"/>
  <c r="I3541" i="42"/>
  <c r="I3540" i="42"/>
  <c r="I3539" i="42"/>
  <c r="I3538" i="42"/>
  <c r="I3537" i="42"/>
  <c r="I3536" i="42"/>
  <c r="I3535" i="42"/>
  <c r="I3534" i="42"/>
  <c r="I3533" i="42"/>
  <c r="I3532" i="42"/>
  <c r="I3531" i="42"/>
  <c r="I3530" i="42"/>
  <c r="I3529" i="42"/>
  <c r="I3528" i="42"/>
  <c r="I3527" i="42"/>
  <c r="I3526" i="42"/>
  <c r="I3525" i="42"/>
  <c r="I3524" i="42"/>
  <c r="I3523" i="42"/>
  <c r="I3522" i="42"/>
  <c r="I3521" i="42"/>
  <c r="I3520" i="42"/>
  <c r="I3519" i="42"/>
  <c r="I3518" i="42"/>
  <c r="I3517" i="42"/>
  <c r="I3516" i="42"/>
  <c r="I3515" i="42"/>
  <c r="I3514" i="42"/>
  <c r="I3513" i="42"/>
  <c r="I3512" i="42"/>
  <c r="I3511" i="42"/>
  <c r="I3510" i="42"/>
  <c r="I3509" i="42"/>
  <c r="I3508" i="42"/>
  <c r="I3507" i="42"/>
  <c r="I3506" i="42"/>
  <c r="I3505" i="42"/>
  <c r="I3504" i="42"/>
  <c r="I3503" i="42"/>
  <c r="I3502" i="42"/>
  <c r="I3501" i="42"/>
  <c r="I3500" i="42"/>
  <c r="I3499" i="42"/>
  <c r="I3498" i="42"/>
  <c r="I3497" i="42"/>
  <c r="I3496" i="42"/>
  <c r="I3495" i="42"/>
  <c r="I3494" i="42"/>
  <c r="I3493" i="42"/>
  <c r="I3492" i="42"/>
  <c r="I3491" i="42"/>
  <c r="I3490" i="42"/>
  <c r="I3489" i="42"/>
  <c r="I3488" i="42"/>
  <c r="I3487" i="42"/>
  <c r="I3486" i="42"/>
  <c r="I3485" i="42"/>
  <c r="I3484" i="42"/>
  <c r="I3483" i="42"/>
  <c r="I3482" i="42"/>
  <c r="I3481" i="42"/>
  <c r="I3480" i="42"/>
  <c r="I3479" i="42"/>
  <c r="I3478" i="42"/>
  <c r="I3477" i="42"/>
  <c r="I3476" i="42"/>
  <c r="I3475" i="42"/>
  <c r="I3474" i="42"/>
  <c r="I3473" i="42"/>
  <c r="I3472" i="42"/>
  <c r="I3471" i="42"/>
  <c r="I3470" i="42"/>
  <c r="I3469" i="42"/>
  <c r="I3468" i="42"/>
  <c r="I3467" i="42"/>
  <c r="I3466" i="42"/>
  <c r="I3465" i="42"/>
  <c r="I3464" i="42"/>
  <c r="I3463" i="42"/>
  <c r="I3462" i="42"/>
  <c r="I3461" i="42"/>
  <c r="I3460" i="42"/>
  <c r="I3459" i="42"/>
  <c r="I3458" i="42"/>
  <c r="I3457" i="42"/>
  <c r="I3456" i="42"/>
  <c r="I3455" i="42"/>
  <c r="I3454" i="42"/>
  <c r="I3453" i="42"/>
  <c r="I3452" i="42"/>
  <c r="I3451" i="42"/>
  <c r="I3450" i="42"/>
  <c r="I3449" i="42"/>
  <c r="I3448" i="42"/>
  <c r="I3447" i="42"/>
  <c r="I3446" i="42"/>
  <c r="I3445" i="42"/>
  <c r="I3444" i="42"/>
  <c r="I3443" i="42"/>
  <c r="I3442" i="42"/>
  <c r="I3441" i="42"/>
  <c r="I3440" i="42"/>
  <c r="I3439" i="42"/>
  <c r="I3438" i="42"/>
  <c r="I3437" i="42"/>
  <c r="I3436" i="42"/>
  <c r="I3435" i="42"/>
  <c r="I3434" i="42"/>
  <c r="I3433" i="42"/>
  <c r="I3432" i="42"/>
  <c r="I3431" i="42"/>
  <c r="I3430" i="42"/>
  <c r="I3429" i="42"/>
  <c r="I3428" i="42"/>
  <c r="I3427" i="42"/>
  <c r="I3426" i="42"/>
  <c r="I3425" i="42"/>
  <c r="I3424" i="42"/>
  <c r="I3423" i="42"/>
  <c r="I3422" i="42"/>
  <c r="I3421" i="42"/>
  <c r="I3420" i="42"/>
  <c r="I3419" i="42"/>
  <c r="I3418" i="42"/>
  <c r="I3417" i="42"/>
  <c r="I3416" i="42"/>
  <c r="I3415" i="42"/>
  <c r="I3414" i="42"/>
  <c r="I3413" i="42"/>
  <c r="I3412" i="42"/>
  <c r="I3411" i="42"/>
  <c r="I3410" i="42"/>
  <c r="I3409" i="42"/>
  <c r="I3408" i="42"/>
  <c r="I3407" i="42"/>
  <c r="I3406" i="42"/>
  <c r="I3405" i="42"/>
  <c r="I3404" i="42"/>
  <c r="I3403" i="42"/>
  <c r="I3402" i="42"/>
  <c r="I3401" i="42"/>
  <c r="I3400" i="42"/>
  <c r="I3399" i="42"/>
  <c r="I3398" i="42"/>
  <c r="I3397" i="42"/>
  <c r="I3396" i="42"/>
  <c r="I3395" i="42"/>
  <c r="I3394" i="42"/>
  <c r="I3393" i="42"/>
  <c r="I3392" i="42"/>
  <c r="I3391" i="42"/>
  <c r="I3390" i="42"/>
  <c r="I3389" i="42"/>
  <c r="I3388" i="42"/>
  <c r="I3387" i="42"/>
  <c r="I3386" i="42"/>
  <c r="I3385" i="42"/>
  <c r="I3384" i="42"/>
  <c r="I3383" i="42"/>
  <c r="I3382" i="42"/>
  <c r="I3381" i="42"/>
  <c r="I3380" i="42"/>
  <c r="I3379" i="42"/>
  <c r="I3378" i="42"/>
  <c r="I3377" i="42"/>
  <c r="I3376" i="42"/>
  <c r="I3375" i="42"/>
  <c r="I3374" i="42"/>
  <c r="I3373" i="42"/>
  <c r="I3372" i="42"/>
  <c r="I3371" i="42"/>
  <c r="I3370" i="42"/>
  <c r="I3369" i="42"/>
  <c r="I3368" i="42"/>
  <c r="I3367" i="42"/>
  <c r="I3366" i="42"/>
  <c r="I3365" i="42"/>
  <c r="I3364" i="42"/>
  <c r="I3363" i="42"/>
  <c r="I3362" i="42"/>
  <c r="I3361" i="42"/>
  <c r="I3360" i="42"/>
  <c r="I3359" i="42"/>
  <c r="I3358" i="42"/>
  <c r="I3357" i="42"/>
  <c r="I3356" i="42"/>
  <c r="I3355" i="42"/>
  <c r="I3354" i="42"/>
  <c r="I3353" i="42"/>
  <c r="I3352" i="42"/>
  <c r="I3351" i="42"/>
  <c r="I3350" i="42"/>
  <c r="I3349" i="42"/>
  <c r="I3348" i="42"/>
  <c r="I3347" i="42"/>
  <c r="I3346" i="42"/>
  <c r="I3345" i="42"/>
  <c r="I3344" i="42"/>
  <c r="I3343" i="42"/>
  <c r="I3342" i="42"/>
  <c r="I3341" i="42"/>
  <c r="I3340" i="42"/>
  <c r="I3339" i="42"/>
  <c r="I3338" i="42"/>
  <c r="I3337" i="42"/>
  <c r="I3336" i="42"/>
  <c r="I3335" i="42"/>
  <c r="I3334" i="42"/>
  <c r="I3333" i="42"/>
  <c r="I3332" i="42"/>
  <c r="I3331" i="42"/>
  <c r="I3330" i="42"/>
  <c r="I3329" i="42"/>
  <c r="I3328" i="42"/>
  <c r="I3327" i="42"/>
  <c r="I3326" i="42"/>
  <c r="I3325" i="42"/>
  <c r="I3324" i="42"/>
  <c r="I3323" i="42"/>
  <c r="I3322" i="42"/>
  <c r="I3321" i="42"/>
  <c r="I3320" i="42"/>
  <c r="I3319" i="42"/>
  <c r="I3318" i="42"/>
  <c r="I3317" i="42"/>
  <c r="I3316" i="42"/>
  <c r="I3315" i="42"/>
  <c r="I3314" i="42"/>
  <c r="I3313" i="42"/>
  <c r="I3312" i="42"/>
  <c r="I3311" i="42"/>
  <c r="I3310" i="42"/>
  <c r="I3309" i="42"/>
  <c r="I3308" i="42"/>
  <c r="I3307" i="42"/>
  <c r="I3306" i="42"/>
  <c r="I3305" i="42"/>
  <c r="I3304" i="42"/>
  <c r="I3303" i="42"/>
  <c r="I3302" i="42"/>
  <c r="I3301" i="42"/>
  <c r="I3300" i="42"/>
  <c r="I3299" i="42"/>
  <c r="I3298" i="42"/>
  <c r="I3297" i="42"/>
  <c r="I3296" i="42"/>
  <c r="I3295" i="42"/>
  <c r="I3294" i="42"/>
  <c r="I3293" i="42"/>
  <c r="I3292" i="42"/>
  <c r="I3291" i="42"/>
  <c r="I3290" i="42"/>
  <c r="I3289" i="42"/>
  <c r="I3288" i="42"/>
  <c r="I3287" i="42"/>
  <c r="I3286" i="42"/>
  <c r="I3285" i="42"/>
  <c r="I3284" i="42"/>
  <c r="I3283" i="42"/>
  <c r="I3282" i="42"/>
  <c r="I3281" i="42"/>
  <c r="I3280" i="42"/>
  <c r="I3279" i="42"/>
  <c r="I3278" i="42"/>
  <c r="I3277" i="42"/>
  <c r="I3276" i="42"/>
  <c r="I3275" i="42"/>
  <c r="I3274" i="42"/>
  <c r="I3273" i="42"/>
  <c r="I3272" i="42"/>
  <c r="I3271" i="42"/>
  <c r="I3270" i="42"/>
  <c r="I3269" i="42"/>
  <c r="I3268" i="42"/>
  <c r="I3267" i="42"/>
  <c r="I3266" i="42"/>
  <c r="I3265" i="42"/>
  <c r="I3264" i="42"/>
  <c r="I3263" i="42"/>
  <c r="I3262" i="42"/>
  <c r="I3261" i="42"/>
  <c r="I3260" i="42"/>
  <c r="I3259" i="42"/>
  <c r="I3258" i="42"/>
  <c r="I3257" i="42"/>
  <c r="I3256" i="42"/>
  <c r="I3255" i="42"/>
  <c r="I3254" i="42"/>
  <c r="I3253" i="42"/>
  <c r="I3252" i="42"/>
  <c r="I3251" i="42"/>
  <c r="I3250" i="42"/>
  <c r="I3249" i="42"/>
  <c r="I3248" i="42"/>
  <c r="I3247" i="42"/>
  <c r="I3246" i="42"/>
  <c r="I3245" i="42"/>
  <c r="I3244" i="42"/>
  <c r="I3243" i="42"/>
  <c r="I3242" i="42"/>
  <c r="I3241" i="42"/>
  <c r="I3240" i="42"/>
  <c r="I3239" i="42"/>
  <c r="I3238" i="42"/>
  <c r="I3237" i="42"/>
  <c r="I3236" i="42"/>
  <c r="I3235" i="42"/>
  <c r="I3234" i="42"/>
  <c r="I3233" i="42"/>
  <c r="I3232" i="42"/>
  <c r="I3231" i="42"/>
  <c r="I3230" i="42"/>
  <c r="I3229" i="42"/>
  <c r="I3228" i="42"/>
  <c r="I3227" i="42"/>
  <c r="I3226" i="42"/>
  <c r="I3225" i="42"/>
  <c r="I3224" i="42"/>
  <c r="I3223" i="42"/>
  <c r="I3222" i="42"/>
  <c r="I3221" i="42"/>
  <c r="I3220" i="42"/>
  <c r="I3219" i="42"/>
  <c r="I3218" i="42"/>
  <c r="I3217" i="42"/>
  <c r="I3216" i="42"/>
  <c r="I3215" i="42"/>
  <c r="I3214" i="42"/>
  <c r="I3213" i="42"/>
  <c r="I3212" i="42"/>
  <c r="I3211" i="42"/>
  <c r="I3210" i="42"/>
  <c r="I3209" i="42"/>
  <c r="I3208" i="42"/>
  <c r="I3207" i="42"/>
  <c r="I3206" i="42"/>
  <c r="I3205" i="42"/>
  <c r="I3204" i="42"/>
  <c r="I3203" i="42"/>
  <c r="I3202" i="42"/>
  <c r="I3201" i="42"/>
  <c r="I3200" i="42"/>
  <c r="I3199" i="42"/>
  <c r="I3198" i="42"/>
  <c r="I3197" i="42"/>
  <c r="I3196" i="42"/>
  <c r="I3195" i="42"/>
  <c r="I3194" i="42"/>
  <c r="I3193" i="42"/>
  <c r="I3192" i="42"/>
  <c r="I3191" i="42"/>
  <c r="I3190" i="42"/>
  <c r="I3189" i="42"/>
  <c r="I3188" i="42"/>
  <c r="I3187" i="42"/>
  <c r="I3186" i="42"/>
  <c r="I3185" i="42"/>
  <c r="I3184" i="42"/>
  <c r="I3183" i="42"/>
  <c r="I3182" i="42"/>
  <c r="I3181" i="42"/>
  <c r="I3180" i="42"/>
  <c r="I3179" i="42"/>
  <c r="I3178" i="42"/>
  <c r="I3177" i="42"/>
  <c r="I3176" i="42"/>
  <c r="I3175" i="42"/>
  <c r="I3174" i="42"/>
  <c r="I3173" i="42"/>
  <c r="I3172" i="42"/>
  <c r="I3171" i="42"/>
  <c r="I3170" i="42"/>
  <c r="I3169" i="42"/>
  <c r="I3168" i="42"/>
  <c r="I3167" i="42"/>
  <c r="I3166" i="42"/>
  <c r="I3165" i="42"/>
  <c r="I3164" i="42"/>
  <c r="I3163" i="42"/>
  <c r="I3162" i="42"/>
  <c r="I3161" i="42"/>
  <c r="I3160" i="42"/>
  <c r="I3159" i="42"/>
  <c r="I3158" i="42"/>
  <c r="I3157" i="42"/>
  <c r="I3156" i="42"/>
  <c r="I3155" i="42"/>
  <c r="I3154" i="42"/>
  <c r="I3153" i="42"/>
  <c r="I3152" i="42"/>
  <c r="I3151" i="42"/>
  <c r="I3150" i="42"/>
  <c r="I3149" i="42"/>
  <c r="I3148" i="42"/>
  <c r="I3147" i="42"/>
  <c r="I3146" i="42"/>
  <c r="I3145" i="42"/>
  <c r="I3144" i="42"/>
  <c r="I3143" i="42"/>
  <c r="I3142" i="42"/>
  <c r="I3141" i="42"/>
  <c r="I3140" i="42"/>
  <c r="I3139" i="42"/>
  <c r="I3138" i="42"/>
  <c r="I3137" i="42"/>
  <c r="I3136" i="42"/>
  <c r="I3135" i="42"/>
  <c r="I3134" i="42"/>
  <c r="I3133" i="42"/>
  <c r="I3132" i="42"/>
  <c r="I3131" i="42"/>
  <c r="I3130" i="42"/>
  <c r="I3129" i="42"/>
  <c r="I3128" i="42"/>
  <c r="I3127" i="42"/>
  <c r="I3126" i="42"/>
  <c r="I3125" i="42"/>
  <c r="I3124" i="42"/>
  <c r="I3123" i="42"/>
  <c r="I3122" i="42"/>
  <c r="I3121" i="42"/>
  <c r="I3120" i="42"/>
  <c r="I3119" i="42"/>
  <c r="I3118" i="42"/>
  <c r="I3117" i="42"/>
  <c r="I3116" i="42"/>
  <c r="I3115" i="42"/>
  <c r="I3114" i="42"/>
  <c r="I3113" i="42"/>
  <c r="I3112" i="42"/>
  <c r="I3111" i="42"/>
  <c r="I3110" i="42"/>
  <c r="I3109" i="42"/>
  <c r="I3108" i="42"/>
  <c r="I3107" i="42"/>
  <c r="I3106" i="42"/>
  <c r="I3105" i="42"/>
  <c r="I3104" i="42"/>
  <c r="I3103" i="42"/>
  <c r="I3102" i="42"/>
  <c r="I3101" i="42"/>
  <c r="I3100" i="42"/>
  <c r="I3099" i="42"/>
  <c r="I3098" i="42"/>
  <c r="I3097" i="42"/>
  <c r="I3096" i="42"/>
  <c r="I3095" i="42"/>
  <c r="I3094" i="42"/>
  <c r="I3093" i="42"/>
  <c r="I3092" i="42"/>
  <c r="I3091" i="42"/>
  <c r="I3090" i="42"/>
  <c r="I3089" i="42"/>
  <c r="I3088" i="42"/>
  <c r="I3087" i="42"/>
  <c r="I3086" i="42"/>
  <c r="I3085" i="42"/>
  <c r="I3084" i="42"/>
  <c r="I3083" i="42"/>
  <c r="I3082" i="42"/>
  <c r="I3081" i="42"/>
  <c r="I3080" i="42"/>
  <c r="I3079" i="42"/>
  <c r="I3078" i="42"/>
  <c r="I3077" i="42"/>
  <c r="I3076" i="42"/>
  <c r="I3075" i="42"/>
  <c r="I3074" i="42"/>
  <c r="I3073" i="42"/>
  <c r="I3072" i="42"/>
  <c r="I3071" i="42"/>
  <c r="I3070" i="42"/>
  <c r="I3069" i="42"/>
  <c r="I3068" i="42"/>
  <c r="I3067" i="42"/>
  <c r="I3066" i="42"/>
  <c r="I3065" i="42"/>
  <c r="I3064" i="42"/>
  <c r="I3063" i="42"/>
  <c r="I3062" i="42"/>
  <c r="I3061" i="42"/>
  <c r="I3060" i="42"/>
  <c r="I3059" i="42"/>
  <c r="I3058" i="42"/>
  <c r="I3057" i="42"/>
  <c r="I3056" i="42"/>
  <c r="I3055" i="42"/>
  <c r="I3054" i="42"/>
  <c r="I3053" i="42"/>
  <c r="I3052" i="42"/>
  <c r="I3051" i="42"/>
  <c r="I3050" i="42"/>
  <c r="I3049" i="42"/>
  <c r="I3048" i="42"/>
  <c r="I3047" i="42"/>
  <c r="I3046" i="42"/>
  <c r="I3045" i="42"/>
  <c r="I3044" i="42"/>
  <c r="I3043" i="42"/>
  <c r="I3042" i="42"/>
  <c r="I3041" i="42"/>
  <c r="I3040" i="42"/>
  <c r="I3039" i="42"/>
  <c r="I3038" i="42"/>
  <c r="I3037" i="42"/>
  <c r="I3036" i="42"/>
  <c r="I3035" i="42"/>
  <c r="I3034" i="42"/>
  <c r="I3033" i="42"/>
  <c r="I3032" i="42"/>
  <c r="I3031" i="42"/>
  <c r="I3030" i="42"/>
  <c r="I3029" i="42"/>
  <c r="I3028" i="42"/>
  <c r="I3027" i="42"/>
  <c r="I3026" i="42"/>
  <c r="I3025" i="42"/>
  <c r="I3024" i="42"/>
  <c r="I3023" i="42"/>
  <c r="I3022" i="42"/>
  <c r="I3021" i="42"/>
  <c r="I3020" i="42"/>
  <c r="I3019" i="42"/>
  <c r="I3018" i="42"/>
  <c r="I3017" i="42"/>
  <c r="I3016" i="42"/>
  <c r="I3015" i="42"/>
  <c r="I3014" i="42"/>
  <c r="I3013" i="42"/>
  <c r="I3012" i="42"/>
  <c r="I3011" i="42"/>
  <c r="I3010" i="42"/>
  <c r="I3009" i="42"/>
  <c r="I3008" i="42"/>
  <c r="I3007" i="42"/>
  <c r="I3006" i="42"/>
  <c r="I3005" i="42"/>
  <c r="I3004" i="42"/>
  <c r="I3003" i="42"/>
  <c r="I3002" i="42"/>
  <c r="I3001" i="42"/>
  <c r="I3000" i="42"/>
  <c r="I2999" i="42"/>
  <c r="I2998" i="42"/>
  <c r="I2997" i="42"/>
  <c r="I2996" i="42"/>
  <c r="I2995" i="42"/>
  <c r="I2994" i="42"/>
  <c r="I2993" i="42"/>
  <c r="I2992" i="42"/>
  <c r="I2991" i="42"/>
  <c r="I2990" i="42"/>
  <c r="I2989" i="42"/>
  <c r="I2988" i="42"/>
  <c r="I2987" i="42"/>
  <c r="I2986" i="42"/>
  <c r="I2985" i="42"/>
  <c r="I2984" i="42"/>
  <c r="I2983" i="42"/>
  <c r="I2982" i="42"/>
  <c r="I2981" i="42"/>
  <c r="I2980" i="42"/>
  <c r="I2979" i="42"/>
  <c r="I2978" i="42"/>
  <c r="I2977" i="42"/>
  <c r="I2976" i="42"/>
  <c r="I2975" i="42"/>
  <c r="I2974" i="42"/>
  <c r="I2973" i="42"/>
  <c r="I2972" i="42"/>
  <c r="I2971" i="42"/>
  <c r="I2970" i="42"/>
  <c r="I2969" i="42"/>
  <c r="I2968" i="42"/>
  <c r="I2967" i="42"/>
  <c r="I2966" i="42"/>
  <c r="I2965" i="42"/>
  <c r="I2964" i="42"/>
  <c r="I2963" i="42"/>
  <c r="I2962" i="42"/>
  <c r="I2961" i="42"/>
  <c r="I2960" i="42"/>
  <c r="I2959" i="42"/>
  <c r="I2958" i="42"/>
  <c r="I2957" i="42"/>
  <c r="I2956" i="42"/>
  <c r="I2955" i="42"/>
  <c r="I2954" i="42"/>
  <c r="I2953" i="42"/>
  <c r="I2952" i="42"/>
  <c r="I2951" i="42"/>
  <c r="I2950" i="42"/>
  <c r="I2949" i="42"/>
  <c r="I2948" i="42"/>
  <c r="I2947" i="42"/>
  <c r="I2946" i="42"/>
  <c r="I2945" i="42"/>
  <c r="I2944" i="42"/>
  <c r="I2943" i="42"/>
  <c r="I2942" i="42"/>
  <c r="I2941" i="42"/>
  <c r="I2940" i="42"/>
  <c r="I2939" i="42"/>
  <c r="I2938" i="42"/>
  <c r="I2937" i="42"/>
  <c r="I2936" i="42"/>
  <c r="I2935" i="42"/>
  <c r="I2934" i="42"/>
  <c r="I2933" i="42"/>
  <c r="I2932" i="42"/>
  <c r="I2931" i="42"/>
  <c r="I2930" i="42"/>
  <c r="I2929" i="42"/>
  <c r="I2928" i="42"/>
  <c r="I2927" i="42"/>
  <c r="I2926" i="42"/>
  <c r="I2925" i="42"/>
  <c r="I2924" i="42"/>
  <c r="I2923" i="42"/>
  <c r="I2922" i="42"/>
  <c r="I2921" i="42"/>
  <c r="I2920" i="42"/>
  <c r="I2919" i="42"/>
  <c r="I2918" i="42"/>
  <c r="I2917" i="42"/>
  <c r="I2916" i="42"/>
  <c r="I2915" i="42"/>
  <c r="I2914" i="42"/>
  <c r="I2913" i="42"/>
  <c r="I2912" i="42"/>
  <c r="I2911" i="42"/>
  <c r="I2910" i="42"/>
  <c r="I2909" i="42"/>
  <c r="I2908" i="42"/>
  <c r="I2907" i="42"/>
  <c r="I2906" i="42"/>
  <c r="I2905" i="42"/>
  <c r="I2904" i="42"/>
  <c r="I2903" i="42"/>
  <c r="I2902" i="42"/>
  <c r="I2901" i="42"/>
  <c r="I2900" i="42"/>
  <c r="I2899" i="42"/>
  <c r="I2898" i="42"/>
  <c r="I2897" i="42"/>
  <c r="I2896" i="42"/>
  <c r="I2895" i="42"/>
  <c r="I2894" i="42"/>
  <c r="I2893" i="42"/>
  <c r="I2892" i="42"/>
  <c r="I2891" i="42"/>
  <c r="I2890" i="42"/>
  <c r="I2889" i="42"/>
  <c r="I2888" i="42"/>
  <c r="I2887" i="42"/>
  <c r="I2886" i="42"/>
  <c r="I2885" i="42"/>
  <c r="I2884" i="42"/>
  <c r="I2883" i="42"/>
  <c r="I2882" i="42"/>
  <c r="I2881" i="42"/>
  <c r="I2880" i="42"/>
  <c r="I2879" i="42"/>
  <c r="I2878" i="42"/>
  <c r="I2877" i="42"/>
  <c r="I2876" i="42"/>
  <c r="I2875" i="42"/>
  <c r="I2874" i="42"/>
  <c r="I2873" i="42"/>
  <c r="I2872" i="42"/>
  <c r="I2871" i="42"/>
  <c r="I2870" i="42"/>
  <c r="I2869" i="42"/>
  <c r="I2868" i="42"/>
  <c r="I2867" i="42"/>
  <c r="I2866" i="42"/>
  <c r="I2865" i="42"/>
  <c r="I2864" i="42"/>
  <c r="I2863" i="42"/>
  <c r="I2862" i="42"/>
  <c r="I2861" i="42"/>
  <c r="I2860" i="42"/>
  <c r="I2859" i="42"/>
  <c r="I2858" i="42"/>
  <c r="I2857" i="42"/>
  <c r="I2856" i="42"/>
  <c r="I2855" i="42"/>
  <c r="I2854" i="42"/>
  <c r="I2853" i="42"/>
  <c r="I2852" i="42"/>
  <c r="I2851" i="42"/>
  <c r="I2850" i="42"/>
  <c r="I2849" i="42"/>
  <c r="I2848" i="42"/>
  <c r="I2847" i="42"/>
  <c r="I2846" i="42"/>
  <c r="I2845" i="42"/>
  <c r="I2844" i="42"/>
  <c r="I2843" i="42"/>
  <c r="I2842" i="42"/>
  <c r="I2841" i="42"/>
  <c r="I2840" i="42"/>
  <c r="I2839" i="42"/>
  <c r="I2838" i="42"/>
  <c r="I2837" i="42"/>
  <c r="I2836" i="42"/>
  <c r="I2835" i="42"/>
  <c r="I2834" i="42"/>
  <c r="I2833" i="42"/>
  <c r="I2832" i="42"/>
  <c r="I2831" i="42"/>
  <c r="I2830" i="42"/>
  <c r="I2829" i="42"/>
  <c r="I2828" i="42"/>
  <c r="I2827" i="42"/>
  <c r="I2826" i="42"/>
  <c r="I2825" i="42"/>
  <c r="I2824" i="42"/>
  <c r="I2823" i="42"/>
  <c r="I2822" i="42"/>
  <c r="I2821" i="42"/>
  <c r="I2820" i="42"/>
  <c r="I2819" i="42"/>
  <c r="I2818" i="42"/>
  <c r="I2817" i="42"/>
  <c r="I2816" i="42"/>
  <c r="I2815" i="42"/>
  <c r="I2814" i="42"/>
  <c r="I2813" i="42"/>
  <c r="I2812" i="42"/>
  <c r="I2811" i="42"/>
  <c r="I2810" i="42"/>
  <c r="I2809" i="42"/>
  <c r="I2808" i="42"/>
  <c r="I2807" i="42"/>
  <c r="I2806" i="42"/>
  <c r="I2805" i="42"/>
  <c r="I2804" i="42"/>
  <c r="I2803" i="42"/>
  <c r="I2802" i="42"/>
  <c r="I2801" i="42"/>
  <c r="I2800" i="42"/>
  <c r="I2799" i="42"/>
  <c r="I2798" i="42"/>
  <c r="I2797" i="42"/>
  <c r="I2796" i="42"/>
  <c r="I2795" i="42"/>
  <c r="I2794" i="42"/>
  <c r="I2793" i="42"/>
  <c r="I2792" i="42"/>
  <c r="I2791" i="42"/>
  <c r="I2790" i="42"/>
  <c r="I2789" i="42"/>
  <c r="I2788" i="42"/>
  <c r="I2787" i="42"/>
  <c r="I2786" i="42"/>
  <c r="I2785" i="42"/>
  <c r="I2784" i="42"/>
  <c r="I2783" i="42"/>
  <c r="I2782" i="42"/>
  <c r="I2781" i="42"/>
  <c r="I2780" i="42"/>
  <c r="I2779" i="42"/>
  <c r="I2778" i="42"/>
  <c r="I2777" i="42"/>
  <c r="I2776" i="42"/>
  <c r="I2775" i="42"/>
  <c r="I2774" i="42"/>
  <c r="I2773" i="42"/>
  <c r="I2772" i="42"/>
  <c r="I2771" i="42"/>
  <c r="I2770" i="42"/>
  <c r="I2769" i="42"/>
  <c r="I2768" i="42"/>
  <c r="I2767" i="42"/>
  <c r="I2766" i="42"/>
  <c r="I2765" i="42"/>
  <c r="I2764" i="42"/>
  <c r="I2763" i="42"/>
  <c r="I2762" i="42"/>
  <c r="I2761" i="42"/>
  <c r="I2760" i="42"/>
  <c r="I2759" i="42"/>
  <c r="I2758" i="42"/>
  <c r="I2757" i="42"/>
  <c r="I2756" i="42"/>
  <c r="I2755" i="42"/>
  <c r="I2754" i="42"/>
  <c r="I2753" i="42"/>
  <c r="I2752" i="42"/>
  <c r="I2751" i="42"/>
  <c r="I2750" i="42"/>
  <c r="I2749" i="42"/>
  <c r="I2748" i="42"/>
  <c r="I2747" i="42"/>
  <c r="I2746" i="42"/>
  <c r="I2745" i="42"/>
  <c r="I2744" i="42"/>
  <c r="I2743" i="42"/>
  <c r="I2742" i="42"/>
  <c r="I2741" i="42"/>
  <c r="I2740" i="42"/>
  <c r="I2739" i="42"/>
  <c r="I2738" i="42"/>
  <c r="I2737" i="42"/>
  <c r="I2736" i="42"/>
  <c r="I2735" i="42"/>
  <c r="I2734" i="42"/>
  <c r="I2733" i="42"/>
  <c r="I2732" i="42"/>
  <c r="I2731" i="42"/>
  <c r="I2730" i="42"/>
  <c r="I2729" i="42"/>
  <c r="I2728" i="42"/>
  <c r="I2727" i="42"/>
  <c r="I2726" i="42"/>
  <c r="I2725" i="42"/>
  <c r="I2724" i="42"/>
  <c r="I2723" i="42"/>
  <c r="I2722" i="42"/>
  <c r="I2721" i="42"/>
  <c r="I2720" i="42"/>
  <c r="I2719" i="42"/>
  <c r="I2718" i="42"/>
  <c r="I2717" i="42"/>
  <c r="I2716" i="42"/>
  <c r="I2715" i="42"/>
  <c r="I2714" i="42"/>
  <c r="I2713" i="42"/>
  <c r="I2712" i="42"/>
  <c r="I2711" i="42"/>
  <c r="I2710" i="42"/>
  <c r="I2709" i="42"/>
  <c r="I2708" i="42"/>
  <c r="I2707" i="42"/>
  <c r="I2706" i="42"/>
  <c r="I2705" i="42"/>
  <c r="I2704" i="42"/>
  <c r="I2703" i="42"/>
  <c r="I2702" i="42"/>
  <c r="I2701" i="42"/>
  <c r="I2700" i="42"/>
  <c r="I2699" i="42"/>
  <c r="I2698" i="42"/>
  <c r="I2697" i="42"/>
  <c r="I2696" i="42"/>
  <c r="I2695" i="42"/>
  <c r="I2694" i="42"/>
  <c r="I2693" i="42"/>
  <c r="I2692" i="42"/>
  <c r="I2691" i="42"/>
  <c r="I2690" i="42"/>
  <c r="I2689" i="42"/>
  <c r="I2688" i="42"/>
  <c r="I2687" i="42"/>
  <c r="I2686" i="42"/>
  <c r="I2685" i="42"/>
  <c r="I2684" i="42"/>
  <c r="I2683" i="42"/>
  <c r="I2682" i="42"/>
  <c r="I2681" i="42"/>
  <c r="I2680" i="42"/>
  <c r="I2679" i="42"/>
  <c r="I2678" i="42"/>
  <c r="I2677" i="42"/>
  <c r="I2676" i="42"/>
  <c r="I2675" i="42"/>
  <c r="I2674" i="42"/>
  <c r="I2673" i="42"/>
  <c r="I2672" i="42"/>
  <c r="I2671" i="42"/>
  <c r="I2670" i="42"/>
  <c r="I2669" i="42"/>
  <c r="I2668" i="42"/>
  <c r="I2667" i="42"/>
  <c r="I2666" i="42"/>
  <c r="I2665" i="42"/>
  <c r="I2664" i="42"/>
  <c r="I2663" i="42"/>
  <c r="I2662" i="42"/>
  <c r="I2661" i="42"/>
  <c r="I2660" i="42"/>
  <c r="I2659" i="42"/>
  <c r="I2658" i="42"/>
  <c r="I2657" i="42"/>
  <c r="I2656" i="42"/>
  <c r="I2655" i="42"/>
  <c r="I2654" i="42"/>
  <c r="I2653" i="42"/>
  <c r="I2652" i="42"/>
  <c r="I2651" i="42"/>
  <c r="I2650" i="42"/>
  <c r="I2649" i="42"/>
  <c r="I2648" i="42"/>
  <c r="I2647" i="42"/>
  <c r="I2646" i="42"/>
  <c r="I2645" i="42"/>
  <c r="I2644" i="42"/>
  <c r="I2643" i="42"/>
  <c r="I2642" i="42"/>
  <c r="I2641" i="42"/>
  <c r="I2640" i="42"/>
  <c r="I2639" i="42"/>
  <c r="I2638" i="42"/>
  <c r="I2637" i="42"/>
  <c r="I2636" i="42"/>
  <c r="I2635" i="42"/>
  <c r="I2634" i="42"/>
  <c r="I2633" i="42"/>
  <c r="I2632" i="42"/>
  <c r="I2631" i="42"/>
  <c r="I2630" i="42"/>
  <c r="I2629" i="42"/>
  <c r="I2628" i="42"/>
  <c r="I2627" i="42"/>
  <c r="I2626" i="42"/>
  <c r="I2625" i="42"/>
  <c r="I2624" i="42"/>
  <c r="I2623" i="42"/>
  <c r="I2622" i="42"/>
  <c r="I2621" i="42"/>
  <c r="I2620" i="42"/>
  <c r="I2619" i="42"/>
  <c r="I2618" i="42"/>
  <c r="I2617" i="42"/>
  <c r="I2616" i="42"/>
  <c r="I2615" i="42"/>
  <c r="I2614" i="42"/>
  <c r="I2613" i="42"/>
  <c r="I2612" i="42"/>
  <c r="I2611" i="42"/>
  <c r="I2610" i="42"/>
  <c r="I2609" i="42"/>
  <c r="I2608" i="42"/>
  <c r="I2607" i="42"/>
  <c r="I2606" i="42"/>
  <c r="I2605" i="42"/>
  <c r="I2604" i="42"/>
  <c r="I2603" i="42"/>
  <c r="I2602" i="42"/>
  <c r="I2601" i="42"/>
  <c r="I2600" i="42"/>
  <c r="I2599" i="42"/>
  <c r="I2598" i="42"/>
  <c r="I2597" i="42"/>
  <c r="I2596" i="42"/>
  <c r="I2595" i="42"/>
  <c r="I2594" i="42"/>
  <c r="I2593" i="42"/>
  <c r="I2592" i="42"/>
  <c r="I2591" i="42"/>
  <c r="I2590" i="42"/>
  <c r="I2589" i="42"/>
  <c r="I2588" i="42"/>
  <c r="I2587" i="42"/>
  <c r="I2586" i="42"/>
  <c r="I2585" i="42"/>
  <c r="I2584" i="42"/>
  <c r="I2583" i="42"/>
  <c r="I2582" i="42"/>
  <c r="I2581" i="42"/>
  <c r="I2580" i="42"/>
  <c r="I2579" i="42"/>
  <c r="I2578" i="42"/>
  <c r="I2577" i="42"/>
  <c r="I2576" i="42"/>
  <c r="I2575" i="42"/>
  <c r="I2574" i="42"/>
  <c r="I2573" i="42"/>
  <c r="I2572" i="42"/>
  <c r="I2571" i="42"/>
  <c r="I2570" i="42"/>
  <c r="I2569" i="42"/>
  <c r="I2568" i="42"/>
  <c r="I2567" i="42"/>
  <c r="I2566" i="42"/>
  <c r="I2565" i="42"/>
  <c r="I2564" i="42"/>
  <c r="I2563" i="42"/>
  <c r="I2562" i="42"/>
  <c r="I2561" i="42"/>
  <c r="I2560" i="42"/>
  <c r="I2559" i="42"/>
  <c r="I2558" i="42"/>
  <c r="I2557" i="42"/>
  <c r="I2556" i="42"/>
  <c r="I2555" i="42"/>
  <c r="I2554" i="42"/>
  <c r="I2553" i="42"/>
  <c r="I2552" i="42"/>
  <c r="I2551" i="42"/>
  <c r="I2550" i="42"/>
  <c r="I2549" i="42"/>
  <c r="I2548" i="42"/>
  <c r="I2547" i="42"/>
  <c r="I2546" i="42"/>
  <c r="I2545" i="42"/>
  <c r="I2544" i="42"/>
  <c r="I2543" i="42"/>
  <c r="I2542" i="42"/>
  <c r="I2541" i="42"/>
  <c r="I2540" i="42"/>
  <c r="I2539" i="42"/>
  <c r="I2538" i="42"/>
  <c r="I2537" i="42"/>
  <c r="I2536" i="42"/>
  <c r="I2535" i="42"/>
  <c r="I2534" i="42"/>
  <c r="I2533" i="42"/>
  <c r="I2532" i="42"/>
  <c r="I2531" i="42"/>
  <c r="I2530" i="42"/>
  <c r="I2529" i="42"/>
  <c r="I2528" i="42"/>
  <c r="I2527" i="42"/>
  <c r="I2526" i="42"/>
  <c r="I2525" i="42"/>
  <c r="I2524" i="42"/>
  <c r="I2523" i="42"/>
  <c r="I2522" i="42"/>
  <c r="I2521" i="42"/>
  <c r="I2520" i="42"/>
  <c r="I2519" i="42"/>
  <c r="I2518" i="42"/>
  <c r="I2517" i="42"/>
  <c r="I2516" i="42"/>
  <c r="I2515" i="42"/>
  <c r="I2514" i="42"/>
  <c r="I2513" i="42"/>
  <c r="I2512" i="42"/>
  <c r="I2511" i="42"/>
  <c r="I2510" i="42"/>
  <c r="I2509" i="42"/>
  <c r="I2508" i="42"/>
  <c r="I2507" i="42"/>
  <c r="I2506" i="42"/>
  <c r="I2505" i="42"/>
  <c r="I2504" i="42"/>
  <c r="I2503" i="42"/>
  <c r="I2502" i="42"/>
  <c r="I2501" i="42"/>
  <c r="I2500" i="42"/>
  <c r="I2499" i="42"/>
  <c r="I2498" i="42"/>
  <c r="I2497" i="42"/>
  <c r="I2496" i="42"/>
  <c r="I2495" i="42"/>
  <c r="I2494" i="42"/>
  <c r="I2493" i="42"/>
  <c r="I2492" i="42"/>
  <c r="I2491" i="42"/>
  <c r="I2490" i="42"/>
  <c r="I2489" i="42"/>
  <c r="I2488" i="42"/>
  <c r="I2487" i="42"/>
  <c r="I2486" i="42"/>
  <c r="I2485" i="42"/>
  <c r="I2484" i="42"/>
  <c r="I2483" i="42"/>
  <c r="I2482" i="42"/>
  <c r="I2481" i="42"/>
  <c r="I2480" i="42"/>
  <c r="I2479" i="42"/>
  <c r="I2478" i="42"/>
  <c r="I2477" i="42"/>
  <c r="I2476" i="42"/>
  <c r="I2475" i="42"/>
  <c r="I2474" i="42"/>
  <c r="I2473" i="42"/>
  <c r="I2472" i="42"/>
  <c r="I2471" i="42"/>
  <c r="I2470" i="42"/>
  <c r="I2469" i="42"/>
  <c r="I2468" i="42"/>
  <c r="I2467" i="42"/>
  <c r="I2466" i="42"/>
  <c r="I2465" i="42"/>
  <c r="I2464" i="42"/>
  <c r="I2463" i="42"/>
  <c r="I2462" i="42"/>
  <c r="I2461" i="42"/>
  <c r="I2460" i="42"/>
  <c r="I2459" i="42"/>
  <c r="I2458" i="42"/>
  <c r="I2457" i="42"/>
  <c r="I2456" i="42"/>
  <c r="I2455" i="42"/>
  <c r="I2454" i="42"/>
  <c r="I2453" i="42"/>
  <c r="I2452" i="42"/>
  <c r="I2451" i="42"/>
  <c r="I2450" i="42"/>
  <c r="I2449" i="42"/>
  <c r="I2448" i="42"/>
  <c r="I2447" i="42"/>
  <c r="I2446" i="42"/>
  <c r="I2445" i="42"/>
  <c r="I2444" i="42"/>
  <c r="I2443" i="42"/>
  <c r="I2442" i="42"/>
  <c r="I2441" i="42"/>
  <c r="I2440" i="42"/>
  <c r="I2439" i="42"/>
  <c r="I2438" i="42"/>
  <c r="I2437" i="42"/>
  <c r="I2436" i="42"/>
  <c r="I2435" i="42"/>
  <c r="I2434" i="42"/>
  <c r="I2433" i="42"/>
  <c r="I2432" i="42"/>
  <c r="I2431" i="42"/>
  <c r="I2430" i="42"/>
  <c r="I2429" i="42"/>
  <c r="I2428" i="42"/>
  <c r="I2427" i="42"/>
  <c r="I2426" i="42"/>
  <c r="I2425" i="42"/>
  <c r="I2424" i="42"/>
  <c r="I2423" i="42"/>
  <c r="I2422" i="42"/>
  <c r="I2421" i="42"/>
  <c r="I2420" i="42"/>
  <c r="I2419" i="42"/>
  <c r="I2418" i="42"/>
  <c r="I2417" i="42"/>
  <c r="I2416" i="42"/>
  <c r="I2415" i="42"/>
  <c r="I2414" i="42"/>
  <c r="I2413" i="42"/>
  <c r="I2412" i="42"/>
  <c r="I2411" i="42"/>
  <c r="I2410" i="42"/>
  <c r="I2409" i="42"/>
  <c r="I2408" i="42"/>
  <c r="I2407" i="42"/>
  <c r="I2406" i="42"/>
  <c r="I2405" i="42"/>
  <c r="I2404" i="42"/>
  <c r="I2403" i="42"/>
  <c r="I2402" i="42"/>
  <c r="I2401" i="42"/>
  <c r="I2400" i="42"/>
  <c r="I2399" i="42"/>
  <c r="I2398" i="42"/>
  <c r="I2397" i="42"/>
  <c r="I2396" i="42"/>
  <c r="I2395" i="42"/>
  <c r="I2394" i="42"/>
  <c r="I2393" i="42"/>
  <c r="I2392" i="42"/>
  <c r="I2391" i="42"/>
  <c r="I2390" i="42"/>
  <c r="I2389" i="42"/>
  <c r="I2388" i="42"/>
  <c r="I2387" i="42"/>
  <c r="I2386" i="42"/>
  <c r="I2385" i="42"/>
  <c r="I2384" i="42"/>
  <c r="I2383" i="42"/>
  <c r="I2382" i="42"/>
  <c r="I2381" i="42"/>
  <c r="I2380" i="42"/>
  <c r="I2379" i="42"/>
  <c r="I2378" i="42"/>
  <c r="I2377" i="42"/>
  <c r="I2376" i="42"/>
  <c r="I2375" i="42"/>
  <c r="I2374" i="42"/>
  <c r="I2373" i="42"/>
  <c r="I2372" i="42"/>
  <c r="I2371" i="42"/>
  <c r="I2370" i="42"/>
  <c r="I2369" i="42"/>
  <c r="I2368" i="42"/>
  <c r="I2367" i="42"/>
  <c r="I2366" i="42"/>
  <c r="I2365" i="42"/>
  <c r="I2364" i="42"/>
  <c r="I2363" i="42"/>
  <c r="I2362" i="42"/>
  <c r="I2361" i="42"/>
  <c r="I2360" i="42"/>
  <c r="I2359" i="42"/>
  <c r="I2358" i="42"/>
  <c r="I2357" i="42"/>
  <c r="I2356" i="42"/>
  <c r="I2355" i="42"/>
  <c r="I2354" i="42"/>
  <c r="I2353" i="42"/>
  <c r="I2352" i="42"/>
  <c r="I2351" i="42"/>
  <c r="I2350" i="42"/>
  <c r="I2349" i="42"/>
  <c r="I2348" i="42"/>
  <c r="I2347" i="42"/>
  <c r="I2346" i="42"/>
  <c r="I2345" i="42"/>
  <c r="I2344" i="42"/>
  <c r="I2343" i="42"/>
  <c r="I2342" i="42"/>
  <c r="I2341" i="42"/>
  <c r="I2340" i="42"/>
  <c r="I2339" i="42"/>
  <c r="I2338" i="42"/>
  <c r="I2337" i="42"/>
  <c r="I2336" i="42"/>
  <c r="I2335" i="42"/>
  <c r="I2334" i="42"/>
  <c r="I2333" i="42"/>
  <c r="I2332" i="42"/>
  <c r="I2331" i="42"/>
  <c r="I2330" i="42"/>
  <c r="I2329" i="42"/>
  <c r="I2328" i="42"/>
  <c r="I2327" i="42"/>
  <c r="I2326" i="42"/>
  <c r="I2325" i="42"/>
  <c r="I2324" i="42"/>
  <c r="I2323" i="42"/>
  <c r="I2322" i="42"/>
  <c r="I2321" i="42"/>
  <c r="I2320" i="42"/>
  <c r="I2319" i="42"/>
  <c r="I2318" i="42"/>
  <c r="I2317" i="42"/>
  <c r="I2316" i="42"/>
  <c r="I2315" i="42"/>
  <c r="I2314" i="42"/>
  <c r="I2313" i="42"/>
  <c r="I2312" i="42"/>
  <c r="I2311" i="42"/>
  <c r="I2310" i="42"/>
  <c r="I2309" i="42"/>
  <c r="I2308" i="42"/>
  <c r="I2307" i="42"/>
  <c r="I2306" i="42"/>
  <c r="I2305" i="42"/>
  <c r="I2304" i="42"/>
  <c r="I2303" i="42"/>
  <c r="I2302" i="42"/>
  <c r="I2301" i="42"/>
  <c r="I2300" i="42"/>
  <c r="I2299" i="42"/>
  <c r="I2298" i="42"/>
  <c r="I2297" i="42"/>
  <c r="I2296" i="42"/>
  <c r="I2295" i="42"/>
  <c r="I2294" i="42"/>
  <c r="I2293" i="42"/>
  <c r="I2292" i="42"/>
  <c r="I2291" i="42"/>
  <c r="I2290" i="42"/>
  <c r="I2289" i="42"/>
  <c r="I2288" i="42"/>
  <c r="I2287" i="42"/>
  <c r="I2286" i="42"/>
  <c r="I2285" i="42"/>
  <c r="I2284" i="42"/>
  <c r="I2283" i="42"/>
  <c r="I2282" i="42"/>
  <c r="I2281" i="42"/>
  <c r="I2280" i="42"/>
  <c r="I2279" i="42"/>
  <c r="I2278" i="42"/>
  <c r="I2277" i="42"/>
  <c r="I2276" i="42"/>
  <c r="I2275" i="42"/>
  <c r="I2274" i="42"/>
  <c r="I2273" i="42"/>
  <c r="I2272" i="42"/>
  <c r="I2271" i="42"/>
  <c r="I2270" i="42"/>
  <c r="I2269" i="42"/>
  <c r="I2268" i="42"/>
  <c r="I2267" i="42"/>
  <c r="I2266" i="42"/>
  <c r="I2265" i="42"/>
  <c r="I2264" i="42"/>
  <c r="I2263" i="42"/>
  <c r="I2262" i="42"/>
  <c r="I2261" i="42"/>
  <c r="I2260" i="42"/>
  <c r="I2259" i="42"/>
  <c r="I2258" i="42"/>
  <c r="I2257" i="42"/>
  <c r="I2256" i="42"/>
  <c r="I2255" i="42"/>
  <c r="I2254" i="42"/>
  <c r="I2253" i="42"/>
  <c r="I2252" i="42"/>
  <c r="I2251" i="42"/>
  <c r="I2250" i="42"/>
  <c r="I2249" i="42"/>
  <c r="I2248" i="42"/>
  <c r="I2247" i="42"/>
  <c r="I2246" i="42"/>
  <c r="I2245" i="42"/>
  <c r="I2244" i="42"/>
  <c r="I2243" i="42"/>
  <c r="I2242" i="42"/>
  <c r="I2241" i="42"/>
  <c r="I2240" i="42"/>
  <c r="I2239" i="42"/>
  <c r="I2238" i="42"/>
  <c r="I2237" i="42"/>
  <c r="I2236" i="42"/>
  <c r="I2235" i="42"/>
  <c r="I2234" i="42"/>
  <c r="I2233" i="42"/>
  <c r="I2232" i="42"/>
  <c r="I2231" i="42"/>
  <c r="I2230" i="42"/>
  <c r="I2229" i="42"/>
  <c r="I2228" i="42"/>
  <c r="I2227" i="42"/>
  <c r="I2226" i="42"/>
  <c r="I2225" i="42"/>
  <c r="I2224" i="42"/>
  <c r="I2223" i="42"/>
  <c r="I2222" i="42"/>
  <c r="I2221" i="42"/>
  <c r="I2220" i="42"/>
  <c r="I2219" i="42"/>
  <c r="I2218" i="42"/>
  <c r="I2217" i="42"/>
  <c r="I2216" i="42"/>
  <c r="I2215" i="42"/>
  <c r="I2214" i="42"/>
  <c r="I2213" i="42"/>
  <c r="I2212" i="42"/>
  <c r="I2211" i="42"/>
  <c r="I2210" i="42"/>
  <c r="I2209" i="42"/>
  <c r="I2208" i="42"/>
  <c r="I2207" i="42"/>
  <c r="I2206" i="42"/>
  <c r="I2205" i="42"/>
  <c r="I2204" i="42"/>
  <c r="I2203" i="42"/>
  <c r="I2202" i="42"/>
  <c r="I2201" i="42"/>
  <c r="I2200" i="42"/>
  <c r="I2199" i="42"/>
  <c r="I2198" i="42"/>
  <c r="I2197" i="42"/>
  <c r="I2196" i="42"/>
  <c r="I2195" i="42"/>
  <c r="I2194" i="42"/>
  <c r="I2193" i="42"/>
  <c r="I2192" i="42"/>
  <c r="I2191" i="42"/>
  <c r="I2190" i="42"/>
  <c r="I2189" i="42"/>
  <c r="I2188" i="42"/>
  <c r="I2187" i="42"/>
  <c r="I2186" i="42"/>
  <c r="I2185" i="42"/>
  <c r="I2184" i="42"/>
  <c r="I2183" i="42"/>
  <c r="I2182" i="42"/>
  <c r="I2181" i="42"/>
  <c r="I2180" i="42"/>
  <c r="I2179" i="42"/>
  <c r="I2178" i="42"/>
  <c r="I2177" i="42"/>
  <c r="I2176" i="42"/>
  <c r="I2175" i="42"/>
  <c r="I2174" i="42"/>
  <c r="I2173" i="42"/>
  <c r="I2172" i="42"/>
  <c r="I2171" i="42"/>
  <c r="I2170" i="42"/>
  <c r="I2169" i="42"/>
  <c r="I2168" i="42"/>
  <c r="I2167" i="42"/>
  <c r="I2166" i="42"/>
  <c r="I2165" i="42"/>
  <c r="I2164" i="42"/>
  <c r="I2163" i="42"/>
  <c r="I2162" i="42"/>
  <c r="I2161" i="42"/>
  <c r="I2160" i="42"/>
  <c r="I2159" i="42"/>
  <c r="I2158" i="42"/>
  <c r="I2157" i="42"/>
  <c r="I2156" i="42"/>
  <c r="I2155" i="42"/>
  <c r="I2154" i="42"/>
  <c r="I2153" i="42"/>
  <c r="I2152" i="42"/>
  <c r="I2151" i="42"/>
  <c r="I2150" i="42"/>
  <c r="I2149" i="42"/>
  <c r="I2148" i="42"/>
  <c r="I2147" i="42"/>
  <c r="I2146" i="42"/>
  <c r="I2145" i="42"/>
  <c r="I2144" i="42"/>
  <c r="I2143" i="42"/>
  <c r="I2142" i="42"/>
  <c r="I2141" i="42"/>
  <c r="I2140" i="42"/>
  <c r="I2139" i="42"/>
  <c r="I2138" i="42"/>
  <c r="I2137" i="42"/>
  <c r="I2136" i="42"/>
  <c r="I2135" i="42"/>
  <c r="I2134" i="42"/>
  <c r="I2133" i="42"/>
  <c r="I2132" i="42"/>
  <c r="I2131" i="42"/>
  <c r="I2130" i="42"/>
  <c r="I2129" i="42"/>
  <c r="I2128" i="42"/>
  <c r="I2127" i="42"/>
  <c r="I2126" i="42"/>
  <c r="I2125" i="42"/>
  <c r="I2124" i="42"/>
  <c r="I2123" i="42"/>
  <c r="I2122" i="42"/>
  <c r="I2121" i="42"/>
  <c r="I2120" i="42"/>
  <c r="I2119" i="42"/>
  <c r="I2118" i="42"/>
  <c r="I2117" i="42"/>
  <c r="I2116" i="42"/>
  <c r="I2115" i="42"/>
  <c r="I2114" i="42"/>
  <c r="I2113" i="42"/>
  <c r="I2112" i="42"/>
  <c r="I2111" i="42"/>
  <c r="I2110" i="42"/>
  <c r="I2109" i="42"/>
  <c r="I2108" i="42"/>
  <c r="I2107" i="42"/>
  <c r="I2106" i="42"/>
  <c r="I2105" i="42"/>
  <c r="I2104" i="42"/>
  <c r="I2103" i="42"/>
  <c r="I2102" i="42"/>
  <c r="I2101" i="42"/>
  <c r="I2100" i="42"/>
  <c r="I2099" i="42"/>
  <c r="I2098" i="42"/>
  <c r="I2097" i="42"/>
  <c r="I2096" i="42"/>
  <c r="I2095" i="42"/>
  <c r="I2094" i="42"/>
  <c r="I2093" i="42"/>
  <c r="I2092" i="42"/>
  <c r="I2091" i="42"/>
  <c r="I2090" i="42"/>
  <c r="I2089" i="42"/>
  <c r="I2088" i="42"/>
  <c r="I2087" i="42"/>
  <c r="I2086" i="42"/>
  <c r="I2085" i="42"/>
  <c r="I2084" i="42"/>
  <c r="I2083" i="42"/>
  <c r="I2082" i="42"/>
  <c r="I2081" i="42"/>
  <c r="I2080" i="42"/>
  <c r="I2079" i="42"/>
  <c r="I2078" i="42"/>
  <c r="I2077" i="42"/>
  <c r="I2076" i="42"/>
  <c r="I2075" i="42"/>
  <c r="I2074" i="42"/>
  <c r="I2073" i="42"/>
  <c r="I2072" i="42"/>
  <c r="I2071" i="42"/>
  <c r="I2070" i="42"/>
  <c r="I2069" i="42"/>
  <c r="I2068" i="42"/>
  <c r="I2067" i="42"/>
  <c r="I2066" i="42"/>
  <c r="I2065" i="42"/>
  <c r="I2064" i="42"/>
  <c r="I2063" i="42"/>
  <c r="I2062" i="42"/>
  <c r="I2061" i="42"/>
  <c r="I2060" i="42"/>
  <c r="I2059" i="42"/>
  <c r="I2058" i="42"/>
  <c r="I2057" i="42"/>
  <c r="I2056" i="42"/>
  <c r="I2055" i="42"/>
  <c r="I2054" i="42"/>
  <c r="I2053" i="42"/>
  <c r="I2052" i="42"/>
  <c r="I2051" i="42"/>
  <c r="I2050" i="42"/>
  <c r="I2049" i="42"/>
  <c r="I2048" i="42"/>
  <c r="I2047" i="42"/>
  <c r="I2046" i="42"/>
  <c r="I2045" i="42"/>
  <c r="I2044" i="42"/>
  <c r="I2043" i="42"/>
  <c r="I2042" i="42"/>
  <c r="I2041" i="42"/>
  <c r="I2040" i="42"/>
  <c r="I2039" i="42"/>
  <c r="I2038" i="42"/>
  <c r="I2037" i="42"/>
  <c r="I2036" i="42"/>
  <c r="I2035" i="42"/>
  <c r="I2034" i="42"/>
  <c r="I2033" i="42"/>
  <c r="I2032" i="42"/>
  <c r="I2031" i="42"/>
  <c r="I2030" i="42"/>
  <c r="I2029" i="42"/>
  <c r="I2028" i="42"/>
  <c r="I2027" i="42"/>
  <c r="I2026" i="42"/>
  <c r="I2025" i="42"/>
  <c r="I2024" i="42"/>
  <c r="I2023" i="42"/>
  <c r="I2022" i="42"/>
  <c r="I2021" i="42"/>
  <c r="I2020" i="42"/>
  <c r="I2019" i="42"/>
  <c r="I2018" i="42"/>
  <c r="I2017" i="42"/>
  <c r="I2016" i="42"/>
  <c r="I2015" i="42"/>
  <c r="I2014" i="42"/>
  <c r="I2013" i="42"/>
  <c r="I2012" i="42"/>
  <c r="I2011" i="42"/>
  <c r="I2010" i="42"/>
  <c r="I2009" i="42"/>
  <c r="I2008" i="42"/>
  <c r="I2007" i="42"/>
  <c r="I2006" i="42"/>
  <c r="I2005" i="42"/>
  <c r="I2004" i="42"/>
  <c r="I2003" i="42"/>
  <c r="I2002" i="42"/>
  <c r="I2001" i="42"/>
  <c r="I2000" i="42"/>
  <c r="I1999" i="42"/>
  <c r="I1998" i="42"/>
  <c r="I1997" i="42"/>
  <c r="I1996" i="42"/>
  <c r="I1995" i="42"/>
  <c r="I1994" i="42"/>
  <c r="I1993" i="42"/>
  <c r="I1992" i="42"/>
  <c r="I1991" i="42"/>
  <c r="I1990" i="42"/>
  <c r="I1989" i="42"/>
  <c r="I1988" i="42"/>
  <c r="I1987" i="42"/>
  <c r="I1986" i="42"/>
  <c r="I1985" i="42"/>
  <c r="I1984" i="42"/>
  <c r="I1983" i="42"/>
  <c r="I1982" i="42"/>
  <c r="I1981" i="42"/>
  <c r="I1980" i="42"/>
  <c r="I1979" i="42"/>
  <c r="I1978" i="42"/>
  <c r="I1977" i="42"/>
  <c r="I1976" i="42"/>
  <c r="I1975" i="42"/>
  <c r="I1974" i="42"/>
  <c r="I1973" i="42"/>
  <c r="I1972" i="42"/>
  <c r="I1971" i="42"/>
  <c r="I1970" i="42"/>
  <c r="I1969" i="42"/>
  <c r="I1968" i="42"/>
  <c r="I1967" i="42"/>
  <c r="I1966" i="42"/>
  <c r="I1965" i="42"/>
  <c r="I1964" i="42"/>
  <c r="I1963" i="42"/>
  <c r="I1962" i="42"/>
  <c r="I1961" i="42"/>
  <c r="I1960" i="42"/>
  <c r="I1959" i="42"/>
  <c r="I1958" i="42"/>
  <c r="I1957" i="42"/>
  <c r="I1956" i="42"/>
  <c r="I1955" i="42"/>
  <c r="I1954" i="42"/>
  <c r="I1953" i="42"/>
  <c r="I1952" i="42"/>
  <c r="I1951" i="42"/>
  <c r="I1950" i="42"/>
  <c r="I1949" i="42"/>
  <c r="I1948" i="42"/>
  <c r="I1947" i="42"/>
  <c r="I1946" i="42"/>
  <c r="I1945" i="42"/>
  <c r="I1944" i="42"/>
  <c r="I1943" i="42"/>
  <c r="I1942" i="42"/>
  <c r="I1941" i="42"/>
  <c r="I1940" i="42"/>
  <c r="I1939" i="42"/>
  <c r="I1938" i="42"/>
  <c r="I1937" i="42"/>
  <c r="I1936" i="42"/>
  <c r="I1935" i="42"/>
  <c r="I1934" i="42"/>
  <c r="I1933" i="42"/>
  <c r="I1932" i="42"/>
  <c r="I1931" i="42"/>
  <c r="I1930" i="42"/>
  <c r="I1929" i="42"/>
  <c r="I1928" i="42"/>
  <c r="I1927" i="42"/>
  <c r="I1926" i="42"/>
  <c r="I1925" i="42"/>
  <c r="I1924" i="42"/>
  <c r="I1923" i="42"/>
  <c r="I1922" i="42"/>
  <c r="I1921" i="42"/>
  <c r="I1920" i="42"/>
  <c r="I1919" i="42"/>
  <c r="I1918" i="42"/>
  <c r="I1917" i="42"/>
  <c r="I1916" i="42"/>
  <c r="I1915" i="42"/>
  <c r="I1914" i="42"/>
  <c r="I1913" i="42"/>
  <c r="I1912" i="42"/>
  <c r="I1911" i="42"/>
  <c r="I1910" i="42"/>
  <c r="I1909" i="42"/>
  <c r="I1908" i="42"/>
  <c r="I1907" i="42"/>
  <c r="I1906" i="42"/>
  <c r="I1905" i="42"/>
  <c r="I1904" i="42"/>
  <c r="I1903" i="42"/>
  <c r="I1902" i="42"/>
  <c r="I1901" i="42"/>
  <c r="I1900" i="42"/>
  <c r="I1899" i="42"/>
  <c r="I1898" i="42"/>
  <c r="I1897" i="42"/>
  <c r="I1896" i="42"/>
  <c r="I1895" i="42"/>
  <c r="I1894" i="42"/>
  <c r="I1893" i="42"/>
  <c r="I1892" i="42"/>
  <c r="I1891" i="42"/>
  <c r="I1890" i="42"/>
  <c r="I1889" i="42"/>
  <c r="I1888" i="42"/>
  <c r="I1887" i="42"/>
  <c r="I1886" i="42"/>
  <c r="I1885" i="42"/>
  <c r="I1884" i="42"/>
  <c r="I1883" i="42"/>
  <c r="I1882" i="42"/>
  <c r="I1881" i="42"/>
  <c r="I1880" i="42"/>
  <c r="I1879" i="42"/>
  <c r="I1878" i="42"/>
  <c r="I1877" i="42"/>
  <c r="I1876" i="42"/>
  <c r="I1875" i="42"/>
  <c r="I1874" i="42"/>
  <c r="I1873" i="42"/>
  <c r="I1872" i="42"/>
  <c r="I1871" i="42"/>
  <c r="I1870" i="42"/>
  <c r="I1869" i="42"/>
  <c r="I1868" i="42"/>
  <c r="I1867" i="42"/>
  <c r="I1866" i="42"/>
  <c r="I1865" i="42"/>
  <c r="I1864" i="42"/>
  <c r="I1863" i="42"/>
  <c r="I1862" i="42"/>
  <c r="I1861" i="42"/>
  <c r="I1860" i="42"/>
  <c r="I1859" i="42"/>
  <c r="I1858" i="42"/>
  <c r="I1857" i="42"/>
  <c r="I1856" i="42"/>
  <c r="I1855" i="42"/>
  <c r="I1854" i="42"/>
  <c r="I1853" i="42"/>
  <c r="I1852" i="42"/>
  <c r="I1851" i="42"/>
  <c r="I1850" i="42"/>
  <c r="I1849" i="42"/>
  <c r="I1848" i="42"/>
  <c r="I1847" i="42"/>
  <c r="I1846" i="42"/>
  <c r="I1845" i="42"/>
  <c r="I1844" i="42"/>
  <c r="I1843" i="42"/>
  <c r="I1842" i="42"/>
  <c r="I1841" i="42"/>
  <c r="I1840" i="42"/>
  <c r="I1839" i="42"/>
  <c r="I1838" i="42"/>
  <c r="I1837" i="42"/>
  <c r="I1836" i="42"/>
  <c r="I1835" i="42"/>
  <c r="I1834" i="42"/>
  <c r="I1833" i="42"/>
  <c r="I1832" i="42"/>
  <c r="I1831" i="42"/>
  <c r="I1830" i="42"/>
  <c r="I1829" i="42"/>
  <c r="I1828" i="42"/>
  <c r="I1827" i="42"/>
  <c r="I1826" i="42"/>
  <c r="I1825" i="42"/>
  <c r="I1824" i="42"/>
  <c r="I1823" i="42"/>
  <c r="I1822" i="42"/>
  <c r="I1821" i="42"/>
  <c r="I1820" i="42"/>
  <c r="I1819" i="42"/>
  <c r="I1818" i="42"/>
  <c r="I1817" i="42"/>
  <c r="I1816" i="42"/>
  <c r="I1815" i="42"/>
  <c r="I1814" i="42"/>
  <c r="I1813" i="42"/>
  <c r="I1812" i="42"/>
  <c r="I1811" i="42"/>
  <c r="I1810" i="42"/>
  <c r="I1809" i="42"/>
  <c r="I1808" i="42"/>
  <c r="I1807" i="42"/>
  <c r="I1806" i="42"/>
  <c r="I1805" i="42"/>
  <c r="I1804" i="42"/>
  <c r="I1803" i="42"/>
  <c r="I1802" i="42"/>
  <c r="I1801" i="42"/>
  <c r="I1800" i="42"/>
  <c r="I1799" i="42"/>
  <c r="I1798" i="42"/>
  <c r="I1797" i="42"/>
  <c r="I1796" i="42"/>
  <c r="I1795" i="42"/>
  <c r="I1794" i="42"/>
  <c r="I1793" i="42"/>
  <c r="I1792" i="42"/>
  <c r="I1791" i="42"/>
  <c r="I1790" i="42"/>
  <c r="I1789" i="42"/>
  <c r="I1788" i="42"/>
  <c r="I1787" i="42"/>
  <c r="I1786" i="42"/>
  <c r="I1785" i="42"/>
  <c r="I1784" i="42"/>
  <c r="I1783" i="42"/>
  <c r="I1782" i="42"/>
  <c r="I1781" i="42"/>
  <c r="I1780" i="42"/>
  <c r="I1779" i="42"/>
  <c r="I1778" i="42"/>
  <c r="I1777" i="42"/>
  <c r="I1776" i="42"/>
  <c r="I1775" i="42"/>
  <c r="I1774" i="42"/>
  <c r="I1773" i="42"/>
  <c r="I1772" i="42"/>
  <c r="I1771" i="42"/>
  <c r="I1770" i="42"/>
  <c r="I1769" i="42"/>
  <c r="I1768" i="42"/>
  <c r="I1767" i="42"/>
  <c r="I1766" i="42"/>
  <c r="I1765" i="42"/>
  <c r="I1764" i="42"/>
  <c r="I1763" i="42"/>
  <c r="I1762" i="42"/>
  <c r="I1761" i="42"/>
  <c r="I1760" i="42"/>
  <c r="I1759" i="42"/>
  <c r="I1758" i="42"/>
  <c r="I1757" i="42"/>
  <c r="I1756" i="42"/>
  <c r="I1755" i="42"/>
  <c r="I1754" i="42"/>
  <c r="I1753" i="42"/>
  <c r="I1752" i="42"/>
  <c r="I1751" i="42"/>
  <c r="I1750" i="42"/>
  <c r="I1749" i="42"/>
  <c r="I1748" i="42"/>
  <c r="I1747" i="42"/>
  <c r="I1746" i="42"/>
  <c r="I1745" i="42"/>
  <c r="I1744" i="42"/>
  <c r="I1743" i="42"/>
  <c r="I1742" i="42"/>
  <c r="I1741" i="42"/>
  <c r="I1740" i="42"/>
  <c r="I1739" i="42"/>
  <c r="I1738" i="42"/>
  <c r="I1737" i="42"/>
  <c r="I1736" i="42"/>
  <c r="I1735" i="42"/>
  <c r="I1734" i="42"/>
  <c r="I1733" i="42"/>
  <c r="I1732" i="42"/>
  <c r="I1731" i="42"/>
  <c r="I1730" i="42"/>
  <c r="I1729" i="42"/>
  <c r="I1728" i="42"/>
  <c r="I1727" i="42"/>
  <c r="I1726" i="42"/>
  <c r="I1725" i="42"/>
  <c r="I1724" i="42"/>
  <c r="I1723" i="42"/>
  <c r="I1722" i="42"/>
  <c r="I1721" i="42"/>
  <c r="I1720" i="42"/>
  <c r="I1719" i="42"/>
  <c r="I1718" i="42"/>
  <c r="I1717" i="42"/>
  <c r="I1716" i="42"/>
  <c r="I1715" i="42"/>
  <c r="I1714" i="42"/>
  <c r="I1713" i="42"/>
  <c r="I1712" i="42"/>
  <c r="I1711" i="42"/>
  <c r="I1710" i="42"/>
  <c r="I1709" i="42"/>
  <c r="I1708" i="42"/>
  <c r="I1707" i="42"/>
  <c r="I1706" i="42"/>
  <c r="I1705" i="42"/>
  <c r="I1704" i="42"/>
  <c r="I1703" i="42"/>
  <c r="I1702" i="42"/>
  <c r="I1701" i="42"/>
  <c r="I1700" i="42"/>
  <c r="I1699" i="42"/>
  <c r="I1698" i="42"/>
  <c r="I1697" i="42"/>
  <c r="I1696" i="42"/>
  <c r="I1695" i="42"/>
  <c r="I1694" i="42"/>
  <c r="I1693" i="42"/>
  <c r="I1692" i="42"/>
  <c r="I1691" i="42"/>
  <c r="I1690" i="42"/>
  <c r="I1689" i="42"/>
  <c r="I1688" i="42"/>
  <c r="I1687" i="42"/>
  <c r="I1686" i="42"/>
  <c r="I1685" i="42"/>
  <c r="I1684" i="42"/>
  <c r="I1683" i="42"/>
  <c r="I1682" i="42"/>
  <c r="I1681" i="42"/>
  <c r="I1680" i="42"/>
  <c r="I1679" i="42"/>
  <c r="I1678" i="42"/>
  <c r="I1677" i="42"/>
  <c r="I1676" i="42"/>
  <c r="I1675" i="42"/>
  <c r="I1674" i="42"/>
  <c r="I1673" i="42"/>
  <c r="I1672" i="42"/>
  <c r="I1671" i="42"/>
  <c r="I1670" i="42"/>
  <c r="I1669" i="42"/>
  <c r="I1668" i="42"/>
  <c r="I1667" i="42"/>
  <c r="I1666" i="42"/>
  <c r="I1665" i="42"/>
  <c r="I1664" i="42"/>
  <c r="I1663" i="42"/>
  <c r="I1662" i="42"/>
  <c r="I1661" i="42"/>
  <c r="I1660" i="42"/>
  <c r="I1659" i="42"/>
  <c r="I1658" i="42"/>
  <c r="I1657" i="42"/>
  <c r="I1656" i="42"/>
  <c r="I1655" i="42"/>
  <c r="I1654" i="42"/>
  <c r="I1653" i="42"/>
  <c r="I1652" i="42"/>
  <c r="I1651" i="42"/>
  <c r="I1650" i="42"/>
  <c r="I1649" i="42"/>
  <c r="I1648" i="42"/>
  <c r="I1647" i="42"/>
  <c r="I1646" i="42"/>
  <c r="I1645" i="42"/>
  <c r="I1644" i="42"/>
  <c r="I1643" i="42"/>
  <c r="I1642" i="42"/>
  <c r="I1641" i="42"/>
  <c r="I1640" i="42"/>
  <c r="I1639" i="42"/>
  <c r="I1638" i="42"/>
  <c r="I1637" i="42"/>
  <c r="I1636" i="42"/>
  <c r="I1635" i="42"/>
  <c r="I1634" i="42"/>
  <c r="I1633" i="42"/>
  <c r="I1632" i="42"/>
  <c r="I1631" i="42"/>
  <c r="I1630" i="42"/>
  <c r="I1629" i="42"/>
  <c r="I1628" i="42"/>
  <c r="I1627" i="42"/>
  <c r="I1626" i="42"/>
  <c r="I1625" i="42"/>
  <c r="I1624" i="42"/>
  <c r="I1623" i="42"/>
  <c r="I1622" i="42"/>
  <c r="I1621" i="42"/>
  <c r="I1620" i="42"/>
  <c r="I1619" i="42"/>
  <c r="I1618" i="42"/>
  <c r="I1617" i="42"/>
  <c r="I1616" i="42"/>
  <c r="I1615" i="42"/>
  <c r="I1614" i="42"/>
  <c r="I1613" i="42"/>
  <c r="I1612" i="42"/>
  <c r="I1611" i="42"/>
  <c r="I1610" i="42"/>
  <c r="I1609" i="42"/>
  <c r="I1608" i="42"/>
  <c r="I1607" i="42"/>
  <c r="I1606" i="42"/>
  <c r="I1605" i="42"/>
  <c r="I1604" i="42"/>
  <c r="I1603" i="42"/>
  <c r="I1602" i="42"/>
  <c r="I1601" i="42"/>
  <c r="I1600" i="42"/>
  <c r="I1599" i="42"/>
  <c r="I1598" i="42"/>
  <c r="I1597" i="42"/>
  <c r="I1596" i="42"/>
  <c r="I1595" i="42"/>
  <c r="I1594" i="42"/>
  <c r="I1593" i="42"/>
  <c r="I1592" i="42"/>
  <c r="I1591" i="42"/>
  <c r="I1590" i="42"/>
  <c r="I1589" i="42"/>
  <c r="I1588" i="42"/>
  <c r="I1587" i="42"/>
  <c r="I1586" i="42"/>
  <c r="I1585" i="42"/>
  <c r="I1584" i="42"/>
  <c r="I1583" i="42"/>
  <c r="I1582" i="42"/>
  <c r="I1581" i="42"/>
  <c r="I1580" i="42"/>
  <c r="I1579" i="42"/>
  <c r="I1578" i="42"/>
  <c r="I1577" i="42"/>
  <c r="I1576" i="42"/>
  <c r="I1575" i="42"/>
  <c r="I1574" i="42"/>
  <c r="I1573" i="42"/>
  <c r="I1572" i="42"/>
  <c r="I1571" i="42"/>
  <c r="I1570" i="42"/>
  <c r="I1569" i="42"/>
  <c r="I1568" i="42"/>
  <c r="I1567" i="42"/>
  <c r="I1566" i="42"/>
  <c r="I1565" i="42"/>
  <c r="I1564" i="42"/>
  <c r="I1563" i="42"/>
  <c r="I1562" i="42"/>
  <c r="I1561" i="42"/>
  <c r="I1560" i="42"/>
  <c r="I1559" i="42"/>
  <c r="I1558" i="42"/>
  <c r="I1557" i="42"/>
  <c r="I1556" i="42"/>
  <c r="I1555" i="42"/>
  <c r="I1554" i="42"/>
  <c r="I1553" i="42"/>
  <c r="I1552" i="42"/>
  <c r="I1551" i="42"/>
  <c r="I1550" i="42"/>
  <c r="I1549" i="42"/>
  <c r="I1548" i="42"/>
  <c r="I1547" i="42"/>
  <c r="I1546" i="42"/>
  <c r="I1545" i="42"/>
  <c r="I1544" i="42"/>
  <c r="I1543" i="42"/>
  <c r="I1542" i="42"/>
  <c r="I1541" i="42"/>
  <c r="I1540" i="42"/>
  <c r="I1539" i="42"/>
  <c r="I1538" i="42"/>
  <c r="I1537" i="42"/>
  <c r="I1536" i="42"/>
  <c r="I1535" i="42"/>
  <c r="I1534" i="42"/>
  <c r="I1533" i="42"/>
  <c r="I1532" i="42"/>
  <c r="I1531" i="42"/>
  <c r="I1530" i="42"/>
  <c r="I1529" i="42"/>
  <c r="I1528" i="42"/>
  <c r="I1527" i="42"/>
  <c r="I1526" i="42"/>
  <c r="I1525" i="42"/>
  <c r="I1524" i="42"/>
  <c r="I1523" i="42"/>
  <c r="I1522" i="42"/>
  <c r="I1521" i="42"/>
  <c r="I1520" i="42"/>
  <c r="I1519" i="42"/>
  <c r="I1518" i="42"/>
  <c r="I1517" i="42"/>
  <c r="I1516" i="42"/>
  <c r="I1515" i="42"/>
  <c r="I1514" i="42"/>
  <c r="I1513" i="42"/>
  <c r="I1512" i="42"/>
  <c r="I1511" i="42"/>
  <c r="I1510" i="42"/>
  <c r="I1509" i="42"/>
  <c r="I1508" i="42"/>
  <c r="I1507" i="42"/>
  <c r="I1506" i="42"/>
  <c r="I1505" i="42"/>
  <c r="I1504" i="42"/>
  <c r="I1503" i="42"/>
  <c r="I1502" i="42"/>
  <c r="I1501" i="42"/>
  <c r="I1500" i="42"/>
  <c r="I1499" i="42"/>
  <c r="I1498" i="42"/>
  <c r="I1497" i="42"/>
  <c r="I1496" i="42"/>
  <c r="I1495" i="42"/>
  <c r="I1494" i="42"/>
  <c r="I1493" i="42"/>
  <c r="I1492" i="42"/>
  <c r="I1491" i="42"/>
  <c r="I1490" i="42"/>
  <c r="I1489" i="42"/>
  <c r="I1488" i="42"/>
  <c r="I1487" i="42"/>
  <c r="I1486" i="42"/>
  <c r="I1485" i="42"/>
  <c r="I1484" i="42"/>
  <c r="I1483" i="42"/>
  <c r="I1482" i="42"/>
  <c r="I1481" i="42"/>
  <c r="I1480" i="42"/>
  <c r="I1479" i="42"/>
  <c r="I1478" i="42"/>
  <c r="I1477" i="42"/>
  <c r="I1476" i="42"/>
  <c r="I1475" i="42"/>
  <c r="I1474" i="42"/>
  <c r="I1473" i="42"/>
  <c r="I1472" i="42"/>
  <c r="I1471" i="42"/>
  <c r="I1470" i="42"/>
  <c r="I1469" i="42"/>
  <c r="I1468" i="42"/>
  <c r="I1467" i="42"/>
  <c r="I1466" i="42"/>
  <c r="I1465" i="42"/>
  <c r="I1464" i="42"/>
  <c r="I1463" i="42"/>
  <c r="I1462" i="42"/>
  <c r="I1461" i="42"/>
  <c r="I1460" i="42"/>
  <c r="I1459" i="42"/>
  <c r="I1458" i="42"/>
  <c r="I1457" i="42"/>
  <c r="I1456" i="42"/>
  <c r="I1455" i="42"/>
  <c r="I1454" i="42"/>
  <c r="I1453" i="42"/>
  <c r="I1452" i="42"/>
  <c r="I1451" i="42"/>
  <c r="I1450" i="42"/>
  <c r="I1449" i="42"/>
  <c r="I1448" i="42"/>
  <c r="I1447" i="42"/>
  <c r="I1446" i="42"/>
  <c r="I1445" i="42"/>
  <c r="I1444" i="42"/>
  <c r="I1443" i="42"/>
  <c r="I1442" i="42"/>
  <c r="I1441" i="42"/>
  <c r="I1440" i="42"/>
  <c r="I1439" i="42"/>
  <c r="I1438" i="42"/>
  <c r="I1437" i="42"/>
  <c r="I1436" i="42"/>
  <c r="I1435" i="42"/>
  <c r="I1434" i="42"/>
  <c r="I1433" i="42"/>
  <c r="I1432" i="42"/>
  <c r="I1431" i="42"/>
  <c r="I1430" i="42"/>
  <c r="I1429" i="42"/>
  <c r="I1428" i="42"/>
  <c r="I1427" i="42"/>
  <c r="I1426" i="42"/>
  <c r="I1425" i="42"/>
  <c r="I1424" i="42"/>
  <c r="I1423" i="42"/>
  <c r="I1422" i="42"/>
  <c r="I1421" i="42"/>
  <c r="I1420" i="42"/>
  <c r="I1419" i="42"/>
  <c r="I1418" i="42"/>
  <c r="I1417" i="42"/>
  <c r="I1416" i="42"/>
  <c r="I1415" i="42"/>
  <c r="I1414" i="42"/>
  <c r="I1413" i="42"/>
  <c r="I1412" i="42"/>
  <c r="I1411" i="42"/>
  <c r="I1410" i="42"/>
  <c r="I1409" i="42"/>
  <c r="I1408" i="42"/>
  <c r="I1407" i="42"/>
  <c r="I1406" i="42"/>
  <c r="I1405" i="42"/>
  <c r="I1404" i="42"/>
  <c r="I1403" i="42"/>
  <c r="I1402" i="42"/>
  <c r="I1401" i="42"/>
  <c r="I1400" i="42"/>
  <c r="I1399" i="42"/>
  <c r="I1398" i="42"/>
  <c r="I1397" i="42"/>
  <c r="I1396" i="42"/>
  <c r="I1395" i="42"/>
  <c r="I1394" i="42"/>
  <c r="I1393" i="42"/>
  <c r="I1392" i="42"/>
  <c r="I1391" i="42"/>
  <c r="I1390" i="42"/>
  <c r="I1389" i="42"/>
  <c r="I1388" i="42"/>
  <c r="I1387" i="42"/>
  <c r="I1386" i="42"/>
  <c r="I1385" i="42"/>
  <c r="I1384" i="42"/>
  <c r="I1383" i="42"/>
  <c r="I1382" i="42"/>
  <c r="I1381" i="42"/>
  <c r="I1380" i="42"/>
  <c r="I1379" i="42"/>
  <c r="I1378" i="42"/>
  <c r="I1377" i="42"/>
  <c r="I1376" i="42"/>
  <c r="I1375" i="42"/>
  <c r="I1374" i="42"/>
  <c r="I1373" i="42"/>
  <c r="I1372" i="42"/>
  <c r="I1371" i="42"/>
  <c r="I1370" i="42"/>
  <c r="I1369" i="42"/>
  <c r="I1368" i="42"/>
  <c r="I1367" i="42"/>
  <c r="I1366" i="42"/>
  <c r="I1365" i="42"/>
  <c r="I1364" i="42"/>
  <c r="I1363" i="42"/>
  <c r="I1362" i="42"/>
  <c r="I1361" i="42"/>
  <c r="I1360" i="42"/>
  <c r="I1359" i="42"/>
  <c r="I1358" i="42"/>
  <c r="I1357" i="42"/>
  <c r="I1356" i="42"/>
  <c r="I1355" i="42"/>
  <c r="I1354" i="42"/>
  <c r="I1353" i="42"/>
  <c r="I1352" i="42"/>
  <c r="I1351" i="42"/>
  <c r="I1350" i="42"/>
  <c r="I1349" i="42"/>
  <c r="I1348" i="42"/>
  <c r="I1347" i="42"/>
  <c r="I1346" i="42"/>
  <c r="I1345" i="42"/>
  <c r="I1344" i="42"/>
  <c r="I1343" i="42"/>
  <c r="I1342" i="42"/>
  <c r="I1341" i="42"/>
  <c r="I1340" i="42"/>
  <c r="I1339" i="42"/>
  <c r="I1338" i="42"/>
  <c r="I1337" i="42"/>
  <c r="I1336" i="42"/>
  <c r="I1335" i="42"/>
  <c r="I1334" i="42"/>
  <c r="I1333" i="42"/>
  <c r="I1332" i="42"/>
  <c r="I1331" i="42"/>
  <c r="I1330" i="42"/>
  <c r="I1329" i="42"/>
  <c r="I1328" i="42"/>
  <c r="I1327" i="42"/>
  <c r="I1326" i="42"/>
  <c r="I1325" i="42"/>
  <c r="I1324" i="42"/>
  <c r="I1323" i="42"/>
  <c r="I1322" i="42"/>
  <c r="I1321" i="42"/>
  <c r="I1320" i="42"/>
  <c r="I1319" i="42"/>
  <c r="I1318" i="42"/>
  <c r="I1317" i="42"/>
  <c r="I1316" i="42"/>
  <c r="I1315" i="42"/>
  <c r="I1314" i="42"/>
  <c r="I1313" i="42"/>
  <c r="I1312" i="42"/>
  <c r="I1311" i="42"/>
  <c r="I1310" i="42"/>
  <c r="I1309" i="42"/>
  <c r="I1308" i="42"/>
  <c r="I1307" i="42"/>
  <c r="I1306" i="42"/>
  <c r="I1305" i="42"/>
  <c r="I1304" i="42"/>
  <c r="I1303" i="42"/>
  <c r="I1302" i="42"/>
  <c r="I1301" i="42"/>
  <c r="I1300" i="42"/>
  <c r="I1299" i="42"/>
  <c r="I1298" i="42"/>
  <c r="I1297" i="42"/>
  <c r="I1296" i="42"/>
  <c r="I1295" i="42"/>
  <c r="I1294" i="42"/>
  <c r="I1293" i="42"/>
  <c r="I1292" i="42"/>
  <c r="I1291" i="42"/>
  <c r="I1290" i="42"/>
  <c r="I1289" i="42"/>
  <c r="I1288" i="42"/>
  <c r="I1287" i="42"/>
  <c r="I1286" i="42"/>
  <c r="I1285" i="42"/>
  <c r="I1284" i="42"/>
  <c r="I1283" i="42"/>
  <c r="I1282" i="42"/>
  <c r="I1281" i="42"/>
  <c r="I1280" i="42"/>
  <c r="I1279" i="42"/>
  <c r="I1278" i="42"/>
  <c r="I1277" i="42"/>
  <c r="I1276" i="42"/>
  <c r="I1275" i="42"/>
  <c r="I1274" i="42"/>
  <c r="I1273" i="42"/>
  <c r="I1272" i="42"/>
  <c r="I1271" i="42"/>
  <c r="I1270" i="42"/>
  <c r="I1269" i="42"/>
  <c r="I1268" i="42"/>
  <c r="I1267" i="42"/>
  <c r="I1266" i="42"/>
  <c r="I1265" i="42"/>
  <c r="I1264" i="42"/>
  <c r="I1263" i="42"/>
  <c r="I1262" i="42"/>
  <c r="I1261" i="42"/>
  <c r="I1260" i="42"/>
  <c r="I1259" i="42"/>
  <c r="I1258" i="42"/>
  <c r="I1257" i="42"/>
  <c r="I1256" i="42"/>
  <c r="I1255" i="42"/>
  <c r="I1254" i="42"/>
  <c r="I1253" i="42"/>
  <c r="I1252" i="42"/>
  <c r="I1251" i="42"/>
  <c r="I1250" i="42"/>
  <c r="I1249" i="42"/>
  <c r="I1248" i="42"/>
  <c r="I1247" i="42"/>
  <c r="I1246" i="42"/>
  <c r="I1245" i="42"/>
  <c r="I1244" i="42"/>
  <c r="I1243" i="42"/>
  <c r="I1242" i="42"/>
  <c r="I1241" i="42"/>
  <c r="I1240" i="42"/>
  <c r="I1239" i="42"/>
  <c r="I1238" i="42"/>
  <c r="I1237" i="42"/>
  <c r="I1236" i="42"/>
  <c r="I1235" i="42"/>
  <c r="I1234" i="42"/>
  <c r="I1233" i="42"/>
  <c r="I1232" i="42"/>
  <c r="I1231" i="42"/>
  <c r="I1230" i="42"/>
  <c r="I1229" i="42"/>
  <c r="I1228" i="42"/>
  <c r="I1227" i="42"/>
  <c r="I1226" i="42"/>
  <c r="I1225" i="42"/>
  <c r="I1224" i="42"/>
  <c r="I1223" i="42"/>
  <c r="I1222" i="42"/>
  <c r="I1221" i="42"/>
  <c r="I1220" i="42"/>
  <c r="I1219" i="42"/>
  <c r="I1218" i="42"/>
  <c r="I1217" i="42"/>
  <c r="I1216" i="42"/>
  <c r="I1215" i="42"/>
  <c r="I1214" i="42"/>
  <c r="I1213" i="42"/>
  <c r="I1212" i="42"/>
  <c r="I1211" i="42"/>
  <c r="I1210" i="42"/>
  <c r="I1209" i="42"/>
  <c r="I1208" i="42"/>
  <c r="I1207" i="42"/>
  <c r="I1206" i="42"/>
  <c r="I1205" i="42"/>
  <c r="I1204" i="42"/>
  <c r="I1203" i="42"/>
  <c r="I1202" i="42"/>
  <c r="I1201" i="42"/>
  <c r="I1200" i="42"/>
  <c r="I1199" i="42"/>
  <c r="I1198" i="42"/>
  <c r="I1197" i="42"/>
  <c r="I1196" i="42"/>
  <c r="I1195" i="42"/>
  <c r="I1194" i="42"/>
  <c r="I1193" i="42"/>
  <c r="I1192" i="42"/>
  <c r="I1191" i="42"/>
  <c r="I1190" i="42"/>
  <c r="I1189" i="42"/>
  <c r="I1188" i="42"/>
  <c r="I1187" i="42"/>
  <c r="I1186" i="42"/>
  <c r="I1185" i="42"/>
  <c r="I1184" i="42"/>
  <c r="I1183" i="42"/>
  <c r="I1182" i="42"/>
  <c r="I1181" i="42"/>
  <c r="I1180" i="42"/>
  <c r="I1179" i="42"/>
  <c r="I1178" i="42"/>
  <c r="I1177" i="42"/>
  <c r="I1176" i="42"/>
  <c r="I1175" i="42"/>
  <c r="I1174" i="42"/>
  <c r="I1173" i="42"/>
  <c r="I1172" i="42"/>
  <c r="I1171" i="42"/>
  <c r="I1170" i="42"/>
  <c r="I1169" i="42"/>
  <c r="I1168" i="42"/>
  <c r="I1167" i="42"/>
  <c r="I1166" i="42"/>
  <c r="I1165" i="42"/>
  <c r="I1164" i="42"/>
  <c r="I1163" i="42"/>
  <c r="I1162" i="42"/>
  <c r="I1161" i="42"/>
  <c r="I1160" i="42"/>
  <c r="I1159" i="42"/>
  <c r="I1158" i="42"/>
  <c r="I1157" i="42"/>
  <c r="I1156" i="42"/>
  <c r="I1155" i="42"/>
  <c r="I1154" i="42"/>
  <c r="I1153" i="42"/>
  <c r="I1152" i="42"/>
  <c r="I1151" i="42"/>
  <c r="I1150" i="42"/>
  <c r="I1149" i="42"/>
  <c r="I1148" i="42"/>
  <c r="I1147" i="42"/>
  <c r="I1146" i="42"/>
  <c r="I1145" i="42"/>
  <c r="I1144" i="42"/>
  <c r="I1143" i="42"/>
  <c r="I1142" i="42"/>
  <c r="I1141" i="42"/>
  <c r="I1140" i="42"/>
  <c r="I1139" i="42"/>
  <c r="I1138" i="42"/>
  <c r="I1137" i="42"/>
  <c r="I1136" i="42"/>
  <c r="I1135" i="42"/>
  <c r="I1134" i="42"/>
  <c r="I1133" i="42"/>
  <c r="I1132" i="42"/>
  <c r="I1131" i="42"/>
  <c r="I1130" i="42"/>
  <c r="I1129" i="42"/>
  <c r="I1128" i="42"/>
  <c r="I1127" i="42"/>
  <c r="I1126" i="42"/>
  <c r="I1125" i="42"/>
  <c r="I1124" i="42"/>
  <c r="I1123" i="42"/>
  <c r="I1122" i="42"/>
  <c r="I1121" i="42"/>
  <c r="I1120" i="42"/>
  <c r="I1119" i="42"/>
  <c r="I1118" i="42"/>
  <c r="I1117" i="42"/>
  <c r="I1116" i="42"/>
  <c r="I1115" i="42"/>
  <c r="I1114" i="42"/>
  <c r="I1113" i="42"/>
  <c r="I1112" i="42"/>
  <c r="I1111" i="42"/>
  <c r="I1110" i="42"/>
  <c r="I1109" i="42"/>
  <c r="I1108" i="42"/>
  <c r="I1107" i="42"/>
  <c r="I1106" i="42"/>
  <c r="I1105" i="42"/>
  <c r="I1104" i="42"/>
  <c r="I1103" i="42"/>
  <c r="I1102" i="42"/>
  <c r="I1101" i="42"/>
  <c r="I1100" i="42"/>
  <c r="I1099" i="42"/>
  <c r="I1098" i="42"/>
  <c r="I1097" i="42"/>
  <c r="I1096" i="42"/>
  <c r="I1095" i="42"/>
  <c r="I1094" i="42"/>
  <c r="I1093" i="42"/>
  <c r="I1092" i="42"/>
  <c r="I1091" i="42"/>
  <c r="I1090" i="42"/>
  <c r="I1089" i="42"/>
  <c r="I1088" i="42"/>
  <c r="I1087" i="42"/>
  <c r="I1086" i="42"/>
  <c r="I1085" i="42"/>
  <c r="I1084" i="42"/>
  <c r="I1083" i="42"/>
  <c r="I1082" i="42"/>
  <c r="I1081" i="42"/>
  <c r="I1080" i="42"/>
  <c r="I1079" i="42"/>
  <c r="I1078" i="42"/>
  <c r="I1077" i="42"/>
  <c r="I1076" i="42"/>
  <c r="I1075" i="42"/>
  <c r="I1074" i="42"/>
  <c r="I1073" i="42"/>
  <c r="I1072" i="42"/>
  <c r="I1071" i="42"/>
  <c r="I1070" i="42"/>
  <c r="I1069" i="42"/>
  <c r="I1068" i="42"/>
  <c r="I1067" i="42"/>
  <c r="I1066" i="42"/>
  <c r="I1065" i="42"/>
  <c r="I1064" i="42"/>
  <c r="I1063" i="42"/>
  <c r="I1062" i="42"/>
  <c r="I1061" i="42"/>
  <c r="I1060" i="42"/>
  <c r="I1059" i="42"/>
  <c r="I1058" i="42"/>
  <c r="I1057" i="42"/>
  <c r="I1056" i="42"/>
  <c r="I1055" i="42"/>
  <c r="I1054" i="42"/>
  <c r="I1053" i="42"/>
  <c r="I1052" i="42"/>
  <c r="I1051" i="42"/>
  <c r="I1050" i="42"/>
  <c r="I1049" i="42"/>
  <c r="I1048" i="42"/>
  <c r="I1047" i="42"/>
  <c r="I1046" i="42"/>
  <c r="I1045" i="42"/>
  <c r="I1044" i="42"/>
  <c r="I1043" i="42"/>
  <c r="I1042" i="42"/>
  <c r="I1041" i="42"/>
  <c r="I1040" i="42"/>
  <c r="I1039" i="42"/>
  <c r="I1038" i="42"/>
  <c r="I1037" i="42"/>
  <c r="I1036" i="42"/>
  <c r="I1035" i="42"/>
  <c r="I1034" i="42"/>
  <c r="I1033" i="42"/>
  <c r="I1032" i="42"/>
  <c r="I1031" i="42"/>
  <c r="I1030" i="42"/>
  <c r="I1029" i="42"/>
  <c r="I1028" i="42"/>
  <c r="I1027" i="42"/>
  <c r="I1026" i="42"/>
  <c r="I1025" i="42"/>
  <c r="I1024" i="42"/>
  <c r="I1023" i="42"/>
  <c r="I1022" i="42"/>
  <c r="I1021" i="42"/>
  <c r="I1020" i="42"/>
  <c r="I1019" i="42"/>
  <c r="I1018" i="42"/>
  <c r="I1017" i="42"/>
  <c r="I1016" i="42"/>
  <c r="I1015" i="42"/>
  <c r="I1014" i="42"/>
  <c r="I1013" i="42"/>
  <c r="I1012" i="42"/>
  <c r="I1011" i="42"/>
  <c r="I1010" i="42"/>
  <c r="I1009" i="42"/>
  <c r="I1008" i="42"/>
  <c r="I1007" i="42"/>
  <c r="I1006" i="42"/>
  <c r="I1005" i="42"/>
  <c r="I1004" i="42"/>
  <c r="I1003" i="42"/>
  <c r="I1002" i="42"/>
  <c r="I1001" i="42"/>
  <c r="I1000" i="42"/>
  <c r="I999" i="42"/>
  <c r="I998" i="42"/>
  <c r="I997" i="42"/>
  <c r="I996" i="42"/>
  <c r="I995" i="42"/>
  <c r="I994" i="42"/>
  <c r="I993" i="42"/>
  <c r="I992" i="42"/>
  <c r="I991" i="42"/>
  <c r="I990" i="42"/>
  <c r="I989" i="42"/>
  <c r="I988" i="42"/>
  <c r="I987" i="42"/>
  <c r="I986" i="42"/>
  <c r="I985" i="42"/>
  <c r="I984" i="42"/>
  <c r="I983" i="42"/>
  <c r="I982" i="42"/>
  <c r="I981" i="42"/>
  <c r="I980" i="42"/>
  <c r="I979" i="42"/>
  <c r="I978" i="42"/>
  <c r="I977" i="42"/>
  <c r="I976" i="42"/>
  <c r="I975" i="42"/>
  <c r="I974" i="42"/>
  <c r="I973" i="42"/>
  <c r="I972" i="42"/>
  <c r="I971" i="42"/>
  <c r="I970" i="42"/>
  <c r="I969" i="42"/>
  <c r="I968" i="42"/>
  <c r="I967" i="42"/>
  <c r="I966" i="42"/>
  <c r="I965" i="42"/>
  <c r="I964" i="42"/>
  <c r="I963" i="42"/>
  <c r="I962" i="42"/>
  <c r="I961" i="42"/>
  <c r="I960" i="42"/>
  <c r="I959" i="42"/>
  <c r="I958" i="42"/>
  <c r="I957" i="42"/>
  <c r="I956" i="42"/>
  <c r="I955" i="42"/>
  <c r="I954" i="42"/>
  <c r="I953" i="42"/>
  <c r="I952" i="42"/>
  <c r="I951" i="42"/>
  <c r="I950" i="42"/>
  <c r="I949" i="42"/>
  <c r="I948" i="42"/>
  <c r="I947" i="42"/>
  <c r="I946" i="42"/>
  <c r="I945" i="42"/>
  <c r="I944" i="42"/>
  <c r="I943" i="42"/>
  <c r="I942" i="42"/>
  <c r="I941" i="42"/>
  <c r="I940" i="42"/>
  <c r="I939" i="42"/>
  <c r="I938" i="42"/>
  <c r="I937" i="42"/>
  <c r="I936" i="42"/>
  <c r="I935" i="42"/>
  <c r="I934" i="42"/>
  <c r="I933" i="42"/>
  <c r="I932" i="42"/>
  <c r="I931" i="42"/>
  <c r="I930" i="42"/>
  <c r="I929" i="42"/>
  <c r="I928" i="42"/>
  <c r="I927" i="42"/>
  <c r="I926" i="42"/>
  <c r="I925" i="42"/>
  <c r="I924" i="42"/>
  <c r="I923" i="42"/>
  <c r="I922" i="42"/>
  <c r="I921" i="42"/>
  <c r="I920" i="42"/>
  <c r="I919" i="42"/>
  <c r="I918" i="42"/>
  <c r="I917" i="42"/>
  <c r="I916" i="42"/>
  <c r="I915" i="42"/>
  <c r="I914" i="42"/>
  <c r="I913" i="42"/>
  <c r="I912" i="42"/>
  <c r="I911" i="42"/>
  <c r="I910" i="42"/>
  <c r="I909" i="42"/>
  <c r="I908" i="42"/>
  <c r="I907" i="42"/>
  <c r="I906" i="42"/>
  <c r="I905" i="42"/>
  <c r="I904" i="42"/>
  <c r="I903" i="42"/>
  <c r="I902" i="42"/>
  <c r="I901" i="42"/>
  <c r="I900" i="42"/>
  <c r="I899" i="42"/>
  <c r="I898" i="42"/>
  <c r="I897" i="42"/>
  <c r="I896" i="42"/>
  <c r="I895" i="42"/>
  <c r="I894" i="42"/>
  <c r="I893" i="42"/>
  <c r="I892" i="42"/>
  <c r="I891" i="42"/>
  <c r="I890" i="42"/>
  <c r="I889" i="42"/>
  <c r="I888" i="42"/>
  <c r="I887" i="42"/>
  <c r="I886" i="42"/>
  <c r="I885" i="42"/>
  <c r="I884" i="42"/>
  <c r="I883" i="42"/>
  <c r="I882" i="42"/>
  <c r="I881" i="42"/>
  <c r="I880" i="42"/>
  <c r="I879" i="42"/>
  <c r="I878" i="42"/>
  <c r="I877" i="42"/>
  <c r="I876" i="42"/>
  <c r="I875" i="42"/>
  <c r="I874" i="42"/>
  <c r="I873" i="42"/>
  <c r="I872" i="42"/>
  <c r="I871" i="42"/>
  <c r="I870" i="42"/>
  <c r="I869" i="42"/>
  <c r="I868" i="42"/>
  <c r="I867" i="42"/>
  <c r="I866" i="42"/>
  <c r="I865" i="42"/>
  <c r="I864" i="42"/>
  <c r="I863" i="42"/>
  <c r="I862" i="42"/>
  <c r="I861" i="42"/>
  <c r="I860" i="42"/>
  <c r="I859" i="42"/>
  <c r="I858" i="42"/>
  <c r="I857" i="42"/>
  <c r="I856" i="42"/>
  <c r="I855" i="42"/>
  <c r="I854" i="42"/>
  <c r="I853" i="42"/>
  <c r="I852" i="42"/>
  <c r="I851" i="42"/>
  <c r="I850" i="42"/>
  <c r="I849" i="42"/>
  <c r="I848" i="42"/>
  <c r="I847" i="42"/>
  <c r="I846" i="42"/>
  <c r="I845" i="42"/>
  <c r="I844" i="42"/>
  <c r="I843" i="42"/>
  <c r="I842" i="42"/>
  <c r="I841" i="42"/>
  <c r="I840" i="42"/>
  <c r="I839" i="42"/>
  <c r="I838" i="42"/>
  <c r="I837" i="42"/>
  <c r="I836" i="42"/>
  <c r="I835" i="42"/>
  <c r="I834" i="42"/>
  <c r="I833" i="42"/>
  <c r="I832" i="42"/>
  <c r="I831" i="42"/>
  <c r="I830" i="42"/>
  <c r="I829" i="42"/>
  <c r="I828" i="42"/>
  <c r="I827" i="42"/>
  <c r="I826" i="42"/>
  <c r="I825" i="42"/>
  <c r="I824" i="42"/>
  <c r="I823" i="42"/>
  <c r="I822" i="42"/>
  <c r="I821" i="42"/>
  <c r="I820" i="42"/>
  <c r="I819" i="42"/>
  <c r="I818" i="42"/>
  <c r="I817" i="42"/>
  <c r="I816" i="42"/>
  <c r="I815" i="42"/>
  <c r="I814" i="42"/>
  <c r="I813" i="42"/>
  <c r="I812" i="42"/>
  <c r="I811" i="42"/>
  <c r="I810" i="42"/>
  <c r="I809" i="42"/>
  <c r="I808" i="42"/>
  <c r="I807" i="42"/>
  <c r="I806" i="42"/>
  <c r="I805" i="42"/>
  <c r="I804" i="42"/>
  <c r="I803" i="42"/>
  <c r="I802" i="42"/>
  <c r="I801" i="42"/>
  <c r="I800" i="42"/>
  <c r="I799" i="42"/>
  <c r="I798" i="42"/>
  <c r="I797" i="42"/>
  <c r="I796" i="42"/>
  <c r="I795" i="42"/>
  <c r="I794" i="42"/>
  <c r="I793" i="42"/>
  <c r="I792" i="42"/>
  <c r="I791" i="42"/>
  <c r="I790" i="42"/>
  <c r="I789" i="42"/>
  <c r="I788" i="42"/>
  <c r="I787" i="42"/>
  <c r="I786" i="42"/>
  <c r="I785" i="42"/>
  <c r="I784" i="42"/>
  <c r="I783" i="42"/>
  <c r="I782" i="42"/>
  <c r="I781" i="42"/>
  <c r="I780" i="42"/>
  <c r="I779" i="42"/>
  <c r="I778" i="42"/>
  <c r="I777" i="42"/>
  <c r="I776" i="42"/>
  <c r="I775" i="42"/>
  <c r="I774" i="42"/>
  <c r="I773" i="42"/>
  <c r="I772" i="42"/>
  <c r="I771" i="42"/>
  <c r="I770" i="42"/>
  <c r="I769" i="42"/>
  <c r="I768" i="42"/>
  <c r="I767" i="42"/>
  <c r="I766" i="42"/>
  <c r="I765" i="42"/>
  <c r="I764" i="42"/>
  <c r="I763" i="42"/>
  <c r="I762" i="42"/>
  <c r="I761" i="42"/>
  <c r="I760" i="42"/>
  <c r="I759" i="42"/>
  <c r="I758" i="42"/>
  <c r="I757" i="42"/>
  <c r="I756" i="42"/>
  <c r="I755" i="42"/>
  <c r="I754" i="42"/>
  <c r="I753" i="42"/>
  <c r="I752" i="42"/>
  <c r="I751" i="42"/>
  <c r="I750" i="42"/>
  <c r="I749" i="42"/>
  <c r="I748" i="42"/>
  <c r="I747" i="42"/>
  <c r="I746" i="42"/>
  <c r="I745" i="42"/>
  <c r="I744" i="42"/>
  <c r="I743" i="42"/>
  <c r="I742" i="42"/>
  <c r="I741" i="42"/>
  <c r="I740" i="42"/>
  <c r="I739" i="42"/>
  <c r="I738" i="42"/>
  <c r="I737" i="42"/>
  <c r="I736" i="42"/>
  <c r="I735" i="42"/>
  <c r="I734" i="42"/>
  <c r="I733" i="42"/>
  <c r="I732" i="42"/>
  <c r="I731" i="42"/>
  <c r="I730" i="42"/>
  <c r="I729" i="42"/>
  <c r="I728" i="42"/>
  <c r="I727" i="42"/>
  <c r="I726" i="42"/>
  <c r="I725" i="42"/>
  <c r="I724" i="42"/>
  <c r="I723" i="42"/>
  <c r="I722" i="42"/>
  <c r="I721" i="42"/>
  <c r="I720" i="42"/>
  <c r="I719" i="42"/>
  <c r="I718" i="42"/>
  <c r="I717" i="42"/>
  <c r="I716" i="42"/>
  <c r="I715" i="42"/>
  <c r="I714" i="42"/>
  <c r="I713" i="42"/>
  <c r="I712" i="42"/>
  <c r="I711" i="42"/>
  <c r="I710" i="42"/>
  <c r="I709" i="42"/>
  <c r="I708" i="42"/>
  <c r="I707" i="42"/>
  <c r="I706" i="42"/>
  <c r="I705" i="42"/>
  <c r="I704" i="42"/>
  <c r="I703" i="42"/>
  <c r="I702" i="42"/>
  <c r="I701" i="42"/>
  <c r="I700" i="42"/>
  <c r="I699" i="42"/>
  <c r="I698" i="42"/>
  <c r="I697" i="42"/>
  <c r="I696" i="42"/>
  <c r="I695" i="42"/>
  <c r="I694" i="42"/>
  <c r="I693" i="42"/>
  <c r="I692" i="42"/>
  <c r="I691" i="42"/>
  <c r="I690" i="42"/>
  <c r="I689" i="42"/>
  <c r="I688" i="42"/>
  <c r="I687" i="42"/>
  <c r="I686" i="42"/>
  <c r="I685" i="42"/>
  <c r="I684" i="42"/>
  <c r="I683" i="42"/>
  <c r="I682" i="42"/>
  <c r="I681" i="42"/>
  <c r="I680" i="42"/>
  <c r="I679" i="42"/>
  <c r="I678" i="42"/>
  <c r="I677" i="42"/>
  <c r="I676" i="42"/>
  <c r="I675" i="42"/>
  <c r="I674" i="42"/>
  <c r="I673" i="42"/>
  <c r="I672" i="42"/>
  <c r="I671" i="42"/>
  <c r="I670" i="42"/>
  <c r="I669" i="42"/>
  <c r="I668" i="42"/>
  <c r="I667" i="42"/>
  <c r="I666" i="42"/>
  <c r="I665" i="42"/>
  <c r="I664" i="42"/>
  <c r="I663" i="42"/>
  <c r="I662" i="42"/>
  <c r="I661" i="42"/>
  <c r="I660" i="42"/>
  <c r="I659" i="42"/>
  <c r="I658" i="42"/>
  <c r="I657" i="42"/>
  <c r="I656" i="42"/>
  <c r="I655" i="42"/>
  <c r="I654" i="42"/>
  <c r="I653" i="42"/>
  <c r="I652" i="42"/>
  <c r="I651" i="42"/>
  <c r="I650" i="42"/>
  <c r="I649" i="42"/>
  <c r="I648" i="42"/>
  <c r="I647" i="42"/>
  <c r="I646" i="42"/>
  <c r="I645" i="42"/>
  <c r="I644" i="42"/>
  <c r="I643" i="42"/>
  <c r="I642" i="42"/>
  <c r="I641" i="42"/>
  <c r="I640" i="42"/>
  <c r="I639" i="42"/>
  <c r="I638" i="42"/>
  <c r="I637" i="42"/>
  <c r="I636" i="42"/>
  <c r="I635" i="42"/>
  <c r="I634" i="42"/>
  <c r="I633" i="42"/>
  <c r="I632" i="42"/>
  <c r="I631" i="42"/>
  <c r="I630" i="42"/>
  <c r="I629" i="42"/>
  <c r="I628" i="42"/>
  <c r="I627" i="42"/>
  <c r="I626" i="42"/>
  <c r="I625" i="42"/>
  <c r="I624" i="42"/>
  <c r="I623" i="42"/>
  <c r="I622" i="42"/>
  <c r="I621" i="42"/>
  <c r="I620" i="42"/>
  <c r="I619" i="42"/>
  <c r="I618" i="42"/>
  <c r="I617" i="42"/>
  <c r="I616" i="42"/>
  <c r="I615" i="42"/>
  <c r="I614" i="42"/>
  <c r="I613" i="42"/>
  <c r="I612" i="42"/>
  <c r="I611" i="42"/>
  <c r="I610" i="42"/>
  <c r="I609" i="42"/>
  <c r="I608" i="42"/>
  <c r="I607" i="42"/>
  <c r="I606" i="42"/>
  <c r="I605" i="42"/>
  <c r="I604" i="42"/>
  <c r="I603" i="42"/>
  <c r="I602" i="42"/>
  <c r="I601" i="42"/>
  <c r="I600" i="42"/>
  <c r="I599" i="42"/>
  <c r="I598" i="42"/>
  <c r="I597" i="42"/>
  <c r="I596" i="42"/>
  <c r="I595" i="42"/>
  <c r="I594" i="42"/>
  <c r="I593" i="42"/>
  <c r="I592" i="42"/>
  <c r="I591" i="42"/>
  <c r="I590" i="42"/>
  <c r="I589" i="42"/>
  <c r="I588" i="42"/>
  <c r="I587" i="42"/>
  <c r="I586" i="42"/>
  <c r="I585" i="42"/>
  <c r="I584" i="42"/>
  <c r="I583" i="42"/>
  <c r="I582" i="42"/>
  <c r="I581" i="42"/>
  <c r="I580" i="42"/>
  <c r="I579" i="42"/>
  <c r="I578" i="42"/>
  <c r="I577" i="42"/>
  <c r="I576" i="42"/>
  <c r="I575" i="42"/>
  <c r="I574" i="42"/>
  <c r="I573" i="42"/>
  <c r="I572" i="42"/>
  <c r="I571" i="42"/>
  <c r="I570" i="42"/>
  <c r="I569" i="42"/>
  <c r="I568" i="42"/>
  <c r="I567" i="42"/>
  <c r="I566" i="42"/>
  <c r="I565" i="42"/>
  <c r="I564" i="42"/>
  <c r="I563" i="42"/>
  <c r="I562" i="42"/>
  <c r="I561" i="42"/>
  <c r="I560" i="42"/>
  <c r="I559" i="42"/>
  <c r="I558" i="42"/>
  <c r="I557" i="42"/>
  <c r="I556" i="42"/>
  <c r="I555" i="42"/>
  <c r="I554" i="42"/>
  <c r="I553" i="42"/>
  <c r="I552" i="42"/>
  <c r="I551" i="42"/>
  <c r="I550" i="42"/>
  <c r="I549" i="42"/>
  <c r="I548" i="42"/>
  <c r="I547" i="42"/>
  <c r="I546" i="42"/>
  <c r="I545" i="42"/>
  <c r="I544" i="42"/>
  <c r="I543" i="42"/>
  <c r="I542" i="42"/>
  <c r="I541" i="42"/>
  <c r="I540" i="42"/>
  <c r="I539" i="42"/>
  <c r="I538" i="42"/>
  <c r="I537" i="42"/>
  <c r="I536" i="42"/>
  <c r="I535" i="42"/>
  <c r="I534" i="42"/>
  <c r="I533" i="42"/>
  <c r="I532" i="42"/>
  <c r="I531" i="42"/>
  <c r="I530" i="42"/>
  <c r="I529" i="42"/>
  <c r="I528" i="42"/>
  <c r="I527" i="42"/>
  <c r="I526" i="42"/>
  <c r="I525" i="42"/>
  <c r="I524" i="42"/>
  <c r="I523" i="42"/>
  <c r="I522" i="42"/>
  <c r="I521" i="42"/>
  <c r="I520" i="42"/>
  <c r="I519" i="42"/>
  <c r="I518" i="42"/>
  <c r="I517" i="42"/>
  <c r="I516" i="42"/>
  <c r="I515" i="42"/>
  <c r="I514" i="42"/>
  <c r="I513" i="42"/>
  <c r="I512" i="42"/>
  <c r="I511" i="42"/>
  <c r="I510" i="42"/>
  <c r="I509" i="42"/>
  <c r="I508" i="42"/>
  <c r="I507" i="42"/>
  <c r="I506" i="42"/>
  <c r="I505" i="42"/>
  <c r="I504" i="42"/>
  <c r="I503" i="42"/>
  <c r="I502" i="42"/>
  <c r="I501" i="42"/>
  <c r="I500" i="42"/>
  <c r="I499" i="42"/>
  <c r="I498" i="42"/>
  <c r="I497" i="42"/>
  <c r="I496" i="42"/>
  <c r="I495" i="42"/>
  <c r="I494" i="42"/>
  <c r="I493" i="42"/>
  <c r="I492" i="42"/>
  <c r="I491" i="42"/>
  <c r="I490" i="42"/>
  <c r="I489" i="42"/>
  <c r="I488" i="42"/>
  <c r="I487" i="42"/>
  <c r="I486" i="42"/>
  <c r="I485" i="42"/>
  <c r="I484" i="42"/>
  <c r="I483" i="42"/>
  <c r="I482" i="42"/>
  <c r="I481" i="42"/>
  <c r="I480" i="42"/>
  <c r="I479" i="42"/>
  <c r="I478" i="42"/>
  <c r="I477" i="42"/>
  <c r="I476" i="42"/>
  <c r="I475" i="42"/>
  <c r="I474" i="42"/>
  <c r="I473" i="42"/>
  <c r="I472" i="42"/>
  <c r="I471" i="42"/>
  <c r="I470" i="42"/>
  <c r="I469" i="42"/>
  <c r="I468" i="42"/>
  <c r="I467" i="42"/>
  <c r="I466" i="42"/>
  <c r="I465" i="42"/>
  <c r="I464" i="42"/>
  <c r="I463" i="42"/>
  <c r="I462" i="42"/>
  <c r="I461" i="42"/>
  <c r="I460" i="42"/>
  <c r="I459" i="42"/>
  <c r="I458" i="42"/>
  <c r="I457" i="42"/>
  <c r="I456" i="42"/>
  <c r="I455" i="42"/>
  <c r="I454" i="42"/>
  <c r="I453" i="42"/>
  <c r="I452" i="42"/>
  <c r="I451" i="42"/>
  <c r="I450" i="42"/>
  <c r="I449" i="42"/>
  <c r="I448" i="42"/>
  <c r="I447" i="42"/>
  <c r="I446" i="42"/>
  <c r="I445" i="42"/>
  <c r="I444" i="42"/>
  <c r="I443" i="42"/>
  <c r="I442" i="42"/>
  <c r="I441" i="42"/>
  <c r="I440" i="42"/>
  <c r="I439" i="42"/>
  <c r="I438" i="42"/>
  <c r="I437" i="42"/>
  <c r="I436" i="42"/>
  <c r="I435" i="42"/>
  <c r="I434" i="42"/>
  <c r="I433" i="42"/>
  <c r="I432" i="42"/>
  <c r="I431" i="42"/>
  <c r="I430" i="42"/>
  <c r="I429" i="42"/>
  <c r="I428" i="42"/>
  <c r="I427" i="42"/>
  <c r="I426" i="42"/>
  <c r="I425" i="42"/>
  <c r="I424" i="42"/>
  <c r="I423" i="42"/>
  <c r="I422" i="42"/>
  <c r="I421" i="42"/>
  <c r="I420" i="42"/>
  <c r="I419" i="42"/>
  <c r="I418" i="42"/>
  <c r="I417" i="42"/>
  <c r="I416" i="42"/>
  <c r="I415" i="42"/>
  <c r="I414" i="42"/>
  <c r="I413" i="42"/>
  <c r="I412" i="42"/>
  <c r="I411" i="42"/>
  <c r="I410" i="42"/>
  <c r="I409" i="42"/>
  <c r="I408" i="42"/>
  <c r="I407" i="42"/>
  <c r="I406" i="42"/>
  <c r="I405" i="42"/>
  <c r="I404" i="42"/>
  <c r="I403" i="42"/>
  <c r="I402" i="42"/>
  <c r="I401" i="42"/>
  <c r="I400" i="42"/>
  <c r="I399" i="42"/>
  <c r="I398" i="42"/>
  <c r="I397" i="42"/>
  <c r="I396" i="42"/>
  <c r="I395" i="42"/>
  <c r="I394" i="42"/>
  <c r="I393" i="42"/>
  <c r="I392" i="42"/>
  <c r="I391" i="42"/>
  <c r="I390" i="42"/>
  <c r="I389" i="42"/>
  <c r="I388" i="42"/>
  <c r="I387" i="42"/>
  <c r="I386" i="42"/>
  <c r="I385" i="42"/>
  <c r="I384" i="42"/>
  <c r="I383" i="42"/>
  <c r="I382" i="42"/>
  <c r="I381" i="42"/>
  <c r="I380" i="42"/>
  <c r="I379" i="42"/>
  <c r="I378" i="42"/>
  <c r="I377" i="42"/>
  <c r="I376" i="42"/>
  <c r="I375" i="42"/>
  <c r="I374" i="42"/>
  <c r="I373" i="42"/>
  <c r="I372" i="42"/>
  <c r="I371" i="42"/>
  <c r="I370" i="42"/>
  <c r="I369" i="42"/>
  <c r="I368" i="42"/>
  <c r="I367" i="42"/>
  <c r="I366" i="42"/>
  <c r="I365" i="42"/>
  <c r="I364" i="42"/>
  <c r="I363" i="42"/>
  <c r="I362" i="42"/>
  <c r="I361" i="42"/>
  <c r="I360" i="42"/>
  <c r="I359" i="42"/>
  <c r="I358" i="42"/>
  <c r="I357" i="42"/>
  <c r="I356" i="42"/>
  <c r="I355" i="42"/>
  <c r="I354" i="42"/>
  <c r="I353" i="42"/>
  <c r="I352" i="42"/>
  <c r="I351" i="42"/>
  <c r="I350" i="42"/>
  <c r="I349" i="42"/>
  <c r="I348" i="42"/>
  <c r="I347" i="42"/>
  <c r="I346" i="42"/>
  <c r="I345" i="42"/>
  <c r="I344" i="42"/>
  <c r="I343" i="42"/>
  <c r="I342" i="42"/>
  <c r="I341" i="42"/>
  <c r="I340" i="42"/>
  <c r="I339" i="42"/>
  <c r="I338" i="42"/>
  <c r="I337" i="42"/>
  <c r="I336" i="42"/>
  <c r="I335" i="42"/>
  <c r="I334" i="42"/>
  <c r="I333" i="42"/>
  <c r="I332" i="42"/>
  <c r="I331" i="42"/>
  <c r="I330" i="42"/>
  <c r="I329" i="42"/>
  <c r="I328" i="42"/>
  <c r="I327" i="42"/>
  <c r="I326" i="42"/>
  <c r="I325" i="42"/>
  <c r="I324" i="42"/>
  <c r="I323" i="42"/>
  <c r="I322" i="42"/>
  <c r="I321" i="42"/>
  <c r="I320" i="42"/>
  <c r="I319" i="42"/>
  <c r="I318" i="42"/>
  <c r="I317" i="42"/>
  <c r="I316" i="42"/>
  <c r="I315" i="42"/>
  <c r="I314" i="42"/>
  <c r="I313" i="42"/>
  <c r="I312" i="42"/>
  <c r="I311" i="42"/>
  <c r="I310" i="42"/>
  <c r="I309" i="42"/>
  <c r="I308" i="42"/>
  <c r="I307" i="42"/>
  <c r="I306" i="42"/>
  <c r="I305" i="42"/>
  <c r="I304" i="42"/>
  <c r="I303" i="42"/>
  <c r="I302" i="42"/>
  <c r="I301" i="42"/>
  <c r="I300" i="42"/>
  <c r="I299" i="42"/>
  <c r="I298" i="42"/>
  <c r="I297" i="42"/>
  <c r="I296" i="42"/>
  <c r="I295" i="42"/>
  <c r="I294" i="42"/>
  <c r="I293" i="42"/>
  <c r="I292" i="42"/>
  <c r="I291" i="42"/>
  <c r="I290" i="42"/>
  <c r="I289" i="42"/>
  <c r="I288" i="42"/>
  <c r="I287" i="42"/>
  <c r="I286" i="42"/>
  <c r="I285" i="42"/>
  <c r="I284" i="42"/>
  <c r="I283" i="42"/>
  <c r="I282" i="42"/>
  <c r="I281" i="42"/>
  <c r="I280" i="42"/>
  <c r="I279" i="42"/>
  <c r="I278" i="42"/>
  <c r="I277" i="42"/>
  <c r="I276" i="42"/>
  <c r="I275" i="42"/>
  <c r="I274" i="42"/>
  <c r="I273" i="42"/>
  <c r="I272" i="42"/>
  <c r="I271" i="42"/>
  <c r="I270" i="42"/>
  <c r="I269" i="42"/>
  <c r="I268" i="42"/>
  <c r="I267" i="42"/>
  <c r="I266" i="42"/>
  <c r="I265" i="42"/>
  <c r="I264" i="42"/>
  <c r="I263" i="42"/>
  <c r="I262" i="42"/>
  <c r="I261" i="42"/>
  <c r="I260" i="42"/>
  <c r="I259" i="42"/>
  <c r="I258" i="42"/>
  <c r="I257" i="42"/>
  <c r="I256" i="42"/>
  <c r="I255" i="42"/>
  <c r="I254" i="42"/>
  <c r="I253" i="42"/>
  <c r="I252" i="42"/>
  <c r="I251" i="42"/>
  <c r="I250" i="42"/>
  <c r="I249" i="42"/>
  <c r="I248" i="42"/>
  <c r="I247" i="42"/>
  <c r="I246" i="42"/>
  <c r="I245" i="42"/>
  <c r="I244" i="42"/>
  <c r="I243" i="42"/>
  <c r="I242" i="42"/>
  <c r="I241" i="42"/>
  <c r="I240" i="42"/>
  <c r="I239" i="42"/>
  <c r="I238" i="42"/>
  <c r="I237" i="42"/>
  <c r="I236" i="42"/>
  <c r="I235" i="42"/>
  <c r="I234" i="42"/>
  <c r="I233" i="42"/>
  <c r="I232" i="42"/>
  <c r="I231" i="42"/>
  <c r="I230" i="42"/>
  <c r="I229" i="42"/>
  <c r="I228" i="42"/>
  <c r="I227" i="42"/>
  <c r="I226" i="42"/>
  <c r="I225" i="42"/>
  <c r="I224" i="42"/>
  <c r="I223" i="42"/>
  <c r="I222" i="42"/>
  <c r="I221" i="42"/>
  <c r="I220" i="42"/>
  <c r="I219" i="42"/>
  <c r="I218" i="42"/>
  <c r="I217" i="42"/>
  <c r="I216" i="42"/>
  <c r="I215" i="42"/>
  <c r="I214" i="42"/>
  <c r="I213" i="42"/>
  <c r="I212" i="42"/>
  <c r="I211" i="42"/>
  <c r="I210" i="42"/>
  <c r="I209" i="42"/>
  <c r="I208" i="42"/>
  <c r="I207" i="42"/>
  <c r="I206" i="42"/>
  <c r="I205" i="42"/>
  <c r="I204" i="42"/>
  <c r="I203" i="42"/>
  <c r="I202" i="42"/>
  <c r="I201" i="42"/>
  <c r="I200" i="42"/>
  <c r="I199" i="42"/>
  <c r="I198" i="42"/>
  <c r="I197" i="42"/>
  <c r="I196" i="42"/>
  <c r="I195" i="42"/>
  <c r="I194" i="42"/>
  <c r="I193" i="42"/>
  <c r="I192" i="42"/>
  <c r="I191" i="42"/>
  <c r="I190" i="42"/>
  <c r="I189" i="42"/>
  <c r="I188" i="42"/>
  <c r="I187" i="42"/>
  <c r="I186" i="42"/>
  <c r="I185" i="42"/>
  <c r="I184" i="42"/>
  <c r="I183" i="42"/>
  <c r="I182" i="42"/>
  <c r="I181" i="42"/>
  <c r="I180" i="42"/>
  <c r="I179" i="42"/>
  <c r="I178" i="42"/>
  <c r="I177" i="42"/>
  <c r="I176" i="42"/>
  <c r="I175" i="42"/>
  <c r="I174" i="42"/>
  <c r="I173" i="42"/>
  <c r="I172" i="42"/>
  <c r="I171" i="42"/>
  <c r="I170" i="42"/>
  <c r="I169" i="42"/>
  <c r="I168" i="42"/>
  <c r="I167" i="42"/>
  <c r="I166" i="42"/>
  <c r="I165" i="42"/>
  <c r="I164" i="42"/>
  <c r="I163" i="42"/>
  <c r="I162" i="42"/>
  <c r="I161" i="42"/>
  <c r="I160" i="42"/>
  <c r="I159" i="42"/>
  <c r="I158" i="42"/>
  <c r="I157" i="42"/>
  <c r="I156" i="42"/>
  <c r="I155" i="42"/>
  <c r="I154" i="42"/>
  <c r="I153" i="42"/>
  <c r="I152" i="42"/>
  <c r="I151" i="42"/>
  <c r="I150" i="42"/>
  <c r="I149" i="42"/>
  <c r="I148" i="42"/>
  <c r="I147" i="42"/>
  <c r="I146" i="42"/>
  <c r="I145" i="42"/>
  <c r="I144" i="42"/>
  <c r="I143" i="42"/>
  <c r="I142" i="42"/>
  <c r="I141" i="42"/>
  <c r="I140" i="42"/>
  <c r="I139" i="42"/>
  <c r="I138" i="42"/>
  <c r="I137" i="42"/>
  <c r="I136" i="42"/>
  <c r="I135" i="42"/>
  <c r="I134" i="42"/>
  <c r="I133" i="42"/>
  <c r="I132" i="42"/>
  <c r="I131" i="42"/>
  <c r="I130" i="42"/>
  <c r="I129" i="42"/>
  <c r="I128" i="42"/>
  <c r="I127" i="42"/>
  <c r="I126" i="42"/>
  <c r="I125" i="42"/>
  <c r="I124" i="42"/>
  <c r="I123" i="42"/>
  <c r="I122" i="42"/>
  <c r="I121" i="42"/>
  <c r="I120" i="42"/>
  <c r="I119" i="42"/>
  <c r="I118" i="42"/>
  <c r="I117" i="42"/>
  <c r="I116" i="42"/>
  <c r="I115" i="42"/>
  <c r="I114" i="42"/>
  <c r="I113" i="42"/>
  <c r="I112" i="42"/>
  <c r="I111" i="42"/>
  <c r="I110" i="42"/>
  <c r="I109" i="42"/>
  <c r="I108" i="42"/>
  <c r="I107" i="42"/>
  <c r="I106" i="42"/>
  <c r="I105" i="42"/>
  <c r="I104" i="42"/>
  <c r="I103" i="42"/>
  <c r="I102" i="42"/>
  <c r="I101" i="42"/>
  <c r="I100" i="42"/>
  <c r="I99" i="42"/>
  <c r="I98" i="42"/>
  <c r="I97" i="42"/>
  <c r="I96" i="42"/>
  <c r="I95" i="42"/>
  <c r="I94" i="42"/>
  <c r="I93" i="42"/>
  <c r="I92" i="42"/>
  <c r="I91" i="42"/>
  <c r="I90" i="42"/>
  <c r="I89" i="42"/>
  <c r="I88" i="42"/>
  <c r="I87" i="42"/>
  <c r="I86" i="42"/>
  <c r="I85" i="42"/>
  <c r="I84" i="42"/>
  <c r="I83" i="42"/>
  <c r="I82" i="42"/>
  <c r="I81" i="42"/>
  <c r="I80" i="42"/>
  <c r="I79" i="42"/>
  <c r="I78" i="42"/>
  <c r="I77" i="42"/>
  <c r="I76" i="42"/>
  <c r="I75" i="42"/>
  <c r="I74" i="42"/>
  <c r="I73" i="42"/>
  <c r="I72" i="42"/>
  <c r="I71" i="42"/>
  <c r="I70" i="42"/>
  <c r="I69" i="42"/>
  <c r="I68" i="42"/>
  <c r="I67" i="42"/>
  <c r="I66" i="42"/>
  <c r="I65" i="42"/>
  <c r="I64" i="42"/>
  <c r="I63" i="42"/>
  <c r="I62" i="42"/>
  <c r="I61" i="42"/>
  <c r="I60" i="42"/>
  <c r="I59" i="42"/>
  <c r="I58" i="42"/>
  <c r="I57" i="42"/>
  <c r="I56" i="42"/>
  <c r="I55" i="42"/>
  <c r="I54" i="42"/>
  <c r="I53" i="42"/>
  <c r="I52" i="42"/>
  <c r="I51" i="42"/>
  <c r="I50" i="42"/>
  <c r="I49" i="42"/>
  <c r="I48" i="42"/>
  <c r="I47" i="42"/>
  <c r="I46" i="42"/>
  <c r="M45" i="42"/>
  <c r="N45" i="42" s="1"/>
  <c r="I45" i="42"/>
  <c r="N44" i="42"/>
  <c r="M44" i="42"/>
  <c r="I44" i="42"/>
  <c r="N43" i="42"/>
  <c r="M43" i="42"/>
  <c r="I43" i="42"/>
  <c r="M42" i="42"/>
  <c r="N42" i="42" s="1"/>
  <c r="I42" i="42"/>
  <c r="M41" i="42"/>
  <c r="N41" i="42" s="1"/>
  <c r="I41" i="42"/>
  <c r="N40" i="42"/>
  <c r="M40" i="42"/>
  <c r="I40" i="42"/>
  <c r="N39" i="42"/>
  <c r="M39" i="42"/>
  <c r="I39" i="42"/>
  <c r="N38" i="42"/>
  <c r="M38" i="42"/>
  <c r="I38" i="42"/>
  <c r="M37" i="42"/>
  <c r="N37" i="42" s="1"/>
  <c r="I37" i="42"/>
  <c r="N36" i="42"/>
  <c r="M36" i="42"/>
  <c r="I36" i="42"/>
  <c r="N35" i="42"/>
  <c r="M35" i="42"/>
  <c r="I35" i="42"/>
  <c r="M34" i="42"/>
  <c r="N34" i="42" s="1"/>
  <c r="I34" i="42"/>
  <c r="M33" i="42"/>
  <c r="N33" i="42" s="1"/>
  <c r="I33" i="42"/>
  <c r="N32" i="42"/>
  <c r="M32" i="42"/>
  <c r="I32" i="42"/>
  <c r="N31" i="42"/>
  <c r="M31" i="42"/>
  <c r="I31" i="42"/>
  <c r="N30" i="42"/>
  <c r="M30" i="42"/>
  <c r="I30" i="42"/>
  <c r="M29" i="42"/>
  <c r="N29" i="42" s="1"/>
  <c r="I29" i="42"/>
  <c r="N28" i="42"/>
  <c r="M28" i="42"/>
  <c r="I28" i="42"/>
  <c r="N27" i="42"/>
  <c r="M27" i="42"/>
  <c r="I27" i="42"/>
  <c r="M26" i="42"/>
  <c r="N26" i="42" s="1"/>
  <c r="I26" i="42"/>
  <c r="M25" i="42"/>
  <c r="N25" i="42" s="1"/>
  <c r="I25" i="42"/>
  <c r="N24" i="42"/>
  <c r="M24" i="42"/>
  <c r="I24" i="42"/>
  <c r="N23" i="42"/>
  <c r="M23" i="42"/>
  <c r="I23" i="42"/>
  <c r="N22" i="42"/>
  <c r="M22" i="42"/>
  <c r="I22" i="42"/>
  <c r="M21" i="42"/>
  <c r="N21" i="42" s="1"/>
  <c r="I21" i="42"/>
  <c r="N20" i="42"/>
  <c r="M20" i="42"/>
  <c r="I20" i="42"/>
  <c r="N19" i="42"/>
  <c r="M19" i="42"/>
  <c r="I19" i="42"/>
  <c r="M18" i="42"/>
  <c r="N18" i="42" s="1"/>
  <c r="I18" i="42"/>
  <c r="M17" i="42"/>
  <c r="N17" i="42" s="1"/>
  <c r="I17" i="42"/>
  <c r="N16" i="42"/>
  <c r="M16" i="42"/>
  <c r="I16" i="42"/>
  <c r="N15" i="42"/>
  <c r="M15" i="42"/>
  <c r="I15" i="42"/>
  <c r="N14" i="42"/>
  <c r="M14" i="42"/>
  <c r="I14" i="42"/>
  <c r="M13" i="42"/>
  <c r="N13" i="42" s="1"/>
  <c r="I13" i="42"/>
  <c r="N12" i="42"/>
  <c r="M12" i="42"/>
  <c r="I12" i="42"/>
  <c r="N11" i="42"/>
  <c r="M11" i="42"/>
  <c r="I11" i="42"/>
  <c r="M10" i="42"/>
  <c r="N10" i="42" s="1"/>
  <c r="I10" i="42"/>
  <c r="M9" i="42"/>
  <c r="N9" i="42" s="1"/>
  <c r="I9" i="42"/>
  <c r="N8" i="42"/>
  <c r="M8" i="42"/>
  <c r="I8" i="42"/>
  <c r="N7" i="42"/>
  <c r="M7" i="42"/>
  <c r="I7" i="42"/>
  <c r="N6" i="42"/>
  <c r="M6" i="42"/>
  <c r="I6" i="42"/>
  <c r="M5" i="42"/>
  <c r="N5" i="42" s="1"/>
  <c r="I5" i="42"/>
  <c r="N4" i="42"/>
  <c r="M4" i="42"/>
  <c r="I4" i="42"/>
  <c r="I5003" i="41"/>
  <c r="I5002" i="41"/>
  <c r="I5001" i="41"/>
  <c r="I5000" i="41"/>
  <c r="I4999" i="41"/>
  <c r="I4998" i="41"/>
  <c r="I4997" i="41"/>
  <c r="I4996" i="41"/>
  <c r="I4995" i="41"/>
  <c r="I4994" i="41"/>
  <c r="I4993" i="41"/>
  <c r="I4992" i="41"/>
  <c r="I4991" i="41"/>
  <c r="I4990" i="41"/>
  <c r="I4989" i="41"/>
  <c r="I4988" i="41"/>
  <c r="I4987" i="41"/>
  <c r="I4986" i="41"/>
  <c r="I4985" i="41"/>
  <c r="I4984" i="41"/>
  <c r="I4983" i="41"/>
  <c r="I4982" i="41"/>
  <c r="I4981" i="41"/>
  <c r="I4980" i="41"/>
  <c r="I4979" i="41"/>
  <c r="I4978" i="41"/>
  <c r="I4977" i="41"/>
  <c r="I4976" i="41"/>
  <c r="I4975" i="41"/>
  <c r="I4974" i="41"/>
  <c r="I4973" i="41"/>
  <c r="I4972" i="41"/>
  <c r="I4971" i="41"/>
  <c r="I4970" i="41"/>
  <c r="I4969" i="41"/>
  <c r="I4968" i="41"/>
  <c r="I4967" i="41"/>
  <c r="I4966" i="41"/>
  <c r="I4965" i="41"/>
  <c r="I4964" i="41"/>
  <c r="I4963" i="41"/>
  <c r="I4962" i="41"/>
  <c r="I4961" i="41"/>
  <c r="I4960" i="41"/>
  <c r="I4959" i="41"/>
  <c r="I4958" i="41"/>
  <c r="I4957" i="41"/>
  <c r="I4956" i="41"/>
  <c r="I4955" i="41"/>
  <c r="I4954" i="41"/>
  <c r="I4953" i="41"/>
  <c r="I4952" i="41"/>
  <c r="I4951" i="41"/>
  <c r="I4950" i="41"/>
  <c r="I4949" i="41"/>
  <c r="I4948" i="41"/>
  <c r="I4947" i="41"/>
  <c r="I4946" i="41"/>
  <c r="I4945" i="41"/>
  <c r="I4944" i="41"/>
  <c r="I4943" i="41"/>
  <c r="I4942" i="41"/>
  <c r="I4941" i="41"/>
  <c r="I4940" i="41"/>
  <c r="I4939" i="41"/>
  <c r="I4938" i="41"/>
  <c r="I4937" i="41"/>
  <c r="I4936" i="41"/>
  <c r="I4935" i="41"/>
  <c r="I4934" i="41"/>
  <c r="I4933" i="41"/>
  <c r="I4932" i="41"/>
  <c r="I4931" i="41"/>
  <c r="I4930" i="41"/>
  <c r="I4929" i="41"/>
  <c r="I4928" i="41"/>
  <c r="I4927" i="41"/>
  <c r="I4926" i="41"/>
  <c r="I4925" i="41"/>
  <c r="I4924" i="41"/>
  <c r="I4923" i="41"/>
  <c r="I4922" i="41"/>
  <c r="I4921" i="41"/>
  <c r="I4920" i="41"/>
  <c r="I4919" i="41"/>
  <c r="I4918" i="41"/>
  <c r="I4917" i="41"/>
  <c r="I4916" i="41"/>
  <c r="I4915" i="41"/>
  <c r="I4914" i="41"/>
  <c r="I4913" i="41"/>
  <c r="I4912" i="41"/>
  <c r="I4911" i="41"/>
  <c r="I4910" i="41"/>
  <c r="I4909" i="41"/>
  <c r="I4908" i="41"/>
  <c r="I4907" i="41"/>
  <c r="I4906" i="41"/>
  <c r="I4905" i="41"/>
  <c r="I4904" i="41"/>
  <c r="I4903" i="41"/>
  <c r="I4902" i="41"/>
  <c r="I4901" i="41"/>
  <c r="I4900" i="41"/>
  <c r="I4899" i="41"/>
  <c r="I4898" i="41"/>
  <c r="I4897" i="41"/>
  <c r="I4896" i="41"/>
  <c r="I4895" i="41"/>
  <c r="I4894" i="41"/>
  <c r="I4893" i="41"/>
  <c r="I4892" i="41"/>
  <c r="I4891" i="41"/>
  <c r="I4890" i="41"/>
  <c r="I4889" i="41"/>
  <c r="I4888" i="41"/>
  <c r="I4887" i="41"/>
  <c r="I4886" i="41"/>
  <c r="I4885" i="41"/>
  <c r="I4884" i="41"/>
  <c r="I4883" i="41"/>
  <c r="I4882" i="41"/>
  <c r="I4881" i="41"/>
  <c r="I4880" i="41"/>
  <c r="I4879" i="41"/>
  <c r="I4878" i="41"/>
  <c r="I4877" i="41"/>
  <c r="I4876" i="41"/>
  <c r="I4875" i="41"/>
  <c r="I4874" i="41"/>
  <c r="I4873" i="41"/>
  <c r="I4872" i="41"/>
  <c r="I4871" i="41"/>
  <c r="I4870" i="41"/>
  <c r="I4869" i="41"/>
  <c r="I4868" i="41"/>
  <c r="I4867" i="41"/>
  <c r="I4866" i="41"/>
  <c r="I4865" i="41"/>
  <c r="I4864" i="41"/>
  <c r="I4863" i="41"/>
  <c r="I4862" i="41"/>
  <c r="I4861" i="41"/>
  <c r="I4860" i="41"/>
  <c r="I4859" i="41"/>
  <c r="I4858" i="41"/>
  <c r="I4857" i="41"/>
  <c r="I4856" i="41"/>
  <c r="I4855" i="41"/>
  <c r="I4854" i="41"/>
  <c r="I4853" i="41"/>
  <c r="I4852" i="41"/>
  <c r="I4851" i="41"/>
  <c r="I4850" i="41"/>
  <c r="I4849" i="41"/>
  <c r="I4848" i="41"/>
  <c r="I4847" i="41"/>
  <c r="I4846" i="41"/>
  <c r="I4845" i="41"/>
  <c r="I4844" i="41"/>
  <c r="I4843" i="41"/>
  <c r="I4842" i="41"/>
  <c r="I4841" i="41"/>
  <c r="I4840" i="41"/>
  <c r="I4839" i="41"/>
  <c r="I4838" i="41"/>
  <c r="I4837" i="41"/>
  <c r="I4836" i="41"/>
  <c r="I4835" i="41"/>
  <c r="I4834" i="41"/>
  <c r="I4833" i="41"/>
  <c r="I4832" i="41"/>
  <c r="I4831" i="41"/>
  <c r="I4830" i="41"/>
  <c r="I4829" i="41"/>
  <c r="I4828" i="41"/>
  <c r="I4827" i="41"/>
  <c r="I4826" i="41"/>
  <c r="I4825" i="41"/>
  <c r="I4824" i="41"/>
  <c r="I4823" i="41"/>
  <c r="I4822" i="41"/>
  <c r="I4821" i="41"/>
  <c r="I4820" i="41"/>
  <c r="I4819" i="41"/>
  <c r="I4818" i="41"/>
  <c r="I4817" i="41"/>
  <c r="I4816" i="41"/>
  <c r="I4815" i="41"/>
  <c r="I4814" i="41"/>
  <c r="I4813" i="41"/>
  <c r="I4812" i="41"/>
  <c r="I4811" i="41"/>
  <c r="I4810" i="41"/>
  <c r="I4809" i="41"/>
  <c r="I4808" i="41"/>
  <c r="I4807" i="41"/>
  <c r="I4806" i="41"/>
  <c r="I4805" i="41"/>
  <c r="I4804" i="41"/>
  <c r="I4803" i="41"/>
  <c r="I4802" i="41"/>
  <c r="I4801" i="41"/>
  <c r="I4800" i="41"/>
  <c r="I4799" i="41"/>
  <c r="I4798" i="41"/>
  <c r="I4797" i="41"/>
  <c r="I4796" i="41"/>
  <c r="I4795" i="41"/>
  <c r="I4794" i="41"/>
  <c r="I4793" i="41"/>
  <c r="I4792" i="41"/>
  <c r="I4791" i="41"/>
  <c r="I4790" i="41"/>
  <c r="I4789" i="41"/>
  <c r="I4788" i="41"/>
  <c r="I4787" i="41"/>
  <c r="I4786" i="41"/>
  <c r="I4785" i="41"/>
  <c r="I4784" i="41"/>
  <c r="I4783" i="41"/>
  <c r="I4782" i="41"/>
  <c r="I4781" i="41"/>
  <c r="I4780" i="41"/>
  <c r="I4779" i="41"/>
  <c r="I4778" i="41"/>
  <c r="I4777" i="41"/>
  <c r="I4776" i="41"/>
  <c r="I4775" i="41"/>
  <c r="I4774" i="41"/>
  <c r="I4773" i="41"/>
  <c r="I4772" i="41"/>
  <c r="I4771" i="41"/>
  <c r="I4770" i="41"/>
  <c r="I4769" i="41"/>
  <c r="I4768" i="41"/>
  <c r="I4767" i="41"/>
  <c r="I4766" i="41"/>
  <c r="I4765" i="41"/>
  <c r="I4764" i="41"/>
  <c r="I4763" i="41"/>
  <c r="I4762" i="41"/>
  <c r="I4761" i="41"/>
  <c r="I4760" i="41"/>
  <c r="I4759" i="41"/>
  <c r="I4758" i="41"/>
  <c r="I4757" i="41"/>
  <c r="I4756" i="41"/>
  <c r="I4755" i="41"/>
  <c r="I4754" i="41"/>
  <c r="I4753" i="41"/>
  <c r="I4752" i="41"/>
  <c r="I4751" i="41"/>
  <c r="I4750" i="41"/>
  <c r="I4749" i="41"/>
  <c r="I4748" i="41"/>
  <c r="I4747" i="41"/>
  <c r="I4746" i="41"/>
  <c r="I4745" i="41"/>
  <c r="I4744" i="41"/>
  <c r="I4743" i="41"/>
  <c r="I4742" i="41"/>
  <c r="I4741" i="41"/>
  <c r="I4740" i="41"/>
  <c r="I4739" i="41"/>
  <c r="I4738" i="41"/>
  <c r="I4737" i="41"/>
  <c r="I4736" i="41"/>
  <c r="I4735" i="41"/>
  <c r="I4734" i="41"/>
  <c r="I4733" i="41"/>
  <c r="I4732" i="41"/>
  <c r="I4731" i="41"/>
  <c r="I4730" i="41"/>
  <c r="I4729" i="41"/>
  <c r="I4728" i="41"/>
  <c r="I4727" i="41"/>
  <c r="I4726" i="41"/>
  <c r="I4725" i="41"/>
  <c r="I4724" i="41"/>
  <c r="I4723" i="41"/>
  <c r="I4722" i="41"/>
  <c r="I4721" i="41"/>
  <c r="I4720" i="41"/>
  <c r="I4719" i="41"/>
  <c r="I4718" i="41"/>
  <c r="I4717" i="41"/>
  <c r="I4716" i="41"/>
  <c r="I4715" i="41"/>
  <c r="I4714" i="41"/>
  <c r="I4713" i="41"/>
  <c r="I4712" i="41"/>
  <c r="I4711" i="41"/>
  <c r="I4710" i="41"/>
  <c r="I4709" i="41"/>
  <c r="I4708" i="41"/>
  <c r="I4707" i="41"/>
  <c r="I4706" i="41"/>
  <c r="I4705" i="41"/>
  <c r="I4704" i="41"/>
  <c r="I4703" i="41"/>
  <c r="I4702" i="41"/>
  <c r="I4701" i="41"/>
  <c r="I4700" i="41"/>
  <c r="I4699" i="41"/>
  <c r="I4698" i="41"/>
  <c r="I4697" i="41"/>
  <c r="I4696" i="41"/>
  <c r="I4695" i="41"/>
  <c r="I4694" i="41"/>
  <c r="I4693" i="41"/>
  <c r="I4692" i="41"/>
  <c r="I4691" i="41"/>
  <c r="I4690" i="41"/>
  <c r="I4689" i="41"/>
  <c r="I4688" i="41"/>
  <c r="I4687" i="41"/>
  <c r="I4686" i="41"/>
  <c r="I4685" i="41"/>
  <c r="I4684" i="41"/>
  <c r="I4683" i="41"/>
  <c r="I4682" i="41"/>
  <c r="I4681" i="41"/>
  <c r="I4680" i="41"/>
  <c r="I4679" i="41"/>
  <c r="I4678" i="41"/>
  <c r="I4677" i="41"/>
  <c r="I4676" i="41"/>
  <c r="I4675" i="41"/>
  <c r="I4674" i="41"/>
  <c r="I4673" i="41"/>
  <c r="I4672" i="41"/>
  <c r="I4671" i="41"/>
  <c r="I4670" i="41"/>
  <c r="I4669" i="41"/>
  <c r="I4668" i="41"/>
  <c r="I4667" i="41"/>
  <c r="I4666" i="41"/>
  <c r="I4665" i="41"/>
  <c r="I4664" i="41"/>
  <c r="I4663" i="41"/>
  <c r="I4662" i="41"/>
  <c r="I4661" i="41"/>
  <c r="I4660" i="41"/>
  <c r="I4659" i="41"/>
  <c r="I4658" i="41"/>
  <c r="I4657" i="41"/>
  <c r="I4656" i="41"/>
  <c r="I4655" i="41"/>
  <c r="I4654" i="41"/>
  <c r="I4653" i="41"/>
  <c r="I4652" i="41"/>
  <c r="I4651" i="41"/>
  <c r="I4650" i="41"/>
  <c r="I4649" i="41"/>
  <c r="I4648" i="41"/>
  <c r="I4647" i="41"/>
  <c r="I4646" i="41"/>
  <c r="I4645" i="41"/>
  <c r="I4644" i="41"/>
  <c r="I4643" i="41"/>
  <c r="I4642" i="41"/>
  <c r="I4641" i="41"/>
  <c r="I4640" i="41"/>
  <c r="I4639" i="41"/>
  <c r="I4638" i="41"/>
  <c r="I4637" i="41"/>
  <c r="I4636" i="41"/>
  <c r="I4635" i="41"/>
  <c r="I4634" i="41"/>
  <c r="I4633" i="41"/>
  <c r="I4632" i="41"/>
  <c r="I4631" i="41"/>
  <c r="I4630" i="41"/>
  <c r="I4629" i="41"/>
  <c r="I4628" i="41"/>
  <c r="I4627" i="41"/>
  <c r="I4626" i="41"/>
  <c r="I4625" i="41"/>
  <c r="I4624" i="41"/>
  <c r="I4623" i="41"/>
  <c r="I4622" i="41"/>
  <c r="I4621" i="41"/>
  <c r="I4620" i="41"/>
  <c r="I4619" i="41"/>
  <c r="I4618" i="41"/>
  <c r="I4617" i="41"/>
  <c r="I4616" i="41"/>
  <c r="I4615" i="41"/>
  <c r="I4614" i="41"/>
  <c r="I4613" i="41"/>
  <c r="I4612" i="41"/>
  <c r="I4611" i="41"/>
  <c r="I4610" i="41"/>
  <c r="I4609" i="41"/>
  <c r="I4608" i="41"/>
  <c r="I4607" i="41"/>
  <c r="I4606" i="41"/>
  <c r="I4605" i="41"/>
  <c r="I4604" i="41"/>
  <c r="I4603" i="41"/>
  <c r="I4602" i="41"/>
  <c r="I4601" i="41"/>
  <c r="I4600" i="41"/>
  <c r="I4599" i="41"/>
  <c r="I4598" i="41"/>
  <c r="I4597" i="41"/>
  <c r="I4596" i="41"/>
  <c r="I4595" i="41"/>
  <c r="I4594" i="41"/>
  <c r="I4593" i="41"/>
  <c r="I4592" i="41"/>
  <c r="I4591" i="41"/>
  <c r="I4590" i="41"/>
  <c r="I4589" i="41"/>
  <c r="I4588" i="41"/>
  <c r="I4587" i="41"/>
  <c r="I4586" i="41"/>
  <c r="I4585" i="41"/>
  <c r="I4584" i="41"/>
  <c r="I4583" i="41"/>
  <c r="I4582" i="41"/>
  <c r="I4581" i="41"/>
  <c r="I4580" i="41"/>
  <c r="I4579" i="41"/>
  <c r="I4578" i="41"/>
  <c r="I4577" i="41"/>
  <c r="I4576" i="41"/>
  <c r="I4575" i="41"/>
  <c r="I4574" i="41"/>
  <c r="I4573" i="41"/>
  <c r="I4572" i="41"/>
  <c r="I4571" i="41"/>
  <c r="I4570" i="41"/>
  <c r="I4569" i="41"/>
  <c r="I4568" i="41"/>
  <c r="I4567" i="41"/>
  <c r="I4566" i="41"/>
  <c r="I4565" i="41"/>
  <c r="I4564" i="41"/>
  <c r="I4563" i="41"/>
  <c r="I4562" i="41"/>
  <c r="I4561" i="41"/>
  <c r="I4560" i="41"/>
  <c r="I4559" i="41"/>
  <c r="I4558" i="41"/>
  <c r="I4557" i="41"/>
  <c r="I4556" i="41"/>
  <c r="I4555" i="41"/>
  <c r="I4554" i="41"/>
  <c r="I4553" i="41"/>
  <c r="I4552" i="41"/>
  <c r="I4551" i="41"/>
  <c r="I4550" i="41"/>
  <c r="I4549" i="41"/>
  <c r="I4548" i="41"/>
  <c r="I4547" i="41"/>
  <c r="I4546" i="41"/>
  <c r="I4545" i="41"/>
  <c r="I4544" i="41"/>
  <c r="I4543" i="41"/>
  <c r="I4542" i="41"/>
  <c r="I4541" i="41"/>
  <c r="I4540" i="41"/>
  <c r="I4539" i="41"/>
  <c r="I4538" i="41"/>
  <c r="I4537" i="41"/>
  <c r="I4536" i="41"/>
  <c r="I4535" i="41"/>
  <c r="I4534" i="41"/>
  <c r="I4533" i="41"/>
  <c r="I4532" i="41"/>
  <c r="I4531" i="41"/>
  <c r="I4530" i="41"/>
  <c r="I4529" i="41"/>
  <c r="I4528" i="41"/>
  <c r="I4527" i="41"/>
  <c r="I4526" i="41"/>
  <c r="I4525" i="41"/>
  <c r="I4524" i="41"/>
  <c r="I4523" i="41"/>
  <c r="I4522" i="41"/>
  <c r="I4521" i="41"/>
  <c r="I4520" i="41"/>
  <c r="I4519" i="41"/>
  <c r="I4518" i="41"/>
  <c r="I4517" i="41"/>
  <c r="I4516" i="41"/>
  <c r="I4515" i="41"/>
  <c r="I4514" i="41"/>
  <c r="I4513" i="41"/>
  <c r="I4512" i="41"/>
  <c r="I4511" i="41"/>
  <c r="I4510" i="41"/>
  <c r="I4509" i="41"/>
  <c r="I4508" i="41"/>
  <c r="I4507" i="41"/>
  <c r="I4506" i="41"/>
  <c r="I4505" i="41"/>
  <c r="I4504" i="41"/>
  <c r="I4503" i="41"/>
  <c r="I4502" i="41"/>
  <c r="I4501" i="41"/>
  <c r="I4500" i="41"/>
  <c r="I4499" i="41"/>
  <c r="I4498" i="41"/>
  <c r="I4497" i="41"/>
  <c r="I4496" i="41"/>
  <c r="I4495" i="41"/>
  <c r="I4494" i="41"/>
  <c r="I4493" i="41"/>
  <c r="I4492" i="41"/>
  <c r="I4491" i="41"/>
  <c r="I4490" i="41"/>
  <c r="I4489" i="41"/>
  <c r="I4488" i="41"/>
  <c r="I4487" i="41"/>
  <c r="I4486" i="41"/>
  <c r="I4485" i="41"/>
  <c r="I4484" i="41"/>
  <c r="I4483" i="41"/>
  <c r="I4482" i="41"/>
  <c r="I4481" i="41"/>
  <c r="I4480" i="41"/>
  <c r="I4479" i="41"/>
  <c r="I4478" i="41"/>
  <c r="I4477" i="41"/>
  <c r="I4476" i="41"/>
  <c r="I4475" i="41"/>
  <c r="I4474" i="41"/>
  <c r="I4473" i="41"/>
  <c r="I4472" i="41"/>
  <c r="I4471" i="41"/>
  <c r="I4470" i="41"/>
  <c r="I4469" i="41"/>
  <c r="I4468" i="41"/>
  <c r="I4467" i="41"/>
  <c r="I4466" i="41"/>
  <c r="I4465" i="41"/>
  <c r="I4464" i="41"/>
  <c r="I4463" i="41"/>
  <c r="I4462" i="41"/>
  <c r="I4461" i="41"/>
  <c r="I4460" i="41"/>
  <c r="I4459" i="41"/>
  <c r="I4458" i="41"/>
  <c r="I4457" i="41"/>
  <c r="I4456" i="41"/>
  <c r="I4455" i="41"/>
  <c r="I4454" i="41"/>
  <c r="I4453" i="41"/>
  <c r="I4452" i="41"/>
  <c r="I4451" i="41"/>
  <c r="I4450" i="41"/>
  <c r="I4449" i="41"/>
  <c r="I4448" i="41"/>
  <c r="I4447" i="41"/>
  <c r="I4446" i="41"/>
  <c r="I4445" i="41"/>
  <c r="I4444" i="41"/>
  <c r="I4443" i="41"/>
  <c r="I4442" i="41"/>
  <c r="I4441" i="41"/>
  <c r="I4440" i="41"/>
  <c r="I4439" i="41"/>
  <c r="I4438" i="41"/>
  <c r="I4437" i="41"/>
  <c r="I4436" i="41"/>
  <c r="I4435" i="41"/>
  <c r="I4434" i="41"/>
  <c r="I4433" i="41"/>
  <c r="I4432" i="41"/>
  <c r="I4431" i="41"/>
  <c r="I4430" i="41"/>
  <c r="I4429" i="41"/>
  <c r="I4428" i="41"/>
  <c r="I4427" i="41"/>
  <c r="I4426" i="41"/>
  <c r="I4425" i="41"/>
  <c r="I4424" i="41"/>
  <c r="I4423" i="41"/>
  <c r="I4422" i="41"/>
  <c r="I4421" i="41"/>
  <c r="I4420" i="41"/>
  <c r="I4419" i="41"/>
  <c r="I4418" i="41"/>
  <c r="I4417" i="41"/>
  <c r="I4416" i="41"/>
  <c r="I4415" i="41"/>
  <c r="I4414" i="41"/>
  <c r="I4413" i="41"/>
  <c r="I4412" i="41"/>
  <c r="I4411" i="41"/>
  <c r="I4410" i="41"/>
  <c r="I4409" i="41"/>
  <c r="I4408" i="41"/>
  <c r="I4407" i="41"/>
  <c r="I4406" i="41"/>
  <c r="I4405" i="41"/>
  <c r="I4404" i="41"/>
  <c r="I4403" i="41"/>
  <c r="I4402" i="41"/>
  <c r="I4401" i="41"/>
  <c r="I4400" i="41"/>
  <c r="I4399" i="41"/>
  <c r="I4398" i="41"/>
  <c r="I4397" i="41"/>
  <c r="I4396" i="41"/>
  <c r="I4395" i="41"/>
  <c r="I4394" i="41"/>
  <c r="I4393" i="41"/>
  <c r="I4392" i="41"/>
  <c r="I4391" i="41"/>
  <c r="I4390" i="41"/>
  <c r="I4389" i="41"/>
  <c r="I4388" i="41"/>
  <c r="I4387" i="41"/>
  <c r="I4386" i="41"/>
  <c r="I4385" i="41"/>
  <c r="I4384" i="41"/>
  <c r="I4383" i="41"/>
  <c r="I4382" i="41"/>
  <c r="I4381" i="41"/>
  <c r="I4380" i="41"/>
  <c r="I4379" i="41"/>
  <c r="I4378" i="41"/>
  <c r="I4377" i="41"/>
  <c r="I4376" i="41"/>
  <c r="I4375" i="41"/>
  <c r="I4374" i="41"/>
  <c r="I4373" i="41"/>
  <c r="I4372" i="41"/>
  <c r="I4371" i="41"/>
  <c r="I4370" i="41"/>
  <c r="I4369" i="41"/>
  <c r="I4368" i="41"/>
  <c r="I4367" i="41"/>
  <c r="I4366" i="41"/>
  <c r="I4365" i="41"/>
  <c r="I4364" i="41"/>
  <c r="I4363" i="41"/>
  <c r="I4362" i="41"/>
  <c r="I4361" i="41"/>
  <c r="I4360" i="41"/>
  <c r="I4359" i="41"/>
  <c r="I4358" i="41"/>
  <c r="I4357" i="41"/>
  <c r="I4356" i="41"/>
  <c r="I4355" i="41"/>
  <c r="I4354" i="41"/>
  <c r="I4353" i="41"/>
  <c r="I4352" i="41"/>
  <c r="I4351" i="41"/>
  <c r="I4350" i="41"/>
  <c r="I4349" i="41"/>
  <c r="I4348" i="41"/>
  <c r="I4347" i="41"/>
  <c r="I4346" i="41"/>
  <c r="I4345" i="41"/>
  <c r="I4344" i="41"/>
  <c r="I4343" i="41"/>
  <c r="I4342" i="41"/>
  <c r="I4341" i="41"/>
  <c r="I4340" i="41"/>
  <c r="I4339" i="41"/>
  <c r="I4338" i="41"/>
  <c r="I4337" i="41"/>
  <c r="I4336" i="41"/>
  <c r="I4335" i="41"/>
  <c r="I4334" i="41"/>
  <c r="I4333" i="41"/>
  <c r="I4332" i="41"/>
  <c r="I4331" i="41"/>
  <c r="I4330" i="41"/>
  <c r="I4329" i="41"/>
  <c r="I4328" i="41"/>
  <c r="I4327" i="41"/>
  <c r="I4326" i="41"/>
  <c r="I4325" i="41"/>
  <c r="I4324" i="41"/>
  <c r="I4323" i="41"/>
  <c r="I4322" i="41"/>
  <c r="I4321" i="41"/>
  <c r="I4320" i="41"/>
  <c r="I4319" i="41"/>
  <c r="I4318" i="41"/>
  <c r="I4317" i="41"/>
  <c r="I4316" i="41"/>
  <c r="I4315" i="41"/>
  <c r="I4314" i="41"/>
  <c r="I4313" i="41"/>
  <c r="I4312" i="41"/>
  <c r="I4311" i="41"/>
  <c r="I4310" i="41"/>
  <c r="I4309" i="41"/>
  <c r="I4308" i="41"/>
  <c r="I4307" i="41"/>
  <c r="I4306" i="41"/>
  <c r="I4305" i="41"/>
  <c r="I4304" i="41"/>
  <c r="I4303" i="41"/>
  <c r="I4302" i="41"/>
  <c r="I4301" i="41"/>
  <c r="I4300" i="41"/>
  <c r="I4299" i="41"/>
  <c r="I4298" i="41"/>
  <c r="I4297" i="41"/>
  <c r="I4296" i="41"/>
  <c r="I4295" i="41"/>
  <c r="I4294" i="41"/>
  <c r="I4293" i="41"/>
  <c r="I4292" i="41"/>
  <c r="I4291" i="41"/>
  <c r="I4290" i="41"/>
  <c r="I4289" i="41"/>
  <c r="I4288" i="41"/>
  <c r="I4287" i="41"/>
  <c r="I4286" i="41"/>
  <c r="I4285" i="41"/>
  <c r="I4284" i="41"/>
  <c r="I4283" i="41"/>
  <c r="I4282" i="41"/>
  <c r="I4281" i="41"/>
  <c r="I4280" i="41"/>
  <c r="I4279" i="41"/>
  <c r="I4278" i="41"/>
  <c r="I4277" i="41"/>
  <c r="I4276" i="41"/>
  <c r="I4275" i="41"/>
  <c r="I4274" i="41"/>
  <c r="I4273" i="41"/>
  <c r="I4272" i="41"/>
  <c r="I4271" i="41"/>
  <c r="I4270" i="41"/>
  <c r="I4269" i="41"/>
  <c r="I4268" i="41"/>
  <c r="I4267" i="41"/>
  <c r="I4266" i="41"/>
  <c r="I4265" i="41"/>
  <c r="I4264" i="41"/>
  <c r="I4263" i="41"/>
  <c r="I4262" i="41"/>
  <c r="I4261" i="41"/>
  <c r="I4260" i="41"/>
  <c r="I4259" i="41"/>
  <c r="I4258" i="41"/>
  <c r="I4257" i="41"/>
  <c r="I4256" i="41"/>
  <c r="I4255" i="41"/>
  <c r="I4254" i="41"/>
  <c r="I4253" i="41"/>
  <c r="I4252" i="41"/>
  <c r="I4251" i="41"/>
  <c r="I4250" i="41"/>
  <c r="I4249" i="41"/>
  <c r="I4248" i="41"/>
  <c r="I4247" i="41"/>
  <c r="I4246" i="41"/>
  <c r="I4245" i="41"/>
  <c r="I4244" i="41"/>
  <c r="I4243" i="41"/>
  <c r="I4242" i="41"/>
  <c r="I4241" i="41"/>
  <c r="I4240" i="41"/>
  <c r="I4239" i="41"/>
  <c r="I4238" i="41"/>
  <c r="I4237" i="41"/>
  <c r="I4236" i="41"/>
  <c r="I4235" i="41"/>
  <c r="I4234" i="41"/>
  <c r="I4233" i="41"/>
  <c r="I4232" i="41"/>
  <c r="I4231" i="41"/>
  <c r="I4230" i="41"/>
  <c r="I4229" i="41"/>
  <c r="I4228" i="41"/>
  <c r="I4227" i="41"/>
  <c r="I4226" i="41"/>
  <c r="I4225" i="41"/>
  <c r="I4224" i="41"/>
  <c r="I4223" i="41"/>
  <c r="I4222" i="41"/>
  <c r="I4221" i="41"/>
  <c r="I4220" i="41"/>
  <c r="I4219" i="41"/>
  <c r="I4218" i="41"/>
  <c r="I4217" i="41"/>
  <c r="I4216" i="41"/>
  <c r="I4215" i="41"/>
  <c r="I4214" i="41"/>
  <c r="I4213" i="41"/>
  <c r="I4212" i="41"/>
  <c r="I4211" i="41"/>
  <c r="I4210" i="41"/>
  <c r="I4209" i="41"/>
  <c r="I4208" i="41"/>
  <c r="I4207" i="41"/>
  <c r="I4206" i="41"/>
  <c r="I4205" i="41"/>
  <c r="I4204" i="41"/>
  <c r="I4203" i="41"/>
  <c r="I4202" i="41"/>
  <c r="I4201" i="41"/>
  <c r="I4200" i="41"/>
  <c r="I4199" i="41"/>
  <c r="I4198" i="41"/>
  <c r="I4197" i="41"/>
  <c r="I4196" i="41"/>
  <c r="I4195" i="41"/>
  <c r="I4194" i="41"/>
  <c r="I4193" i="41"/>
  <c r="I4192" i="41"/>
  <c r="I4191" i="41"/>
  <c r="I4190" i="41"/>
  <c r="I4189" i="41"/>
  <c r="I4188" i="41"/>
  <c r="I4187" i="41"/>
  <c r="I4186" i="41"/>
  <c r="I4185" i="41"/>
  <c r="I4184" i="41"/>
  <c r="I4183" i="41"/>
  <c r="I4182" i="41"/>
  <c r="I4181" i="41"/>
  <c r="I4180" i="41"/>
  <c r="I4179" i="41"/>
  <c r="I4178" i="41"/>
  <c r="I4177" i="41"/>
  <c r="I4176" i="41"/>
  <c r="I4175" i="41"/>
  <c r="I4174" i="41"/>
  <c r="I4173" i="41"/>
  <c r="I4172" i="41"/>
  <c r="I4171" i="41"/>
  <c r="I4170" i="41"/>
  <c r="I4169" i="41"/>
  <c r="I4168" i="41"/>
  <c r="I4167" i="41"/>
  <c r="I4166" i="41"/>
  <c r="I4165" i="41"/>
  <c r="I4164" i="41"/>
  <c r="I4163" i="41"/>
  <c r="I4162" i="41"/>
  <c r="I4161" i="41"/>
  <c r="I4160" i="41"/>
  <c r="I4159" i="41"/>
  <c r="I4158" i="41"/>
  <c r="I4157" i="41"/>
  <c r="I4156" i="41"/>
  <c r="I4155" i="41"/>
  <c r="I4154" i="41"/>
  <c r="I4153" i="41"/>
  <c r="I4152" i="41"/>
  <c r="I4151" i="41"/>
  <c r="I4150" i="41"/>
  <c r="I4149" i="41"/>
  <c r="I4148" i="41"/>
  <c r="I4147" i="41"/>
  <c r="I4146" i="41"/>
  <c r="I4145" i="41"/>
  <c r="I4144" i="41"/>
  <c r="I4143" i="41"/>
  <c r="I4142" i="41"/>
  <c r="I4141" i="41"/>
  <c r="I4140" i="41"/>
  <c r="I4139" i="41"/>
  <c r="I4138" i="41"/>
  <c r="I4137" i="41"/>
  <c r="I4136" i="41"/>
  <c r="I4135" i="41"/>
  <c r="I4134" i="41"/>
  <c r="I4133" i="41"/>
  <c r="I4132" i="41"/>
  <c r="I4131" i="41"/>
  <c r="I4130" i="41"/>
  <c r="I4129" i="41"/>
  <c r="I4128" i="41"/>
  <c r="I4127" i="41"/>
  <c r="I4126" i="41"/>
  <c r="I4125" i="41"/>
  <c r="I4124" i="41"/>
  <c r="I4123" i="41"/>
  <c r="I4122" i="41"/>
  <c r="I4121" i="41"/>
  <c r="I4120" i="41"/>
  <c r="I4119" i="41"/>
  <c r="I4118" i="41"/>
  <c r="I4117" i="41"/>
  <c r="I4116" i="41"/>
  <c r="I4115" i="41"/>
  <c r="I4114" i="41"/>
  <c r="I4113" i="41"/>
  <c r="I4112" i="41"/>
  <c r="I4111" i="41"/>
  <c r="I4110" i="41"/>
  <c r="I4109" i="41"/>
  <c r="I4108" i="41"/>
  <c r="I4107" i="41"/>
  <c r="I4106" i="41"/>
  <c r="I4105" i="41"/>
  <c r="I4104" i="41"/>
  <c r="I4103" i="41"/>
  <c r="I4102" i="41"/>
  <c r="I4101" i="41"/>
  <c r="I4100" i="41"/>
  <c r="I4099" i="41"/>
  <c r="I4098" i="41"/>
  <c r="I4097" i="41"/>
  <c r="I4096" i="41"/>
  <c r="I4095" i="41"/>
  <c r="I4094" i="41"/>
  <c r="I4093" i="41"/>
  <c r="I4092" i="41"/>
  <c r="I4091" i="41"/>
  <c r="I4090" i="41"/>
  <c r="I4089" i="41"/>
  <c r="I4088" i="41"/>
  <c r="I4087" i="41"/>
  <c r="I4086" i="41"/>
  <c r="I4085" i="41"/>
  <c r="I4084" i="41"/>
  <c r="I4083" i="41"/>
  <c r="I4082" i="41"/>
  <c r="I4081" i="41"/>
  <c r="I4080" i="41"/>
  <c r="I4079" i="41"/>
  <c r="I4078" i="41"/>
  <c r="I4077" i="41"/>
  <c r="I4076" i="41"/>
  <c r="I4075" i="41"/>
  <c r="I4074" i="41"/>
  <c r="I4073" i="41"/>
  <c r="I4072" i="41"/>
  <c r="I4071" i="41"/>
  <c r="I4070" i="41"/>
  <c r="I4069" i="41"/>
  <c r="I4068" i="41"/>
  <c r="I4067" i="41"/>
  <c r="I4066" i="41"/>
  <c r="I4065" i="41"/>
  <c r="I4064" i="41"/>
  <c r="I4063" i="41"/>
  <c r="I4062" i="41"/>
  <c r="I4061" i="41"/>
  <c r="I4060" i="41"/>
  <c r="I4059" i="41"/>
  <c r="I4058" i="41"/>
  <c r="I4057" i="41"/>
  <c r="I4056" i="41"/>
  <c r="I4055" i="41"/>
  <c r="I4054" i="41"/>
  <c r="I4053" i="41"/>
  <c r="I4052" i="41"/>
  <c r="I4051" i="41"/>
  <c r="I4050" i="41"/>
  <c r="I4049" i="41"/>
  <c r="I4048" i="41"/>
  <c r="I4047" i="41"/>
  <c r="I4046" i="41"/>
  <c r="I4045" i="41"/>
  <c r="I4044" i="41"/>
  <c r="I4043" i="41"/>
  <c r="I4042" i="41"/>
  <c r="I4041" i="41"/>
  <c r="I4040" i="41"/>
  <c r="I4039" i="41"/>
  <c r="I4038" i="41"/>
  <c r="I4037" i="41"/>
  <c r="I4036" i="41"/>
  <c r="I4035" i="41"/>
  <c r="I4034" i="41"/>
  <c r="I4033" i="41"/>
  <c r="I4032" i="41"/>
  <c r="I4031" i="41"/>
  <c r="I4030" i="41"/>
  <c r="I4029" i="41"/>
  <c r="I4028" i="41"/>
  <c r="I4027" i="41"/>
  <c r="I4026" i="41"/>
  <c r="I4025" i="41"/>
  <c r="I4024" i="41"/>
  <c r="I4023" i="41"/>
  <c r="I4022" i="41"/>
  <c r="I4021" i="41"/>
  <c r="I4020" i="41"/>
  <c r="I4019" i="41"/>
  <c r="I4018" i="41"/>
  <c r="I4017" i="41"/>
  <c r="I4016" i="41"/>
  <c r="I4015" i="41"/>
  <c r="I4014" i="41"/>
  <c r="I4013" i="41"/>
  <c r="I4012" i="41"/>
  <c r="I4011" i="41"/>
  <c r="I4010" i="41"/>
  <c r="I4009" i="41"/>
  <c r="I4008" i="41"/>
  <c r="I4007" i="41"/>
  <c r="I4006" i="41"/>
  <c r="I4005" i="41"/>
  <c r="I4004" i="41"/>
  <c r="I4003" i="41"/>
  <c r="I4002" i="41"/>
  <c r="I4001" i="41"/>
  <c r="I4000" i="41"/>
  <c r="I3999" i="41"/>
  <c r="I3998" i="41"/>
  <c r="I3997" i="41"/>
  <c r="I3996" i="41"/>
  <c r="I3995" i="41"/>
  <c r="I3994" i="41"/>
  <c r="I3993" i="41"/>
  <c r="I3992" i="41"/>
  <c r="I3991" i="41"/>
  <c r="I3990" i="41"/>
  <c r="I3989" i="41"/>
  <c r="I3988" i="41"/>
  <c r="I3987" i="41"/>
  <c r="I3986" i="41"/>
  <c r="I3985" i="41"/>
  <c r="I3984" i="41"/>
  <c r="I3983" i="41"/>
  <c r="I3982" i="41"/>
  <c r="I3981" i="41"/>
  <c r="I3980" i="41"/>
  <c r="I3979" i="41"/>
  <c r="I3978" i="41"/>
  <c r="I3977" i="41"/>
  <c r="I3976" i="41"/>
  <c r="I3975" i="41"/>
  <c r="I3974" i="41"/>
  <c r="I3973" i="41"/>
  <c r="I3972" i="41"/>
  <c r="I3971" i="41"/>
  <c r="I3970" i="41"/>
  <c r="I3969" i="41"/>
  <c r="I3968" i="41"/>
  <c r="I3967" i="41"/>
  <c r="I3966" i="41"/>
  <c r="I3965" i="41"/>
  <c r="I3964" i="41"/>
  <c r="I3963" i="41"/>
  <c r="I3962" i="41"/>
  <c r="I3961" i="41"/>
  <c r="I3960" i="41"/>
  <c r="I3959" i="41"/>
  <c r="I3958" i="41"/>
  <c r="I3957" i="41"/>
  <c r="I3956" i="41"/>
  <c r="I3955" i="41"/>
  <c r="I3954" i="41"/>
  <c r="I3953" i="41"/>
  <c r="I3952" i="41"/>
  <c r="I3951" i="41"/>
  <c r="I3950" i="41"/>
  <c r="I3949" i="41"/>
  <c r="I3948" i="41"/>
  <c r="I3947" i="41"/>
  <c r="I3946" i="41"/>
  <c r="I3945" i="41"/>
  <c r="I3944" i="41"/>
  <c r="I3943" i="41"/>
  <c r="I3942" i="41"/>
  <c r="I3941" i="41"/>
  <c r="I3940" i="41"/>
  <c r="I3939" i="41"/>
  <c r="I3938" i="41"/>
  <c r="I3937" i="41"/>
  <c r="I3936" i="41"/>
  <c r="I3935" i="41"/>
  <c r="I3934" i="41"/>
  <c r="I3933" i="41"/>
  <c r="I3932" i="41"/>
  <c r="I3931" i="41"/>
  <c r="I3930" i="41"/>
  <c r="I3929" i="41"/>
  <c r="I3928" i="41"/>
  <c r="I3927" i="41"/>
  <c r="I3926" i="41"/>
  <c r="I3925" i="41"/>
  <c r="I3924" i="41"/>
  <c r="I3923" i="41"/>
  <c r="I3922" i="41"/>
  <c r="I3921" i="41"/>
  <c r="I3920" i="41"/>
  <c r="I3919" i="41"/>
  <c r="I3918" i="41"/>
  <c r="I3917" i="41"/>
  <c r="I3916" i="41"/>
  <c r="I3915" i="41"/>
  <c r="I3914" i="41"/>
  <c r="I3913" i="41"/>
  <c r="I3912" i="41"/>
  <c r="I3911" i="41"/>
  <c r="I3910" i="41"/>
  <c r="I3909" i="41"/>
  <c r="I3908" i="41"/>
  <c r="I3907" i="41"/>
  <c r="I3906" i="41"/>
  <c r="I3905" i="41"/>
  <c r="I3904" i="41"/>
  <c r="I3903" i="41"/>
  <c r="I3902" i="41"/>
  <c r="I3901" i="41"/>
  <c r="I3900" i="41"/>
  <c r="I3899" i="41"/>
  <c r="I3898" i="41"/>
  <c r="I3897" i="41"/>
  <c r="I3896" i="41"/>
  <c r="I3895" i="41"/>
  <c r="I3894" i="41"/>
  <c r="I3893" i="41"/>
  <c r="I3892" i="41"/>
  <c r="I3891" i="41"/>
  <c r="I3890" i="41"/>
  <c r="I3889" i="41"/>
  <c r="I3888" i="41"/>
  <c r="I3887" i="41"/>
  <c r="I3886" i="41"/>
  <c r="I3885" i="41"/>
  <c r="I3884" i="41"/>
  <c r="I3883" i="41"/>
  <c r="I3882" i="41"/>
  <c r="I3881" i="41"/>
  <c r="I3880" i="41"/>
  <c r="I3879" i="41"/>
  <c r="I3878" i="41"/>
  <c r="I3877" i="41"/>
  <c r="I3876" i="41"/>
  <c r="I3875" i="41"/>
  <c r="I3874" i="41"/>
  <c r="I3873" i="41"/>
  <c r="I3872" i="41"/>
  <c r="I3871" i="41"/>
  <c r="I3870" i="41"/>
  <c r="I3869" i="41"/>
  <c r="I3868" i="41"/>
  <c r="I3867" i="41"/>
  <c r="I3866" i="41"/>
  <c r="I3865" i="41"/>
  <c r="I3864" i="41"/>
  <c r="I3863" i="41"/>
  <c r="I3862" i="41"/>
  <c r="I3861" i="41"/>
  <c r="I3860" i="41"/>
  <c r="I3859" i="41"/>
  <c r="I3858" i="41"/>
  <c r="I3857" i="41"/>
  <c r="I3856" i="41"/>
  <c r="I3855" i="41"/>
  <c r="I3854" i="41"/>
  <c r="I3853" i="41"/>
  <c r="I3852" i="41"/>
  <c r="I3851" i="41"/>
  <c r="I3850" i="41"/>
  <c r="I3849" i="41"/>
  <c r="I3848" i="41"/>
  <c r="I3847" i="41"/>
  <c r="I3846" i="41"/>
  <c r="I3845" i="41"/>
  <c r="I3844" i="41"/>
  <c r="I3843" i="41"/>
  <c r="I3842" i="41"/>
  <c r="I3841" i="41"/>
  <c r="I3840" i="41"/>
  <c r="I3839" i="41"/>
  <c r="I3838" i="41"/>
  <c r="I3837" i="41"/>
  <c r="I3836" i="41"/>
  <c r="I3835" i="41"/>
  <c r="I3834" i="41"/>
  <c r="I3833" i="41"/>
  <c r="I3832" i="41"/>
  <c r="I3831" i="41"/>
  <c r="I3830" i="41"/>
  <c r="I3829" i="41"/>
  <c r="I3828" i="41"/>
  <c r="I3827" i="41"/>
  <c r="I3826" i="41"/>
  <c r="I3825" i="41"/>
  <c r="I3824" i="41"/>
  <c r="I3823" i="41"/>
  <c r="I3822" i="41"/>
  <c r="I3821" i="41"/>
  <c r="I3820" i="41"/>
  <c r="I3819" i="41"/>
  <c r="I3818" i="41"/>
  <c r="I3817" i="41"/>
  <c r="I3816" i="41"/>
  <c r="I3815" i="41"/>
  <c r="I3814" i="41"/>
  <c r="I3813" i="41"/>
  <c r="I3812" i="41"/>
  <c r="I3811" i="41"/>
  <c r="I3810" i="41"/>
  <c r="I3809" i="41"/>
  <c r="I3808" i="41"/>
  <c r="I3807" i="41"/>
  <c r="I3806" i="41"/>
  <c r="I3805" i="41"/>
  <c r="I3804" i="41"/>
  <c r="I3803" i="41"/>
  <c r="I3802" i="41"/>
  <c r="I3801" i="41"/>
  <c r="I3800" i="41"/>
  <c r="I3799" i="41"/>
  <c r="I3798" i="41"/>
  <c r="I3797" i="41"/>
  <c r="I3796" i="41"/>
  <c r="I3795" i="41"/>
  <c r="I3794" i="41"/>
  <c r="I3793" i="41"/>
  <c r="I3792" i="41"/>
  <c r="I3791" i="41"/>
  <c r="I3790" i="41"/>
  <c r="I3789" i="41"/>
  <c r="I3788" i="41"/>
  <c r="I3787" i="41"/>
  <c r="I3786" i="41"/>
  <c r="I3785" i="41"/>
  <c r="I3784" i="41"/>
  <c r="I3783" i="41"/>
  <c r="I3782" i="41"/>
  <c r="I3781" i="41"/>
  <c r="I3780" i="41"/>
  <c r="I3779" i="41"/>
  <c r="I3778" i="41"/>
  <c r="I3777" i="41"/>
  <c r="I3776" i="41"/>
  <c r="I3775" i="41"/>
  <c r="I3774" i="41"/>
  <c r="I3773" i="41"/>
  <c r="I3772" i="41"/>
  <c r="I3771" i="41"/>
  <c r="I3770" i="41"/>
  <c r="I3769" i="41"/>
  <c r="I3768" i="41"/>
  <c r="I3767" i="41"/>
  <c r="I3766" i="41"/>
  <c r="I3765" i="41"/>
  <c r="I3764" i="41"/>
  <c r="I3763" i="41"/>
  <c r="I3762" i="41"/>
  <c r="I3761" i="41"/>
  <c r="I3760" i="41"/>
  <c r="I3759" i="41"/>
  <c r="I3758" i="41"/>
  <c r="I3757" i="41"/>
  <c r="I3756" i="41"/>
  <c r="I3755" i="41"/>
  <c r="I3754" i="41"/>
  <c r="I3753" i="41"/>
  <c r="I3752" i="41"/>
  <c r="I3751" i="41"/>
  <c r="I3750" i="41"/>
  <c r="I3749" i="41"/>
  <c r="I3748" i="41"/>
  <c r="I3747" i="41"/>
  <c r="I3746" i="41"/>
  <c r="I3745" i="41"/>
  <c r="I3744" i="41"/>
  <c r="I3743" i="41"/>
  <c r="I3742" i="41"/>
  <c r="I3741" i="41"/>
  <c r="I3740" i="41"/>
  <c r="I3739" i="41"/>
  <c r="I3738" i="41"/>
  <c r="I3737" i="41"/>
  <c r="I3736" i="41"/>
  <c r="I3735" i="41"/>
  <c r="I3734" i="41"/>
  <c r="I3733" i="41"/>
  <c r="I3732" i="41"/>
  <c r="I3731" i="41"/>
  <c r="I3730" i="41"/>
  <c r="I3729" i="41"/>
  <c r="I3728" i="41"/>
  <c r="I3727" i="41"/>
  <c r="I3726" i="41"/>
  <c r="I3725" i="41"/>
  <c r="I3724" i="41"/>
  <c r="I3723" i="41"/>
  <c r="I3722" i="41"/>
  <c r="I3721" i="41"/>
  <c r="I3720" i="41"/>
  <c r="I3719" i="41"/>
  <c r="I3718" i="41"/>
  <c r="I3717" i="41"/>
  <c r="I3716" i="41"/>
  <c r="I3715" i="41"/>
  <c r="I3714" i="41"/>
  <c r="I3713" i="41"/>
  <c r="I3712" i="41"/>
  <c r="I3711" i="41"/>
  <c r="I3710" i="41"/>
  <c r="I3709" i="41"/>
  <c r="I3708" i="41"/>
  <c r="I3707" i="41"/>
  <c r="I3706" i="41"/>
  <c r="I3705" i="41"/>
  <c r="I3704" i="41"/>
  <c r="I3703" i="41"/>
  <c r="I3702" i="41"/>
  <c r="I3701" i="41"/>
  <c r="I3700" i="41"/>
  <c r="I3699" i="41"/>
  <c r="I3698" i="41"/>
  <c r="I3697" i="41"/>
  <c r="I3696" i="41"/>
  <c r="I3695" i="41"/>
  <c r="I3694" i="41"/>
  <c r="I3693" i="41"/>
  <c r="I3692" i="41"/>
  <c r="I3691" i="41"/>
  <c r="I3690" i="41"/>
  <c r="I3689" i="41"/>
  <c r="I3688" i="41"/>
  <c r="I3687" i="41"/>
  <c r="I3686" i="41"/>
  <c r="I3685" i="41"/>
  <c r="I3684" i="41"/>
  <c r="I3683" i="41"/>
  <c r="I3682" i="41"/>
  <c r="I3681" i="41"/>
  <c r="I3680" i="41"/>
  <c r="I3679" i="41"/>
  <c r="I3678" i="41"/>
  <c r="I3677" i="41"/>
  <c r="I3676" i="41"/>
  <c r="I3675" i="41"/>
  <c r="I3674" i="41"/>
  <c r="I3673" i="41"/>
  <c r="I3672" i="41"/>
  <c r="I3671" i="41"/>
  <c r="I3670" i="41"/>
  <c r="I3669" i="41"/>
  <c r="I3668" i="41"/>
  <c r="I3667" i="41"/>
  <c r="I3666" i="41"/>
  <c r="I3665" i="41"/>
  <c r="I3664" i="41"/>
  <c r="I3663" i="41"/>
  <c r="I3662" i="41"/>
  <c r="I3661" i="41"/>
  <c r="I3660" i="41"/>
  <c r="I3659" i="41"/>
  <c r="I3658" i="41"/>
  <c r="I3657" i="41"/>
  <c r="I3656" i="41"/>
  <c r="I3655" i="41"/>
  <c r="I3654" i="41"/>
  <c r="I3653" i="41"/>
  <c r="I3652" i="41"/>
  <c r="I3651" i="41"/>
  <c r="I3650" i="41"/>
  <c r="I3649" i="41"/>
  <c r="I3648" i="41"/>
  <c r="I3647" i="41"/>
  <c r="I3646" i="41"/>
  <c r="I3645" i="41"/>
  <c r="I3644" i="41"/>
  <c r="I3643" i="41"/>
  <c r="I3642" i="41"/>
  <c r="I3641" i="41"/>
  <c r="I3640" i="41"/>
  <c r="I3639" i="41"/>
  <c r="I3638" i="41"/>
  <c r="I3637" i="41"/>
  <c r="I3636" i="41"/>
  <c r="I3635" i="41"/>
  <c r="I3634" i="41"/>
  <c r="I3633" i="41"/>
  <c r="I3632" i="41"/>
  <c r="I3631" i="41"/>
  <c r="I3630" i="41"/>
  <c r="I3629" i="41"/>
  <c r="I3628" i="41"/>
  <c r="I3627" i="41"/>
  <c r="I3626" i="41"/>
  <c r="I3625" i="41"/>
  <c r="I3624" i="41"/>
  <c r="I3623" i="41"/>
  <c r="I3622" i="41"/>
  <c r="I3621" i="41"/>
  <c r="I3620" i="41"/>
  <c r="I3619" i="41"/>
  <c r="I3618" i="41"/>
  <c r="I3617" i="41"/>
  <c r="I3616" i="41"/>
  <c r="I3615" i="41"/>
  <c r="I3614" i="41"/>
  <c r="I3613" i="41"/>
  <c r="I3612" i="41"/>
  <c r="I3611" i="41"/>
  <c r="I3610" i="41"/>
  <c r="I3609" i="41"/>
  <c r="I3608" i="41"/>
  <c r="I3607" i="41"/>
  <c r="I3606" i="41"/>
  <c r="I3605" i="41"/>
  <c r="I3604" i="41"/>
  <c r="I3603" i="41"/>
  <c r="I3602" i="41"/>
  <c r="I3601" i="41"/>
  <c r="I3600" i="41"/>
  <c r="I3599" i="41"/>
  <c r="I3598" i="41"/>
  <c r="I3597" i="41"/>
  <c r="I3596" i="41"/>
  <c r="I3595" i="41"/>
  <c r="I3594" i="41"/>
  <c r="I3593" i="41"/>
  <c r="I3592" i="41"/>
  <c r="I3591" i="41"/>
  <c r="I3590" i="41"/>
  <c r="I3589" i="41"/>
  <c r="I3588" i="41"/>
  <c r="I3587" i="41"/>
  <c r="I3586" i="41"/>
  <c r="I3585" i="41"/>
  <c r="I3584" i="41"/>
  <c r="I3583" i="41"/>
  <c r="I3582" i="41"/>
  <c r="I3581" i="41"/>
  <c r="I3580" i="41"/>
  <c r="I3579" i="41"/>
  <c r="I3578" i="41"/>
  <c r="I3577" i="41"/>
  <c r="I3576" i="41"/>
  <c r="I3575" i="41"/>
  <c r="I3574" i="41"/>
  <c r="I3573" i="41"/>
  <c r="I3572" i="41"/>
  <c r="I3571" i="41"/>
  <c r="I3570" i="41"/>
  <c r="I3569" i="41"/>
  <c r="I3568" i="41"/>
  <c r="I3567" i="41"/>
  <c r="I3566" i="41"/>
  <c r="I3565" i="41"/>
  <c r="I3564" i="41"/>
  <c r="I3563" i="41"/>
  <c r="I3562" i="41"/>
  <c r="I3561" i="41"/>
  <c r="I3560" i="41"/>
  <c r="I3559" i="41"/>
  <c r="I3558" i="41"/>
  <c r="I3557" i="41"/>
  <c r="I3556" i="41"/>
  <c r="I3555" i="41"/>
  <c r="I3554" i="41"/>
  <c r="I3553" i="41"/>
  <c r="I3552" i="41"/>
  <c r="I3551" i="41"/>
  <c r="I3550" i="41"/>
  <c r="I3549" i="41"/>
  <c r="I3548" i="41"/>
  <c r="I3547" i="41"/>
  <c r="I3546" i="41"/>
  <c r="I3545" i="41"/>
  <c r="I3544" i="41"/>
  <c r="I3543" i="41"/>
  <c r="I3542" i="41"/>
  <c r="I3541" i="41"/>
  <c r="I3540" i="41"/>
  <c r="I3539" i="41"/>
  <c r="I3538" i="41"/>
  <c r="I3537" i="41"/>
  <c r="I3536" i="41"/>
  <c r="I3535" i="41"/>
  <c r="I3534" i="41"/>
  <c r="I3533" i="41"/>
  <c r="I3532" i="41"/>
  <c r="I3531" i="41"/>
  <c r="I3530" i="41"/>
  <c r="I3529" i="41"/>
  <c r="I3528" i="41"/>
  <c r="I3527" i="41"/>
  <c r="I3526" i="41"/>
  <c r="I3525" i="41"/>
  <c r="I3524" i="41"/>
  <c r="I3523" i="41"/>
  <c r="I3522" i="41"/>
  <c r="I3521" i="41"/>
  <c r="I3520" i="41"/>
  <c r="I3519" i="41"/>
  <c r="I3518" i="41"/>
  <c r="I3517" i="41"/>
  <c r="I3516" i="41"/>
  <c r="I3515" i="41"/>
  <c r="I3514" i="41"/>
  <c r="I3513" i="41"/>
  <c r="I3512" i="41"/>
  <c r="I3511" i="41"/>
  <c r="I3510" i="41"/>
  <c r="I3509" i="41"/>
  <c r="I3508" i="41"/>
  <c r="I3507" i="41"/>
  <c r="I3506" i="41"/>
  <c r="I3505" i="41"/>
  <c r="I3504" i="41"/>
  <c r="I3503" i="41"/>
  <c r="I3502" i="41"/>
  <c r="I3501" i="41"/>
  <c r="I3500" i="41"/>
  <c r="I3499" i="41"/>
  <c r="I3498" i="41"/>
  <c r="I3497" i="41"/>
  <c r="I3496" i="41"/>
  <c r="I3495" i="41"/>
  <c r="I3494" i="41"/>
  <c r="I3493" i="41"/>
  <c r="I3492" i="41"/>
  <c r="I3491" i="41"/>
  <c r="I3490" i="41"/>
  <c r="I3489" i="41"/>
  <c r="I3488" i="41"/>
  <c r="I3487" i="41"/>
  <c r="I3486" i="41"/>
  <c r="I3485" i="41"/>
  <c r="I3484" i="41"/>
  <c r="I3483" i="41"/>
  <c r="I3482" i="41"/>
  <c r="I3481" i="41"/>
  <c r="I3480" i="41"/>
  <c r="I3479" i="41"/>
  <c r="I3478" i="41"/>
  <c r="I3477" i="41"/>
  <c r="I3476" i="41"/>
  <c r="I3475" i="41"/>
  <c r="I3474" i="41"/>
  <c r="I3473" i="41"/>
  <c r="I3472" i="41"/>
  <c r="I3471" i="41"/>
  <c r="I3470" i="41"/>
  <c r="I3469" i="41"/>
  <c r="I3468" i="41"/>
  <c r="I3467" i="41"/>
  <c r="I3466" i="41"/>
  <c r="I3465" i="41"/>
  <c r="I3464" i="41"/>
  <c r="I3463" i="41"/>
  <c r="I3462" i="41"/>
  <c r="I3461" i="41"/>
  <c r="I3460" i="41"/>
  <c r="I3459" i="41"/>
  <c r="I3458" i="41"/>
  <c r="I3457" i="41"/>
  <c r="I3456" i="41"/>
  <c r="I3455" i="41"/>
  <c r="I3454" i="41"/>
  <c r="I3453" i="41"/>
  <c r="I3452" i="41"/>
  <c r="I3451" i="41"/>
  <c r="I3450" i="41"/>
  <c r="I3449" i="41"/>
  <c r="I3448" i="41"/>
  <c r="I3447" i="41"/>
  <c r="I3446" i="41"/>
  <c r="I3445" i="41"/>
  <c r="I3444" i="41"/>
  <c r="I3443" i="41"/>
  <c r="I3442" i="41"/>
  <c r="I3441" i="41"/>
  <c r="I3440" i="41"/>
  <c r="I3439" i="41"/>
  <c r="I3438" i="41"/>
  <c r="I3437" i="41"/>
  <c r="I3436" i="41"/>
  <c r="I3435" i="41"/>
  <c r="I3434" i="41"/>
  <c r="I3433" i="41"/>
  <c r="I3432" i="41"/>
  <c r="I3431" i="41"/>
  <c r="I3430" i="41"/>
  <c r="I3429" i="41"/>
  <c r="I3428" i="41"/>
  <c r="I3427" i="41"/>
  <c r="I3426" i="41"/>
  <c r="I3425" i="41"/>
  <c r="I3424" i="41"/>
  <c r="I3423" i="41"/>
  <c r="I3422" i="41"/>
  <c r="I3421" i="41"/>
  <c r="I3420" i="41"/>
  <c r="I3419" i="41"/>
  <c r="I3418" i="41"/>
  <c r="I3417" i="41"/>
  <c r="I3416" i="41"/>
  <c r="I3415" i="41"/>
  <c r="I3414" i="41"/>
  <c r="I3413" i="41"/>
  <c r="I3412" i="41"/>
  <c r="I3411" i="41"/>
  <c r="I3410" i="41"/>
  <c r="I3409" i="41"/>
  <c r="I3408" i="41"/>
  <c r="I3407" i="41"/>
  <c r="I3406" i="41"/>
  <c r="I3405" i="41"/>
  <c r="I3404" i="41"/>
  <c r="I3403" i="41"/>
  <c r="I3402" i="41"/>
  <c r="I3401" i="41"/>
  <c r="I3400" i="41"/>
  <c r="I3399" i="41"/>
  <c r="I3398" i="41"/>
  <c r="I3397" i="41"/>
  <c r="I3396" i="41"/>
  <c r="I3395" i="41"/>
  <c r="I3394" i="41"/>
  <c r="I3393" i="41"/>
  <c r="I3392" i="41"/>
  <c r="I3391" i="41"/>
  <c r="I3390" i="41"/>
  <c r="I3389" i="41"/>
  <c r="I3388" i="41"/>
  <c r="I3387" i="41"/>
  <c r="I3386" i="41"/>
  <c r="I3385" i="41"/>
  <c r="I3384" i="41"/>
  <c r="I3383" i="41"/>
  <c r="I3382" i="41"/>
  <c r="I3381" i="41"/>
  <c r="I3380" i="41"/>
  <c r="I3379" i="41"/>
  <c r="I3378" i="41"/>
  <c r="I3377" i="41"/>
  <c r="I3376" i="41"/>
  <c r="I3375" i="41"/>
  <c r="I3374" i="41"/>
  <c r="I3373" i="41"/>
  <c r="I3372" i="41"/>
  <c r="I3371" i="41"/>
  <c r="I3370" i="41"/>
  <c r="I3369" i="41"/>
  <c r="I3368" i="41"/>
  <c r="I3367" i="41"/>
  <c r="I3366" i="41"/>
  <c r="I3365" i="41"/>
  <c r="I3364" i="41"/>
  <c r="I3363" i="41"/>
  <c r="I3362" i="41"/>
  <c r="I3361" i="41"/>
  <c r="I3360" i="41"/>
  <c r="I3359" i="41"/>
  <c r="I3358" i="41"/>
  <c r="I3357" i="41"/>
  <c r="I3356" i="41"/>
  <c r="I3355" i="41"/>
  <c r="I3354" i="41"/>
  <c r="I3353" i="41"/>
  <c r="I3352" i="41"/>
  <c r="I3351" i="41"/>
  <c r="I3350" i="41"/>
  <c r="I3349" i="41"/>
  <c r="I3348" i="41"/>
  <c r="I3347" i="41"/>
  <c r="I3346" i="41"/>
  <c r="I3345" i="41"/>
  <c r="I3344" i="41"/>
  <c r="I3343" i="41"/>
  <c r="I3342" i="41"/>
  <c r="I3341" i="41"/>
  <c r="I3340" i="41"/>
  <c r="I3339" i="41"/>
  <c r="I3338" i="41"/>
  <c r="I3337" i="41"/>
  <c r="I3336" i="41"/>
  <c r="I3335" i="41"/>
  <c r="I3334" i="41"/>
  <c r="I3333" i="41"/>
  <c r="I3332" i="41"/>
  <c r="I3331" i="41"/>
  <c r="I3330" i="41"/>
  <c r="I3329" i="41"/>
  <c r="I3328" i="41"/>
  <c r="I3327" i="41"/>
  <c r="I3326" i="41"/>
  <c r="I3325" i="41"/>
  <c r="I3324" i="41"/>
  <c r="I3323" i="41"/>
  <c r="I3322" i="41"/>
  <c r="I3321" i="41"/>
  <c r="I3320" i="41"/>
  <c r="I3319" i="41"/>
  <c r="I3318" i="41"/>
  <c r="I3317" i="41"/>
  <c r="I3316" i="41"/>
  <c r="I3315" i="41"/>
  <c r="I3314" i="41"/>
  <c r="I3313" i="41"/>
  <c r="I3312" i="41"/>
  <c r="I3311" i="41"/>
  <c r="I3310" i="41"/>
  <c r="I3309" i="41"/>
  <c r="I3308" i="41"/>
  <c r="I3307" i="41"/>
  <c r="I3306" i="41"/>
  <c r="I3305" i="41"/>
  <c r="I3304" i="41"/>
  <c r="I3303" i="41"/>
  <c r="I3302" i="41"/>
  <c r="I3301" i="41"/>
  <c r="I3300" i="41"/>
  <c r="I3299" i="41"/>
  <c r="I3298" i="41"/>
  <c r="I3297" i="41"/>
  <c r="I3296" i="41"/>
  <c r="I3295" i="41"/>
  <c r="I3294" i="41"/>
  <c r="I3293" i="41"/>
  <c r="I3292" i="41"/>
  <c r="I3291" i="41"/>
  <c r="I3290" i="41"/>
  <c r="I3289" i="41"/>
  <c r="I3288" i="41"/>
  <c r="I3287" i="41"/>
  <c r="I3286" i="41"/>
  <c r="I3285" i="41"/>
  <c r="I3284" i="41"/>
  <c r="I3283" i="41"/>
  <c r="I3282" i="41"/>
  <c r="I3281" i="41"/>
  <c r="I3280" i="41"/>
  <c r="I3279" i="41"/>
  <c r="I3278" i="41"/>
  <c r="I3277" i="41"/>
  <c r="I3276" i="41"/>
  <c r="I3275" i="41"/>
  <c r="I3274" i="41"/>
  <c r="I3273" i="41"/>
  <c r="I3272" i="41"/>
  <c r="I3271" i="41"/>
  <c r="I3270" i="41"/>
  <c r="I3269" i="41"/>
  <c r="I3268" i="41"/>
  <c r="I3267" i="41"/>
  <c r="I3266" i="41"/>
  <c r="I3265" i="41"/>
  <c r="I3264" i="41"/>
  <c r="I3263" i="41"/>
  <c r="I3262" i="41"/>
  <c r="I3261" i="41"/>
  <c r="I3260" i="41"/>
  <c r="I3259" i="41"/>
  <c r="I3258" i="41"/>
  <c r="I3257" i="41"/>
  <c r="I3256" i="41"/>
  <c r="I3255" i="41"/>
  <c r="I3254" i="41"/>
  <c r="I3253" i="41"/>
  <c r="I3252" i="41"/>
  <c r="I3251" i="41"/>
  <c r="I3250" i="41"/>
  <c r="I3249" i="41"/>
  <c r="I3248" i="41"/>
  <c r="I3247" i="41"/>
  <c r="I3246" i="41"/>
  <c r="I3245" i="41"/>
  <c r="I3244" i="41"/>
  <c r="I3243" i="41"/>
  <c r="I3242" i="41"/>
  <c r="I3241" i="41"/>
  <c r="I3240" i="41"/>
  <c r="I3239" i="41"/>
  <c r="I3238" i="41"/>
  <c r="I3237" i="41"/>
  <c r="I3236" i="41"/>
  <c r="I3235" i="41"/>
  <c r="I3234" i="41"/>
  <c r="I3233" i="41"/>
  <c r="I3232" i="41"/>
  <c r="I3231" i="41"/>
  <c r="I3230" i="41"/>
  <c r="I3229" i="41"/>
  <c r="I3228" i="41"/>
  <c r="I3227" i="41"/>
  <c r="I3226" i="41"/>
  <c r="I3225" i="41"/>
  <c r="I3224" i="41"/>
  <c r="I3223" i="41"/>
  <c r="I3222" i="41"/>
  <c r="I3221" i="41"/>
  <c r="I3220" i="41"/>
  <c r="I3219" i="41"/>
  <c r="I3218" i="41"/>
  <c r="I3217" i="41"/>
  <c r="I3216" i="41"/>
  <c r="I3215" i="41"/>
  <c r="I3214" i="41"/>
  <c r="I3213" i="41"/>
  <c r="I3212" i="41"/>
  <c r="I3211" i="41"/>
  <c r="I3210" i="41"/>
  <c r="I3209" i="41"/>
  <c r="I3208" i="41"/>
  <c r="I3207" i="41"/>
  <c r="I3206" i="41"/>
  <c r="I3205" i="41"/>
  <c r="I3204" i="41"/>
  <c r="I3203" i="41"/>
  <c r="I3202" i="41"/>
  <c r="I3201" i="41"/>
  <c r="I3200" i="41"/>
  <c r="I3199" i="41"/>
  <c r="I3198" i="41"/>
  <c r="I3197" i="41"/>
  <c r="I3196" i="41"/>
  <c r="I3195" i="41"/>
  <c r="I3194" i="41"/>
  <c r="I3193" i="41"/>
  <c r="I3192" i="41"/>
  <c r="I3191" i="41"/>
  <c r="I3190" i="41"/>
  <c r="I3189" i="41"/>
  <c r="I3188" i="41"/>
  <c r="I3187" i="41"/>
  <c r="I3186" i="41"/>
  <c r="I3185" i="41"/>
  <c r="I3184" i="41"/>
  <c r="I3183" i="41"/>
  <c r="I3182" i="41"/>
  <c r="I3181" i="41"/>
  <c r="I3180" i="41"/>
  <c r="I3179" i="41"/>
  <c r="I3178" i="41"/>
  <c r="I3177" i="41"/>
  <c r="I3176" i="41"/>
  <c r="I3175" i="41"/>
  <c r="I3174" i="41"/>
  <c r="I3173" i="41"/>
  <c r="I3172" i="41"/>
  <c r="I3171" i="41"/>
  <c r="I3170" i="41"/>
  <c r="I3169" i="41"/>
  <c r="I3168" i="41"/>
  <c r="I3167" i="41"/>
  <c r="I3166" i="41"/>
  <c r="I3165" i="41"/>
  <c r="I3164" i="41"/>
  <c r="I3163" i="41"/>
  <c r="I3162" i="41"/>
  <c r="I3161" i="41"/>
  <c r="I3160" i="41"/>
  <c r="I3159" i="41"/>
  <c r="I3158" i="41"/>
  <c r="I3157" i="41"/>
  <c r="I3156" i="41"/>
  <c r="I3155" i="41"/>
  <c r="I3154" i="41"/>
  <c r="I3153" i="41"/>
  <c r="I3152" i="41"/>
  <c r="I3151" i="41"/>
  <c r="I3150" i="41"/>
  <c r="I3149" i="41"/>
  <c r="I3148" i="41"/>
  <c r="I3147" i="41"/>
  <c r="I3146" i="41"/>
  <c r="I3145" i="41"/>
  <c r="I3144" i="41"/>
  <c r="I3143" i="41"/>
  <c r="I3142" i="41"/>
  <c r="I3141" i="41"/>
  <c r="I3140" i="41"/>
  <c r="I3139" i="41"/>
  <c r="I3138" i="41"/>
  <c r="I3137" i="41"/>
  <c r="I3136" i="41"/>
  <c r="I3135" i="41"/>
  <c r="I3134" i="41"/>
  <c r="I3133" i="41"/>
  <c r="I3132" i="41"/>
  <c r="I3131" i="41"/>
  <c r="I3130" i="41"/>
  <c r="I3129" i="41"/>
  <c r="I3128" i="41"/>
  <c r="I3127" i="41"/>
  <c r="I3126" i="41"/>
  <c r="I3125" i="41"/>
  <c r="I3124" i="41"/>
  <c r="I3123" i="41"/>
  <c r="I3122" i="41"/>
  <c r="I3121" i="41"/>
  <c r="I3120" i="41"/>
  <c r="I3119" i="41"/>
  <c r="I3118" i="41"/>
  <c r="I3117" i="41"/>
  <c r="I3116" i="41"/>
  <c r="I3115" i="41"/>
  <c r="I3114" i="41"/>
  <c r="I3113" i="41"/>
  <c r="I3112" i="41"/>
  <c r="I3111" i="41"/>
  <c r="I3110" i="41"/>
  <c r="I3109" i="41"/>
  <c r="I3108" i="41"/>
  <c r="I3107" i="41"/>
  <c r="I3106" i="41"/>
  <c r="I3105" i="41"/>
  <c r="I3104" i="41"/>
  <c r="I3103" i="41"/>
  <c r="I3102" i="41"/>
  <c r="I3101" i="41"/>
  <c r="I3100" i="41"/>
  <c r="I3099" i="41"/>
  <c r="I3098" i="41"/>
  <c r="I3097" i="41"/>
  <c r="I3096" i="41"/>
  <c r="I3095" i="41"/>
  <c r="I3094" i="41"/>
  <c r="I3093" i="41"/>
  <c r="I3092" i="41"/>
  <c r="I3091" i="41"/>
  <c r="I3090" i="41"/>
  <c r="I3089" i="41"/>
  <c r="I3088" i="41"/>
  <c r="I3087" i="41"/>
  <c r="I3086" i="41"/>
  <c r="I3085" i="41"/>
  <c r="I3084" i="41"/>
  <c r="I3083" i="41"/>
  <c r="I3082" i="41"/>
  <c r="I3081" i="41"/>
  <c r="I3080" i="41"/>
  <c r="I3079" i="41"/>
  <c r="I3078" i="41"/>
  <c r="I3077" i="41"/>
  <c r="I3076" i="41"/>
  <c r="I3075" i="41"/>
  <c r="I3074" i="41"/>
  <c r="I3073" i="41"/>
  <c r="I3072" i="41"/>
  <c r="I3071" i="41"/>
  <c r="I3070" i="41"/>
  <c r="I3069" i="41"/>
  <c r="I3068" i="41"/>
  <c r="I3067" i="41"/>
  <c r="I3066" i="41"/>
  <c r="I3065" i="41"/>
  <c r="I3064" i="41"/>
  <c r="I3063" i="41"/>
  <c r="I3062" i="41"/>
  <c r="I3061" i="41"/>
  <c r="I3060" i="41"/>
  <c r="I3059" i="41"/>
  <c r="I3058" i="41"/>
  <c r="I3057" i="41"/>
  <c r="I3056" i="41"/>
  <c r="I3055" i="41"/>
  <c r="I3054" i="41"/>
  <c r="I3053" i="41"/>
  <c r="I3052" i="41"/>
  <c r="I3051" i="41"/>
  <c r="I3050" i="41"/>
  <c r="I3049" i="41"/>
  <c r="I3048" i="41"/>
  <c r="I3047" i="41"/>
  <c r="I3046" i="41"/>
  <c r="I3045" i="41"/>
  <c r="I3044" i="41"/>
  <c r="I3043" i="41"/>
  <c r="I3042" i="41"/>
  <c r="I3041" i="41"/>
  <c r="I3040" i="41"/>
  <c r="I3039" i="41"/>
  <c r="I3038" i="41"/>
  <c r="I3037" i="41"/>
  <c r="I3036" i="41"/>
  <c r="I3035" i="41"/>
  <c r="I3034" i="41"/>
  <c r="I3033" i="41"/>
  <c r="I3032" i="41"/>
  <c r="I3031" i="41"/>
  <c r="I3030" i="41"/>
  <c r="I3029" i="41"/>
  <c r="I3028" i="41"/>
  <c r="I3027" i="41"/>
  <c r="I3026" i="41"/>
  <c r="I3025" i="41"/>
  <c r="I3024" i="41"/>
  <c r="I3023" i="41"/>
  <c r="I3022" i="41"/>
  <c r="I3021" i="41"/>
  <c r="I3020" i="41"/>
  <c r="I3019" i="41"/>
  <c r="I3018" i="41"/>
  <c r="I3017" i="41"/>
  <c r="I3016" i="41"/>
  <c r="I3015" i="41"/>
  <c r="I3014" i="41"/>
  <c r="I3013" i="41"/>
  <c r="I3012" i="41"/>
  <c r="I3011" i="41"/>
  <c r="I3010" i="41"/>
  <c r="I3009" i="41"/>
  <c r="I3008" i="41"/>
  <c r="I3007" i="41"/>
  <c r="I3006" i="41"/>
  <c r="I3005" i="41"/>
  <c r="I3004" i="41"/>
  <c r="I3003" i="41"/>
  <c r="I3002" i="41"/>
  <c r="I3001" i="41"/>
  <c r="I3000" i="41"/>
  <c r="I2999" i="41"/>
  <c r="I2998" i="41"/>
  <c r="I2997" i="41"/>
  <c r="I2996" i="41"/>
  <c r="I2995" i="41"/>
  <c r="I2994" i="41"/>
  <c r="I2993" i="41"/>
  <c r="I2992" i="41"/>
  <c r="I2991" i="41"/>
  <c r="I2990" i="41"/>
  <c r="I2989" i="41"/>
  <c r="I2988" i="41"/>
  <c r="I2987" i="41"/>
  <c r="I2986" i="41"/>
  <c r="I2985" i="41"/>
  <c r="I2984" i="41"/>
  <c r="I2983" i="41"/>
  <c r="I2982" i="41"/>
  <c r="I2981" i="41"/>
  <c r="I2980" i="41"/>
  <c r="I2979" i="41"/>
  <c r="I2978" i="41"/>
  <c r="I2977" i="41"/>
  <c r="I2976" i="41"/>
  <c r="I2975" i="41"/>
  <c r="I2974" i="41"/>
  <c r="I2973" i="41"/>
  <c r="I2972" i="41"/>
  <c r="I2971" i="41"/>
  <c r="I2970" i="41"/>
  <c r="I2969" i="41"/>
  <c r="I2968" i="41"/>
  <c r="I2967" i="41"/>
  <c r="I2966" i="41"/>
  <c r="I2965" i="41"/>
  <c r="I2964" i="41"/>
  <c r="I2963" i="41"/>
  <c r="I2962" i="41"/>
  <c r="I2961" i="41"/>
  <c r="I2960" i="41"/>
  <c r="I2959" i="41"/>
  <c r="I2958" i="41"/>
  <c r="I2957" i="41"/>
  <c r="I2956" i="41"/>
  <c r="I2955" i="41"/>
  <c r="I2954" i="41"/>
  <c r="I2953" i="41"/>
  <c r="I2952" i="41"/>
  <c r="I2951" i="41"/>
  <c r="I2950" i="41"/>
  <c r="I2949" i="41"/>
  <c r="I2948" i="41"/>
  <c r="I2947" i="41"/>
  <c r="I2946" i="41"/>
  <c r="I2945" i="41"/>
  <c r="I2944" i="41"/>
  <c r="I2943" i="41"/>
  <c r="I2942" i="41"/>
  <c r="I2941" i="41"/>
  <c r="I2940" i="41"/>
  <c r="I2939" i="41"/>
  <c r="I2938" i="41"/>
  <c r="I2937" i="41"/>
  <c r="I2936" i="41"/>
  <c r="I2935" i="41"/>
  <c r="I2934" i="41"/>
  <c r="I2933" i="41"/>
  <c r="I2932" i="41"/>
  <c r="I2931" i="41"/>
  <c r="I2930" i="41"/>
  <c r="I2929" i="41"/>
  <c r="I2928" i="41"/>
  <c r="I2927" i="41"/>
  <c r="I2926" i="41"/>
  <c r="I2925" i="41"/>
  <c r="I2924" i="41"/>
  <c r="I2923" i="41"/>
  <c r="I2922" i="41"/>
  <c r="I2921" i="41"/>
  <c r="I2920" i="41"/>
  <c r="I2919" i="41"/>
  <c r="I2918" i="41"/>
  <c r="I2917" i="41"/>
  <c r="I2916" i="41"/>
  <c r="I2915" i="41"/>
  <c r="I2914" i="41"/>
  <c r="I2913" i="41"/>
  <c r="I2912" i="41"/>
  <c r="I2911" i="41"/>
  <c r="I2910" i="41"/>
  <c r="I2909" i="41"/>
  <c r="I2908" i="41"/>
  <c r="I2907" i="41"/>
  <c r="I2906" i="41"/>
  <c r="I2905" i="41"/>
  <c r="I2904" i="41"/>
  <c r="I2903" i="41"/>
  <c r="I2902" i="41"/>
  <c r="I2901" i="41"/>
  <c r="I2900" i="41"/>
  <c r="I2899" i="41"/>
  <c r="I2898" i="41"/>
  <c r="I2897" i="41"/>
  <c r="I2896" i="41"/>
  <c r="I2895" i="41"/>
  <c r="I2894" i="41"/>
  <c r="I2893" i="41"/>
  <c r="I2892" i="41"/>
  <c r="I2891" i="41"/>
  <c r="I2890" i="41"/>
  <c r="I2889" i="41"/>
  <c r="I2888" i="41"/>
  <c r="I2887" i="41"/>
  <c r="I2886" i="41"/>
  <c r="I2885" i="41"/>
  <c r="I2884" i="41"/>
  <c r="I2883" i="41"/>
  <c r="I2882" i="41"/>
  <c r="I2881" i="41"/>
  <c r="I2880" i="41"/>
  <c r="I2879" i="41"/>
  <c r="I2878" i="41"/>
  <c r="I2877" i="41"/>
  <c r="I2876" i="41"/>
  <c r="I2875" i="41"/>
  <c r="I2874" i="41"/>
  <c r="I2873" i="41"/>
  <c r="I2872" i="41"/>
  <c r="I2871" i="41"/>
  <c r="I2870" i="41"/>
  <c r="I2869" i="41"/>
  <c r="I2868" i="41"/>
  <c r="I2867" i="41"/>
  <c r="I2866" i="41"/>
  <c r="I2865" i="41"/>
  <c r="I2864" i="41"/>
  <c r="I2863" i="41"/>
  <c r="I2862" i="41"/>
  <c r="I2861" i="41"/>
  <c r="I2860" i="41"/>
  <c r="I2859" i="41"/>
  <c r="I2858" i="41"/>
  <c r="I2857" i="41"/>
  <c r="I2856" i="41"/>
  <c r="I2855" i="41"/>
  <c r="I2854" i="41"/>
  <c r="I2853" i="41"/>
  <c r="I2852" i="41"/>
  <c r="I2851" i="41"/>
  <c r="I2850" i="41"/>
  <c r="I2849" i="41"/>
  <c r="I2848" i="41"/>
  <c r="I2847" i="41"/>
  <c r="I2846" i="41"/>
  <c r="I2845" i="41"/>
  <c r="I2844" i="41"/>
  <c r="I2843" i="41"/>
  <c r="I2842" i="41"/>
  <c r="I2841" i="41"/>
  <c r="I2840" i="41"/>
  <c r="I2839" i="41"/>
  <c r="I2838" i="41"/>
  <c r="I2837" i="41"/>
  <c r="I2836" i="41"/>
  <c r="I2835" i="41"/>
  <c r="I2834" i="41"/>
  <c r="I2833" i="41"/>
  <c r="I2832" i="41"/>
  <c r="I2831" i="41"/>
  <c r="I2830" i="41"/>
  <c r="I2829" i="41"/>
  <c r="I2828" i="41"/>
  <c r="I2827" i="41"/>
  <c r="I2826" i="41"/>
  <c r="I2825" i="41"/>
  <c r="I2824" i="41"/>
  <c r="I2823" i="41"/>
  <c r="I2822" i="41"/>
  <c r="I2821" i="41"/>
  <c r="I2820" i="41"/>
  <c r="I2819" i="41"/>
  <c r="I2818" i="41"/>
  <c r="I2817" i="41"/>
  <c r="I2816" i="41"/>
  <c r="I2815" i="41"/>
  <c r="I2814" i="41"/>
  <c r="I2813" i="41"/>
  <c r="I2812" i="41"/>
  <c r="I2811" i="41"/>
  <c r="I2810" i="41"/>
  <c r="I2809" i="41"/>
  <c r="I2808" i="41"/>
  <c r="I2807" i="41"/>
  <c r="I2806" i="41"/>
  <c r="I2805" i="41"/>
  <c r="I2804" i="41"/>
  <c r="I2803" i="41"/>
  <c r="I2802" i="41"/>
  <c r="I2801" i="41"/>
  <c r="I2800" i="41"/>
  <c r="I2799" i="41"/>
  <c r="I2798" i="41"/>
  <c r="I2797" i="41"/>
  <c r="I2796" i="41"/>
  <c r="I2795" i="41"/>
  <c r="I2794" i="41"/>
  <c r="I2793" i="41"/>
  <c r="I2792" i="41"/>
  <c r="I2791" i="41"/>
  <c r="I2790" i="41"/>
  <c r="I2789" i="41"/>
  <c r="I2788" i="41"/>
  <c r="I2787" i="41"/>
  <c r="I2786" i="41"/>
  <c r="I2785" i="41"/>
  <c r="I2784" i="41"/>
  <c r="I2783" i="41"/>
  <c r="I2782" i="41"/>
  <c r="I2781" i="41"/>
  <c r="I2780" i="41"/>
  <c r="I2779" i="41"/>
  <c r="I2778" i="41"/>
  <c r="I2777" i="41"/>
  <c r="I2776" i="41"/>
  <c r="I2775" i="41"/>
  <c r="I2774" i="41"/>
  <c r="I2773" i="41"/>
  <c r="I2772" i="41"/>
  <c r="I2771" i="41"/>
  <c r="I2770" i="41"/>
  <c r="I2769" i="41"/>
  <c r="I2768" i="41"/>
  <c r="I2767" i="41"/>
  <c r="I2766" i="41"/>
  <c r="I2765" i="41"/>
  <c r="I2764" i="41"/>
  <c r="I2763" i="41"/>
  <c r="I2762" i="41"/>
  <c r="I2761" i="41"/>
  <c r="I2760" i="41"/>
  <c r="I2759" i="41"/>
  <c r="I2758" i="41"/>
  <c r="I2757" i="41"/>
  <c r="I2756" i="41"/>
  <c r="I2755" i="41"/>
  <c r="I2754" i="41"/>
  <c r="I2753" i="41"/>
  <c r="I2752" i="41"/>
  <c r="I2751" i="41"/>
  <c r="I2750" i="41"/>
  <c r="I2749" i="41"/>
  <c r="I2748" i="41"/>
  <c r="I2747" i="41"/>
  <c r="I2746" i="41"/>
  <c r="I2745" i="41"/>
  <c r="I2744" i="41"/>
  <c r="I2743" i="41"/>
  <c r="I2742" i="41"/>
  <c r="I2741" i="41"/>
  <c r="I2740" i="41"/>
  <c r="I2739" i="41"/>
  <c r="I2738" i="41"/>
  <c r="I2737" i="41"/>
  <c r="I2736" i="41"/>
  <c r="I2735" i="41"/>
  <c r="I2734" i="41"/>
  <c r="I2733" i="41"/>
  <c r="I2732" i="41"/>
  <c r="I2731" i="41"/>
  <c r="I2730" i="41"/>
  <c r="I2729" i="41"/>
  <c r="I2728" i="41"/>
  <c r="I2727" i="41"/>
  <c r="I2726" i="41"/>
  <c r="I2725" i="41"/>
  <c r="I2724" i="41"/>
  <c r="I2723" i="41"/>
  <c r="I2722" i="41"/>
  <c r="I2721" i="41"/>
  <c r="I2720" i="41"/>
  <c r="I2719" i="41"/>
  <c r="I2718" i="41"/>
  <c r="I2717" i="41"/>
  <c r="I2716" i="41"/>
  <c r="I2715" i="41"/>
  <c r="I2714" i="41"/>
  <c r="I2713" i="41"/>
  <c r="I2712" i="41"/>
  <c r="I2711" i="41"/>
  <c r="I2710" i="41"/>
  <c r="I2709" i="41"/>
  <c r="I2708" i="41"/>
  <c r="I2707" i="41"/>
  <c r="I2706" i="41"/>
  <c r="I2705" i="41"/>
  <c r="I2704" i="41"/>
  <c r="I2703" i="41"/>
  <c r="I2702" i="41"/>
  <c r="I2701" i="41"/>
  <c r="I2700" i="41"/>
  <c r="I2699" i="41"/>
  <c r="I2698" i="41"/>
  <c r="I2697" i="41"/>
  <c r="I2696" i="41"/>
  <c r="I2695" i="41"/>
  <c r="I2694" i="41"/>
  <c r="I2693" i="41"/>
  <c r="I2692" i="41"/>
  <c r="I2691" i="41"/>
  <c r="I2690" i="41"/>
  <c r="I2689" i="41"/>
  <c r="I2688" i="41"/>
  <c r="I2687" i="41"/>
  <c r="I2686" i="41"/>
  <c r="I2685" i="41"/>
  <c r="I2684" i="41"/>
  <c r="I2683" i="41"/>
  <c r="I2682" i="41"/>
  <c r="I2681" i="41"/>
  <c r="I2680" i="41"/>
  <c r="I2679" i="41"/>
  <c r="I2678" i="41"/>
  <c r="I2677" i="41"/>
  <c r="I2676" i="41"/>
  <c r="I2675" i="41"/>
  <c r="I2674" i="41"/>
  <c r="I2673" i="41"/>
  <c r="I2672" i="41"/>
  <c r="I2671" i="41"/>
  <c r="I2670" i="41"/>
  <c r="I2669" i="41"/>
  <c r="I2668" i="41"/>
  <c r="I2667" i="41"/>
  <c r="I2666" i="41"/>
  <c r="I2665" i="41"/>
  <c r="I2664" i="41"/>
  <c r="I2663" i="41"/>
  <c r="I2662" i="41"/>
  <c r="I2661" i="41"/>
  <c r="I2660" i="41"/>
  <c r="I2659" i="41"/>
  <c r="I2658" i="41"/>
  <c r="I2657" i="41"/>
  <c r="I2656" i="41"/>
  <c r="I2655" i="41"/>
  <c r="I2654" i="41"/>
  <c r="I2653" i="41"/>
  <c r="I2652" i="41"/>
  <c r="I2651" i="41"/>
  <c r="I2650" i="41"/>
  <c r="I2649" i="41"/>
  <c r="I2648" i="41"/>
  <c r="I2647" i="41"/>
  <c r="I2646" i="41"/>
  <c r="I2645" i="41"/>
  <c r="I2644" i="41"/>
  <c r="I2643" i="41"/>
  <c r="I2642" i="41"/>
  <c r="I2641" i="41"/>
  <c r="I2640" i="41"/>
  <c r="I2639" i="41"/>
  <c r="I2638" i="41"/>
  <c r="I2637" i="41"/>
  <c r="I2636" i="41"/>
  <c r="I2635" i="41"/>
  <c r="I2634" i="41"/>
  <c r="I2633" i="41"/>
  <c r="I2632" i="41"/>
  <c r="I2631" i="41"/>
  <c r="I2630" i="41"/>
  <c r="I2629" i="41"/>
  <c r="I2628" i="41"/>
  <c r="I2627" i="41"/>
  <c r="I2626" i="41"/>
  <c r="I2625" i="41"/>
  <c r="I2624" i="41"/>
  <c r="I2623" i="41"/>
  <c r="I2622" i="41"/>
  <c r="I2621" i="41"/>
  <c r="I2620" i="41"/>
  <c r="I2619" i="41"/>
  <c r="I2618" i="41"/>
  <c r="I2617" i="41"/>
  <c r="I2616" i="41"/>
  <c r="I2615" i="41"/>
  <c r="I2614" i="41"/>
  <c r="I2613" i="41"/>
  <c r="I2612" i="41"/>
  <c r="I2611" i="41"/>
  <c r="I2610" i="41"/>
  <c r="I2609" i="41"/>
  <c r="I2608" i="41"/>
  <c r="I2607" i="41"/>
  <c r="I2606" i="41"/>
  <c r="I2605" i="41"/>
  <c r="I2604" i="41"/>
  <c r="I2603" i="41"/>
  <c r="I2602" i="41"/>
  <c r="I2601" i="41"/>
  <c r="I2600" i="41"/>
  <c r="I2599" i="41"/>
  <c r="I2598" i="41"/>
  <c r="I2597" i="41"/>
  <c r="I2596" i="41"/>
  <c r="I2595" i="41"/>
  <c r="I2594" i="41"/>
  <c r="I2593" i="41"/>
  <c r="I2592" i="41"/>
  <c r="I2591" i="41"/>
  <c r="I2590" i="41"/>
  <c r="I2589" i="41"/>
  <c r="I2588" i="41"/>
  <c r="I2587" i="41"/>
  <c r="I2586" i="41"/>
  <c r="I2585" i="41"/>
  <c r="I2584" i="41"/>
  <c r="I2583" i="41"/>
  <c r="I2582" i="41"/>
  <c r="I2581" i="41"/>
  <c r="I2580" i="41"/>
  <c r="I2579" i="41"/>
  <c r="I2578" i="41"/>
  <c r="I2577" i="41"/>
  <c r="I2576" i="41"/>
  <c r="I2575" i="41"/>
  <c r="I2574" i="41"/>
  <c r="I2573" i="41"/>
  <c r="I2572" i="41"/>
  <c r="I2571" i="41"/>
  <c r="I2570" i="41"/>
  <c r="I2569" i="41"/>
  <c r="I2568" i="41"/>
  <c r="I2567" i="41"/>
  <c r="I2566" i="41"/>
  <c r="I2565" i="41"/>
  <c r="I2564" i="41"/>
  <c r="I2563" i="41"/>
  <c r="I2562" i="41"/>
  <c r="I2561" i="41"/>
  <c r="I2560" i="41"/>
  <c r="I2559" i="41"/>
  <c r="I2558" i="41"/>
  <c r="I2557" i="41"/>
  <c r="I2556" i="41"/>
  <c r="I2555" i="41"/>
  <c r="I2554" i="41"/>
  <c r="I2553" i="41"/>
  <c r="I2552" i="41"/>
  <c r="I2551" i="41"/>
  <c r="I2550" i="41"/>
  <c r="I2549" i="41"/>
  <c r="I2548" i="41"/>
  <c r="I2547" i="41"/>
  <c r="I2546" i="41"/>
  <c r="I2545" i="41"/>
  <c r="I2544" i="41"/>
  <c r="I2543" i="41"/>
  <c r="I2542" i="41"/>
  <c r="I2541" i="41"/>
  <c r="I2540" i="41"/>
  <c r="I2539" i="41"/>
  <c r="I2538" i="41"/>
  <c r="I2537" i="41"/>
  <c r="I2536" i="41"/>
  <c r="I2535" i="41"/>
  <c r="I2534" i="41"/>
  <c r="I2533" i="41"/>
  <c r="I2532" i="41"/>
  <c r="I2531" i="41"/>
  <c r="I2530" i="41"/>
  <c r="I2529" i="41"/>
  <c r="I2528" i="41"/>
  <c r="I2527" i="41"/>
  <c r="I2526" i="41"/>
  <c r="I2525" i="41"/>
  <c r="I2524" i="41"/>
  <c r="I2523" i="41"/>
  <c r="I2522" i="41"/>
  <c r="I2521" i="41"/>
  <c r="I2520" i="41"/>
  <c r="I2519" i="41"/>
  <c r="I2518" i="41"/>
  <c r="I2517" i="41"/>
  <c r="I2516" i="41"/>
  <c r="I2515" i="41"/>
  <c r="I2514" i="41"/>
  <c r="I2513" i="41"/>
  <c r="I2512" i="41"/>
  <c r="I2511" i="41"/>
  <c r="I2510" i="41"/>
  <c r="I2509" i="41"/>
  <c r="I2508" i="41"/>
  <c r="I2507" i="41"/>
  <c r="I2506" i="41"/>
  <c r="I2505" i="41"/>
  <c r="I2504" i="41"/>
  <c r="I2503" i="41"/>
  <c r="I2502" i="41"/>
  <c r="I2501" i="41"/>
  <c r="I2500" i="41"/>
  <c r="I2499" i="41"/>
  <c r="I2498" i="41"/>
  <c r="I2497" i="41"/>
  <c r="I2496" i="41"/>
  <c r="I2495" i="41"/>
  <c r="I2494" i="41"/>
  <c r="I2493" i="41"/>
  <c r="I2492" i="41"/>
  <c r="I2491" i="41"/>
  <c r="I2490" i="41"/>
  <c r="I2489" i="41"/>
  <c r="I2488" i="41"/>
  <c r="I2487" i="41"/>
  <c r="I2486" i="41"/>
  <c r="I2485" i="41"/>
  <c r="I2484" i="41"/>
  <c r="I2483" i="41"/>
  <c r="I2482" i="41"/>
  <c r="I2481" i="41"/>
  <c r="I2480" i="41"/>
  <c r="I2479" i="41"/>
  <c r="I2478" i="41"/>
  <c r="I2477" i="41"/>
  <c r="I2476" i="41"/>
  <c r="I2475" i="41"/>
  <c r="I2474" i="41"/>
  <c r="I2473" i="41"/>
  <c r="I2472" i="41"/>
  <c r="I2471" i="41"/>
  <c r="I2470" i="41"/>
  <c r="I2469" i="41"/>
  <c r="I2468" i="41"/>
  <c r="I2467" i="41"/>
  <c r="I2466" i="41"/>
  <c r="I2465" i="41"/>
  <c r="I2464" i="41"/>
  <c r="I2463" i="41"/>
  <c r="I2462" i="41"/>
  <c r="I2461" i="41"/>
  <c r="I2460" i="41"/>
  <c r="I2459" i="41"/>
  <c r="I2458" i="41"/>
  <c r="I2457" i="41"/>
  <c r="I2456" i="41"/>
  <c r="I2455" i="41"/>
  <c r="I2454" i="41"/>
  <c r="I2453" i="41"/>
  <c r="I2452" i="41"/>
  <c r="I2451" i="41"/>
  <c r="I2450" i="41"/>
  <c r="I2449" i="41"/>
  <c r="I2448" i="41"/>
  <c r="I2447" i="41"/>
  <c r="I2446" i="41"/>
  <c r="I2445" i="41"/>
  <c r="I2444" i="41"/>
  <c r="I2443" i="41"/>
  <c r="I2442" i="41"/>
  <c r="I2441" i="41"/>
  <c r="I2440" i="41"/>
  <c r="I2439" i="41"/>
  <c r="I2438" i="41"/>
  <c r="I2437" i="41"/>
  <c r="I2436" i="41"/>
  <c r="I2435" i="41"/>
  <c r="I2434" i="41"/>
  <c r="I2433" i="41"/>
  <c r="I2432" i="41"/>
  <c r="I2431" i="41"/>
  <c r="I2430" i="41"/>
  <c r="I2429" i="41"/>
  <c r="I2428" i="41"/>
  <c r="I2427" i="41"/>
  <c r="I2426" i="41"/>
  <c r="I2425" i="41"/>
  <c r="I2424" i="41"/>
  <c r="I2423" i="41"/>
  <c r="I2422" i="41"/>
  <c r="I2421" i="41"/>
  <c r="I2420" i="41"/>
  <c r="I2419" i="41"/>
  <c r="I2418" i="41"/>
  <c r="I2417" i="41"/>
  <c r="I2416" i="41"/>
  <c r="I2415" i="41"/>
  <c r="I2414" i="41"/>
  <c r="I2413" i="41"/>
  <c r="I2412" i="41"/>
  <c r="I2411" i="41"/>
  <c r="I2410" i="41"/>
  <c r="I2409" i="41"/>
  <c r="I2408" i="41"/>
  <c r="I2407" i="41"/>
  <c r="I2406" i="41"/>
  <c r="I2405" i="41"/>
  <c r="I2404" i="41"/>
  <c r="I2403" i="41"/>
  <c r="I2402" i="41"/>
  <c r="I2401" i="41"/>
  <c r="I2400" i="41"/>
  <c r="I2399" i="41"/>
  <c r="I2398" i="41"/>
  <c r="I2397" i="41"/>
  <c r="I2396" i="41"/>
  <c r="I2395" i="41"/>
  <c r="I2394" i="41"/>
  <c r="I2393" i="41"/>
  <c r="I2392" i="41"/>
  <c r="I2391" i="41"/>
  <c r="I2390" i="41"/>
  <c r="I2389" i="41"/>
  <c r="I2388" i="41"/>
  <c r="I2387" i="41"/>
  <c r="I2386" i="41"/>
  <c r="I2385" i="41"/>
  <c r="I2384" i="41"/>
  <c r="I2383" i="41"/>
  <c r="I2382" i="41"/>
  <c r="I2381" i="41"/>
  <c r="I2380" i="41"/>
  <c r="I2379" i="41"/>
  <c r="I2378" i="41"/>
  <c r="I2377" i="41"/>
  <c r="I2376" i="41"/>
  <c r="I2375" i="41"/>
  <c r="I2374" i="41"/>
  <c r="I2373" i="41"/>
  <c r="I2372" i="41"/>
  <c r="I2371" i="41"/>
  <c r="I2370" i="41"/>
  <c r="I2369" i="41"/>
  <c r="I2368" i="41"/>
  <c r="I2367" i="41"/>
  <c r="I2366" i="41"/>
  <c r="I2365" i="41"/>
  <c r="I2364" i="41"/>
  <c r="I2363" i="41"/>
  <c r="I2362" i="41"/>
  <c r="I2361" i="41"/>
  <c r="I2360" i="41"/>
  <c r="I2359" i="41"/>
  <c r="I2358" i="41"/>
  <c r="I2357" i="41"/>
  <c r="I2356" i="41"/>
  <c r="I2355" i="41"/>
  <c r="I2354" i="41"/>
  <c r="I2353" i="41"/>
  <c r="I2352" i="41"/>
  <c r="I2351" i="41"/>
  <c r="I2350" i="41"/>
  <c r="I2349" i="41"/>
  <c r="I2348" i="41"/>
  <c r="I2347" i="41"/>
  <c r="I2346" i="41"/>
  <c r="I2345" i="41"/>
  <c r="I2344" i="41"/>
  <c r="I2343" i="41"/>
  <c r="I2342" i="41"/>
  <c r="I2341" i="41"/>
  <c r="I2340" i="41"/>
  <c r="I2339" i="41"/>
  <c r="I2338" i="41"/>
  <c r="I2337" i="41"/>
  <c r="I2336" i="41"/>
  <c r="I2335" i="41"/>
  <c r="I2334" i="41"/>
  <c r="I2333" i="41"/>
  <c r="I2332" i="41"/>
  <c r="I2331" i="41"/>
  <c r="I2330" i="41"/>
  <c r="I2329" i="41"/>
  <c r="I2328" i="41"/>
  <c r="I2327" i="41"/>
  <c r="I2326" i="41"/>
  <c r="I2325" i="41"/>
  <c r="I2324" i="41"/>
  <c r="I2323" i="41"/>
  <c r="I2322" i="41"/>
  <c r="I2321" i="41"/>
  <c r="I2320" i="41"/>
  <c r="I2319" i="41"/>
  <c r="I2318" i="41"/>
  <c r="I2317" i="41"/>
  <c r="I2316" i="41"/>
  <c r="I2315" i="41"/>
  <c r="I2314" i="41"/>
  <c r="I2313" i="41"/>
  <c r="I2312" i="41"/>
  <c r="I2311" i="41"/>
  <c r="I2310" i="41"/>
  <c r="I2309" i="41"/>
  <c r="I2308" i="41"/>
  <c r="I2307" i="41"/>
  <c r="I2306" i="41"/>
  <c r="I2305" i="41"/>
  <c r="I2304" i="41"/>
  <c r="I2303" i="41"/>
  <c r="I2302" i="41"/>
  <c r="I2301" i="41"/>
  <c r="I2300" i="41"/>
  <c r="I2299" i="41"/>
  <c r="I2298" i="41"/>
  <c r="I2297" i="41"/>
  <c r="I2296" i="41"/>
  <c r="I2295" i="41"/>
  <c r="I2294" i="41"/>
  <c r="I2293" i="41"/>
  <c r="I2292" i="41"/>
  <c r="I2291" i="41"/>
  <c r="I2290" i="41"/>
  <c r="I2289" i="41"/>
  <c r="I2288" i="41"/>
  <c r="I2287" i="41"/>
  <c r="I2286" i="41"/>
  <c r="I2285" i="41"/>
  <c r="I2284" i="41"/>
  <c r="I2283" i="41"/>
  <c r="I2282" i="41"/>
  <c r="I2281" i="41"/>
  <c r="I2280" i="41"/>
  <c r="I2279" i="41"/>
  <c r="I2278" i="41"/>
  <c r="I2277" i="41"/>
  <c r="I2276" i="41"/>
  <c r="I2275" i="41"/>
  <c r="I2274" i="41"/>
  <c r="I2273" i="41"/>
  <c r="I2272" i="41"/>
  <c r="I2271" i="41"/>
  <c r="I2270" i="41"/>
  <c r="I2269" i="41"/>
  <c r="I2268" i="41"/>
  <c r="I2267" i="41"/>
  <c r="I2266" i="41"/>
  <c r="I2265" i="41"/>
  <c r="I2264" i="41"/>
  <c r="I2263" i="41"/>
  <c r="I2262" i="41"/>
  <c r="I2261" i="41"/>
  <c r="I2260" i="41"/>
  <c r="I2259" i="41"/>
  <c r="I2258" i="41"/>
  <c r="I2257" i="41"/>
  <c r="I2256" i="41"/>
  <c r="I2255" i="41"/>
  <c r="I2254" i="41"/>
  <c r="I2253" i="41"/>
  <c r="I2252" i="41"/>
  <c r="I2251" i="41"/>
  <c r="I2250" i="41"/>
  <c r="I2249" i="41"/>
  <c r="I2248" i="41"/>
  <c r="I2247" i="41"/>
  <c r="I2246" i="41"/>
  <c r="I2245" i="41"/>
  <c r="I2244" i="41"/>
  <c r="I2243" i="41"/>
  <c r="I2242" i="41"/>
  <c r="I2241" i="41"/>
  <c r="I2240" i="41"/>
  <c r="I2239" i="41"/>
  <c r="I2238" i="41"/>
  <c r="I2237" i="41"/>
  <c r="I2236" i="41"/>
  <c r="I2235" i="41"/>
  <c r="I2234" i="41"/>
  <c r="I2233" i="41"/>
  <c r="I2232" i="41"/>
  <c r="I2231" i="41"/>
  <c r="I2230" i="41"/>
  <c r="I2229" i="41"/>
  <c r="I2228" i="41"/>
  <c r="I2227" i="41"/>
  <c r="I2226" i="41"/>
  <c r="I2225" i="41"/>
  <c r="I2224" i="41"/>
  <c r="I2223" i="41"/>
  <c r="I2222" i="41"/>
  <c r="I2221" i="41"/>
  <c r="I2220" i="41"/>
  <c r="I2219" i="41"/>
  <c r="I2218" i="41"/>
  <c r="I2217" i="41"/>
  <c r="I2216" i="41"/>
  <c r="I2215" i="41"/>
  <c r="I2214" i="41"/>
  <c r="I2213" i="41"/>
  <c r="I2212" i="41"/>
  <c r="I2211" i="41"/>
  <c r="I2210" i="41"/>
  <c r="I2209" i="41"/>
  <c r="I2208" i="41"/>
  <c r="I2207" i="41"/>
  <c r="I2206" i="41"/>
  <c r="I2205" i="41"/>
  <c r="I2204" i="41"/>
  <c r="I2203" i="41"/>
  <c r="I2202" i="41"/>
  <c r="I2201" i="41"/>
  <c r="I2200" i="41"/>
  <c r="I2199" i="41"/>
  <c r="I2198" i="41"/>
  <c r="I2197" i="41"/>
  <c r="I2196" i="41"/>
  <c r="I2195" i="41"/>
  <c r="I2194" i="41"/>
  <c r="I2193" i="41"/>
  <c r="I2192" i="41"/>
  <c r="I2191" i="41"/>
  <c r="I2190" i="41"/>
  <c r="I2189" i="41"/>
  <c r="I2188" i="41"/>
  <c r="I2187" i="41"/>
  <c r="I2186" i="41"/>
  <c r="I2185" i="41"/>
  <c r="I2184" i="41"/>
  <c r="I2183" i="41"/>
  <c r="I2182" i="41"/>
  <c r="I2181" i="41"/>
  <c r="I2180" i="41"/>
  <c r="I2179" i="41"/>
  <c r="I2178" i="41"/>
  <c r="I2177" i="41"/>
  <c r="I2176" i="41"/>
  <c r="I2175" i="41"/>
  <c r="I2174" i="41"/>
  <c r="I2173" i="41"/>
  <c r="I2172" i="41"/>
  <c r="I2171" i="41"/>
  <c r="I2170" i="41"/>
  <c r="I2169" i="41"/>
  <c r="I2168" i="41"/>
  <c r="I2167" i="41"/>
  <c r="I2166" i="41"/>
  <c r="I2165" i="41"/>
  <c r="I2164" i="41"/>
  <c r="I2163" i="41"/>
  <c r="I2162" i="41"/>
  <c r="I2161" i="41"/>
  <c r="I2160" i="41"/>
  <c r="I2159" i="41"/>
  <c r="I2158" i="41"/>
  <c r="I2157" i="41"/>
  <c r="I2156" i="41"/>
  <c r="I2155" i="41"/>
  <c r="I2154" i="41"/>
  <c r="I2153" i="41"/>
  <c r="I2152" i="41"/>
  <c r="I2151" i="41"/>
  <c r="I2150" i="41"/>
  <c r="I2149" i="41"/>
  <c r="I2148" i="41"/>
  <c r="I2147" i="41"/>
  <c r="I2146" i="41"/>
  <c r="I2145" i="41"/>
  <c r="I2144" i="41"/>
  <c r="I2143" i="41"/>
  <c r="I2142" i="41"/>
  <c r="I2141" i="41"/>
  <c r="I2140" i="41"/>
  <c r="I2139" i="41"/>
  <c r="I2138" i="41"/>
  <c r="I2137" i="41"/>
  <c r="I2136" i="41"/>
  <c r="I2135" i="41"/>
  <c r="I2134" i="41"/>
  <c r="I2133" i="41"/>
  <c r="I2132" i="41"/>
  <c r="I2131" i="41"/>
  <c r="I2130" i="41"/>
  <c r="I2129" i="41"/>
  <c r="I2128" i="41"/>
  <c r="I2127" i="41"/>
  <c r="I2126" i="41"/>
  <c r="I2125" i="41"/>
  <c r="I2124" i="41"/>
  <c r="I2123" i="41"/>
  <c r="I2122" i="41"/>
  <c r="I2121" i="41"/>
  <c r="I2120" i="41"/>
  <c r="I2119" i="41"/>
  <c r="I2118" i="41"/>
  <c r="I2117" i="41"/>
  <c r="I2116" i="41"/>
  <c r="I2115" i="41"/>
  <c r="I2114" i="41"/>
  <c r="I2113" i="41"/>
  <c r="I2112" i="41"/>
  <c r="I2111" i="41"/>
  <c r="I2110" i="41"/>
  <c r="I2109" i="41"/>
  <c r="I2108" i="41"/>
  <c r="I2107" i="41"/>
  <c r="I2106" i="41"/>
  <c r="I2105" i="41"/>
  <c r="I2104" i="41"/>
  <c r="I2103" i="41"/>
  <c r="I2102" i="41"/>
  <c r="I2101" i="41"/>
  <c r="I2100" i="41"/>
  <c r="I2099" i="41"/>
  <c r="I2098" i="41"/>
  <c r="I2097" i="41"/>
  <c r="I2096" i="41"/>
  <c r="I2095" i="41"/>
  <c r="I2094" i="41"/>
  <c r="I2093" i="41"/>
  <c r="I2092" i="41"/>
  <c r="I2091" i="41"/>
  <c r="I2090" i="41"/>
  <c r="I2089" i="41"/>
  <c r="I2088" i="41"/>
  <c r="I2087" i="41"/>
  <c r="I2086" i="41"/>
  <c r="I2085" i="41"/>
  <c r="I2084" i="41"/>
  <c r="I2083" i="41"/>
  <c r="I2082" i="41"/>
  <c r="I2081" i="41"/>
  <c r="I2080" i="41"/>
  <c r="I2079" i="41"/>
  <c r="I2078" i="41"/>
  <c r="I2077" i="41"/>
  <c r="I2076" i="41"/>
  <c r="I2075" i="41"/>
  <c r="I2074" i="41"/>
  <c r="I2073" i="41"/>
  <c r="I2072" i="41"/>
  <c r="I2071" i="41"/>
  <c r="I2070" i="41"/>
  <c r="I2069" i="41"/>
  <c r="I2068" i="41"/>
  <c r="I2067" i="41"/>
  <c r="I2066" i="41"/>
  <c r="I2065" i="41"/>
  <c r="I2064" i="41"/>
  <c r="I2063" i="41"/>
  <c r="I2062" i="41"/>
  <c r="I2061" i="41"/>
  <c r="I2060" i="41"/>
  <c r="I2059" i="41"/>
  <c r="I2058" i="41"/>
  <c r="I2057" i="41"/>
  <c r="I2056" i="41"/>
  <c r="I2055" i="41"/>
  <c r="I2054" i="41"/>
  <c r="I2053" i="41"/>
  <c r="I2052" i="41"/>
  <c r="I2051" i="41"/>
  <c r="I2050" i="41"/>
  <c r="I2049" i="41"/>
  <c r="I2048" i="41"/>
  <c r="I2047" i="41"/>
  <c r="I2046" i="41"/>
  <c r="I2045" i="41"/>
  <c r="I2044" i="41"/>
  <c r="I2043" i="41"/>
  <c r="I2042" i="41"/>
  <c r="I2041" i="41"/>
  <c r="I2040" i="41"/>
  <c r="I2039" i="41"/>
  <c r="I2038" i="41"/>
  <c r="I2037" i="41"/>
  <c r="I2036" i="41"/>
  <c r="I2035" i="41"/>
  <c r="I2034" i="41"/>
  <c r="I2033" i="41"/>
  <c r="I2032" i="41"/>
  <c r="I2031" i="41"/>
  <c r="I2030" i="41"/>
  <c r="I2029" i="41"/>
  <c r="I2028" i="41"/>
  <c r="I2027" i="41"/>
  <c r="I2026" i="41"/>
  <c r="I2025" i="41"/>
  <c r="I2024" i="41"/>
  <c r="I2023" i="41"/>
  <c r="I2022" i="41"/>
  <c r="I2021" i="41"/>
  <c r="I2020" i="41"/>
  <c r="I2019" i="41"/>
  <c r="I2018" i="41"/>
  <c r="I2017" i="41"/>
  <c r="I2016" i="41"/>
  <c r="I2015" i="41"/>
  <c r="I2014" i="41"/>
  <c r="I2013" i="41"/>
  <c r="I2012" i="41"/>
  <c r="I2011" i="41"/>
  <c r="I2010" i="41"/>
  <c r="I2009" i="41"/>
  <c r="I2008" i="41"/>
  <c r="I2007" i="41"/>
  <c r="I2006" i="41"/>
  <c r="I2005" i="41"/>
  <c r="I2004" i="41"/>
  <c r="I2003" i="41"/>
  <c r="I2002" i="41"/>
  <c r="I2001" i="41"/>
  <c r="I2000" i="41"/>
  <c r="I1999" i="41"/>
  <c r="I1998" i="41"/>
  <c r="I1997" i="41"/>
  <c r="I1996" i="41"/>
  <c r="I1995" i="41"/>
  <c r="I1994" i="41"/>
  <c r="I1993" i="41"/>
  <c r="I1992" i="41"/>
  <c r="I1991" i="41"/>
  <c r="I1990" i="41"/>
  <c r="I1989" i="41"/>
  <c r="I1988" i="41"/>
  <c r="I1987" i="41"/>
  <c r="I1986" i="41"/>
  <c r="I1985" i="41"/>
  <c r="I1984" i="41"/>
  <c r="I1983" i="41"/>
  <c r="I1982" i="41"/>
  <c r="I1981" i="41"/>
  <c r="I1980" i="41"/>
  <c r="I1979" i="41"/>
  <c r="I1978" i="41"/>
  <c r="I1977" i="41"/>
  <c r="I1976" i="41"/>
  <c r="I1975" i="41"/>
  <c r="I1974" i="41"/>
  <c r="I1973" i="41"/>
  <c r="I1972" i="41"/>
  <c r="I1971" i="41"/>
  <c r="I1970" i="41"/>
  <c r="I1969" i="41"/>
  <c r="I1968" i="41"/>
  <c r="I1967" i="41"/>
  <c r="I1966" i="41"/>
  <c r="I1965" i="41"/>
  <c r="I1964" i="41"/>
  <c r="I1963" i="41"/>
  <c r="I1962" i="41"/>
  <c r="I1961" i="41"/>
  <c r="I1960" i="41"/>
  <c r="I1959" i="41"/>
  <c r="I1958" i="41"/>
  <c r="I1957" i="41"/>
  <c r="I1956" i="41"/>
  <c r="I1955" i="41"/>
  <c r="I1954" i="41"/>
  <c r="I1953" i="41"/>
  <c r="I1952" i="41"/>
  <c r="I1951" i="41"/>
  <c r="I1950" i="41"/>
  <c r="I1949" i="41"/>
  <c r="I1948" i="41"/>
  <c r="I1947" i="41"/>
  <c r="I1946" i="41"/>
  <c r="I1945" i="41"/>
  <c r="I1944" i="41"/>
  <c r="I1943" i="41"/>
  <c r="I1942" i="41"/>
  <c r="I1941" i="41"/>
  <c r="I1940" i="41"/>
  <c r="I1939" i="41"/>
  <c r="I1938" i="41"/>
  <c r="I1937" i="41"/>
  <c r="I1936" i="41"/>
  <c r="I1935" i="41"/>
  <c r="I1934" i="41"/>
  <c r="I1933" i="41"/>
  <c r="I1932" i="41"/>
  <c r="I1931" i="41"/>
  <c r="I1930" i="41"/>
  <c r="I1929" i="41"/>
  <c r="I1928" i="41"/>
  <c r="I1927" i="41"/>
  <c r="I1926" i="41"/>
  <c r="I1925" i="41"/>
  <c r="I1924" i="41"/>
  <c r="I1923" i="41"/>
  <c r="I1922" i="41"/>
  <c r="I1921" i="41"/>
  <c r="I1920" i="41"/>
  <c r="I1919" i="41"/>
  <c r="I1918" i="41"/>
  <c r="I1917" i="41"/>
  <c r="I1916" i="41"/>
  <c r="I1915" i="41"/>
  <c r="I1914" i="41"/>
  <c r="I1913" i="41"/>
  <c r="I1912" i="41"/>
  <c r="I1911" i="41"/>
  <c r="I1910" i="41"/>
  <c r="I1909" i="41"/>
  <c r="I1908" i="41"/>
  <c r="I1907" i="41"/>
  <c r="I1906" i="41"/>
  <c r="I1905" i="41"/>
  <c r="I1904" i="41"/>
  <c r="I1903" i="41"/>
  <c r="I1902" i="41"/>
  <c r="I1901" i="41"/>
  <c r="I1900" i="41"/>
  <c r="I1899" i="41"/>
  <c r="I1898" i="41"/>
  <c r="I1897" i="41"/>
  <c r="I1896" i="41"/>
  <c r="I1895" i="41"/>
  <c r="I1894" i="41"/>
  <c r="I1893" i="41"/>
  <c r="I1892" i="41"/>
  <c r="I1891" i="41"/>
  <c r="I1890" i="41"/>
  <c r="I1889" i="41"/>
  <c r="I1888" i="41"/>
  <c r="I1887" i="41"/>
  <c r="I1886" i="41"/>
  <c r="I1885" i="41"/>
  <c r="I1884" i="41"/>
  <c r="I1883" i="41"/>
  <c r="I1882" i="41"/>
  <c r="I1881" i="41"/>
  <c r="I1880" i="41"/>
  <c r="I1879" i="41"/>
  <c r="I1878" i="41"/>
  <c r="I1877" i="41"/>
  <c r="I1876" i="41"/>
  <c r="I1875" i="41"/>
  <c r="I1874" i="41"/>
  <c r="I1873" i="41"/>
  <c r="I1872" i="41"/>
  <c r="I1871" i="41"/>
  <c r="I1870" i="41"/>
  <c r="I1869" i="41"/>
  <c r="I1868" i="41"/>
  <c r="I1867" i="41"/>
  <c r="I1866" i="41"/>
  <c r="I1865" i="41"/>
  <c r="I1864" i="41"/>
  <c r="I1863" i="41"/>
  <c r="I1862" i="41"/>
  <c r="I1861" i="41"/>
  <c r="I1860" i="41"/>
  <c r="I1859" i="41"/>
  <c r="I1858" i="41"/>
  <c r="I1857" i="41"/>
  <c r="I1856" i="41"/>
  <c r="I1855" i="41"/>
  <c r="I1854" i="41"/>
  <c r="I1853" i="41"/>
  <c r="I1852" i="41"/>
  <c r="I1851" i="41"/>
  <c r="I1850" i="41"/>
  <c r="I1849" i="41"/>
  <c r="I1848" i="41"/>
  <c r="I1847" i="41"/>
  <c r="I1846" i="41"/>
  <c r="I1845" i="41"/>
  <c r="I1844" i="41"/>
  <c r="I1843" i="41"/>
  <c r="I1842" i="41"/>
  <c r="I1841" i="41"/>
  <c r="I1840" i="41"/>
  <c r="I1839" i="41"/>
  <c r="I1838" i="41"/>
  <c r="I1837" i="41"/>
  <c r="I1836" i="41"/>
  <c r="I1835" i="41"/>
  <c r="I1834" i="41"/>
  <c r="I1833" i="41"/>
  <c r="I1832" i="41"/>
  <c r="I1831" i="41"/>
  <c r="I1830" i="41"/>
  <c r="I1829" i="41"/>
  <c r="I1828" i="41"/>
  <c r="I1827" i="41"/>
  <c r="I1826" i="41"/>
  <c r="I1825" i="41"/>
  <c r="I1824" i="41"/>
  <c r="I1823" i="41"/>
  <c r="I1822" i="41"/>
  <c r="I1821" i="41"/>
  <c r="I1820" i="41"/>
  <c r="I1819" i="41"/>
  <c r="I1818" i="41"/>
  <c r="I1817" i="41"/>
  <c r="I1816" i="41"/>
  <c r="I1815" i="41"/>
  <c r="I1814" i="41"/>
  <c r="I1813" i="41"/>
  <c r="I1812" i="41"/>
  <c r="I1811" i="41"/>
  <c r="I1810" i="41"/>
  <c r="I1809" i="41"/>
  <c r="I1808" i="41"/>
  <c r="I1807" i="41"/>
  <c r="I1806" i="41"/>
  <c r="I1805" i="41"/>
  <c r="I1804" i="41"/>
  <c r="I1803" i="41"/>
  <c r="I1802" i="41"/>
  <c r="I1801" i="41"/>
  <c r="I1800" i="41"/>
  <c r="I1799" i="41"/>
  <c r="I1798" i="41"/>
  <c r="I1797" i="41"/>
  <c r="I1796" i="41"/>
  <c r="I1795" i="41"/>
  <c r="I1794" i="41"/>
  <c r="I1793" i="41"/>
  <c r="I1792" i="41"/>
  <c r="I1791" i="41"/>
  <c r="I1790" i="41"/>
  <c r="I1789" i="41"/>
  <c r="I1788" i="41"/>
  <c r="I1787" i="41"/>
  <c r="I1786" i="41"/>
  <c r="I1785" i="41"/>
  <c r="I1784" i="41"/>
  <c r="I1783" i="41"/>
  <c r="I1782" i="41"/>
  <c r="I1781" i="41"/>
  <c r="I1780" i="41"/>
  <c r="I1779" i="41"/>
  <c r="I1778" i="41"/>
  <c r="I1777" i="41"/>
  <c r="I1776" i="41"/>
  <c r="I1775" i="41"/>
  <c r="I1774" i="41"/>
  <c r="I1773" i="41"/>
  <c r="I1772" i="41"/>
  <c r="I1771" i="41"/>
  <c r="I1770" i="41"/>
  <c r="I1769" i="41"/>
  <c r="I1768" i="41"/>
  <c r="I1767" i="41"/>
  <c r="I1766" i="41"/>
  <c r="I1765" i="41"/>
  <c r="I1764" i="41"/>
  <c r="I1763" i="41"/>
  <c r="I1762" i="41"/>
  <c r="I1761" i="41"/>
  <c r="I1760" i="41"/>
  <c r="I1759" i="41"/>
  <c r="I1758" i="41"/>
  <c r="I1757" i="41"/>
  <c r="I1756" i="41"/>
  <c r="I1755" i="41"/>
  <c r="I1754" i="41"/>
  <c r="I1753" i="41"/>
  <c r="I1752" i="41"/>
  <c r="I1751" i="41"/>
  <c r="I1750" i="41"/>
  <c r="I1749" i="41"/>
  <c r="I1748" i="41"/>
  <c r="I1747" i="41"/>
  <c r="I1746" i="41"/>
  <c r="I1745" i="41"/>
  <c r="I1744" i="41"/>
  <c r="I1743" i="41"/>
  <c r="I1742" i="41"/>
  <c r="I1741" i="41"/>
  <c r="I1740" i="41"/>
  <c r="I1739" i="41"/>
  <c r="I1738" i="41"/>
  <c r="I1737" i="41"/>
  <c r="I1736" i="41"/>
  <c r="I1735" i="41"/>
  <c r="I1734" i="41"/>
  <c r="I1733" i="41"/>
  <c r="I1732" i="41"/>
  <c r="I1731" i="41"/>
  <c r="I1730" i="41"/>
  <c r="I1729" i="41"/>
  <c r="I1728" i="41"/>
  <c r="I1727" i="41"/>
  <c r="I1726" i="41"/>
  <c r="I1725" i="41"/>
  <c r="I1724" i="41"/>
  <c r="I1723" i="41"/>
  <c r="I1722" i="41"/>
  <c r="I1721" i="41"/>
  <c r="I1720" i="41"/>
  <c r="I1719" i="41"/>
  <c r="I1718" i="41"/>
  <c r="I1717" i="41"/>
  <c r="I1716" i="41"/>
  <c r="I1715" i="41"/>
  <c r="I1714" i="41"/>
  <c r="I1713" i="41"/>
  <c r="I1712" i="41"/>
  <c r="I1711" i="41"/>
  <c r="I1710" i="41"/>
  <c r="I1709" i="41"/>
  <c r="I1708" i="41"/>
  <c r="I1707" i="41"/>
  <c r="I1706" i="41"/>
  <c r="I1705" i="41"/>
  <c r="I1704" i="41"/>
  <c r="I1703" i="41"/>
  <c r="I1702" i="41"/>
  <c r="I1701" i="41"/>
  <c r="I1700" i="41"/>
  <c r="I1699" i="41"/>
  <c r="I1698" i="41"/>
  <c r="I1697" i="41"/>
  <c r="I1696" i="41"/>
  <c r="I1695" i="41"/>
  <c r="I1694" i="41"/>
  <c r="I1693" i="41"/>
  <c r="I1692" i="41"/>
  <c r="I1691" i="41"/>
  <c r="I1690" i="41"/>
  <c r="I1689" i="41"/>
  <c r="I1688" i="41"/>
  <c r="I1687" i="41"/>
  <c r="I1686" i="41"/>
  <c r="I1685" i="41"/>
  <c r="I1684" i="41"/>
  <c r="I1683" i="41"/>
  <c r="I1682" i="41"/>
  <c r="I1681" i="41"/>
  <c r="I1680" i="41"/>
  <c r="I1679" i="41"/>
  <c r="I1678" i="41"/>
  <c r="I1677" i="41"/>
  <c r="I1676" i="41"/>
  <c r="I1675" i="41"/>
  <c r="I1674" i="41"/>
  <c r="I1673" i="41"/>
  <c r="I1672" i="41"/>
  <c r="I1671" i="41"/>
  <c r="I1670" i="41"/>
  <c r="I1669" i="41"/>
  <c r="I1668" i="41"/>
  <c r="I1667" i="41"/>
  <c r="I1666" i="41"/>
  <c r="I1665" i="41"/>
  <c r="I1664" i="41"/>
  <c r="I1663" i="41"/>
  <c r="I1662" i="41"/>
  <c r="I1661" i="41"/>
  <c r="I1660" i="41"/>
  <c r="I1659" i="41"/>
  <c r="I1658" i="41"/>
  <c r="I1657" i="41"/>
  <c r="I1656" i="41"/>
  <c r="I1655" i="41"/>
  <c r="I1654" i="41"/>
  <c r="I1653" i="41"/>
  <c r="I1652" i="41"/>
  <c r="I1651" i="41"/>
  <c r="I1650" i="41"/>
  <c r="I1649" i="41"/>
  <c r="I1648" i="41"/>
  <c r="I1647" i="41"/>
  <c r="I1646" i="41"/>
  <c r="I1645" i="41"/>
  <c r="I1644" i="41"/>
  <c r="I1643" i="41"/>
  <c r="I1642" i="41"/>
  <c r="I1641" i="41"/>
  <c r="I1640" i="41"/>
  <c r="I1639" i="41"/>
  <c r="I1638" i="41"/>
  <c r="I1637" i="41"/>
  <c r="I1636" i="41"/>
  <c r="I1635" i="41"/>
  <c r="I1634" i="41"/>
  <c r="I1633" i="41"/>
  <c r="I1632" i="41"/>
  <c r="I1631" i="41"/>
  <c r="I1630" i="41"/>
  <c r="I1629" i="41"/>
  <c r="I1628" i="41"/>
  <c r="I1627" i="41"/>
  <c r="I1626" i="41"/>
  <c r="I1625" i="41"/>
  <c r="I1624" i="41"/>
  <c r="I1623" i="41"/>
  <c r="I1622" i="41"/>
  <c r="I1621" i="41"/>
  <c r="I1620" i="41"/>
  <c r="I1619" i="41"/>
  <c r="I1618" i="41"/>
  <c r="I1617" i="41"/>
  <c r="I1616" i="41"/>
  <c r="I1615" i="41"/>
  <c r="I1614" i="41"/>
  <c r="I1613" i="41"/>
  <c r="I1612" i="41"/>
  <c r="I1611" i="41"/>
  <c r="I1610" i="41"/>
  <c r="I1609" i="41"/>
  <c r="I1608" i="41"/>
  <c r="I1607" i="41"/>
  <c r="I1606" i="41"/>
  <c r="I1605" i="41"/>
  <c r="I1604" i="41"/>
  <c r="I1603" i="41"/>
  <c r="I1602" i="41"/>
  <c r="I1601" i="41"/>
  <c r="I1600" i="41"/>
  <c r="I1599" i="41"/>
  <c r="I1598" i="41"/>
  <c r="I1597" i="41"/>
  <c r="I1596" i="41"/>
  <c r="I1595" i="41"/>
  <c r="I1594" i="41"/>
  <c r="I1593" i="41"/>
  <c r="I1592" i="41"/>
  <c r="I1591" i="41"/>
  <c r="I1590" i="41"/>
  <c r="I1589" i="41"/>
  <c r="I1588" i="41"/>
  <c r="I1587" i="41"/>
  <c r="I1586" i="41"/>
  <c r="I1585" i="41"/>
  <c r="I1584" i="41"/>
  <c r="I1583" i="41"/>
  <c r="I1582" i="41"/>
  <c r="I1581" i="41"/>
  <c r="I1580" i="41"/>
  <c r="I1579" i="41"/>
  <c r="I1578" i="41"/>
  <c r="I1577" i="41"/>
  <c r="I1576" i="41"/>
  <c r="I1575" i="41"/>
  <c r="I1574" i="41"/>
  <c r="I1573" i="41"/>
  <c r="I1572" i="41"/>
  <c r="I1571" i="41"/>
  <c r="I1570" i="41"/>
  <c r="I1569" i="41"/>
  <c r="I1568" i="41"/>
  <c r="I1567" i="41"/>
  <c r="I1566" i="41"/>
  <c r="I1565" i="41"/>
  <c r="I1564" i="41"/>
  <c r="I1563" i="41"/>
  <c r="I1562" i="41"/>
  <c r="I1561" i="41"/>
  <c r="I1560" i="41"/>
  <c r="I1559" i="41"/>
  <c r="I1558" i="41"/>
  <c r="I1557" i="41"/>
  <c r="I1556" i="41"/>
  <c r="I1555" i="41"/>
  <c r="I1554" i="41"/>
  <c r="I1553" i="41"/>
  <c r="I1552" i="41"/>
  <c r="I1551" i="41"/>
  <c r="I1550" i="41"/>
  <c r="I1549" i="41"/>
  <c r="I1548" i="41"/>
  <c r="I1547" i="41"/>
  <c r="I1546" i="41"/>
  <c r="I1545" i="41"/>
  <c r="I1544" i="41"/>
  <c r="I1543" i="41"/>
  <c r="I1542" i="41"/>
  <c r="I1541" i="41"/>
  <c r="I1540" i="41"/>
  <c r="I1539" i="41"/>
  <c r="I1538" i="41"/>
  <c r="I1537" i="41"/>
  <c r="I1536" i="41"/>
  <c r="I1535" i="41"/>
  <c r="I1534" i="41"/>
  <c r="I1533" i="41"/>
  <c r="I1532" i="41"/>
  <c r="I1531" i="41"/>
  <c r="I1530" i="41"/>
  <c r="I1529" i="41"/>
  <c r="I1528" i="41"/>
  <c r="I1527" i="41"/>
  <c r="I1526" i="41"/>
  <c r="I1525" i="41"/>
  <c r="I1524" i="41"/>
  <c r="I1523" i="41"/>
  <c r="I1522" i="41"/>
  <c r="I1521" i="41"/>
  <c r="I1520" i="41"/>
  <c r="I1519" i="41"/>
  <c r="I1518" i="41"/>
  <c r="I1517" i="41"/>
  <c r="I1516" i="41"/>
  <c r="I1515" i="41"/>
  <c r="I1514" i="41"/>
  <c r="I1513" i="41"/>
  <c r="I1512" i="41"/>
  <c r="I1511" i="41"/>
  <c r="I1510" i="41"/>
  <c r="I1509" i="41"/>
  <c r="I1508" i="41"/>
  <c r="I1507" i="41"/>
  <c r="I1506" i="41"/>
  <c r="I1505" i="41"/>
  <c r="I1504" i="41"/>
  <c r="I1503" i="41"/>
  <c r="I1502" i="41"/>
  <c r="I1501" i="41"/>
  <c r="I1500" i="41"/>
  <c r="I1499" i="41"/>
  <c r="I1498" i="41"/>
  <c r="I1497" i="41"/>
  <c r="I1496" i="41"/>
  <c r="I1495" i="41"/>
  <c r="I1494" i="41"/>
  <c r="I1493" i="41"/>
  <c r="I1492" i="41"/>
  <c r="I1491" i="41"/>
  <c r="I1490" i="41"/>
  <c r="I1489" i="41"/>
  <c r="I1488" i="41"/>
  <c r="I1487" i="41"/>
  <c r="I1486" i="41"/>
  <c r="I1485" i="41"/>
  <c r="I1484" i="41"/>
  <c r="I1483" i="41"/>
  <c r="I1482" i="41"/>
  <c r="I1481" i="41"/>
  <c r="I1480" i="41"/>
  <c r="I1479" i="41"/>
  <c r="I1478" i="41"/>
  <c r="I1477" i="41"/>
  <c r="I1476" i="41"/>
  <c r="I1475" i="41"/>
  <c r="I1474" i="41"/>
  <c r="I1473" i="41"/>
  <c r="I1472" i="41"/>
  <c r="I1471" i="41"/>
  <c r="I1470" i="41"/>
  <c r="I1469" i="41"/>
  <c r="I1468" i="41"/>
  <c r="I1467" i="41"/>
  <c r="I1466" i="41"/>
  <c r="I1465" i="41"/>
  <c r="I1464" i="41"/>
  <c r="I1463" i="41"/>
  <c r="I1462" i="41"/>
  <c r="I1461" i="41"/>
  <c r="I1460" i="41"/>
  <c r="I1459" i="41"/>
  <c r="I1458" i="41"/>
  <c r="I1457" i="41"/>
  <c r="I1456" i="41"/>
  <c r="I1455" i="41"/>
  <c r="I1454" i="41"/>
  <c r="I1453" i="41"/>
  <c r="I1452" i="41"/>
  <c r="I1451" i="41"/>
  <c r="I1450" i="41"/>
  <c r="I1449" i="41"/>
  <c r="I1448" i="41"/>
  <c r="I1447" i="41"/>
  <c r="I1446" i="41"/>
  <c r="I1445" i="41"/>
  <c r="I1444" i="41"/>
  <c r="I1443" i="41"/>
  <c r="I1442" i="41"/>
  <c r="I1441" i="41"/>
  <c r="I1440" i="41"/>
  <c r="I1439" i="41"/>
  <c r="I1438" i="41"/>
  <c r="I1437" i="41"/>
  <c r="I1436" i="41"/>
  <c r="I1435" i="41"/>
  <c r="I1434" i="41"/>
  <c r="I1433" i="41"/>
  <c r="I1432" i="41"/>
  <c r="I1431" i="41"/>
  <c r="I1430" i="41"/>
  <c r="I1429" i="41"/>
  <c r="I1428" i="41"/>
  <c r="I1427" i="41"/>
  <c r="I1426" i="41"/>
  <c r="I1425" i="41"/>
  <c r="I1424" i="41"/>
  <c r="I1423" i="41"/>
  <c r="I1422" i="41"/>
  <c r="I1421" i="41"/>
  <c r="I1420" i="41"/>
  <c r="I1419" i="41"/>
  <c r="I1418" i="41"/>
  <c r="I1417" i="41"/>
  <c r="I1416" i="41"/>
  <c r="I1415" i="41"/>
  <c r="I1414" i="41"/>
  <c r="I1413" i="41"/>
  <c r="I1412" i="41"/>
  <c r="I1411" i="41"/>
  <c r="I1410" i="41"/>
  <c r="I1409" i="41"/>
  <c r="I1408" i="41"/>
  <c r="I1407" i="41"/>
  <c r="I1406" i="41"/>
  <c r="I1405" i="41"/>
  <c r="I1404" i="41"/>
  <c r="I1403" i="41"/>
  <c r="I1402" i="41"/>
  <c r="I1401" i="41"/>
  <c r="I1400" i="41"/>
  <c r="I1399" i="41"/>
  <c r="I1398" i="41"/>
  <c r="I1397" i="41"/>
  <c r="I1396" i="41"/>
  <c r="I1395" i="41"/>
  <c r="I1394" i="41"/>
  <c r="I1393" i="41"/>
  <c r="I1392" i="41"/>
  <c r="I1391" i="41"/>
  <c r="I1390" i="41"/>
  <c r="I1389" i="41"/>
  <c r="I1388" i="41"/>
  <c r="I1387" i="41"/>
  <c r="I1386" i="41"/>
  <c r="I1385" i="41"/>
  <c r="I1384" i="41"/>
  <c r="I1383" i="41"/>
  <c r="I1382" i="41"/>
  <c r="I1381" i="41"/>
  <c r="I1380" i="41"/>
  <c r="I1379" i="41"/>
  <c r="I1378" i="41"/>
  <c r="I1377" i="41"/>
  <c r="I1376" i="41"/>
  <c r="I1375" i="41"/>
  <c r="I1374" i="41"/>
  <c r="I1373" i="41"/>
  <c r="I1372" i="41"/>
  <c r="I1371" i="41"/>
  <c r="I1370" i="41"/>
  <c r="I1369" i="41"/>
  <c r="I1368" i="41"/>
  <c r="I1367" i="41"/>
  <c r="I1366" i="41"/>
  <c r="I1365" i="41"/>
  <c r="I1364" i="41"/>
  <c r="I1363" i="41"/>
  <c r="I1362" i="41"/>
  <c r="I1361" i="41"/>
  <c r="I1360" i="41"/>
  <c r="I1359" i="41"/>
  <c r="I1358" i="41"/>
  <c r="I1357" i="41"/>
  <c r="I1356" i="41"/>
  <c r="I1355" i="41"/>
  <c r="I1354" i="41"/>
  <c r="I1353" i="41"/>
  <c r="I1352" i="41"/>
  <c r="I1351" i="41"/>
  <c r="I1350" i="41"/>
  <c r="I1349" i="41"/>
  <c r="I1348" i="41"/>
  <c r="I1347" i="41"/>
  <c r="I1346" i="41"/>
  <c r="I1345" i="41"/>
  <c r="I1344" i="41"/>
  <c r="I1343" i="41"/>
  <c r="I1342" i="41"/>
  <c r="I1341" i="41"/>
  <c r="I1340" i="41"/>
  <c r="I1339" i="41"/>
  <c r="I1338" i="41"/>
  <c r="I1337" i="41"/>
  <c r="I1336" i="41"/>
  <c r="I1335" i="41"/>
  <c r="I1334" i="41"/>
  <c r="I1333" i="41"/>
  <c r="I1332" i="41"/>
  <c r="I1331" i="41"/>
  <c r="I1330" i="41"/>
  <c r="I1329" i="41"/>
  <c r="I1328" i="41"/>
  <c r="I1327" i="41"/>
  <c r="I1326" i="41"/>
  <c r="I1325" i="41"/>
  <c r="I1324" i="41"/>
  <c r="I1323" i="41"/>
  <c r="I1322" i="41"/>
  <c r="I1321" i="41"/>
  <c r="I1320" i="41"/>
  <c r="I1319" i="41"/>
  <c r="I1318" i="41"/>
  <c r="I1317" i="41"/>
  <c r="I1316" i="41"/>
  <c r="I1315" i="41"/>
  <c r="I1314" i="41"/>
  <c r="I1313" i="41"/>
  <c r="I1312" i="41"/>
  <c r="I1311" i="41"/>
  <c r="I1310" i="41"/>
  <c r="I1309" i="41"/>
  <c r="I1308" i="41"/>
  <c r="I1307" i="41"/>
  <c r="I1306" i="41"/>
  <c r="I1305" i="41"/>
  <c r="I1304" i="41"/>
  <c r="I1303" i="41"/>
  <c r="I1302" i="41"/>
  <c r="I1301" i="41"/>
  <c r="I1300" i="41"/>
  <c r="I1299" i="41"/>
  <c r="I1298" i="41"/>
  <c r="I1297" i="41"/>
  <c r="I1296" i="41"/>
  <c r="I1295" i="41"/>
  <c r="I1294" i="41"/>
  <c r="I1293" i="41"/>
  <c r="I1292" i="41"/>
  <c r="I1291" i="41"/>
  <c r="I1290" i="41"/>
  <c r="I1289" i="41"/>
  <c r="I1288" i="41"/>
  <c r="I1287" i="41"/>
  <c r="I1286" i="41"/>
  <c r="I1285" i="41"/>
  <c r="I1284" i="41"/>
  <c r="I1283" i="41"/>
  <c r="I1282" i="41"/>
  <c r="I1281" i="41"/>
  <c r="I1280" i="41"/>
  <c r="I1279" i="41"/>
  <c r="I1278" i="41"/>
  <c r="I1277" i="41"/>
  <c r="I1276" i="41"/>
  <c r="I1275" i="41"/>
  <c r="I1274" i="41"/>
  <c r="I1273" i="41"/>
  <c r="I1272" i="41"/>
  <c r="I1271" i="41"/>
  <c r="I1270" i="41"/>
  <c r="I1269" i="41"/>
  <c r="I1268" i="41"/>
  <c r="I1267" i="41"/>
  <c r="I1266" i="41"/>
  <c r="I1265" i="41"/>
  <c r="I1264" i="41"/>
  <c r="I1263" i="41"/>
  <c r="I1262" i="41"/>
  <c r="I1261" i="41"/>
  <c r="I1260" i="41"/>
  <c r="I1259" i="41"/>
  <c r="I1258" i="41"/>
  <c r="I1257" i="41"/>
  <c r="I1256" i="41"/>
  <c r="I1255" i="41"/>
  <c r="I1254" i="41"/>
  <c r="I1253" i="41"/>
  <c r="I1252" i="41"/>
  <c r="I1251" i="41"/>
  <c r="I1250" i="41"/>
  <c r="I1249" i="41"/>
  <c r="I1248" i="41"/>
  <c r="I1247" i="41"/>
  <c r="I1246" i="41"/>
  <c r="I1245" i="41"/>
  <c r="I1244" i="41"/>
  <c r="I1243" i="41"/>
  <c r="I1242" i="41"/>
  <c r="I1241" i="41"/>
  <c r="I1240" i="41"/>
  <c r="I1239" i="41"/>
  <c r="I1238" i="41"/>
  <c r="I1237" i="41"/>
  <c r="I1236" i="41"/>
  <c r="I1235" i="41"/>
  <c r="I1234" i="41"/>
  <c r="I1233" i="41"/>
  <c r="I1232" i="41"/>
  <c r="I1231" i="41"/>
  <c r="I1230" i="41"/>
  <c r="I1229" i="41"/>
  <c r="I1228" i="41"/>
  <c r="I1227" i="41"/>
  <c r="I1226" i="41"/>
  <c r="I1225" i="41"/>
  <c r="I1224" i="41"/>
  <c r="I1223" i="41"/>
  <c r="I1222" i="41"/>
  <c r="I1221" i="41"/>
  <c r="I1220" i="41"/>
  <c r="I1219" i="41"/>
  <c r="I1218" i="41"/>
  <c r="I1217" i="41"/>
  <c r="I1216" i="41"/>
  <c r="I1215" i="41"/>
  <c r="I1214" i="41"/>
  <c r="I1213" i="41"/>
  <c r="I1212" i="41"/>
  <c r="I1211" i="41"/>
  <c r="I1210" i="41"/>
  <c r="I1209" i="41"/>
  <c r="I1208" i="41"/>
  <c r="I1207" i="41"/>
  <c r="I1206" i="41"/>
  <c r="I1205" i="41"/>
  <c r="I1204" i="41"/>
  <c r="I1203" i="41"/>
  <c r="I1202" i="41"/>
  <c r="I1201" i="41"/>
  <c r="I1200" i="41"/>
  <c r="I1199" i="41"/>
  <c r="I1198" i="41"/>
  <c r="I1197" i="41"/>
  <c r="I1196" i="41"/>
  <c r="I1195" i="41"/>
  <c r="I1194" i="41"/>
  <c r="I1193" i="41"/>
  <c r="I1192" i="41"/>
  <c r="I1191" i="41"/>
  <c r="I1190" i="41"/>
  <c r="I1189" i="41"/>
  <c r="I1188" i="41"/>
  <c r="I1187" i="41"/>
  <c r="I1186" i="41"/>
  <c r="I1185" i="41"/>
  <c r="I1184" i="41"/>
  <c r="I1183" i="41"/>
  <c r="I1182" i="41"/>
  <c r="I1181" i="41"/>
  <c r="I1180" i="41"/>
  <c r="I1179" i="41"/>
  <c r="I1178" i="41"/>
  <c r="I1177" i="41"/>
  <c r="I1176" i="41"/>
  <c r="I1175" i="41"/>
  <c r="I1174" i="41"/>
  <c r="I1173" i="41"/>
  <c r="I1172" i="41"/>
  <c r="I1171" i="41"/>
  <c r="I1170" i="41"/>
  <c r="I1169" i="41"/>
  <c r="I1168" i="41"/>
  <c r="I1167" i="41"/>
  <c r="I1166" i="41"/>
  <c r="I1165" i="41"/>
  <c r="I1164" i="41"/>
  <c r="I1163" i="41"/>
  <c r="I1162" i="41"/>
  <c r="I1161" i="41"/>
  <c r="I1160" i="41"/>
  <c r="I1159" i="41"/>
  <c r="I1158" i="41"/>
  <c r="I1157" i="41"/>
  <c r="I1156" i="41"/>
  <c r="I1155" i="41"/>
  <c r="I1154" i="41"/>
  <c r="I1153" i="41"/>
  <c r="I1152" i="41"/>
  <c r="I1151" i="41"/>
  <c r="I1150" i="41"/>
  <c r="I1149" i="41"/>
  <c r="I1148" i="41"/>
  <c r="I1147" i="41"/>
  <c r="I1146" i="41"/>
  <c r="I1145" i="41"/>
  <c r="I1144" i="41"/>
  <c r="I1143" i="41"/>
  <c r="I1142" i="41"/>
  <c r="I1141" i="41"/>
  <c r="I1140" i="41"/>
  <c r="I1139" i="41"/>
  <c r="I1138" i="41"/>
  <c r="I1137" i="41"/>
  <c r="I1136" i="41"/>
  <c r="I1135" i="41"/>
  <c r="I1134" i="41"/>
  <c r="I1133" i="41"/>
  <c r="I1132" i="41"/>
  <c r="I1131" i="41"/>
  <c r="I1130" i="41"/>
  <c r="I1129" i="41"/>
  <c r="I1128" i="41"/>
  <c r="I1127" i="41"/>
  <c r="I1126" i="41"/>
  <c r="I1125" i="41"/>
  <c r="I1124" i="41"/>
  <c r="I1123" i="41"/>
  <c r="I1122" i="41"/>
  <c r="I1121" i="41"/>
  <c r="I1120" i="41"/>
  <c r="I1119" i="41"/>
  <c r="I1118" i="41"/>
  <c r="I1117" i="41"/>
  <c r="I1116" i="41"/>
  <c r="I1115" i="41"/>
  <c r="I1114" i="41"/>
  <c r="I1113" i="41"/>
  <c r="I1112" i="41"/>
  <c r="I1111" i="41"/>
  <c r="I1110" i="41"/>
  <c r="I1109" i="41"/>
  <c r="I1108" i="41"/>
  <c r="I1107" i="41"/>
  <c r="I1106" i="41"/>
  <c r="I1105" i="41"/>
  <c r="I1104" i="41"/>
  <c r="I1103" i="41"/>
  <c r="I1102" i="41"/>
  <c r="I1101" i="41"/>
  <c r="I1100" i="41"/>
  <c r="I1099" i="41"/>
  <c r="I1098" i="41"/>
  <c r="I1097" i="41"/>
  <c r="I1096" i="41"/>
  <c r="I1095" i="41"/>
  <c r="I1094" i="41"/>
  <c r="I1093" i="41"/>
  <c r="I1092" i="41"/>
  <c r="I1091" i="41"/>
  <c r="I1090" i="41"/>
  <c r="I1089" i="41"/>
  <c r="I1088" i="41"/>
  <c r="I1087" i="41"/>
  <c r="I1086" i="41"/>
  <c r="I1085" i="41"/>
  <c r="I1084" i="41"/>
  <c r="I1083" i="41"/>
  <c r="I1082" i="41"/>
  <c r="I1081" i="41"/>
  <c r="I1080" i="41"/>
  <c r="I1079" i="41"/>
  <c r="I1078" i="41"/>
  <c r="I1077" i="41"/>
  <c r="I1076" i="41"/>
  <c r="I1075" i="41"/>
  <c r="I1074" i="41"/>
  <c r="I1073" i="41"/>
  <c r="I1072" i="41"/>
  <c r="I1071" i="41"/>
  <c r="I1070" i="41"/>
  <c r="I1069" i="41"/>
  <c r="I1068" i="41"/>
  <c r="I1067" i="41"/>
  <c r="I1066" i="41"/>
  <c r="I1065" i="41"/>
  <c r="I1064" i="41"/>
  <c r="I1063" i="41"/>
  <c r="I1062" i="41"/>
  <c r="I1061" i="41"/>
  <c r="I1060" i="41"/>
  <c r="I1059" i="41"/>
  <c r="I1058" i="41"/>
  <c r="I1057" i="41"/>
  <c r="I1056" i="41"/>
  <c r="I1055" i="41"/>
  <c r="I1054" i="41"/>
  <c r="I1053" i="41"/>
  <c r="I1052" i="41"/>
  <c r="I1051" i="41"/>
  <c r="I1050" i="41"/>
  <c r="I1049" i="41"/>
  <c r="I1048" i="41"/>
  <c r="I1047" i="41"/>
  <c r="I1046" i="41"/>
  <c r="I1045" i="41"/>
  <c r="I1044" i="41"/>
  <c r="I1043" i="41"/>
  <c r="I1042" i="41"/>
  <c r="I1041" i="41"/>
  <c r="I1040" i="41"/>
  <c r="I1039" i="41"/>
  <c r="I1038" i="41"/>
  <c r="I1037" i="41"/>
  <c r="I1036" i="41"/>
  <c r="I1035" i="41"/>
  <c r="I1034" i="41"/>
  <c r="I1033" i="41"/>
  <c r="I1032" i="41"/>
  <c r="I1031" i="41"/>
  <c r="I1030" i="41"/>
  <c r="I1029" i="41"/>
  <c r="I1028" i="41"/>
  <c r="I1027" i="41"/>
  <c r="I1026" i="41"/>
  <c r="I1025" i="41"/>
  <c r="I1024" i="41"/>
  <c r="I1023" i="41"/>
  <c r="I1022" i="41"/>
  <c r="I1021" i="41"/>
  <c r="I1020" i="41"/>
  <c r="I1019" i="41"/>
  <c r="I1018" i="41"/>
  <c r="I1017" i="41"/>
  <c r="I1016" i="41"/>
  <c r="I1015" i="41"/>
  <c r="I1014" i="41"/>
  <c r="I1013" i="41"/>
  <c r="I1012" i="41"/>
  <c r="I1011" i="41"/>
  <c r="I1010" i="41"/>
  <c r="I1009" i="41"/>
  <c r="I1008" i="41"/>
  <c r="I1007" i="41"/>
  <c r="I1006" i="41"/>
  <c r="I1005" i="41"/>
  <c r="I1004" i="41"/>
  <c r="I1003" i="41"/>
  <c r="I1002" i="41"/>
  <c r="I1001" i="41"/>
  <c r="I1000" i="41"/>
  <c r="I999" i="41"/>
  <c r="I998" i="41"/>
  <c r="I997" i="41"/>
  <c r="I996" i="41"/>
  <c r="I995" i="41"/>
  <c r="I994" i="41"/>
  <c r="I993" i="41"/>
  <c r="I992" i="41"/>
  <c r="I991" i="41"/>
  <c r="I990" i="41"/>
  <c r="I989" i="41"/>
  <c r="I988" i="41"/>
  <c r="I987" i="41"/>
  <c r="I986" i="41"/>
  <c r="I985" i="41"/>
  <c r="I984" i="41"/>
  <c r="I983" i="41"/>
  <c r="I982" i="41"/>
  <c r="I981" i="41"/>
  <c r="I980" i="41"/>
  <c r="I979" i="41"/>
  <c r="I978" i="41"/>
  <c r="I977" i="41"/>
  <c r="I976" i="41"/>
  <c r="I975" i="41"/>
  <c r="I974" i="41"/>
  <c r="I973" i="41"/>
  <c r="I972" i="41"/>
  <c r="I971" i="41"/>
  <c r="I970" i="41"/>
  <c r="I969" i="41"/>
  <c r="I968" i="41"/>
  <c r="I967" i="41"/>
  <c r="I966" i="41"/>
  <c r="I965" i="41"/>
  <c r="I964" i="41"/>
  <c r="I963" i="41"/>
  <c r="I962" i="41"/>
  <c r="I961" i="41"/>
  <c r="I960" i="41"/>
  <c r="I959" i="41"/>
  <c r="I958" i="41"/>
  <c r="I957" i="41"/>
  <c r="I956" i="41"/>
  <c r="I955" i="41"/>
  <c r="I954" i="41"/>
  <c r="I953" i="41"/>
  <c r="I952" i="41"/>
  <c r="I951" i="41"/>
  <c r="I950" i="41"/>
  <c r="I949" i="41"/>
  <c r="I948" i="41"/>
  <c r="I947" i="41"/>
  <c r="I946" i="41"/>
  <c r="I945" i="41"/>
  <c r="I944" i="41"/>
  <c r="I943" i="41"/>
  <c r="I942" i="41"/>
  <c r="I941" i="41"/>
  <c r="I940" i="41"/>
  <c r="I939" i="41"/>
  <c r="I938" i="41"/>
  <c r="I937" i="41"/>
  <c r="I936" i="41"/>
  <c r="I935" i="41"/>
  <c r="I934" i="41"/>
  <c r="I933" i="41"/>
  <c r="I932" i="41"/>
  <c r="I931" i="41"/>
  <c r="I930" i="41"/>
  <c r="I929" i="41"/>
  <c r="I928" i="41"/>
  <c r="I927" i="41"/>
  <c r="I926" i="41"/>
  <c r="I925" i="41"/>
  <c r="I924" i="41"/>
  <c r="I923" i="41"/>
  <c r="I922" i="41"/>
  <c r="I921" i="41"/>
  <c r="I920" i="41"/>
  <c r="I919" i="41"/>
  <c r="I918" i="41"/>
  <c r="I917" i="41"/>
  <c r="I916" i="41"/>
  <c r="I915" i="41"/>
  <c r="I914" i="41"/>
  <c r="I913" i="41"/>
  <c r="I912" i="41"/>
  <c r="I911" i="41"/>
  <c r="I910" i="41"/>
  <c r="I909" i="41"/>
  <c r="I908" i="41"/>
  <c r="I907" i="41"/>
  <c r="I906" i="41"/>
  <c r="I905" i="41"/>
  <c r="I904" i="41"/>
  <c r="I903" i="41"/>
  <c r="I902" i="41"/>
  <c r="I901" i="41"/>
  <c r="I900" i="41"/>
  <c r="I899" i="41"/>
  <c r="I898" i="41"/>
  <c r="I897" i="41"/>
  <c r="I896" i="41"/>
  <c r="I895" i="41"/>
  <c r="I894" i="41"/>
  <c r="I893" i="41"/>
  <c r="I892" i="41"/>
  <c r="I891" i="41"/>
  <c r="I890" i="41"/>
  <c r="I889" i="41"/>
  <c r="I888" i="41"/>
  <c r="I887" i="41"/>
  <c r="I886" i="41"/>
  <c r="I885" i="41"/>
  <c r="I884" i="41"/>
  <c r="I883" i="41"/>
  <c r="I882" i="41"/>
  <c r="I881" i="41"/>
  <c r="I880" i="41"/>
  <c r="I879" i="41"/>
  <c r="I878" i="41"/>
  <c r="I877" i="41"/>
  <c r="I876" i="41"/>
  <c r="I875" i="41"/>
  <c r="I874" i="41"/>
  <c r="I873" i="41"/>
  <c r="I872" i="41"/>
  <c r="I871" i="41"/>
  <c r="I870" i="41"/>
  <c r="I869" i="41"/>
  <c r="I868" i="41"/>
  <c r="I867" i="41"/>
  <c r="I866" i="41"/>
  <c r="I865" i="41"/>
  <c r="I864" i="41"/>
  <c r="I863" i="41"/>
  <c r="I862" i="41"/>
  <c r="I861" i="41"/>
  <c r="I860" i="41"/>
  <c r="I859" i="41"/>
  <c r="I858" i="41"/>
  <c r="I857" i="41"/>
  <c r="I856" i="41"/>
  <c r="I855" i="41"/>
  <c r="I854" i="41"/>
  <c r="I853" i="41"/>
  <c r="I852" i="41"/>
  <c r="I851" i="41"/>
  <c r="I850" i="41"/>
  <c r="I849" i="41"/>
  <c r="I848" i="41"/>
  <c r="I847" i="41"/>
  <c r="I846" i="41"/>
  <c r="I845" i="41"/>
  <c r="I844" i="41"/>
  <c r="I843" i="41"/>
  <c r="I842" i="41"/>
  <c r="I841" i="41"/>
  <c r="I840" i="41"/>
  <c r="I839" i="41"/>
  <c r="I838" i="41"/>
  <c r="I837" i="41"/>
  <c r="I836" i="41"/>
  <c r="I835" i="41"/>
  <c r="I834" i="41"/>
  <c r="I833" i="41"/>
  <c r="I832" i="41"/>
  <c r="I831" i="41"/>
  <c r="I830" i="41"/>
  <c r="I829" i="41"/>
  <c r="I828" i="41"/>
  <c r="I827" i="41"/>
  <c r="I826" i="41"/>
  <c r="I825" i="41"/>
  <c r="I824" i="41"/>
  <c r="I823" i="41"/>
  <c r="I822" i="41"/>
  <c r="I821" i="41"/>
  <c r="I820" i="41"/>
  <c r="I819" i="41"/>
  <c r="I818" i="41"/>
  <c r="I817" i="41"/>
  <c r="I816" i="41"/>
  <c r="I815" i="41"/>
  <c r="I814" i="41"/>
  <c r="I813" i="41"/>
  <c r="I812" i="41"/>
  <c r="I811" i="41"/>
  <c r="I810" i="41"/>
  <c r="I809" i="41"/>
  <c r="I808" i="41"/>
  <c r="I807" i="41"/>
  <c r="I806" i="41"/>
  <c r="I805" i="41"/>
  <c r="I804" i="41"/>
  <c r="I803" i="41"/>
  <c r="I802" i="41"/>
  <c r="I801" i="41"/>
  <c r="I800" i="41"/>
  <c r="I799" i="41"/>
  <c r="I798" i="41"/>
  <c r="I797" i="41"/>
  <c r="I796" i="41"/>
  <c r="I795" i="41"/>
  <c r="I794" i="41"/>
  <c r="I793" i="41"/>
  <c r="I792" i="41"/>
  <c r="I791" i="41"/>
  <c r="I790" i="41"/>
  <c r="I789" i="41"/>
  <c r="I788" i="41"/>
  <c r="I787" i="41"/>
  <c r="I786" i="41"/>
  <c r="I785" i="41"/>
  <c r="I784" i="41"/>
  <c r="I783" i="41"/>
  <c r="I782" i="41"/>
  <c r="I781" i="41"/>
  <c r="I780" i="41"/>
  <c r="I779" i="41"/>
  <c r="I778" i="41"/>
  <c r="I777" i="41"/>
  <c r="I776" i="41"/>
  <c r="I775" i="41"/>
  <c r="I774" i="41"/>
  <c r="I773" i="41"/>
  <c r="I772" i="41"/>
  <c r="I771" i="41"/>
  <c r="I770" i="41"/>
  <c r="I769" i="41"/>
  <c r="I768" i="41"/>
  <c r="I767" i="41"/>
  <c r="I766" i="41"/>
  <c r="I765" i="41"/>
  <c r="I764" i="41"/>
  <c r="I763" i="41"/>
  <c r="I762" i="41"/>
  <c r="I761" i="41"/>
  <c r="I760" i="41"/>
  <c r="I759" i="41"/>
  <c r="I758" i="41"/>
  <c r="I757" i="41"/>
  <c r="I756" i="41"/>
  <c r="I755" i="41"/>
  <c r="I754" i="41"/>
  <c r="I753" i="41"/>
  <c r="I752" i="41"/>
  <c r="I751" i="41"/>
  <c r="I750" i="41"/>
  <c r="I749" i="41"/>
  <c r="I748" i="41"/>
  <c r="I747" i="41"/>
  <c r="I746" i="41"/>
  <c r="I745" i="41"/>
  <c r="I744" i="41"/>
  <c r="I743" i="41"/>
  <c r="I742" i="41"/>
  <c r="I741" i="41"/>
  <c r="I740" i="41"/>
  <c r="I739" i="41"/>
  <c r="I738" i="41"/>
  <c r="I737" i="41"/>
  <c r="I736" i="41"/>
  <c r="I735" i="41"/>
  <c r="I734" i="41"/>
  <c r="I733" i="41"/>
  <c r="I732" i="41"/>
  <c r="I731" i="41"/>
  <c r="I730" i="41"/>
  <c r="I729" i="41"/>
  <c r="I728" i="41"/>
  <c r="I727" i="41"/>
  <c r="I726" i="41"/>
  <c r="I725" i="41"/>
  <c r="I724" i="41"/>
  <c r="I723" i="41"/>
  <c r="I722" i="41"/>
  <c r="I721" i="41"/>
  <c r="I720" i="41"/>
  <c r="I719" i="41"/>
  <c r="I718" i="41"/>
  <c r="I717" i="41"/>
  <c r="I716" i="41"/>
  <c r="I715" i="41"/>
  <c r="I714" i="41"/>
  <c r="I713" i="41"/>
  <c r="I712" i="41"/>
  <c r="I711" i="41"/>
  <c r="I710" i="41"/>
  <c r="I709" i="41"/>
  <c r="I708" i="41"/>
  <c r="I707" i="41"/>
  <c r="I706" i="41"/>
  <c r="I705" i="41"/>
  <c r="I704" i="41"/>
  <c r="I703" i="41"/>
  <c r="I702" i="41"/>
  <c r="I701" i="41"/>
  <c r="I700" i="41"/>
  <c r="I699" i="41"/>
  <c r="I698" i="41"/>
  <c r="I697" i="41"/>
  <c r="I696" i="41"/>
  <c r="I695" i="41"/>
  <c r="I694" i="41"/>
  <c r="I693" i="41"/>
  <c r="I692" i="41"/>
  <c r="I691" i="41"/>
  <c r="I690" i="41"/>
  <c r="I689" i="41"/>
  <c r="I688" i="41"/>
  <c r="I687" i="41"/>
  <c r="I686" i="41"/>
  <c r="I685" i="41"/>
  <c r="I684" i="41"/>
  <c r="I683" i="41"/>
  <c r="I682" i="41"/>
  <c r="I681" i="41"/>
  <c r="I680" i="41"/>
  <c r="I679" i="41"/>
  <c r="I678" i="41"/>
  <c r="I677" i="41"/>
  <c r="I676" i="41"/>
  <c r="I675" i="41"/>
  <c r="I674" i="41"/>
  <c r="I673" i="41"/>
  <c r="I672" i="41"/>
  <c r="I671" i="41"/>
  <c r="I670" i="41"/>
  <c r="I669" i="41"/>
  <c r="I668" i="41"/>
  <c r="I667" i="41"/>
  <c r="I666" i="41"/>
  <c r="I665" i="41"/>
  <c r="I664" i="41"/>
  <c r="I663" i="41"/>
  <c r="I662" i="41"/>
  <c r="I661" i="41"/>
  <c r="I660" i="41"/>
  <c r="I659" i="41"/>
  <c r="I658" i="41"/>
  <c r="I657" i="41"/>
  <c r="I656" i="41"/>
  <c r="I655" i="41"/>
  <c r="I654" i="41"/>
  <c r="I653" i="41"/>
  <c r="I652" i="41"/>
  <c r="I651" i="41"/>
  <c r="I650" i="41"/>
  <c r="I649" i="41"/>
  <c r="I648" i="41"/>
  <c r="I647" i="41"/>
  <c r="I646" i="41"/>
  <c r="I645" i="41"/>
  <c r="I644" i="41"/>
  <c r="I643" i="41"/>
  <c r="I642" i="41"/>
  <c r="I641" i="41"/>
  <c r="I640" i="41"/>
  <c r="I639" i="41"/>
  <c r="I638" i="41"/>
  <c r="I637" i="41"/>
  <c r="I636" i="41"/>
  <c r="I635" i="41"/>
  <c r="I634" i="41"/>
  <c r="I633" i="41"/>
  <c r="I632" i="41"/>
  <c r="I631" i="41"/>
  <c r="I630" i="41"/>
  <c r="I629" i="41"/>
  <c r="I628" i="41"/>
  <c r="I627" i="41"/>
  <c r="I626" i="41"/>
  <c r="I625" i="41"/>
  <c r="I624" i="41"/>
  <c r="I623" i="41"/>
  <c r="I622" i="41"/>
  <c r="I621" i="41"/>
  <c r="I620" i="41"/>
  <c r="I619" i="41"/>
  <c r="I618" i="41"/>
  <c r="I617" i="41"/>
  <c r="I616" i="41"/>
  <c r="I615" i="41"/>
  <c r="I614" i="41"/>
  <c r="I613" i="41"/>
  <c r="I612" i="41"/>
  <c r="I611" i="41"/>
  <c r="I610" i="41"/>
  <c r="I609" i="41"/>
  <c r="I608" i="41"/>
  <c r="I607" i="41"/>
  <c r="I606" i="41"/>
  <c r="I605" i="41"/>
  <c r="I604" i="41"/>
  <c r="I603" i="41"/>
  <c r="I602" i="41"/>
  <c r="I601" i="41"/>
  <c r="I600" i="41"/>
  <c r="I599" i="41"/>
  <c r="I598" i="41"/>
  <c r="I597" i="41"/>
  <c r="I596" i="41"/>
  <c r="I595" i="41"/>
  <c r="I594" i="41"/>
  <c r="I593" i="41"/>
  <c r="I592" i="41"/>
  <c r="I591" i="41"/>
  <c r="I590" i="41"/>
  <c r="I589" i="41"/>
  <c r="I588" i="41"/>
  <c r="I587" i="41"/>
  <c r="I586" i="41"/>
  <c r="I585" i="41"/>
  <c r="I584" i="41"/>
  <c r="I583" i="41"/>
  <c r="I582" i="41"/>
  <c r="I581" i="41"/>
  <c r="I580" i="41"/>
  <c r="I579" i="41"/>
  <c r="I578" i="41"/>
  <c r="I577" i="41"/>
  <c r="I576" i="41"/>
  <c r="I575" i="41"/>
  <c r="I574" i="41"/>
  <c r="I573" i="41"/>
  <c r="I572" i="41"/>
  <c r="I571" i="41"/>
  <c r="I570" i="41"/>
  <c r="I569" i="41"/>
  <c r="I568" i="41"/>
  <c r="I567" i="41"/>
  <c r="I566" i="41"/>
  <c r="I565" i="41"/>
  <c r="I564" i="41"/>
  <c r="I563" i="41"/>
  <c r="I562" i="41"/>
  <c r="I561" i="41"/>
  <c r="I560" i="41"/>
  <c r="I559" i="41"/>
  <c r="I558" i="41"/>
  <c r="I557" i="41"/>
  <c r="I556" i="41"/>
  <c r="I555" i="41"/>
  <c r="I554" i="41"/>
  <c r="I553" i="41"/>
  <c r="I552" i="41"/>
  <c r="I551" i="41"/>
  <c r="I550" i="41"/>
  <c r="I549" i="41"/>
  <c r="I548" i="41"/>
  <c r="I547" i="41"/>
  <c r="I546" i="41"/>
  <c r="I545" i="41"/>
  <c r="I544" i="41"/>
  <c r="I543" i="41"/>
  <c r="I542" i="41"/>
  <c r="I541" i="41"/>
  <c r="I540" i="41"/>
  <c r="I539" i="41"/>
  <c r="I538" i="41"/>
  <c r="I537" i="41"/>
  <c r="I536" i="41"/>
  <c r="I535" i="41"/>
  <c r="I534" i="41"/>
  <c r="I533" i="41"/>
  <c r="I532" i="41"/>
  <c r="I531" i="41"/>
  <c r="I530" i="41"/>
  <c r="I529" i="41"/>
  <c r="I528" i="41"/>
  <c r="I527" i="41"/>
  <c r="I526" i="41"/>
  <c r="I525" i="41"/>
  <c r="I524" i="41"/>
  <c r="I523" i="41"/>
  <c r="I522" i="41"/>
  <c r="I521" i="41"/>
  <c r="I520" i="41"/>
  <c r="I519" i="41"/>
  <c r="I518" i="41"/>
  <c r="I517" i="41"/>
  <c r="I516" i="41"/>
  <c r="I515" i="41"/>
  <c r="I514" i="41"/>
  <c r="I513" i="41"/>
  <c r="I512" i="41"/>
  <c r="I511" i="41"/>
  <c r="I510" i="41"/>
  <c r="I509" i="41"/>
  <c r="I508" i="41"/>
  <c r="I507" i="41"/>
  <c r="I506" i="41"/>
  <c r="I505" i="41"/>
  <c r="I504" i="41"/>
  <c r="I503" i="41"/>
  <c r="I502" i="41"/>
  <c r="I501" i="41"/>
  <c r="I500" i="41"/>
  <c r="I499" i="41"/>
  <c r="I498" i="41"/>
  <c r="I497" i="41"/>
  <c r="I496" i="41"/>
  <c r="I495" i="41"/>
  <c r="I494" i="41"/>
  <c r="I493" i="41"/>
  <c r="I492" i="41"/>
  <c r="I491" i="41"/>
  <c r="I490" i="41"/>
  <c r="I489" i="41"/>
  <c r="I488" i="41"/>
  <c r="I487" i="41"/>
  <c r="I486" i="41"/>
  <c r="I485" i="41"/>
  <c r="I484" i="41"/>
  <c r="I483" i="41"/>
  <c r="I482" i="41"/>
  <c r="I481" i="41"/>
  <c r="I480" i="41"/>
  <c r="I479" i="41"/>
  <c r="I478" i="41"/>
  <c r="I477" i="41"/>
  <c r="I476" i="41"/>
  <c r="I475" i="41"/>
  <c r="I474" i="41"/>
  <c r="I473" i="41"/>
  <c r="I472" i="41"/>
  <c r="I471" i="41"/>
  <c r="I470" i="41"/>
  <c r="I469" i="41"/>
  <c r="I468" i="41"/>
  <c r="I467" i="41"/>
  <c r="I466" i="41"/>
  <c r="I465" i="41"/>
  <c r="I464" i="41"/>
  <c r="I463" i="41"/>
  <c r="I462" i="41"/>
  <c r="I461" i="41"/>
  <c r="I460" i="41"/>
  <c r="I459" i="41"/>
  <c r="I458" i="41"/>
  <c r="I457" i="41"/>
  <c r="I456" i="41"/>
  <c r="I455" i="41"/>
  <c r="I454" i="41"/>
  <c r="I453" i="41"/>
  <c r="I452" i="41"/>
  <c r="I451" i="41"/>
  <c r="I450" i="41"/>
  <c r="I449" i="41"/>
  <c r="I448" i="41"/>
  <c r="I447" i="41"/>
  <c r="I446" i="41"/>
  <c r="I445" i="41"/>
  <c r="I444" i="41"/>
  <c r="I443" i="41"/>
  <c r="I442" i="41"/>
  <c r="I441" i="41"/>
  <c r="I440" i="41"/>
  <c r="I439" i="41"/>
  <c r="I438" i="41"/>
  <c r="I437" i="41"/>
  <c r="I436" i="41"/>
  <c r="I435" i="41"/>
  <c r="I434" i="41"/>
  <c r="I433" i="41"/>
  <c r="I432" i="41"/>
  <c r="I431" i="41"/>
  <c r="I430" i="41"/>
  <c r="I429" i="41"/>
  <c r="I428" i="41"/>
  <c r="I427" i="41"/>
  <c r="I426" i="41"/>
  <c r="I425" i="41"/>
  <c r="I424" i="41"/>
  <c r="I423" i="41"/>
  <c r="I422" i="41"/>
  <c r="I421" i="41"/>
  <c r="I420" i="41"/>
  <c r="I419" i="41"/>
  <c r="I418" i="41"/>
  <c r="I417" i="41"/>
  <c r="I416" i="41"/>
  <c r="I415" i="41"/>
  <c r="I414" i="41"/>
  <c r="I413" i="41"/>
  <c r="I412" i="41"/>
  <c r="I411" i="41"/>
  <c r="I410" i="41"/>
  <c r="I409" i="41"/>
  <c r="I408" i="41"/>
  <c r="I407" i="41"/>
  <c r="I406" i="41"/>
  <c r="I405" i="41"/>
  <c r="I404" i="41"/>
  <c r="I403" i="41"/>
  <c r="I402" i="41"/>
  <c r="I401" i="41"/>
  <c r="I400" i="41"/>
  <c r="I399" i="41"/>
  <c r="I398" i="41"/>
  <c r="I397" i="41"/>
  <c r="I396" i="41"/>
  <c r="I395" i="41"/>
  <c r="I394" i="41"/>
  <c r="I393" i="41"/>
  <c r="I392" i="41"/>
  <c r="I391" i="41"/>
  <c r="I390" i="41"/>
  <c r="I389" i="41"/>
  <c r="I388" i="41"/>
  <c r="I387" i="41"/>
  <c r="I386" i="41"/>
  <c r="I385" i="41"/>
  <c r="I384" i="41"/>
  <c r="I383" i="41"/>
  <c r="I382" i="41"/>
  <c r="I381" i="41"/>
  <c r="I380" i="41"/>
  <c r="I379" i="41"/>
  <c r="I378" i="41"/>
  <c r="I377" i="41"/>
  <c r="I376" i="41"/>
  <c r="I375" i="41"/>
  <c r="I374" i="41"/>
  <c r="I373" i="41"/>
  <c r="I372" i="41"/>
  <c r="I371" i="41"/>
  <c r="I370" i="41"/>
  <c r="I369" i="41"/>
  <c r="I368" i="41"/>
  <c r="I367" i="41"/>
  <c r="I366" i="41"/>
  <c r="I365" i="41"/>
  <c r="I364" i="41"/>
  <c r="I363" i="41"/>
  <c r="I362" i="41"/>
  <c r="I361" i="41"/>
  <c r="I360" i="41"/>
  <c r="I359" i="41"/>
  <c r="I358" i="41"/>
  <c r="I357" i="41"/>
  <c r="I356" i="41"/>
  <c r="I355" i="41"/>
  <c r="I354" i="41"/>
  <c r="I353" i="41"/>
  <c r="I352" i="41"/>
  <c r="I351" i="41"/>
  <c r="I350" i="41"/>
  <c r="I349" i="41"/>
  <c r="I348" i="41"/>
  <c r="I347" i="41"/>
  <c r="I346" i="41"/>
  <c r="I345" i="41"/>
  <c r="I344" i="41"/>
  <c r="I343" i="41"/>
  <c r="I342" i="41"/>
  <c r="I341" i="41"/>
  <c r="I340" i="41"/>
  <c r="I339" i="41"/>
  <c r="I338" i="41"/>
  <c r="I337" i="41"/>
  <c r="I336" i="41"/>
  <c r="I335" i="41"/>
  <c r="I334" i="41"/>
  <c r="I333" i="41"/>
  <c r="I332" i="41"/>
  <c r="I331" i="41"/>
  <c r="I330" i="41"/>
  <c r="I329" i="41"/>
  <c r="I328" i="41"/>
  <c r="I327" i="41"/>
  <c r="I326" i="41"/>
  <c r="I325" i="41"/>
  <c r="I324" i="41"/>
  <c r="I323" i="41"/>
  <c r="I322" i="41"/>
  <c r="I321" i="41"/>
  <c r="I320" i="41"/>
  <c r="I319" i="41"/>
  <c r="I318" i="41"/>
  <c r="I317" i="41"/>
  <c r="I316" i="41"/>
  <c r="I315" i="41"/>
  <c r="I314" i="41"/>
  <c r="I313" i="41"/>
  <c r="I312" i="41"/>
  <c r="I311" i="41"/>
  <c r="I310" i="41"/>
  <c r="I309" i="41"/>
  <c r="I308" i="41"/>
  <c r="I307" i="41"/>
  <c r="I306" i="41"/>
  <c r="I305" i="41"/>
  <c r="I304" i="41"/>
  <c r="I303" i="41"/>
  <c r="I302" i="41"/>
  <c r="I301" i="41"/>
  <c r="I300" i="41"/>
  <c r="I299" i="41"/>
  <c r="I298" i="41"/>
  <c r="I297" i="41"/>
  <c r="I296" i="41"/>
  <c r="I295" i="41"/>
  <c r="I294" i="41"/>
  <c r="I293" i="41"/>
  <c r="I292" i="41"/>
  <c r="I291" i="41"/>
  <c r="I290" i="41"/>
  <c r="I289" i="41"/>
  <c r="I288" i="41"/>
  <c r="I287" i="41"/>
  <c r="I286" i="41"/>
  <c r="I285" i="41"/>
  <c r="I284" i="41"/>
  <c r="I283" i="41"/>
  <c r="I282" i="41"/>
  <c r="I281" i="41"/>
  <c r="I280" i="41"/>
  <c r="I279" i="41"/>
  <c r="I278" i="41"/>
  <c r="I277" i="41"/>
  <c r="I276" i="41"/>
  <c r="I275" i="41"/>
  <c r="I274" i="41"/>
  <c r="I273" i="41"/>
  <c r="I272" i="41"/>
  <c r="I271" i="41"/>
  <c r="I270" i="41"/>
  <c r="I269" i="41"/>
  <c r="I268" i="41"/>
  <c r="I267" i="41"/>
  <c r="I266" i="41"/>
  <c r="I265" i="41"/>
  <c r="I264" i="41"/>
  <c r="I263" i="41"/>
  <c r="I262" i="41"/>
  <c r="I261" i="41"/>
  <c r="I260" i="41"/>
  <c r="I259" i="41"/>
  <c r="I258" i="41"/>
  <c r="I257" i="41"/>
  <c r="I256" i="41"/>
  <c r="I255" i="41"/>
  <c r="I254" i="41"/>
  <c r="I253" i="41"/>
  <c r="I252" i="41"/>
  <c r="I251" i="41"/>
  <c r="I250" i="41"/>
  <c r="I249" i="41"/>
  <c r="I248" i="41"/>
  <c r="I247" i="41"/>
  <c r="I246" i="41"/>
  <c r="I245" i="41"/>
  <c r="I244" i="41"/>
  <c r="I243" i="41"/>
  <c r="I242" i="41"/>
  <c r="I241" i="41"/>
  <c r="I240" i="41"/>
  <c r="I239" i="41"/>
  <c r="I238" i="41"/>
  <c r="I237" i="41"/>
  <c r="I236" i="41"/>
  <c r="I235" i="41"/>
  <c r="I234" i="41"/>
  <c r="I233" i="41"/>
  <c r="I232" i="41"/>
  <c r="I231" i="41"/>
  <c r="I230" i="41"/>
  <c r="I229" i="41"/>
  <c r="I228" i="41"/>
  <c r="I227" i="41"/>
  <c r="I226" i="41"/>
  <c r="I225" i="41"/>
  <c r="I224" i="41"/>
  <c r="I223" i="41"/>
  <c r="I222" i="41"/>
  <c r="I221" i="41"/>
  <c r="I220" i="41"/>
  <c r="I219" i="41"/>
  <c r="I218" i="41"/>
  <c r="I217" i="41"/>
  <c r="I216" i="41"/>
  <c r="I215" i="41"/>
  <c r="I214" i="41"/>
  <c r="I213" i="41"/>
  <c r="I212" i="41"/>
  <c r="I211" i="41"/>
  <c r="I210" i="41"/>
  <c r="I209" i="41"/>
  <c r="I208" i="41"/>
  <c r="I207" i="41"/>
  <c r="I206" i="41"/>
  <c r="I205" i="41"/>
  <c r="I204" i="41"/>
  <c r="I203" i="41"/>
  <c r="I202" i="41"/>
  <c r="I201" i="41"/>
  <c r="I200" i="41"/>
  <c r="I199" i="41"/>
  <c r="I198" i="41"/>
  <c r="I197" i="41"/>
  <c r="I196" i="41"/>
  <c r="I195" i="41"/>
  <c r="I194" i="41"/>
  <c r="I193" i="41"/>
  <c r="I192" i="41"/>
  <c r="I191" i="41"/>
  <c r="I190" i="41"/>
  <c r="I189" i="41"/>
  <c r="I188" i="41"/>
  <c r="I187" i="41"/>
  <c r="I186" i="41"/>
  <c r="I185" i="41"/>
  <c r="I184" i="41"/>
  <c r="I183" i="41"/>
  <c r="I182" i="41"/>
  <c r="I181" i="41"/>
  <c r="I180" i="41"/>
  <c r="I179" i="41"/>
  <c r="I178" i="41"/>
  <c r="I177" i="41"/>
  <c r="I176" i="41"/>
  <c r="I175" i="41"/>
  <c r="I174" i="41"/>
  <c r="I173" i="41"/>
  <c r="I172" i="41"/>
  <c r="I171" i="41"/>
  <c r="I170" i="41"/>
  <c r="I169" i="41"/>
  <c r="I168" i="41"/>
  <c r="I167" i="41"/>
  <c r="I166" i="41"/>
  <c r="I165" i="41"/>
  <c r="I164" i="41"/>
  <c r="I163" i="41"/>
  <c r="I162" i="41"/>
  <c r="I161" i="41"/>
  <c r="I160" i="41"/>
  <c r="I159" i="41"/>
  <c r="I158" i="41"/>
  <c r="I157" i="41"/>
  <c r="I156" i="41"/>
  <c r="I155" i="41"/>
  <c r="I154" i="41"/>
  <c r="I153" i="41"/>
  <c r="I152" i="41"/>
  <c r="I151" i="41"/>
  <c r="I150" i="41"/>
  <c r="I149" i="41"/>
  <c r="I148" i="41"/>
  <c r="I147" i="41"/>
  <c r="I146" i="41"/>
  <c r="I145" i="41"/>
  <c r="I144" i="41"/>
  <c r="I143" i="41"/>
  <c r="I142" i="41"/>
  <c r="I141" i="41"/>
  <c r="I140" i="41"/>
  <c r="I139" i="41"/>
  <c r="I138" i="41"/>
  <c r="I137" i="41"/>
  <c r="I136" i="41"/>
  <c r="I135" i="41"/>
  <c r="I134" i="41"/>
  <c r="I133" i="41"/>
  <c r="I132" i="41"/>
  <c r="I131" i="41"/>
  <c r="I130" i="41"/>
  <c r="I129" i="41"/>
  <c r="I128" i="41"/>
  <c r="I127" i="41"/>
  <c r="I126" i="41"/>
  <c r="I125" i="41"/>
  <c r="I124" i="41"/>
  <c r="I123" i="41"/>
  <c r="I122" i="41"/>
  <c r="I121" i="41"/>
  <c r="I120" i="41"/>
  <c r="I119" i="41"/>
  <c r="I118" i="41"/>
  <c r="I117" i="41"/>
  <c r="I116" i="41"/>
  <c r="I115" i="41"/>
  <c r="I114" i="41"/>
  <c r="I113" i="41"/>
  <c r="I112" i="41"/>
  <c r="I111" i="41"/>
  <c r="I110" i="41"/>
  <c r="I109" i="41"/>
  <c r="I108" i="41"/>
  <c r="I107" i="41"/>
  <c r="I106" i="41"/>
  <c r="I105" i="41"/>
  <c r="I104" i="41"/>
  <c r="I103" i="41"/>
  <c r="I102" i="41"/>
  <c r="I101" i="41"/>
  <c r="I100" i="41"/>
  <c r="I99" i="41"/>
  <c r="I98" i="41"/>
  <c r="I97" i="41"/>
  <c r="I96" i="41"/>
  <c r="I95" i="41"/>
  <c r="I94" i="41"/>
  <c r="I93" i="41"/>
  <c r="I92" i="41"/>
  <c r="I91" i="41"/>
  <c r="I90" i="41"/>
  <c r="I89" i="41"/>
  <c r="I88" i="41"/>
  <c r="I87" i="41"/>
  <c r="I86" i="41"/>
  <c r="I85" i="41"/>
  <c r="I84" i="41"/>
  <c r="I83" i="41"/>
  <c r="I82" i="41"/>
  <c r="I81" i="41"/>
  <c r="I80" i="41"/>
  <c r="I79" i="41"/>
  <c r="I78" i="41"/>
  <c r="I77" i="41"/>
  <c r="I76" i="41"/>
  <c r="I75" i="41"/>
  <c r="I74" i="41"/>
  <c r="I73" i="41"/>
  <c r="I72" i="41"/>
  <c r="I71" i="41"/>
  <c r="I70" i="41"/>
  <c r="I69" i="41"/>
  <c r="I68" i="41"/>
  <c r="I67" i="41"/>
  <c r="I66" i="41"/>
  <c r="I65" i="41"/>
  <c r="I64" i="41"/>
  <c r="I63" i="41"/>
  <c r="I62" i="41"/>
  <c r="I61" i="41"/>
  <c r="I60" i="41"/>
  <c r="I59" i="41"/>
  <c r="I58" i="41"/>
  <c r="I57" i="41"/>
  <c r="I56" i="41"/>
  <c r="I55" i="41"/>
  <c r="I54" i="41"/>
  <c r="I53" i="41"/>
  <c r="I52" i="41"/>
  <c r="I51" i="41"/>
  <c r="I50" i="41"/>
  <c r="I49" i="41"/>
  <c r="I48" i="41"/>
  <c r="I47" i="41"/>
  <c r="I46" i="41"/>
  <c r="I45" i="41"/>
  <c r="I44" i="41"/>
  <c r="I43" i="41"/>
  <c r="I42" i="41"/>
  <c r="I41" i="41"/>
  <c r="I40" i="41"/>
  <c r="I39" i="41"/>
  <c r="I38" i="41"/>
  <c r="I37" i="41"/>
  <c r="I36" i="41"/>
  <c r="I35" i="41"/>
  <c r="I34" i="41"/>
  <c r="I33" i="41"/>
  <c r="I32" i="41"/>
  <c r="I31" i="41"/>
  <c r="I30" i="41"/>
  <c r="I29" i="41"/>
  <c r="I28" i="41"/>
  <c r="I27" i="41"/>
  <c r="I26" i="41"/>
  <c r="I25" i="41"/>
  <c r="I24" i="41"/>
  <c r="I23" i="41"/>
  <c r="I22" i="41"/>
  <c r="I21" i="41"/>
  <c r="I20" i="41"/>
  <c r="I19" i="41"/>
  <c r="I18" i="41"/>
  <c r="I17" i="41"/>
  <c r="I16" i="41"/>
  <c r="I15" i="41"/>
  <c r="I14" i="41"/>
  <c r="I13" i="41"/>
  <c r="I12" i="41"/>
  <c r="I11" i="41"/>
  <c r="I10" i="41"/>
  <c r="I9" i="41"/>
  <c r="I8" i="41"/>
  <c r="I7" i="41"/>
  <c r="I6" i="41"/>
  <c r="I5" i="41"/>
  <c r="I4" i="41"/>
  <c r="P1002" i="40"/>
  <c r="O1002" i="40"/>
  <c r="N1002" i="40"/>
  <c r="M1002" i="40"/>
  <c r="L1002" i="40"/>
  <c r="P1001" i="40"/>
  <c r="O1001" i="40"/>
  <c r="N1001" i="40"/>
  <c r="M1001" i="40"/>
  <c r="L1001" i="40"/>
  <c r="P1000" i="40"/>
  <c r="O1000" i="40"/>
  <c r="N1000" i="40"/>
  <c r="M1000" i="40"/>
  <c r="L1000" i="40"/>
  <c r="P999" i="40"/>
  <c r="O999" i="40"/>
  <c r="N999" i="40"/>
  <c r="M999" i="40"/>
  <c r="L999" i="40"/>
  <c r="P998" i="40"/>
  <c r="O998" i="40"/>
  <c r="N998" i="40"/>
  <c r="M998" i="40"/>
  <c r="L998" i="40"/>
  <c r="P997" i="40"/>
  <c r="O997" i="40"/>
  <c r="N997" i="40"/>
  <c r="M997" i="40"/>
  <c r="L997" i="40"/>
  <c r="P996" i="40"/>
  <c r="O996" i="40"/>
  <c r="N996" i="40"/>
  <c r="M996" i="40"/>
  <c r="L996" i="40"/>
  <c r="P995" i="40"/>
  <c r="O995" i="40"/>
  <c r="N995" i="40"/>
  <c r="M995" i="40"/>
  <c r="L995" i="40"/>
  <c r="P994" i="40"/>
  <c r="O994" i="40"/>
  <c r="N994" i="40"/>
  <c r="M994" i="40"/>
  <c r="L994" i="40"/>
  <c r="P993" i="40"/>
  <c r="O993" i="40"/>
  <c r="N993" i="40"/>
  <c r="M993" i="40"/>
  <c r="L993" i="40"/>
  <c r="P992" i="40"/>
  <c r="O992" i="40"/>
  <c r="N992" i="40"/>
  <c r="M992" i="40"/>
  <c r="L992" i="40"/>
  <c r="P991" i="40"/>
  <c r="O991" i="40"/>
  <c r="N991" i="40"/>
  <c r="M991" i="40"/>
  <c r="L991" i="40"/>
  <c r="P990" i="40"/>
  <c r="O990" i="40"/>
  <c r="N990" i="40"/>
  <c r="M990" i="40"/>
  <c r="L990" i="40"/>
  <c r="P989" i="40"/>
  <c r="O989" i="40"/>
  <c r="N989" i="40"/>
  <c r="M989" i="40"/>
  <c r="L989" i="40"/>
  <c r="P988" i="40"/>
  <c r="O988" i="40"/>
  <c r="N988" i="40"/>
  <c r="M988" i="40"/>
  <c r="L988" i="40"/>
  <c r="P987" i="40"/>
  <c r="O987" i="40"/>
  <c r="N987" i="40"/>
  <c r="M987" i="40"/>
  <c r="L987" i="40"/>
  <c r="P986" i="40"/>
  <c r="O986" i="40"/>
  <c r="N986" i="40"/>
  <c r="M986" i="40"/>
  <c r="L986" i="40"/>
  <c r="P985" i="40"/>
  <c r="O985" i="40"/>
  <c r="N985" i="40"/>
  <c r="M985" i="40"/>
  <c r="L985" i="40"/>
  <c r="P984" i="40"/>
  <c r="O984" i="40"/>
  <c r="N984" i="40"/>
  <c r="M984" i="40"/>
  <c r="L984" i="40"/>
  <c r="P983" i="40"/>
  <c r="O983" i="40"/>
  <c r="N983" i="40"/>
  <c r="M983" i="40"/>
  <c r="L983" i="40"/>
  <c r="P982" i="40"/>
  <c r="O982" i="40"/>
  <c r="N982" i="40"/>
  <c r="M982" i="40"/>
  <c r="L982" i="40"/>
  <c r="P981" i="40"/>
  <c r="O981" i="40"/>
  <c r="N981" i="40"/>
  <c r="M981" i="40"/>
  <c r="L981" i="40"/>
  <c r="P980" i="40"/>
  <c r="O980" i="40"/>
  <c r="N980" i="40"/>
  <c r="M980" i="40"/>
  <c r="L980" i="40"/>
  <c r="P979" i="40"/>
  <c r="O979" i="40"/>
  <c r="N979" i="40"/>
  <c r="M979" i="40"/>
  <c r="L979" i="40"/>
  <c r="P978" i="40"/>
  <c r="O978" i="40"/>
  <c r="N978" i="40"/>
  <c r="M978" i="40"/>
  <c r="L978" i="40"/>
  <c r="P977" i="40"/>
  <c r="O977" i="40"/>
  <c r="N977" i="40"/>
  <c r="M977" i="40"/>
  <c r="L977" i="40"/>
  <c r="P976" i="40"/>
  <c r="O976" i="40"/>
  <c r="N976" i="40"/>
  <c r="M976" i="40"/>
  <c r="L976" i="40"/>
  <c r="P975" i="40"/>
  <c r="O975" i="40"/>
  <c r="N975" i="40"/>
  <c r="M975" i="40"/>
  <c r="L975" i="40"/>
  <c r="P974" i="40"/>
  <c r="O974" i="40"/>
  <c r="N974" i="40"/>
  <c r="M974" i="40"/>
  <c r="L974" i="40"/>
  <c r="P973" i="40"/>
  <c r="O973" i="40"/>
  <c r="N973" i="40"/>
  <c r="M973" i="40"/>
  <c r="L973" i="40"/>
  <c r="P972" i="40"/>
  <c r="O972" i="40"/>
  <c r="N972" i="40"/>
  <c r="M972" i="40"/>
  <c r="L972" i="40"/>
  <c r="P971" i="40"/>
  <c r="O971" i="40"/>
  <c r="N971" i="40"/>
  <c r="M971" i="40"/>
  <c r="L971" i="40"/>
  <c r="P970" i="40"/>
  <c r="O970" i="40"/>
  <c r="N970" i="40"/>
  <c r="M970" i="40"/>
  <c r="L970" i="40"/>
  <c r="P969" i="40"/>
  <c r="O969" i="40"/>
  <c r="N969" i="40"/>
  <c r="M969" i="40"/>
  <c r="L969" i="40"/>
  <c r="P968" i="40"/>
  <c r="O968" i="40"/>
  <c r="N968" i="40"/>
  <c r="M968" i="40"/>
  <c r="L968" i="40"/>
  <c r="P967" i="40"/>
  <c r="O967" i="40"/>
  <c r="N967" i="40"/>
  <c r="M967" i="40"/>
  <c r="L967" i="40"/>
  <c r="P966" i="40"/>
  <c r="O966" i="40"/>
  <c r="N966" i="40"/>
  <c r="M966" i="40"/>
  <c r="L966" i="40"/>
  <c r="P965" i="40"/>
  <c r="O965" i="40"/>
  <c r="N965" i="40"/>
  <c r="M965" i="40"/>
  <c r="L965" i="40"/>
  <c r="P964" i="40"/>
  <c r="O964" i="40"/>
  <c r="N964" i="40"/>
  <c r="M964" i="40"/>
  <c r="L964" i="40"/>
  <c r="P963" i="40"/>
  <c r="O963" i="40"/>
  <c r="N963" i="40"/>
  <c r="M963" i="40"/>
  <c r="L963" i="40"/>
  <c r="P962" i="40"/>
  <c r="O962" i="40"/>
  <c r="N962" i="40"/>
  <c r="M962" i="40"/>
  <c r="L962" i="40"/>
  <c r="P961" i="40"/>
  <c r="O961" i="40"/>
  <c r="N961" i="40"/>
  <c r="M961" i="40"/>
  <c r="L961" i="40"/>
  <c r="P960" i="40"/>
  <c r="O960" i="40"/>
  <c r="N960" i="40"/>
  <c r="M960" i="40"/>
  <c r="L960" i="40"/>
  <c r="P959" i="40"/>
  <c r="O959" i="40"/>
  <c r="N959" i="40"/>
  <c r="M959" i="40"/>
  <c r="L959" i="40"/>
  <c r="P958" i="40"/>
  <c r="O958" i="40"/>
  <c r="N958" i="40"/>
  <c r="M958" i="40"/>
  <c r="L958" i="40"/>
  <c r="P957" i="40"/>
  <c r="O957" i="40"/>
  <c r="N957" i="40"/>
  <c r="M957" i="40"/>
  <c r="L957" i="40"/>
  <c r="P956" i="40"/>
  <c r="O956" i="40"/>
  <c r="N956" i="40"/>
  <c r="M956" i="40"/>
  <c r="L956" i="40"/>
  <c r="P955" i="40"/>
  <c r="O955" i="40"/>
  <c r="N955" i="40"/>
  <c r="M955" i="40"/>
  <c r="L955" i="40"/>
  <c r="P954" i="40"/>
  <c r="O954" i="40"/>
  <c r="N954" i="40"/>
  <c r="M954" i="40"/>
  <c r="L954" i="40"/>
  <c r="P953" i="40"/>
  <c r="O953" i="40"/>
  <c r="N953" i="40"/>
  <c r="M953" i="40"/>
  <c r="L953" i="40"/>
  <c r="P952" i="40"/>
  <c r="O952" i="40"/>
  <c r="N952" i="40"/>
  <c r="M952" i="40"/>
  <c r="L952" i="40"/>
  <c r="P951" i="40"/>
  <c r="O951" i="40"/>
  <c r="N951" i="40"/>
  <c r="M951" i="40"/>
  <c r="L951" i="40"/>
  <c r="P950" i="40"/>
  <c r="O950" i="40"/>
  <c r="N950" i="40"/>
  <c r="M950" i="40"/>
  <c r="L950" i="40"/>
  <c r="P949" i="40"/>
  <c r="O949" i="40"/>
  <c r="N949" i="40"/>
  <c r="M949" i="40"/>
  <c r="L949" i="40"/>
  <c r="P948" i="40"/>
  <c r="O948" i="40"/>
  <c r="N948" i="40"/>
  <c r="M948" i="40"/>
  <c r="L948" i="40"/>
  <c r="P947" i="40"/>
  <c r="O947" i="40"/>
  <c r="N947" i="40"/>
  <c r="M947" i="40"/>
  <c r="L947" i="40"/>
  <c r="P946" i="40"/>
  <c r="O946" i="40"/>
  <c r="N946" i="40"/>
  <c r="M946" i="40"/>
  <c r="L946" i="40"/>
  <c r="P945" i="40"/>
  <c r="O945" i="40"/>
  <c r="N945" i="40"/>
  <c r="M945" i="40"/>
  <c r="L945" i="40"/>
  <c r="P944" i="40"/>
  <c r="O944" i="40"/>
  <c r="N944" i="40"/>
  <c r="M944" i="40"/>
  <c r="L944" i="40"/>
  <c r="P943" i="40"/>
  <c r="O943" i="40"/>
  <c r="N943" i="40"/>
  <c r="M943" i="40"/>
  <c r="L943" i="40"/>
  <c r="P942" i="40"/>
  <c r="O942" i="40"/>
  <c r="N942" i="40"/>
  <c r="M942" i="40"/>
  <c r="L942" i="40"/>
  <c r="P941" i="40"/>
  <c r="O941" i="40"/>
  <c r="N941" i="40"/>
  <c r="M941" i="40"/>
  <c r="L941" i="40"/>
  <c r="P940" i="40"/>
  <c r="O940" i="40"/>
  <c r="N940" i="40"/>
  <c r="M940" i="40"/>
  <c r="L940" i="40"/>
  <c r="P939" i="40"/>
  <c r="O939" i="40"/>
  <c r="N939" i="40"/>
  <c r="M939" i="40"/>
  <c r="L939" i="40"/>
  <c r="P938" i="40"/>
  <c r="O938" i="40"/>
  <c r="N938" i="40"/>
  <c r="M938" i="40"/>
  <c r="L938" i="40"/>
  <c r="P937" i="40"/>
  <c r="O937" i="40"/>
  <c r="N937" i="40"/>
  <c r="M937" i="40"/>
  <c r="L937" i="40"/>
  <c r="P936" i="40"/>
  <c r="O936" i="40"/>
  <c r="N936" i="40"/>
  <c r="M936" i="40"/>
  <c r="L936" i="40"/>
  <c r="P935" i="40"/>
  <c r="O935" i="40"/>
  <c r="N935" i="40"/>
  <c r="M935" i="40"/>
  <c r="L935" i="40"/>
  <c r="P934" i="40"/>
  <c r="O934" i="40"/>
  <c r="N934" i="40"/>
  <c r="M934" i="40"/>
  <c r="L934" i="40"/>
  <c r="P933" i="40"/>
  <c r="O933" i="40"/>
  <c r="N933" i="40"/>
  <c r="M933" i="40"/>
  <c r="L933" i="40"/>
  <c r="P932" i="40"/>
  <c r="O932" i="40"/>
  <c r="N932" i="40"/>
  <c r="M932" i="40"/>
  <c r="L932" i="40"/>
  <c r="P931" i="40"/>
  <c r="O931" i="40"/>
  <c r="N931" i="40"/>
  <c r="M931" i="40"/>
  <c r="L931" i="40"/>
  <c r="P930" i="40"/>
  <c r="O930" i="40"/>
  <c r="N930" i="40"/>
  <c r="M930" i="40"/>
  <c r="L930" i="40"/>
  <c r="P929" i="40"/>
  <c r="O929" i="40"/>
  <c r="N929" i="40"/>
  <c r="M929" i="40"/>
  <c r="L929" i="40"/>
  <c r="P928" i="40"/>
  <c r="O928" i="40"/>
  <c r="N928" i="40"/>
  <c r="M928" i="40"/>
  <c r="L928" i="40"/>
  <c r="P927" i="40"/>
  <c r="O927" i="40"/>
  <c r="N927" i="40"/>
  <c r="M927" i="40"/>
  <c r="L927" i="40"/>
  <c r="P926" i="40"/>
  <c r="O926" i="40"/>
  <c r="N926" i="40"/>
  <c r="M926" i="40"/>
  <c r="L926" i="40"/>
  <c r="P925" i="40"/>
  <c r="O925" i="40"/>
  <c r="N925" i="40"/>
  <c r="M925" i="40"/>
  <c r="L925" i="40"/>
  <c r="P924" i="40"/>
  <c r="O924" i="40"/>
  <c r="N924" i="40"/>
  <c r="M924" i="40"/>
  <c r="L924" i="40"/>
  <c r="P923" i="40"/>
  <c r="O923" i="40"/>
  <c r="N923" i="40"/>
  <c r="M923" i="40"/>
  <c r="L923" i="40"/>
  <c r="P922" i="40"/>
  <c r="O922" i="40"/>
  <c r="N922" i="40"/>
  <c r="M922" i="40"/>
  <c r="L922" i="40"/>
  <c r="P921" i="40"/>
  <c r="O921" i="40"/>
  <c r="N921" i="40"/>
  <c r="M921" i="40"/>
  <c r="L921" i="40"/>
  <c r="P920" i="40"/>
  <c r="O920" i="40"/>
  <c r="N920" i="40"/>
  <c r="M920" i="40"/>
  <c r="L920" i="40"/>
  <c r="P919" i="40"/>
  <c r="O919" i="40"/>
  <c r="N919" i="40"/>
  <c r="M919" i="40"/>
  <c r="L919" i="40"/>
  <c r="P918" i="40"/>
  <c r="O918" i="40"/>
  <c r="N918" i="40"/>
  <c r="M918" i="40"/>
  <c r="L918" i="40"/>
  <c r="P917" i="40"/>
  <c r="O917" i="40"/>
  <c r="N917" i="40"/>
  <c r="M917" i="40"/>
  <c r="L917" i="40"/>
  <c r="P916" i="40"/>
  <c r="O916" i="40"/>
  <c r="N916" i="40"/>
  <c r="M916" i="40"/>
  <c r="L916" i="40"/>
  <c r="P915" i="40"/>
  <c r="O915" i="40"/>
  <c r="N915" i="40"/>
  <c r="M915" i="40"/>
  <c r="L915" i="40"/>
  <c r="P914" i="40"/>
  <c r="O914" i="40"/>
  <c r="N914" i="40"/>
  <c r="M914" i="40"/>
  <c r="L914" i="40"/>
  <c r="P913" i="40"/>
  <c r="O913" i="40"/>
  <c r="N913" i="40"/>
  <c r="M913" i="40"/>
  <c r="L913" i="40"/>
  <c r="P912" i="40"/>
  <c r="O912" i="40"/>
  <c r="N912" i="40"/>
  <c r="M912" i="40"/>
  <c r="L912" i="40"/>
  <c r="P911" i="40"/>
  <c r="O911" i="40"/>
  <c r="N911" i="40"/>
  <c r="M911" i="40"/>
  <c r="L911" i="40"/>
  <c r="P910" i="40"/>
  <c r="O910" i="40"/>
  <c r="N910" i="40"/>
  <c r="M910" i="40"/>
  <c r="L910" i="40"/>
  <c r="P909" i="40"/>
  <c r="O909" i="40"/>
  <c r="N909" i="40"/>
  <c r="M909" i="40"/>
  <c r="L909" i="40"/>
  <c r="P908" i="40"/>
  <c r="O908" i="40"/>
  <c r="N908" i="40"/>
  <c r="M908" i="40"/>
  <c r="L908" i="40"/>
  <c r="P907" i="40"/>
  <c r="O907" i="40"/>
  <c r="N907" i="40"/>
  <c r="M907" i="40"/>
  <c r="L907" i="40"/>
  <c r="P906" i="40"/>
  <c r="O906" i="40"/>
  <c r="N906" i="40"/>
  <c r="M906" i="40"/>
  <c r="L906" i="40"/>
  <c r="P905" i="40"/>
  <c r="O905" i="40"/>
  <c r="N905" i="40"/>
  <c r="M905" i="40"/>
  <c r="L905" i="40"/>
  <c r="P904" i="40"/>
  <c r="O904" i="40"/>
  <c r="N904" i="40"/>
  <c r="M904" i="40"/>
  <c r="L904" i="40"/>
  <c r="P903" i="40"/>
  <c r="O903" i="40"/>
  <c r="N903" i="40"/>
  <c r="M903" i="40"/>
  <c r="L903" i="40"/>
  <c r="P902" i="40"/>
  <c r="O902" i="40"/>
  <c r="N902" i="40"/>
  <c r="M902" i="40"/>
  <c r="L902" i="40"/>
  <c r="P901" i="40"/>
  <c r="O901" i="40"/>
  <c r="N901" i="40"/>
  <c r="M901" i="40"/>
  <c r="L901" i="40"/>
  <c r="P900" i="40"/>
  <c r="O900" i="40"/>
  <c r="N900" i="40"/>
  <c r="M900" i="40"/>
  <c r="L900" i="40"/>
  <c r="P899" i="40"/>
  <c r="O899" i="40"/>
  <c r="N899" i="40"/>
  <c r="M899" i="40"/>
  <c r="L899" i="40"/>
  <c r="P898" i="40"/>
  <c r="O898" i="40"/>
  <c r="N898" i="40"/>
  <c r="M898" i="40"/>
  <c r="L898" i="40"/>
  <c r="P897" i="40"/>
  <c r="O897" i="40"/>
  <c r="N897" i="40"/>
  <c r="M897" i="40"/>
  <c r="L897" i="40"/>
  <c r="P896" i="40"/>
  <c r="O896" i="40"/>
  <c r="N896" i="40"/>
  <c r="M896" i="40"/>
  <c r="L896" i="40"/>
  <c r="P895" i="40"/>
  <c r="O895" i="40"/>
  <c r="N895" i="40"/>
  <c r="M895" i="40"/>
  <c r="L895" i="40"/>
  <c r="P894" i="40"/>
  <c r="O894" i="40"/>
  <c r="N894" i="40"/>
  <c r="M894" i="40"/>
  <c r="L894" i="40"/>
  <c r="P893" i="40"/>
  <c r="O893" i="40"/>
  <c r="N893" i="40"/>
  <c r="M893" i="40"/>
  <c r="L893" i="40"/>
  <c r="P892" i="40"/>
  <c r="O892" i="40"/>
  <c r="N892" i="40"/>
  <c r="M892" i="40"/>
  <c r="L892" i="40"/>
  <c r="P891" i="40"/>
  <c r="O891" i="40"/>
  <c r="N891" i="40"/>
  <c r="M891" i="40"/>
  <c r="L891" i="40"/>
  <c r="P890" i="40"/>
  <c r="O890" i="40"/>
  <c r="N890" i="40"/>
  <c r="M890" i="40"/>
  <c r="L890" i="40"/>
  <c r="P889" i="40"/>
  <c r="O889" i="40"/>
  <c r="N889" i="40"/>
  <c r="M889" i="40"/>
  <c r="L889" i="40"/>
  <c r="P888" i="40"/>
  <c r="O888" i="40"/>
  <c r="N888" i="40"/>
  <c r="M888" i="40"/>
  <c r="L888" i="40"/>
  <c r="P887" i="40"/>
  <c r="O887" i="40"/>
  <c r="N887" i="40"/>
  <c r="M887" i="40"/>
  <c r="L887" i="40"/>
  <c r="P886" i="40"/>
  <c r="O886" i="40"/>
  <c r="N886" i="40"/>
  <c r="M886" i="40"/>
  <c r="L886" i="40"/>
  <c r="P885" i="40"/>
  <c r="O885" i="40"/>
  <c r="N885" i="40"/>
  <c r="M885" i="40"/>
  <c r="L885" i="40"/>
  <c r="P884" i="40"/>
  <c r="O884" i="40"/>
  <c r="N884" i="40"/>
  <c r="M884" i="40"/>
  <c r="L884" i="40"/>
  <c r="P883" i="40"/>
  <c r="O883" i="40"/>
  <c r="N883" i="40"/>
  <c r="M883" i="40"/>
  <c r="L883" i="40"/>
  <c r="P882" i="40"/>
  <c r="O882" i="40"/>
  <c r="N882" i="40"/>
  <c r="M882" i="40"/>
  <c r="L882" i="40"/>
  <c r="P881" i="40"/>
  <c r="O881" i="40"/>
  <c r="N881" i="40"/>
  <c r="M881" i="40"/>
  <c r="L881" i="40"/>
  <c r="P880" i="40"/>
  <c r="O880" i="40"/>
  <c r="N880" i="40"/>
  <c r="M880" i="40"/>
  <c r="L880" i="40"/>
  <c r="P879" i="40"/>
  <c r="O879" i="40"/>
  <c r="N879" i="40"/>
  <c r="M879" i="40"/>
  <c r="L879" i="40"/>
  <c r="P878" i="40"/>
  <c r="O878" i="40"/>
  <c r="N878" i="40"/>
  <c r="M878" i="40"/>
  <c r="L878" i="40"/>
  <c r="P877" i="40"/>
  <c r="O877" i="40"/>
  <c r="N877" i="40"/>
  <c r="M877" i="40"/>
  <c r="L877" i="40"/>
  <c r="P876" i="40"/>
  <c r="O876" i="40"/>
  <c r="N876" i="40"/>
  <c r="M876" i="40"/>
  <c r="L876" i="40"/>
  <c r="P875" i="40"/>
  <c r="O875" i="40"/>
  <c r="N875" i="40"/>
  <c r="M875" i="40"/>
  <c r="L875" i="40"/>
  <c r="P874" i="40"/>
  <c r="O874" i="40"/>
  <c r="N874" i="40"/>
  <c r="M874" i="40"/>
  <c r="L874" i="40"/>
  <c r="P873" i="40"/>
  <c r="O873" i="40"/>
  <c r="N873" i="40"/>
  <c r="M873" i="40"/>
  <c r="L873" i="40"/>
  <c r="P872" i="40"/>
  <c r="O872" i="40"/>
  <c r="N872" i="40"/>
  <c r="M872" i="40"/>
  <c r="L872" i="40"/>
  <c r="P871" i="40"/>
  <c r="O871" i="40"/>
  <c r="N871" i="40"/>
  <c r="M871" i="40"/>
  <c r="L871" i="40"/>
  <c r="P870" i="40"/>
  <c r="O870" i="40"/>
  <c r="N870" i="40"/>
  <c r="M870" i="40"/>
  <c r="L870" i="40"/>
  <c r="P869" i="40"/>
  <c r="O869" i="40"/>
  <c r="N869" i="40"/>
  <c r="M869" i="40"/>
  <c r="L869" i="40"/>
  <c r="P868" i="40"/>
  <c r="O868" i="40"/>
  <c r="N868" i="40"/>
  <c r="M868" i="40"/>
  <c r="L868" i="40"/>
  <c r="P867" i="40"/>
  <c r="O867" i="40"/>
  <c r="N867" i="40"/>
  <c r="M867" i="40"/>
  <c r="L867" i="40"/>
  <c r="P866" i="40"/>
  <c r="O866" i="40"/>
  <c r="N866" i="40"/>
  <c r="M866" i="40"/>
  <c r="L866" i="40"/>
  <c r="P865" i="40"/>
  <c r="O865" i="40"/>
  <c r="N865" i="40"/>
  <c r="M865" i="40"/>
  <c r="L865" i="40"/>
  <c r="P864" i="40"/>
  <c r="O864" i="40"/>
  <c r="N864" i="40"/>
  <c r="M864" i="40"/>
  <c r="L864" i="40"/>
  <c r="P863" i="40"/>
  <c r="O863" i="40"/>
  <c r="N863" i="40"/>
  <c r="M863" i="40"/>
  <c r="L863" i="40"/>
  <c r="P862" i="40"/>
  <c r="O862" i="40"/>
  <c r="N862" i="40"/>
  <c r="M862" i="40"/>
  <c r="L862" i="40"/>
  <c r="P861" i="40"/>
  <c r="O861" i="40"/>
  <c r="N861" i="40"/>
  <c r="M861" i="40"/>
  <c r="L861" i="40"/>
  <c r="P860" i="40"/>
  <c r="O860" i="40"/>
  <c r="N860" i="40"/>
  <c r="M860" i="40"/>
  <c r="L860" i="40"/>
  <c r="P859" i="40"/>
  <c r="O859" i="40"/>
  <c r="N859" i="40"/>
  <c r="M859" i="40"/>
  <c r="L859" i="40"/>
  <c r="P858" i="40"/>
  <c r="O858" i="40"/>
  <c r="N858" i="40"/>
  <c r="M858" i="40"/>
  <c r="L858" i="40"/>
  <c r="P857" i="40"/>
  <c r="O857" i="40"/>
  <c r="N857" i="40"/>
  <c r="M857" i="40"/>
  <c r="L857" i="40"/>
  <c r="P856" i="40"/>
  <c r="O856" i="40"/>
  <c r="N856" i="40"/>
  <c r="M856" i="40"/>
  <c r="L856" i="40"/>
  <c r="P855" i="40"/>
  <c r="O855" i="40"/>
  <c r="N855" i="40"/>
  <c r="M855" i="40"/>
  <c r="L855" i="40"/>
  <c r="P854" i="40"/>
  <c r="O854" i="40"/>
  <c r="N854" i="40"/>
  <c r="M854" i="40"/>
  <c r="L854" i="40"/>
  <c r="P853" i="40"/>
  <c r="O853" i="40"/>
  <c r="N853" i="40"/>
  <c r="M853" i="40"/>
  <c r="L853" i="40"/>
  <c r="P852" i="40"/>
  <c r="O852" i="40"/>
  <c r="N852" i="40"/>
  <c r="M852" i="40"/>
  <c r="L852" i="40"/>
  <c r="P851" i="40"/>
  <c r="O851" i="40"/>
  <c r="N851" i="40"/>
  <c r="M851" i="40"/>
  <c r="L851" i="40"/>
  <c r="P850" i="40"/>
  <c r="O850" i="40"/>
  <c r="N850" i="40"/>
  <c r="M850" i="40"/>
  <c r="L850" i="40"/>
  <c r="P849" i="40"/>
  <c r="O849" i="40"/>
  <c r="N849" i="40"/>
  <c r="M849" i="40"/>
  <c r="L849" i="40"/>
  <c r="P848" i="40"/>
  <c r="O848" i="40"/>
  <c r="N848" i="40"/>
  <c r="M848" i="40"/>
  <c r="L848" i="40"/>
  <c r="P847" i="40"/>
  <c r="O847" i="40"/>
  <c r="N847" i="40"/>
  <c r="M847" i="40"/>
  <c r="L847" i="40"/>
  <c r="P846" i="40"/>
  <c r="O846" i="40"/>
  <c r="N846" i="40"/>
  <c r="M846" i="40"/>
  <c r="L846" i="40"/>
  <c r="P845" i="40"/>
  <c r="O845" i="40"/>
  <c r="N845" i="40"/>
  <c r="M845" i="40"/>
  <c r="L845" i="40"/>
  <c r="P844" i="40"/>
  <c r="O844" i="40"/>
  <c r="N844" i="40"/>
  <c r="M844" i="40"/>
  <c r="L844" i="40"/>
  <c r="P843" i="40"/>
  <c r="O843" i="40"/>
  <c r="N843" i="40"/>
  <c r="M843" i="40"/>
  <c r="L843" i="40"/>
  <c r="P842" i="40"/>
  <c r="O842" i="40"/>
  <c r="N842" i="40"/>
  <c r="M842" i="40"/>
  <c r="L842" i="40"/>
  <c r="P841" i="40"/>
  <c r="O841" i="40"/>
  <c r="N841" i="40"/>
  <c r="M841" i="40"/>
  <c r="L841" i="40"/>
  <c r="P840" i="40"/>
  <c r="O840" i="40"/>
  <c r="N840" i="40"/>
  <c r="M840" i="40"/>
  <c r="L840" i="40"/>
  <c r="P839" i="40"/>
  <c r="O839" i="40"/>
  <c r="N839" i="40"/>
  <c r="M839" i="40"/>
  <c r="L839" i="40"/>
  <c r="P838" i="40"/>
  <c r="O838" i="40"/>
  <c r="N838" i="40"/>
  <c r="M838" i="40"/>
  <c r="L838" i="40"/>
  <c r="P837" i="40"/>
  <c r="O837" i="40"/>
  <c r="N837" i="40"/>
  <c r="M837" i="40"/>
  <c r="L837" i="40"/>
  <c r="P836" i="40"/>
  <c r="O836" i="40"/>
  <c r="N836" i="40"/>
  <c r="M836" i="40"/>
  <c r="L836" i="40"/>
  <c r="P835" i="40"/>
  <c r="O835" i="40"/>
  <c r="N835" i="40"/>
  <c r="M835" i="40"/>
  <c r="L835" i="40"/>
  <c r="P834" i="40"/>
  <c r="O834" i="40"/>
  <c r="N834" i="40"/>
  <c r="M834" i="40"/>
  <c r="L834" i="40"/>
  <c r="P833" i="40"/>
  <c r="O833" i="40"/>
  <c r="N833" i="40"/>
  <c r="M833" i="40"/>
  <c r="L833" i="40"/>
  <c r="P832" i="40"/>
  <c r="O832" i="40"/>
  <c r="N832" i="40"/>
  <c r="M832" i="40"/>
  <c r="L832" i="40"/>
  <c r="P831" i="40"/>
  <c r="O831" i="40"/>
  <c r="N831" i="40"/>
  <c r="M831" i="40"/>
  <c r="L831" i="40"/>
  <c r="P830" i="40"/>
  <c r="O830" i="40"/>
  <c r="N830" i="40"/>
  <c r="M830" i="40"/>
  <c r="L830" i="40"/>
  <c r="P829" i="40"/>
  <c r="O829" i="40"/>
  <c r="N829" i="40"/>
  <c r="M829" i="40"/>
  <c r="L829" i="40"/>
  <c r="P828" i="40"/>
  <c r="O828" i="40"/>
  <c r="N828" i="40"/>
  <c r="M828" i="40"/>
  <c r="L828" i="40"/>
  <c r="P827" i="40"/>
  <c r="O827" i="40"/>
  <c r="N827" i="40"/>
  <c r="M827" i="40"/>
  <c r="L827" i="40"/>
  <c r="P826" i="40"/>
  <c r="O826" i="40"/>
  <c r="N826" i="40"/>
  <c r="M826" i="40"/>
  <c r="L826" i="40"/>
  <c r="P825" i="40"/>
  <c r="O825" i="40"/>
  <c r="N825" i="40"/>
  <c r="M825" i="40"/>
  <c r="L825" i="40"/>
  <c r="P824" i="40"/>
  <c r="O824" i="40"/>
  <c r="N824" i="40"/>
  <c r="M824" i="40"/>
  <c r="L824" i="40"/>
  <c r="P823" i="40"/>
  <c r="O823" i="40"/>
  <c r="N823" i="40"/>
  <c r="M823" i="40"/>
  <c r="L823" i="40"/>
  <c r="P822" i="40"/>
  <c r="O822" i="40"/>
  <c r="N822" i="40"/>
  <c r="M822" i="40"/>
  <c r="L822" i="40"/>
  <c r="P821" i="40"/>
  <c r="O821" i="40"/>
  <c r="N821" i="40"/>
  <c r="M821" i="40"/>
  <c r="L821" i="40"/>
  <c r="P820" i="40"/>
  <c r="O820" i="40"/>
  <c r="N820" i="40"/>
  <c r="M820" i="40"/>
  <c r="L820" i="40"/>
  <c r="P819" i="40"/>
  <c r="O819" i="40"/>
  <c r="N819" i="40"/>
  <c r="M819" i="40"/>
  <c r="L819" i="40"/>
  <c r="P818" i="40"/>
  <c r="O818" i="40"/>
  <c r="N818" i="40"/>
  <c r="M818" i="40"/>
  <c r="L818" i="40"/>
  <c r="P817" i="40"/>
  <c r="O817" i="40"/>
  <c r="N817" i="40"/>
  <c r="M817" i="40"/>
  <c r="L817" i="40"/>
  <c r="P816" i="40"/>
  <c r="O816" i="40"/>
  <c r="N816" i="40"/>
  <c r="M816" i="40"/>
  <c r="L816" i="40"/>
  <c r="P815" i="40"/>
  <c r="O815" i="40"/>
  <c r="N815" i="40"/>
  <c r="M815" i="40"/>
  <c r="L815" i="40"/>
  <c r="P814" i="40"/>
  <c r="O814" i="40"/>
  <c r="N814" i="40"/>
  <c r="M814" i="40"/>
  <c r="L814" i="40"/>
  <c r="P813" i="40"/>
  <c r="O813" i="40"/>
  <c r="N813" i="40"/>
  <c r="M813" i="40"/>
  <c r="L813" i="40"/>
  <c r="P812" i="40"/>
  <c r="O812" i="40"/>
  <c r="N812" i="40"/>
  <c r="M812" i="40"/>
  <c r="L812" i="40"/>
  <c r="P811" i="40"/>
  <c r="O811" i="40"/>
  <c r="N811" i="40"/>
  <c r="M811" i="40"/>
  <c r="L811" i="40"/>
  <c r="P810" i="40"/>
  <c r="O810" i="40"/>
  <c r="N810" i="40"/>
  <c r="M810" i="40"/>
  <c r="L810" i="40"/>
  <c r="P809" i="40"/>
  <c r="O809" i="40"/>
  <c r="N809" i="40"/>
  <c r="M809" i="40"/>
  <c r="L809" i="40"/>
  <c r="P808" i="40"/>
  <c r="O808" i="40"/>
  <c r="N808" i="40"/>
  <c r="M808" i="40"/>
  <c r="L808" i="40"/>
  <c r="P807" i="40"/>
  <c r="O807" i="40"/>
  <c r="N807" i="40"/>
  <c r="M807" i="40"/>
  <c r="L807" i="40"/>
  <c r="P806" i="40"/>
  <c r="O806" i="40"/>
  <c r="N806" i="40"/>
  <c r="M806" i="40"/>
  <c r="L806" i="40"/>
  <c r="P805" i="40"/>
  <c r="O805" i="40"/>
  <c r="N805" i="40"/>
  <c r="M805" i="40"/>
  <c r="L805" i="40"/>
  <c r="P804" i="40"/>
  <c r="O804" i="40"/>
  <c r="N804" i="40"/>
  <c r="M804" i="40"/>
  <c r="L804" i="40"/>
  <c r="P803" i="40"/>
  <c r="O803" i="40"/>
  <c r="N803" i="40"/>
  <c r="M803" i="40"/>
  <c r="L803" i="40"/>
  <c r="P802" i="40"/>
  <c r="O802" i="40"/>
  <c r="N802" i="40"/>
  <c r="M802" i="40"/>
  <c r="L802" i="40"/>
  <c r="P801" i="40"/>
  <c r="O801" i="40"/>
  <c r="N801" i="40"/>
  <c r="M801" i="40"/>
  <c r="L801" i="40"/>
  <c r="P800" i="40"/>
  <c r="O800" i="40"/>
  <c r="N800" i="40"/>
  <c r="M800" i="40"/>
  <c r="L800" i="40"/>
  <c r="P799" i="40"/>
  <c r="O799" i="40"/>
  <c r="N799" i="40"/>
  <c r="M799" i="40"/>
  <c r="L799" i="40"/>
  <c r="P798" i="40"/>
  <c r="O798" i="40"/>
  <c r="N798" i="40"/>
  <c r="M798" i="40"/>
  <c r="L798" i="40"/>
  <c r="P797" i="40"/>
  <c r="O797" i="40"/>
  <c r="N797" i="40"/>
  <c r="M797" i="40"/>
  <c r="L797" i="40"/>
  <c r="P796" i="40"/>
  <c r="O796" i="40"/>
  <c r="N796" i="40"/>
  <c r="M796" i="40"/>
  <c r="L796" i="40"/>
  <c r="P795" i="40"/>
  <c r="O795" i="40"/>
  <c r="N795" i="40"/>
  <c r="M795" i="40"/>
  <c r="L795" i="40"/>
  <c r="P794" i="40"/>
  <c r="O794" i="40"/>
  <c r="N794" i="40"/>
  <c r="M794" i="40"/>
  <c r="L794" i="40"/>
  <c r="P793" i="40"/>
  <c r="O793" i="40"/>
  <c r="N793" i="40"/>
  <c r="M793" i="40"/>
  <c r="L793" i="40"/>
  <c r="P792" i="40"/>
  <c r="O792" i="40"/>
  <c r="N792" i="40"/>
  <c r="M792" i="40"/>
  <c r="L792" i="40"/>
  <c r="P791" i="40"/>
  <c r="O791" i="40"/>
  <c r="N791" i="40"/>
  <c r="M791" i="40"/>
  <c r="L791" i="40"/>
  <c r="P790" i="40"/>
  <c r="O790" i="40"/>
  <c r="N790" i="40"/>
  <c r="M790" i="40"/>
  <c r="L790" i="40"/>
  <c r="P789" i="40"/>
  <c r="O789" i="40"/>
  <c r="N789" i="40"/>
  <c r="M789" i="40"/>
  <c r="L789" i="40"/>
  <c r="P788" i="40"/>
  <c r="O788" i="40"/>
  <c r="N788" i="40"/>
  <c r="M788" i="40"/>
  <c r="L788" i="40"/>
  <c r="P787" i="40"/>
  <c r="O787" i="40"/>
  <c r="N787" i="40"/>
  <c r="M787" i="40"/>
  <c r="L787" i="40"/>
  <c r="P786" i="40"/>
  <c r="O786" i="40"/>
  <c r="N786" i="40"/>
  <c r="M786" i="40"/>
  <c r="L786" i="40"/>
  <c r="P785" i="40"/>
  <c r="O785" i="40"/>
  <c r="N785" i="40"/>
  <c r="M785" i="40"/>
  <c r="L785" i="40"/>
  <c r="P784" i="40"/>
  <c r="O784" i="40"/>
  <c r="N784" i="40"/>
  <c r="M784" i="40"/>
  <c r="L784" i="40"/>
  <c r="P783" i="40"/>
  <c r="O783" i="40"/>
  <c r="N783" i="40"/>
  <c r="M783" i="40"/>
  <c r="L783" i="40"/>
  <c r="P782" i="40"/>
  <c r="O782" i="40"/>
  <c r="N782" i="40"/>
  <c r="M782" i="40"/>
  <c r="L782" i="40"/>
  <c r="P781" i="40"/>
  <c r="O781" i="40"/>
  <c r="N781" i="40"/>
  <c r="M781" i="40"/>
  <c r="L781" i="40"/>
  <c r="P780" i="40"/>
  <c r="O780" i="40"/>
  <c r="N780" i="40"/>
  <c r="M780" i="40"/>
  <c r="L780" i="40"/>
  <c r="P779" i="40"/>
  <c r="O779" i="40"/>
  <c r="N779" i="40"/>
  <c r="M779" i="40"/>
  <c r="L779" i="40"/>
  <c r="P778" i="40"/>
  <c r="O778" i="40"/>
  <c r="N778" i="40"/>
  <c r="M778" i="40"/>
  <c r="L778" i="40"/>
  <c r="P777" i="40"/>
  <c r="O777" i="40"/>
  <c r="N777" i="40"/>
  <c r="M777" i="40"/>
  <c r="L777" i="40"/>
  <c r="P776" i="40"/>
  <c r="O776" i="40"/>
  <c r="N776" i="40"/>
  <c r="M776" i="40"/>
  <c r="L776" i="40"/>
  <c r="P775" i="40"/>
  <c r="O775" i="40"/>
  <c r="N775" i="40"/>
  <c r="M775" i="40"/>
  <c r="L775" i="40"/>
  <c r="P774" i="40"/>
  <c r="O774" i="40"/>
  <c r="N774" i="40"/>
  <c r="M774" i="40"/>
  <c r="L774" i="40"/>
  <c r="P773" i="40"/>
  <c r="O773" i="40"/>
  <c r="N773" i="40"/>
  <c r="M773" i="40"/>
  <c r="L773" i="40"/>
  <c r="P772" i="40"/>
  <c r="O772" i="40"/>
  <c r="N772" i="40"/>
  <c r="M772" i="40"/>
  <c r="L772" i="40"/>
  <c r="P771" i="40"/>
  <c r="O771" i="40"/>
  <c r="N771" i="40"/>
  <c r="M771" i="40"/>
  <c r="L771" i="40"/>
  <c r="P770" i="40"/>
  <c r="O770" i="40"/>
  <c r="N770" i="40"/>
  <c r="M770" i="40"/>
  <c r="L770" i="40"/>
  <c r="P769" i="40"/>
  <c r="O769" i="40"/>
  <c r="N769" i="40"/>
  <c r="M769" i="40"/>
  <c r="L769" i="40"/>
  <c r="P768" i="40"/>
  <c r="O768" i="40"/>
  <c r="N768" i="40"/>
  <c r="M768" i="40"/>
  <c r="L768" i="40"/>
  <c r="P767" i="40"/>
  <c r="O767" i="40"/>
  <c r="N767" i="40"/>
  <c r="M767" i="40"/>
  <c r="L767" i="40"/>
  <c r="P766" i="40"/>
  <c r="O766" i="40"/>
  <c r="N766" i="40"/>
  <c r="M766" i="40"/>
  <c r="L766" i="40"/>
  <c r="P765" i="40"/>
  <c r="O765" i="40"/>
  <c r="N765" i="40"/>
  <c r="M765" i="40"/>
  <c r="L765" i="40"/>
  <c r="P764" i="40"/>
  <c r="O764" i="40"/>
  <c r="N764" i="40"/>
  <c r="M764" i="40"/>
  <c r="L764" i="40"/>
  <c r="P763" i="40"/>
  <c r="O763" i="40"/>
  <c r="N763" i="40"/>
  <c r="M763" i="40"/>
  <c r="L763" i="40"/>
  <c r="P762" i="40"/>
  <c r="O762" i="40"/>
  <c r="N762" i="40"/>
  <c r="M762" i="40"/>
  <c r="L762" i="40"/>
  <c r="P761" i="40"/>
  <c r="O761" i="40"/>
  <c r="N761" i="40"/>
  <c r="M761" i="40"/>
  <c r="L761" i="40"/>
  <c r="P760" i="40"/>
  <c r="O760" i="40"/>
  <c r="N760" i="40"/>
  <c r="M760" i="40"/>
  <c r="L760" i="40"/>
  <c r="P759" i="40"/>
  <c r="O759" i="40"/>
  <c r="N759" i="40"/>
  <c r="M759" i="40"/>
  <c r="L759" i="40"/>
  <c r="P758" i="40"/>
  <c r="O758" i="40"/>
  <c r="N758" i="40"/>
  <c r="M758" i="40"/>
  <c r="L758" i="40"/>
  <c r="P757" i="40"/>
  <c r="O757" i="40"/>
  <c r="N757" i="40"/>
  <c r="M757" i="40"/>
  <c r="L757" i="40"/>
  <c r="P756" i="40"/>
  <c r="O756" i="40"/>
  <c r="N756" i="40"/>
  <c r="M756" i="40"/>
  <c r="L756" i="40"/>
  <c r="P755" i="40"/>
  <c r="O755" i="40"/>
  <c r="N755" i="40"/>
  <c r="M755" i="40"/>
  <c r="L755" i="40"/>
  <c r="P754" i="40"/>
  <c r="O754" i="40"/>
  <c r="N754" i="40"/>
  <c r="M754" i="40"/>
  <c r="L754" i="40"/>
  <c r="P753" i="40"/>
  <c r="O753" i="40"/>
  <c r="N753" i="40"/>
  <c r="M753" i="40"/>
  <c r="L753" i="40"/>
  <c r="P752" i="40"/>
  <c r="O752" i="40"/>
  <c r="N752" i="40"/>
  <c r="M752" i="40"/>
  <c r="L752" i="40"/>
  <c r="P751" i="40"/>
  <c r="O751" i="40"/>
  <c r="N751" i="40"/>
  <c r="M751" i="40"/>
  <c r="L751" i="40"/>
  <c r="P750" i="40"/>
  <c r="O750" i="40"/>
  <c r="N750" i="40"/>
  <c r="M750" i="40"/>
  <c r="L750" i="40"/>
  <c r="P749" i="40"/>
  <c r="O749" i="40"/>
  <c r="N749" i="40"/>
  <c r="M749" i="40"/>
  <c r="L749" i="40"/>
  <c r="P748" i="40"/>
  <c r="O748" i="40"/>
  <c r="N748" i="40"/>
  <c r="M748" i="40"/>
  <c r="L748" i="40"/>
  <c r="P747" i="40"/>
  <c r="O747" i="40"/>
  <c r="N747" i="40"/>
  <c r="M747" i="40"/>
  <c r="L747" i="40"/>
  <c r="P746" i="40"/>
  <c r="O746" i="40"/>
  <c r="N746" i="40"/>
  <c r="M746" i="40"/>
  <c r="L746" i="40"/>
  <c r="P745" i="40"/>
  <c r="O745" i="40"/>
  <c r="N745" i="40"/>
  <c r="M745" i="40"/>
  <c r="L745" i="40"/>
  <c r="P744" i="40"/>
  <c r="O744" i="40"/>
  <c r="N744" i="40"/>
  <c r="M744" i="40"/>
  <c r="L744" i="40"/>
  <c r="P743" i="40"/>
  <c r="O743" i="40"/>
  <c r="N743" i="40"/>
  <c r="M743" i="40"/>
  <c r="L743" i="40"/>
  <c r="P742" i="40"/>
  <c r="O742" i="40"/>
  <c r="N742" i="40"/>
  <c r="M742" i="40"/>
  <c r="L742" i="40"/>
  <c r="P741" i="40"/>
  <c r="O741" i="40"/>
  <c r="N741" i="40"/>
  <c r="M741" i="40"/>
  <c r="L741" i="40"/>
  <c r="P740" i="40"/>
  <c r="O740" i="40"/>
  <c r="N740" i="40"/>
  <c r="M740" i="40"/>
  <c r="L740" i="40"/>
  <c r="P739" i="40"/>
  <c r="O739" i="40"/>
  <c r="N739" i="40"/>
  <c r="M739" i="40"/>
  <c r="L739" i="40"/>
  <c r="P738" i="40"/>
  <c r="O738" i="40"/>
  <c r="N738" i="40"/>
  <c r="M738" i="40"/>
  <c r="L738" i="40"/>
  <c r="P737" i="40"/>
  <c r="O737" i="40"/>
  <c r="N737" i="40"/>
  <c r="M737" i="40"/>
  <c r="L737" i="40"/>
  <c r="P736" i="40"/>
  <c r="O736" i="40"/>
  <c r="N736" i="40"/>
  <c r="M736" i="40"/>
  <c r="L736" i="40"/>
  <c r="P735" i="40"/>
  <c r="O735" i="40"/>
  <c r="N735" i="40"/>
  <c r="M735" i="40"/>
  <c r="L735" i="40"/>
  <c r="P734" i="40"/>
  <c r="O734" i="40"/>
  <c r="N734" i="40"/>
  <c r="M734" i="40"/>
  <c r="L734" i="40"/>
  <c r="P733" i="40"/>
  <c r="O733" i="40"/>
  <c r="N733" i="40"/>
  <c r="M733" i="40"/>
  <c r="L733" i="40"/>
  <c r="P732" i="40"/>
  <c r="O732" i="40"/>
  <c r="N732" i="40"/>
  <c r="M732" i="40"/>
  <c r="L732" i="40"/>
  <c r="P731" i="40"/>
  <c r="O731" i="40"/>
  <c r="N731" i="40"/>
  <c r="M731" i="40"/>
  <c r="L731" i="40"/>
  <c r="P730" i="40"/>
  <c r="O730" i="40"/>
  <c r="N730" i="40"/>
  <c r="M730" i="40"/>
  <c r="L730" i="40"/>
  <c r="P729" i="40"/>
  <c r="O729" i="40"/>
  <c r="N729" i="40"/>
  <c r="M729" i="40"/>
  <c r="L729" i="40"/>
  <c r="P728" i="40"/>
  <c r="O728" i="40"/>
  <c r="N728" i="40"/>
  <c r="M728" i="40"/>
  <c r="L728" i="40"/>
  <c r="P727" i="40"/>
  <c r="O727" i="40"/>
  <c r="N727" i="40"/>
  <c r="M727" i="40"/>
  <c r="L727" i="40"/>
  <c r="P726" i="40"/>
  <c r="O726" i="40"/>
  <c r="N726" i="40"/>
  <c r="M726" i="40"/>
  <c r="L726" i="40"/>
  <c r="P725" i="40"/>
  <c r="O725" i="40"/>
  <c r="N725" i="40"/>
  <c r="M725" i="40"/>
  <c r="L725" i="40"/>
  <c r="P724" i="40"/>
  <c r="O724" i="40"/>
  <c r="N724" i="40"/>
  <c r="M724" i="40"/>
  <c r="L724" i="40"/>
  <c r="P723" i="40"/>
  <c r="O723" i="40"/>
  <c r="N723" i="40"/>
  <c r="M723" i="40"/>
  <c r="L723" i="40"/>
  <c r="P722" i="40"/>
  <c r="O722" i="40"/>
  <c r="N722" i="40"/>
  <c r="M722" i="40"/>
  <c r="L722" i="40"/>
  <c r="P721" i="40"/>
  <c r="O721" i="40"/>
  <c r="N721" i="40"/>
  <c r="M721" i="40"/>
  <c r="L721" i="40"/>
  <c r="P720" i="40"/>
  <c r="O720" i="40"/>
  <c r="N720" i="40"/>
  <c r="M720" i="40"/>
  <c r="L720" i="40"/>
  <c r="P719" i="40"/>
  <c r="O719" i="40"/>
  <c r="N719" i="40"/>
  <c r="M719" i="40"/>
  <c r="L719" i="40"/>
  <c r="P718" i="40"/>
  <c r="O718" i="40"/>
  <c r="N718" i="40"/>
  <c r="M718" i="40"/>
  <c r="L718" i="40"/>
  <c r="P717" i="40"/>
  <c r="O717" i="40"/>
  <c r="N717" i="40"/>
  <c r="M717" i="40"/>
  <c r="L717" i="40"/>
  <c r="P716" i="40"/>
  <c r="O716" i="40"/>
  <c r="N716" i="40"/>
  <c r="M716" i="40"/>
  <c r="L716" i="40"/>
  <c r="P715" i="40"/>
  <c r="O715" i="40"/>
  <c r="N715" i="40"/>
  <c r="M715" i="40"/>
  <c r="L715" i="40"/>
  <c r="P714" i="40"/>
  <c r="O714" i="40"/>
  <c r="N714" i="40"/>
  <c r="M714" i="40"/>
  <c r="L714" i="40"/>
  <c r="P713" i="40"/>
  <c r="O713" i="40"/>
  <c r="N713" i="40"/>
  <c r="M713" i="40"/>
  <c r="L713" i="40"/>
  <c r="P712" i="40"/>
  <c r="O712" i="40"/>
  <c r="N712" i="40"/>
  <c r="M712" i="40"/>
  <c r="L712" i="40"/>
  <c r="P711" i="40"/>
  <c r="O711" i="40"/>
  <c r="N711" i="40"/>
  <c r="M711" i="40"/>
  <c r="L711" i="40"/>
  <c r="P710" i="40"/>
  <c r="O710" i="40"/>
  <c r="N710" i="40"/>
  <c r="M710" i="40"/>
  <c r="L710" i="40"/>
  <c r="P709" i="40"/>
  <c r="O709" i="40"/>
  <c r="N709" i="40"/>
  <c r="M709" i="40"/>
  <c r="L709" i="40"/>
  <c r="P708" i="40"/>
  <c r="O708" i="40"/>
  <c r="N708" i="40"/>
  <c r="M708" i="40"/>
  <c r="L708" i="40"/>
  <c r="P707" i="40"/>
  <c r="O707" i="40"/>
  <c r="N707" i="40"/>
  <c r="M707" i="40"/>
  <c r="L707" i="40"/>
  <c r="P706" i="40"/>
  <c r="O706" i="40"/>
  <c r="N706" i="40"/>
  <c r="M706" i="40"/>
  <c r="L706" i="40"/>
  <c r="P705" i="40"/>
  <c r="O705" i="40"/>
  <c r="N705" i="40"/>
  <c r="M705" i="40"/>
  <c r="L705" i="40"/>
  <c r="P704" i="40"/>
  <c r="O704" i="40"/>
  <c r="N704" i="40"/>
  <c r="M704" i="40"/>
  <c r="L704" i="40"/>
  <c r="P703" i="40"/>
  <c r="O703" i="40"/>
  <c r="N703" i="40"/>
  <c r="M703" i="40"/>
  <c r="L703" i="40"/>
  <c r="P702" i="40"/>
  <c r="O702" i="40"/>
  <c r="N702" i="40"/>
  <c r="M702" i="40"/>
  <c r="L702" i="40"/>
  <c r="P701" i="40"/>
  <c r="O701" i="40"/>
  <c r="N701" i="40"/>
  <c r="M701" i="40"/>
  <c r="L701" i="40"/>
  <c r="P700" i="40"/>
  <c r="O700" i="40"/>
  <c r="N700" i="40"/>
  <c r="M700" i="40"/>
  <c r="L700" i="40"/>
  <c r="P699" i="40"/>
  <c r="O699" i="40"/>
  <c r="N699" i="40"/>
  <c r="M699" i="40"/>
  <c r="L699" i="40"/>
  <c r="P698" i="40"/>
  <c r="O698" i="40"/>
  <c r="N698" i="40"/>
  <c r="M698" i="40"/>
  <c r="L698" i="40"/>
  <c r="P697" i="40"/>
  <c r="O697" i="40"/>
  <c r="N697" i="40"/>
  <c r="M697" i="40"/>
  <c r="L697" i="40"/>
  <c r="P696" i="40"/>
  <c r="O696" i="40"/>
  <c r="N696" i="40"/>
  <c r="M696" i="40"/>
  <c r="L696" i="40"/>
  <c r="P695" i="40"/>
  <c r="O695" i="40"/>
  <c r="N695" i="40"/>
  <c r="M695" i="40"/>
  <c r="L695" i="40"/>
  <c r="P694" i="40"/>
  <c r="O694" i="40"/>
  <c r="N694" i="40"/>
  <c r="M694" i="40"/>
  <c r="L694" i="40"/>
  <c r="P693" i="40"/>
  <c r="O693" i="40"/>
  <c r="N693" i="40"/>
  <c r="M693" i="40"/>
  <c r="L693" i="40"/>
  <c r="P692" i="40"/>
  <c r="O692" i="40"/>
  <c r="N692" i="40"/>
  <c r="M692" i="40"/>
  <c r="L692" i="40"/>
  <c r="P691" i="40"/>
  <c r="O691" i="40"/>
  <c r="N691" i="40"/>
  <c r="M691" i="40"/>
  <c r="L691" i="40"/>
  <c r="P690" i="40"/>
  <c r="O690" i="40"/>
  <c r="N690" i="40"/>
  <c r="M690" i="40"/>
  <c r="L690" i="40"/>
  <c r="P689" i="40"/>
  <c r="O689" i="40"/>
  <c r="N689" i="40"/>
  <c r="M689" i="40"/>
  <c r="L689" i="40"/>
  <c r="P688" i="40"/>
  <c r="O688" i="40"/>
  <c r="N688" i="40"/>
  <c r="M688" i="40"/>
  <c r="L688" i="40"/>
  <c r="P687" i="40"/>
  <c r="O687" i="40"/>
  <c r="N687" i="40"/>
  <c r="M687" i="40"/>
  <c r="L687" i="40"/>
  <c r="P686" i="40"/>
  <c r="O686" i="40"/>
  <c r="N686" i="40"/>
  <c r="M686" i="40"/>
  <c r="L686" i="40"/>
  <c r="P685" i="40"/>
  <c r="O685" i="40"/>
  <c r="N685" i="40"/>
  <c r="M685" i="40"/>
  <c r="L685" i="40"/>
  <c r="P684" i="40"/>
  <c r="O684" i="40"/>
  <c r="N684" i="40"/>
  <c r="M684" i="40"/>
  <c r="L684" i="40"/>
  <c r="P683" i="40"/>
  <c r="O683" i="40"/>
  <c r="N683" i="40"/>
  <c r="M683" i="40"/>
  <c r="L683" i="40"/>
  <c r="P682" i="40"/>
  <c r="O682" i="40"/>
  <c r="N682" i="40"/>
  <c r="M682" i="40"/>
  <c r="L682" i="40"/>
  <c r="P681" i="40"/>
  <c r="O681" i="40"/>
  <c r="N681" i="40"/>
  <c r="M681" i="40"/>
  <c r="L681" i="40"/>
  <c r="P680" i="40"/>
  <c r="O680" i="40"/>
  <c r="N680" i="40"/>
  <c r="M680" i="40"/>
  <c r="L680" i="40"/>
  <c r="P679" i="40"/>
  <c r="O679" i="40"/>
  <c r="N679" i="40"/>
  <c r="M679" i="40"/>
  <c r="L679" i="40"/>
  <c r="P678" i="40"/>
  <c r="O678" i="40"/>
  <c r="N678" i="40"/>
  <c r="M678" i="40"/>
  <c r="L678" i="40"/>
  <c r="P677" i="40"/>
  <c r="O677" i="40"/>
  <c r="N677" i="40"/>
  <c r="M677" i="40"/>
  <c r="L677" i="40"/>
  <c r="P676" i="40"/>
  <c r="O676" i="40"/>
  <c r="N676" i="40"/>
  <c r="M676" i="40"/>
  <c r="L676" i="40"/>
  <c r="P675" i="40"/>
  <c r="O675" i="40"/>
  <c r="N675" i="40"/>
  <c r="M675" i="40"/>
  <c r="L675" i="40"/>
  <c r="P674" i="40"/>
  <c r="O674" i="40"/>
  <c r="N674" i="40"/>
  <c r="M674" i="40"/>
  <c r="L674" i="40"/>
  <c r="P673" i="40"/>
  <c r="O673" i="40"/>
  <c r="N673" i="40"/>
  <c r="M673" i="40"/>
  <c r="L673" i="40"/>
  <c r="P672" i="40"/>
  <c r="O672" i="40"/>
  <c r="N672" i="40"/>
  <c r="M672" i="40"/>
  <c r="L672" i="40"/>
  <c r="P671" i="40"/>
  <c r="O671" i="40"/>
  <c r="N671" i="40"/>
  <c r="M671" i="40"/>
  <c r="L671" i="40"/>
  <c r="P670" i="40"/>
  <c r="O670" i="40"/>
  <c r="N670" i="40"/>
  <c r="M670" i="40"/>
  <c r="L670" i="40"/>
  <c r="P669" i="40"/>
  <c r="O669" i="40"/>
  <c r="N669" i="40"/>
  <c r="M669" i="40"/>
  <c r="L669" i="40"/>
  <c r="P668" i="40"/>
  <c r="O668" i="40"/>
  <c r="N668" i="40"/>
  <c r="M668" i="40"/>
  <c r="L668" i="40"/>
  <c r="P667" i="40"/>
  <c r="O667" i="40"/>
  <c r="N667" i="40"/>
  <c r="M667" i="40"/>
  <c r="L667" i="40"/>
  <c r="P666" i="40"/>
  <c r="O666" i="40"/>
  <c r="N666" i="40"/>
  <c r="M666" i="40"/>
  <c r="L666" i="40"/>
  <c r="P665" i="40"/>
  <c r="O665" i="40"/>
  <c r="N665" i="40"/>
  <c r="M665" i="40"/>
  <c r="L665" i="40"/>
  <c r="P664" i="40"/>
  <c r="O664" i="40"/>
  <c r="N664" i="40"/>
  <c r="M664" i="40"/>
  <c r="L664" i="40"/>
  <c r="P663" i="40"/>
  <c r="O663" i="40"/>
  <c r="N663" i="40"/>
  <c r="M663" i="40"/>
  <c r="L663" i="40"/>
  <c r="P662" i="40"/>
  <c r="O662" i="40"/>
  <c r="N662" i="40"/>
  <c r="M662" i="40"/>
  <c r="L662" i="40"/>
  <c r="P661" i="40"/>
  <c r="O661" i="40"/>
  <c r="N661" i="40"/>
  <c r="M661" i="40"/>
  <c r="L661" i="40"/>
  <c r="P660" i="40"/>
  <c r="O660" i="40"/>
  <c r="N660" i="40"/>
  <c r="M660" i="40"/>
  <c r="L660" i="40"/>
  <c r="P659" i="40"/>
  <c r="O659" i="40"/>
  <c r="N659" i="40"/>
  <c r="M659" i="40"/>
  <c r="L659" i="40"/>
  <c r="P658" i="40"/>
  <c r="O658" i="40"/>
  <c r="N658" i="40"/>
  <c r="M658" i="40"/>
  <c r="L658" i="40"/>
  <c r="P657" i="40"/>
  <c r="O657" i="40"/>
  <c r="N657" i="40"/>
  <c r="M657" i="40"/>
  <c r="L657" i="40"/>
  <c r="P656" i="40"/>
  <c r="O656" i="40"/>
  <c r="N656" i="40"/>
  <c r="M656" i="40"/>
  <c r="L656" i="40"/>
  <c r="P655" i="40"/>
  <c r="O655" i="40"/>
  <c r="N655" i="40"/>
  <c r="M655" i="40"/>
  <c r="L655" i="40"/>
  <c r="P654" i="40"/>
  <c r="O654" i="40"/>
  <c r="N654" i="40"/>
  <c r="M654" i="40"/>
  <c r="L654" i="40"/>
  <c r="P653" i="40"/>
  <c r="O653" i="40"/>
  <c r="N653" i="40"/>
  <c r="M653" i="40"/>
  <c r="L653" i="40"/>
  <c r="P652" i="40"/>
  <c r="O652" i="40"/>
  <c r="N652" i="40"/>
  <c r="M652" i="40"/>
  <c r="L652" i="40"/>
  <c r="P651" i="40"/>
  <c r="O651" i="40"/>
  <c r="N651" i="40"/>
  <c r="M651" i="40"/>
  <c r="L651" i="40"/>
  <c r="P650" i="40"/>
  <c r="O650" i="40"/>
  <c r="N650" i="40"/>
  <c r="M650" i="40"/>
  <c r="L650" i="40"/>
  <c r="P649" i="40"/>
  <c r="O649" i="40"/>
  <c r="N649" i="40"/>
  <c r="M649" i="40"/>
  <c r="L649" i="40"/>
  <c r="P648" i="40"/>
  <c r="O648" i="40"/>
  <c r="N648" i="40"/>
  <c r="M648" i="40"/>
  <c r="L648" i="40"/>
  <c r="P647" i="40"/>
  <c r="O647" i="40"/>
  <c r="N647" i="40"/>
  <c r="M647" i="40"/>
  <c r="L647" i="40"/>
  <c r="P646" i="40"/>
  <c r="O646" i="40"/>
  <c r="N646" i="40"/>
  <c r="M646" i="40"/>
  <c r="L646" i="40"/>
  <c r="P645" i="40"/>
  <c r="O645" i="40"/>
  <c r="N645" i="40"/>
  <c r="M645" i="40"/>
  <c r="L645" i="40"/>
  <c r="P644" i="40"/>
  <c r="O644" i="40"/>
  <c r="N644" i="40"/>
  <c r="M644" i="40"/>
  <c r="L644" i="40"/>
  <c r="P643" i="40"/>
  <c r="O643" i="40"/>
  <c r="N643" i="40"/>
  <c r="M643" i="40"/>
  <c r="L643" i="40"/>
  <c r="P642" i="40"/>
  <c r="O642" i="40"/>
  <c r="N642" i="40"/>
  <c r="M642" i="40"/>
  <c r="L642" i="40"/>
  <c r="P641" i="40"/>
  <c r="O641" i="40"/>
  <c r="N641" i="40"/>
  <c r="M641" i="40"/>
  <c r="L641" i="40"/>
  <c r="P640" i="40"/>
  <c r="O640" i="40"/>
  <c r="N640" i="40"/>
  <c r="M640" i="40"/>
  <c r="L640" i="40"/>
  <c r="P639" i="40"/>
  <c r="O639" i="40"/>
  <c r="N639" i="40"/>
  <c r="M639" i="40"/>
  <c r="L639" i="40"/>
  <c r="P638" i="40"/>
  <c r="O638" i="40"/>
  <c r="N638" i="40"/>
  <c r="M638" i="40"/>
  <c r="L638" i="40"/>
  <c r="P637" i="40"/>
  <c r="O637" i="40"/>
  <c r="N637" i="40"/>
  <c r="M637" i="40"/>
  <c r="L637" i="40"/>
  <c r="P636" i="40"/>
  <c r="O636" i="40"/>
  <c r="N636" i="40"/>
  <c r="M636" i="40"/>
  <c r="L636" i="40"/>
  <c r="P635" i="40"/>
  <c r="O635" i="40"/>
  <c r="N635" i="40"/>
  <c r="M635" i="40"/>
  <c r="L635" i="40"/>
  <c r="P634" i="40"/>
  <c r="O634" i="40"/>
  <c r="N634" i="40"/>
  <c r="M634" i="40"/>
  <c r="L634" i="40"/>
  <c r="P633" i="40"/>
  <c r="O633" i="40"/>
  <c r="N633" i="40"/>
  <c r="M633" i="40"/>
  <c r="L633" i="40"/>
  <c r="P632" i="40"/>
  <c r="O632" i="40"/>
  <c r="N632" i="40"/>
  <c r="M632" i="40"/>
  <c r="L632" i="40"/>
  <c r="P631" i="40"/>
  <c r="O631" i="40"/>
  <c r="N631" i="40"/>
  <c r="M631" i="40"/>
  <c r="L631" i="40"/>
  <c r="P630" i="40"/>
  <c r="O630" i="40"/>
  <c r="N630" i="40"/>
  <c r="M630" i="40"/>
  <c r="L630" i="40"/>
  <c r="P629" i="40"/>
  <c r="O629" i="40"/>
  <c r="N629" i="40"/>
  <c r="M629" i="40"/>
  <c r="L629" i="40"/>
  <c r="P628" i="40"/>
  <c r="O628" i="40"/>
  <c r="N628" i="40"/>
  <c r="M628" i="40"/>
  <c r="L628" i="40"/>
  <c r="P627" i="40"/>
  <c r="O627" i="40"/>
  <c r="N627" i="40"/>
  <c r="M627" i="40"/>
  <c r="L627" i="40"/>
  <c r="P626" i="40"/>
  <c r="O626" i="40"/>
  <c r="N626" i="40"/>
  <c r="M626" i="40"/>
  <c r="L626" i="40"/>
  <c r="P625" i="40"/>
  <c r="O625" i="40"/>
  <c r="N625" i="40"/>
  <c r="M625" i="40"/>
  <c r="L625" i="40"/>
  <c r="P624" i="40"/>
  <c r="O624" i="40"/>
  <c r="N624" i="40"/>
  <c r="M624" i="40"/>
  <c r="L624" i="40"/>
  <c r="P623" i="40"/>
  <c r="O623" i="40"/>
  <c r="N623" i="40"/>
  <c r="M623" i="40"/>
  <c r="L623" i="40"/>
  <c r="P622" i="40"/>
  <c r="O622" i="40"/>
  <c r="N622" i="40"/>
  <c r="M622" i="40"/>
  <c r="L622" i="40"/>
  <c r="P621" i="40"/>
  <c r="O621" i="40"/>
  <c r="N621" i="40"/>
  <c r="M621" i="40"/>
  <c r="L621" i="40"/>
  <c r="P620" i="40"/>
  <c r="O620" i="40"/>
  <c r="N620" i="40"/>
  <c r="M620" i="40"/>
  <c r="L620" i="40"/>
  <c r="P619" i="40"/>
  <c r="O619" i="40"/>
  <c r="N619" i="40"/>
  <c r="M619" i="40"/>
  <c r="L619" i="40"/>
  <c r="P618" i="40"/>
  <c r="O618" i="40"/>
  <c r="N618" i="40"/>
  <c r="M618" i="40"/>
  <c r="L618" i="40"/>
  <c r="P617" i="40"/>
  <c r="O617" i="40"/>
  <c r="N617" i="40"/>
  <c r="M617" i="40"/>
  <c r="L617" i="40"/>
  <c r="P616" i="40"/>
  <c r="O616" i="40"/>
  <c r="N616" i="40"/>
  <c r="M616" i="40"/>
  <c r="L616" i="40"/>
  <c r="P615" i="40"/>
  <c r="O615" i="40"/>
  <c r="N615" i="40"/>
  <c r="M615" i="40"/>
  <c r="L615" i="40"/>
  <c r="P614" i="40"/>
  <c r="O614" i="40"/>
  <c r="N614" i="40"/>
  <c r="M614" i="40"/>
  <c r="L614" i="40"/>
  <c r="P613" i="40"/>
  <c r="O613" i="40"/>
  <c r="N613" i="40"/>
  <c r="M613" i="40"/>
  <c r="L613" i="40"/>
  <c r="P612" i="40"/>
  <c r="O612" i="40"/>
  <c r="N612" i="40"/>
  <c r="M612" i="40"/>
  <c r="L612" i="40"/>
  <c r="P611" i="40"/>
  <c r="O611" i="40"/>
  <c r="N611" i="40"/>
  <c r="M611" i="40"/>
  <c r="L611" i="40"/>
  <c r="P610" i="40"/>
  <c r="O610" i="40"/>
  <c r="N610" i="40"/>
  <c r="M610" i="40"/>
  <c r="L610" i="40"/>
  <c r="P609" i="40"/>
  <c r="O609" i="40"/>
  <c r="N609" i="40"/>
  <c r="M609" i="40"/>
  <c r="L609" i="40"/>
  <c r="P608" i="40"/>
  <c r="O608" i="40"/>
  <c r="N608" i="40"/>
  <c r="M608" i="40"/>
  <c r="L608" i="40"/>
  <c r="P607" i="40"/>
  <c r="O607" i="40"/>
  <c r="N607" i="40"/>
  <c r="M607" i="40"/>
  <c r="L607" i="40"/>
  <c r="P606" i="40"/>
  <c r="O606" i="40"/>
  <c r="N606" i="40"/>
  <c r="M606" i="40"/>
  <c r="L606" i="40"/>
  <c r="P605" i="40"/>
  <c r="O605" i="40"/>
  <c r="N605" i="40"/>
  <c r="M605" i="40"/>
  <c r="L605" i="40"/>
  <c r="P604" i="40"/>
  <c r="O604" i="40"/>
  <c r="N604" i="40"/>
  <c r="M604" i="40"/>
  <c r="L604" i="40"/>
  <c r="P603" i="40"/>
  <c r="O603" i="40"/>
  <c r="N603" i="40"/>
  <c r="M603" i="40"/>
  <c r="L603" i="40"/>
  <c r="P602" i="40"/>
  <c r="O602" i="40"/>
  <c r="N602" i="40"/>
  <c r="M602" i="40"/>
  <c r="L602" i="40"/>
  <c r="P601" i="40"/>
  <c r="O601" i="40"/>
  <c r="N601" i="40"/>
  <c r="M601" i="40"/>
  <c r="L601" i="40"/>
  <c r="P600" i="40"/>
  <c r="O600" i="40"/>
  <c r="N600" i="40"/>
  <c r="M600" i="40"/>
  <c r="L600" i="40"/>
  <c r="P599" i="40"/>
  <c r="O599" i="40"/>
  <c r="N599" i="40"/>
  <c r="M599" i="40"/>
  <c r="L599" i="40"/>
  <c r="P598" i="40"/>
  <c r="O598" i="40"/>
  <c r="N598" i="40"/>
  <c r="M598" i="40"/>
  <c r="L598" i="40"/>
  <c r="P597" i="40"/>
  <c r="O597" i="40"/>
  <c r="N597" i="40"/>
  <c r="M597" i="40"/>
  <c r="L597" i="40"/>
  <c r="P596" i="40"/>
  <c r="O596" i="40"/>
  <c r="N596" i="40"/>
  <c r="M596" i="40"/>
  <c r="L596" i="40"/>
  <c r="P595" i="40"/>
  <c r="O595" i="40"/>
  <c r="N595" i="40"/>
  <c r="M595" i="40"/>
  <c r="L595" i="40"/>
  <c r="P594" i="40"/>
  <c r="O594" i="40"/>
  <c r="N594" i="40"/>
  <c r="M594" i="40"/>
  <c r="L594" i="40"/>
  <c r="P593" i="40"/>
  <c r="O593" i="40"/>
  <c r="N593" i="40"/>
  <c r="M593" i="40"/>
  <c r="L593" i="40"/>
  <c r="P592" i="40"/>
  <c r="O592" i="40"/>
  <c r="N592" i="40"/>
  <c r="M592" i="40"/>
  <c r="L592" i="40"/>
  <c r="P591" i="40"/>
  <c r="O591" i="40"/>
  <c r="N591" i="40"/>
  <c r="M591" i="40"/>
  <c r="L591" i="40"/>
  <c r="P590" i="40"/>
  <c r="O590" i="40"/>
  <c r="N590" i="40"/>
  <c r="M590" i="40"/>
  <c r="L590" i="40"/>
  <c r="P589" i="40"/>
  <c r="O589" i="40"/>
  <c r="N589" i="40"/>
  <c r="M589" i="40"/>
  <c r="L589" i="40"/>
  <c r="P588" i="40"/>
  <c r="O588" i="40"/>
  <c r="N588" i="40"/>
  <c r="M588" i="40"/>
  <c r="L588" i="40"/>
  <c r="P587" i="40"/>
  <c r="O587" i="40"/>
  <c r="N587" i="40"/>
  <c r="M587" i="40"/>
  <c r="L587" i="40"/>
  <c r="P586" i="40"/>
  <c r="O586" i="40"/>
  <c r="N586" i="40"/>
  <c r="M586" i="40"/>
  <c r="L586" i="40"/>
  <c r="P585" i="40"/>
  <c r="O585" i="40"/>
  <c r="N585" i="40"/>
  <c r="M585" i="40"/>
  <c r="L585" i="40"/>
  <c r="P584" i="40"/>
  <c r="O584" i="40"/>
  <c r="N584" i="40"/>
  <c r="M584" i="40"/>
  <c r="L584" i="40"/>
  <c r="P583" i="40"/>
  <c r="O583" i="40"/>
  <c r="N583" i="40"/>
  <c r="M583" i="40"/>
  <c r="L583" i="40"/>
  <c r="P582" i="40"/>
  <c r="O582" i="40"/>
  <c r="N582" i="40"/>
  <c r="M582" i="40"/>
  <c r="L582" i="40"/>
  <c r="P581" i="40"/>
  <c r="O581" i="40"/>
  <c r="N581" i="40"/>
  <c r="M581" i="40"/>
  <c r="L581" i="40"/>
  <c r="P580" i="40"/>
  <c r="O580" i="40"/>
  <c r="N580" i="40"/>
  <c r="M580" i="40"/>
  <c r="L580" i="40"/>
  <c r="P579" i="40"/>
  <c r="O579" i="40"/>
  <c r="N579" i="40"/>
  <c r="M579" i="40"/>
  <c r="L579" i="40"/>
  <c r="P578" i="40"/>
  <c r="O578" i="40"/>
  <c r="N578" i="40"/>
  <c r="M578" i="40"/>
  <c r="L578" i="40"/>
  <c r="P577" i="40"/>
  <c r="O577" i="40"/>
  <c r="N577" i="40"/>
  <c r="M577" i="40"/>
  <c r="L577" i="40"/>
  <c r="P576" i="40"/>
  <c r="O576" i="40"/>
  <c r="N576" i="40"/>
  <c r="M576" i="40"/>
  <c r="L576" i="40"/>
  <c r="P575" i="40"/>
  <c r="O575" i="40"/>
  <c r="N575" i="40"/>
  <c r="M575" i="40"/>
  <c r="L575" i="40"/>
  <c r="P574" i="40"/>
  <c r="O574" i="40"/>
  <c r="N574" i="40"/>
  <c r="M574" i="40"/>
  <c r="L574" i="40"/>
  <c r="P573" i="40"/>
  <c r="O573" i="40"/>
  <c r="N573" i="40"/>
  <c r="M573" i="40"/>
  <c r="L573" i="40"/>
  <c r="P572" i="40"/>
  <c r="O572" i="40"/>
  <c r="N572" i="40"/>
  <c r="M572" i="40"/>
  <c r="L572" i="40"/>
  <c r="P571" i="40"/>
  <c r="O571" i="40"/>
  <c r="N571" i="40"/>
  <c r="M571" i="40"/>
  <c r="L571" i="40"/>
  <c r="P570" i="40"/>
  <c r="O570" i="40"/>
  <c r="N570" i="40"/>
  <c r="M570" i="40"/>
  <c r="L570" i="40"/>
  <c r="P569" i="40"/>
  <c r="O569" i="40"/>
  <c r="N569" i="40"/>
  <c r="M569" i="40"/>
  <c r="L569" i="40"/>
  <c r="P568" i="40"/>
  <c r="O568" i="40"/>
  <c r="N568" i="40"/>
  <c r="M568" i="40"/>
  <c r="L568" i="40"/>
  <c r="P567" i="40"/>
  <c r="O567" i="40"/>
  <c r="N567" i="40"/>
  <c r="M567" i="40"/>
  <c r="L567" i="40"/>
  <c r="P566" i="40"/>
  <c r="O566" i="40"/>
  <c r="N566" i="40"/>
  <c r="M566" i="40"/>
  <c r="L566" i="40"/>
  <c r="P565" i="40"/>
  <c r="O565" i="40"/>
  <c r="N565" i="40"/>
  <c r="M565" i="40"/>
  <c r="L565" i="40"/>
  <c r="P564" i="40"/>
  <c r="O564" i="40"/>
  <c r="N564" i="40"/>
  <c r="M564" i="40"/>
  <c r="L564" i="40"/>
  <c r="P563" i="40"/>
  <c r="O563" i="40"/>
  <c r="N563" i="40"/>
  <c r="M563" i="40"/>
  <c r="L563" i="40"/>
  <c r="P562" i="40"/>
  <c r="O562" i="40"/>
  <c r="N562" i="40"/>
  <c r="M562" i="40"/>
  <c r="L562" i="40"/>
  <c r="P561" i="40"/>
  <c r="O561" i="40"/>
  <c r="N561" i="40"/>
  <c r="M561" i="40"/>
  <c r="L561" i="40"/>
  <c r="P560" i="40"/>
  <c r="O560" i="40"/>
  <c r="N560" i="40"/>
  <c r="M560" i="40"/>
  <c r="L560" i="40"/>
  <c r="P559" i="40"/>
  <c r="O559" i="40"/>
  <c r="N559" i="40"/>
  <c r="M559" i="40"/>
  <c r="L559" i="40"/>
  <c r="P558" i="40"/>
  <c r="O558" i="40"/>
  <c r="N558" i="40"/>
  <c r="M558" i="40"/>
  <c r="L558" i="40"/>
  <c r="P557" i="40"/>
  <c r="O557" i="40"/>
  <c r="N557" i="40"/>
  <c r="M557" i="40"/>
  <c r="L557" i="40"/>
  <c r="P556" i="40"/>
  <c r="O556" i="40"/>
  <c r="N556" i="40"/>
  <c r="M556" i="40"/>
  <c r="L556" i="40"/>
  <c r="P555" i="40"/>
  <c r="O555" i="40"/>
  <c r="N555" i="40"/>
  <c r="M555" i="40"/>
  <c r="L555" i="40"/>
  <c r="P554" i="40"/>
  <c r="O554" i="40"/>
  <c r="N554" i="40"/>
  <c r="M554" i="40"/>
  <c r="L554" i="40"/>
  <c r="P553" i="40"/>
  <c r="O553" i="40"/>
  <c r="N553" i="40"/>
  <c r="M553" i="40"/>
  <c r="L553" i="40"/>
  <c r="P552" i="40"/>
  <c r="O552" i="40"/>
  <c r="N552" i="40"/>
  <c r="M552" i="40"/>
  <c r="L552" i="40"/>
  <c r="P551" i="40"/>
  <c r="O551" i="40"/>
  <c r="N551" i="40"/>
  <c r="M551" i="40"/>
  <c r="L551" i="40"/>
  <c r="P550" i="40"/>
  <c r="O550" i="40"/>
  <c r="N550" i="40"/>
  <c r="M550" i="40"/>
  <c r="L550" i="40"/>
  <c r="P549" i="40"/>
  <c r="O549" i="40"/>
  <c r="N549" i="40"/>
  <c r="M549" i="40"/>
  <c r="L549" i="40"/>
  <c r="P548" i="40"/>
  <c r="O548" i="40"/>
  <c r="N548" i="40"/>
  <c r="M548" i="40"/>
  <c r="L548" i="40"/>
  <c r="P547" i="40"/>
  <c r="O547" i="40"/>
  <c r="N547" i="40"/>
  <c r="M547" i="40"/>
  <c r="L547" i="40"/>
  <c r="P546" i="40"/>
  <c r="O546" i="40"/>
  <c r="N546" i="40"/>
  <c r="M546" i="40"/>
  <c r="L546" i="40"/>
  <c r="P545" i="40"/>
  <c r="O545" i="40"/>
  <c r="N545" i="40"/>
  <c r="M545" i="40"/>
  <c r="L545" i="40"/>
  <c r="P544" i="40"/>
  <c r="O544" i="40"/>
  <c r="N544" i="40"/>
  <c r="M544" i="40"/>
  <c r="L544" i="40"/>
  <c r="P543" i="40"/>
  <c r="O543" i="40"/>
  <c r="N543" i="40"/>
  <c r="M543" i="40"/>
  <c r="L543" i="40"/>
  <c r="P542" i="40"/>
  <c r="O542" i="40"/>
  <c r="N542" i="40"/>
  <c r="M542" i="40"/>
  <c r="L542" i="40"/>
  <c r="P541" i="40"/>
  <c r="O541" i="40"/>
  <c r="N541" i="40"/>
  <c r="M541" i="40"/>
  <c r="L541" i="40"/>
  <c r="P540" i="40"/>
  <c r="O540" i="40"/>
  <c r="N540" i="40"/>
  <c r="M540" i="40"/>
  <c r="L540" i="40"/>
  <c r="P539" i="40"/>
  <c r="O539" i="40"/>
  <c r="N539" i="40"/>
  <c r="M539" i="40"/>
  <c r="L539" i="40"/>
  <c r="P538" i="40"/>
  <c r="O538" i="40"/>
  <c r="N538" i="40"/>
  <c r="M538" i="40"/>
  <c r="L538" i="40"/>
  <c r="P537" i="40"/>
  <c r="O537" i="40"/>
  <c r="N537" i="40"/>
  <c r="M537" i="40"/>
  <c r="L537" i="40"/>
  <c r="P536" i="40"/>
  <c r="O536" i="40"/>
  <c r="N536" i="40"/>
  <c r="M536" i="40"/>
  <c r="L536" i="40"/>
  <c r="P535" i="40"/>
  <c r="O535" i="40"/>
  <c r="N535" i="40"/>
  <c r="M535" i="40"/>
  <c r="L535" i="40"/>
  <c r="P534" i="40"/>
  <c r="O534" i="40"/>
  <c r="N534" i="40"/>
  <c r="M534" i="40"/>
  <c r="L534" i="40"/>
  <c r="P533" i="40"/>
  <c r="O533" i="40"/>
  <c r="N533" i="40"/>
  <c r="M533" i="40"/>
  <c r="L533" i="40"/>
  <c r="P532" i="40"/>
  <c r="O532" i="40"/>
  <c r="N532" i="40"/>
  <c r="M532" i="40"/>
  <c r="L532" i="40"/>
  <c r="P531" i="40"/>
  <c r="O531" i="40"/>
  <c r="N531" i="40"/>
  <c r="M531" i="40"/>
  <c r="L531" i="40"/>
  <c r="P530" i="40"/>
  <c r="O530" i="40"/>
  <c r="N530" i="40"/>
  <c r="M530" i="40"/>
  <c r="L530" i="40"/>
  <c r="P529" i="40"/>
  <c r="O529" i="40"/>
  <c r="N529" i="40"/>
  <c r="M529" i="40"/>
  <c r="L529" i="40"/>
  <c r="P528" i="40"/>
  <c r="O528" i="40"/>
  <c r="N528" i="40"/>
  <c r="M528" i="40"/>
  <c r="L528" i="40"/>
  <c r="P527" i="40"/>
  <c r="O527" i="40"/>
  <c r="N527" i="40"/>
  <c r="M527" i="40"/>
  <c r="L527" i="40"/>
  <c r="P526" i="40"/>
  <c r="O526" i="40"/>
  <c r="N526" i="40"/>
  <c r="M526" i="40"/>
  <c r="L526" i="40"/>
  <c r="P525" i="40"/>
  <c r="O525" i="40"/>
  <c r="N525" i="40"/>
  <c r="M525" i="40"/>
  <c r="L525" i="40"/>
  <c r="P524" i="40"/>
  <c r="O524" i="40"/>
  <c r="N524" i="40"/>
  <c r="M524" i="40"/>
  <c r="L524" i="40"/>
  <c r="P523" i="40"/>
  <c r="O523" i="40"/>
  <c r="N523" i="40"/>
  <c r="M523" i="40"/>
  <c r="L523" i="40"/>
  <c r="P522" i="40"/>
  <c r="O522" i="40"/>
  <c r="N522" i="40"/>
  <c r="M522" i="40"/>
  <c r="L522" i="40"/>
  <c r="P521" i="40"/>
  <c r="O521" i="40"/>
  <c r="N521" i="40"/>
  <c r="M521" i="40"/>
  <c r="L521" i="40"/>
  <c r="P520" i="40"/>
  <c r="O520" i="40"/>
  <c r="N520" i="40"/>
  <c r="M520" i="40"/>
  <c r="L520" i="40"/>
  <c r="P519" i="40"/>
  <c r="O519" i="40"/>
  <c r="N519" i="40"/>
  <c r="M519" i="40"/>
  <c r="L519" i="40"/>
  <c r="P518" i="40"/>
  <c r="O518" i="40"/>
  <c r="N518" i="40"/>
  <c r="M518" i="40"/>
  <c r="L518" i="40"/>
  <c r="P517" i="40"/>
  <c r="O517" i="40"/>
  <c r="N517" i="40"/>
  <c r="M517" i="40"/>
  <c r="L517" i="40"/>
  <c r="P516" i="40"/>
  <c r="O516" i="40"/>
  <c r="N516" i="40"/>
  <c r="M516" i="40"/>
  <c r="L516" i="40"/>
  <c r="P515" i="40"/>
  <c r="O515" i="40"/>
  <c r="N515" i="40"/>
  <c r="M515" i="40"/>
  <c r="L515" i="40"/>
  <c r="P514" i="40"/>
  <c r="O514" i="40"/>
  <c r="N514" i="40"/>
  <c r="M514" i="40"/>
  <c r="L514" i="40"/>
  <c r="P513" i="40"/>
  <c r="O513" i="40"/>
  <c r="N513" i="40"/>
  <c r="M513" i="40"/>
  <c r="L513" i="40"/>
  <c r="P512" i="40"/>
  <c r="O512" i="40"/>
  <c r="N512" i="40"/>
  <c r="M512" i="40"/>
  <c r="L512" i="40"/>
  <c r="P511" i="40"/>
  <c r="O511" i="40"/>
  <c r="N511" i="40"/>
  <c r="M511" i="40"/>
  <c r="L511" i="40"/>
  <c r="P510" i="40"/>
  <c r="O510" i="40"/>
  <c r="N510" i="40"/>
  <c r="M510" i="40"/>
  <c r="L510" i="40"/>
  <c r="P509" i="40"/>
  <c r="O509" i="40"/>
  <c r="N509" i="40"/>
  <c r="M509" i="40"/>
  <c r="L509" i="40"/>
  <c r="P508" i="40"/>
  <c r="O508" i="40"/>
  <c r="N508" i="40"/>
  <c r="M508" i="40"/>
  <c r="L508" i="40"/>
  <c r="P507" i="40"/>
  <c r="O507" i="40"/>
  <c r="N507" i="40"/>
  <c r="M507" i="40"/>
  <c r="L507" i="40"/>
  <c r="P506" i="40"/>
  <c r="O506" i="40"/>
  <c r="N506" i="40"/>
  <c r="M506" i="40"/>
  <c r="L506" i="40"/>
  <c r="P505" i="40"/>
  <c r="O505" i="40"/>
  <c r="N505" i="40"/>
  <c r="M505" i="40"/>
  <c r="L505" i="40"/>
  <c r="P504" i="40"/>
  <c r="O504" i="40"/>
  <c r="N504" i="40"/>
  <c r="M504" i="40"/>
  <c r="L504" i="40"/>
  <c r="P503" i="40"/>
  <c r="O503" i="40"/>
  <c r="N503" i="40"/>
  <c r="M503" i="40"/>
  <c r="L503" i="40"/>
  <c r="P502" i="40"/>
  <c r="O502" i="40"/>
  <c r="N502" i="40"/>
  <c r="M502" i="40"/>
  <c r="L502" i="40"/>
  <c r="P501" i="40"/>
  <c r="O501" i="40"/>
  <c r="N501" i="40"/>
  <c r="M501" i="40"/>
  <c r="L501" i="40"/>
  <c r="P500" i="40"/>
  <c r="O500" i="40"/>
  <c r="N500" i="40"/>
  <c r="M500" i="40"/>
  <c r="L500" i="40"/>
  <c r="P499" i="40"/>
  <c r="O499" i="40"/>
  <c r="N499" i="40"/>
  <c r="M499" i="40"/>
  <c r="L499" i="40"/>
  <c r="P498" i="40"/>
  <c r="O498" i="40"/>
  <c r="N498" i="40"/>
  <c r="M498" i="40"/>
  <c r="L498" i="40"/>
  <c r="P497" i="40"/>
  <c r="O497" i="40"/>
  <c r="N497" i="40"/>
  <c r="M497" i="40"/>
  <c r="L497" i="40"/>
  <c r="P496" i="40"/>
  <c r="O496" i="40"/>
  <c r="N496" i="40"/>
  <c r="M496" i="40"/>
  <c r="L496" i="40"/>
  <c r="P495" i="40"/>
  <c r="O495" i="40"/>
  <c r="N495" i="40"/>
  <c r="M495" i="40"/>
  <c r="L495" i="40"/>
  <c r="P494" i="40"/>
  <c r="O494" i="40"/>
  <c r="N494" i="40"/>
  <c r="M494" i="40"/>
  <c r="L494" i="40"/>
  <c r="P493" i="40"/>
  <c r="O493" i="40"/>
  <c r="N493" i="40"/>
  <c r="M493" i="40"/>
  <c r="L493" i="40"/>
  <c r="P492" i="40"/>
  <c r="O492" i="40"/>
  <c r="N492" i="40"/>
  <c r="M492" i="40"/>
  <c r="L492" i="40"/>
  <c r="P491" i="40"/>
  <c r="O491" i="40"/>
  <c r="N491" i="40"/>
  <c r="M491" i="40"/>
  <c r="L491" i="40"/>
  <c r="P490" i="40"/>
  <c r="O490" i="40"/>
  <c r="N490" i="40"/>
  <c r="M490" i="40"/>
  <c r="L490" i="40"/>
  <c r="P489" i="40"/>
  <c r="O489" i="40"/>
  <c r="N489" i="40"/>
  <c r="M489" i="40"/>
  <c r="L489" i="40"/>
  <c r="P488" i="40"/>
  <c r="O488" i="40"/>
  <c r="N488" i="40"/>
  <c r="M488" i="40"/>
  <c r="L488" i="40"/>
  <c r="P487" i="40"/>
  <c r="O487" i="40"/>
  <c r="N487" i="40"/>
  <c r="M487" i="40"/>
  <c r="L487" i="40"/>
  <c r="P486" i="40"/>
  <c r="O486" i="40"/>
  <c r="N486" i="40"/>
  <c r="M486" i="40"/>
  <c r="L486" i="40"/>
  <c r="P485" i="40"/>
  <c r="O485" i="40"/>
  <c r="N485" i="40"/>
  <c r="M485" i="40"/>
  <c r="L485" i="40"/>
  <c r="P484" i="40"/>
  <c r="O484" i="40"/>
  <c r="N484" i="40"/>
  <c r="M484" i="40"/>
  <c r="L484" i="40"/>
  <c r="P483" i="40"/>
  <c r="O483" i="40"/>
  <c r="N483" i="40"/>
  <c r="M483" i="40"/>
  <c r="L483" i="40"/>
  <c r="P482" i="40"/>
  <c r="O482" i="40"/>
  <c r="N482" i="40"/>
  <c r="M482" i="40"/>
  <c r="L482" i="40"/>
  <c r="P481" i="40"/>
  <c r="O481" i="40"/>
  <c r="N481" i="40"/>
  <c r="M481" i="40"/>
  <c r="L481" i="40"/>
  <c r="P480" i="40"/>
  <c r="O480" i="40"/>
  <c r="N480" i="40"/>
  <c r="M480" i="40"/>
  <c r="L480" i="40"/>
  <c r="P479" i="40"/>
  <c r="O479" i="40"/>
  <c r="N479" i="40"/>
  <c r="M479" i="40"/>
  <c r="L479" i="40"/>
  <c r="P478" i="40"/>
  <c r="O478" i="40"/>
  <c r="N478" i="40"/>
  <c r="M478" i="40"/>
  <c r="L478" i="40"/>
  <c r="P477" i="40"/>
  <c r="O477" i="40"/>
  <c r="N477" i="40"/>
  <c r="M477" i="40"/>
  <c r="L477" i="40"/>
  <c r="P476" i="40"/>
  <c r="O476" i="40"/>
  <c r="N476" i="40"/>
  <c r="M476" i="40"/>
  <c r="L476" i="40"/>
  <c r="P475" i="40"/>
  <c r="O475" i="40"/>
  <c r="N475" i="40"/>
  <c r="M475" i="40"/>
  <c r="L475" i="40"/>
  <c r="P474" i="40"/>
  <c r="O474" i="40"/>
  <c r="N474" i="40"/>
  <c r="M474" i="40"/>
  <c r="L474" i="40"/>
  <c r="P473" i="40"/>
  <c r="O473" i="40"/>
  <c r="N473" i="40"/>
  <c r="M473" i="40"/>
  <c r="L473" i="40"/>
  <c r="P472" i="40"/>
  <c r="O472" i="40"/>
  <c r="N472" i="40"/>
  <c r="M472" i="40"/>
  <c r="L472" i="40"/>
  <c r="P471" i="40"/>
  <c r="O471" i="40"/>
  <c r="N471" i="40"/>
  <c r="M471" i="40"/>
  <c r="L471" i="40"/>
  <c r="P470" i="40"/>
  <c r="O470" i="40"/>
  <c r="N470" i="40"/>
  <c r="M470" i="40"/>
  <c r="L470" i="40"/>
  <c r="P469" i="40"/>
  <c r="O469" i="40"/>
  <c r="N469" i="40"/>
  <c r="M469" i="40"/>
  <c r="L469" i="40"/>
  <c r="P468" i="40"/>
  <c r="O468" i="40"/>
  <c r="N468" i="40"/>
  <c r="M468" i="40"/>
  <c r="L468" i="40"/>
  <c r="P467" i="40"/>
  <c r="O467" i="40"/>
  <c r="N467" i="40"/>
  <c r="M467" i="40"/>
  <c r="L467" i="40"/>
  <c r="P466" i="40"/>
  <c r="O466" i="40"/>
  <c r="N466" i="40"/>
  <c r="M466" i="40"/>
  <c r="L466" i="40"/>
  <c r="P465" i="40"/>
  <c r="O465" i="40"/>
  <c r="N465" i="40"/>
  <c r="M465" i="40"/>
  <c r="L465" i="40"/>
  <c r="P464" i="40"/>
  <c r="O464" i="40"/>
  <c r="N464" i="40"/>
  <c r="M464" i="40"/>
  <c r="L464" i="40"/>
  <c r="P463" i="40"/>
  <c r="O463" i="40"/>
  <c r="N463" i="40"/>
  <c r="M463" i="40"/>
  <c r="L463" i="40"/>
  <c r="P462" i="40"/>
  <c r="O462" i="40"/>
  <c r="N462" i="40"/>
  <c r="M462" i="40"/>
  <c r="L462" i="40"/>
  <c r="P461" i="40"/>
  <c r="O461" i="40"/>
  <c r="N461" i="40"/>
  <c r="M461" i="40"/>
  <c r="L461" i="40"/>
  <c r="P460" i="40"/>
  <c r="O460" i="40"/>
  <c r="N460" i="40"/>
  <c r="M460" i="40"/>
  <c r="L460" i="40"/>
  <c r="P459" i="40"/>
  <c r="O459" i="40"/>
  <c r="N459" i="40"/>
  <c r="M459" i="40"/>
  <c r="L459" i="40"/>
  <c r="P458" i="40"/>
  <c r="O458" i="40"/>
  <c r="N458" i="40"/>
  <c r="M458" i="40"/>
  <c r="L458" i="40"/>
  <c r="P457" i="40"/>
  <c r="O457" i="40"/>
  <c r="N457" i="40"/>
  <c r="M457" i="40"/>
  <c r="L457" i="40"/>
  <c r="P456" i="40"/>
  <c r="O456" i="40"/>
  <c r="N456" i="40"/>
  <c r="M456" i="40"/>
  <c r="L456" i="40"/>
  <c r="P455" i="40"/>
  <c r="O455" i="40"/>
  <c r="N455" i="40"/>
  <c r="M455" i="40"/>
  <c r="L455" i="40"/>
  <c r="P454" i="40"/>
  <c r="O454" i="40"/>
  <c r="N454" i="40"/>
  <c r="M454" i="40"/>
  <c r="L454" i="40"/>
  <c r="P453" i="40"/>
  <c r="O453" i="40"/>
  <c r="N453" i="40"/>
  <c r="M453" i="40"/>
  <c r="L453" i="40"/>
  <c r="P452" i="40"/>
  <c r="O452" i="40"/>
  <c r="N452" i="40"/>
  <c r="M452" i="40"/>
  <c r="L452" i="40"/>
  <c r="P451" i="40"/>
  <c r="O451" i="40"/>
  <c r="N451" i="40"/>
  <c r="M451" i="40"/>
  <c r="L451" i="40"/>
  <c r="P450" i="40"/>
  <c r="O450" i="40"/>
  <c r="N450" i="40"/>
  <c r="M450" i="40"/>
  <c r="L450" i="40"/>
  <c r="P449" i="40"/>
  <c r="O449" i="40"/>
  <c r="N449" i="40"/>
  <c r="M449" i="40"/>
  <c r="L449" i="40"/>
  <c r="P448" i="40"/>
  <c r="O448" i="40"/>
  <c r="N448" i="40"/>
  <c r="M448" i="40"/>
  <c r="L448" i="40"/>
  <c r="P447" i="40"/>
  <c r="O447" i="40"/>
  <c r="N447" i="40"/>
  <c r="M447" i="40"/>
  <c r="L447" i="40"/>
  <c r="P446" i="40"/>
  <c r="O446" i="40"/>
  <c r="N446" i="40"/>
  <c r="M446" i="40"/>
  <c r="L446" i="40"/>
  <c r="P445" i="40"/>
  <c r="O445" i="40"/>
  <c r="N445" i="40"/>
  <c r="M445" i="40"/>
  <c r="L445" i="40"/>
  <c r="P444" i="40"/>
  <c r="O444" i="40"/>
  <c r="N444" i="40"/>
  <c r="M444" i="40"/>
  <c r="L444" i="40"/>
  <c r="P443" i="40"/>
  <c r="O443" i="40"/>
  <c r="N443" i="40"/>
  <c r="M443" i="40"/>
  <c r="L443" i="40"/>
  <c r="P442" i="40"/>
  <c r="O442" i="40"/>
  <c r="N442" i="40"/>
  <c r="M442" i="40"/>
  <c r="L442" i="40"/>
  <c r="P441" i="40"/>
  <c r="O441" i="40"/>
  <c r="N441" i="40"/>
  <c r="M441" i="40"/>
  <c r="L441" i="40"/>
  <c r="P440" i="40"/>
  <c r="O440" i="40"/>
  <c r="N440" i="40"/>
  <c r="M440" i="40"/>
  <c r="L440" i="40"/>
  <c r="P439" i="40"/>
  <c r="O439" i="40"/>
  <c r="N439" i="40"/>
  <c r="M439" i="40"/>
  <c r="L439" i="40"/>
  <c r="P438" i="40"/>
  <c r="O438" i="40"/>
  <c r="N438" i="40"/>
  <c r="M438" i="40"/>
  <c r="L438" i="40"/>
  <c r="P437" i="40"/>
  <c r="O437" i="40"/>
  <c r="N437" i="40"/>
  <c r="M437" i="40"/>
  <c r="L437" i="40"/>
  <c r="P436" i="40"/>
  <c r="O436" i="40"/>
  <c r="N436" i="40"/>
  <c r="M436" i="40"/>
  <c r="L436" i="40"/>
  <c r="P435" i="40"/>
  <c r="O435" i="40"/>
  <c r="N435" i="40"/>
  <c r="M435" i="40"/>
  <c r="L435" i="40"/>
  <c r="P434" i="40"/>
  <c r="O434" i="40"/>
  <c r="N434" i="40"/>
  <c r="M434" i="40"/>
  <c r="L434" i="40"/>
  <c r="P433" i="40"/>
  <c r="O433" i="40"/>
  <c r="N433" i="40"/>
  <c r="M433" i="40"/>
  <c r="L433" i="40"/>
  <c r="P432" i="40"/>
  <c r="O432" i="40"/>
  <c r="N432" i="40"/>
  <c r="M432" i="40"/>
  <c r="L432" i="40"/>
  <c r="P431" i="40"/>
  <c r="O431" i="40"/>
  <c r="N431" i="40"/>
  <c r="M431" i="40"/>
  <c r="L431" i="40"/>
  <c r="P430" i="40"/>
  <c r="O430" i="40"/>
  <c r="N430" i="40"/>
  <c r="M430" i="40"/>
  <c r="L430" i="40"/>
  <c r="P429" i="40"/>
  <c r="O429" i="40"/>
  <c r="N429" i="40"/>
  <c r="M429" i="40"/>
  <c r="L429" i="40"/>
  <c r="P428" i="40"/>
  <c r="O428" i="40"/>
  <c r="N428" i="40"/>
  <c r="M428" i="40"/>
  <c r="L428" i="40"/>
  <c r="P427" i="40"/>
  <c r="O427" i="40"/>
  <c r="N427" i="40"/>
  <c r="M427" i="40"/>
  <c r="L427" i="40"/>
  <c r="P426" i="40"/>
  <c r="O426" i="40"/>
  <c r="N426" i="40"/>
  <c r="M426" i="40"/>
  <c r="L426" i="40"/>
  <c r="P425" i="40"/>
  <c r="O425" i="40"/>
  <c r="N425" i="40"/>
  <c r="M425" i="40"/>
  <c r="L425" i="40"/>
  <c r="P424" i="40"/>
  <c r="O424" i="40"/>
  <c r="N424" i="40"/>
  <c r="M424" i="40"/>
  <c r="L424" i="40"/>
  <c r="P423" i="40"/>
  <c r="O423" i="40"/>
  <c r="N423" i="40"/>
  <c r="M423" i="40"/>
  <c r="L423" i="40"/>
  <c r="P422" i="40"/>
  <c r="O422" i="40"/>
  <c r="N422" i="40"/>
  <c r="M422" i="40"/>
  <c r="L422" i="40"/>
  <c r="P421" i="40"/>
  <c r="O421" i="40"/>
  <c r="N421" i="40"/>
  <c r="M421" i="40"/>
  <c r="L421" i="40"/>
  <c r="P420" i="40"/>
  <c r="O420" i="40"/>
  <c r="N420" i="40"/>
  <c r="M420" i="40"/>
  <c r="L420" i="40"/>
  <c r="P419" i="40"/>
  <c r="O419" i="40"/>
  <c r="N419" i="40"/>
  <c r="M419" i="40"/>
  <c r="L419" i="40"/>
  <c r="P418" i="40"/>
  <c r="O418" i="40"/>
  <c r="N418" i="40"/>
  <c r="M418" i="40"/>
  <c r="L418" i="40"/>
  <c r="P417" i="40"/>
  <c r="O417" i="40"/>
  <c r="N417" i="40"/>
  <c r="M417" i="40"/>
  <c r="L417" i="40"/>
  <c r="P416" i="40"/>
  <c r="O416" i="40"/>
  <c r="N416" i="40"/>
  <c r="M416" i="40"/>
  <c r="L416" i="40"/>
  <c r="P415" i="40"/>
  <c r="O415" i="40"/>
  <c r="N415" i="40"/>
  <c r="M415" i="40"/>
  <c r="L415" i="40"/>
  <c r="P414" i="40"/>
  <c r="O414" i="40"/>
  <c r="N414" i="40"/>
  <c r="M414" i="40"/>
  <c r="L414" i="40"/>
  <c r="P413" i="40"/>
  <c r="O413" i="40"/>
  <c r="N413" i="40"/>
  <c r="M413" i="40"/>
  <c r="L413" i="40"/>
  <c r="P412" i="40"/>
  <c r="O412" i="40"/>
  <c r="N412" i="40"/>
  <c r="M412" i="40"/>
  <c r="L412" i="40"/>
  <c r="P411" i="40"/>
  <c r="O411" i="40"/>
  <c r="N411" i="40"/>
  <c r="M411" i="40"/>
  <c r="L411" i="40"/>
  <c r="P410" i="40"/>
  <c r="O410" i="40"/>
  <c r="N410" i="40"/>
  <c r="M410" i="40"/>
  <c r="L410" i="40"/>
  <c r="P409" i="40"/>
  <c r="O409" i="40"/>
  <c r="N409" i="40"/>
  <c r="M409" i="40"/>
  <c r="L409" i="40"/>
  <c r="P408" i="40"/>
  <c r="O408" i="40"/>
  <c r="N408" i="40"/>
  <c r="M408" i="40"/>
  <c r="L408" i="40"/>
  <c r="P407" i="40"/>
  <c r="O407" i="40"/>
  <c r="N407" i="40"/>
  <c r="M407" i="40"/>
  <c r="L407" i="40"/>
  <c r="P406" i="40"/>
  <c r="O406" i="40"/>
  <c r="N406" i="40"/>
  <c r="M406" i="40"/>
  <c r="L406" i="40"/>
  <c r="P405" i="40"/>
  <c r="O405" i="40"/>
  <c r="N405" i="40"/>
  <c r="M405" i="40"/>
  <c r="L405" i="40"/>
  <c r="P404" i="40"/>
  <c r="O404" i="40"/>
  <c r="N404" i="40"/>
  <c r="M404" i="40"/>
  <c r="L404" i="40"/>
  <c r="P403" i="40"/>
  <c r="O403" i="40"/>
  <c r="N403" i="40"/>
  <c r="M403" i="40"/>
  <c r="L403" i="40"/>
  <c r="P402" i="40"/>
  <c r="O402" i="40"/>
  <c r="N402" i="40"/>
  <c r="M402" i="40"/>
  <c r="L402" i="40"/>
  <c r="P401" i="40"/>
  <c r="O401" i="40"/>
  <c r="N401" i="40"/>
  <c r="M401" i="40"/>
  <c r="L401" i="40"/>
  <c r="P400" i="40"/>
  <c r="O400" i="40"/>
  <c r="N400" i="40"/>
  <c r="M400" i="40"/>
  <c r="L400" i="40"/>
  <c r="P399" i="40"/>
  <c r="O399" i="40"/>
  <c r="N399" i="40"/>
  <c r="M399" i="40"/>
  <c r="L399" i="40"/>
  <c r="P398" i="40"/>
  <c r="O398" i="40"/>
  <c r="N398" i="40"/>
  <c r="M398" i="40"/>
  <c r="L398" i="40"/>
  <c r="P397" i="40"/>
  <c r="O397" i="40"/>
  <c r="N397" i="40"/>
  <c r="M397" i="40"/>
  <c r="L397" i="40"/>
  <c r="P396" i="40"/>
  <c r="O396" i="40"/>
  <c r="N396" i="40"/>
  <c r="M396" i="40"/>
  <c r="L396" i="40"/>
  <c r="P395" i="40"/>
  <c r="O395" i="40"/>
  <c r="N395" i="40"/>
  <c r="M395" i="40"/>
  <c r="L395" i="40"/>
  <c r="P394" i="40"/>
  <c r="O394" i="40"/>
  <c r="N394" i="40"/>
  <c r="M394" i="40"/>
  <c r="L394" i="40"/>
  <c r="P393" i="40"/>
  <c r="O393" i="40"/>
  <c r="N393" i="40"/>
  <c r="M393" i="40"/>
  <c r="L393" i="40"/>
  <c r="P392" i="40"/>
  <c r="O392" i="40"/>
  <c r="N392" i="40"/>
  <c r="M392" i="40"/>
  <c r="L392" i="40"/>
  <c r="P391" i="40"/>
  <c r="O391" i="40"/>
  <c r="N391" i="40"/>
  <c r="M391" i="40"/>
  <c r="L391" i="40"/>
  <c r="P390" i="40"/>
  <c r="O390" i="40"/>
  <c r="N390" i="40"/>
  <c r="M390" i="40"/>
  <c r="L390" i="40"/>
  <c r="P389" i="40"/>
  <c r="O389" i="40"/>
  <c r="N389" i="40"/>
  <c r="M389" i="40"/>
  <c r="L389" i="40"/>
  <c r="P388" i="40"/>
  <c r="O388" i="40"/>
  <c r="N388" i="40"/>
  <c r="M388" i="40"/>
  <c r="L388" i="40"/>
  <c r="P387" i="40"/>
  <c r="O387" i="40"/>
  <c r="N387" i="40"/>
  <c r="M387" i="40"/>
  <c r="L387" i="40"/>
  <c r="P386" i="40"/>
  <c r="O386" i="40"/>
  <c r="N386" i="40"/>
  <c r="M386" i="40"/>
  <c r="L386" i="40"/>
  <c r="P385" i="40"/>
  <c r="O385" i="40"/>
  <c r="N385" i="40"/>
  <c r="M385" i="40"/>
  <c r="L385" i="40"/>
  <c r="P384" i="40"/>
  <c r="O384" i="40"/>
  <c r="N384" i="40"/>
  <c r="M384" i="40"/>
  <c r="L384" i="40"/>
  <c r="P383" i="40"/>
  <c r="O383" i="40"/>
  <c r="N383" i="40"/>
  <c r="M383" i="40"/>
  <c r="L383" i="40"/>
  <c r="P382" i="40"/>
  <c r="O382" i="40"/>
  <c r="N382" i="40"/>
  <c r="M382" i="40"/>
  <c r="L382" i="40"/>
  <c r="P381" i="40"/>
  <c r="O381" i="40"/>
  <c r="N381" i="40"/>
  <c r="M381" i="40"/>
  <c r="L381" i="40"/>
  <c r="P380" i="40"/>
  <c r="O380" i="40"/>
  <c r="N380" i="40"/>
  <c r="M380" i="40"/>
  <c r="L380" i="40"/>
  <c r="P379" i="40"/>
  <c r="O379" i="40"/>
  <c r="N379" i="40"/>
  <c r="M379" i="40"/>
  <c r="L379" i="40"/>
  <c r="P378" i="40"/>
  <c r="O378" i="40"/>
  <c r="N378" i="40"/>
  <c r="M378" i="40"/>
  <c r="L378" i="40"/>
  <c r="P377" i="40"/>
  <c r="O377" i="40"/>
  <c r="N377" i="40"/>
  <c r="M377" i="40"/>
  <c r="L377" i="40"/>
  <c r="P376" i="40"/>
  <c r="O376" i="40"/>
  <c r="N376" i="40"/>
  <c r="M376" i="40"/>
  <c r="L376" i="40"/>
  <c r="P375" i="40"/>
  <c r="O375" i="40"/>
  <c r="N375" i="40"/>
  <c r="M375" i="40"/>
  <c r="L375" i="40"/>
  <c r="P374" i="40"/>
  <c r="O374" i="40"/>
  <c r="N374" i="40"/>
  <c r="M374" i="40"/>
  <c r="L374" i="40"/>
  <c r="P373" i="40"/>
  <c r="O373" i="40"/>
  <c r="N373" i="40"/>
  <c r="M373" i="40"/>
  <c r="L373" i="40"/>
  <c r="P372" i="40"/>
  <c r="O372" i="40"/>
  <c r="N372" i="40"/>
  <c r="M372" i="40"/>
  <c r="L372" i="40"/>
  <c r="P371" i="40"/>
  <c r="O371" i="40"/>
  <c r="N371" i="40"/>
  <c r="M371" i="40"/>
  <c r="L371" i="40"/>
  <c r="P370" i="40"/>
  <c r="O370" i="40"/>
  <c r="N370" i="40"/>
  <c r="M370" i="40"/>
  <c r="L370" i="40"/>
  <c r="P369" i="40"/>
  <c r="O369" i="40"/>
  <c r="N369" i="40"/>
  <c r="M369" i="40"/>
  <c r="L369" i="40"/>
  <c r="P368" i="40"/>
  <c r="O368" i="40"/>
  <c r="N368" i="40"/>
  <c r="M368" i="40"/>
  <c r="L368" i="40"/>
  <c r="P367" i="40"/>
  <c r="O367" i="40"/>
  <c r="N367" i="40"/>
  <c r="M367" i="40"/>
  <c r="L367" i="40"/>
  <c r="P366" i="40"/>
  <c r="O366" i="40"/>
  <c r="N366" i="40"/>
  <c r="M366" i="40"/>
  <c r="L366" i="40"/>
  <c r="P365" i="40"/>
  <c r="O365" i="40"/>
  <c r="N365" i="40"/>
  <c r="M365" i="40"/>
  <c r="L365" i="40"/>
  <c r="P364" i="40"/>
  <c r="O364" i="40"/>
  <c r="N364" i="40"/>
  <c r="M364" i="40"/>
  <c r="L364" i="40"/>
  <c r="P363" i="40"/>
  <c r="O363" i="40"/>
  <c r="N363" i="40"/>
  <c r="M363" i="40"/>
  <c r="L363" i="40"/>
  <c r="P362" i="40"/>
  <c r="O362" i="40"/>
  <c r="N362" i="40"/>
  <c r="M362" i="40"/>
  <c r="L362" i="40"/>
  <c r="P361" i="40"/>
  <c r="O361" i="40"/>
  <c r="N361" i="40"/>
  <c r="M361" i="40"/>
  <c r="L361" i="40"/>
  <c r="P360" i="40"/>
  <c r="O360" i="40"/>
  <c r="N360" i="40"/>
  <c r="M360" i="40"/>
  <c r="L360" i="40"/>
  <c r="P359" i="40"/>
  <c r="O359" i="40"/>
  <c r="N359" i="40"/>
  <c r="M359" i="40"/>
  <c r="L359" i="40"/>
  <c r="P358" i="40"/>
  <c r="O358" i="40"/>
  <c r="N358" i="40"/>
  <c r="M358" i="40"/>
  <c r="L358" i="40"/>
  <c r="P357" i="40"/>
  <c r="O357" i="40"/>
  <c r="N357" i="40"/>
  <c r="M357" i="40"/>
  <c r="L357" i="40"/>
  <c r="P356" i="40"/>
  <c r="O356" i="40"/>
  <c r="N356" i="40"/>
  <c r="M356" i="40"/>
  <c r="L356" i="40"/>
  <c r="P355" i="40"/>
  <c r="O355" i="40"/>
  <c r="N355" i="40"/>
  <c r="M355" i="40"/>
  <c r="L355" i="40"/>
  <c r="P354" i="40"/>
  <c r="O354" i="40"/>
  <c r="N354" i="40"/>
  <c r="M354" i="40"/>
  <c r="L354" i="40"/>
  <c r="P353" i="40"/>
  <c r="O353" i="40"/>
  <c r="N353" i="40"/>
  <c r="M353" i="40"/>
  <c r="L353" i="40"/>
  <c r="P352" i="40"/>
  <c r="O352" i="40"/>
  <c r="N352" i="40"/>
  <c r="M352" i="40"/>
  <c r="L352" i="40"/>
  <c r="P351" i="40"/>
  <c r="O351" i="40"/>
  <c r="N351" i="40"/>
  <c r="M351" i="40"/>
  <c r="L351" i="40"/>
  <c r="P350" i="40"/>
  <c r="O350" i="40"/>
  <c r="N350" i="40"/>
  <c r="M350" i="40"/>
  <c r="L350" i="40"/>
  <c r="P349" i="40"/>
  <c r="O349" i="40"/>
  <c r="N349" i="40"/>
  <c r="M349" i="40"/>
  <c r="L349" i="40"/>
  <c r="P348" i="40"/>
  <c r="O348" i="40"/>
  <c r="N348" i="40"/>
  <c r="M348" i="40"/>
  <c r="L348" i="40"/>
  <c r="P347" i="40"/>
  <c r="O347" i="40"/>
  <c r="N347" i="40"/>
  <c r="M347" i="40"/>
  <c r="L347" i="40"/>
  <c r="P346" i="40"/>
  <c r="O346" i="40"/>
  <c r="N346" i="40"/>
  <c r="M346" i="40"/>
  <c r="L346" i="40"/>
  <c r="P345" i="40"/>
  <c r="O345" i="40"/>
  <c r="N345" i="40"/>
  <c r="M345" i="40"/>
  <c r="L345" i="40"/>
  <c r="P344" i="40"/>
  <c r="O344" i="40"/>
  <c r="N344" i="40"/>
  <c r="M344" i="40"/>
  <c r="L344" i="40"/>
  <c r="P343" i="40"/>
  <c r="O343" i="40"/>
  <c r="N343" i="40"/>
  <c r="M343" i="40"/>
  <c r="L343" i="40"/>
  <c r="P342" i="40"/>
  <c r="O342" i="40"/>
  <c r="N342" i="40"/>
  <c r="M342" i="40"/>
  <c r="L342" i="40"/>
  <c r="P341" i="40"/>
  <c r="O341" i="40"/>
  <c r="N341" i="40"/>
  <c r="M341" i="40"/>
  <c r="L341" i="40"/>
  <c r="P340" i="40"/>
  <c r="O340" i="40"/>
  <c r="N340" i="40"/>
  <c r="M340" i="40"/>
  <c r="L340" i="40"/>
  <c r="P339" i="40"/>
  <c r="O339" i="40"/>
  <c r="N339" i="40"/>
  <c r="M339" i="40"/>
  <c r="L339" i="40"/>
  <c r="P338" i="40"/>
  <c r="O338" i="40"/>
  <c r="N338" i="40"/>
  <c r="M338" i="40"/>
  <c r="L338" i="40"/>
  <c r="P337" i="40"/>
  <c r="O337" i="40"/>
  <c r="N337" i="40"/>
  <c r="M337" i="40"/>
  <c r="L337" i="40"/>
  <c r="P336" i="40"/>
  <c r="O336" i="40"/>
  <c r="N336" i="40"/>
  <c r="M336" i="40"/>
  <c r="L336" i="40"/>
  <c r="P335" i="40"/>
  <c r="O335" i="40"/>
  <c r="N335" i="40"/>
  <c r="M335" i="40"/>
  <c r="L335" i="40"/>
  <c r="P334" i="40"/>
  <c r="O334" i="40"/>
  <c r="N334" i="40"/>
  <c r="M334" i="40"/>
  <c r="L334" i="40"/>
  <c r="P333" i="40"/>
  <c r="O333" i="40"/>
  <c r="N333" i="40"/>
  <c r="M333" i="40"/>
  <c r="L333" i="40"/>
  <c r="P332" i="40"/>
  <c r="O332" i="40"/>
  <c r="N332" i="40"/>
  <c r="M332" i="40"/>
  <c r="L332" i="40"/>
  <c r="P331" i="40"/>
  <c r="O331" i="40"/>
  <c r="N331" i="40"/>
  <c r="M331" i="40"/>
  <c r="L331" i="40"/>
  <c r="P330" i="40"/>
  <c r="O330" i="40"/>
  <c r="N330" i="40"/>
  <c r="M330" i="40"/>
  <c r="L330" i="40"/>
  <c r="P329" i="40"/>
  <c r="O329" i="40"/>
  <c r="N329" i="40"/>
  <c r="M329" i="40"/>
  <c r="L329" i="40"/>
  <c r="P328" i="40"/>
  <c r="O328" i="40"/>
  <c r="N328" i="40"/>
  <c r="M328" i="40"/>
  <c r="L328" i="40"/>
  <c r="P327" i="40"/>
  <c r="O327" i="40"/>
  <c r="N327" i="40"/>
  <c r="M327" i="40"/>
  <c r="L327" i="40"/>
  <c r="P326" i="40"/>
  <c r="O326" i="40"/>
  <c r="N326" i="40"/>
  <c r="M326" i="40"/>
  <c r="L326" i="40"/>
  <c r="P325" i="40"/>
  <c r="O325" i="40"/>
  <c r="N325" i="40"/>
  <c r="M325" i="40"/>
  <c r="L325" i="40"/>
  <c r="P324" i="40"/>
  <c r="O324" i="40"/>
  <c r="N324" i="40"/>
  <c r="M324" i="40"/>
  <c r="L324" i="40"/>
  <c r="P323" i="40"/>
  <c r="O323" i="40"/>
  <c r="N323" i="40"/>
  <c r="M323" i="40"/>
  <c r="L323" i="40"/>
  <c r="P322" i="40"/>
  <c r="O322" i="40"/>
  <c r="N322" i="40"/>
  <c r="M322" i="40"/>
  <c r="L322" i="40"/>
  <c r="P321" i="40"/>
  <c r="O321" i="40"/>
  <c r="N321" i="40"/>
  <c r="M321" i="40"/>
  <c r="L321" i="40"/>
  <c r="P320" i="40"/>
  <c r="O320" i="40"/>
  <c r="N320" i="40"/>
  <c r="M320" i="40"/>
  <c r="L320" i="40"/>
  <c r="P319" i="40"/>
  <c r="O319" i="40"/>
  <c r="N319" i="40"/>
  <c r="M319" i="40"/>
  <c r="L319" i="40"/>
  <c r="P318" i="40"/>
  <c r="O318" i="40"/>
  <c r="N318" i="40"/>
  <c r="M318" i="40"/>
  <c r="L318" i="40"/>
  <c r="P317" i="40"/>
  <c r="O317" i="40"/>
  <c r="N317" i="40"/>
  <c r="M317" i="40"/>
  <c r="L317" i="40"/>
  <c r="P316" i="40"/>
  <c r="O316" i="40"/>
  <c r="N316" i="40"/>
  <c r="M316" i="40"/>
  <c r="L316" i="40"/>
  <c r="P315" i="40"/>
  <c r="O315" i="40"/>
  <c r="N315" i="40"/>
  <c r="M315" i="40"/>
  <c r="L315" i="40"/>
  <c r="P314" i="40"/>
  <c r="O314" i="40"/>
  <c r="N314" i="40"/>
  <c r="M314" i="40"/>
  <c r="L314" i="40"/>
  <c r="P313" i="40"/>
  <c r="O313" i="40"/>
  <c r="N313" i="40"/>
  <c r="M313" i="40"/>
  <c r="L313" i="40"/>
  <c r="P312" i="40"/>
  <c r="O312" i="40"/>
  <c r="N312" i="40"/>
  <c r="M312" i="40"/>
  <c r="L312" i="40"/>
  <c r="P311" i="40"/>
  <c r="O311" i="40"/>
  <c r="N311" i="40"/>
  <c r="M311" i="40"/>
  <c r="L311" i="40"/>
  <c r="P310" i="40"/>
  <c r="O310" i="40"/>
  <c r="N310" i="40"/>
  <c r="M310" i="40"/>
  <c r="L310" i="40"/>
  <c r="P309" i="40"/>
  <c r="O309" i="40"/>
  <c r="N309" i="40"/>
  <c r="M309" i="40"/>
  <c r="L309" i="40"/>
  <c r="P308" i="40"/>
  <c r="O308" i="40"/>
  <c r="N308" i="40"/>
  <c r="M308" i="40"/>
  <c r="L308" i="40"/>
  <c r="P307" i="40"/>
  <c r="O307" i="40"/>
  <c r="N307" i="40"/>
  <c r="M307" i="40"/>
  <c r="L307" i="40"/>
  <c r="P306" i="40"/>
  <c r="O306" i="40"/>
  <c r="N306" i="40"/>
  <c r="M306" i="40"/>
  <c r="L306" i="40"/>
  <c r="P305" i="40"/>
  <c r="O305" i="40"/>
  <c r="N305" i="40"/>
  <c r="M305" i="40"/>
  <c r="L305" i="40"/>
  <c r="P304" i="40"/>
  <c r="O304" i="40"/>
  <c r="N304" i="40"/>
  <c r="M304" i="40"/>
  <c r="L304" i="40"/>
  <c r="P303" i="40"/>
  <c r="O303" i="40"/>
  <c r="N303" i="40"/>
  <c r="M303" i="40"/>
  <c r="L303" i="40"/>
  <c r="P302" i="40"/>
  <c r="O302" i="40"/>
  <c r="N302" i="40"/>
  <c r="M302" i="40"/>
  <c r="L302" i="40"/>
  <c r="P301" i="40"/>
  <c r="O301" i="40"/>
  <c r="N301" i="40"/>
  <c r="M301" i="40"/>
  <c r="L301" i="40"/>
  <c r="P300" i="40"/>
  <c r="O300" i="40"/>
  <c r="N300" i="40"/>
  <c r="M300" i="40"/>
  <c r="L300" i="40"/>
  <c r="P299" i="40"/>
  <c r="O299" i="40"/>
  <c r="N299" i="40"/>
  <c r="M299" i="40"/>
  <c r="L299" i="40"/>
  <c r="P298" i="40"/>
  <c r="O298" i="40"/>
  <c r="N298" i="40"/>
  <c r="M298" i="40"/>
  <c r="L298" i="40"/>
  <c r="P297" i="40"/>
  <c r="O297" i="40"/>
  <c r="N297" i="40"/>
  <c r="M297" i="40"/>
  <c r="L297" i="40"/>
  <c r="P296" i="40"/>
  <c r="O296" i="40"/>
  <c r="N296" i="40"/>
  <c r="M296" i="40"/>
  <c r="L296" i="40"/>
  <c r="P295" i="40"/>
  <c r="O295" i="40"/>
  <c r="N295" i="40"/>
  <c r="M295" i="40"/>
  <c r="L295" i="40"/>
  <c r="P294" i="40"/>
  <c r="O294" i="40"/>
  <c r="N294" i="40"/>
  <c r="M294" i="40"/>
  <c r="L294" i="40"/>
  <c r="P293" i="40"/>
  <c r="O293" i="40"/>
  <c r="N293" i="40"/>
  <c r="M293" i="40"/>
  <c r="L293" i="40"/>
  <c r="P292" i="40"/>
  <c r="O292" i="40"/>
  <c r="N292" i="40"/>
  <c r="M292" i="40"/>
  <c r="L292" i="40"/>
  <c r="P291" i="40"/>
  <c r="O291" i="40"/>
  <c r="N291" i="40"/>
  <c r="M291" i="40"/>
  <c r="L291" i="40"/>
  <c r="P290" i="40"/>
  <c r="O290" i="40"/>
  <c r="N290" i="40"/>
  <c r="M290" i="40"/>
  <c r="L290" i="40"/>
  <c r="P289" i="40"/>
  <c r="O289" i="40"/>
  <c r="N289" i="40"/>
  <c r="M289" i="40"/>
  <c r="L289" i="40"/>
  <c r="P288" i="40"/>
  <c r="O288" i="40"/>
  <c r="N288" i="40"/>
  <c r="M288" i="40"/>
  <c r="L288" i="40"/>
  <c r="P287" i="40"/>
  <c r="O287" i="40"/>
  <c r="N287" i="40"/>
  <c r="M287" i="40"/>
  <c r="L287" i="40"/>
  <c r="P286" i="40"/>
  <c r="O286" i="40"/>
  <c r="N286" i="40"/>
  <c r="M286" i="40"/>
  <c r="L286" i="40"/>
  <c r="P285" i="40"/>
  <c r="O285" i="40"/>
  <c r="N285" i="40"/>
  <c r="M285" i="40"/>
  <c r="L285" i="40"/>
  <c r="P284" i="40"/>
  <c r="O284" i="40"/>
  <c r="N284" i="40"/>
  <c r="M284" i="40"/>
  <c r="L284" i="40"/>
  <c r="P283" i="40"/>
  <c r="O283" i="40"/>
  <c r="N283" i="40"/>
  <c r="M283" i="40"/>
  <c r="L283" i="40"/>
  <c r="P282" i="40"/>
  <c r="O282" i="40"/>
  <c r="N282" i="40"/>
  <c r="M282" i="40"/>
  <c r="L282" i="40"/>
  <c r="P281" i="40"/>
  <c r="O281" i="40"/>
  <c r="N281" i="40"/>
  <c r="M281" i="40"/>
  <c r="L281" i="40"/>
  <c r="P280" i="40"/>
  <c r="O280" i="40"/>
  <c r="N280" i="40"/>
  <c r="M280" i="40"/>
  <c r="L280" i="40"/>
  <c r="P279" i="40"/>
  <c r="O279" i="40"/>
  <c r="N279" i="40"/>
  <c r="M279" i="40"/>
  <c r="L279" i="40"/>
  <c r="P278" i="40"/>
  <c r="O278" i="40"/>
  <c r="N278" i="40"/>
  <c r="M278" i="40"/>
  <c r="L278" i="40"/>
  <c r="P277" i="40"/>
  <c r="O277" i="40"/>
  <c r="N277" i="40"/>
  <c r="M277" i="40"/>
  <c r="L277" i="40"/>
  <c r="P276" i="40"/>
  <c r="O276" i="40"/>
  <c r="N276" i="40"/>
  <c r="M276" i="40"/>
  <c r="L276" i="40"/>
  <c r="P275" i="40"/>
  <c r="O275" i="40"/>
  <c r="N275" i="40"/>
  <c r="M275" i="40"/>
  <c r="L275" i="40"/>
  <c r="P274" i="40"/>
  <c r="O274" i="40"/>
  <c r="N274" i="40"/>
  <c r="M274" i="40"/>
  <c r="L274" i="40"/>
  <c r="P273" i="40"/>
  <c r="O273" i="40"/>
  <c r="N273" i="40"/>
  <c r="M273" i="40"/>
  <c r="L273" i="40"/>
  <c r="P272" i="40"/>
  <c r="O272" i="40"/>
  <c r="N272" i="40"/>
  <c r="M272" i="40"/>
  <c r="L272" i="40"/>
  <c r="P271" i="40"/>
  <c r="O271" i="40"/>
  <c r="N271" i="40"/>
  <c r="M271" i="40"/>
  <c r="L271" i="40"/>
  <c r="P270" i="40"/>
  <c r="O270" i="40"/>
  <c r="N270" i="40"/>
  <c r="M270" i="40"/>
  <c r="L270" i="40"/>
  <c r="P269" i="40"/>
  <c r="O269" i="40"/>
  <c r="N269" i="40"/>
  <c r="M269" i="40"/>
  <c r="L269" i="40"/>
  <c r="P268" i="40"/>
  <c r="O268" i="40"/>
  <c r="N268" i="40"/>
  <c r="M268" i="40"/>
  <c r="L268" i="40"/>
  <c r="P267" i="40"/>
  <c r="O267" i="40"/>
  <c r="N267" i="40"/>
  <c r="M267" i="40"/>
  <c r="L267" i="40"/>
  <c r="P266" i="40"/>
  <c r="O266" i="40"/>
  <c r="N266" i="40"/>
  <c r="M266" i="40"/>
  <c r="L266" i="40"/>
  <c r="P265" i="40"/>
  <c r="O265" i="40"/>
  <c r="N265" i="40"/>
  <c r="M265" i="40"/>
  <c r="L265" i="40"/>
  <c r="P264" i="40"/>
  <c r="O264" i="40"/>
  <c r="N264" i="40"/>
  <c r="M264" i="40"/>
  <c r="L264" i="40"/>
  <c r="P263" i="40"/>
  <c r="O263" i="40"/>
  <c r="N263" i="40"/>
  <c r="M263" i="40"/>
  <c r="L263" i="40"/>
  <c r="P262" i="40"/>
  <c r="O262" i="40"/>
  <c r="N262" i="40"/>
  <c r="M262" i="40"/>
  <c r="L262" i="40"/>
  <c r="P261" i="40"/>
  <c r="O261" i="40"/>
  <c r="N261" i="40"/>
  <c r="M261" i="40"/>
  <c r="L261" i="40"/>
  <c r="P260" i="40"/>
  <c r="O260" i="40"/>
  <c r="N260" i="40"/>
  <c r="M260" i="40"/>
  <c r="L260" i="40"/>
  <c r="P259" i="40"/>
  <c r="O259" i="40"/>
  <c r="N259" i="40"/>
  <c r="M259" i="40"/>
  <c r="L259" i="40"/>
  <c r="P258" i="40"/>
  <c r="O258" i="40"/>
  <c r="N258" i="40"/>
  <c r="M258" i="40"/>
  <c r="L258" i="40"/>
  <c r="P257" i="40"/>
  <c r="O257" i="40"/>
  <c r="N257" i="40"/>
  <c r="M257" i="40"/>
  <c r="L257" i="40"/>
  <c r="P256" i="40"/>
  <c r="O256" i="40"/>
  <c r="N256" i="40"/>
  <c r="M256" i="40"/>
  <c r="L256" i="40"/>
  <c r="P255" i="40"/>
  <c r="O255" i="40"/>
  <c r="N255" i="40"/>
  <c r="M255" i="40"/>
  <c r="L255" i="40"/>
  <c r="P254" i="40"/>
  <c r="O254" i="40"/>
  <c r="N254" i="40"/>
  <c r="M254" i="40"/>
  <c r="L254" i="40"/>
  <c r="P253" i="40"/>
  <c r="O253" i="40"/>
  <c r="N253" i="40"/>
  <c r="M253" i="40"/>
  <c r="L253" i="40"/>
  <c r="P252" i="40"/>
  <c r="O252" i="40"/>
  <c r="N252" i="40"/>
  <c r="M252" i="40"/>
  <c r="L252" i="40"/>
  <c r="P251" i="40"/>
  <c r="O251" i="40"/>
  <c r="N251" i="40"/>
  <c r="M251" i="40"/>
  <c r="L251" i="40"/>
  <c r="P250" i="40"/>
  <c r="O250" i="40"/>
  <c r="N250" i="40"/>
  <c r="M250" i="40"/>
  <c r="L250" i="40"/>
  <c r="P249" i="40"/>
  <c r="O249" i="40"/>
  <c r="N249" i="40"/>
  <c r="M249" i="40"/>
  <c r="L249" i="40"/>
  <c r="P248" i="40"/>
  <c r="O248" i="40"/>
  <c r="N248" i="40"/>
  <c r="M248" i="40"/>
  <c r="L248" i="40"/>
  <c r="P247" i="40"/>
  <c r="O247" i="40"/>
  <c r="N247" i="40"/>
  <c r="M247" i="40"/>
  <c r="L247" i="40"/>
  <c r="P246" i="40"/>
  <c r="O246" i="40"/>
  <c r="N246" i="40"/>
  <c r="M246" i="40"/>
  <c r="L246" i="40"/>
  <c r="P245" i="40"/>
  <c r="O245" i="40"/>
  <c r="N245" i="40"/>
  <c r="M245" i="40"/>
  <c r="L245" i="40"/>
  <c r="P244" i="40"/>
  <c r="O244" i="40"/>
  <c r="N244" i="40"/>
  <c r="M244" i="40"/>
  <c r="L244" i="40"/>
  <c r="P243" i="40"/>
  <c r="O243" i="40"/>
  <c r="N243" i="40"/>
  <c r="M243" i="40"/>
  <c r="L243" i="40"/>
  <c r="P242" i="40"/>
  <c r="O242" i="40"/>
  <c r="N242" i="40"/>
  <c r="M242" i="40"/>
  <c r="L242" i="40"/>
  <c r="P241" i="40"/>
  <c r="O241" i="40"/>
  <c r="N241" i="40"/>
  <c r="M241" i="40"/>
  <c r="L241" i="40"/>
  <c r="P240" i="40"/>
  <c r="O240" i="40"/>
  <c r="N240" i="40"/>
  <c r="M240" i="40"/>
  <c r="L240" i="40"/>
  <c r="P239" i="40"/>
  <c r="O239" i="40"/>
  <c r="N239" i="40"/>
  <c r="M239" i="40"/>
  <c r="L239" i="40"/>
  <c r="P238" i="40"/>
  <c r="O238" i="40"/>
  <c r="N238" i="40"/>
  <c r="M238" i="40"/>
  <c r="L238" i="40"/>
  <c r="P237" i="40"/>
  <c r="O237" i="40"/>
  <c r="N237" i="40"/>
  <c r="M237" i="40"/>
  <c r="L237" i="40"/>
  <c r="P236" i="40"/>
  <c r="O236" i="40"/>
  <c r="N236" i="40"/>
  <c r="M236" i="40"/>
  <c r="L236" i="40"/>
  <c r="P235" i="40"/>
  <c r="O235" i="40"/>
  <c r="N235" i="40"/>
  <c r="M235" i="40"/>
  <c r="L235" i="40"/>
  <c r="P234" i="40"/>
  <c r="O234" i="40"/>
  <c r="N234" i="40"/>
  <c r="M234" i="40"/>
  <c r="L234" i="40"/>
  <c r="P233" i="40"/>
  <c r="O233" i="40"/>
  <c r="N233" i="40"/>
  <c r="M233" i="40"/>
  <c r="L233" i="40"/>
  <c r="P232" i="40"/>
  <c r="O232" i="40"/>
  <c r="N232" i="40"/>
  <c r="M232" i="40"/>
  <c r="L232" i="40"/>
  <c r="P231" i="40"/>
  <c r="O231" i="40"/>
  <c r="N231" i="40"/>
  <c r="M231" i="40"/>
  <c r="L231" i="40"/>
  <c r="P230" i="40"/>
  <c r="O230" i="40"/>
  <c r="N230" i="40"/>
  <c r="M230" i="40"/>
  <c r="L230" i="40"/>
  <c r="P229" i="40"/>
  <c r="O229" i="40"/>
  <c r="N229" i="40"/>
  <c r="M229" i="40"/>
  <c r="L229" i="40"/>
  <c r="P228" i="40"/>
  <c r="O228" i="40"/>
  <c r="N228" i="40"/>
  <c r="M228" i="40"/>
  <c r="L228" i="40"/>
  <c r="P227" i="40"/>
  <c r="O227" i="40"/>
  <c r="N227" i="40"/>
  <c r="M227" i="40"/>
  <c r="L227" i="40"/>
  <c r="P226" i="40"/>
  <c r="O226" i="40"/>
  <c r="N226" i="40"/>
  <c r="M226" i="40"/>
  <c r="L226" i="40"/>
  <c r="P225" i="40"/>
  <c r="O225" i="40"/>
  <c r="N225" i="40"/>
  <c r="M225" i="40"/>
  <c r="L225" i="40"/>
  <c r="P224" i="40"/>
  <c r="O224" i="40"/>
  <c r="N224" i="40"/>
  <c r="M224" i="40"/>
  <c r="L224" i="40"/>
  <c r="P223" i="40"/>
  <c r="O223" i="40"/>
  <c r="N223" i="40"/>
  <c r="M223" i="40"/>
  <c r="L223" i="40"/>
  <c r="P222" i="40"/>
  <c r="O222" i="40"/>
  <c r="N222" i="40"/>
  <c r="M222" i="40"/>
  <c r="L222" i="40"/>
  <c r="P221" i="40"/>
  <c r="O221" i="40"/>
  <c r="N221" i="40"/>
  <c r="M221" i="40"/>
  <c r="L221" i="40"/>
  <c r="P220" i="40"/>
  <c r="O220" i="40"/>
  <c r="N220" i="40"/>
  <c r="M220" i="40"/>
  <c r="L220" i="40"/>
  <c r="P219" i="40"/>
  <c r="O219" i="40"/>
  <c r="N219" i="40"/>
  <c r="M219" i="40"/>
  <c r="L219" i="40"/>
  <c r="P218" i="40"/>
  <c r="O218" i="40"/>
  <c r="N218" i="40"/>
  <c r="M218" i="40"/>
  <c r="L218" i="40"/>
  <c r="P217" i="40"/>
  <c r="O217" i="40"/>
  <c r="N217" i="40"/>
  <c r="M217" i="40"/>
  <c r="L217" i="40"/>
  <c r="P216" i="40"/>
  <c r="O216" i="40"/>
  <c r="N216" i="40"/>
  <c r="M216" i="40"/>
  <c r="L216" i="40"/>
  <c r="P215" i="40"/>
  <c r="O215" i="40"/>
  <c r="N215" i="40"/>
  <c r="M215" i="40"/>
  <c r="L215" i="40"/>
  <c r="P214" i="40"/>
  <c r="O214" i="40"/>
  <c r="N214" i="40"/>
  <c r="M214" i="40"/>
  <c r="L214" i="40"/>
  <c r="P213" i="40"/>
  <c r="O213" i="40"/>
  <c r="N213" i="40"/>
  <c r="M213" i="40"/>
  <c r="L213" i="40"/>
  <c r="P212" i="40"/>
  <c r="O212" i="40"/>
  <c r="N212" i="40"/>
  <c r="M212" i="40"/>
  <c r="L212" i="40"/>
  <c r="P211" i="40"/>
  <c r="O211" i="40"/>
  <c r="N211" i="40"/>
  <c r="M211" i="40"/>
  <c r="L211" i="40"/>
  <c r="P210" i="40"/>
  <c r="O210" i="40"/>
  <c r="N210" i="40"/>
  <c r="M210" i="40"/>
  <c r="L210" i="40"/>
  <c r="P209" i="40"/>
  <c r="O209" i="40"/>
  <c r="N209" i="40"/>
  <c r="M209" i="40"/>
  <c r="L209" i="40"/>
  <c r="P208" i="40"/>
  <c r="O208" i="40"/>
  <c r="N208" i="40"/>
  <c r="M208" i="40"/>
  <c r="L208" i="40"/>
  <c r="P207" i="40"/>
  <c r="O207" i="40"/>
  <c r="N207" i="40"/>
  <c r="M207" i="40"/>
  <c r="L207" i="40"/>
  <c r="P206" i="40"/>
  <c r="O206" i="40"/>
  <c r="N206" i="40"/>
  <c r="M206" i="40"/>
  <c r="L206" i="40"/>
  <c r="P205" i="40"/>
  <c r="O205" i="40"/>
  <c r="N205" i="40"/>
  <c r="M205" i="40"/>
  <c r="L205" i="40"/>
  <c r="P204" i="40"/>
  <c r="O204" i="40"/>
  <c r="N204" i="40"/>
  <c r="M204" i="40"/>
  <c r="L204" i="40"/>
  <c r="P203" i="40"/>
  <c r="O203" i="40"/>
  <c r="N203" i="40"/>
  <c r="M203" i="40"/>
  <c r="L203" i="40"/>
  <c r="P202" i="40"/>
  <c r="O202" i="40"/>
  <c r="N202" i="40"/>
  <c r="M202" i="40"/>
  <c r="L202" i="40"/>
  <c r="P201" i="40"/>
  <c r="O201" i="40"/>
  <c r="N201" i="40"/>
  <c r="M201" i="40"/>
  <c r="L201" i="40"/>
  <c r="P200" i="40"/>
  <c r="O200" i="40"/>
  <c r="N200" i="40"/>
  <c r="M200" i="40"/>
  <c r="L200" i="40"/>
  <c r="P199" i="40"/>
  <c r="O199" i="40"/>
  <c r="N199" i="40"/>
  <c r="M199" i="40"/>
  <c r="L199" i="40"/>
  <c r="P198" i="40"/>
  <c r="O198" i="40"/>
  <c r="N198" i="40"/>
  <c r="M198" i="40"/>
  <c r="L198" i="40"/>
  <c r="P197" i="40"/>
  <c r="O197" i="40"/>
  <c r="N197" i="40"/>
  <c r="M197" i="40"/>
  <c r="L197" i="40"/>
  <c r="P196" i="40"/>
  <c r="O196" i="40"/>
  <c r="N196" i="40"/>
  <c r="M196" i="40"/>
  <c r="L196" i="40"/>
  <c r="P195" i="40"/>
  <c r="O195" i="40"/>
  <c r="N195" i="40"/>
  <c r="M195" i="40"/>
  <c r="L195" i="40"/>
  <c r="P194" i="40"/>
  <c r="O194" i="40"/>
  <c r="N194" i="40"/>
  <c r="M194" i="40"/>
  <c r="L194" i="40"/>
  <c r="P193" i="40"/>
  <c r="O193" i="40"/>
  <c r="N193" i="40"/>
  <c r="M193" i="40"/>
  <c r="L193" i="40"/>
  <c r="P192" i="40"/>
  <c r="O192" i="40"/>
  <c r="N192" i="40"/>
  <c r="M192" i="40"/>
  <c r="L192" i="40"/>
  <c r="P191" i="40"/>
  <c r="O191" i="40"/>
  <c r="N191" i="40"/>
  <c r="M191" i="40"/>
  <c r="L191" i="40"/>
  <c r="P190" i="40"/>
  <c r="O190" i="40"/>
  <c r="N190" i="40"/>
  <c r="M190" i="40"/>
  <c r="L190" i="40"/>
  <c r="P189" i="40"/>
  <c r="O189" i="40"/>
  <c r="N189" i="40"/>
  <c r="M189" i="40"/>
  <c r="L189" i="40"/>
  <c r="P188" i="40"/>
  <c r="O188" i="40"/>
  <c r="N188" i="40"/>
  <c r="M188" i="40"/>
  <c r="L188" i="40"/>
  <c r="P187" i="40"/>
  <c r="O187" i="40"/>
  <c r="N187" i="40"/>
  <c r="M187" i="40"/>
  <c r="L187" i="40"/>
  <c r="P186" i="40"/>
  <c r="O186" i="40"/>
  <c r="N186" i="40"/>
  <c r="M186" i="40"/>
  <c r="L186" i="40"/>
  <c r="P185" i="40"/>
  <c r="O185" i="40"/>
  <c r="N185" i="40"/>
  <c r="M185" i="40"/>
  <c r="L185" i="40"/>
  <c r="P184" i="40"/>
  <c r="O184" i="40"/>
  <c r="N184" i="40"/>
  <c r="M184" i="40"/>
  <c r="L184" i="40"/>
  <c r="P183" i="40"/>
  <c r="O183" i="40"/>
  <c r="N183" i="40"/>
  <c r="M183" i="40"/>
  <c r="L183" i="40"/>
  <c r="P182" i="40"/>
  <c r="O182" i="40"/>
  <c r="N182" i="40"/>
  <c r="M182" i="40"/>
  <c r="L182" i="40"/>
  <c r="P181" i="40"/>
  <c r="O181" i="40"/>
  <c r="N181" i="40"/>
  <c r="M181" i="40"/>
  <c r="L181" i="40"/>
  <c r="P180" i="40"/>
  <c r="O180" i="40"/>
  <c r="N180" i="40"/>
  <c r="M180" i="40"/>
  <c r="L180" i="40"/>
  <c r="P179" i="40"/>
  <c r="O179" i="40"/>
  <c r="N179" i="40"/>
  <c r="M179" i="40"/>
  <c r="L179" i="40"/>
  <c r="P178" i="40"/>
  <c r="O178" i="40"/>
  <c r="N178" i="40"/>
  <c r="M178" i="40"/>
  <c r="L178" i="40"/>
  <c r="P177" i="40"/>
  <c r="O177" i="40"/>
  <c r="N177" i="40"/>
  <c r="M177" i="40"/>
  <c r="L177" i="40"/>
  <c r="P176" i="40"/>
  <c r="O176" i="40"/>
  <c r="N176" i="40"/>
  <c r="M176" i="40"/>
  <c r="L176" i="40"/>
  <c r="P175" i="40"/>
  <c r="O175" i="40"/>
  <c r="N175" i="40"/>
  <c r="M175" i="40"/>
  <c r="L175" i="40"/>
  <c r="P174" i="40"/>
  <c r="O174" i="40"/>
  <c r="N174" i="40"/>
  <c r="M174" i="40"/>
  <c r="L174" i="40"/>
  <c r="P173" i="40"/>
  <c r="O173" i="40"/>
  <c r="N173" i="40"/>
  <c r="M173" i="40"/>
  <c r="L173" i="40"/>
  <c r="P172" i="40"/>
  <c r="O172" i="40"/>
  <c r="N172" i="40"/>
  <c r="M172" i="40"/>
  <c r="L172" i="40"/>
  <c r="P171" i="40"/>
  <c r="O171" i="40"/>
  <c r="N171" i="40"/>
  <c r="M171" i="40"/>
  <c r="L171" i="40"/>
  <c r="P170" i="40"/>
  <c r="O170" i="40"/>
  <c r="N170" i="40"/>
  <c r="M170" i="40"/>
  <c r="L170" i="40"/>
  <c r="P169" i="40"/>
  <c r="O169" i="40"/>
  <c r="N169" i="40"/>
  <c r="M169" i="40"/>
  <c r="L169" i="40"/>
  <c r="P168" i="40"/>
  <c r="O168" i="40"/>
  <c r="N168" i="40"/>
  <c r="M168" i="40"/>
  <c r="L168" i="40"/>
  <c r="P167" i="40"/>
  <c r="O167" i="40"/>
  <c r="N167" i="40"/>
  <c r="M167" i="40"/>
  <c r="L167" i="40"/>
  <c r="P166" i="40"/>
  <c r="O166" i="40"/>
  <c r="N166" i="40"/>
  <c r="M166" i="40"/>
  <c r="L166" i="40"/>
  <c r="P165" i="40"/>
  <c r="O165" i="40"/>
  <c r="N165" i="40"/>
  <c r="M165" i="40"/>
  <c r="L165" i="40"/>
  <c r="P164" i="40"/>
  <c r="O164" i="40"/>
  <c r="N164" i="40"/>
  <c r="M164" i="40"/>
  <c r="L164" i="40"/>
  <c r="P163" i="40"/>
  <c r="O163" i="40"/>
  <c r="N163" i="40"/>
  <c r="M163" i="40"/>
  <c r="L163" i="40"/>
  <c r="P162" i="40"/>
  <c r="O162" i="40"/>
  <c r="N162" i="40"/>
  <c r="M162" i="40"/>
  <c r="L162" i="40"/>
  <c r="P161" i="40"/>
  <c r="O161" i="40"/>
  <c r="N161" i="40"/>
  <c r="M161" i="40"/>
  <c r="L161" i="40"/>
  <c r="P160" i="40"/>
  <c r="O160" i="40"/>
  <c r="N160" i="40"/>
  <c r="M160" i="40"/>
  <c r="L160" i="40"/>
  <c r="P159" i="40"/>
  <c r="O159" i="40"/>
  <c r="N159" i="40"/>
  <c r="M159" i="40"/>
  <c r="L159" i="40"/>
  <c r="P158" i="40"/>
  <c r="O158" i="40"/>
  <c r="N158" i="40"/>
  <c r="M158" i="40"/>
  <c r="L158" i="40"/>
  <c r="P157" i="40"/>
  <c r="O157" i="40"/>
  <c r="N157" i="40"/>
  <c r="M157" i="40"/>
  <c r="L157" i="40"/>
  <c r="P156" i="40"/>
  <c r="O156" i="40"/>
  <c r="N156" i="40"/>
  <c r="M156" i="40"/>
  <c r="L156" i="40"/>
  <c r="P155" i="40"/>
  <c r="O155" i="40"/>
  <c r="N155" i="40"/>
  <c r="M155" i="40"/>
  <c r="L155" i="40"/>
  <c r="P154" i="40"/>
  <c r="O154" i="40"/>
  <c r="N154" i="40"/>
  <c r="M154" i="40"/>
  <c r="L154" i="40"/>
  <c r="P153" i="40"/>
  <c r="O153" i="40"/>
  <c r="N153" i="40"/>
  <c r="M153" i="40"/>
  <c r="L153" i="40"/>
  <c r="P152" i="40"/>
  <c r="O152" i="40"/>
  <c r="N152" i="40"/>
  <c r="M152" i="40"/>
  <c r="L152" i="40"/>
  <c r="P151" i="40"/>
  <c r="O151" i="40"/>
  <c r="N151" i="40"/>
  <c r="M151" i="40"/>
  <c r="L151" i="40"/>
  <c r="P150" i="40"/>
  <c r="O150" i="40"/>
  <c r="N150" i="40"/>
  <c r="M150" i="40"/>
  <c r="L150" i="40"/>
  <c r="P149" i="40"/>
  <c r="O149" i="40"/>
  <c r="N149" i="40"/>
  <c r="M149" i="40"/>
  <c r="L149" i="40"/>
  <c r="P148" i="40"/>
  <c r="O148" i="40"/>
  <c r="N148" i="40"/>
  <c r="M148" i="40"/>
  <c r="L148" i="40"/>
  <c r="P147" i="40"/>
  <c r="O147" i="40"/>
  <c r="N147" i="40"/>
  <c r="M147" i="40"/>
  <c r="L147" i="40"/>
  <c r="P146" i="40"/>
  <c r="O146" i="40"/>
  <c r="N146" i="40"/>
  <c r="M146" i="40"/>
  <c r="L146" i="40"/>
  <c r="P145" i="40"/>
  <c r="O145" i="40"/>
  <c r="N145" i="40"/>
  <c r="M145" i="40"/>
  <c r="L145" i="40"/>
  <c r="P144" i="40"/>
  <c r="O144" i="40"/>
  <c r="N144" i="40"/>
  <c r="M144" i="40"/>
  <c r="L144" i="40"/>
  <c r="P143" i="40"/>
  <c r="O143" i="40"/>
  <c r="N143" i="40"/>
  <c r="M143" i="40"/>
  <c r="L143" i="40"/>
  <c r="P142" i="40"/>
  <c r="O142" i="40"/>
  <c r="N142" i="40"/>
  <c r="M142" i="40"/>
  <c r="L142" i="40"/>
  <c r="P141" i="40"/>
  <c r="O141" i="40"/>
  <c r="N141" i="40"/>
  <c r="M141" i="40"/>
  <c r="L141" i="40"/>
  <c r="P140" i="40"/>
  <c r="O140" i="40"/>
  <c r="N140" i="40"/>
  <c r="M140" i="40"/>
  <c r="L140" i="40"/>
  <c r="P139" i="40"/>
  <c r="O139" i="40"/>
  <c r="N139" i="40"/>
  <c r="M139" i="40"/>
  <c r="L139" i="40"/>
  <c r="P138" i="40"/>
  <c r="O138" i="40"/>
  <c r="N138" i="40"/>
  <c r="M138" i="40"/>
  <c r="L138" i="40"/>
  <c r="P137" i="40"/>
  <c r="O137" i="40"/>
  <c r="N137" i="40"/>
  <c r="M137" i="40"/>
  <c r="L137" i="40"/>
  <c r="P136" i="40"/>
  <c r="O136" i="40"/>
  <c r="N136" i="40"/>
  <c r="M136" i="40"/>
  <c r="L136" i="40"/>
  <c r="P135" i="40"/>
  <c r="O135" i="40"/>
  <c r="N135" i="40"/>
  <c r="M135" i="40"/>
  <c r="L135" i="40"/>
  <c r="P134" i="40"/>
  <c r="O134" i="40"/>
  <c r="N134" i="40"/>
  <c r="M134" i="40"/>
  <c r="L134" i="40"/>
  <c r="P133" i="40"/>
  <c r="O133" i="40"/>
  <c r="N133" i="40"/>
  <c r="M133" i="40"/>
  <c r="L133" i="40"/>
  <c r="P132" i="40"/>
  <c r="O132" i="40"/>
  <c r="N132" i="40"/>
  <c r="M132" i="40"/>
  <c r="L132" i="40"/>
  <c r="P131" i="40"/>
  <c r="O131" i="40"/>
  <c r="N131" i="40"/>
  <c r="M131" i="40"/>
  <c r="L131" i="40"/>
  <c r="P130" i="40"/>
  <c r="O130" i="40"/>
  <c r="N130" i="40"/>
  <c r="M130" i="40"/>
  <c r="L130" i="40"/>
  <c r="P129" i="40"/>
  <c r="O129" i="40"/>
  <c r="N129" i="40"/>
  <c r="M129" i="40"/>
  <c r="L129" i="40"/>
  <c r="P128" i="40"/>
  <c r="O128" i="40"/>
  <c r="N128" i="40"/>
  <c r="M128" i="40"/>
  <c r="L128" i="40"/>
  <c r="P127" i="40"/>
  <c r="O127" i="40"/>
  <c r="N127" i="40"/>
  <c r="M127" i="40"/>
  <c r="L127" i="40"/>
  <c r="P126" i="40"/>
  <c r="O126" i="40"/>
  <c r="N126" i="40"/>
  <c r="M126" i="40"/>
  <c r="L126" i="40"/>
  <c r="P125" i="40"/>
  <c r="O125" i="40"/>
  <c r="N125" i="40"/>
  <c r="M125" i="40"/>
  <c r="L125" i="40"/>
  <c r="P124" i="40"/>
  <c r="O124" i="40"/>
  <c r="N124" i="40"/>
  <c r="M124" i="40"/>
  <c r="L124" i="40"/>
  <c r="P123" i="40"/>
  <c r="O123" i="40"/>
  <c r="N123" i="40"/>
  <c r="M123" i="40"/>
  <c r="L123" i="40"/>
  <c r="P122" i="40"/>
  <c r="O122" i="40"/>
  <c r="N122" i="40"/>
  <c r="M122" i="40"/>
  <c r="L122" i="40"/>
  <c r="P121" i="40"/>
  <c r="O121" i="40"/>
  <c r="N121" i="40"/>
  <c r="M121" i="40"/>
  <c r="L121" i="40"/>
  <c r="P120" i="40"/>
  <c r="O120" i="40"/>
  <c r="N120" i="40"/>
  <c r="M120" i="40"/>
  <c r="L120" i="40"/>
  <c r="P119" i="40"/>
  <c r="O119" i="40"/>
  <c r="N119" i="40"/>
  <c r="M119" i="40"/>
  <c r="L119" i="40"/>
  <c r="P118" i="40"/>
  <c r="O118" i="40"/>
  <c r="N118" i="40"/>
  <c r="M118" i="40"/>
  <c r="L118" i="40"/>
  <c r="P117" i="40"/>
  <c r="O117" i="40"/>
  <c r="N117" i="40"/>
  <c r="M117" i="40"/>
  <c r="L117" i="40"/>
  <c r="P116" i="40"/>
  <c r="O116" i="40"/>
  <c r="N116" i="40"/>
  <c r="M116" i="40"/>
  <c r="L116" i="40"/>
  <c r="P115" i="40"/>
  <c r="O115" i="40"/>
  <c r="N115" i="40"/>
  <c r="M115" i="40"/>
  <c r="L115" i="40"/>
  <c r="P114" i="40"/>
  <c r="O114" i="40"/>
  <c r="N114" i="40"/>
  <c r="M114" i="40"/>
  <c r="L114" i="40"/>
  <c r="P113" i="40"/>
  <c r="O113" i="40"/>
  <c r="N113" i="40"/>
  <c r="M113" i="40"/>
  <c r="L113" i="40"/>
  <c r="P112" i="40"/>
  <c r="O112" i="40"/>
  <c r="N112" i="40"/>
  <c r="M112" i="40"/>
  <c r="L112" i="40"/>
  <c r="P111" i="40"/>
  <c r="O111" i="40"/>
  <c r="N111" i="40"/>
  <c r="M111" i="40"/>
  <c r="L111" i="40"/>
  <c r="P110" i="40"/>
  <c r="O110" i="40"/>
  <c r="N110" i="40"/>
  <c r="M110" i="40"/>
  <c r="L110" i="40"/>
  <c r="P109" i="40"/>
  <c r="O109" i="40"/>
  <c r="N109" i="40"/>
  <c r="M109" i="40"/>
  <c r="L109" i="40"/>
  <c r="P108" i="40"/>
  <c r="O108" i="40"/>
  <c r="N108" i="40"/>
  <c r="M108" i="40"/>
  <c r="L108" i="40"/>
  <c r="P107" i="40"/>
  <c r="O107" i="40"/>
  <c r="N107" i="40"/>
  <c r="M107" i="40"/>
  <c r="L107" i="40"/>
  <c r="P106" i="40"/>
  <c r="O106" i="40"/>
  <c r="N106" i="40"/>
  <c r="M106" i="40"/>
  <c r="L106" i="40"/>
  <c r="P105" i="40"/>
  <c r="O105" i="40"/>
  <c r="N105" i="40"/>
  <c r="M105" i="40"/>
  <c r="L105" i="40"/>
  <c r="P104" i="40"/>
  <c r="O104" i="40"/>
  <c r="N104" i="40"/>
  <c r="M104" i="40"/>
  <c r="L104" i="40"/>
  <c r="P103" i="40"/>
  <c r="O103" i="40"/>
  <c r="N103" i="40"/>
  <c r="M103" i="40"/>
  <c r="L103" i="40"/>
  <c r="P102" i="40"/>
  <c r="O102" i="40"/>
  <c r="N102" i="40"/>
  <c r="M102" i="40"/>
  <c r="L102" i="40"/>
  <c r="P101" i="40"/>
  <c r="O101" i="40"/>
  <c r="N101" i="40"/>
  <c r="M101" i="40"/>
  <c r="L101" i="40"/>
  <c r="P100" i="40"/>
  <c r="O100" i="40"/>
  <c r="N100" i="40"/>
  <c r="M100" i="40"/>
  <c r="L100" i="40"/>
  <c r="P99" i="40"/>
  <c r="O99" i="40"/>
  <c r="N99" i="40"/>
  <c r="M99" i="40"/>
  <c r="L99" i="40"/>
  <c r="P98" i="40"/>
  <c r="O98" i="40"/>
  <c r="N98" i="40"/>
  <c r="M98" i="40"/>
  <c r="L98" i="40"/>
  <c r="P97" i="40"/>
  <c r="O97" i="40"/>
  <c r="N97" i="40"/>
  <c r="M97" i="40"/>
  <c r="L97" i="40"/>
  <c r="P96" i="40"/>
  <c r="O96" i="40"/>
  <c r="N96" i="40"/>
  <c r="M96" i="40"/>
  <c r="L96" i="40"/>
  <c r="P95" i="40"/>
  <c r="O95" i="40"/>
  <c r="N95" i="40"/>
  <c r="M95" i="40"/>
  <c r="L95" i="40"/>
  <c r="P94" i="40"/>
  <c r="O94" i="40"/>
  <c r="N94" i="40"/>
  <c r="M94" i="40"/>
  <c r="L94" i="40"/>
  <c r="P93" i="40"/>
  <c r="O93" i="40"/>
  <c r="N93" i="40"/>
  <c r="M93" i="40"/>
  <c r="L93" i="40"/>
  <c r="P92" i="40"/>
  <c r="O92" i="40"/>
  <c r="N92" i="40"/>
  <c r="M92" i="40"/>
  <c r="L92" i="40"/>
  <c r="P91" i="40"/>
  <c r="O91" i="40"/>
  <c r="N91" i="40"/>
  <c r="M91" i="40"/>
  <c r="L91" i="40"/>
  <c r="P90" i="40"/>
  <c r="O90" i="40"/>
  <c r="N90" i="40"/>
  <c r="M90" i="40"/>
  <c r="L90" i="40"/>
  <c r="P89" i="40"/>
  <c r="O89" i="40"/>
  <c r="N89" i="40"/>
  <c r="M89" i="40"/>
  <c r="L89" i="40"/>
  <c r="P88" i="40"/>
  <c r="O88" i="40"/>
  <c r="N88" i="40"/>
  <c r="M88" i="40"/>
  <c r="L88" i="40"/>
  <c r="P87" i="40"/>
  <c r="O87" i="40"/>
  <c r="N87" i="40"/>
  <c r="M87" i="40"/>
  <c r="L87" i="40"/>
  <c r="P86" i="40"/>
  <c r="O86" i="40"/>
  <c r="N86" i="40"/>
  <c r="M86" i="40"/>
  <c r="L86" i="40"/>
  <c r="P85" i="40"/>
  <c r="O85" i="40"/>
  <c r="N85" i="40"/>
  <c r="M85" i="40"/>
  <c r="L85" i="40"/>
  <c r="P84" i="40"/>
  <c r="O84" i="40"/>
  <c r="N84" i="40"/>
  <c r="M84" i="40"/>
  <c r="L84" i="40"/>
  <c r="P83" i="40"/>
  <c r="O83" i="40"/>
  <c r="N83" i="40"/>
  <c r="M83" i="40"/>
  <c r="L83" i="40"/>
  <c r="P82" i="40"/>
  <c r="O82" i="40"/>
  <c r="N82" i="40"/>
  <c r="M82" i="40"/>
  <c r="L82" i="40"/>
  <c r="P81" i="40"/>
  <c r="O81" i="40"/>
  <c r="N81" i="40"/>
  <c r="M81" i="40"/>
  <c r="L81" i="40"/>
  <c r="P80" i="40"/>
  <c r="O80" i="40"/>
  <c r="N80" i="40"/>
  <c r="M80" i="40"/>
  <c r="L80" i="40"/>
  <c r="P79" i="40"/>
  <c r="O79" i="40"/>
  <c r="N79" i="40"/>
  <c r="M79" i="40"/>
  <c r="L79" i="40"/>
  <c r="P78" i="40"/>
  <c r="O78" i="40"/>
  <c r="N78" i="40"/>
  <c r="M78" i="40"/>
  <c r="L78" i="40"/>
  <c r="P77" i="40"/>
  <c r="O77" i="40"/>
  <c r="N77" i="40"/>
  <c r="M77" i="40"/>
  <c r="L77" i="40"/>
  <c r="P76" i="40"/>
  <c r="O76" i="40"/>
  <c r="N76" i="40"/>
  <c r="M76" i="40"/>
  <c r="L76" i="40"/>
  <c r="P75" i="40"/>
  <c r="O75" i="40"/>
  <c r="N75" i="40"/>
  <c r="M75" i="40"/>
  <c r="L75" i="40"/>
  <c r="P74" i="40"/>
  <c r="O74" i="40"/>
  <c r="N74" i="40"/>
  <c r="M74" i="40"/>
  <c r="L74" i="40"/>
  <c r="P73" i="40"/>
  <c r="O73" i="40"/>
  <c r="N73" i="40"/>
  <c r="M73" i="40"/>
  <c r="L73" i="40"/>
  <c r="P72" i="40"/>
  <c r="O72" i="40"/>
  <c r="N72" i="40"/>
  <c r="M72" i="40"/>
  <c r="L72" i="40"/>
  <c r="P71" i="40"/>
  <c r="O71" i="40"/>
  <c r="N71" i="40"/>
  <c r="M71" i="40"/>
  <c r="L71" i="40"/>
  <c r="P70" i="40"/>
  <c r="O70" i="40"/>
  <c r="N70" i="40"/>
  <c r="M70" i="40"/>
  <c r="L70" i="40"/>
  <c r="P69" i="40"/>
  <c r="O69" i="40"/>
  <c r="N69" i="40"/>
  <c r="M69" i="40"/>
  <c r="L69" i="40"/>
  <c r="P68" i="40"/>
  <c r="O68" i="40"/>
  <c r="N68" i="40"/>
  <c r="M68" i="40"/>
  <c r="L68" i="40"/>
  <c r="P67" i="40"/>
  <c r="O67" i="40"/>
  <c r="N67" i="40"/>
  <c r="M67" i="40"/>
  <c r="L67" i="40"/>
  <c r="P66" i="40"/>
  <c r="O66" i="40"/>
  <c r="N66" i="40"/>
  <c r="M66" i="40"/>
  <c r="L66" i="40"/>
  <c r="P65" i="40"/>
  <c r="O65" i="40"/>
  <c r="N65" i="40"/>
  <c r="M65" i="40"/>
  <c r="L65" i="40"/>
  <c r="P64" i="40"/>
  <c r="O64" i="40"/>
  <c r="N64" i="40"/>
  <c r="M64" i="40"/>
  <c r="L64" i="40"/>
  <c r="P63" i="40"/>
  <c r="O63" i="40"/>
  <c r="N63" i="40"/>
  <c r="M63" i="40"/>
  <c r="L63" i="40"/>
  <c r="P62" i="40"/>
  <c r="O62" i="40"/>
  <c r="N62" i="40"/>
  <c r="M62" i="40"/>
  <c r="L62" i="40"/>
  <c r="P61" i="40"/>
  <c r="O61" i="40"/>
  <c r="N61" i="40"/>
  <c r="M61" i="40"/>
  <c r="L61" i="40"/>
  <c r="P60" i="40"/>
  <c r="O60" i="40"/>
  <c r="N60" i="40"/>
  <c r="M60" i="40"/>
  <c r="L60" i="40"/>
  <c r="P59" i="40"/>
  <c r="O59" i="40"/>
  <c r="N59" i="40"/>
  <c r="M59" i="40"/>
  <c r="L59" i="40"/>
  <c r="P58" i="40"/>
  <c r="O58" i="40"/>
  <c r="N58" i="40"/>
  <c r="M58" i="40"/>
  <c r="L58" i="40"/>
  <c r="P57" i="40"/>
  <c r="O57" i="40"/>
  <c r="N57" i="40"/>
  <c r="M57" i="40"/>
  <c r="L57" i="40"/>
  <c r="P56" i="40"/>
  <c r="O56" i="40"/>
  <c r="N56" i="40"/>
  <c r="M56" i="40"/>
  <c r="L56" i="40"/>
  <c r="P55" i="40"/>
  <c r="O55" i="40"/>
  <c r="N55" i="40"/>
  <c r="M55" i="40"/>
  <c r="L55" i="40"/>
  <c r="P54" i="40"/>
  <c r="O54" i="40"/>
  <c r="N54" i="40"/>
  <c r="M54" i="40"/>
  <c r="L54" i="40"/>
  <c r="P53" i="40"/>
  <c r="O53" i="40"/>
  <c r="N53" i="40"/>
  <c r="M53" i="40"/>
  <c r="L53" i="40"/>
  <c r="P52" i="40"/>
  <c r="O52" i="40"/>
  <c r="N52" i="40"/>
  <c r="M52" i="40"/>
  <c r="L52" i="40"/>
  <c r="P51" i="40"/>
  <c r="O51" i="40"/>
  <c r="N51" i="40"/>
  <c r="M51" i="40"/>
  <c r="L51" i="40"/>
  <c r="P50" i="40"/>
  <c r="O50" i="40"/>
  <c r="N50" i="40"/>
  <c r="M50" i="40"/>
  <c r="L50" i="40"/>
  <c r="P49" i="40"/>
  <c r="O49" i="40"/>
  <c r="N49" i="40"/>
  <c r="M49" i="40"/>
  <c r="L49" i="40"/>
  <c r="P48" i="40"/>
  <c r="O48" i="40"/>
  <c r="N48" i="40"/>
  <c r="M48" i="40"/>
  <c r="L48" i="40"/>
  <c r="P47" i="40"/>
  <c r="O47" i="40"/>
  <c r="N47" i="40"/>
  <c r="M47" i="40"/>
  <c r="L47" i="40"/>
  <c r="P46" i="40"/>
  <c r="O46" i="40"/>
  <c r="N46" i="40"/>
  <c r="M46" i="40"/>
  <c r="L46" i="40"/>
  <c r="P45" i="40"/>
  <c r="O45" i="40"/>
  <c r="N45" i="40"/>
  <c r="M45" i="40"/>
  <c r="L45" i="40"/>
  <c r="P44" i="40"/>
  <c r="O44" i="40"/>
  <c r="N44" i="40"/>
  <c r="M44" i="40"/>
  <c r="L44" i="40"/>
  <c r="P43" i="40"/>
  <c r="O43" i="40"/>
  <c r="N43" i="40"/>
  <c r="M43" i="40"/>
  <c r="L43" i="40"/>
  <c r="P42" i="40"/>
  <c r="O42" i="40"/>
  <c r="N42" i="40"/>
  <c r="M42" i="40"/>
  <c r="L42" i="40"/>
  <c r="P41" i="40"/>
  <c r="O41" i="40"/>
  <c r="N41" i="40"/>
  <c r="M41" i="40"/>
  <c r="L41" i="40"/>
  <c r="P40" i="40"/>
  <c r="O40" i="40"/>
  <c r="N40" i="40"/>
  <c r="M40" i="40"/>
  <c r="L40" i="40"/>
  <c r="P39" i="40"/>
  <c r="O39" i="40"/>
  <c r="N39" i="40"/>
  <c r="M39" i="40"/>
  <c r="L39" i="40"/>
  <c r="P38" i="40"/>
  <c r="O38" i="40"/>
  <c r="N38" i="40"/>
  <c r="M38" i="40"/>
  <c r="L38" i="40"/>
  <c r="P37" i="40"/>
  <c r="O37" i="40"/>
  <c r="N37" i="40"/>
  <c r="M37" i="40"/>
  <c r="L37" i="40"/>
  <c r="P36" i="40"/>
  <c r="O36" i="40"/>
  <c r="N36" i="40"/>
  <c r="M36" i="40"/>
  <c r="L36" i="40"/>
  <c r="P35" i="40"/>
  <c r="O35" i="40"/>
  <c r="N35" i="40"/>
  <c r="M35" i="40"/>
  <c r="L35" i="40"/>
  <c r="P34" i="40"/>
  <c r="O34" i="40"/>
  <c r="N34" i="40"/>
  <c r="M34" i="40"/>
  <c r="L34" i="40"/>
  <c r="P33" i="40"/>
  <c r="O33" i="40"/>
  <c r="N33" i="40"/>
  <c r="M33" i="40"/>
  <c r="L33" i="40"/>
  <c r="P32" i="40"/>
  <c r="O32" i="40"/>
  <c r="N32" i="40"/>
  <c r="M32" i="40"/>
  <c r="L32" i="40"/>
  <c r="P31" i="40"/>
  <c r="O31" i="40"/>
  <c r="N31" i="40"/>
  <c r="M31" i="40"/>
  <c r="L31" i="40"/>
  <c r="P30" i="40"/>
  <c r="O30" i="40"/>
  <c r="N30" i="40"/>
  <c r="M30" i="40"/>
  <c r="L30" i="40"/>
  <c r="P29" i="40"/>
  <c r="O29" i="40"/>
  <c r="N29" i="40"/>
  <c r="M29" i="40"/>
  <c r="L29" i="40"/>
  <c r="P28" i="40"/>
  <c r="O28" i="40"/>
  <c r="N28" i="40"/>
  <c r="M28" i="40"/>
  <c r="L28" i="40"/>
  <c r="P27" i="40"/>
  <c r="O27" i="40"/>
  <c r="N27" i="40"/>
  <c r="M27" i="40"/>
  <c r="L27" i="40"/>
  <c r="P26" i="40"/>
  <c r="O26" i="40"/>
  <c r="N26" i="40"/>
  <c r="M26" i="40"/>
  <c r="L26" i="40"/>
  <c r="P25" i="40"/>
  <c r="O25" i="40"/>
  <c r="N25" i="40"/>
  <c r="M25" i="40"/>
  <c r="L25" i="40"/>
  <c r="P24" i="40"/>
  <c r="O24" i="40"/>
  <c r="N24" i="40"/>
  <c r="M24" i="40"/>
  <c r="L24" i="40"/>
  <c r="P23" i="40"/>
  <c r="O23" i="40"/>
  <c r="N23" i="40"/>
  <c r="M23" i="40"/>
  <c r="L23" i="40"/>
  <c r="P22" i="40"/>
  <c r="O22" i="40"/>
  <c r="N22" i="40"/>
  <c r="M22" i="40"/>
  <c r="L22" i="40"/>
  <c r="P21" i="40"/>
  <c r="O21" i="40"/>
  <c r="N21" i="40"/>
  <c r="M21" i="40"/>
  <c r="L21" i="40"/>
  <c r="P20" i="40"/>
  <c r="O20" i="40"/>
  <c r="N20" i="40"/>
  <c r="M20" i="40"/>
  <c r="L20" i="40"/>
  <c r="P19" i="40"/>
  <c r="O19" i="40"/>
  <c r="N19" i="40"/>
  <c r="M19" i="40"/>
  <c r="L19" i="40"/>
  <c r="P18" i="40"/>
  <c r="O18" i="40"/>
  <c r="N18" i="40"/>
  <c r="M18" i="40"/>
  <c r="L18" i="40"/>
  <c r="P17" i="40"/>
  <c r="O17" i="40"/>
  <c r="N17" i="40"/>
  <c r="M17" i="40"/>
  <c r="L17" i="40"/>
  <c r="P16" i="40"/>
  <c r="O16" i="40"/>
  <c r="N16" i="40"/>
  <c r="M16" i="40"/>
  <c r="L16" i="40"/>
  <c r="P15" i="40"/>
  <c r="O15" i="40"/>
  <c r="N15" i="40"/>
  <c r="M15" i="40"/>
  <c r="L15" i="40"/>
  <c r="P14" i="40"/>
  <c r="O14" i="40"/>
  <c r="N14" i="40"/>
  <c r="M14" i="40"/>
  <c r="L14" i="40"/>
  <c r="P13" i="40"/>
  <c r="O13" i="40"/>
  <c r="N13" i="40"/>
  <c r="M13" i="40"/>
  <c r="L13" i="40"/>
  <c r="P12" i="40"/>
  <c r="O12" i="40"/>
  <c r="N12" i="40"/>
  <c r="M12" i="40"/>
  <c r="L12" i="40"/>
  <c r="P11" i="40"/>
  <c r="O11" i="40"/>
  <c r="N11" i="40"/>
  <c r="M11" i="40"/>
  <c r="L11" i="40"/>
  <c r="P10" i="40"/>
  <c r="O10" i="40"/>
  <c r="N10" i="40"/>
  <c r="M10" i="40"/>
  <c r="L10" i="40"/>
  <c r="P9" i="40"/>
  <c r="O9" i="40"/>
  <c r="N9" i="40"/>
  <c r="M9" i="40"/>
  <c r="L9" i="40"/>
  <c r="P8" i="40"/>
  <c r="O8" i="40"/>
  <c r="N8" i="40"/>
  <c r="M8" i="40"/>
  <c r="L8" i="40"/>
  <c r="P7" i="40"/>
  <c r="O7" i="40"/>
  <c r="N7" i="40"/>
  <c r="M7" i="40"/>
  <c r="L7" i="40"/>
  <c r="P6" i="40"/>
  <c r="O6" i="40"/>
  <c r="N6" i="40"/>
  <c r="M6" i="40"/>
  <c r="L6" i="40"/>
  <c r="P5" i="40"/>
  <c r="O5" i="40"/>
  <c r="N5" i="40"/>
  <c r="M5" i="40"/>
  <c r="L5" i="40"/>
  <c r="P4" i="40"/>
  <c r="O4" i="40"/>
  <c r="N4" i="40"/>
  <c r="M4" i="40"/>
  <c r="L4" i="40"/>
  <c r="K213" i="39"/>
  <c r="I213" i="39"/>
  <c r="J213" i="39" s="1"/>
  <c r="D213" i="39"/>
  <c r="C213" i="39"/>
  <c r="A213" i="39"/>
  <c r="K212" i="39"/>
  <c r="I212" i="39"/>
  <c r="J212" i="39" s="1"/>
  <c r="D212" i="39"/>
  <c r="C212" i="39"/>
  <c r="A212" i="39"/>
  <c r="K211" i="39"/>
  <c r="J211" i="39"/>
  <c r="I211" i="39"/>
  <c r="D211" i="39"/>
  <c r="C211" i="39"/>
  <c r="A211" i="39"/>
  <c r="K210" i="39"/>
  <c r="I210" i="39"/>
  <c r="J210" i="39" s="1"/>
  <c r="D210" i="39"/>
  <c r="C210" i="39"/>
  <c r="A210" i="39"/>
  <c r="K209" i="39"/>
  <c r="J209" i="39"/>
  <c r="I209" i="39"/>
  <c r="D209" i="39"/>
  <c r="C209" i="39"/>
  <c r="A209" i="39"/>
  <c r="K208" i="39"/>
  <c r="I208" i="39"/>
  <c r="J208" i="39" s="1"/>
  <c r="D208" i="39"/>
  <c r="C208" i="39"/>
  <c r="A208" i="39"/>
  <c r="K207" i="39"/>
  <c r="J207" i="39"/>
  <c r="I207" i="39"/>
  <c r="D207" i="39"/>
  <c r="C207" i="39"/>
  <c r="A207" i="39"/>
  <c r="K206" i="39"/>
  <c r="I206" i="39"/>
  <c r="J206" i="39" s="1"/>
  <c r="D206" i="39"/>
  <c r="C206" i="39"/>
  <c r="A206" i="39"/>
  <c r="K205" i="39"/>
  <c r="I205" i="39"/>
  <c r="J205" i="39" s="1"/>
  <c r="D205" i="39"/>
  <c r="C205" i="39"/>
  <c r="A205" i="39"/>
  <c r="K204" i="39"/>
  <c r="I204" i="39"/>
  <c r="J204" i="39" s="1"/>
  <c r="D204" i="39"/>
  <c r="C204" i="39"/>
  <c r="A204" i="39"/>
  <c r="K203" i="39"/>
  <c r="I203" i="39"/>
  <c r="J203" i="39" s="1"/>
  <c r="D203" i="39"/>
  <c r="C203" i="39"/>
  <c r="A203" i="39"/>
  <c r="K202" i="39"/>
  <c r="I202" i="39"/>
  <c r="J202" i="39" s="1"/>
  <c r="D202" i="39"/>
  <c r="C202" i="39"/>
  <c r="A202" i="39"/>
  <c r="K201" i="39"/>
  <c r="I201" i="39"/>
  <c r="J201" i="39" s="1"/>
  <c r="D201" i="39"/>
  <c r="C201" i="39"/>
  <c r="A201" i="39"/>
  <c r="K200" i="39"/>
  <c r="I200" i="39"/>
  <c r="J200" i="39" s="1"/>
  <c r="D200" i="39"/>
  <c r="C200" i="39"/>
  <c r="A200" i="39"/>
  <c r="K199" i="39"/>
  <c r="J199" i="39"/>
  <c r="I199" i="39"/>
  <c r="D199" i="39"/>
  <c r="C199" i="39"/>
  <c r="A199" i="39"/>
  <c r="K198" i="39"/>
  <c r="I198" i="39"/>
  <c r="J198" i="39" s="1"/>
  <c r="D198" i="39"/>
  <c r="C198" i="39"/>
  <c r="A198" i="39"/>
  <c r="K197" i="39"/>
  <c r="I197" i="39"/>
  <c r="J197" i="39" s="1"/>
  <c r="D197" i="39"/>
  <c r="C197" i="39"/>
  <c r="A197" i="39"/>
  <c r="K196" i="39"/>
  <c r="I196" i="39"/>
  <c r="J196" i="39" s="1"/>
  <c r="D196" i="39"/>
  <c r="C196" i="39"/>
  <c r="A196" i="39"/>
  <c r="K195" i="39"/>
  <c r="J195" i="39"/>
  <c r="I195" i="39"/>
  <c r="D195" i="39"/>
  <c r="C195" i="39"/>
  <c r="A195" i="39"/>
  <c r="K194" i="39"/>
  <c r="I194" i="39"/>
  <c r="J194" i="39" s="1"/>
  <c r="D194" i="39"/>
  <c r="C194" i="39"/>
  <c r="A194" i="39"/>
  <c r="K193" i="39"/>
  <c r="J193" i="39"/>
  <c r="I193" i="39"/>
  <c r="D193" i="39"/>
  <c r="C193" i="39"/>
  <c r="A193" i="39"/>
  <c r="K192" i="39"/>
  <c r="I192" i="39"/>
  <c r="J192" i="39" s="1"/>
  <c r="D192" i="39"/>
  <c r="C192" i="39"/>
  <c r="A192" i="39"/>
  <c r="K191" i="39"/>
  <c r="J191" i="39"/>
  <c r="I191" i="39"/>
  <c r="D191" i="39"/>
  <c r="C191" i="39"/>
  <c r="A191" i="39"/>
  <c r="K190" i="39"/>
  <c r="I190" i="39"/>
  <c r="J190" i="39" s="1"/>
  <c r="D190" i="39"/>
  <c r="C190" i="39"/>
  <c r="A190" i="39"/>
  <c r="K189" i="39"/>
  <c r="I189" i="39"/>
  <c r="J189" i="39" s="1"/>
  <c r="D189" i="39"/>
  <c r="C189" i="39"/>
  <c r="A189" i="39"/>
  <c r="K188" i="39"/>
  <c r="I188" i="39"/>
  <c r="J188" i="39" s="1"/>
  <c r="D188" i="39"/>
  <c r="C188" i="39"/>
  <c r="A188" i="39"/>
  <c r="K187" i="39"/>
  <c r="I187" i="39"/>
  <c r="J187" i="39" s="1"/>
  <c r="D187" i="39"/>
  <c r="C187" i="39"/>
  <c r="A187" i="39"/>
  <c r="K186" i="39"/>
  <c r="I186" i="39"/>
  <c r="J186" i="39" s="1"/>
  <c r="D186" i="39"/>
  <c r="C186" i="39"/>
  <c r="A186" i="39"/>
  <c r="K185" i="39"/>
  <c r="I185" i="39"/>
  <c r="J185" i="39" s="1"/>
  <c r="D185" i="39"/>
  <c r="C185" i="39"/>
  <c r="A185" i="39"/>
  <c r="K184" i="39"/>
  <c r="I184" i="39"/>
  <c r="J184" i="39" s="1"/>
  <c r="D184" i="39"/>
  <c r="C184" i="39"/>
  <c r="A184" i="39"/>
  <c r="K183" i="39"/>
  <c r="J183" i="39"/>
  <c r="I183" i="39"/>
  <c r="D183" i="39"/>
  <c r="C183" i="39"/>
  <c r="A183" i="39"/>
  <c r="K182" i="39"/>
  <c r="I182" i="39"/>
  <c r="J182" i="39" s="1"/>
  <c r="D182" i="39"/>
  <c r="C182" i="39"/>
  <c r="A182" i="39"/>
  <c r="K181" i="39"/>
  <c r="I181" i="39"/>
  <c r="J181" i="39" s="1"/>
  <c r="D181" i="39"/>
  <c r="C181" i="39"/>
  <c r="A181" i="39"/>
  <c r="K180" i="39"/>
  <c r="I180" i="39"/>
  <c r="J180" i="39" s="1"/>
  <c r="D180" i="39"/>
  <c r="C180" i="39"/>
  <c r="A180" i="39"/>
  <c r="K179" i="39"/>
  <c r="J179" i="39"/>
  <c r="I179" i="39"/>
  <c r="D179" i="39"/>
  <c r="C179" i="39"/>
  <c r="A179" i="39"/>
  <c r="K178" i="39"/>
  <c r="I178" i="39"/>
  <c r="J178" i="39" s="1"/>
  <c r="D178" i="39"/>
  <c r="C178" i="39"/>
  <c r="A178" i="39"/>
  <c r="K177" i="39"/>
  <c r="J177" i="39"/>
  <c r="I177" i="39"/>
  <c r="D177" i="39"/>
  <c r="C177" i="39"/>
  <c r="A177" i="39"/>
  <c r="K176" i="39"/>
  <c r="I176" i="39"/>
  <c r="J176" i="39" s="1"/>
  <c r="D176" i="39"/>
  <c r="C176" i="39"/>
  <c r="A176" i="39"/>
  <c r="K175" i="39"/>
  <c r="J175" i="39"/>
  <c r="I175" i="39"/>
  <c r="D175" i="39"/>
  <c r="C175" i="39"/>
  <c r="A175" i="39"/>
  <c r="K174" i="39"/>
  <c r="I174" i="39"/>
  <c r="J174" i="39" s="1"/>
  <c r="D174" i="39"/>
  <c r="C174" i="39"/>
  <c r="A174" i="39"/>
  <c r="K173" i="39"/>
  <c r="I173" i="39"/>
  <c r="J173" i="39" s="1"/>
  <c r="D173" i="39"/>
  <c r="C173" i="39"/>
  <c r="A173" i="39"/>
  <c r="K172" i="39"/>
  <c r="I172" i="39"/>
  <c r="J172" i="39" s="1"/>
  <c r="D172" i="39"/>
  <c r="C172" i="39"/>
  <c r="A172" i="39"/>
  <c r="K171" i="39"/>
  <c r="I171" i="39"/>
  <c r="J171" i="39" s="1"/>
  <c r="D171" i="39"/>
  <c r="C171" i="39"/>
  <c r="A171" i="39"/>
  <c r="K170" i="39"/>
  <c r="I170" i="39"/>
  <c r="J170" i="39" s="1"/>
  <c r="D170" i="39"/>
  <c r="C170" i="39"/>
  <c r="A170" i="39"/>
  <c r="K169" i="39"/>
  <c r="I169" i="39"/>
  <c r="J169" i="39" s="1"/>
  <c r="D169" i="39"/>
  <c r="C169" i="39"/>
  <c r="A169" i="39"/>
  <c r="K168" i="39"/>
  <c r="I168" i="39"/>
  <c r="J168" i="39" s="1"/>
  <c r="D168" i="39"/>
  <c r="C168" i="39"/>
  <c r="A168" i="39"/>
  <c r="K167" i="39"/>
  <c r="J167" i="39"/>
  <c r="I167" i="39"/>
  <c r="D167" i="39"/>
  <c r="C167" i="39"/>
  <c r="A167" i="39"/>
  <c r="K166" i="39"/>
  <c r="I166" i="39"/>
  <c r="J166" i="39" s="1"/>
  <c r="D166" i="39"/>
  <c r="C166" i="39"/>
  <c r="A166" i="39"/>
  <c r="K165" i="39"/>
  <c r="I165" i="39"/>
  <c r="J165" i="39" s="1"/>
  <c r="D165" i="39"/>
  <c r="C165" i="39"/>
  <c r="A165" i="39"/>
  <c r="K164" i="39"/>
  <c r="I164" i="39"/>
  <c r="J164" i="39" s="1"/>
  <c r="D164" i="39"/>
  <c r="C164" i="39"/>
  <c r="A164" i="39"/>
  <c r="K163" i="39"/>
  <c r="J163" i="39"/>
  <c r="I163" i="39"/>
  <c r="D163" i="39"/>
  <c r="C163" i="39"/>
  <c r="A163" i="39"/>
  <c r="K162" i="39"/>
  <c r="I162" i="39"/>
  <c r="J162" i="39" s="1"/>
  <c r="D162" i="39"/>
  <c r="C162" i="39"/>
  <c r="A162" i="39"/>
  <c r="K161" i="39"/>
  <c r="J161" i="39"/>
  <c r="I161" i="39"/>
  <c r="D161" i="39"/>
  <c r="C161" i="39"/>
  <c r="A161" i="39"/>
  <c r="K160" i="39"/>
  <c r="I160" i="39"/>
  <c r="J160" i="39" s="1"/>
  <c r="D160" i="39"/>
  <c r="C160" i="39"/>
  <c r="A160" i="39"/>
  <c r="K159" i="39"/>
  <c r="J159" i="39"/>
  <c r="I159" i="39"/>
  <c r="D159" i="39"/>
  <c r="C159" i="39"/>
  <c r="A159" i="39"/>
  <c r="K158" i="39"/>
  <c r="I158" i="39"/>
  <c r="J158" i="39" s="1"/>
  <c r="D158" i="39"/>
  <c r="C158" i="39"/>
  <c r="A158" i="39"/>
  <c r="K157" i="39"/>
  <c r="I157" i="39"/>
  <c r="J157" i="39" s="1"/>
  <c r="D157" i="39"/>
  <c r="C157" i="39"/>
  <c r="A157" i="39"/>
  <c r="K156" i="39"/>
  <c r="I156" i="39"/>
  <c r="J156" i="39" s="1"/>
  <c r="D156" i="39"/>
  <c r="C156" i="39"/>
  <c r="A156" i="39"/>
  <c r="K155" i="39"/>
  <c r="I155" i="39"/>
  <c r="J155" i="39" s="1"/>
  <c r="D155" i="39"/>
  <c r="C155" i="39"/>
  <c r="A155" i="39"/>
  <c r="K154" i="39"/>
  <c r="I154" i="39"/>
  <c r="J154" i="39" s="1"/>
  <c r="D154" i="39"/>
  <c r="C154" i="39"/>
  <c r="A154" i="39"/>
  <c r="K153" i="39"/>
  <c r="I153" i="39"/>
  <c r="J153" i="39" s="1"/>
  <c r="D153" i="39"/>
  <c r="C153" i="39"/>
  <c r="A153" i="39"/>
  <c r="K152" i="39"/>
  <c r="I152" i="39"/>
  <c r="J152" i="39" s="1"/>
  <c r="D152" i="39"/>
  <c r="C152" i="39"/>
  <c r="A152" i="39"/>
  <c r="K151" i="39"/>
  <c r="J151" i="39"/>
  <c r="I151" i="39"/>
  <c r="D151" i="39"/>
  <c r="C151" i="39"/>
  <c r="A151" i="39"/>
  <c r="K150" i="39"/>
  <c r="I150" i="39"/>
  <c r="J150" i="39" s="1"/>
  <c r="D150" i="39"/>
  <c r="C150" i="39"/>
  <c r="A150" i="39"/>
  <c r="K149" i="39"/>
  <c r="I149" i="39"/>
  <c r="J149" i="39" s="1"/>
  <c r="D149" i="39"/>
  <c r="C149" i="39"/>
  <c r="A149" i="39"/>
  <c r="K148" i="39"/>
  <c r="I148" i="39"/>
  <c r="J148" i="39" s="1"/>
  <c r="D148" i="39"/>
  <c r="C148" i="39"/>
  <c r="A148" i="39"/>
  <c r="K147" i="39"/>
  <c r="J147" i="39"/>
  <c r="I147" i="39"/>
  <c r="D147" i="39"/>
  <c r="C147" i="39"/>
  <c r="A147" i="39"/>
  <c r="K146" i="39"/>
  <c r="I146" i="39"/>
  <c r="J146" i="39" s="1"/>
  <c r="D146" i="39"/>
  <c r="C146" i="39"/>
  <c r="A146" i="39"/>
  <c r="K145" i="39"/>
  <c r="J145" i="39"/>
  <c r="I145" i="39"/>
  <c r="D145" i="39"/>
  <c r="C145" i="39"/>
  <c r="A145" i="39"/>
  <c r="K144" i="39"/>
  <c r="I144" i="39"/>
  <c r="J144" i="39" s="1"/>
  <c r="D144" i="39"/>
  <c r="C144" i="39"/>
  <c r="A144" i="39"/>
  <c r="K143" i="39"/>
  <c r="J143" i="39"/>
  <c r="I143" i="39"/>
  <c r="D143" i="39"/>
  <c r="C143" i="39"/>
  <c r="A143" i="39"/>
  <c r="K142" i="39"/>
  <c r="I142" i="39"/>
  <c r="J142" i="39" s="1"/>
  <c r="D142" i="39"/>
  <c r="C142" i="39"/>
  <c r="A142" i="39"/>
  <c r="K141" i="39"/>
  <c r="I141" i="39"/>
  <c r="J141" i="39" s="1"/>
  <c r="D141" i="39"/>
  <c r="C141" i="39"/>
  <c r="A141" i="39"/>
  <c r="K140" i="39"/>
  <c r="I140" i="39"/>
  <c r="J140" i="39" s="1"/>
  <c r="D140" i="39"/>
  <c r="C140" i="39"/>
  <c r="A140" i="39"/>
  <c r="K139" i="39"/>
  <c r="I139" i="39"/>
  <c r="J139" i="39" s="1"/>
  <c r="D139" i="39"/>
  <c r="C139" i="39"/>
  <c r="A139" i="39"/>
  <c r="K138" i="39"/>
  <c r="I138" i="39"/>
  <c r="J138" i="39" s="1"/>
  <c r="D138" i="39"/>
  <c r="C138" i="39"/>
  <c r="A138" i="39"/>
  <c r="K137" i="39"/>
  <c r="I137" i="39"/>
  <c r="J137" i="39" s="1"/>
  <c r="D137" i="39"/>
  <c r="C137" i="39"/>
  <c r="A137" i="39"/>
  <c r="K136" i="39"/>
  <c r="I136" i="39"/>
  <c r="J136" i="39" s="1"/>
  <c r="D136" i="39"/>
  <c r="C136" i="39"/>
  <c r="A136" i="39"/>
  <c r="K135" i="39"/>
  <c r="J135" i="39"/>
  <c r="I135" i="39"/>
  <c r="D135" i="39"/>
  <c r="C135" i="39"/>
  <c r="A135" i="39"/>
  <c r="K134" i="39"/>
  <c r="I134" i="39"/>
  <c r="J134" i="39" s="1"/>
  <c r="D134" i="39"/>
  <c r="C134" i="39"/>
  <c r="A134" i="39"/>
  <c r="K133" i="39"/>
  <c r="I133" i="39"/>
  <c r="J133" i="39" s="1"/>
  <c r="D133" i="39"/>
  <c r="C133" i="39"/>
  <c r="A133" i="39"/>
  <c r="K132" i="39"/>
  <c r="I132" i="39"/>
  <c r="J132" i="39" s="1"/>
  <c r="D132" i="39"/>
  <c r="C132" i="39"/>
  <c r="A132" i="39"/>
  <c r="K131" i="39"/>
  <c r="J131" i="39"/>
  <c r="I131" i="39"/>
  <c r="D131" i="39"/>
  <c r="C131" i="39"/>
  <c r="A131" i="39"/>
  <c r="K130" i="39"/>
  <c r="I130" i="39"/>
  <c r="J130" i="39" s="1"/>
  <c r="D130" i="39"/>
  <c r="C130" i="39"/>
  <c r="A130" i="39"/>
  <c r="K129" i="39"/>
  <c r="J129" i="39"/>
  <c r="I129" i="39"/>
  <c r="D129" i="39"/>
  <c r="C129" i="39"/>
  <c r="A129" i="39"/>
  <c r="K128" i="39"/>
  <c r="I128" i="39"/>
  <c r="J128" i="39" s="1"/>
  <c r="D128" i="39"/>
  <c r="C128" i="39"/>
  <c r="A128" i="39"/>
  <c r="K127" i="39"/>
  <c r="J127" i="39"/>
  <c r="I127" i="39"/>
  <c r="D127" i="39"/>
  <c r="C127" i="39"/>
  <c r="A127" i="39"/>
  <c r="K126" i="39"/>
  <c r="I126" i="39"/>
  <c r="J126" i="39" s="1"/>
  <c r="D126" i="39"/>
  <c r="C126" i="39"/>
  <c r="A126" i="39"/>
  <c r="K125" i="39"/>
  <c r="I125" i="39"/>
  <c r="J125" i="39" s="1"/>
  <c r="D125" i="39"/>
  <c r="C125" i="39"/>
  <c r="A125" i="39"/>
  <c r="K124" i="39"/>
  <c r="I124" i="39"/>
  <c r="J124" i="39" s="1"/>
  <c r="D124" i="39"/>
  <c r="C124" i="39"/>
  <c r="A124" i="39"/>
  <c r="K123" i="39"/>
  <c r="I123" i="39"/>
  <c r="J123" i="39" s="1"/>
  <c r="D123" i="39"/>
  <c r="C123" i="39"/>
  <c r="A123" i="39"/>
  <c r="K122" i="39"/>
  <c r="I122" i="39"/>
  <c r="J122" i="39" s="1"/>
  <c r="D122" i="39"/>
  <c r="C122" i="39"/>
  <c r="A122" i="39"/>
  <c r="K121" i="39"/>
  <c r="I121" i="39"/>
  <c r="J121" i="39" s="1"/>
  <c r="D121" i="39"/>
  <c r="C121" i="39"/>
  <c r="A121" i="39"/>
  <c r="K120" i="39"/>
  <c r="I120" i="39"/>
  <c r="J120" i="39" s="1"/>
  <c r="D120" i="39"/>
  <c r="C120" i="39"/>
  <c r="A120" i="39"/>
  <c r="K119" i="39"/>
  <c r="J119" i="39"/>
  <c r="I119" i="39"/>
  <c r="D119" i="39"/>
  <c r="C119" i="39"/>
  <c r="A119" i="39"/>
  <c r="K118" i="39"/>
  <c r="I118" i="39"/>
  <c r="J118" i="39" s="1"/>
  <c r="D118" i="39"/>
  <c r="C118" i="39"/>
  <c r="A118" i="39"/>
  <c r="K117" i="39"/>
  <c r="I117" i="39"/>
  <c r="J117" i="39" s="1"/>
  <c r="D117" i="39"/>
  <c r="C117" i="39"/>
  <c r="A117" i="39"/>
  <c r="K116" i="39"/>
  <c r="I116" i="39"/>
  <c r="J116" i="39" s="1"/>
  <c r="D116" i="39"/>
  <c r="C116" i="39"/>
  <c r="A116" i="39"/>
  <c r="K115" i="39"/>
  <c r="J115" i="39"/>
  <c r="I115" i="39"/>
  <c r="D115" i="39"/>
  <c r="C115" i="39"/>
  <c r="A115" i="39"/>
  <c r="K114" i="39"/>
  <c r="I114" i="39"/>
  <c r="J114" i="39" s="1"/>
  <c r="D114" i="39"/>
  <c r="C114" i="39"/>
  <c r="A114" i="39"/>
  <c r="K113" i="39"/>
  <c r="J113" i="39"/>
  <c r="I113" i="39"/>
  <c r="D113" i="39"/>
  <c r="C113" i="39"/>
  <c r="A113" i="39"/>
  <c r="K112" i="39"/>
  <c r="I112" i="39"/>
  <c r="J112" i="39" s="1"/>
  <c r="D112" i="39"/>
  <c r="C112" i="39"/>
  <c r="A112" i="39"/>
  <c r="K111" i="39"/>
  <c r="J111" i="39"/>
  <c r="I111" i="39"/>
  <c r="D111" i="39"/>
  <c r="C111" i="39"/>
  <c r="A111" i="39"/>
  <c r="K110" i="39"/>
  <c r="I110" i="39"/>
  <c r="J110" i="39" s="1"/>
  <c r="D110" i="39"/>
  <c r="C110" i="39"/>
  <c r="A110" i="39"/>
  <c r="K109" i="39"/>
  <c r="I109" i="39"/>
  <c r="J109" i="39" s="1"/>
  <c r="D109" i="39"/>
  <c r="C109" i="39"/>
  <c r="A109" i="39"/>
  <c r="K108" i="39"/>
  <c r="I108" i="39"/>
  <c r="J108" i="39" s="1"/>
  <c r="D108" i="39"/>
  <c r="C108" i="39"/>
  <c r="A108" i="39"/>
  <c r="K107" i="39"/>
  <c r="I107" i="39"/>
  <c r="J107" i="39" s="1"/>
  <c r="D107" i="39"/>
  <c r="C107" i="39"/>
  <c r="A107" i="39"/>
  <c r="K106" i="39"/>
  <c r="I106" i="39"/>
  <c r="J106" i="39" s="1"/>
  <c r="D106" i="39"/>
  <c r="C106" i="39"/>
  <c r="A106" i="39"/>
  <c r="K105" i="39"/>
  <c r="I105" i="39"/>
  <c r="J105" i="39" s="1"/>
  <c r="D105" i="39"/>
  <c r="C105" i="39"/>
  <c r="A105" i="39"/>
  <c r="K104" i="39"/>
  <c r="I104" i="39"/>
  <c r="J104" i="39" s="1"/>
  <c r="D104" i="39"/>
  <c r="C104" i="39"/>
  <c r="A104" i="39"/>
  <c r="K103" i="39"/>
  <c r="J103" i="39"/>
  <c r="I103" i="39"/>
  <c r="D103" i="39"/>
  <c r="C103" i="39"/>
  <c r="A103" i="39"/>
  <c r="K102" i="39"/>
  <c r="I102" i="39"/>
  <c r="J102" i="39" s="1"/>
  <c r="D102" i="39"/>
  <c r="C102" i="39"/>
  <c r="A102" i="39"/>
  <c r="K101" i="39"/>
  <c r="I101" i="39"/>
  <c r="J101" i="39" s="1"/>
  <c r="D101" i="39"/>
  <c r="C101" i="39"/>
  <c r="A101" i="39"/>
  <c r="K100" i="39"/>
  <c r="I100" i="39"/>
  <c r="J100" i="39" s="1"/>
  <c r="D100" i="39"/>
  <c r="C100" i="39"/>
  <c r="A100" i="39"/>
  <c r="K99" i="39"/>
  <c r="J99" i="39"/>
  <c r="I99" i="39"/>
  <c r="D99" i="39"/>
  <c r="C99" i="39"/>
  <c r="A99" i="39"/>
  <c r="K98" i="39"/>
  <c r="I98" i="39"/>
  <c r="J98" i="39" s="1"/>
  <c r="D98" i="39"/>
  <c r="C98" i="39"/>
  <c r="A98" i="39"/>
  <c r="K97" i="39"/>
  <c r="J97" i="39"/>
  <c r="I97" i="39"/>
  <c r="D97" i="39"/>
  <c r="C97" i="39"/>
  <c r="A97" i="39"/>
  <c r="K96" i="39"/>
  <c r="I96" i="39"/>
  <c r="J96" i="39" s="1"/>
  <c r="D96" i="39"/>
  <c r="C96" i="39"/>
  <c r="A96" i="39"/>
  <c r="K95" i="39"/>
  <c r="J95" i="39"/>
  <c r="I95" i="39"/>
  <c r="D95" i="39"/>
  <c r="C95" i="39"/>
  <c r="A95" i="39"/>
  <c r="K94" i="39"/>
  <c r="I94" i="39"/>
  <c r="J94" i="39" s="1"/>
  <c r="D94" i="39"/>
  <c r="C94" i="39"/>
  <c r="A94" i="39"/>
  <c r="K93" i="39"/>
  <c r="I93" i="39"/>
  <c r="J93" i="39" s="1"/>
  <c r="D93" i="39"/>
  <c r="C93" i="39"/>
  <c r="A93" i="39"/>
  <c r="K92" i="39"/>
  <c r="I92" i="39"/>
  <c r="J92" i="39" s="1"/>
  <c r="D92" i="39"/>
  <c r="C92" i="39"/>
  <c r="A92" i="39"/>
  <c r="K91" i="39"/>
  <c r="I91" i="39"/>
  <c r="J91" i="39" s="1"/>
  <c r="D91" i="39"/>
  <c r="C91" i="39"/>
  <c r="A91" i="39"/>
  <c r="K90" i="39"/>
  <c r="I90" i="39"/>
  <c r="J90" i="39" s="1"/>
  <c r="D90" i="39"/>
  <c r="C90" i="39"/>
  <c r="A90" i="39"/>
  <c r="K89" i="39"/>
  <c r="I89" i="39"/>
  <c r="J89" i="39" s="1"/>
  <c r="D89" i="39"/>
  <c r="C89" i="39"/>
  <c r="A89" i="39"/>
  <c r="K88" i="39"/>
  <c r="I88" i="39"/>
  <c r="J88" i="39" s="1"/>
  <c r="D88" i="39"/>
  <c r="C88" i="39"/>
  <c r="A88" i="39"/>
  <c r="K87" i="39"/>
  <c r="J87" i="39"/>
  <c r="I87" i="39"/>
  <c r="D87" i="39"/>
  <c r="C87" i="39"/>
  <c r="A87" i="39"/>
  <c r="K86" i="39"/>
  <c r="I86" i="39"/>
  <c r="J86" i="39" s="1"/>
  <c r="D86" i="39"/>
  <c r="C86" i="39"/>
  <c r="A86" i="39"/>
  <c r="K85" i="39"/>
  <c r="I85" i="39"/>
  <c r="J85" i="39" s="1"/>
  <c r="D85" i="39"/>
  <c r="C85" i="39"/>
  <c r="A85" i="39"/>
  <c r="K84" i="39"/>
  <c r="I84" i="39"/>
  <c r="J84" i="39" s="1"/>
  <c r="D84" i="39"/>
  <c r="C84" i="39"/>
  <c r="A84" i="39"/>
  <c r="K83" i="39"/>
  <c r="J83" i="39"/>
  <c r="I83" i="39"/>
  <c r="D83" i="39"/>
  <c r="C83" i="39"/>
  <c r="A83" i="39"/>
  <c r="K82" i="39"/>
  <c r="I82" i="39"/>
  <c r="J82" i="39" s="1"/>
  <c r="D82" i="39"/>
  <c r="C82" i="39"/>
  <c r="A82" i="39"/>
  <c r="K81" i="39"/>
  <c r="J81" i="39"/>
  <c r="I81" i="39"/>
  <c r="D81" i="39"/>
  <c r="C81" i="39"/>
  <c r="A81" i="39"/>
  <c r="K80" i="39"/>
  <c r="I80" i="39"/>
  <c r="J80" i="39" s="1"/>
  <c r="D80" i="39"/>
  <c r="C80" i="39"/>
  <c r="A80" i="39"/>
  <c r="K79" i="39"/>
  <c r="J79" i="39"/>
  <c r="I79" i="39"/>
  <c r="D79" i="39"/>
  <c r="C79" i="39"/>
  <c r="A79" i="39"/>
  <c r="K78" i="39"/>
  <c r="I78" i="39"/>
  <c r="J78" i="39" s="1"/>
  <c r="D78" i="39"/>
  <c r="C78" i="39"/>
  <c r="A78" i="39"/>
  <c r="K77" i="39"/>
  <c r="I77" i="39"/>
  <c r="J77" i="39" s="1"/>
  <c r="D77" i="39"/>
  <c r="C77" i="39"/>
  <c r="A77" i="39"/>
  <c r="K76" i="39"/>
  <c r="I76" i="39"/>
  <c r="J76" i="39" s="1"/>
  <c r="D76" i="39"/>
  <c r="C76" i="39"/>
  <c r="A76" i="39"/>
  <c r="K75" i="39"/>
  <c r="I75" i="39"/>
  <c r="J75" i="39" s="1"/>
  <c r="D75" i="39"/>
  <c r="C75" i="39"/>
  <c r="A75" i="39"/>
  <c r="K74" i="39"/>
  <c r="I74" i="39"/>
  <c r="J74" i="39" s="1"/>
  <c r="D74" i="39"/>
  <c r="C74" i="39"/>
  <c r="A74" i="39"/>
  <c r="K73" i="39"/>
  <c r="I73" i="39"/>
  <c r="J73" i="39" s="1"/>
  <c r="D73" i="39"/>
  <c r="C73" i="39"/>
  <c r="A73" i="39"/>
  <c r="K72" i="39"/>
  <c r="I72" i="39"/>
  <c r="J72" i="39" s="1"/>
  <c r="D72" i="39"/>
  <c r="C72" i="39"/>
  <c r="A72" i="39"/>
  <c r="K71" i="39"/>
  <c r="J71" i="39"/>
  <c r="I71" i="39"/>
  <c r="D71" i="39"/>
  <c r="C71" i="39"/>
  <c r="A71" i="39"/>
  <c r="K70" i="39"/>
  <c r="I70" i="39"/>
  <c r="J70" i="39" s="1"/>
  <c r="D70" i="39"/>
  <c r="C70" i="39"/>
  <c r="A70" i="39"/>
  <c r="K69" i="39"/>
  <c r="I69" i="39"/>
  <c r="J69" i="39" s="1"/>
  <c r="D69" i="39"/>
  <c r="C69" i="39"/>
  <c r="A69" i="39"/>
  <c r="K68" i="39"/>
  <c r="I68" i="39"/>
  <c r="J68" i="39" s="1"/>
  <c r="D68" i="39"/>
  <c r="C68" i="39"/>
  <c r="A68" i="39"/>
  <c r="K67" i="39"/>
  <c r="J67" i="39"/>
  <c r="I67" i="39"/>
  <c r="D67" i="39"/>
  <c r="C67" i="39"/>
  <c r="A67" i="39"/>
  <c r="K66" i="39"/>
  <c r="I66" i="39"/>
  <c r="J66" i="39" s="1"/>
  <c r="D66" i="39"/>
  <c r="C66" i="39"/>
  <c r="A66" i="39"/>
  <c r="K65" i="39"/>
  <c r="J65" i="39"/>
  <c r="I65" i="39"/>
  <c r="D65" i="39"/>
  <c r="C65" i="39"/>
  <c r="A65" i="39"/>
  <c r="K64" i="39"/>
  <c r="I64" i="39"/>
  <c r="J64" i="39" s="1"/>
  <c r="D64" i="39"/>
  <c r="C64" i="39"/>
  <c r="A64" i="39"/>
  <c r="K63" i="39"/>
  <c r="J63" i="39"/>
  <c r="I63" i="39"/>
  <c r="D63" i="39"/>
  <c r="C63" i="39"/>
  <c r="A63" i="39"/>
  <c r="K62" i="39"/>
  <c r="I62" i="39"/>
  <c r="J62" i="39" s="1"/>
  <c r="D62" i="39"/>
  <c r="C62" i="39"/>
  <c r="A62" i="39"/>
  <c r="K61" i="39"/>
  <c r="I61" i="39"/>
  <c r="J61" i="39" s="1"/>
  <c r="D61" i="39"/>
  <c r="C61" i="39"/>
  <c r="A61" i="39"/>
  <c r="K60" i="39"/>
  <c r="I60" i="39"/>
  <c r="J60" i="39" s="1"/>
  <c r="D60" i="39"/>
  <c r="C60" i="39"/>
  <c r="A60" i="39"/>
  <c r="K59" i="39"/>
  <c r="I59" i="39"/>
  <c r="J59" i="39" s="1"/>
  <c r="D59" i="39"/>
  <c r="C59" i="39"/>
  <c r="A59" i="39"/>
  <c r="K58" i="39"/>
  <c r="I58" i="39"/>
  <c r="J58" i="39" s="1"/>
  <c r="D58" i="39"/>
  <c r="C58" i="39"/>
  <c r="A58" i="39"/>
  <c r="K57" i="39"/>
  <c r="I57" i="39"/>
  <c r="J57" i="39" s="1"/>
  <c r="D57" i="39"/>
  <c r="C57" i="39"/>
  <c r="A57" i="39"/>
  <c r="K56" i="39"/>
  <c r="I56" i="39"/>
  <c r="J56" i="39" s="1"/>
  <c r="D56" i="39"/>
  <c r="C56" i="39"/>
  <c r="A56" i="39"/>
  <c r="K55" i="39"/>
  <c r="J55" i="39"/>
  <c r="I55" i="39"/>
  <c r="D55" i="39"/>
  <c r="C55" i="39"/>
  <c r="A55" i="39"/>
  <c r="K54" i="39"/>
  <c r="I54" i="39"/>
  <c r="J54" i="39" s="1"/>
  <c r="D54" i="39"/>
  <c r="C54" i="39"/>
  <c r="A54" i="39"/>
  <c r="K53" i="39"/>
  <c r="I53" i="39"/>
  <c r="J53" i="39" s="1"/>
  <c r="D53" i="39"/>
  <c r="C53" i="39"/>
  <c r="A53" i="39"/>
  <c r="K52" i="39"/>
  <c r="I52" i="39"/>
  <c r="J52" i="39" s="1"/>
  <c r="D52" i="39"/>
  <c r="C52" i="39"/>
  <c r="A52" i="39"/>
  <c r="K51" i="39"/>
  <c r="J51" i="39"/>
  <c r="I51" i="39"/>
  <c r="D51" i="39"/>
  <c r="C51" i="39"/>
  <c r="A51" i="39"/>
  <c r="K50" i="39"/>
  <c r="I50" i="39"/>
  <c r="J50" i="39" s="1"/>
  <c r="D50" i="39"/>
  <c r="C50" i="39"/>
  <c r="A50" i="39"/>
  <c r="K49" i="39"/>
  <c r="J49" i="39"/>
  <c r="I49" i="39"/>
  <c r="D49" i="39"/>
  <c r="C49" i="39"/>
  <c r="A49" i="39"/>
  <c r="K48" i="39"/>
  <c r="I48" i="39"/>
  <c r="J48" i="39" s="1"/>
  <c r="D48" i="39"/>
  <c r="C48" i="39"/>
  <c r="A48" i="39"/>
  <c r="K47" i="39"/>
  <c r="J47" i="39"/>
  <c r="I47" i="39"/>
  <c r="D47" i="39"/>
  <c r="C47" i="39"/>
  <c r="A47" i="39"/>
  <c r="K46" i="39"/>
  <c r="I46" i="39"/>
  <c r="J46" i="39" s="1"/>
  <c r="D46" i="39"/>
  <c r="C46" i="39"/>
  <c r="A46" i="39"/>
  <c r="K45" i="39"/>
  <c r="I45" i="39"/>
  <c r="J45" i="39" s="1"/>
  <c r="D45" i="39"/>
  <c r="C45" i="39"/>
  <c r="A45" i="39"/>
  <c r="K44" i="39"/>
  <c r="I44" i="39"/>
  <c r="J44" i="39" s="1"/>
  <c r="D44" i="39"/>
  <c r="C44" i="39"/>
  <c r="A44" i="39"/>
  <c r="K43" i="39"/>
  <c r="I43" i="39"/>
  <c r="J43" i="39" s="1"/>
  <c r="D43" i="39"/>
  <c r="C43" i="39"/>
  <c r="A43" i="39"/>
  <c r="K42" i="39"/>
  <c r="I42" i="39"/>
  <c r="J42" i="39" s="1"/>
  <c r="D42" i="39"/>
  <c r="C42" i="39"/>
  <c r="A42" i="39"/>
  <c r="K41" i="39"/>
  <c r="I41" i="39"/>
  <c r="J41" i="39" s="1"/>
  <c r="D41" i="39"/>
  <c r="C41" i="39"/>
  <c r="A41" i="39"/>
  <c r="K40" i="39"/>
  <c r="I40" i="39"/>
  <c r="J40" i="39" s="1"/>
  <c r="D40" i="39"/>
  <c r="C40" i="39"/>
  <c r="A40" i="39"/>
  <c r="K39" i="39"/>
  <c r="J39" i="39"/>
  <c r="I39" i="39"/>
  <c r="D39" i="39"/>
  <c r="C39" i="39"/>
  <c r="A39" i="39"/>
  <c r="K38" i="39"/>
  <c r="I38" i="39"/>
  <c r="J38" i="39" s="1"/>
  <c r="D38" i="39"/>
  <c r="C38" i="39"/>
  <c r="A38" i="39"/>
  <c r="K37" i="39"/>
  <c r="I37" i="39"/>
  <c r="J37" i="39" s="1"/>
  <c r="D37" i="39"/>
  <c r="C37" i="39"/>
  <c r="A37" i="39"/>
  <c r="K36" i="39"/>
  <c r="I36" i="39"/>
  <c r="J36" i="39" s="1"/>
  <c r="D36" i="39"/>
  <c r="C36" i="39"/>
  <c r="A36" i="39"/>
  <c r="K35" i="39"/>
  <c r="J35" i="39"/>
  <c r="I35" i="39"/>
  <c r="D35" i="39"/>
  <c r="C35" i="39"/>
  <c r="A35" i="39"/>
  <c r="K34" i="39"/>
  <c r="I34" i="39"/>
  <c r="J34" i="39" s="1"/>
  <c r="D34" i="39"/>
  <c r="C34" i="39"/>
  <c r="A34" i="39"/>
  <c r="K33" i="39"/>
  <c r="J33" i="39"/>
  <c r="I33" i="39"/>
  <c r="D33" i="39"/>
  <c r="C33" i="39"/>
  <c r="A33" i="39"/>
  <c r="K32" i="39"/>
  <c r="I32" i="39"/>
  <c r="J32" i="39" s="1"/>
  <c r="D32" i="39"/>
  <c r="C32" i="39"/>
  <c r="A32" i="39"/>
  <c r="K31" i="39"/>
  <c r="J31" i="39"/>
  <c r="I31" i="39"/>
  <c r="D31" i="39"/>
  <c r="C31" i="39"/>
  <c r="A31" i="39"/>
  <c r="K30" i="39"/>
  <c r="I30" i="39"/>
  <c r="J30" i="39" s="1"/>
  <c r="D30" i="39"/>
  <c r="C30" i="39"/>
  <c r="A30" i="39"/>
  <c r="K29" i="39"/>
  <c r="J29" i="39"/>
  <c r="I29" i="39"/>
  <c r="D29" i="39"/>
  <c r="C29" i="39"/>
  <c r="A29" i="39"/>
  <c r="K28" i="39"/>
  <c r="I28" i="39"/>
  <c r="J28" i="39" s="1"/>
  <c r="D28" i="39"/>
  <c r="C28" i="39"/>
  <c r="A28" i="39"/>
  <c r="K27" i="39"/>
  <c r="I27" i="39"/>
  <c r="J27" i="39" s="1"/>
  <c r="D27" i="39"/>
  <c r="C27" i="39"/>
  <c r="A27" i="39"/>
  <c r="K26" i="39"/>
  <c r="J26" i="39"/>
  <c r="I26" i="39"/>
  <c r="D26" i="39"/>
  <c r="C26" i="39"/>
  <c r="A26" i="39"/>
  <c r="K25" i="39"/>
  <c r="I25" i="39"/>
  <c r="J25" i="39" s="1"/>
  <c r="D25" i="39"/>
  <c r="C25" i="39"/>
  <c r="A25" i="39"/>
  <c r="K24" i="39"/>
  <c r="I24" i="39"/>
  <c r="J24" i="39" s="1"/>
  <c r="D24" i="39"/>
  <c r="C24" i="39"/>
  <c r="A24" i="39"/>
  <c r="K23" i="39"/>
  <c r="I23" i="39"/>
  <c r="J23" i="39" s="1"/>
  <c r="D23" i="39"/>
  <c r="C23" i="39"/>
  <c r="A23" i="39"/>
  <c r="K22" i="39"/>
  <c r="J22" i="39"/>
  <c r="I22" i="39"/>
  <c r="D22" i="39"/>
  <c r="C22" i="39"/>
  <c r="A22" i="39"/>
  <c r="K21" i="39"/>
  <c r="J21" i="39"/>
  <c r="I21" i="39"/>
  <c r="D21" i="39"/>
  <c r="C21" i="39"/>
  <c r="A21" i="39"/>
  <c r="K20" i="39"/>
  <c r="I20" i="39"/>
  <c r="J20" i="39" s="1"/>
  <c r="D20" i="39"/>
  <c r="C20" i="39"/>
  <c r="A20" i="39"/>
  <c r="K19" i="39"/>
  <c r="J19" i="39"/>
  <c r="I19" i="39"/>
  <c r="D19" i="39"/>
  <c r="C19" i="39"/>
  <c r="A19" i="39"/>
  <c r="K18" i="39"/>
  <c r="I18" i="39"/>
  <c r="J18" i="39" s="1"/>
  <c r="D18" i="39"/>
  <c r="C18" i="39"/>
  <c r="A18" i="39"/>
  <c r="K17" i="39"/>
  <c r="I17" i="39"/>
  <c r="J17" i="39" s="1"/>
  <c r="D17" i="39"/>
  <c r="C17" i="39"/>
  <c r="A17" i="39"/>
  <c r="K16" i="39"/>
  <c r="I16" i="39"/>
  <c r="J16" i="39" s="1"/>
  <c r="D16" i="39"/>
  <c r="C16" i="39"/>
  <c r="A16" i="39"/>
  <c r="K15" i="39"/>
  <c r="J15" i="39"/>
  <c r="I15" i="39"/>
  <c r="D15" i="39"/>
  <c r="C15" i="39"/>
  <c r="A15" i="39"/>
  <c r="K14" i="39"/>
  <c r="J14" i="39"/>
  <c r="I14" i="39"/>
  <c r="D14" i="39"/>
  <c r="C14" i="39"/>
  <c r="A14" i="39"/>
  <c r="B9" i="39"/>
  <c r="B10" i="39" s="1"/>
  <c r="B8" i="39"/>
  <c r="J208" i="38"/>
  <c r="K208" i="38" s="1"/>
  <c r="G208" i="38"/>
  <c r="D208" i="38"/>
  <c r="C208" i="38"/>
  <c r="B208" i="38"/>
  <c r="J207" i="38"/>
  <c r="K207" i="38" s="1"/>
  <c r="G207" i="38"/>
  <c r="D207" i="38"/>
  <c r="C207" i="38"/>
  <c r="B207" i="38"/>
  <c r="J206" i="38"/>
  <c r="K206" i="38" s="1"/>
  <c r="G206" i="38"/>
  <c r="D206" i="38"/>
  <c r="C206" i="38"/>
  <c r="B206" i="38"/>
  <c r="K205" i="38"/>
  <c r="J205" i="38"/>
  <c r="G205" i="38"/>
  <c r="D205" i="38"/>
  <c r="C205" i="38"/>
  <c r="B205" i="38"/>
  <c r="K204" i="38"/>
  <c r="J204" i="38"/>
  <c r="G204" i="38"/>
  <c r="D204" i="38"/>
  <c r="C204" i="38"/>
  <c r="B204" i="38"/>
  <c r="J203" i="38"/>
  <c r="K203" i="38" s="1"/>
  <c r="G203" i="38"/>
  <c r="D203" i="38"/>
  <c r="C203" i="38"/>
  <c r="B203" i="38"/>
  <c r="K202" i="38"/>
  <c r="J202" i="38"/>
  <c r="G202" i="38"/>
  <c r="D202" i="38"/>
  <c r="C202" i="38"/>
  <c r="B202" i="38"/>
  <c r="K201" i="38"/>
  <c r="J201" i="38"/>
  <c r="G201" i="38"/>
  <c r="D201" i="38"/>
  <c r="C201" i="38"/>
  <c r="B201" i="38"/>
  <c r="K200" i="38"/>
  <c r="J200" i="38"/>
  <c r="G200" i="38"/>
  <c r="D200" i="38"/>
  <c r="C200" i="38"/>
  <c r="B200" i="38"/>
  <c r="J199" i="38"/>
  <c r="K199" i="38" s="1"/>
  <c r="G199" i="38"/>
  <c r="D199" i="38"/>
  <c r="C199" i="38"/>
  <c r="B199" i="38"/>
  <c r="K198" i="38"/>
  <c r="J198" i="38"/>
  <c r="G198" i="38"/>
  <c r="D198" i="38"/>
  <c r="C198" i="38"/>
  <c r="B198" i="38"/>
  <c r="K197" i="38"/>
  <c r="J197" i="38"/>
  <c r="G197" i="38"/>
  <c r="D197" i="38"/>
  <c r="C197" i="38"/>
  <c r="B197" i="38"/>
  <c r="K196" i="38"/>
  <c r="J196" i="38"/>
  <c r="G196" i="38"/>
  <c r="D196" i="38"/>
  <c r="C196" i="38"/>
  <c r="B196" i="38"/>
  <c r="J195" i="38"/>
  <c r="K195" i="38" s="1"/>
  <c r="G195" i="38"/>
  <c r="D195" i="38"/>
  <c r="C195" i="38"/>
  <c r="B195" i="38"/>
  <c r="K194" i="38"/>
  <c r="J194" i="38"/>
  <c r="G194" i="38"/>
  <c r="D194" i="38"/>
  <c r="C194" i="38"/>
  <c r="B194" i="38"/>
  <c r="K193" i="38"/>
  <c r="J193" i="38"/>
  <c r="G193" i="38"/>
  <c r="D193" i="38"/>
  <c r="C193" i="38"/>
  <c r="B193" i="38"/>
  <c r="K192" i="38"/>
  <c r="J192" i="38"/>
  <c r="G192" i="38"/>
  <c r="D192" i="38"/>
  <c r="C192" i="38"/>
  <c r="B192" i="38"/>
  <c r="J191" i="38"/>
  <c r="K191" i="38" s="1"/>
  <c r="G191" i="38"/>
  <c r="D191" i="38"/>
  <c r="C191" i="38"/>
  <c r="B191" i="38"/>
  <c r="K190" i="38"/>
  <c r="J190" i="38"/>
  <c r="G190" i="38"/>
  <c r="D190" i="38"/>
  <c r="C190" i="38"/>
  <c r="B190" i="38"/>
  <c r="K189" i="38"/>
  <c r="J189" i="38"/>
  <c r="G189" i="38"/>
  <c r="D189" i="38"/>
  <c r="C189" i="38"/>
  <c r="B189" i="38"/>
  <c r="K188" i="38"/>
  <c r="J188" i="38"/>
  <c r="G188" i="38"/>
  <c r="D188" i="38"/>
  <c r="C188" i="38"/>
  <c r="B188" i="38"/>
  <c r="J187" i="38"/>
  <c r="K187" i="38" s="1"/>
  <c r="G187" i="38"/>
  <c r="D187" i="38"/>
  <c r="C187" i="38"/>
  <c r="B187" i="38"/>
  <c r="K186" i="38"/>
  <c r="J186" i="38"/>
  <c r="G186" i="38"/>
  <c r="D186" i="38"/>
  <c r="C186" i="38"/>
  <c r="B186" i="38"/>
  <c r="K185" i="38"/>
  <c r="J185" i="38"/>
  <c r="G185" i="38"/>
  <c r="D185" i="38"/>
  <c r="C185" i="38"/>
  <c r="B185" i="38"/>
  <c r="K184" i="38"/>
  <c r="J184" i="38"/>
  <c r="G184" i="38"/>
  <c r="D184" i="38"/>
  <c r="C184" i="38"/>
  <c r="B184" i="38"/>
  <c r="J183" i="38"/>
  <c r="K183" i="38" s="1"/>
  <c r="G183" i="38"/>
  <c r="D183" i="38"/>
  <c r="C183" i="38"/>
  <c r="B183" i="38"/>
  <c r="K182" i="38"/>
  <c r="J182" i="38"/>
  <c r="G182" i="38"/>
  <c r="D182" i="38"/>
  <c r="C182" i="38"/>
  <c r="B182" i="38"/>
  <c r="K181" i="38"/>
  <c r="J181" i="38"/>
  <c r="G181" i="38"/>
  <c r="D181" i="38"/>
  <c r="C181" i="38"/>
  <c r="B181" i="38"/>
  <c r="K180" i="38"/>
  <c r="J180" i="38"/>
  <c r="G180" i="38"/>
  <c r="D180" i="38"/>
  <c r="C180" i="38"/>
  <c r="B180" i="38"/>
  <c r="J179" i="38"/>
  <c r="K179" i="38" s="1"/>
  <c r="G179" i="38"/>
  <c r="D179" i="38"/>
  <c r="C179" i="38"/>
  <c r="B179" i="38"/>
  <c r="K178" i="38"/>
  <c r="J178" i="38"/>
  <c r="G178" i="38"/>
  <c r="D178" i="38"/>
  <c r="C178" i="38"/>
  <c r="B178" i="38"/>
  <c r="K177" i="38"/>
  <c r="J177" i="38"/>
  <c r="G177" i="38"/>
  <c r="D177" i="38"/>
  <c r="C177" i="38"/>
  <c r="B177" i="38"/>
  <c r="K176" i="38"/>
  <c r="J176" i="38"/>
  <c r="G176" i="38"/>
  <c r="D176" i="38"/>
  <c r="C176" i="38"/>
  <c r="B176" i="38"/>
  <c r="J175" i="38"/>
  <c r="K175" i="38" s="1"/>
  <c r="G175" i="38"/>
  <c r="D175" i="38"/>
  <c r="C175" i="38"/>
  <c r="B175" i="38"/>
  <c r="K174" i="38"/>
  <c r="J174" i="38"/>
  <c r="G174" i="38"/>
  <c r="D174" i="38"/>
  <c r="C174" i="38"/>
  <c r="B174" i="38"/>
  <c r="K173" i="38"/>
  <c r="J173" i="38"/>
  <c r="G173" i="38"/>
  <c r="D173" i="38"/>
  <c r="C173" i="38"/>
  <c r="B173" i="38"/>
  <c r="K172" i="38"/>
  <c r="J172" i="38"/>
  <c r="G172" i="38"/>
  <c r="D172" i="38"/>
  <c r="C172" i="38"/>
  <c r="B172" i="38"/>
  <c r="J171" i="38"/>
  <c r="K171" i="38" s="1"/>
  <c r="G171" i="38"/>
  <c r="D171" i="38"/>
  <c r="C171" i="38"/>
  <c r="B171" i="38"/>
  <c r="K170" i="38"/>
  <c r="J170" i="38"/>
  <c r="G170" i="38"/>
  <c r="D170" i="38"/>
  <c r="C170" i="38"/>
  <c r="B170" i="38"/>
  <c r="K169" i="38"/>
  <c r="J169" i="38"/>
  <c r="G169" i="38"/>
  <c r="D169" i="38"/>
  <c r="C169" i="38"/>
  <c r="B169" i="38"/>
  <c r="K168" i="38"/>
  <c r="J168" i="38"/>
  <c r="G168" i="38"/>
  <c r="D168" i="38"/>
  <c r="C168" i="38"/>
  <c r="B168" i="38"/>
  <c r="J167" i="38"/>
  <c r="K167" i="38" s="1"/>
  <c r="G167" i="38"/>
  <c r="D167" i="38"/>
  <c r="C167" i="38"/>
  <c r="B167" i="38"/>
  <c r="K166" i="38"/>
  <c r="J166" i="38"/>
  <c r="G166" i="38"/>
  <c r="D166" i="38"/>
  <c r="C166" i="38"/>
  <c r="B166" i="38"/>
  <c r="K165" i="38"/>
  <c r="J165" i="38"/>
  <c r="G165" i="38"/>
  <c r="D165" i="38"/>
  <c r="C165" i="38"/>
  <c r="B165" i="38"/>
  <c r="K164" i="38"/>
  <c r="J164" i="38"/>
  <c r="G164" i="38"/>
  <c r="D164" i="38"/>
  <c r="C164" i="38"/>
  <c r="B164" i="38"/>
  <c r="J163" i="38"/>
  <c r="K163" i="38" s="1"/>
  <c r="G163" i="38"/>
  <c r="D163" i="38"/>
  <c r="C163" i="38"/>
  <c r="B163" i="38"/>
  <c r="K162" i="38"/>
  <c r="J162" i="38"/>
  <c r="G162" i="38"/>
  <c r="D162" i="38"/>
  <c r="C162" i="38"/>
  <c r="B162" i="38"/>
  <c r="K161" i="38"/>
  <c r="J161" i="38"/>
  <c r="G161" i="38"/>
  <c r="D161" i="38"/>
  <c r="C161" i="38"/>
  <c r="B161" i="38"/>
  <c r="K160" i="38"/>
  <c r="J160" i="38"/>
  <c r="G160" i="38"/>
  <c r="D160" i="38"/>
  <c r="C160" i="38"/>
  <c r="B160" i="38"/>
  <c r="J159" i="38"/>
  <c r="K159" i="38" s="1"/>
  <c r="G159" i="38"/>
  <c r="D159" i="38"/>
  <c r="C159" i="38"/>
  <c r="B159" i="38"/>
  <c r="K158" i="38"/>
  <c r="J158" i="38"/>
  <c r="G158" i="38"/>
  <c r="D158" i="38"/>
  <c r="C158" i="38"/>
  <c r="B158" i="38"/>
  <c r="K157" i="38"/>
  <c r="J157" i="38"/>
  <c r="G157" i="38"/>
  <c r="D157" i="38"/>
  <c r="C157" i="38"/>
  <c r="B157" i="38"/>
  <c r="K156" i="38"/>
  <c r="J156" i="38"/>
  <c r="G156" i="38"/>
  <c r="D156" i="38"/>
  <c r="C156" i="38"/>
  <c r="B156" i="38"/>
  <c r="J155" i="38"/>
  <c r="K155" i="38" s="1"/>
  <c r="G155" i="38"/>
  <c r="D155" i="38"/>
  <c r="C155" i="38"/>
  <c r="B155" i="38"/>
  <c r="K154" i="38"/>
  <c r="J154" i="38"/>
  <c r="G154" i="38"/>
  <c r="D154" i="38"/>
  <c r="C154" i="38"/>
  <c r="B154" i="38"/>
  <c r="K153" i="38"/>
  <c r="J153" i="38"/>
  <c r="G153" i="38"/>
  <c r="D153" i="38"/>
  <c r="C153" i="38"/>
  <c r="B153" i="38"/>
  <c r="K152" i="38"/>
  <c r="J152" i="38"/>
  <c r="G152" i="38"/>
  <c r="D152" i="38"/>
  <c r="C152" i="38"/>
  <c r="B152" i="38"/>
  <c r="J151" i="38"/>
  <c r="K151" i="38" s="1"/>
  <c r="G151" i="38"/>
  <c r="D151" i="38"/>
  <c r="C151" i="38"/>
  <c r="B151" i="38"/>
  <c r="K150" i="38"/>
  <c r="J150" i="38"/>
  <c r="G150" i="38"/>
  <c r="D150" i="38"/>
  <c r="C150" i="38"/>
  <c r="B150" i="38"/>
  <c r="K149" i="38"/>
  <c r="J149" i="38"/>
  <c r="G149" i="38"/>
  <c r="D149" i="38"/>
  <c r="C149" i="38"/>
  <c r="B149" i="38"/>
  <c r="K148" i="38"/>
  <c r="J148" i="38"/>
  <c r="G148" i="38"/>
  <c r="D148" i="38"/>
  <c r="C148" i="38"/>
  <c r="B148" i="38"/>
  <c r="J147" i="38"/>
  <c r="K147" i="38" s="1"/>
  <c r="G147" i="38"/>
  <c r="D147" i="38"/>
  <c r="C147" i="38"/>
  <c r="B147" i="38"/>
  <c r="K146" i="38"/>
  <c r="J146" i="38"/>
  <c r="G146" i="38"/>
  <c r="D146" i="38"/>
  <c r="C146" i="38"/>
  <c r="B146" i="38"/>
  <c r="K145" i="38"/>
  <c r="J145" i="38"/>
  <c r="G145" i="38"/>
  <c r="D145" i="38"/>
  <c r="C145" i="38"/>
  <c r="B145" i="38"/>
  <c r="K144" i="38"/>
  <c r="J144" i="38"/>
  <c r="G144" i="38"/>
  <c r="D144" i="38"/>
  <c r="C144" i="38"/>
  <c r="B144" i="38"/>
  <c r="J143" i="38"/>
  <c r="K143" i="38" s="1"/>
  <c r="G143" i="38"/>
  <c r="D143" i="38"/>
  <c r="C143" i="38"/>
  <c r="B143" i="38"/>
  <c r="K142" i="38"/>
  <c r="J142" i="38"/>
  <c r="G142" i="38"/>
  <c r="D142" i="38"/>
  <c r="C142" i="38"/>
  <c r="B142" i="38"/>
  <c r="K141" i="38"/>
  <c r="J141" i="38"/>
  <c r="G141" i="38"/>
  <c r="D141" i="38"/>
  <c r="C141" i="38"/>
  <c r="B141" i="38"/>
  <c r="K140" i="38"/>
  <c r="J140" i="38"/>
  <c r="G140" i="38"/>
  <c r="D140" i="38"/>
  <c r="C140" i="38"/>
  <c r="B140" i="38"/>
  <c r="J139" i="38"/>
  <c r="K139" i="38" s="1"/>
  <c r="G139" i="38"/>
  <c r="D139" i="38"/>
  <c r="C139" i="38"/>
  <c r="B139" i="38"/>
  <c r="K138" i="38"/>
  <c r="J138" i="38"/>
  <c r="G138" i="38"/>
  <c r="D138" i="38"/>
  <c r="C138" i="38"/>
  <c r="B138" i="38"/>
  <c r="K137" i="38"/>
  <c r="J137" i="38"/>
  <c r="G137" i="38"/>
  <c r="D137" i="38"/>
  <c r="C137" i="38"/>
  <c r="B137" i="38"/>
  <c r="K136" i="38"/>
  <c r="J136" i="38"/>
  <c r="G136" i="38"/>
  <c r="D136" i="38"/>
  <c r="C136" i="38"/>
  <c r="B136" i="38"/>
  <c r="J135" i="38"/>
  <c r="K135" i="38" s="1"/>
  <c r="G135" i="38"/>
  <c r="D135" i="38"/>
  <c r="C135" i="38"/>
  <c r="B135" i="38"/>
  <c r="K134" i="38"/>
  <c r="J134" i="38"/>
  <c r="G134" i="38"/>
  <c r="D134" i="38"/>
  <c r="C134" i="38"/>
  <c r="B134" i="38"/>
  <c r="K133" i="38"/>
  <c r="J133" i="38"/>
  <c r="G133" i="38"/>
  <c r="D133" i="38"/>
  <c r="C133" i="38"/>
  <c r="B133" i="38"/>
  <c r="K132" i="38"/>
  <c r="J132" i="38"/>
  <c r="G132" i="38"/>
  <c r="D132" i="38"/>
  <c r="C132" i="38"/>
  <c r="B132" i="38"/>
  <c r="J131" i="38"/>
  <c r="K131" i="38" s="1"/>
  <c r="G131" i="38"/>
  <c r="D131" i="38"/>
  <c r="C131" i="38"/>
  <c r="B131" i="38"/>
  <c r="K130" i="38"/>
  <c r="J130" i="38"/>
  <c r="G130" i="38"/>
  <c r="D130" i="38"/>
  <c r="C130" i="38"/>
  <c r="B130" i="38"/>
  <c r="K129" i="38"/>
  <c r="J129" i="38"/>
  <c r="G129" i="38"/>
  <c r="D129" i="38"/>
  <c r="C129" i="38"/>
  <c r="B129" i="38"/>
  <c r="K128" i="38"/>
  <c r="J128" i="38"/>
  <c r="G128" i="38"/>
  <c r="D128" i="38"/>
  <c r="C128" i="38"/>
  <c r="B128" i="38"/>
  <c r="J127" i="38"/>
  <c r="K127" i="38" s="1"/>
  <c r="G127" i="38"/>
  <c r="D127" i="38"/>
  <c r="C127" i="38"/>
  <c r="B127" i="38"/>
  <c r="K126" i="38"/>
  <c r="J126" i="38"/>
  <c r="G126" i="38"/>
  <c r="D126" i="38"/>
  <c r="C126" i="38"/>
  <c r="B126" i="38"/>
  <c r="K125" i="38"/>
  <c r="J125" i="38"/>
  <c r="G125" i="38"/>
  <c r="D125" i="38"/>
  <c r="C125" i="38"/>
  <c r="B125" i="38"/>
  <c r="K124" i="38"/>
  <c r="J124" i="38"/>
  <c r="G124" i="38"/>
  <c r="D124" i="38"/>
  <c r="C124" i="38"/>
  <c r="B124" i="38"/>
  <c r="J123" i="38"/>
  <c r="K123" i="38" s="1"/>
  <c r="G123" i="38"/>
  <c r="D123" i="38"/>
  <c r="C123" i="38"/>
  <c r="B123" i="38"/>
  <c r="K122" i="38"/>
  <c r="J122" i="38"/>
  <c r="G122" i="38"/>
  <c r="D122" i="38"/>
  <c r="C122" i="38"/>
  <c r="B122" i="38"/>
  <c r="K121" i="38"/>
  <c r="J121" i="38"/>
  <c r="G121" i="38"/>
  <c r="D121" i="38"/>
  <c r="C121" i="38"/>
  <c r="B121" i="38"/>
  <c r="K120" i="38"/>
  <c r="J120" i="38"/>
  <c r="G120" i="38"/>
  <c r="D120" i="38"/>
  <c r="C120" i="38"/>
  <c r="B120" i="38"/>
  <c r="J119" i="38"/>
  <c r="K119" i="38" s="1"/>
  <c r="G119" i="38"/>
  <c r="D119" i="38"/>
  <c r="C119" i="38"/>
  <c r="B119" i="38"/>
  <c r="K118" i="38"/>
  <c r="J118" i="38"/>
  <c r="G118" i="38"/>
  <c r="D118" i="38"/>
  <c r="C118" i="38"/>
  <c r="B118" i="38"/>
  <c r="K117" i="38"/>
  <c r="J117" i="38"/>
  <c r="G117" i="38"/>
  <c r="D117" i="38"/>
  <c r="C117" i="38"/>
  <c r="B117" i="38"/>
  <c r="K116" i="38"/>
  <c r="J116" i="38"/>
  <c r="G116" i="38"/>
  <c r="D116" i="38"/>
  <c r="C116" i="38"/>
  <c r="B116" i="38"/>
  <c r="J115" i="38"/>
  <c r="K115" i="38" s="1"/>
  <c r="G115" i="38"/>
  <c r="D115" i="38"/>
  <c r="C115" i="38"/>
  <c r="B115" i="38"/>
  <c r="K114" i="38"/>
  <c r="J114" i="38"/>
  <c r="G114" i="38"/>
  <c r="D114" i="38"/>
  <c r="C114" i="38"/>
  <c r="B114" i="38"/>
  <c r="K113" i="38"/>
  <c r="J113" i="38"/>
  <c r="G113" i="38"/>
  <c r="D113" i="38"/>
  <c r="C113" i="38"/>
  <c r="B113" i="38"/>
  <c r="K112" i="38"/>
  <c r="J112" i="38"/>
  <c r="G112" i="38"/>
  <c r="D112" i="38"/>
  <c r="C112" i="38"/>
  <c r="B112" i="38"/>
  <c r="J111" i="38"/>
  <c r="K111" i="38" s="1"/>
  <c r="G111" i="38"/>
  <c r="D111" i="38"/>
  <c r="C111" i="38"/>
  <c r="B111" i="38"/>
  <c r="K110" i="38"/>
  <c r="J110" i="38"/>
  <c r="G110" i="38"/>
  <c r="D110" i="38"/>
  <c r="C110" i="38"/>
  <c r="B110" i="38"/>
  <c r="K109" i="38"/>
  <c r="J109" i="38"/>
  <c r="G109" i="38"/>
  <c r="D109" i="38"/>
  <c r="C109" i="38"/>
  <c r="B109" i="38"/>
  <c r="K108" i="38"/>
  <c r="J108" i="38"/>
  <c r="G108" i="38"/>
  <c r="D108" i="38"/>
  <c r="C108" i="38"/>
  <c r="B108" i="38"/>
  <c r="J107" i="38"/>
  <c r="K107" i="38" s="1"/>
  <c r="G107" i="38"/>
  <c r="D107" i="38"/>
  <c r="C107" i="38"/>
  <c r="B107" i="38"/>
  <c r="K106" i="38"/>
  <c r="J106" i="38"/>
  <c r="G106" i="38"/>
  <c r="D106" i="38"/>
  <c r="C106" i="38"/>
  <c r="B106" i="38"/>
  <c r="K105" i="38"/>
  <c r="J105" i="38"/>
  <c r="G105" i="38"/>
  <c r="D105" i="38"/>
  <c r="C105" i="38"/>
  <c r="B105" i="38"/>
  <c r="K104" i="38"/>
  <c r="J104" i="38"/>
  <c r="G104" i="38"/>
  <c r="D104" i="38"/>
  <c r="C104" i="38"/>
  <c r="B104" i="38"/>
  <c r="J103" i="38"/>
  <c r="K103" i="38" s="1"/>
  <c r="G103" i="38"/>
  <c r="D103" i="38"/>
  <c r="C103" i="38"/>
  <c r="B103" i="38"/>
  <c r="K102" i="38"/>
  <c r="J102" i="38"/>
  <c r="G102" i="38"/>
  <c r="D102" i="38"/>
  <c r="C102" i="38"/>
  <c r="B102" i="38"/>
  <c r="K101" i="38"/>
  <c r="J101" i="38"/>
  <c r="G101" i="38"/>
  <c r="D101" i="38"/>
  <c r="C101" i="38"/>
  <c r="B101" i="38"/>
  <c r="K100" i="38"/>
  <c r="J100" i="38"/>
  <c r="G100" i="38"/>
  <c r="D100" i="38"/>
  <c r="C100" i="38"/>
  <c r="B100" i="38"/>
  <c r="J99" i="38"/>
  <c r="K99" i="38" s="1"/>
  <c r="G99" i="38"/>
  <c r="D99" i="38"/>
  <c r="C99" i="38"/>
  <c r="B99" i="38"/>
  <c r="K98" i="38"/>
  <c r="J98" i="38"/>
  <c r="G98" i="38"/>
  <c r="D98" i="38"/>
  <c r="C98" i="38"/>
  <c r="B98" i="38"/>
  <c r="K97" i="38"/>
  <c r="J97" i="38"/>
  <c r="G97" i="38"/>
  <c r="D97" i="38"/>
  <c r="C97" i="38"/>
  <c r="B97" i="38"/>
  <c r="K96" i="38"/>
  <c r="J96" i="38"/>
  <c r="G96" i="38"/>
  <c r="D96" i="38"/>
  <c r="C96" i="38"/>
  <c r="B96" i="38"/>
  <c r="J95" i="38"/>
  <c r="K95" i="38" s="1"/>
  <c r="G95" i="38"/>
  <c r="D95" i="38"/>
  <c r="C95" i="38"/>
  <c r="B95" i="38"/>
  <c r="K94" i="38"/>
  <c r="J94" i="38"/>
  <c r="G94" i="38"/>
  <c r="D94" i="38"/>
  <c r="C94" i="38"/>
  <c r="B94" i="38"/>
  <c r="K93" i="38"/>
  <c r="J93" i="38"/>
  <c r="G93" i="38"/>
  <c r="D93" i="38"/>
  <c r="C93" i="38"/>
  <c r="B93" i="38"/>
  <c r="K92" i="38"/>
  <c r="J92" i="38"/>
  <c r="G92" i="38"/>
  <c r="D92" i="38"/>
  <c r="C92" i="38"/>
  <c r="B92" i="38"/>
  <c r="J91" i="38"/>
  <c r="K91" i="38" s="1"/>
  <c r="G91" i="38"/>
  <c r="D91" i="38"/>
  <c r="C91" i="38"/>
  <c r="B91" i="38"/>
  <c r="K90" i="38"/>
  <c r="J90" i="38"/>
  <c r="G90" i="38"/>
  <c r="D90" i="38"/>
  <c r="C90" i="38"/>
  <c r="B90" i="38"/>
  <c r="K89" i="38"/>
  <c r="J89" i="38"/>
  <c r="G89" i="38"/>
  <c r="D89" i="38"/>
  <c r="C89" i="38"/>
  <c r="B89" i="38"/>
  <c r="K88" i="38"/>
  <c r="J88" i="38"/>
  <c r="G88" i="38"/>
  <c r="D88" i="38"/>
  <c r="C88" i="38"/>
  <c r="B88" i="38"/>
  <c r="J87" i="38"/>
  <c r="K87" i="38" s="1"/>
  <c r="G87" i="38"/>
  <c r="D87" i="38"/>
  <c r="C87" i="38"/>
  <c r="B87" i="38"/>
  <c r="K86" i="38"/>
  <c r="J86" i="38"/>
  <c r="G86" i="38"/>
  <c r="D86" i="38"/>
  <c r="C86" i="38"/>
  <c r="B86" i="38"/>
  <c r="K85" i="38"/>
  <c r="J85" i="38"/>
  <c r="G85" i="38"/>
  <c r="D85" i="38"/>
  <c r="C85" i="38"/>
  <c r="B85" i="38"/>
  <c r="K84" i="38"/>
  <c r="J84" i="38"/>
  <c r="G84" i="38"/>
  <c r="D84" i="38"/>
  <c r="C84" i="38"/>
  <c r="B84" i="38"/>
  <c r="J83" i="38"/>
  <c r="K83" i="38" s="1"/>
  <c r="G83" i="38"/>
  <c r="D83" i="38"/>
  <c r="C83" i="38"/>
  <c r="B83" i="38"/>
  <c r="K82" i="38"/>
  <c r="J82" i="38"/>
  <c r="G82" i="38"/>
  <c r="D82" i="38"/>
  <c r="C82" i="38"/>
  <c r="B82" i="38"/>
  <c r="K81" i="38"/>
  <c r="J81" i="38"/>
  <c r="G81" i="38"/>
  <c r="D81" i="38"/>
  <c r="C81" i="38"/>
  <c r="B81" i="38"/>
  <c r="K80" i="38"/>
  <c r="J80" i="38"/>
  <c r="G80" i="38"/>
  <c r="D80" i="38"/>
  <c r="C80" i="38"/>
  <c r="B80" i="38"/>
  <c r="J79" i="38"/>
  <c r="K79" i="38" s="1"/>
  <c r="G79" i="38"/>
  <c r="D79" i="38"/>
  <c r="C79" i="38"/>
  <c r="B79" i="38"/>
  <c r="K78" i="38"/>
  <c r="J78" i="38"/>
  <c r="G78" i="38"/>
  <c r="D78" i="38"/>
  <c r="C78" i="38"/>
  <c r="B78" i="38"/>
  <c r="K77" i="38"/>
  <c r="J77" i="38"/>
  <c r="G77" i="38"/>
  <c r="D77" i="38"/>
  <c r="C77" i="38"/>
  <c r="B77" i="38"/>
  <c r="K76" i="38"/>
  <c r="J76" i="38"/>
  <c r="G76" i="38"/>
  <c r="D76" i="38"/>
  <c r="C76" i="38"/>
  <c r="B76" i="38"/>
  <c r="J75" i="38"/>
  <c r="K75" i="38" s="1"/>
  <c r="G75" i="38"/>
  <c r="D75" i="38"/>
  <c r="C75" i="38"/>
  <c r="B75" i="38"/>
  <c r="K74" i="38"/>
  <c r="J74" i="38"/>
  <c r="G74" i="38"/>
  <c r="D74" i="38"/>
  <c r="C74" i="38"/>
  <c r="B74" i="38"/>
  <c r="K73" i="38"/>
  <c r="J73" i="38"/>
  <c r="G73" i="38"/>
  <c r="D73" i="38"/>
  <c r="C73" i="38"/>
  <c r="B73" i="38"/>
  <c r="K72" i="38"/>
  <c r="J72" i="38"/>
  <c r="G72" i="38"/>
  <c r="D72" i="38"/>
  <c r="C72" i="38"/>
  <c r="B72" i="38"/>
  <c r="J71" i="38"/>
  <c r="K71" i="38" s="1"/>
  <c r="G71" i="38"/>
  <c r="D71" i="38"/>
  <c r="C71" i="38"/>
  <c r="B71" i="38"/>
  <c r="K70" i="38"/>
  <c r="J70" i="38"/>
  <c r="G70" i="38"/>
  <c r="D70" i="38"/>
  <c r="C70" i="38"/>
  <c r="B70" i="38"/>
  <c r="K69" i="38"/>
  <c r="J69" i="38"/>
  <c r="G69" i="38"/>
  <c r="D69" i="38"/>
  <c r="C69" i="38"/>
  <c r="B69" i="38"/>
  <c r="K68" i="38"/>
  <c r="J68" i="38"/>
  <c r="G68" i="38"/>
  <c r="D68" i="38"/>
  <c r="C68" i="38"/>
  <c r="B68" i="38"/>
  <c r="J67" i="38"/>
  <c r="K67" i="38" s="1"/>
  <c r="G67" i="38"/>
  <c r="D67" i="38"/>
  <c r="C67" i="38"/>
  <c r="B67" i="38"/>
  <c r="K66" i="38"/>
  <c r="J66" i="38"/>
  <c r="G66" i="38"/>
  <c r="D66" i="38"/>
  <c r="C66" i="38"/>
  <c r="B66" i="38"/>
  <c r="K65" i="38"/>
  <c r="J65" i="38"/>
  <c r="G65" i="38"/>
  <c r="D65" i="38"/>
  <c r="C65" i="38"/>
  <c r="B65" i="38"/>
  <c r="K64" i="38"/>
  <c r="J64" i="38"/>
  <c r="G64" i="38"/>
  <c r="D64" i="38"/>
  <c r="C64" i="38"/>
  <c r="B64" i="38"/>
  <c r="J63" i="38"/>
  <c r="K63" i="38" s="1"/>
  <c r="G63" i="38"/>
  <c r="D63" i="38"/>
  <c r="C63" i="38"/>
  <c r="B63" i="38"/>
  <c r="K62" i="38"/>
  <c r="J62" i="38"/>
  <c r="G62" i="38"/>
  <c r="D62" i="38"/>
  <c r="C62" i="38"/>
  <c r="B62" i="38"/>
  <c r="K61" i="38"/>
  <c r="J61" i="38"/>
  <c r="G61" i="38"/>
  <c r="D61" i="38"/>
  <c r="C61" i="38"/>
  <c r="B61" i="38"/>
  <c r="K60" i="38"/>
  <c r="J60" i="38"/>
  <c r="G60" i="38"/>
  <c r="D60" i="38"/>
  <c r="C60" i="38"/>
  <c r="B60" i="38"/>
  <c r="J59" i="38"/>
  <c r="K59" i="38" s="1"/>
  <c r="G59" i="38"/>
  <c r="D59" i="38"/>
  <c r="C59" i="38"/>
  <c r="B59" i="38"/>
  <c r="K58" i="38"/>
  <c r="J58" i="38"/>
  <c r="G58" i="38"/>
  <c r="D58" i="38"/>
  <c r="C58" i="38"/>
  <c r="B58" i="38"/>
  <c r="K57" i="38"/>
  <c r="J57" i="38"/>
  <c r="G57" i="38"/>
  <c r="D57" i="38"/>
  <c r="C57" i="38"/>
  <c r="B57" i="38"/>
  <c r="K56" i="38"/>
  <c r="J56" i="38"/>
  <c r="G56" i="38"/>
  <c r="D56" i="38"/>
  <c r="C56" i="38"/>
  <c r="B56" i="38"/>
  <c r="J55" i="38"/>
  <c r="K55" i="38" s="1"/>
  <c r="G55" i="38"/>
  <c r="D55" i="38"/>
  <c r="C55" i="38"/>
  <c r="B55" i="38"/>
  <c r="K54" i="38"/>
  <c r="J54" i="38"/>
  <c r="G54" i="38"/>
  <c r="D54" i="38"/>
  <c r="C54" i="38"/>
  <c r="B54" i="38"/>
  <c r="K53" i="38"/>
  <c r="J53" i="38"/>
  <c r="G53" i="38"/>
  <c r="D53" i="38"/>
  <c r="C53" i="38"/>
  <c r="B53" i="38"/>
  <c r="K52" i="38"/>
  <c r="J52" i="38"/>
  <c r="G52" i="38"/>
  <c r="D52" i="38"/>
  <c r="C52" i="38"/>
  <c r="B52" i="38"/>
  <c r="J51" i="38"/>
  <c r="K51" i="38" s="1"/>
  <c r="G51" i="38"/>
  <c r="D51" i="38"/>
  <c r="C51" i="38"/>
  <c r="B51" i="38"/>
  <c r="K50" i="38"/>
  <c r="J50" i="38"/>
  <c r="G50" i="38"/>
  <c r="D50" i="38"/>
  <c r="C50" i="38"/>
  <c r="B50" i="38"/>
  <c r="K49" i="38"/>
  <c r="J49" i="38"/>
  <c r="G49" i="38"/>
  <c r="D49" i="38"/>
  <c r="C49" i="38"/>
  <c r="B49" i="38"/>
  <c r="K48" i="38"/>
  <c r="J48" i="38"/>
  <c r="G48" i="38"/>
  <c r="D48" i="38"/>
  <c r="C48" i="38"/>
  <c r="B48" i="38"/>
  <c r="J47" i="38"/>
  <c r="K47" i="38" s="1"/>
  <c r="G47" i="38"/>
  <c r="D47" i="38"/>
  <c r="C47" i="38"/>
  <c r="B47" i="38"/>
  <c r="K46" i="38"/>
  <c r="J46" i="38"/>
  <c r="G46" i="38"/>
  <c r="D46" i="38"/>
  <c r="C46" i="38"/>
  <c r="B46" i="38"/>
  <c r="K45" i="38"/>
  <c r="J45" i="38"/>
  <c r="G45" i="38"/>
  <c r="D45" i="38"/>
  <c r="C45" i="38"/>
  <c r="B45" i="38"/>
  <c r="K44" i="38"/>
  <c r="J44" i="38"/>
  <c r="G44" i="38"/>
  <c r="D44" i="38"/>
  <c r="C44" i="38"/>
  <c r="B44" i="38"/>
  <c r="J43" i="38"/>
  <c r="K43" i="38" s="1"/>
  <c r="G43" i="38"/>
  <c r="D43" i="38"/>
  <c r="C43" i="38"/>
  <c r="B43" i="38"/>
  <c r="K42" i="38"/>
  <c r="J42" i="38"/>
  <c r="G42" i="38"/>
  <c r="D42" i="38"/>
  <c r="C42" i="38"/>
  <c r="B42" i="38"/>
  <c r="K41" i="38"/>
  <c r="J41" i="38"/>
  <c r="G41" i="38"/>
  <c r="D41" i="38"/>
  <c r="C41" i="38"/>
  <c r="B41" i="38"/>
  <c r="K40" i="38"/>
  <c r="J40" i="38"/>
  <c r="G40" i="38"/>
  <c r="D40" i="38"/>
  <c r="C40" i="38"/>
  <c r="B40" i="38"/>
  <c r="J39" i="38"/>
  <c r="K39" i="38" s="1"/>
  <c r="G39" i="38"/>
  <c r="D39" i="38"/>
  <c r="C39" i="38"/>
  <c r="B39" i="38"/>
  <c r="K38" i="38"/>
  <c r="J38" i="38"/>
  <c r="G38" i="38"/>
  <c r="D38" i="38"/>
  <c r="C38" i="38"/>
  <c r="B38" i="38"/>
  <c r="K37" i="38"/>
  <c r="J37" i="38"/>
  <c r="G37" i="38"/>
  <c r="D37" i="38"/>
  <c r="C37" i="38"/>
  <c r="B37" i="38"/>
  <c r="K36" i="38"/>
  <c r="J36" i="38"/>
  <c r="G36" i="38"/>
  <c r="D36" i="38"/>
  <c r="C36" i="38"/>
  <c r="B36" i="38"/>
  <c r="J35" i="38"/>
  <c r="K35" i="38" s="1"/>
  <c r="G35" i="38"/>
  <c r="D35" i="38"/>
  <c r="C35" i="38"/>
  <c r="B35" i="38"/>
  <c r="K34" i="38"/>
  <c r="J34" i="38"/>
  <c r="G34" i="38"/>
  <c r="D34" i="38"/>
  <c r="C34" i="38"/>
  <c r="B34" i="38"/>
  <c r="K33" i="38"/>
  <c r="J33" i="38"/>
  <c r="G33" i="38"/>
  <c r="D33" i="38"/>
  <c r="C33" i="38"/>
  <c r="B33" i="38"/>
  <c r="K32" i="38"/>
  <c r="J32" i="38"/>
  <c r="G32" i="38"/>
  <c r="D32" i="38"/>
  <c r="C32" i="38"/>
  <c r="B32" i="38"/>
  <c r="J31" i="38"/>
  <c r="K31" i="38" s="1"/>
  <c r="G31" i="38"/>
  <c r="D31" i="38"/>
  <c r="C31" i="38"/>
  <c r="B31" i="38"/>
  <c r="K30" i="38"/>
  <c r="J30" i="38"/>
  <c r="G30" i="38"/>
  <c r="D30" i="38"/>
  <c r="C30" i="38"/>
  <c r="B30" i="38"/>
  <c r="K29" i="38"/>
  <c r="J29" i="38"/>
  <c r="G29" i="38"/>
  <c r="D29" i="38"/>
  <c r="C29" i="38"/>
  <c r="B29" i="38"/>
  <c r="K28" i="38"/>
  <c r="J28" i="38"/>
  <c r="G28" i="38"/>
  <c r="D28" i="38"/>
  <c r="C28" i="38"/>
  <c r="B28" i="38"/>
  <c r="J27" i="38"/>
  <c r="K27" i="38" s="1"/>
  <c r="G27" i="38"/>
  <c r="D27" i="38"/>
  <c r="C27" i="38"/>
  <c r="B27" i="38"/>
  <c r="K26" i="38"/>
  <c r="J26" i="38"/>
  <c r="G26" i="38"/>
  <c r="D26" i="38"/>
  <c r="C26" i="38"/>
  <c r="B26" i="38"/>
  <c r="J25" i="38"/>
  <c r="K25" i="38" s="1"/>
  <c r="G25" i="38"/>
  <c r="D25" i="38"/>
  <c r="C25" i="38"/>
  <c r="B25" i="38"/>
  <c r="K24" i="38"/>
  <c r="J24" i="38"/>
  <c r="G24" i="38"/>
  <c r="D24" i="38"/>
  <c r="C24" i="38"/>
  <c r="B24" i="38"/>
  <c r="J23" i="38"/>
  <c r="K23" i="38" s="1"/>
  <c r="G23" i="38"/>
  <c r="D23" i="38"/>
  <c r="C23" i="38"/>
  <c r="B23" i="38"/>
  <c r="K22" i="38"/>
  <c r="J22" i="38"/>
  <c r="G22" i="38"/>
  <c r="D22" i="38"/>
  <c r="C22" i="38"/>
  <c r="B22" i="38"/>
  <c r="J21" i="38"/>
  <c r="K21" i="38" s="1"/>
  <c r="G21" i="38"/>
  <c r="D21" i="38"/>
  <c r="C21" i="38"/>
  <c r="B21" i="38"/>
  <c r="K20" i="38"/>
  <c r="J20" i="38"/>
  <c r="G20" i="38"/>
  <c r="D20" i="38"/>
  <c r="C20" i="38"/>
  <c r="B20" i="38"/>
  <c r="J19" i="38"/>
  <c r="K19" i="38" s="1"/>
  <c r="G19" i="38"/>
  <c r="D19" i="38"/>
  <c r="C19" i="38"/>
  <c r="B19" i="38"/>
  <c r="K18" i="38"/>
  <c r="J18" i="38"/>
  <c r="G18" i="38"/>
  <c r="D18" i="38"/>
  <c r="C18" i="38"/>
  <c r="B18" i="38"/>
  <c r="K17" i="38"/>
  <c r="J17" i="38"/>
  <c r="G17" i="38"/>
  <c r="D17" i="38"/>
  <c r="C17" i="38"/>
  <c r="B17" i="38"/>
  <c r="K16" i="38"/>
  <c r="J16" i="38"/>
  <c r="G16" i="38"/>
  <c r="D16" i="38"/>
  <c r="C16" i="38"/>
  <c r="B16" i="38"/>
  <c r="J15" i="38"/>
  <c r="K15" i="38" s="1"/>
  <c r="G15" i="38"/>
  <c r="D15" i="38"/>
  <c r="C15" i="38"/>
  <c r="B15" i="38"/>
  <c r="K14" i="38"/>
  <c r="J14" i="38"/>
  <c r="G14" i="38"/>
  <c r="D14" i="38"/>
  <c r="C14" i="38"/>
  <c r="B14" i="38"/>
  <c r="J13" i="38"/>
  <c r="K13" i="38" s="1"/>
  <c r="G13" i="38"/>
  <c r="D13" i="38"/>
  <c r="C13" i="38"/>
  <c r="B13" i="38"/>
  <c r="K12" i="38"/>
  <c r="J12" i="38"/>
  <c r="G12" i="38"/>
  <c r="D12" i="38"/>
  <c r="C12" i="38"/>
  <c r="B12" i="38"/>
  <c r="J11" i="38"/>
  <c r="K11" i="38" s="1"/>
  <c r="G11" i="38"/>
  <c r="D11" i="38"/>
  <c r="C11" i="38"/>
  <c r="B11" i="38"/>
  <c r="K10" i="38"/>
  <c r="J10" i="38"/>
  <c r="G10" i="38"/>
  <c r="D10" i="38"/>
  <c r="C10" i="38"/>
  <c r="B10" i="38"/>
  <c r="K9" i="38"/>
  <c r="J9" i="38"/>
  <c r="G9" i="38"/>
  <c r="D9" i="38"/>
  <c r="C9" i="38"/>
  <c r="B9" i="38"/>
  <c r="K4" i="38"/>
  <c r="G4" i="38"/>
  <c r="D4" i="38"/>
  <c r="A4" i="38"/>
  <c r="J208" i="37"/>
  <c r="I208" i="37"/>
  <c r="F208" i="37"/>
  <c r="D208" i="37"/>
  <c r="C208" i="37"/>
  <c r="B208" i="37"/>
  <c r="J207" i="37"/>
  <c r="I207" i="37"/>
  <c r="F207" i="37"/>
  <c r="D207" i="37"/>
  <c r="C207" i="37"/>
  <c r="B207" i="37"/>
  <c r="J206" i="37"/>
  <c r="I206" i="37"/>
  <c r="F206" i="37"/>
  <c r="D206" i="37"/>
  <c r="C206" i="37"/>
  <c r="B206" i="37"/>
  <c r="I205" i="37"/>
  <c r="J205" i="37" s="1"/>
  <c r="F205" i="37"/>
  <c r="D205" i="37"/>
  <c r="C205" i="37"/>
  <c r="B205" i="37"/>
  <c r="J204" i="37"/>
  <c r="I204" i="37"/>
  <c r="F204" i="37"/>
  <c r="D204" i="37"/>
  <c r="C204" i="37"/>
  <c r="B204" i="37"/>
  <c r="I203" i="37"/>
  <c r="J203" i="37" s="1"/>
  <c r="F203" i="37"/>
  <c r="D203" i="37"/>
  <c r="C203" i="37"/>
  <c r="B203" i="37"/>
  <c r="J202" i="37"/>
  <c r="I202" i="37"/>
  <c r="F202" i="37"/>
  <c r="D202" i="37"/>
  <c r="C202" i="37"/>
  <c r="B202" i="37"/>
  <c r="I201" i="37"/>
  <c r="J201" i="37" s="1"/>
  <c r="F201" i="37"/>
  <c r="D201" i="37"/>
  <c r="C201" i="37"/>
  <c r="B201" i="37"/>
  <c r="J200" i="37"/>
  <c r="I200" i="37"/>
  <c r="F200" i="37"/>
  <c r="D200" i="37"/>
  <c r="C200" i="37"/>
  <c r="B200" i="37"/>
  <c r="J199" i="37"/>
  <c r="I199" i="37"/>
  <c r="F199" i="37"/>
  <c r="D199" i="37"/>
  <c r="C199" i="37"/>
  <c r="B199" i="37"/>
  <c r="I198" i="37"/>
  <c r="J198" i="37" s="1"/>
  <c r="F198" i="37"/>
  <c r="D198" i="37"/>
  <c r="C198" i="37"/>
  <c r="B198" i="37"/>
  <c r="I197" i="37"/>
  <c r="J197" i="37" s="1"/>
  <c r="F197" i="37"/>
  <c r="D197" i="37"/>
  <c r="C197" i="37"/>
  <c r="B197" i="37"/>
  <c r="I196" i="37"/>
  <c r="J196" i="37" s="1"/>
  <c r="F196" i="37"/>
  <c r="D196" i="37"/>
  <c r="C196" i="37"/>
  <c r="B196" i="37"/>
  <c r="J195" i="37"/>
  <c r="I195" i="37"/>
  <c r="F195" i="37"/>
  <c r="D195" i="37"/>
  <c r="C195" i="37"/>
  <c r="B195" i="37"/>
  <c r="I194" i="37"/>
  <c r="J194" i="37" s="1"/>
  <c r="F194" i="37"/>
  <c r="D194" i="37"/>
  <c r="C194" i="37"/>
  <c r="B194" i="37"/>
  <c r="I193" i="37"/>
  <c r="J193" i="37" s="1"/>
  <c r="F193" i="37"/>
  <c r="D193" i="37"/>
  <c r="C193" i="37"/>
  <c r="B193" i="37"/>
  <c r="J192" i="37"/>
  <c r="I192" i="37"/>
  <c r="F192" i="37"/>
  <c r="D192" i="37"/>
  <c r="C192" i="37"/>
  <c r="B192" i="37"/>
  <c r="I191" i="37"/>
  <c r="J191" i="37" s="1"/>
  <c r="F191" i="37"/>
  <c r="D191" i="37"/>
  <c r="C191" i="37"/>
  <c r="B191" i="37"/>
  <c r="J190" i="37"/>
  <c r="I190" i="37"/>
  <c r="F190" i="37"/>
  <c r="D190" i="37"/>
  <c r="C190" i="37"/>
  <c r="B190" i="37"/>
  <c r="I189" i="37"/>
  <c r="J189" i="37" s="1"/>
  <c r="F189" i="37"/>
  <c r="D189" i="37"/>
  <c r="C189" i="37"/>
  <c r="B189" i="37"/>
  <c r="J188" i="37"/>
  <c r="I188" i="37"/>
  <c r="F188" i="37"/>
  <c r="D188" i="37"/>
  <c r="C188" i="37"/>
  <c r="B188" i="37"/>
  <c r="I187" i="37"/>
  <c r="J187" i="37" s="1"/>
  <c r="F187" i="37"/>
  <c r="D187" i="37"/>
  <c r="C187" i="37"/>
  <c r="B187" i="37"/>
  <c r="I186" i="37"/>
  <c r="J186" i="37" s="1"/>
  <c r="F186" i="37"/>
  <c r="D186" i="37"/>
  <c r="C186" i="37"/>
  <c r="B186" i="37"/>
  <c r="I185" i="37"/>
  <c r="J185" i="37" s="1"/>
  <c r="F185" i="37"/>
  <c r="D185" i="37"/>
  <c r="C185" i="37"/>
  <c r="B185" i="37"/>
  <c r="I184" i="37"/>
  <c r="J184" i="37" s="1"/>
  <c r="F184" i="37"/>
  <c r="D184" i="37"/>
  <c r="C184" i="37"/>
  <c r="B184" i="37"/>
  <c r="J183" i="37"/>
  <c r="I183" i="37"/>
  <c r="F183" i="37"/>
  <c r="D183" i="37"/>
  <c r="C183" i="37"/>
  <c r="B183" i="37"/>
  <c r="J182" i="37"/>
  <c r="I182" i="37"/>
  <c r="F182" i="37"/>
  <c r="D182" i="37"/>
  <c r="C182" i="37"/>
  <c r="B182" i="37"/>
  <c r="I181" i="37"/>
  <c r="J181" i="37" s="1"/>
  <c r="F181" i="37"/>
  <c r="D181" i="37"/>
  <c r="C181" i="37"/>
  <c r="B181" i="37"/>
  <c r="I180" i="37"/>
  <c r="J180" i="37" s="1"/>
  <c r="F180" i="37"/>
  <c r="D180" i="37"/>
  <c r="C180" i="37"/>
  <c r="B180" i="37"/>
  <c r="I179" i="37"/>
  <c r="J179" i="37" s="1"/>
  <c r="F179" i="37"/>
  <c r="D179" i="37"/>
  <c r="C179" i="37"/>
  <c r="B179" i="37"/>
  <c r="I178" i="37"/>
  <c r="J178" i="37" s="1"/>
  <c r="F178" i="37"/>
  <c r="D178" i="37"/>
  <c r="C178" i="37"/>
  <c r="B178" i="37"/>
  <c r="I177" i="37"/>
  <c r="J177" i="37" s="1"/>
  <c r="F177" i="37"/>
  <c r="D177" i="37"/>
  <c r="C177" i="37"/>
  <c r="B177" i="37"/>
  <c r="J176" i="37"/>
  <c r="I176" i="37"/>
  <c r="F176" i="37"/>
  <c r="D176" i="37"/>
  <c r="C176" i="37"/>
  <c r="B176" i="37"/>
  <c r="J175" i="37"/>
  <c r="I175" i="37"/>
  <c r="F175" i="37"/>
  <c r="D175" i="37"/>
  <c r="C175" i="37"/>
  <c r="B175" i="37"/>
  <c r="J174" i="37"/>
  <c r="I174" i="37"/>
  <c r="F174" i="37"/>
  <c r="D174" i="37"/>
  <c r="C174" i="37"/>
  <c r="B174" i="37"/>
  <c r="I173" i="37"/>
  <c r="J173" i="37" s="1"/>
  <c r="F173" i="37"/>
  <c r="D173" i="37"/>
  <c r="C173" i="37"/>
  <c r="B173" i="37"/>
  <c r="I172" i="37"/>
  <c r="J172" i="37" s="1"/>
  <c r="F172" i="37"/>
  <c r="D172" i="37"/>
  <c r="C172" i="37"/>
  <c r="B172" i="37"/>
  <c r="I171" i="37"/>
  <c r="J171" i="37" s="1"/>
  <c r="F171" i="37"/>
  <c r="D171" i="37"/>
  <c r="C171" i="37"/>
  <c r="B171" i="37"/>
  <c r="J170" i="37"/>
  <c r="I170" i="37"/>
  <c r="F170" i="37"/>
  <c r="D170" i="37"/>
  <c r="C170" i="37"/>
  <c r="B170" i="37"/>
  <c r="I169" i="37"/>
  <c r="J169" i="37" s="1"/>
  <c r="F169" i="37"/>
  <c r="D169" i="37"/>
  <c r="C169" i="37"/>
  <c r="B169" i="37"/>
  <c r="J168" i="37"/>
  <c r="I168" i="37"/>
  <c r="F168" i="37"/>
  <c r="D168" i="37"/>
  <c r="C168" i="37"/>
  <c r="B168" i="37"/>
  <c r="J167" i="37"/>
  <c r="I167" i="37"/>
  <c r="F167" i="37"/>
  <c r="D167" i="37"/>
  <c r="C167" i="37"/>
  <c r="B167" i="37"/>
  <c r="I166" i="37"/>
  <c r="J166" i="37" s="1"/>
  <c r="F166" i="37"/>
  <c r="D166" i="37"/>
  <c r="C166" i="37"/>
  <c r="B166" i="37"/>
  <c r="I165" i="37"/>
  <c r="J165" i="37" s="1"/>
  <c r="F165" i="37"/>
  <c r="D165" i="37"/>
  <c r="C165" i="37"/>
  <c r="B165" i="37"/>
  <c r="I164" i="37"/>
  <c r="J164" i="37" s="1"/>
  <c r="F164" i="37"/>
  <c r="D164" i="37"/>
  <c r="C164" i="37"/>
  <c r="B164" i="37"/>
  <c r="J163" i="37"/>
  <c r="I163" i="37"/>
  <c r="F163" i="37"/>
  <c r="D163" i="37"/>
  <c r="C163" i="37"/>
  <c r="B163" i="37"/>
  <c r="I162" i="37"/>
  <c r="J162" i="37" s="1"/>
  <c r="F162" i="37"/>
  <c r="D162" i="37"/>
  <c r="C162" i="37"/>
  <c r="B162" i="37"/>
  <c r="I161" i="37"/>
  <c r="J161" i="37" s="1"/>
  <c r="F161" i="37"/>
  <c r="D161" i="37"/>
  <c r="C161" i="37"/>
  <c r="B161" i="37"/>
  <c r="J160" i="37"/>
  <c r="I160" i="37"/>
  <c r="F160" i="37"/>
  <c r="D160" i="37"/>
  <c r="C160" i="37"/>
  <c r="B160" i="37"/>
  <c r="I159" i="37"/>
  <c r="J159" i="37" s="1"/>
  <c r="F159" i="37"/>
  <c r="D159" i="37"/>
  <c r="C159" i="37"/>
  <c r="B159" i="37"/>
  <c r="J158" i="37"/>
  <c r="I158" i="37"/>
  <c r="F158" i="37"/>
  <c r="D158" i="37"/>
  <c r="C158" i="37"/>
  <c r="B158" i="37"/>
  <c r="I157" i="37"/>
  <c r="J157" i="37" s="1"/>
  <c r="F157" i="37"/>
  <c r="D157" i="37"/>
  <c r="C157" i="37"/>
  <c r="B157" i="37"/>
  <c r="J156" i="37"/>
  <c r="I156" i="37"/>
  <c r="F156" i="37"/>
  <c r="D156" i="37"/>
  <c r="C156" i="37"/>
  <c r="B156" i="37"/>
  <c r="I155" i="37"/>
  <c r="J155" i="37" s="1"/>
  <c r="F155" i="37"/>
  <c r="D155" i="37"/>
  <c r="C155" i="37"/>
  <c r="B155" i="37"/>
  <c r="I154" i="37"/>
  <c r="J154" i="37" s="1"/>
  <c r="F154" i="37"/>
  <c r="D154" i="37"/>
  <c r="C154" i="37"/>
  <c r="B154" i="37"/>
  <c r="I153" i="37"/>
  <c r="J153" i="37" s="1"/>
  <c r="F153" i="37"/>
  <c r="D153" i="37"/>
  <c r="C153" i="37"/>
  <c r="B153" i="37"/>
  <c r="I152" i="37"/>
  <c r="J152" i="37" s="1"/>
  <c r="F152" i="37"/>
  <c r="D152" i="37"/>
  <c r="C152" i="37"/>
  <c r="B152" i="37"/>
  <c r="J151" i="37"/>
  <c r="I151" i="37"/>
  <c r="F151" i="37"/>
  <c r="D151" i="37"/>
  <c r="C151" i="37"/>
  <c r="B151" i="37"/>
  <c r="J150" i="37"/>
  <c r="I150" i="37"/>
  <c r="F150" i="37"/>
  <c r="D150" i="37"/>
  <c r="C150" i="37"/>
  <c r="B150" i="37"/>
  <c r="I149" i="37"/>
  <c r="J149" i="37" s="1"/>
  <c r="F149" i="37"/>
  <c r="D149" i="37"/>
  <c r="C149" i="37"/>
  <c r="B149" i="37"/>
  <c r="I148" i="37"/>
  <c r="J148" i="37" s="1"/>
  <c r="F148" i="37"/>
  <c r="D148" i="37"/>
  <c r="C148" i="37"/>
  <c r="B148" i="37"/>
  <c r="I147" i="37"/>
  <c r="J147" i="37" s="1"/>
  <c r="F147" i="37"/>
  <c r="D147" i="37"/>
  <c r="C147" i="37"/>
  <c r="B147" i="37"/>
  <c r="J146" i="37"/>
  <c r="I146" i="37"/>
  <c r="F146" i="37"/>
  <c r="D146" i="37"/>
  <c r="C146" i="37"/>
  <c r="B146" i="37"/>
  <c r="I145" i="37"/>
  <c r="J145" i="37" s="1"/>
  <c r="F145" i="37"/>
  <c r="D145" i="37"/>
  <c r="C145" i="37"/>
  <c r="B145" i="37"/>
  <c r="J144" i="37"/>
  <c r="I144" i="37"/>
  <c r="F144" i="37"/>
  <c r="D144" i="37"/>
  <c r="C144" i="37"/>
  <c r="B144" i="37"/>
  <c r="J143" i="37"/>
  <c r="I143" i="37"/>
  <c r="F143" i="37"/>
  <c r="D143" i="37"/>
  <c r="C143" i="37"/>
  <c r="B143" i="37"/>
  <c r="J142" i="37"/>
  <c r="I142" i="37"/>
  <c r="F142" i="37"/>
  <c r="D142" i="37"/>
  <c r="C142" i="37"/>
  <c r="B142" i="37"/>
  <c r="I141" i="37"/>
  <c r="J141" i="37" s="1"/>
  <c r="F141" i="37"/>
  <c r="D141" i="37"/>
  <c r="C141" i="37"/>
  <c r="B141" i="37"/>
  <c r="I140" i="37"/>
  <c r="J140" i="37" s="1"/>
  <c r="F140" i="37"/>
  <c r="D140" i="37"/>
  <c r="C140" i="37"/>
  <c r="B140" i="37"/>
  <c r="J139" i="37"/>
  <c r="I139" i="37"/>
  <c r="F139" i="37"/>
  <c r="D139" i="37"/>
  <c r="C139" i="37"/>
  <c r="B139" i="37"/>
  <c r="J138" i="37"/>
  <c r="I138" i="37"/>
  <c r="F138" i="37"/>
  <c r="D138" i="37"/>
  <c r="C138" i="37"/>
  <c r="B138" i="37"/>
  <c r="I137" i="37"/>
  <c r="J137" i="37" s="1"/>
  <c r="F137" i="37"/>
  <c r="D137" i="37"/>
  <c r="C137" i="37"/>
  <c r="B137" i="37"/>
  <c r="J136" i="37"/>
  <c r="I136" i="37"/>
  <c r="F136" i="37"/>
  <c r="D136" i="37"/>
  <c r="C136" i="37"/>
  <c r="B136" i="37"/>
  <c r="J135" i="37"/>
  <c r="I135" i="37"/>
  <c r="F135" i="37"/>
  <c r="D135" i="37"/>
  <c r="C135" i="37"/>
  <c r="B135" i="37"/>
  <c r="I134" i="37"/>
  <c r="J134" i="37" s="1"/>
  <c r="F134" i="37"/>
  <c r="D134" i="37"/>
  <c r="C134" i="37"/>
  <c r="B134" i="37"/>
  <c r="I133" i="37"/>
  <c r="J133" i="37" s="1"/>
  <c r="F133" i="37"/>
  <c r="D133" i="37"/>
  <c r="C133" i="37"/>
  <c r="B133" i="37"/>
  <c r="J132" i="37"/>
  <c r="I132" i="37"/>
  <c r="F132" i="37"/>
  <c r="D132" i="37"/>
  <c r="C132" i="37"/>
  <c r="B132" i="37"/>
  <c r="J131" i="37"/>
  <c r="I131" i="37"/>
  <c r="F131" i="37"/>
  <c r="D131" i="37"/>
  <c r="C131" i="37"/>
  <c r="B131" i="37"/>
  <c r="I130" i="37"/>
  <c r="J130" i="37" s="1"/>
  <c r="F130" i="37"/>
  <c r="D130" i="37"/>
  <c r="C130" i="37"/>
  <c r="B130" i="37"/>
  <c r="I129" i="37"/>
  <c r="J129" i="37" s="1"/>
  <c r="F129" i="37"/>
  <c r="D129" i="37"/>
  <c r="C129" i="37"/>
  <c r="B129" i="37"/>
  <c r="J128" i="37"/>
  <c r="I128" i="37"/>
  <c r="F128" i="37"/>
  <c r="D128" i="37"/>
  <c r="C128" i="37"/>
  <c r="B128" i="37"/>
  <c r="I127" i="37"/>
  <c r="J127" i="37" s="1"/>
  <c r="F127" i="37"/>
  <c r="D127" i="37"/>
  <c r="C127" i="37"/>
  <c r="B127" i="37"/>
  <c r="J126" i="37"/>
  <c r="I126" i="37"/>
  <c r="F126" i="37"/>
  <c r="D126" i="37"/>
  <c r="C126" i="37"/>
  <c r="B126" i="37"/>
  <c r="I125" i="37"/>
  <c r="J125" i="37" s="1"/>
  <c r="F125" i="37"/>
  <c r="D125" i="37"/>
  <c r="C125" i="37"/>
  <c r="B125" i="37"/>
  <c r="J124" i="37"/>
  <c r="I124" i="37"/>
  <c r="F124" i="37"/>
  <c r="D124" i="37"/>
  <c r="C124" i="37"/>
  <c r="B124" i="37"/>
  <c r="I123" i="37"/>
  <c r="J123" i="37" s="1"/>
  <c r="F123" i="37"/>
  <c r="D123" i="37"/>
  <c r="C123" i="37"/>
  <c r="B123" i="37"/>
  <c r="I122" i="37"/>
  <c r="J122" i="37" s="1"/>
  <c r="F122" i="37"/>
  <c r="D122" i="37"/>
  <c r="C122" i="37"/>
  <c r="B122" i="37"/>
  <c r="J121" i="37"/>
  <c r="I121" i="37"/>
  <c r="F121" i="37"/>
  <c r="D121" i="37"/>
  <c r="C121" i="37"/>
  <c r="B121" i="37"/>
  <c r="J120" i="37"/>
  <c r="I120" i="37"/>
  <c r="F120" i="37"/>
  <c r="D120" i="37"/>
  <c r="C120" i="37"/>
  <c r="B120" i="37"/>
  <c r="I119" i="37"/>
  <c r="J119" i="37" s="1"/>
  <c r="F119" i="37"/>
  <c r="D119" i="37"/>
  <c r="C119" i="37"/>
  <c r="B119" i="37"/>
  <c r="I118" i="37"/>
  <c r="J118" i="37" s="1"/>
  <c r="F118" i="37"/>
  <c r="D118" i="37"/>
  <c r="C118" i="37"/>
  <c r="B118" i="37"/>
  <c r="J117" i="37"/>
  <c r="I117" i="37"/>
  <c r="F117" i="37"/>
  <c r="D117" i="37"/>
  <c r="C117" i="37"/>
  <c r="B117" i="37"/>
  <c r="J116" i="37"/>
  <c r="I116" i="37"/>
  <c r="F116" i="37"/>
  <c r="D116" i="37"/>
  <c r="C116" i="37"/>
  <c r="B116" i="37"/>
  <c r="I115" i="37"/>
  <c r="J115" i="37" s="1"/>
  <c r="F115" i="37"/>
  <c r="D115" i="37"/>
  <c r="C115" i="37"/>
  <c r="B115" i="37"/>
  <c r="I114" i="37"/>
  <c r="J114" i="37" s="1"/>
  <c r="F114" i="37"/>
  <c r="D114" i="37"/>
  <c r="C114" i="37"/>
  <c r="B114" i="37"/>
  <c r="J113" i="37"/>
  <c r="I113" i="37"/>
  <c r="F113" i="37"/>
  <c r="D113" i="37"/>
  <c r="C113" i="37"/>
  <c r="B113" i="37"/>
  <c r="J112" i="37"/>
  <c r="I112" i="37"/>
  <c r="F112" i="37"/>
  <c r="D112" i="37"/>
  <c r="C112" i="37"/>
  <c r="B112" i="37"/>
  <c r="I111" i="37"/>
  <c r="J111" i="37" s="1"/>
  <c r="F111" i="37"/>
  <c r="D111" i="37"/>
  <c r="C111" i="37"/>
  <c r="B111" i="37"/>
  <c r="I110" i="37"/>
  <c r="J110" i="37" s="1"/>
  <c r="F110" i="37"/>
  <c r="D110" i="37"/>
  <c r="C110" i="37"/>
  <c r="B110" i="37"/>
  <c r="J109" i="37"/>
  <c r="I109" i="37"/>
  <c r="F109" i="37"/>
  <c r="D109" i="37"/>
  <c r="C109" i="37"/>
  <c r="B109" i="37"/>
  <c r="J108" i="37"/>
  <c r="I108" i="37"/>
  <c r="F108" i="37"/>
  <c r="D108" i="37"/>
  <c r="C108" i="37"/>
  <c r="B108" i="37"/>
  <c r="I107" i="37"/>
  <c r="J107" i="37" s="1"/>
  <c r="F107" i="37"/>
  <c r="D107" i="37"/>
  <c r="C107" i="37"/>
  <c r="B107" i="37"/>
  <c r="I106" i="37"/>
  <c r="J106" i="37" s="1"/>
  <c r="F106" i="37"/>
  <c r="D106" i="37"/>
  <c r="C106" i="37"/>
  <c r="B106" i="37"/>
  <c r="J105" i="37"/>
  <c r="I105" i="37"/>
  <c r="F105" i="37"/>
  <c r="D105" i="37"/>
  <c r="C105" i="37"/>
  <c r="B105" i="37"/>
  <c r="J104" i="37"/>
  <c r="I104" i="37"/>
  <c r="F104" i="37"/>
  <c r="D104" i="37"/>
  <c r="C104" i="37"/>
  <c r="B104" i="37"/>
  <c r="I103" i="37"/>
  <c r="J103" i="37" s="1"/>
  <c r="F103" i="37"/>
  <c r="D103" i="37"/>
  <c r="C103" i="37"/>
  <c r="B103" i="37"/>
  <c r="I102" i="37"/>
  <c r="J102" i="37" s="1"/>
  <c r="F102" i="37"/>
  <c r="D102" i="37"/>
  <c r="C102" i="37"/>
  <c r="B102" i="37"/>
  <c r="J101" i="37"/>
  <c r="I101" i="37"/>
  <c r="F101" i="37"/>
  <c r="D101" i="37"/>
  <c r="C101" i="37"/>
  <c r="B101" i="37"/>
  <c r="J100" i="37"/>
  <c r="I100" i="37"/>
  <c r="F100" i="37"/>
  <c r="D100" i="37"/>
  <c r="C100" i="37"/>
  <c r="B100" i="37"/>
  <c r="I99" i="37"/>
  <c r="J99" i="37" s="1"/>
  <c r="F99" i="37"/>
  <c r="D99" i="37"/>
  <c r="C99" i="37"/>
  <c r="B99" i="37"/>
  <c r="I98" i="37"/>
  <c r="J98" i="37" s="1"/>
  <c r="F98" i="37"/>
  <c r="D98" i="37"/>
  <c r="C98" i="37"/>
  <c r="B98" i="37"/>
  <c r="J97" i="37"/>
  <c r="I97" i="37"/>
  <c r="F97" i="37"/>
  <c r="D97" i="37"/>
  <c r="C97" i="37"/>
  <c r="B97" i="37"/>
  <c r="J96" i="37"/>
  <c r="I96" i="37"/>
  <c r="F96" i="37"/>
  <c r="D96" i="37"/>
  <c r="C96" i="37"/>
  <c r="B96" i="37"/>
  <c r="I95" i="37"/>
  <c r="J95" i="37" s="1"/>
  <c r="F95" i="37"/>
  <c r="D95" i="37"/>
  <c r="C95" i="37"/>
  <c r="B95" i="37"/>
  <c r="I94" i="37"/>
  <c r="J94" i="37" s="1"/>
  <c r="F94" i="37"/>
  <c r="D94" i="37"/>
  <c r="C94" i="37"/>
  <c r="B94" i="37"/>
  <c r="J93" i="37"/>
  <c r="I93" i="37"/>
  <c r="F93" i="37"/>
  <c r="D93" i="37"/>
  <c r="C93" i="37"/>
  <c r="B93" i="37"/>
  <c r="J92" i="37"/>
  <c r="I92" i="37"/>
  <c r="F92" i="37"/>
  <c r="D92" i="37"/>
  <c r="C92" i="37"/>
  <c r="B92" i="37"/>
  <c r="I91" i="37"/>
  <c r="J91" i="37" s="1"/>
  <c r="F91" i="37"/>
  <c r="D91" i="37"/>
  <c r="C91" i="37"/>
  <c r="B91" i="37"/>
  <c r="I90" i="37"/>
  <c r="J90" i="37" s="1"/>
  <c r="F90" i="37"/>
  <c r="D90" i="37"/>
  <c r="C90" i="37"/>
  <c r="B90" i="37"/>
  <c r="J89" i="37"/>
  <c r="I89" i="37"/>
  <c r="F89" i="37"/>
  <c r="D89" i="37"/>
  <c r="C89" i="37"/>
  <c r="B89" i="37"/>
  <c r="J88" i="37"/>
  <c r="I88" i="37"/>
  <c r="F88" i="37"/>
  <c r="D88" i="37"/>
  <c r="C88" i="37"/>
  <c r="B88" i="37"/>
  <c r="I87" i="37"/>
  <c r="J87" i="37" s="1"/>
  <c r="F87" i="37"/>
  <c r="D87" i="37"/>
  <c r="C87" i="37"/>
  <c r="B87" i="37"/>
  <c r="I86" i="37"/>
  <c r="J86" i="37" s="1"/>
  <c r="F86" i="37"/>
  <c r="D86" i="37"/>
  <c r="C86" i="37"/>
  <c r="B86" i="37"/>
  <c r="J85" i="37"/>
  <c r="I85" i="37"/>
  <c r="F85" i="37"/>
  <c r="D85" i="37"/>
  <c r="C85" i="37"/>
  <c r="B85" i="37"/>
  <c r="J84" i="37"/>
  <c r="I84" i="37"/>
  <c r="F84" i="37"/>
  <c r="D84" i="37"/>
  <c r="C84" i="37"/>
  <c r="B84" i="37"/>
  <c r="I83" i="37"/>
  <c r="J83" i="37" s="1"/>
  <c r="F83" i="37"/>
  <c r="D83" i="37"/>
  <c r="C83" i="37"/>
  <c r="B83" i="37"/>
  <c r="I82" i="37"/>
  <c r="J82" i="37" s="1"/>
  <c r="F82" i="37"/>
  <c r="D82" i="37"/>
  <c r="C82" i="37"/>
  <c r="B82" i="37"/>
  <c r="J81" i="37"/>
  <c r="I81" i="37"/>
  <c r="F81" i="37"/>
  <c r="D81" i="37"/>
  <c r="C81" i="37"/>
  <c r="B81" i="37"/>
  <c r="J80" i="37"/>
  <c r="I80" i="37"/>
  <c r="F80" i="37"/>
  <c r="D80" i="37"/>
  <c r="C80" i="37"/>
  <c r="B80" i="37"/>
  <c r="I79" i="37"/>
  <c r="J79" i="37" s="1"/>
  <c r="F79" i="37"/>
  <c r="D79" i="37"/>
  <c r="C79" i="37"/>
  <c r="B79" i="37"/>
  <c r="I78" i="37"/>
  <c r="J78" i="37" s="1"/>
  <c r="F78" i="37"/>
  <c r="D78" i="37"/>
  <c r="C78" i="37"/>
  <c r="B78" i="37"/>
  <c r="J77" i="37"/>
  <c r="I77" i="37"/>
  <c r="F77" i="37"/>
  <c r="D77" i="37"/>
  <c r="C77" i="37"/>
  <c r="B77" i="37"/>
  <c r="J76" i="37"/>
  <c r="I76" i="37"/>
  <c r="F76" i="37"/>
  <c r="D76" i="37"/>
  <c r="C76" i="37"/>
  <c r="B76" i="37"/>
  <c r="I75" i="37"/>
  <c r="J75" i="37" s="1"/>
  <c r="F75" i="37"/>
  <c r="D75" i="37"/>
  <c r="C75" i="37"/>
  <c r="B75" i="37"/>
  <c r="I74" i="37"/>
  <c r="J74" i="37" s="1"/>
  <c r="F74" i="37"/>
  <c r="D74" i="37"/>
  <c r="C74" i="37"/>
  <c r="B74" i="37"/>
  <c r="J73" i="37"/>
  <c r="I73" i="37"/>
  <c r="F73" i="37"/>
  <c r="D73" i="37"/>
  <c r="C73" i="37"/>
  <c r="B73" i="37"/>
  <c r="J72" i="37"/>
  <c r="I72" i="37"/>
  <c r="F72" i="37"/>
  <c r="D72" i="37"/>
  <c r="C72" i="37"/>
  <c r="B72" i="37"/>
  <c r="I71" i="37"/>
  <c r="J71" i="37" s="1"/>
  <c r="F71" i="37"/>
  <c r="D71" i="37"/>
  <c r="C71" i="37"/>
  <c r="B71" i="37"/>
  <c r="I70" i="37"/>
  <c r="J70" i="37" s="1"/>
  <c r="F70" i="37"/>
  <c r="D70" i="37"/>
  <c r="C70" i="37"/>
  <c r="B70" i="37"/>
  <c r="J69" i="37"/>
  <c r="I69" i="37"/>
  <c r="F69" i="37"/>
  <c r="D69" i="37"/>
  <c r="C69" i="37"/>
  <c r="B69" i="37"/>
  <c r="J68" i="37"/>
  <c r="I68" i="37"/>
  <c r="F68" i="37"/>
  <c r="D68" i="37"/>
  <c r="C68" i="37"/>
  <c r="B68" i="37"/>
  <c r="I67" i="37"/>
  <c r="J67" i="37" s="1"/>
  <c r="F67" i="37"/>
  <c r="D67" i="37"/>
  <c r="C67" i="37"/>
  <c r="B67" i="37"/>
  <c r="I66" i="37"/>
  <c r="J66" i="37" s="1"/>
  <c r="F66" i="37"/>
  <c r="D66" i="37"/>
  <c r="C66" i="37"/>
  <c r="B66" i="37"/>
  <c r="J65" i="37"/>
  <c r="I65" i="37"/>
  <c r="F65" i="37"/>
  <c r="D65" i="37"/>
  <c r="C65" i="37"/>
  <c r="B65" i="37"/>
  <c r="J64" i="37"/>
  <c r="I64" i="37"/>
  <c r="F64" i="37"/>
  <c r="D64" i="37"/>
  <c r="C64" i="37"/>
  <c r="B64" i="37"/>
  <c r="I63" i="37"/>
  <c r="J63" i="37" s="1"/>
  <c r="F63" i="37"/>
  <c r="D63" i="37"/>
  <c r="C63" i="37"/>
  <c r="B63" i="37"/>
  <c r="I62" i="37"/>
  <c r="J62" i="37" s="1"/>
  <c r="F62" i="37"/>
  <c r="D62" i="37"/>
  <c r="C62" i="37"/>
  <c r="B62" i="37"/>
  <c r="J61" i="37"/>
  <c r="I61" i="37"/>
  <c r="F61" i="37"/>
  <c r="D61" i="37"/>
  <c r="C61" i="37"/>
  <c r="B61" i="37"/>
  <c r="J60" i="37"/>
  <c r="I60" i="37"/>
  <c r="F60" i="37"/>
  <c r="D60" i="37"/>
  <c r="C60" i="37"/>
  <c r="B60" i="37"/>
  <c r="I59" i="37"/>
  <c r="J59" i="37" s="1"/>
  <c r="F59" i="37"/>
  <c r="D59" i="37"/>
  <c r="C59" i="37"/>
  <c r="B59" i="37"/>
  <c r="I58" i="37"/>
  <c r="J58" i="37" s="1"/>
  <c r="F58" i="37"/>
  <c r="D58" i="37"/>
  <c r="C58" i="37"/>
  <c r="B58" i="37"/>
  <c r="J57" i="37"/>
  <c r="I57" i="37"/>
  <c r="F57" i="37"/>
  <c r="D57" i="37"/>
  <c r="C57" i="37"/>
  <c r="B57" i="37"/>
  <c r="J56" i="37"/>
  <c r="I56" i="37"/>
  <c r="F56" i="37"/>
  <c r="D56" i="37"/>
  <c r="C56" i="37"/>
  <c r="B56" i="37"/>
  <c r="I55" i="37"/>
  <c r="J55" i="37" s="1"/>
  <c r="F55" i="37"/>
  <c r="D55" i="37"/>
  <c r="C55" i="37"/>
  <c r="B55" i="37"/>
  <c r="I54" i="37"/>
  <c r="J54" i="37" s="1"/>
  <c r="F54" i="37"/>
  <c r="D54" i="37"/>
  <c r="C54" i="37"/>
  <c r="B54" i="37"/>
  <c r="J53" i="37"/>
  <c r="I53" i="37"/>
  <c r="F53" i="37"/>
  <c r="D53" i="37"/>
  <c r="C53" i="37"/>
  <c r="B53" i="37"/>
  <c r="J52" i="37"/>
  <c r="I52" i="37"/>
  <c r="F52" i="37"/>
  <c r="D52" i="37"/>
  <c r="C52" i="37"/>
  <c r="B52" i="37"/>
  <c r="I51" i="37"/>
  <c r="J51" i="37" s="1"/>
  <c r="F51" i="37"/>
  <c r="D51" i="37"/>
  <c r="C51" i="37"/>
  <c r="B51" i="37"/>
  <c r="I50" i="37"/>
  <c r="J50" i="37" s="1"/>
  <c r="F50" i="37"/>
  <c r="D50" i="37"/>
  <c r="C50" i="37"/>
  <c r="B50" i="37"/>
  <c r="J49" i="37"/>
  <c r="I49" i="37"/>
  <c r="F49" i="37"/>
  <c r="D49" i="37"/>
  <c r="C49" i="37"/>
  <c r="B49" i="37"/>
  <c r="J48" i="37"/>
  <c r="I48" i="37"/>
  <c r="F48" i="37"/>
  <c r="D48" i="37"/>
  <c r="C48" i="37"/>
  <c r="B48" i="37"/>
  <c r="I47" i="37"/>
  <c r="J47" i="37" s="1"/>
  <c r="F47" i="37"/>
  <c r="D47" i="37"/>
  <c r="C47" i="37"/>
  <c r="B47" i="37"/>
  <c r="I46" i="37"/>
  <c r="J46" i="37" s="1"/>
  <c r="F46" i="37"/>
  <c r="D46" i="37"/>
  <c r="C46" i="37"/>
  <c r="B46" i="37"/>
  <c r="J45" i="37"/>
  <c r="I45" i="37"/>
  <c r="F45" i="37"/>
  <c r="D45" i="37"/>
  <c r="C45" i="37"/>
  <c r="B45" i="37"/>
  <c r="J44" i="37"/>
  <c r="I44" i="37"/>
  <c r="F44" i="37"/>
  <c r="D44" i="37"/>
  <c r="C44" i="37"/>
  <c r="B44" i="37"/>
  <c r="I43" i="37"/>
  <c r="J43" i="37" s="1"/>
  <c r="F43" i="37"/>
  <c r="D43" i="37"/>
  <c r="C43" i="37"/>
  <c r="B43" i="37"/>
  <c r="I42" i="37"/>
  <c r="J42" i="37" s="1"/>
  <c r="F42" i="37"/>
  <c r="D42" i="37"/>
  <c r="C42" i="37"/>
  <c r="B42" i="37"/>
  <c r="J41" i="37"/>
  <c r="I41" i="37"/>
  <c r="F41" i="37"/>
  <c r="D41" i="37"/>
  <c r="C41" i="37"/>
  <c r="B41" i="37"/>
  <c r="J40" i="37"/>
  <c r="I40" i="37"/>
  <c r="F40" i="37"/>
  <c r="D40" i="37"/>
  <c r="C40" i="37"/>
  <c r="B40" i="37"/>
  <c r="I39" i="37"/>
  <c r="J39" i="37" s="1"/>
  <c r="F39" i="37"/>
  <c r="D39" i="37"/>
  <c r="C39" i="37"/>
  <c r="B39" i="37"/>
  <c r="I38" i="37"/>
  <c r="J38" i="37" s="1"/>
  <c r="F38" i="37"/>
  <c r="D38" i="37"/>
  <c r="C38" i="37"/>
  <c r="B38" i="37"/>
  <c r="J37" i="37"/>
  <c r="I37" i="37"/>
  <c r="F37" i="37"/>
  <c r="D37" i="37"/>
  <c r="C37" i="37"/>
  <c r="B37" i="37"/>
  <c r="J36" i="37"/>
  <c r="I36" i="37"/>
  <c r="F36" i="37"/>
  <c r="D36" i="37"/>
  <c r="C36" i="37"/>
  <c r="B36" i="37"/>
  <c r="I35" i="37"/>
  <c r="J35" i="37" s="1"/>
  <c r="F35" i="37"/>
  <c r="D35" i="37"/>
  <c r="C35" i="37"/>
  <c r="B35" i="37"/>
  <c r="J34" i="37"/>
  <c r="I34" i="37"/>
  <c r="F34" i="37"/>
  <c r="D34" i="37"/>
  <c r="C34" i="37"/>
  <c r="B34" i="37"/>
  <c r="J33" i="37"/>
  <c r="I33" i="37"/>
  <c r="F33" i="37"/>
  <c r="D33" i="37"/>
  <c r="C33" i="37"/>
  <c r="B33" i="37"/>
  <c r="J32" i="37"/>
  <c r="I32" i="37"/>
  <c r="F32" i="37"/>
  <c r="D32" i="37"/>
  <c r="C32" i="37"/>
  <c r="B32" i="37"/>
  <c r="I31" i="37"/>
  <c r="J31" i="37" s="1"/>
  <c r="F31" i="37"/>
  <c r="D31" i="37"/>
  <c r="C31" i="37"/>
  <c r="B31" i="37"/>
  <c r="J30" i="37"/>
  <c r="I30" i="37"/>
  <c r="F30" i="37"/>
  <c r="D30" i="37"/>
  <c r="C30" i="37"/>
  <c r="B30" i="37"/>
  <c r="J29" i="37"/>
  <c r="I29" i="37"/>
  <c r="F29" i="37"/>
  <c r="D29" i="37"/>
  <c r="C29" i="37"/>
  <c r="B29" i="37"/>
  <c r="J28" i="37"/>
  <c r="I28" i="37"/>
  <c r="F28" i="37"/>
  <c r="D28" i="37"/>
  <c r="C28" i="37"/>
  <c r="B28" i="37"/>
  <c r="I27" i="37"/>
  <c r="J27" i="37" s="1"/>
  <c r="F27" i="37"/>
  <c r="D27" i="37"/>
  <c r="C27" i="37"/>
  <c r="B27" i="37"/>
  <c r="J26" i="37"/>
  <c r="I26" i="37"/>
  <c r="F26" i="37"/>
  <c r="D26" i="37"/>
  <c r="C26" i="37"/>
  <c r="B26" i="37"/>
  <c r="J25" i="37"/>
  <c r="I25" i="37"/>
  <c r="F25" i="37"/>
  <c r="D25" i="37"/>
  <c r="C25" i="37"/>
  <c r="B25" i="37"/>
  <c r="J24" i="37"/>
  <c r="I24" i="37"/>
  <c r="F24" i="37"/>
  <c r="D24" i="37"/>
  <c r="C24" i="37"/>
  <c r="B24" i="37"/>
  <c r="I23" i="37"/>
  <c r="J23" i="37" s="1"/>
  <c r="F23" i="37"/>
  <c r="D23" i="37"/>
  <c r="C23" i="37"/>
  <c r="B23" i="37"/>
  <c r="J22" i="37"/>
  <c r="I22" i="37"/>
  <c r="F22" i="37"/>
  <c r="D22" i="37"/>
  <c r="C22" i="37"/>
  <c r="B22" i="37"/>
  <c r="J21" i="37"/>
  <c r="I21" i="37"/>
  <c r="F21" i="37"/>
  <c r="D21" i="37"/>
  <c r="C21" i="37"/>
  <c r="B21" i="37"/>
  <c r="J20" i="37"/>
  <c r="I20" i="37"/>
  <c r="F20" i="37"/>
  <c r="D20" i="37"/>
  <c r="C20" i="37"/>
  <c r="B20" i="37"/>
  <c r="I19" i="37"/>
  <c r="J19" i="37" s="1"/>
  <c r="F19" i="37"/>
  <c r="D19" i="37"/>
  <c r="C19" i="37"/>
  <c r="B19" i="37"/>
  <c r="J18" i="37"/>
  <c r="I18" i="37"/>
  <c r="F18" i="37"/>
  <c r="D18" i="37"/>
  <c r="C18" i="37"/>
  <c r="B18" i="37"/>
  <c r="J17" i="37"/>
  <c r="I17" i="37"/>
  <c r="F17" i="37"/>
  <c r="D17" i="37"/>
  <c r="C17" i="37"/>
  <c r="B17" i="37"/>
  <c r="J16" i="37"/>
  <c r="I16" i="37"/>
  <c r="F16" i="37"/>
  <c r="D16" i="37"/>
  <c r="C16" i="37"/>
  <c r="B16" i="37"/>
  <c r="I15" i="37"/>
  <c r="J15" i="37" s="1"/>
  <c r="F15" i="37"/>
  <c r="D15" i="37"/>
  <c r="C15" i="37"/>
  <c r="B15" i="37"/>
  <c r="J14" i="37"/>
  <c r="I14" i="37"/>
  <c r="F14" i="37"/>
  <c r="D14" i="37"/>
  <c r="C14" i="37"/>
  <c r="B14" i="37"/>
  <c r="J13" i="37"/>
  <c r="I13" i="37"/>
  <c r="F13" i="37"/>
  <c r="D13" i="37"/>
  <c r="C13" i="37"/>
  <c r="B13" i="37"/>
  <c r="J12" i="37"/>
  <c r="I12" i="37"/>
  <c r="F12" i="37"/>
  <c r="D12" i="37"/>
  <c r="C12" i="37"/>
  <c r="B12" i="37"/>
  <c r="I11" i="37"/>
  <c r="J11" i="37" s="1"/>
  <c r="F11" i="37"/>
  <c r="D11" i="37"/>
  <c r="C11" i="37"/>
  <c r="B11" i="37"/>
  <c r="J10" i="37"/>
  <c r="I10" i="37"/>
  <c r="F10" i="37"/>
  <c r="D10" i="37"/>
  <c r="C10" i="37"/>
  <c r="B10" i="37"/>
  <c r="J9" i="37"/>
  <c r="I9" i="37"/>
  <c r="F9" i="37"/>
  <c r="D9" i="37"/>
  <c r="C9" i="37"/>
  <c r="B9" i="37"/>
  <c r="A5" i="37"/>
  <c r="G4" i="37"/>
  <c r="D4" i="37"/>
  <c r="A4" i="37"/>
  <c r="K213" i="36"/>
  <c r="J213" i="36"/>
  <c r="I213" i="36"/>
  <c r="D213" i="36"/>
  <c r="C213" i="36"/>
  <c r="A213" i="36"/>
  <c r="K212" i="36"/>
  <c r="J212" i="36"/>
  <c r="I212" i="36"/>
  <c r="D212" i="36"/>
  <c r="C212" i="36"/>
  <c r="A212" i="36"/>
  <c r="K211" i="36"/>
  <c r="J211" i="36"/>
  <c r="I211" i="36"/>
  <c r="D211" i="36"/>
  <c r="C211" i="36"/>
  <c r="A211" i="36"/>
  <c r="K210" i="36"/>
  <c r="I210" i="36"/>
  <c r="J210" i="36" s="1"/>
  <c r="D210" i="36"/>
  <c r="C210" i="36"/>
  <c r="A210" i="36"/>
  <c r="K209" i="36"/>
  <c r="J209" i="36"/>
  <c r="I209" i="36"/>
  <c r="D209" i="36"/>
  <c r="C209" i="36"/>
  <c r="A209" i="36"/>
  <c r="K208" i="36"/>
  <c r="J208" i="36"/>
  <c r="I208" i="36"/>
  <c r="D208" i="36"/>
  <c r="C208" i="36"/>
  <c r="A208" i="36"/>
  <c r="K207" i="36"/>
  <c r="J207" i="36"/>
  <c r="I207" i="36"/>
  <c r="D207" i="36"/>
  <c r="C207" i="36"/>
  <c r="A207" i="36"/>
  <c r="K206" i="36"/>
  <c r="I206" i="36"/>
  <c r="J206" i="36" s="1"/>
  <c r="D206" i="36"/>
  <c r="C206" i="36"/>
  <c r="A206" i="36"/>
  <c r="K205" i="36"/>
  <c r="J205" i="36"/>
  <c r="I205" i="36"/>
  <c r="D205" i="36"/>
  <c r="C205" i="36"/>
  <c r="A205" i="36"/>
  <c r="K204" i="36"/>
  <c r="J204" i="36"/>
  <c r="I204" i="36"/>
  <c r="D204" i="36"/>
  <c r="C204" i="36"/>
  <c r="A204" i="36"/>
  <c r="K203" i="36"/>
  <c r="J203" i="36"/>
  <c r="I203" i="36"/>
  <c r="D203" i="36"/>
  <c r="C203" i="36"/>
  <c r="A203" i="36"/>
  <c r="K202" i="36"/>
  <c r="I202" i="36"/>
  <c r="J202" i="36" s="1"/>
  <c r="D202" i="36"/>
  <c r="C202" i="36"/>
  <c r="A202" i="36"/>
  <c r="K201" i="36"/>
  <c r="J201" i="36"/>
  <c r="I201" i="36"/>
  <c r="D201" i="36"/>
  <c r="C201" i="36"/>
  <c r="A201" i="36"/>
  <c r="K200" i="36"/>
  <c r="J200" i="36"/>
  <c r="I200" i="36"/>
  <c r="D200" i="36"/>
  <c r="C200" i="36"/>
  <c r="A200" i="36"/>
  <c r="K199" i="36"/>
  <c r="J199" i="36"/>
  <c r="I199" i="36"/>
  <c r="D199" i="36"/>
  <c r="C199" i="36"/>
  <c r="A199" i="36"/>
  <c r="K198" i="36"/>
  <c r="I198" i="36"/>
  <c r="J198" i="36" s="1"/>
  <c r="D198" i="36"/>
  <c r="C198" i="36"/>
  <c r="A198" i="36"/>
  <c r="K197" i="36"/>
  <c r="J197" i="36"/>
  <c r="I197" i="36"/>
  <c r="D197" i="36"/>
  <c r="C197" i="36"/>
  <c r="A197" i="36"/>
  <c r="K196" i="36"/>
  <c r="J196" i="36"/>
  <c r="I196" i="36"/>
  <c r="D196" i="36"/>
  <c r="C196" i="36"/>
  <c r="A196" i="36"/>
  <c r="K195" i="36"/>
  <c r="J195" i="36"/>
  <c r="I195" i="36"/>
  <c r="D195" i="36"/>
  <c r="C195" i="36"/>
  <c r="A195" i="36"/>
  <c r="K194" i="36"/>
  <c r="I194" i="36"/>
  <c r="J194" i="36" s="1"/>
  <c r="D194" i="36"/>
  <c r="C194" i="36"/>
  <c r="A194" i="36"/>
  <c r="K193" i="36"/>
  <c r="J193" i="36"/>
  <c r="I193" i="36"/>
  <c r="D193" i="36"/>
  <c r="C193" i="36"/>
  <c r="A193" i="36"/>
  <c r="K192" i="36"/>
  <c r="J192" i="36"/>
  <c r="I192" i="36"/>
  <c r="D192" i="36"/>
  <c r="C192" i="36"/>
  <c r="A192" i="36"/>
  <c r="K191" i="36"/>
  <c r="J191" i="36"/>
  <c r="I191" i="36"/>
  <c r="D191" i="36"/>
  <c r="C191" i="36"/>
  <c r="A191" i="36"/>
  <c r="K190" i="36"/>
  <c r="I190" i="36"/>
  <c r="J190" i="36" s="1"/>
  <c r="D190" i="36"/>
  <c r="C190" i="36"/>
  <c r="A190" i="36"/>
  <c r="K189" i="36"/>
  <c r="J189" i="36"/>
  <c r="I189" i="36"/>
  <c r="D189" i="36"/>
  <c r="C189" i="36"/>
  <c r="A189" i="36"/>
  <c r="K188" i="36"/>
  <c r="J188" i="36"/>
  <c r="I188" i="36"/>
  <c r="D188" i="36"/>
  <c r="C188" i="36"/>
  <c r="A188" i="36"/>
  <c r="K187" i="36"/>
  <c r="J187" i="36"/>
  <c r="I187" i="36"/>
  <c r="D187" i="36"/>
  <c r="C187" i="36"/>
  <c r="A187" i="36"/>
  <c r="K186" i="36"/>
  <c r="I186" i="36"/>
  <c r="J186" i="36" s="1"/>
  <c r="D186" i="36"/>
  <c r="C186" i="36"/>
  <c r="A186" i="36"/>
  <c r="K185" i="36"/>
  <c r="J185" i="36"/>
  <c r="I185" i="36"/>
  <c r="D185" i="36"/>
  <c r="C185" i="36"/>
  <c r="A185" i="36"/>
  <c r="K184" i="36"/>
  <c r="J184" i="36"/>
  <c r="I184" i="36"/>
  <c r="D184" i="36"/>
  <c r="C184" i="36"/>
  <c r="A184" i="36"/>
  <c r="K183" i="36"/>
  <c r="J183" i="36"/>
  <c r="I183" i="36"/>
  <c r="D183" i="36"/>
  <c r="C183" i="36"/>
  <c r="A183" i="36"/>
  <c r="K182" i="36"/>
  <c r="I182" i="36"/>
  <c r="J182" i="36" s="1"/>
  <c r="D182" i="36"/>
  <c r="C182" i="36"/>
  <c r="A182" i="36"/>
  <c r="K181" i="36"/>
  <c r="J181" i="36"/>
  <c r="I181" i="36"/>
  <c r="D181" i="36"/>
  <c r="C181" i="36"/>
  <c r="A181" i="36"/>
  <c r="K180" i="36"/>
  <c r="J180" i="36"/>
  <c r="I180" i="36"/>
  <c r="D180" i="36"/>
  <c r="C180" i="36"/>
  <c r="A180" i="36"/>
  <c r="K179" i="36"/>
  <c r="J179" i="36"/>
  <c r="I179" i="36"/>
  <c r="D179" i="36"/>
  <c r="C179" i="36"/>
  <c r="A179" i="36"/>
  <c r="K178" i="36"/>
  <c r="I178" i="36"/>
  <c r="J178" i="36" s="1"/>
  <c r="D178" i="36"/>
  <c r="C178" i="36"/>
  <c r="A178" i="36"/>
  <c r="K177" i="36"/>
  <c r="J177" i="36"/>
  <c r="I177" i="36"/>
  <c r="D177" i="36"/>
  <c r="C177" i="36"/>
  <c r="A177" i="36"/>
  <c r="K176" i="36"/>
  <c r="J176" i="36"/>
  <c r="I176" i="36"/>
  <c r="D176" i="36"/>
  <c r="C176" i="36"/>
  <c r="A176" i="36"/>
  <c r="K175" i="36"/>
  <c r="J175" i="36"/>
  <c r="I175" i="36"/>
  <c r="D175" i="36"/>
  <c r="C175" i="36"/>
  <c r="A175" i="36"/>
  <c r="K174" i="36"/>
  <c r="I174" i="36"/>
  <c r="J174" i="36" s="1"/>
  <c r="D174" i="36"/>
  <c r="C174" i="36"/>
  <c r="A174" i="36"/>
  <c r="K173" i="36"/>
  <c r="J173" i="36"/>
  <c r="I173" i="36"/>
  <c r="D173" i="36"/>
  <c r="C173" i="36"/>
  <c r="A173" i="36"/>
  <c r="K172" i="36"/>
  <c r="J172" i="36"/>
  <c r="I172" i="36"/>
  <c r="D172" i="36"/>
  <c r="C172" i="36"/>
  <c r="A172" i="36"/>
  <c r="K171" i="36"/>
  <c r="J171" i="36"/>
  <c r="I171" i="36"/>
  <c r="D171" i="36"/>
  <c r="C171" i="36"/>
  <c r="A171" i="36"/>
  <c r="K170" i="36"/>
  <c r="I170" i="36"/>
  <c r="J170" i="36" s="1"/>
  <c r="D170" i="36"/>
  <c r="C170" i="36"/>
  <c r="A170" i="36"/>
  <c r="K169" i="36"/>
  <c r="J169" i="36"/>
  <c r="I169" i="36"/>
  <c r="D169" i="36"/>
  <c r="C169" i="36"/>
  <c r="A169" i="36"/>
  <c r="K168" i="36"/>
  <c r="J168" i="36"/>
  <c r="I168" i="36"/>
  <c r="D168" i="36"/>
  <c r="C168" i="36"/>
  <c r="A168" i="36"/>
  <c r="K167" i="36"/>
  <c r="J167" i="36"/>
  <c r="I167" i="36"/>
  <c r="D167" i="36"/>
  <c r="C167" i="36"/>
  <c r="A167" i="36"/>
  <c r="K166" i="36"/>
  <c r="I166" i="36"/>
  <c r="J166" i="36" s="1"/>
  <c r="D166" i="36"/>
  <c r="C166" i="36"/>
  <c r="A166" i="36"/>
  <c r="K165" i="36"/>
  <c r="J165" i="36"/>
  <c r="I165" i="36"/>
  <c r="D165" i="36"/>
  <c r="C165" i="36"/>
  <c r="A165" i="36"/>
  <c r="K164" i="36"/>
  <c r="J164" i="36"/>
  <c r="I164" i="36"/>
  <c r="D164" i="36"/>
  <c r="C164" i="36"/>
  <c r="A164" i="36"/>
  <c r="K163" i="36"/>
  <c r="J163" i="36"/>
  <c r="I163" i="36"/>
  <c r="D163" i="36"/>
  <c r="C163" i="36"/>
  <c r="A163" i="36"/>
  <c r="K162" i="36"/>
  <c r="I162" i="36"/>
  <c r="J162" i="36" s="1"/>
  <c r="D162" i="36"/>
  <c r="C162" i="36"/>
  <c r="A162" i="36"/>
  <c r="K161" i="36"/>
  <c r="J161" i="36"/>
  <c r="I161" i="36"/>
  <c r="D161" i="36"/>
  <c r="C161" i="36"/>
  <c r="A161" i="36"/>
  <c r="K160" i="36"/>
  <c r="J160" i="36"/>
  <c r="I160" i="36"/>
  <c r="D160" i="36"/>
  <c r="C160" i="36"/>
  <c r="A160" i="36"/>
  <c r="K159" i="36"/>
  <c r="J159" i="36"/>
  <c r="I159" i="36"/>
  <c r="D159" i="36"/>
  <c r="C159" i="36"/>
  <c r="A159" i="36"/>
  <c r="K158" i="36"/>
  <c r="I158" i="36"/>
  <c r="J158" i="36" s="1"/>
  <c r="D158" i="36"/>
  <c r="C158" i="36"/>
  <c r="A158" i="36"/>
  <c r="K157" i="36"/>
  <c r="J157" i="36"/>
  <c r="I157" i="36"/>
  <c r="D157" i="36"/>
  <c r="C157" i="36"/>
  <c r="A157" i="36"/>
  <c r="K156" i="36"/>
  <c r="J156" i="36"/>
  <c r="I156" i="36"/>
  <c r="D156" i="36"/>
  <c r="C156" i="36"/>
  <c r="A156" i="36"/>
  <c r="K155" i="36"/>
  <c r="J155" i="36"/>
  <c r="I155" i="36"/>
  <c r="D155" i="36"/>
  <c r="C155" i="36"/>
  <c r="A155" i="36"/>
  <c r="K154" i="36"/>
  <c r="I154" i="36"/>
  <c r="J154" i="36" s="1"/>
  <c r="D154" i="36"/>
  <c r="C154" i="36"/>
  <c r="A154" i="36"/>
  <c r="K153" i="36"/>
  <c r="J153" i="36"/>
  <c r="I153" i="36"/>
  <c r="D153" i="36"/>
  <c r="C153" i="36"/>
  <c r="A153" i="36"/>
  <c r="K152" i="36"/>
  <c r="J152" i="36"/>
  <c r="I152" i="36"/>
  <c r="D152" i="36"/>
  <c r="C152" i="36"/>
  <c r="A152" i="36"/>
  <c r="K151" i="36"/>
  <c r="J151" i="36"/>
  <c r="I151" i="36"/>
  <c r="D151" i="36"/>
  <c r="C151" i="36"/>
  <c r="A151" i="36"/>
  <c r="K150" i="36"/>
  <c r="I150" i="36"/>
  <c r="J150" i="36" s="1"/>
  <c r="D150" i="36"/>
  <c r="C150" i="36"/>
  <c r="A150" i="36"/>
  <c r="K149" i="36"/>
  <c r="J149" i="36"/>
  <c r="I149" i="36"/>
  <c r="D149" i="36"/>
  <c r="C149" i="36"/>
  <c r="A149" i="36"/>
  <c r="K148" i="36"/>
  <c r="J148" i="36"/>
  <c r="I148" i="36"/>
  <c r="D148" i="36"/>
  <c r="C148" i="36"/>
  <c r="A148" i="36"/>
  <c r="K147" i="36"/>
  <c r="J147" i="36"/>
  <c r="I147" i="36"/>
  <c r="D147" i="36"/>
  <c r="C147" i="36"/>
  <c r="A147" i="36"/>
  <c r="K146" i="36"/>
  <c r="I146" i="36"/>
  <c r="J146" i="36" s="1"/>
  <c r="D146" i="36"/>
  <c r="C146" i="36"/>
  <c r="A146" i="36"/>
  <c r="K145" i="36"/>
  <c r="J145" i="36"/>
  <c r="I145" i="36"/>
  <c r="D145" i="36"/>
  <c r="C145" i="36"/>
  <c r="A145" i="36"/>
  <c r="K144" i="36"/>
  <c r="J144" i="36"/>
  <c r="I144" i="36"/>
  <c r="D144" i="36"/>
  <c r="C144" i="36"/>
  <c r="A144" i="36"/>
  <c r="K143" i="36"/>
  <c r="J143" i="36"/>
  <c r="I143" i="36"/>
  <c r="D143" i="36"/>
  <c r="C143" i="36"/>
  <c r="A143" i="36"/>
  <c r="K142" i="36"/>
  <c r="I142" i="36"/>
  <c r="J142" i="36" s="1"/>
  <c r="D142" i="36"/>
  <c r="C142" i="36"/>
  <c r="A142" i="36"/>
  <c r="K141" i="36"/>
  <c r="J141" i="36"/>
  <c r="I141" i="36"/>
  <c r="D141" i="36"/>
  <c r="C141" i="36"/>
  <c r="A141" i="36"/>
  <c r="K140" i="36"/>
  <c r="J140" i="36"/>
  <c r="I140" i="36"/>
  <c r="D140" i="36"/>
  <c r="C140" i="36"/>
  <c r="A140" i="36"/>
  <c r="K139" i="36"/>
  <c r="J139" i="36"/>
  <c r="I139" i="36"/>
  <c r="D139" i="36"/>
  <c r="C139" i="36"/>
  <c r="A139" i="36"/>
  <c r="K138" i="36"/>
  <c r="I138" i="36"/>
  <c r="J138" i="36" s="1"/>
  <c r="D138" i="36"/>
  <c r="C138" i="36"/>
  <c r="A138" i="36"/>
  <c r="K137" i="36"/>
  <c r="J137" i="36"/>
  <c r="I137" i="36"/>
  <c r="D137" i="36"/>
  <c r="C137" i="36"/>
  <c r="A137" i="36"/>
  <c r="K136" i="36"/>
  <c r="J136" i="36"/>
  <c r="I136" i="36"/>
  <c r="D136" i="36"/>
  <c r="C136" i="36"/>
  <c r="A136" i="36"/>
  <c r="K135" i="36"/>
  <c r="J135" i="36"/>
  <c r="I135" i="36"/>
  <c r="D135" i="36"/>
  <c r="C135" i="36"/>
  <c r="A135" i="36"/>
  <c r="K134" i="36"/>
  <c r="I134" i="36"/>
  <c r="J134" i="36" s="1"/>
  <c r="D134" i="36"/>
  <c r="C134" i="36"/>
  <c r="A134" i="36"/>
  <c r="K133" i="36"/>
  <c r="J133" i="36"/>
  <c r="I133" i="36"/>
  <c r="D133" i="36"/>
  <c r="C133" i="36"/>
  <c r="A133" i="36"/>
  <c r="K132" i="36"/>
  <c r="J132" i="36"/>
  <c r="I132" i="36"/>
  <c r="D132" i="36"/>
  <c r="C132" i="36"/>
  <c r="A132" i="36"/>
  <c r="K131" i="36"/>
  <c r="J131" i="36"/>
  <c r="I131" i="36"/>
  <c r="D131" i="36"/>
  <c r="C131" i="36"/>
  <c r="A131" i="36"/>
  <c r="K130" i="36"/>
  <c r="I130" i="36"/>
  <c r="J130" i="36" s="1"/>
  <c r="D130" i="36"/>
  <c r="C130" i="36"/>
  <c r="A130" i="36"/>
  <c r="K129" i="36"/>
  <c r="J129" i="36"/>
  <c r="I129" i="36"/>
  <c r="D129" i="36"/>
  <c r="C129" i="36"/>
  <c r="A129" i="36"/>
  <c r="K128" i="36"/>
  <c r="J128" i="36"/>
  <c r="I128" i="36"/>
  <c r="D128" i="36"/>
  <c r="C128" i="36"/>
  <c r="A128" i="36"/>
  <c r="K127" i="36"/>
  <c r="J127" i="36"/>
  <c r="I127" i="36"/>
  <c r="D127" i="36"/>
  <c r="C127" i="36"/>
  <c r="A127" i="36"/>
  <c r="K126" i="36"/>
  <c r="I126" i="36"/>
  <c r="J126" i="36" s="1"/>
  <c r="D126" i="36"/>
  <c r="C126" i="36"/>
  <c r="A126" i="36"/>
  <c r="K125" i="36"/>
  <c r="J125" i="36"/>
  <c r="I125" i="36"/>
  <c r="D125" i="36"/>
  <c r="C125" i="36"/>
  <c r="A125" i="36"/>
  <c r="K124" i="36"/>
  <c r="I124" i="36"/>
  <c r="J124" i="36" s="1"/>
  <c r="D124" i="36"/>
  <c r="C124" i="36"/>
  <c r="A124" i="36"/>
  <c r="K123" i="36"/>
  <c r="J123" i="36"/>
  <c r="I123" i="36"/>
  <c r="D123" i="36"/>
  <c r="C123" i="36"/>
  <c r="A123" i="36"/>
  <c r="K122" i="36"/>
  <c r="I122" i="36"/>
  <c r="J122" i="36" s="1"/>
  <c r="D122" i="36"/>
  <c r="C122" i="36"/>
  <c r="A122" i="36"/>
  <c r="K121" i="36"/>
  <c r="J121" i="36"/>
  <c r="I121" i="36"/>
  <c r="D121" i="36"/>
  <c r="C121" i="36"/>
  <c r="A121" i="36"/>
  <c r="K120" i="36"/>
  <c r="I120" i="36"/>
  <c r="J120" i="36" s="1"/>
  <c r="D120" i="36"/>
  <c r="C120" i="36"/>
  <c r="A120" i="36"/>
  <c r="K119" i="36"/>
  <c r="J119" i="36"/>
  <c r="I119" i="36"/>
  <c r="D119" i="36"/>
  <c r="C119" i="36"/>
  <c r="A119" i="36"/>
  <c r="K118" i="36"/>
  <c r="I118" i="36"/>
  <c r="J118" i="36" s="1"/>
  <c r="D118" i="36"/>
  <c r="C118" i="36"/>
  <c r="A118" i="36"/>
  <c r="K117" i="36"/>
  <c r="J117" i="36"/>
  <c r="I117" i="36"/>
  <c r="D117" i="36"/>
  <c r="C117" i="36"/>
  <c r="A117" i="36"/>
  <c r="K116" i="36"/>
  <c r="I116" i="36"/>
  <c r="J116" i="36" s="1"/>
  <c r="D116" i="36"/>
  <c r="C116" i="36"/>
  <c r="A116" i="36"/>
  <c r="K115" i="36"/>
  <c r="J115" i="36"/>
  <c r="I115" i="36"/>
  <c r="D115" i="36"/>
  <c r="C115" i="36"/>
  <c r="A115" i="36"/>
  <c r="K114" i="36"/>
  <c r="I114" i="36"/>
  <c r="J114" i="36" s="1"/>
  <c r="D114" i="36"/>
  <c r="C114" i="36"/>
  <c r="A114" i="36"/>
  <c r="K113" i="36"/>
  <c r="J113" i="36"/>
  <c r="I113" i="36"/>
  <c r="D113" i="36"/>
  <c r="C113" i="36"/>
  <c r="A113" i="36"/>
  <c r="K112" i="36"/>
  <c r="I112" i="36"/>
  <c r="J112" i="36" s="1"/>
  <c r="D112" i="36"/>
  <c r="C112" i="36"/>
  <c r="A112" i="36"/>
  <c r="K111" i="36"/>
  <c r="J111" i="36"/>
  <c r="I111" i="36"/>
  <c r="D111" i="36"/>
  <c r="C111" i="36"/>
  <c r="A111" i="36"/>
  <c r="K110" i="36"/>
  <c r="I110" i="36"/>
  <c r="J110" i="36" s="1"/>
  <c r="D110" i="36"/>
  <c r="C110" i="36"/>
  <c r="A110" i="36"/>
  <c r="K109" i="36"/>
  <c r="J109" i="36"/>
  <c r="I109" i="36"/>
  <c r="D109" i="36"/>
  <c r="C109" i="36"/>
  <c r="A109" i="36"/>
  <c r="K108" i="36"/>
  <c r="I108" i="36"/>
  <c r="J108" i="36" s="1"/>
  <c r="D108" i="36"/>
  <c r="C108" i="36"/>
  <c r="A108" i="36"/>
  <c r="K107" i="36"/>
  <c r="J107" i="36"/>
  <c r="I107" i="36"/>
  <c r="D107" i="36"/>
  <c r="C107" i="36"/>
  <c r="A107" i="36"/>
  <c r="K106" i="36"/>
  <c r="I106" i="36"/>
  <c r="J106" i="36" s="1"/>
  <c r="D106" i="36"/>
  <c r="C106" i="36"/>
  <c r="A106" i="36"/>
  <c r="K105" i="36"/>
  <c r="J105" i="36"/>
  <c r="I105" i="36"/>
  <c r="D105" i="36"/>
  <c r="C105" i="36"/>
  <c r="A105" i="36"/>
  <c r="K104" i="36"/>
  <c r="I104" i="36"/>
  <c r="J104" i="36" s="1"/>
  <c r="D104" i="36"/>
  <c r="C104" i="36"/>
  <c r="A104" i="36"/>
  <c r="K103" i="36"/>
  <c r="J103" i="36"/>
  <c r="I103" i="36"/>
  <c r="D103" i="36"/>
  <c r="C103" i="36"/>
  <c r="A103" i="36"/>
  <c r="K102" i="36"/>
  <c r="I102" i="36"/>
  <c r="J102" i="36" s="1"/>
  <c r="D102" i="36"/>
  <c r="C102" i="36"/>
  <c r="A102" i="36"/>
  <c r="K101" i="36"/>
  <c r="J101" i="36"/>
  <c r="I101" i="36"/>
  <c r="D101" i="36"/>
  <c r="C101" i="36"/>
  <c r="A101" i="36"/>
  <c r="K100" i="36"/>
  <c r="I100" i="36"/>
  <c r="J100" i="36" s="1"/>
  <c r="D100" i="36"/>
  <c r="C100" i="36"/>
  <c r="A100" i="36"/>
  <c r="K99" i="36"/>
  <c r="J99" i="36"/>
  <c r="I99" i="36"/>
  <c r="D99" i="36"/>
  <c r="C99" i="36"/>
  <c r="A99" i="36"/>
  <c r="K98" i="36"/>
  <c r="I98" i="36"/>
  <c r="J98" i="36" s="1"/>
  <c r="D98" i="36"/>
  <c r="C98" i="36"/>
  <c r="A98" i="36"/>
  <c r="K97" i="36"/>
  <c r="J97" i="36"/>
  <c r="I97" i="36"/>
  <c r="D97" i="36"/>
  <c r="C97" i="36"/>
  <c r="A97" i="36"/>
  <c r="K96" i="36"/>
  <c r="I96" i="36"/>
  <c r="J96" i="36" s="1"/>
  <c r="D96" i="36"/>
  <c r="C96" i="36"/>
  <c r="A96" i="36"/>
  <c r="K95" i="36"/>
  <c r="J95" i="36"/>
  <c r="I95" i="36"/>
  <c r="D95" i="36"/>
  <c r="C95" i="36"/>
  <c r="A95" i="36"/>
  <c r="K94" i="36"/>
  <c r="I94" i="36"/>
  <c r="J94" i="36" s="1"/>
  <c r="D94" i="36"/>
  <c r="C94" i="36"/>
  <c r="A94" i="36"/>
  <c r="K93" i="36"/>
  <c r="J93" i="36"/>
  <c r="I93" i="36"/>
  <c r="D93" i="36"/>
  <c r="C93" i="36"/>
  <c r="A93" i="36"/>
  <c r="K92" i="36"/>
  <c r="I92" i="36"/>
  <c r="J92" i="36" s="1"/>
  <c r="D92" i="36"/>
  <c r="C92" i="36"/>
  <c r="A92" i="36"/>
  <c r="K91" i="36"/>
  <c r="J91" i="36"/>
  <c r="I91" i="36"/>
  <c r="D91" i="36"/>
  <c r="C91" i="36"/>
  <c r="A91" i="36"/>
  <c r="K90" i="36"/>
  <c r="I90" i="36"/>
  <c r="J90" i="36" s="1"/>
  <c r="D90" i="36"/>
  <c r="C90" i="36"/>
  <c r="A90" i="36"/>
  <c r="K89" i="36"/>
  <c r="J89" i="36"/>
  <c r="I89" i="36"/>
  <c r="D89" i="36"/>
  <c r="C89" i="36"/>
  <c r="A89" i="36"/>
  <c r="K88" i="36"/>
  <c r="I88" i="36"/>
  <c r="J88" i="36" s="1"/>
  <c r="D88" i="36"/>
  <c r="C88" i="36"/>
  <c r="A88" i="36"/>
  <c r="K87" i="36"/>
  <c r="J87" i="36"/>
  <c r="I87" i="36"/>
  <c r="D87" i="36"/>
  <c r="C87" i="36"/>
  <c r="A87" i="36"/>
  <c r="K86" i="36"/>
  <c r="I86" i="36"/>
  <c r="J86" i="36" s="1"/>
  <c r="D86" i="36"/>
  <c r="C86" i="36"/>
  <c r="A86" i="36"/>
  <c r="K85" i="36"/>
  <c r="J85" i="36"/>
  <c r="I85" i="36"/>
  <c r="D85" i="36"/>
  <c r="C85" i="36"/>
  <c r="A85" i="36"/>
  <c r="K84" i="36"/>
  <c r="I84" i="36"/>
  <c r="J84" i="36" s="1"/>
  <c r="D84" i="36"/>
  <c r="C84" i="36"/>
  <c r="A84" i="36"/>
  <c r="K83" i="36"/>
  <c r="J83" i="36"/>
  <c r="I83" i="36"/>
  <c r="D83" i="36"/>
  <c r="C83" i="36"/>
  <c r="A83" i="36"/>
  <c r="K82" i="36"/>
  <c r="I82" i="36"/>
  <c r="J82" i="36" s="1"/>
  <c r="D82" i="36"/>
  <c r="C82" i="36"/>
  <c r="A82" i="36"/>
  <c r="K81" i="36"/>
  <c r="J81" i="36"/>
  <c r="I81" i="36"/>
  <c r="D81" i="36"/>
  <c r="C81" i="36"/>
  <c r="A81" i="36"/>
  <c r="K80" i="36"/>
  <c r="I80" i="36"/>
  <c r="J80" i="36" s="1"/>
  <c r="D80" i="36"/>
  <c r="C80" i="36"/>
  <c r="A80" i="36"/>
  <c r="K79" i="36"/>
  <c r="J79" i="36"/>
  <c r="I79" i="36"/>
  <c r="D79" i="36"/>
  <c r="C79" i="36"/>
  <c r="A79" i="36"/>
  <c r="K78" i="36"/>
  <c r="I78" i="36"/>
  <c r="J78" i="36" s="1"/>
  <c r="D78" i="36"/>
  <c r="C78" i="36"/>
  <c r="A78" i="36"/>
  <c r="K77" i="36"/>
  <c r="J77" i="36"/>
  <c r="I77" i="36"/>
  <c r="D77" i="36"/>
  <c r="C77" i="36"/>
  <c r="A77" i="36"/>
  <c r="K76" i="36"/>
  <c r="I76" i="36"/>
  <c r="J76" i="36" s="1"/>
  <c r="D76" i="36"/>
  <c r="C76" i="36"/>
  <c r="A76" i="36"/>
  <c r="K75" i="36"/>
  <c r="J75" i="36"/>
  <c r="I75" i="36"/>
  <c r="D75" i="36"/>
  <c r="C75" i="36"/>
  <c r="A75" i="36"/>
  <c r="K74" i="36"/>
  <c r="I74" i="36"/>
  <c r="J74" i="36" s="1"/>
  <c r="D74" i="36"/>
  <c r="C74" i="36"/>
  <c r="A74" i="36"/>
  <c r="K73" i="36"/>
  <c r="J73" i="36"/>
  <c r="I73" i="36"/>
  <c r="D73" i="36"/>
  <c r="C73" i="36"/>
  <c r="A73" i="36"/>
  <c r="K72" i="36"/>
  <c r="I72" i="36"/>
  <c r="J72" i="36" s="1"/>
  <c r="D72" i="36"/>
  <c r="C72" i="36"/>
  <c r="A72" i="36"/>
  <c r="K71" i="36"/>
  <c r="J71" i="36"/>
  <c r="I71" i="36"/>
  <c r="D71" i="36"/>
  <c r="C71" i="36"/>
  <c r="A71" i="36"/>
  <c r="K70" i="36"/>
  <c r="I70" i="36"/>
  <c r="J70" i="36" s="1"/>
  <c r="D70" i="36"/>
  <c r="C70" i="36"/>
  <c r="A70" i="36"/>
  <c r="K69" i="36"/>
  <c r="J69" i="36"/>
  <c r="I69" i="36"/>
  <c r="D69" i="36"/>
  <c r="C69" i="36"/>
  <c r="A69" i="36"/>
  <c r="K68" i="36"/>
  <c r="I68" i="36"/>
  <c r="J68" i="36" s="1"/>
  <c r="D68" i="36"/>
  <c r="C68" i="36"/>
  <c r="A68" i="36"/>
  <c r="K67" i="36"/>
  <c r="J67" i="36"/>
  <c r="I67" i="36"/>
  <c r="D67" i="36"/>
  <c r="C67" i="36"/>
  <c r="A67" i="36"/>
  <c r="K66" i="36"/>
  <c r="I66" i="36"/>
  <c r="J66" i="36" s="1"/>
  <c r="D66" i="36"/>
  <c r="C66" i="36"/>
  <c r="A66" i="36"/>
  <c r="K65" i="36"/>
  <c r="J65" i="36"/>
  <c r="I65" i="36"/>
  <c r="D65" i="36"/>
  <c r="C65" i="36"/>
  <c r="A65" i="36"/>
  <c r="K64" i="36"/>
  <c r="I64" i="36"/>
  <c r="J64" i="36" s="1"/>
  <c r="D64" i="36"/>
  <c r="C64" i="36"/>
  <c r="A64" i="36"/>
  <c r="K63" i="36"/>
  <c r="J63" i="36"/>
  <c r="I63" i="36"/>
  <c r="D63" i="36"/>
  <c r="C63" i="36"/>
  <c r="A63" i="36"/>
  <c r="K62" i="36"/>
  <c r="I62" i="36"/>
  <c r="J62" i="36" s="1"/>
  <c r="D62" i="36"/>
  <c r="C62" i="36"/>
  <c r="A62" i="36"/>
  <c r="K61" i="36"/>
  <c r="J61" i="36"/>
  <c r="I61" i="36"/>
  <c r="D61" i="36"/>
  <c r="C61" i="36"/>
  <c r="A61" i="36"/>
  <c r="K60" i="36"/>
  <c r="I60" i="36"/>
  <c r="J60" i="36" s="1"/>
  <c r="D60" i="36"/>
  <c r="C60" i="36"/>
  <c r="A60" i="36"/>
  <c r="K59" i="36"/>
  <c r="J59" i="36"/>
  <c r="I59" i="36"/>
  <c r="D59" i="36"/>
  <c r="C59" i="36"/>
  <c r="A59" i="36"/>
  <c r="K58" i="36"/>
  <c r="I58" i="36"/>
  <c r="J58" i="36" s="1"/>
  <c r="D58" i="36"/>
  <c r="C58" i="36"/>
  <c r="A58" i="36"/>
  <c r="K57" i="36"/>
  <c r="J57" i="36"/>
  <c r="I57" i="36"/>
  <c r="D57" i="36"/>
  <c r="C57" i="36"/>
  <c r="A57" i="36"/>
  <c r="K56" i="36"/>
  <c r="I56" i="36"/>
  <c r="J56" i="36" s="1"/>
  <c r="D56" i="36"/>
  <c r="C56" i="36"/>
  <c r="A56" i="36"/>
  <c r="K55" i="36"/>
  <c r="J55" i="36"/>
  <c r="I55" i="36"/>
  <c r="D55" i="36"/>
  <c r="C55" i="36"/>
  <c r="A55" i="36"/>
  <c r="K54" i="36"/>
  <c r="I54" i="36"/>
  <c r="J54" i="36" s="1"/>
  <c r="D54" i="36"/>
  <c r="C54" i="36"/>
  <c r="A54" i="36"/>
  <c r="K53" i="36"/>
  <c r="J53" i="36"/>
  <c r="I53" i="36"/>
  <c r="D53" i="36"/>
  <c r="C53" i="36"/>
  <c r="A53" i="36"/>
  <c r="K52" i="36"/>
  <c r="I52" i="36"/>
  <c r="J52" i="36" s="1"/>
  <c r="D52" i="36"/>
  <c r="C52" i="36"/>
  <c r="A52" i="36"/>
  <c r="K51" i="36"/>
  <c r="J51" i="36"/>
  <c r="I51" i="36"/>
  <c r="D51" i="36"/>
  <c r="C51" i="36"/>
  <c r="A51" i="36"/>
  <c r="K50" i="36"/>
  <c r="I50" i="36"/>
  <c r="J50" i="36" s="1"/>
  <c r="D50" i="36"/>
  <c r="C50" i="36"/>
  <c r="A50" i="36"/>
  <c r="K49" i="36"/>
  <c r="J49" i="36"/>
  <c r="I49" i="36"/>
  <c r="D49" i="36"/>
  <c r="C49" i="36"/>
  <c r="A49" i="36"/>
  <c r="K48" i="36"/>
  <c r="I48" i="36"/>
  <c r="J48" i="36" s="1"/>
  <c r="D48" i="36"/>
  <c r="C48" i="36"/>
  <c r="A48" i="36"/>
  <c r="K47" i="36"/>
  <c r="J47" i="36"/>
  <c r="I47" i="36"/>
  <c r="D47" i="36"/>
  <c r="C47" i="36"/>
  <c r="A47" i="36"/>
  <c r="K46" i="36"/>
  <c r="I46" i="36"/>
  <c r="J46" i="36" s="1"/>
  <c r="D46" i="36"/>
  <c r="C46" i="36"/>
  <c r="A46" i="36"/>
  <c r="K45" i="36"/>
  <c r="J45" i="36"/>
  <c r="I45" i="36"/>
  <c r="D45" i="36"/>
  <c r="C45" i="36"/>
  <c r="A45" i="36"/>
  <c r="K44" i="36"/>
  <c r="I44" i="36"/>
  <c r="J44" i="36" s="1"/>
  <c r="D44" i="36"/>
  <c r="C44" i="36"/>
  <c r="A44" i="36"/>
  <c r="K43" i="36"/>
  <c r="J43" i="36"/>
  <c r="I43" i="36"/>
  <c r="D43" i="36"/>
  <c r="C43" i="36"/>
  <c r="A43" i="36"/>
  <c r="K42" i="36"/>
  <c r="I42" i="36"/>
  <c r="J42" i="36" s="1"/>
  <c r="D42" i="36"/>
  <c r="C42" i="36"/>
  <c r="A42" i="36"/>
  <c r="K41" i="36"/>
  <c r="J41" i="36"/>
  <c r="I41" i="36"/>
  <c r="D41" i="36"/>
  <c r="C41" i="36"/>
  <c r="A41" i="36"/>
  <c r="K40" i="36"/>
  <c r="I40" i="36"/>
  <c r="J40" i="36" s="1"/>
  <c r="D40" i="36"/>
  <c r="C40" i="36"/>
  <c r="A40" i="36"/>
  <c r="K39" i="36"/>
  <c r="J39" i="36"/>
  <c r="I39" i="36"/>
  <c r="D39" i="36"/>
  <c r="C39" i="36"/>
  <c r="A39" i="36"/>
  <c r="K38" i="36"/>
  <c r="I38" i="36"/>
  <c r="J38" i="36" s="1"/>
  <c r="D38" i="36"/>
  <c r="C38" i="36"/>
  <c r="A38" i="36"/>
  <c r="K37" i="36"/>
  <c r="J37" i="36"/>
  <c r="I37" i="36"/>
  <c r="D37" i="36"/>
  <c r="C37" i="36"/>
  <c r="A37" i="36"/>
  <c r="K36" i="36"/>
  <c r="I36" i="36"/>
  <c r="J36" i="36" s="1"/>
  <c r="D36" i="36"/>
  <c r="C36" i="36"/>
  <c r="A36" i="36"/>
  <c r="K35" i="36"/>
  <c r="J35" i="36"/>
  <c r="I35" i="36"/>
  <c r="D35" i="36"/>
  <c r="C35" i="36"/>
  <c r="A35" i="36"/>
  <c r="K34" i="36"/>
  <c r="I34" i="36"/>
  <c r="J34" i="36" s="1"/>
  <c r="D34" i="36"/>
  <c r="C34" i="36"/>
  <c r="A34" i="36"/>
  <c r="K33" i="36"/>
  <c r="J33" i="36"/>
  <c r="I33" i="36"/>
  <c r="D33" i="36"/>
  <c r="C33" i="36"/>
  <c r="A33" i="36"/>
  <c r="K32" i="36"/>
  <c r="I32" i="36"/>
  <c r="J32" i="36" s="1"/>
  <c r="D32" i="36"/>
  <c r="C32" i="36"/>
  <c r="A32" i="36"/>
  <c r="K31" i="36"/>
  <c r="J31" i="36"/>
  <c r="I31" i="36"/>
  <c r="D31" i="36"/>
  <c r="C31" i="36"/>
  <c r="A31" i="36"/>
  <c r="K30" i="36"/>
  <c r="I30" i="36"/>
  <c r="J30" i="36" s="1"/>
  <c r="D30" i="36"/>
  <c r="C30" i="36"/>
  <c r="A30" i="36"/>
  <c r="K29" i="36"/>
  <c r="J29" i="36"/>
  <c r="I29" i="36"/>
  <c r="D29" i="36"/>
  <c r="C29" i="36"/>
  <c r="A29" i="36"/>
  <c r="K28" i="36"/>
  <c r="I28" i="36"/>
  <c r="J28" i="36" s="1"/>
  <c r="D28" i="36"/>
  <c r="C28" i="36"/>
  <c r="A28" i="36"/>
  <c r="K27" i="36"/>
  <c r="J27" i="36"/>
  <c r="I27" i="36"/>
  <c r="D27" i="36"/>
  <c r="C27" i="36"/>
  <c r="A27" i="36"/>
  <c r="K26" i="36"/>
  <c r="I26" i="36"/>
  <c r="J26" i="36" s="1"/>
  <c r="D26" i="36"/>
  <c r="C26" i="36"/>
  <c r="A26" i="36"/>
  <c r="K25" i="36"/>
  <c r="J25" i="36"/>
  <c r="I25" i="36"/>
  <c r="D25" i="36"/>
  <c r="C25" i="36"/>
  <c r="A25" i="36"/>
  <c r="K24" i="36"/>
  <c r="I24" i="36"/>
  <c r="J24" i="36" s="1"/>
  <c r="D24" i="36"/>
  <c r="C24" i="36"/>
  <c r="A24" i="36"/>
  <c r="K23" i="36"/>
  <c r="J23" i="36"/>
  <c r="I23" i="36"/>
  <c r="D23" i="36"/>
  <c r="C23" i="36"/>
  <c r="A23" i="36"/>
  <c r="K22" i="36"/>
  <c r="I22" i="36"/>
  <c r="J22" i="36" s="1"/>
  <c r="D22" i="36"/>
  <c r="C22" i="36"/>
  <c r="A22" i="36"/>
  <c r="K21" i="36"/>
  <c r="J21" i="36"/>
  <c r="I21" i="36"/>
  <c r="D21" i="36"/>
  <c r="C21" i="36"/>
  <c r="A21" i="36"/>
  <c r="K20" i="36"/>
  <c r="I20" i="36"/>
  <c r="J20" i="36" s="1"/>
  <c r="D20" i="36"/>
  <c r="C20" i="36"/>
  <c r="A20" i="36"/>
  <c r="K19" i="36"/>
  <c r="J19" i="36"/>
  <c r="I19" i="36"/>
  <c r="D19" i="36"/>
  <c r="C19" i="36"/>
  <c r="A19" i="36"/>
  <c r="K18" i="36"/>
  <c r="I18" i="36"/>
  <c r="J18" i="36" s="1"/>
  <c r="D18" i="36"/>
  <c r="C18" i="36"/>
  <c r="A18" i="36"/>
  <c r="K17" i="36"/>
  <c r="J17" i="36"/>
  <c r="I17" i="36"/>
  <c r="D17" i="36"/>
  <c r="C17" i="36"/>
  <c r="A17" i="36"/>
  <c r="K16" i="36"/>
  <c r="I16" i="36"/>
  <c r="J16" i="36" s="1"/>
  <c r="D16" i="36"/>
  <c r="C16" i="36"/>
  <c r="A16" i="36"/>
  <c r="K15" i="36"/>
  <c r="J15" i="36"/>
  <c r="I15" i="36"/>
  <c r="D15" i="36"/>
  <c r="C15" i="36"/>
  <c r="A15" i="36"/>
  <c r="K14" i="36"/>
  <c r="I14" i="36"/>
  <c r="J14" i="36" s="1"/>
  <c r="D14" i="36"/>
  <c r="C14" i="36"/>
  <c r="A14" i="36"/>
  <c r="B10" i="36"/>
  <c r="B9" i="36"/>
  <c r="B8" i="36"/>
  <c r="J208" i="35"/>
  <c r="K208" i="35" s="1"/>
  <c r="G208" i="35"/>
  <c r="D208" i="35"/>
  <c r="C208" i="35"/>
  <c r="B208" i="35"/>
  <c r="K207" i="35"/>
  <c r="J207" i="35"/>
  <c r="G207" i="35"/>
  <c r="D207" i="35"/>
  <c r="C207" i="35"/>
  <c r="B207" i="35"/>
  <c r="J206" i="35"/>
  <c r="K206" i="35" s="1"/>
  <c r="G206" i="35"/>
  <c r="D206" i="35"/>
  <c r="C206" i="35"/>
  <c r="B206" i="35"/>
  <c r="K205" i="35"/>
  <c r="J205" i="35"/>
  <c r="G205" i="35"/>
  <c r="D205" i="35"/>
  <c r="C205" i="35"/>
  <c r="B205" i="35"/>
  <c r="J204" i="35"/>
  <c r="K204" i="35" s="1"/>
  <c r="G204" i="35"/>
  <c r="D204" i="35"/>
  <c r="C204" i="35"/>
  <c r="B204" i="35"/>
  <c r="K203" i="35"/>
  <c r="J203" i="35"/>
  <c r="G203" i="35"/>
  <c r="D203" i="35"/>
  <c r="C203" i="35"/>
  <c r="B203" i="35"/>
  <c r="J202" i="35"/>
  <c r="K202" i="35" s="1"/>
  <c r="G202" i="35"/>
  <c r="D202" i="35"/>
  <c r="C202" i="35"/>
  <c r="B202" i="35"/>
  <c r="K201" i="35"/>
  <c r="J201" i="35"/>
  <c r="G201" i="35"/>
  <c r="D201" i="35"/>
  <c r="C201" i="35"/>
  <c r="B201" i="35"/>
  <c r="J200" i="35"/>
  <c r="K200" i="35" s="1"/>
  <c r="G200" i="35"/>
  <c r="D200" i="35"/>
  <c r="C200" i="35"/>
  <c r="B200" i="35"/>
  <c r="K199" i="35"/>
  <c r="J199" i="35"/>
  <c r="G199" i="35"/>
  <c r="D199" i="35"/>
  <c r="C199" i="35"/>
  <c r="B199" i="35"/>
  <c r="J198" i="35"/>
  <c r="K198" i="35" s="1"/>
  <c r="G198" i="35"/>
  <c r="D198" i="35"/>
  <c r="C198" i="35"/>
  <c r="B198" i="35"/>
  <c r="K197" i="35"/>
  <c r="J197" i="35"/>
  <c r="G197" i="35"/>
  <c r="D197" i="35"/>
  <c r="C197" i="35"/>
  <c r="B197" i="35"/>
  <c r="J196" i="35"/>
  <c r="K196" i="35" s="1"/>
  <c r="G196" i="35"/>
  <c r="D196" i="35"/>
  <c r="C196" i="35"/>
  <c r="B196" i="35"/>
  <c r="K195" i="35"/>
  <c r="J195" i="35"/>
  <c r="G195" i="35"/>
  <c r="D195" i="35"/>
  <c r="C195" i="35"/>
  <c r="B195" i="35"/>
  <c r="J194" i="35"/>
  <c r="K194" i="35" s="1"/>
  <c r="G194" i="35"/>
  <c r="D194" i="35"/>
  <c r="C194" i="35"/>
  <c r="B194" i="35"/>
  <c r="K193" i="35"/>
  <c r="J193" i="35"/>
  <c r="G193" i="35"/>
  <c r="D193" i="35"/>
  <c r="C193" i="35"/>
  <c r="B193" i="35"/>
  <c r="J192" i="35"/>
  <c r="K192" i="35" s="1"/>
  <c r="G192" i="35"/>
  <c r="D192" i="35"/>
  <c r="C192" i="35"/>
  <c r="B192" i="35"/>
  <c r="K191" i="35"/>
  <c r="J191" i="35"/>
  <c r="G191" i="35"/>
  <c r="D191" i="35"/>
  <c r="C191" i="35"/>
  <c r="B191" i="35"/>
  <c r="J190" i="35"/>
  <c r="K190" i="35" s="1"/>
  <c r="G190" i="35"/>
  <c r="D190" i="35"/>
  <c r="C190" i="35"/>
  <c r="B190" i="35"/>
  <c r="K189" i="35"/>
  <c r="J189" i="35"/>
  <c r="G189" i="35"/>
  <c r="D189" i="35"/>
  <c r="C189" i="35"/>
  <c r="B189" i="35"/>
  <c r="J188" i="35"/>
  <c r="K188" i="35" s="1"/>
  <c r="G188" i="35"/>
  <c r="D188" i="35"/>
  <c r="C188" i="35"/>
  <c r="B188" i="35"/>
  <c r="K187" i="35"/>
  <c r="J187" i="35"/>
  <c r="G187" i="35"/>
  <c r="D187" i="35"/>
  <c r="C187" i="35"/>
  <c r="B187" i="35"/>
  <c r="J186" i="35"/>
  <c r="K186" i="35" s="1"/>
  <c r="G186" i="35"/>
  <c r="D186" i="35"/>
  <c r="C186" i="35"/>
  <c r="B186" i="35"/>
  <c r="K185" i="35"/>
  <c r="J185" i="35"/>
  <c r="G185" i="35"/>
  <c r="D185" i="35"/>
  <c r="C185" i="35"/>
  <c r="B185" i="35"/>
  <c r="J184" i="35"/>
  <c r="K184" i="35" s="1"/>
  <c r="G184" i="35"/>
  <c r="D184" i="35"/>
  <c r="C184" i="35"/>
  <c r="B184" i="35"/>
  <c r="K183" i="35"/>
  <c r="J183" i="35"/>
  <c r="G183" i="35"/>
  <c r="D183" i="35"/>
  <c r="C183" i="35"/>
  <c r="B183" i="35"/>
  <c r="J182" i="35"/>
  <c r="K182" i="35" s="1"/>
  <c r="G182" i="35"/>
  <c r="D182" i="35"/>
  <c r="C182" i="35"/>
  <c r="B182" i="35"/>
  <c r="K181" i="35"/>
  <c r="J181" i="35"/>
  <c r="G181" i="35"/>
  <c r="D181" i="35"/>
  <c r="C181" i="35"/>
  <c r="B181" i="35"/>
  <c r="J180" i="35"/>
  <c r="K180" i="35" s="1"/>
  <c r="G180" i="35"/>
  <c r="D180" i="35"/>
  <c r="C180" i="35"/>
  <c r="B180" i="35"/>
  <c r="K179" i="35"/>
  <c r="J179" i="35"/>
  <c r="G179" i="35"/>
  <c r="D179" i="35"/>
  <c r="C179" i="35"/>
  <c r="B179" i="35"/>
  <c r="J178" i="35"/>
  <c r="K178" i="35" s="1"/>
  <c r="G178" i="35"/>
  <c r="D178" i="35"/>
  <c r="C178" i="35"/>
  <c r="B178" i="35"/>
  <c r="K177" i="35"/>
  <c r="J177" i="35"/>
  <c r="G177" i="35"/>
  <c r="D177" i="35"/>
  <c r="C177" i="35"/>
  <c r="B177" i="35"/>
  <c r="J176" i="35"/>
  <c r="K176" i="35" s="1"/>
  <c r="G176" i="35"/>
  <c r="D176" i="35"/>
  <c r="C176" i="35"/>
  <c r="B176" i="35"/>
  <c r="K175" i="35"/>
  <c r="J175" i="35"/>
  <c r="G175" i="35"/>
  <c r="D175" i="35"/>
  <c r="C175" i="35"/>
  <c r="B175" i="35"/>
  <c r="J174" i="35"/>
  <c r="K174" i="35" s="1"/>
  <c r="G174" i="35"/>
  <c r="D174" i="35"/>
  <c r="C174" i="35"/>
  <c r="B174" i="35"/>
  <c r="K173" i="35"/>
  <c r="J173" i="35"/>
  <c r="G173" i="35"/>
  <c r="D173" i="35"/>
  <c r="C173" i="35"/>
  <c r="B173" i="35"/>
  <c r="J172" i="35"/>
  <c r="K172" i="35" s="1"/>
  <c r="G172" i="35"/>
  <c r="D172" i="35"/>
  <c r="C172" i="35"/>
  <c r="B172" i="35"/>
  <c r="K171" i="35"/>
  <c r="J171" i="35"/>
  <c r="G171" i="35"/>
  <c r="D171" i="35"/>
  <c r="C171" i="35"/>
  <c r="B171" i="35"/>
  <c r="J170" i="35"/>
  <c r="K170" i="35" s="1"/>
  <c r="G170" i="35"/>
  <c r="D170" i="35"/>
  <c r="C170" i="35"/>
  <c r="B170" i="35"/>
  <c r="K169" i="35"/>
  <c r="J169" i="35"/>
  <c r="G169" i="35"/>
  <c r="D169" i="35"/>
  <c r="C169" i="35"/>
  <c r="B169" i="35"/>
  <c r="J168" i="35"/>
  <c r="K168" i="35" s="1"/>
  <c r="G168" i="35"/>
  <c r="D168" i="35"/>
  <c r="C168" i="35"/>
  <c r="B168" i="35"/>
  <c r="K167" i="35"/>
  <c r="J167" i="35"/>
  <c r="G167" i="35"/>
  <c r="D167" i="35"/>
  <c r="C167" i="35"/>
  <c r="B167" i="35"/>
  <c r="J166" i="35"/>
  <c r="K166" i="35" s="1"/>
  <c r="G166" i="35"/>
  <c r="D166" i="35"/>
  <c r="C166" i="35"/>
  <c r="B166" i="35"/>
  <c r="K165" i="35"/>
  <c r="J165" i="35"/>
  <c r="G165" i="35"/>
  <c r="D165" i="35"/>
  <c r="C165" i="35"/>
  <c r="B165" i="35"/>
  <c r="J164" i="35"/>
  <c r="K164" i="35" s="1"/>
  <c r="G164" i="35"/>
  <c r="D164" i="35"/>
  <c r="C164" i="35"/>
  <c r="B164" i="35"/>
  <c r="K163" i="35"/>
  <c r="J163" i="35"/>
  <c r="G163" i="35"/>
  <c r="D163" i="35"/>
  <c r="C163" i="35"/>
  <c r="B163" i="35"/>
  <c r="J162" i="35"/>
  <c r="K162" i="35" s="1"/>
  <c r="G162" i="35"/>
  <c r="D162" i="35"/>
  <c r="C162" i="35"/>
  <c r="B162" i="35"/>
  <c r="K161" i="35"/>
  <c r="J161" i="35"/>
  <c r="G161" i="35"/>
  <c r="D161" i="35"/>
  <c r="C161" i="35"/>
  <c r="B161" i="35"/>
  <c r="J160" i="35"/>
  <c r="K160" i="35" s="1"/>
  <c r="G160" i="35"/>
  <c r="D160" i="35"/>
  <c r="C160" i="35"/>
  <c r="B160" i="35"/>
  <c r="K159" i="35"/>
  <c r="J159" i="35"/>
  <c r="G159" i="35"/>
  <c r="D159" i="35"/>
  <c r="C159" i="35"/>
  <c r="B159" i="35"/>
  <c r="J158" i="35"/>
  <c r="K158" i="35" s="1"/>
  <c r="G158" i="35"/>
  <c r="D158" i="35"/>
  <c r="C158" i="35"/>
  <c r="B158" i="35"/>
  <c r="K157" i="35"/>
  <c r="J157" i="35"/>
  <c r="G157" i="35"/>
  <c r="D157" i="35"/>
  <c r="C157" i="35"/>
  <c r="B157" i="35"/>
  <c r="J156" i="35"/>
  <c r="K156" i="35" s="1"/>
  <c r="G156" i="35"/>
  <c r="D156" i="35"/>
  <c r="C156" i="35"/>
  <c r="B156" i="35"/>
  <c r="K155" i="35"/>
  <c r="J155" i="35"/>
  <c r="G155" i="35"/>
  <c r="D155" i="35"/>
  <c r="C155" i="35"/>
  <c r="B155" i="35"/>
  <c r="J154" i="35"/>
  <c r="K154" i="35" s="1"/>
  <c r="G154" i="35"/>
  <c r="D154" i="35"/>
  <c r="C154" i="35"/>
  <c r="B154" i="35"/>
  <c r="K153" i="35"/>
  <c r="J153" i="35"/>
  <c r="G153" i="35"/>
  <c r="D153" i="35"/>
  <c r="C153" i="35"/>
  <c r="B153" i="35"/>
  <c r="J152" i="35"/>
  <c r="K152" i="35" s="1"/>
  <c r="G152" i="35"/>
  <c r="D152" i="35"/>
  <c r="C152" i="35"/>
  <c r="B152" i="35"/>
  <c r="K151" i="35"/>
  <c r="J151" i="35"/>
  <c r="G151" i="35"/>
  <c r="D151" i="35"/>
  <c r="C151" i="35"/>
  <c r="B151" i="35"/>
  <c r="J150" i="35"/>
  <c r="K150" i="35" s="1"/>
  <c r="G150" i="35"/>
  <c r="D150" i="35"/>
  <c r="C150" i="35"/>
  <c r="B150" i="35"/>
  <c r="K149" i="35"/>
  <c r="J149" i="35"/>
  <c r="G149" i="35"/>
  <c r="D149" i="35"/>
  <c r="C149" i="35"/>
  <c r="B149" i="35"/>
  <c r="J148" i="35"/>
  <c r="K148" i="35" s="1"/>
  <c r="G148" i="35"/>
  <c r="D148" i="35"/>
  <c r="C148" i="35"/>
  <c r="B148" i="35"/>
  <c r="K147" i="35"/>
  <c r="J147" i="35"/>
  <c r="G147" i="35"/>
  <c r="D147" i="35"/>
  <c r="C147" i="35"/>
  <c r="B147" i="35"/>
  <c r="J146" i="35"/>
  <c r="K146" i="35" s="1"/>
  <c r="G146" i="35"/>
  <c r="D146" i="35"/>
  <c r="C146" i="35"/>
  <c r="B146" i="35"/>
  <c r="K145" i="35"/>
  <c r="J145" i="35"/>
  <c r="G145" i="35"/>
  <c r="D145" i="35"/>
  <c r="C145" i="35"/>
  <c r="B145" i="35"/>
  <c r="J144" i="35"/>
  <c r="K144" i="35" s="1"/>
  <c r="G144" i="35"/>
  <c r="D144" i="35"/>
  <c r="C144" i="35"/>
  <c r="B144" i="35"/>
  <c r="K143" i="35"/>
  <c r="J143" i="35"/>
  <c r="G143" i="35"/>
  <c r="D143" i="35"/>
  <c r="C143" i="35"/>
  <c r="B143" i="35"/>
  <c r="J142" i="35"/>
  <c r="K142" i="35" s="1"/>
  <c r="G142" i="35"/>
  <c r="D142" i="35"/>
  <c r="C142" i="35"/>
  <c r="B142" i="35"/>
  <c r="K141" i="35"/>
  <c r="J141" i="35"/>
  <c r="G141" i="35"/>
  <c r="D141" i="35"/>
  <c r="C141" i="35"/>
  <c r="B141" i="35"/>
  <c r="J140" i="35"/>
  <c r="K140" i="35" s="1"/>
  <c r="G140" i="35"/>
  <c r="D140" i="35"/>
  <c r="C140" i="35"/>
  <c r="B140" i="35"/>
  <c r="K139" i="35"/>
  <c r="J139" i="35"/>
  <c r="G139" i="35"/>
  <c r="D139" i="35"/>
  <c r="C139" i="35"/>
  <c r="B139" i="35"/>
  <c r="J138" i="35"/>
  <c r="K138" i="35" s="1"/>
  <c r="G138" i="35"/>
  <c r="D138" i="35"/>
  <c r="C138" i="35"/>
  <c r="B138" i="35"/>
  <c r="K137" i="35"/>
  <c r="J137" i="35"/>
  <c r="G137" i="35"/>
  <c r="D137" i="35"/>
  <c r="C137" i="35"/>
  <c r="B137" i="35"/>
  <c r="J136" i="35"/>
  <c r="K136" i="35" s="1"/>
  <c r="G136" i="35"/>
  <c r="D136" i="35"/>
  <c r="C136" i="35"/>
  <c r="B136" i="35"/>
  <c r="K135" i="35"/>
  <c r="J135" i="35"/>
  <c r="G135" i="35"/>
  <c r="D135" i="35"/>
  <c r="C135" i="35"/>
  <c r="B135" i="35"/>
  <c r="J134" i="35"/>
  <c r="K134" i="35" s="1"/>
  <c r="G134" i="35"/>
  <c r="D134" i="35"/>
  <c r="C134" i="35"/>
  <c r="B134" i="35"/>
  <c r="K133" i="35"/>
  <c r="J133" i="35"/>
  <c r="G133" i="35"/>
  <c r="D133" i="35"/>
  <c r="C133" i="35"/>
  <c r="B133" i="35"/>
  <c r="J132" i="35"/>
  <c r="K132" i="35" s="1"/>
  <c r="G132" i="35"/>
  <c r="D132" i="35"/>
  <c r="C132" i="35"/>
  <c r="B132" i="35"/>
  <c r="K131" i="35"/>
  <c r="J131" i="35"/>
  <c r="G131" i="35"/>
  <c r="D131" i="35"/>
  <c r="C131" i="35"/>
  <c r="B131" i="35"/>
  <c r="J130" i="35"/>
  <c r="K130" i="35" s="1"/>
  <c r="G130" i="35"/>
  <c r="D130" i="35"/>
  <c r="C130" i="35"/>
  <c r="B130" i="35"/>
  <c r="K129" i="35"/>
  <c r="J129" i="35"/>
  <c r="G129" i="35"/>
  <c r="D129" i="35"/>
  <c r="C129" i="35"/>
  <c r="B129" i="35"/>
  <c r="J128" i="35"/>
  <c r="K128" i="35" s="1"/>
  <c r="G128" i="35"/>
  <c r="D128" i="35"/>
  <c r="C128" i="35"/>
  <c r="B128" i="35"/>
  <c r="K127" i="35"/>
  <c r="J127" i="35"/>
  <c r="G127" i="35"/>
  <c r="D127" i="35"/>
  <c r="C127" i="35"/>
  <c r="B127" i="35"/>
  <c r="J126" i="35"/>
  <c r="K126" i="35" s="1"/>
  <c r="G126" i="35"/>
  <c r="D126" i="35"/>
  <c r="C126" i="35"/>
  <c r="B126" i="35"/>
  <c r="K125" i="35"/>
  <c r="J125" i="35"/>
  <c r="G125" i="35"/>
  <c r="D125" i="35"/>
  <c r="C125" i="35"/>
  <c r="B125" i="35"/>
  <c r="J124" i="35"/>
  <c r="K124" i="35" s="1"/>
  <c r="G124" i="35"/>
  <c r="D124" i="35"/>
  <c r="C124" i="35"/>
  <c r="B124" i="35"/>
  <c r="K123" i="35"/>
  <c r="J123" i="35"/>
  <c r="G123" i="35"/>
  <c r="D123" i="35"/>
  <c r="C123" i="35"/>
  <c r="B123" i="35"/>
  <c r="J122" i="35"/>
  <c r="K122" i="35" s="1"/>
  <c r="G122" i="35"/>
  <c r="D122" i="35"/>
  <c r="C122" i="35"/>
  <c r="B122" i="35"/>
  <c r="K121" i="35"/>
  <c r="J121" i="35"/>
  <c r="G121" i="35"/>
  <c r="D121" i="35"/>
  <c r="C121" i="35"/>
  <c r="B121" i="35"/>
  <c r="J120" i="35"/>
  <c r="K120" i="35" s="1"/>
  <c r="G120" i="35"/>
  <c r="D120" i="35"/>
  <c r="C120" i="35"/>
  <c r="B120" i="35"/>
  <c r="K119" i="35"/>
  <c r="J119" i="35"/>
  <c r="G119" i="35"/>
  <c r="D119" i="35"/>
  <c r="C119" i="35"/>
  <c r="B119" i="35"/>
  <c r="J118" i="35"/>
  <c r="K118" i="35" s="1"/>
  <c r="G118" i="35"/>
  <c r="D118" i="35"/>
  <c r="C118" i="35"/>
  <c r="B118" i="35"/>
  <c r="K117" i="35"/>
  <c r="J117" i="35"/>
  <c r="G117" i="35"/>
  <c r="D117" i="35"/>
  <c r="C117" i="35"/>
  <c r="B117" i="35"/>
  <c r="J116" i="35"/>
  <c r="K116" i="35" s="1"/>
  <c r="G116" i="35"/>
  <c r="D116" i="35"/>
  <c r="C116" i="35"/>
  <c r="B116" i="35"/>
  <c r="K115" i="35"/>
  <c r="J115" i="35"/>
  <c r="G115" i="35"/>
  <c r="D115" i="35"/>
  <c r="C115" i="35"/>
  <c r="B115" i="35"/>
  <c r="J114" i="35"/>
  <c r="K114" i="35" s="1"/>
  <c r="G114" i="35"/>
  <c r="D114" i="35"/>
  <c r="C114" i="35"/>
  <c r="B114" i="35"/>
  <c r="K113" i="35"/>
  <c r="J113" i="35"/>
  <c r="G113" i="35"/>
  <c r="D113" i="35"/>
  <c r="C113" i="35"/>
  <c r="B113" i="35"/>
  <c r="J112" i="35"/>
  <c r="K112" i="35" s="1"/>
  <c r="G112" i="35"/>
  <c r="D112" i="35"/>
  <c r="C112" i="35"/>
  <c r="B112" i="35"/>
  <c r="K111" i="35"/>
  <c r="J111" i="35"/>
  <c r="G111" i="35"/>
  <c r="D111" i="35"/>
  <c r="C111" i="35"/>
  <c r="B111" i="35"/>
  <c r="J110" i="35"/>
  <c r="K110" i="35" s="1"/>
  <c r="G110" i="35"/>
  <c r="D110" i="35"/>
  <c r="C110" i="35"/>
  <c r="B110" i="35"/>
  <c r="K109" i="35"/>
  <c r="J109" i="35"/>
  <c r="G109" i="35"/>
  <c r="D109" i="35"/>
  <c r="C109" i="35"/>
  <c r="B109" i="35"/>
  <c r="J108" i="35"/>
  <c r="K108" i="35" s="1"/>
  <c r="G108" i="35"/>
  <c r="D108" i="35"/>
  <c r="C108" i="35"/>
  <c r="B108" i="35"/>
  <c r="K107" i="35"/>
  <c r="J107" i="35"/>
  <c r="G107" i="35"/>
  <c r="D107" i="35"/>
  <c r="C107" i="35"/>
  <c r="B107" i="35"/>
  <c r="J106" i="35"/>
  <c r="K106" i="35" s="1"/>
  <c r="G106" i="35"/>
  <c r="D106" i="35"/>
  <c r="C106" i="35"/>
  <c r="B106" i="35"/>
  <c r="K105" i="35"/>
  <c r="J105" i="35"/>
  <c r="G105" i="35"/>
  <c r="D105" i="35"/>
  <c r="C105" i="35"/>
  <c r="B105" i="35"/>
  <c r="J104" i="35"/>
  <c r="K104" i="35" s="1"/>
  <c r="G104" i="35"/>
  <c r="D104" i="35"/>
  <c r="C104" i="35"/>
  <c r="B104" i="35"/>
  <c r="K103" i="35"/>
  <c r="J103" i="35"/>
  <c r="G103" i="35"/>
  <c r="D103" i="35"/>
  <c r="C103" i="35"/>
  <c r="B103" i="35"/>
  <c r="J102" i="35"/>
  <c r="K102" i="35" s="1"/>
  <c r="G102" i="35"/>
  <c r="D102" i="35"/>
  <c r="C102" i="35"/>
  <c r="B102" i="35"/>
  <c r="K101" i="35"/>
  <c r="J101" i="35"/>
  <c r="G101" i="35"/>
  <c r="D101" i="35"/>
  <c r="C101" i="35"/>
  <c r="B101" i="35"/>
  <c r="J100" i="35"/>
  <c r="K100" i="35" s="1"/>
  <c r="G100" i="35"/>
  <c r="D100" i="35"/>
  <c r="C100" i="35"/>
  <c r="B100" i="35"/>
  <c r="K99" i="35"/>
  <c r="J99" i="35"/>
  <c r="G99" i="35"/>
  <c r="D99" i="35"/>
  <c r="C99" i="35"/>
  <c r="B99" i="35"/>
  <c r="J98" i="35"/>
  <c r="K98" i="35" s="1"/>
  <c r="G98" i="35"/>
  <c r="D98" i="35"/>
  <c r="C98" i="35"/>
  <c r="B98" i="35"/>
  <c r="K97" i="35"/>
  <c r="J97" i="35"/>
  <c r="G97" i="35"/>
  <c r="D97" i="35"/>
  <c r="C97" i="35"/>
  <c r="B97" i="35"/>
  <c r="J96" i="35"/>
  <c r="K96" i="35" s="1"/>
  <c r="G96" i="35"/>
  <c r="D96" i="35"/>
  <c r="C96" i="35"/>
  <c r="B96" i="35"/>
  <c r="K95" i="35"/>
  <c r="J95" i="35"/>
  <c r="G95" i="35"/>
  <c r="D95" i="35"/>
  <c r="C95" i="35"/>
  <c r="B95" i="35"/>
  <c r="J94" i="35"/>
  <c r="K94" i="35" s="1"/>
  <c r="G94" i="35"/>
  <c r="D94" i="35"/>
  <c r="C94" i="35"/>
  <c r="B94" i="35"/>
  <c r="K93" i="35"/>
  <c r="J93" i="35"/>
  <c r="G93" i="35"/>
  <c r="D93" i="35"/>
  <c r="C93" i="35"/>
  <c r="B93" i="35"/>
  <c r="J92" i="35"/>
  <c r="K92" i="35" s="1"/>
  <c r="G92" i="35"/>
  <c r="D92" i="35"/>
  <c r="C92" i="35"/>
  <c r="B92" i="35"/>
  <c r="K91" i="35"/>
  <c r="J91" i="35"/>
  <c r="G91" i="35"/>
  <c r="D91" i="35"/>
  <c r="C91" i="35"/>
  <c r="B91" i="35"/>
  <c r="J90" i="35"/>
  <c r="K90" i="35" s="1"/>
  <c r="G90" i="35"/>
  <c r="D90" i="35"/>
  <c r="C90" i="35"/>
  <c r="B90" i="35"/>
  <c r="K89" i="35"/>
  <c r="J89" i="35"/>
  <c r="G89" i="35"/>
  <c r="D89" i="35"/>
  <c r="C89" i="35"/>
  <c r="B89" i="35"/>
  <c r="J88" i="35"/>
  <c r="K88" i="35" s="1"/>
  <c r="G88" i="35"/>
  <c r="D88" i="35"/>
  <c r="C88" i="35"/>
  <c r="B88" i="35"/>
  <c r="K87" i="35"/>
  <c r="J87" i="35"/>
  <c r="G87" i="35"/>
  <c r="D87" i="35"/>
  <c r="C87" i="35"/>
  <c r="B87" i="35"/>
  <c r="J86" i="35"/>
  <c r="K86" i="35" s="1"/>
  <c r="G86" i="35"/>
  <c r="D86" i="35"/>
  <c r="C86" i="35"/>
  <c r="B86" i="35"/>
  <c r="K85" i="35"/>
  <c r="J85" i="35"/>
  <c r="G85" i="35"/>
  <c r="D85" i="35"/>
  <c r="C85" i="35"/>
  <c r="B85" i="35"/>
  <c r="J84" i="35"/>
  <c r="K84" i="35" s="1"/>
  <c r="G84" i="35"/>
  <c r="D84" i="35"/>
  <c r="C84" i="35"/>
  <c r="B84" i="35"/>
  <c r="K83" i="35"/>
  <c r="J83" i="35"/>
  <c r="G83" i="35"/>
  <c r="D83" i="35"/>
  <c r="C83" i="35"/>
  <c r="B83" i="35"/>
  <c r="J82" i="35"/>
  <c r="K82" i="35" s="1"/>
  <c r="G82" i="35"/>
  <c r="D82" i="35"/>
  <c r="C82" i="35"/>
  <c r="B82" i="35"/>
  <c r="K81" i="35"/>
  <c r="J81" i="35"/>
  <c r="G81" i="35"/>
  <c r="D81" i="35"/>
  <c r="C81" i="35"/>
  <c r="B81" i="35"/>
  <c r="J80" i="35"/>
  <c r="K80" i="35" s="1"/>
  <c r="G80" i="35"/>
  <c r="D80" i="35"/>
  <c r="C80" i="35"/>
  <c r="B80" i="35"/>
  <c r="K79" i="35"/>
  <c r="J79" i="35"/>
  <c r="G79" i="35"/>
  <c r="D79" i="35"/>
  <c r="C79" i="35"/>
  <c r="B79" i="35"/>
  <c r="J78" i="35"/>
  <c r="K78" i="35" s="1"/>
  <c r="G78" i="35"/>
  <c r="D78" i="35"/>
  <c r="C78" i="35"/>
  <c r="B78" i="35"/>
  <c r="K77" i="35"/>
  <c r="J77" i="35"/>
  <c r="G77" i="35"/>
  <c r="D77" i="35"/>
  <c r="C77" i="35"/>
  <c r="B77" i="35"/>
  <c r="J76" i="35"/>
  <c r="K76" i="35" s="1"/>
  <c r="G76" i="35"/>
  <c r="D76" i="35"/>
  <c r="C76" i="35"/>
  <c r="B76" i="35"/>
  <c r="K75" i="35"/>
  <c r="J75" i="35"/>
  <c r="G75" i="35"/>
  <c r="D75" i="35"/>
  <c r="C75" i="35"/>
  <c r="B75" i="35"/>
  <c r="J74" i="35"/>
  <c r="K74" i="35" s="1"/>
  <c r="G74" i="35"/>
  <c r="D74" i="35"/>
  <c r="C74" i="35"/>
  <c r="B74" i="35"/>
  <c r="K73" i="35"/>
  <c r="J73" i="35"/>
  <c r="G73" i="35"/>
  <c r="D73" i="35"/>
  <c r="C73" i="35"/>
  <c r="B73" i="35"/>
  <c r="J72" i="35"/>
  <c r="K72" i="35" s="1"/>
  <c r="G72" i="35"/>
  <c r="D72" i="35"/>
  <c r="C72" i="35"/>
  <c r="B72" i="35"/>
  <c r="K71" i="35"/>
  <c r="J71" i="35"/>
  <c r="G71" i="35"/>
  <c r="D71" i="35"/>
  <c r="C71" i="35"/>
  <c r="B71" i="35"/>
  <c r="J70" i="35"/>
  <c r="K70" i="35" s="1"/>
  <c r="G70" i="35"/>
  <c r="D70" i="35"/>
  <c r="C70" i="35"/>
  <c r="B70" i="35"/>
  <c r="K69" i="35"/>
  <c r="J69" i="35"/>
  <c r="G69" i="35"/>
  <c r="D69" i="35"/>
  <c r="C69" i="35"/>
  <c r="B69" i="35"/>
  <c r="J68" i="35"/>
  <c r="K68" i="35" s="1"/>
  <c r="G68" i="35"/>
  <c r="D68" i="35"/>
  <c r="C68" i="35"/>
  <c r="B68" i="35"/>
  <c r="K67" i="35"/>
  <c r="J67" i="35"/>
  <c r="G67" i="35"/>
  <c r="D67" i="35"/>
  <c r="C67" i="35"/>
  <c r="B67" i="35"/>
  <c r="J66" i="35"/>
  <c r="K66" i="35" s="1"/>
  <c r="G66" i="35"/>
  <c r="D66" i="35"/>
  <c r="C66" i="35"/>
  <c r="B66" i="35"/>
  <c r="K65" i="35"/>
  <c r="J65" i="35"/>
  <c r="G65" i="35"/>
  <c r="D65" i="35"/>
  <c r="C65" i="35"/>
  <c r="B65" i="35"/>
  <c r="J64" i="35"/>
  <c r="K64" i="35" s="1"/>
  <c r="G64" i="35"/>
  <c r="D64" i="35"/>
  <c r="C64" i="35"/>
  <c r="B64" i="35"/>
  <c r="K63" i="35"/>
  <c r="J63" i="35"/>
  <c r="G63" i="35"/>
  <c r="D63" i="35"/>
  <c r="C63" i="35"/>
  <c r="B63" i="35"/>
  <c r="J62" i="35"/>
  <c r="K62" i="35" s="1"/>
  <c r="G62" i="35"/>
  <c r="D62" i="35"/>
  <c r="C62" i="35"/>
  <c r="B62" i="35"/>
  <c r="K61" i="35"/>
  <c r="J61" i="35"/>
  <c r="G61" i="35"/>
  <c r="D61" i="35"/>
  <c r="C61" i="35"/>
  <c r="B61" i="35"/>
  <c r="J60" i="35"/>
  <c r="K60" i="35" s="1"/>
  <c r="G60" i="35"/>
  <c r="D60" i="35"/>
  <c r="C60" i="35"/>
  <c r="B60" i="35"/>
  <c r="K59" i="35"/>
  <c r="J59" i="35"/>
  <c r="G59" i="35"/>
  <c r="D59" i="35"/>
  <c r="C59" i="35"/>
  <c r="B59" i="35"/>
  <c r="J58" i="35"/>
  <c r="K58" i="35" s="1"/>
  <c r="G58" i="35"/>
  <c r="D58" i="35"/>
  <c r="C58" i="35"/>
  <c r="B58" i="35"/>
  <c r="K57" i="35"/>
  <c r="J57" i="35"/>
  <c r="G57" i="35"/>
  <c r="D57" i="35"/>
  <c r="C57" i="35"/>
  <c r="B57" i="35"/>
  <c r="J56" i="35"/>
  <c r="K56" i="35" s="1"/>
  <c r="G56" i="35"/>
  <c r="D56" i="35"/>
  <c r="C56" i="35"/>
  <c r="B56" i="35"/>
  <c r="K55" i="35"/>
  <c r="J55" i="35"/>
  <c r="G55" i="35"/>
  <c r="D55" i="35"/>
  <c r="C55" i="35"/>
  <c r="B55" i="35"/>
  <c r="J54" i="35"/>
  <c r="K54" i="35" s="1"/>
  <c r="G54" i="35"/>
  <c r="D54" i="35"/>
  <c r="C54" i="35"/>
  <c r="B54" i="35"/>
  <c r="K53" i="35"/>
  <c r="J53" i="35"/>
  <c r="G53" i="35"/>
  <c r="D53" i="35"/>
  <c r="C53" i="35"/>
  <c r="B53" i="35"/>
  <c r="J52" i="35"/>
  <c r="K52" i="35" s="1"/>
  <c r="G52" i="35"/>
  <c r="D52" i="35"/>
  <c r="C52" i="35"/>
  <c r="B52" i="35"/>
  <c r="K51" i="35"/>
  <c r="J51" i="35"/>
  <c r="G51" i="35"/>
  <c r="D51" i="35"/>
  <c r="C51" i="35"/>
  <c r="B51" i="35"/>
  <c r="J50" i="35"/>
  <c r="K50" i="35" s="1"/>
  <c r="G50" i="35"/>
  <c r="D50" i="35"/>
  <c r="C50" i="35"/>
  <c r="B50" i="35"/>
  <c r="K49" i="35"/>
  <c r="J49" i="35"/>
  <c r="G49" i="35"/>
  <c r="D49" i="35"/>
  <c r="C49" i="35"/>
  <c r="B49" i="35"/>
  <c r="J48" i="35"/>
  <c r="K48" i="35" s="1"/>
  <c r="G48" i="35"/>
  <c r="D48" i="35"/>
  <c r="C48" i="35"/>
  <c r="B48" i="35"/>
  <c r="K47" i="35"/>
  <c r="J47" i="35"/>
  <c r="G47" i="35"/>
  <c r="D47" i="35"/>
  <c r="C47" i="35"/>
  <c r="B47" i="35"/>
  <c r="J46" i="35"/>
  <c r="K46" i="35" s="1"/>
  <c r="G46" i="35"/>
  <c r="D46" i="35"/>
  <c r="C46" i="35"/>
  <c r="B46" i="35"/>
  <c r="K45" i="35"/>
  <c r="J45" i="35"/>
  <c r="G45" i="35"/>
  <c r="D45" i="35"/>
  <c r="C45" i="35"/>
  <c r="B45" i="35"/>
  <c r="J44" i="35"/>
  <c r="K44" i="35" s="1"/>
  <c r="G44" i="35"/>
  <c r="D44" i="35"/>
  <c r="C44" i="35"/>
  <c r="B44" i="35"/>
  <c r="K43" i="35"/>
  <c r="J43" i="35"/>
  <c r="G43" i="35"/>
  <c r="D43" i="35"/>
  <c r="C43" i="35"/>
  <c r="B43" i="35"/>
  <c r="J42" i="35"/>
  <c r="K42" i="35" s="1"/>
  <c r="G42" i="35"/>
  <c r="D42" i="35"/>
  <c r="C42" i="35"/>
  <c r="B42" i="35"/>
  <c r="K41" i="35"/>
  <c r="J41" i="35"/>
  <c r="G41" i="35"/>
  <c r="D41" i="35"/>
  <c r="C41" i="35"/>
  <c r="B41" i="35"/>
  <c r="J40" i="35"/>
  <c r="K40" i="35" s="1"/>
  <c r="G40" i="35"/>
  <c r="D40" i="35"/>
  <c r="C40" i="35"/>
  <c r="B40" i="35"/>
  <c r="K39" i="35"/>
  <c r="J39" i="35"/>
  <c r="G39" i="35"/>
  <c r="D39" i="35"/>
  <c r="C39" i="35"/>
  <c r="B39" i="35"/>
  <c r="J38" i="35"/>
  <c r="K38" i="35" s="1"/>
  <c r="G38" i="35"/>
  <c r="D38" i="35"/>
  <c r="C38" i="35"/>
  <c r="B38" i="35"/>
  <c r="K37" i="35"/>
  <c r="J37" i="35"/>
  <c r="G37" i="35"/>
  <c r="D37" i="35"/>
  <c r="C37" i="35"/>
  <c r="B37" i="35"/>
  <c r="J36" i="35"/>
  <c r="K36" i="35" s="1"/>
  <c r="G36" i="35"/>
  <c r="D36" i="35"/>
  <c r="C36" i="35"/>
  <c r="B36" i="35"/>
  <c r="K35" i="35"/>
  <c r="J35" i="35"/>
  <c r="G35" i="35"/>
  <c r="D35" i="35"/>
  <c r="C35" i="35"/>
  <c r="B35" i="35"/>
  <c r="J34" i="35"/>
  <c r="K34" i="35" s="1"/>
  <c r="G34" i="35"/>
  <c r="D34" i="35"/>
  <c r="C34" i="35"/>
  <c r="B34" i="35"/>
  <c r="K33" i="35"/>
  <c r="J33" i="35"/>
  <c r="G33" i="35"/>
  <c r="D33" i="35"/>
  <c r="C33" i="35"/>
  <c r="B33" i="35"/>
  <c r="J32" i="35"/>
  <c r="K32" i="35" s="1"/>
  <c r="G32" i="35"/>
  <c r="D32" i="35"/>
  <c r="C32" i="35"/>
  <c r="B32" i="35"/>
  <c r="K31" i="35"/>
  <c r="J31" i="35"/>
  <c r="G31" i="35"/>
  <c r="D31" i="35"/>
  <c r="C31" i="35"/>
  <c r="B31" i="35"/>
  <c r="J30" i="35"/>
  <c r="K30" i="35" s="1"/>
  <c r="G30" i="35"/>
  <c r="D30" i="35"/>
  <c r="C30" i="35"/>
  <c r="B30" i="35"/>
  <c r="K29" i="35"/>
  <c r="J29" i="35"/>
  <c r="G29" i="35"/>
  <c r="D29" i="35"/>
  <c r="C29" i="35"/>
  <c r="B29" i="35"/>
  <c r="J28" i="35"/>
  <c r="K28" i="35" s="1"/>
  <c r="G28" i="35"/>
  <c r="D28" i="35"/>
  <c r="C28" i="35"/>
  <c r="B28" i="35"/>
  <c r="K27" i="35"/>
  <c r="J27" i="35"/>
  <c r="G27" i="35"/>
  <c r="D27" i="35"/>
  <c r="C27" i="35"/>
  <c r="B27" i="35"/>
  <c r="J26" i="35"/>
  <c r="K26" i="35" s="1"/>
  <c r="G26" i="35"/>
  <c r="D26" i="35"/>
  <c r="C26" i="35"/>
  <c r="B26" i="35"/>
  <c r="K25" i="35"/>
  <c r="J25" i="35"/>
  <c r="G25" i="35"/>
  <c r="D25" i="35"/>
  <c r="C25" i="35"/>
  <c r="B25" i="35"/>
  <c r="J24" i="35"/>
  <c r="K24" i="35" s="1"/>
  <c r="G24" i="35"/>
  <c r="D24" i="35"/>
  <c r="C24" i="35"/>
  <c r="B24" i="35"/>
  <c r="K23" i="35"/>
  <c r="J23" i="35"/>
  <c r="G23" i="35"/>
  <c r="D23" i="35"/>
  <c r="C23" i="35"/>
  <c r="B23" i="35"/>
  <c r="J22" i="35"/>
  <c r="K22" i="35" s="1"/>
  <c r="G22" i="35"/>
  <c r="D22" i="35"/>
  <c r="C22" i="35"/>
  <c r="B22" i="35"/>
  <c r="K21" i="35"/>
  <c r="J21" i="35"/>
  <c r="G21" i="35"/>
  <c r="D21" i="35"/>
  <c r="C21" i="35"/>
  <c r="B21" i="35"/>
  <c r="J20" i="35"/>
  <c r="K20" i="35" s="1"/>
  <c r="G20" i="35"/>
  <c r="D20" i="35"/>
  <c r="C20" i="35"/>
  <c r="B20" i="35"/>
  <c r="K19" i="35"/>
  <c r="J19" i="35"/>
  <c r="G19" i="35"/>
  <c r="D19" i="35"/>
  <c r="C19" i="35"/>
  <c r="B19" i="35"/>
  <c r="J18" i="35"/>
  <c r="K18" i="35" s="1"/>
  <c r="G18" i="35"/>
  <c r="D18" i="35"/>
  <c r="C18" i="35"/>
  <c r="B18" i="35"/>
  <c r="K17" i="35"/>
  <c r="J17" i="35"/>
  <c r="G17" i="35"/>
  <c r="D17" i="35"/>
  <c r="C17" i="35"/>
  <c r="B17" i="35"/>
  <c r="J16" i="35"/>
  <c r="K16" i="35" s="1"/>
  <c r="G16" i="35"/>
  <c r="D16" i="35"/>
  <c r="C16" i="35"/>
  <c r="B16" i="35"/>
  <c r="K15" i="35"/>
  <c r="J15" i="35"/>
  <c r="G15" i="35"/>
  <c r="D15" i="35"/>
  <c r="C15" i="35"/>
  <c r="B15" i="35"/>
  <c r="J14" i="35"/>
  <c r="K14" i="35" s="1"/>
  <c r="G14" i="35"/>
  <c r="D14" i="35"/>
  <c r="C14" i="35"/>
  <c r="B14" i="35"/>
  <c r="K13" i="35"/>
  <c r="J13" i="35"/>
  <c r="G13" i="35"/>
  <c r="D13" i="35"/>
  <c r="C13" i="35"/>
  <c r="B13" i="35"/>
  <c r="J12" i="35"/>
  <c r="K12" i="35" s="1"/>
  <c r="G12" i="35"/>
  <c r="D12" i="35"/>
  <c r="C12" i="35"/>
  <c r="B12" i="35"/>
  <c r="K11" i="35"/>
  <c r="J11" i="35"/>
  <c r="G11" i="35"/>
  <c r="D11" i="35"/>
  <c r="C11" i="35"/>
  <c r="B11" i="35"/>
  <c r="J10" i="35"/>
  <c r="K10" i="35" s="1"/>
  <c r="G10" i="35"/>
  <c r="D10" i="35"/>
  <c r="C10" i="35"/>
  <c r="B10" i="35"/>
  <c r="K9" i="35"/>
  <c r="J9" i="35"/>
  <c r="G9" i="35"/>
  <c r="D9" i="35"/>
  <c r="C9" i="35"/>
  <c r="B9" i="35"/>
  <c r="K4" i="35"/>
  <c r="G4" i="35"/>
  <c r="D4" i="35"/>
  <c r="A4" i="35"/>
  <c r="I208" i="34"/>
  <c r="J208" i="34" s="1"/>
  <c r="F208" i="34"/>
  <c r="D208" i="34"/>
  <c r="C208" i="34"/>
  <c r="B208" i="34"/>
  <c r="J207" i="34"/>
  <c r="I207" i="34"/>
  <c r="F207" i="34"/>
  <c r="D207" i="34"/>
  <c r="C207" i="34"/>
  <c r="B207" i="34"/>
  <c r="I206" i="34"/>
  <c r="J206" i="34" s="1"/>
  <c r="F206" i="34"/>
  <c r="D206" i="34"/>
  <c r="C206" i="34"/>
  <c r="B206" i="34"/>
  <c r="J205" i="34"/>
  <c r="I205" i="34"/>
  <c r="F205" i="34"/>
  <c r="D205" i="34"/>
  <c r="C205" i="34"/>
  <c r="B205" i="34"/>
  <c r="I204" i="34"/>
  <c r="J204" i="34" s="1"/>
  <c r="F204" i="34"/>
  <c r="D204" i="34"/>
  <c r="C204" i="34"/>
  <c r="B204" i="34"/>
  <c r="J203" i="34"/>
  <c r="I203" i="34"/>
  <c r="F203" i="34"/>
  <c r="D203" i="34"/>
  <c r="C203" i="34"/>
  <c r="B203" i="34"/>
  <c r="I202" i="34"/>
  <c r="J202" i="34" s="1"/>
  <c r="F202" i="34"/>
  <c r="D202" i="34"/>
  <c r="C202" i="34"/>
  <c r="B202" i="34"/>
  <c r="J201" i="34"/>
  <c r="I201" i="34"/>
  <c r="F201" i="34"/>
  <c r="D201" i="34"/>
  <c r="C201" i="34"/>
  <c r="B201" i="34"/>
  <c r="I200" i="34"/>
  <c r="J200" i="34" s="1"/>
  <c r="F200" i="34"/>
  <c r="D200" i="34"/>
  <c r="C200" i="34"/>
  <c r="B200" i="34"/>
  <c r="J199" i="34"/>
  <c r="I199" i="34"/>
  <c r="F199" i="34"/>
  <c r="D199" i="34"/>
  <c r="C199" i="34"/>
  <c r="B199" i="34"/>
  <c r="I198" i="34"/>
  <c r="J198" i="34" s="1"/>
  <c r="F198" i="34"/>
  <c r="D198" i="34"/>
  <c r="C198" i="34"/>
  <c r="B198" i="34"/>
  <c r="J197" i="34"/>
  <c r="I197" i="34"/>
  <c r="F197" i="34"/>
  <c r="D197" i="34"/>
  <c r="C197" i="34"/>
  <c r="B197" i="34"/>
  <c r="I196" i="34"/>
  <c r="J196" i="34" s="1"/>
  <c r="F196" i="34"/>
  <c r="D196" i="34"/>
  <c r="C196" i="34"/>
  <c r="B196" i="34"/>
  <c r="J195" i="34"/>
  <c r="I195" i="34"/>
  <c r="F195" i="34"/>
  <c r="D195" i="34"/>
  <c r="C195" i="34"/>
  <c r="B195" i="34"/>
  <c r="I194" i="34"/>
  <c r="J194" i="34" s="1"/>
  <c r="F194" i="34"/>
  <c r="D194" i="34"/>
  <c r="C194" i="34"/>
  <c r="B194" i="34"/>
  <c r="J193" i="34"/>
  <c r="I193" i="34"/>
  <c r="F193" i="34"/>
  <c r="D193" i="34"/>
  <c r="C193" i="34"/>
  <c r="B193" i="34"/>
  <c r="I192" i="34"/>
  <c r="J192" i="34" s="1"/>
  <c r="F192" i="34"/>
  <c r="D192" i="34"/>
  <c r="C192" i="34"/>
  <c r="B192" i="34"/>
  <c r="J191" i="34"/>
  <c r="I191" i="34"/>
  <c r="F191" i="34"/>
  <c r="D191" i="34"/>
  <c r="C191" i="34"/>
  <c r="B191" i="34"/>
  <c r="I190" i="34"/>
  <c r="J190" i="34" s="1"/>
  <c r="F190" i="34"/>
  <c r="D190" i="34"/>
  <c r="C190" i="34"/>
  <c r="B190" i="34"/>
  <c r="J189" i="34"/>
  <c r="I189" i="34"/>
  <c r="F189" i="34"/>
  <c r="D189" i="34"/>
  <c r="C189" i="34"/>
  <c r="B189" i="34"/>
  <c r="I188" i="34"/>
  <c r="J188" i="34" s="1"/>
  <c r="F188" i="34"/>
  <c r="D188" i="34"/>
  <c r="C188" i="34"/>
  <c r="B188" i="34"/>
  <c r="J187" i="34"/>
  <c r="I187" i="34"/>
  <c r="F187" i="34"/>
  <c r="D187" i="34"/>
  <c r="C187" i="34"/>
  <c r="B187" i="34"/>
  <c r="I186" i="34"/>
  <c r="J186" i="34" s="1"/>
  <c r="F186" i="34"/>
  <c r="D186" i="34"/>
  <c r="C186" i="34"/>
  <c r="B186" i="34"/>
  <c r="J185" i="34"/>
  <c r="I185" i="34"/>
  <c r="F185" i="34"/>
  <c r="D185" i="34"/>
  <c r="C185" i="34"/>
  <c r="B185" i="34"/>
  <c r="I184" i="34"/>
  <c r="J184" i="34" s="1"/>
  <c r="F184" i="34"/>
  <c r="D184" i="34"/>
  <c r="C184" i="34"/>
  <c r="B184" i="34"/>
  <c r="J183" i="34"/>
  <c r="I183" i="34"/>
  <c r="F183" i="34"/>
  <c r="D183" i="34"/>
  <c r="C183" i="34"/>
  <c r="B183" i="34"/>
  <c r="I182" i="34"/>
  <c r="J182" i="34" s="1"/>
  <c r="F182" i="34"/>
  <c r="D182" i="34"/>
  <c r="C182" i="34"/>
  <c r="B182" i="34"/>
  <c r="J181" i="34"/>
  <c r="I181" i="34"/>
  <c r="F181" i="34"/>
  <c r="D181" i="34"/>
  <c r="C181" i="34"/>
  <c r="B181" i="34"/>
  <c r="I180" i="34"/>
  <c r="J180" i="34" s="1"/>
  <c r="F180" i="34"/>
  <c r="D180" i="34"/>
  <c r="C180" i="34"/>
  <c r="B180" i="34"/>
  <c r="J179" i="34"/>
  <c r="I179" i="34"/>
  <c r="F179" i="34"/>
  <c r="D179" i="34"/>
  <c r="C179" i="34"/>
  <c r="B179" i="34"/>
  <c r="I178" i="34"/>
  <c r="J178" i="34" s="1"/>
  <c r="F178" i="34"/>
  <c r="D178" i="34"/>
  <c r="C178" i="34"/>
  <c r="B178" i="34"/>
  <c r="J177" i="34"/>
  <c r="I177" i="34"/>
  <c r="F177" i="34"/>
  <c r="D177" i="34"/>
  <c r="C177" i="34"/>
  <c r="B177" i="34"/>
  <c r="I176" i="34"/>
  <c r="J176" i="34" s="1"/>
  <c r="F176" i="34"/>
  <c r="D176" i="34"/>
  <c r="C176" i="34"/>
  <c r="B176" i="34"/>
  <c r="J175" i="34"/>
  <c r="I175" i="34"/>
  <c r="F175" i="34"/>
  <c r="D175" i="34"/>
  <c r="C175" i="34"/>
  <c r="B175" i="34"/>
  <c r="I174" i="34"/>
  <c r="J174" i="34" s="1"/>
  <c r="F174" i="34"/>
  <c r="D174" i="34"/>
  <c r="C174" i="34"/>
  <c r="B174" i="34"/>
  <c r="J173" i="34"/>
  <c r="I173" i="34"/>
  <c r="F173" i="34"/>
  <c r="D173" i="34"/>
  <c r="C173" i="34"/>
  <c r="B173" i="34"/>
  <c r="I172" i="34"/>
  <c r="J172" i="34" s="1"/>
  <c r="F172" i="34"/>
  <c r="D172" i="34"/>
  <c r="C172" i="34"/>
  <c r="B172" i="34"/>
  <c r="J171" i="34"/>
  <c r="I171" i="34"/>
  <c r="F171" i="34"/>
  <c r="D171" i="34"/>
  <c r="C171" i="34"/>
  <c r="B171" i="34"/>
  <c r="I170" i="34"/>
  <c r="J170" i="34" s="1"/>
  <c r="F170" i="34"/>
  <c r="D170" i="34"/>
  <c r="C170" i="34"/>
  <c r="B170" i="34"/>
  <c r="J169" i="34"/>
  <c r="I169" i="34"/>
  <c r="F169" i="34"/>
  <c r="D169" i="34"/>
  <c r="C169" i="34"/>
  <c r="B169" i="34"/>
  <c r="I168" i="34"/>
  <c r="J168" i="34" s="1"/>
  <c r="F168" i="34"/>
  <c r="D168" i="34"/>
  <c r="C168" i="34"/>
  <c r="B168" i="34"/>
  <c r="J167" i="34"/>
  <c r="I167" i="34"/>
  <c r="F167" i="34"/>
  <c r="D167" i="34"/>
  <c r="C167" i="34"/>
  <c r="B167" i="34"/>
  <c r="I166" i="34"/>
  <c r="J166" i="34" s="1"/>
  <c r="F166" i="34"/>
  <c r="D166" i="34"/>
  <c r="C166" i="34"/>
  <c r="B166" i="34"/>
  <c r="J165" i="34"/>
  <c r="I165" i="34"/>
  <c r="F165" i="34"/>
  <c r="D165" i="34"/>
  <c r="C165" i="34"/>
  <c r="B165" i="34"/>
  <c r="I164" i="34"/>
  <c r="J164" i="34" s="1"/>
  <c r="F164" i="34"/>
  <c r="D164" i="34"/>
  <c r="C164" i="34"/>
  <c r="B164" i="34"/>
  <c r="J163" i="34"/>
  <c r="I163" i="34"/>
  <c r="F163" i="34"/>
  <c r="D163" i="34"/>
  <c r="C163" i="34"/>
  <c r="B163" i="34"/>
  <c r="I162" i="34"/>
  <c r="J162" i="34" s="1"/>
  <c r="F162" i="34"/>
  <c r="D162" i="34"/>
  <c r="C162" i="34"/>
  <c r="B162" i="34"/>
  <c r="J161" i="34"/>
  <c r="I161" i="34"/>
  <c r="F161" i="34"/>
  <c r="D161" i="34"/>
  <c r="C161" i="34"/>
  <c r="B161" i="34"/>
  <c r="I160" i="34"/>
  <c r="J160" i="34" s="1"/>
  <c r="F160" i="34"/>
  <c r="D160" i="34"/>
  <c r="C160" i="34"/>
  <c r="B160" i="34"/>
  <c r="J159" i="34"/>
  <c r="I159" i="34"/>
  <c r="F159" i="34"/>
  <c r="D159" i="34"/>
  <c r="C159" i="34"/>
  <c r="B159" i="34"/>
  <c r="I158" i="34"/>
  <c r="J158" i="34" s="1"/>
  <c r="F158" i="34"/>
  <c r="D158" i="34"/>
  <c r="C158" i="34"/>
  <c r="B158" i="34"/>
  <c r="J157" i="34"/>
  <c r="I157" i="34"/>
  <c r="F157" i="34"/>
  <c r="D157" i="34"/>
  <c r="C157" i="34"/>
  <c r="B157" i="34"/>
  <c r="I156" i="34"/>
  <c r="J156" i="34" s="1"/>
  <c r="F156" i="34"/>
  <c r="D156" i="34"/>
  <c r="C156" i="34"/>
  <c r="B156" i="34"/>
  <c r="J155" i="34"/>
  <c r="I155" i="34"/>
  <c r="F155" i="34"/>
  <c r="D155" i="34"/>
  <c r="C155" i="34"/>
  <c r="B155" i="34"/>
  <c r="I154" i="34"/>
  <c r="J154" i="34" s="1"/>
  <c r="F154" i="34"/>
  <c r="D154" i="34"/>
  <c r="C154" i="34"/>
  <c r="B154" i="34"/>
  <c r="J153" i="34"/>
  <c r="I153" i="34"/>
  <c r="F153" i="34"/>
  <c r="D153" i="34"/>
  <c r="C153" i="34"/>
  <c r="B153" i="34"/>
  <c r="I152" i="34"/>
  <c r="J152" i="34" s="1"/>
  <c r="F152" i="34"/>
  <c r="D152" i="34"/>
  <c r="C152" i="34"/>
  <c r="B152" i="34"/>
  <c r="J151" i="34"/>
  <c r="I151" i="34"/>
  <c r="F151" i="34"/>
  <c r="D151" i="34"/>
  <c r="C151" i="34"/>
  <c r="B151" i="34"/>
  <c r="I150" i="34"/>
  <c r="J150" i="34" s="1"/>
  <c r="F150" i="34"/>
  <c r="D150" i="34"/>
  <c r="C150" i="34"/>
  <c r="B150" i="34"/>
  <c r="J149" i="34"/>
  <c r="I149" i="34"/>
  <c r="F149" i="34"/>
  <c r="D149" i="34"/>
  <c r="C149" i="34"/>
  <c r="B149" i="34"/>
  <c r="I148" i="34"/>
  <c r="J148" i="34" s="1"/>
  <c r="F148" i="34"/>
  <c r="D148" i="34"/>
  <c r="C148" i="34"/>
  <c r="B148" i="34"/>
  <c r="J147" i="34"/>
  <c r="I147" i="34"/>
  <c r="F147" i="34"/>
  <c r="D147" i="34"/>
  <c r="C147" i="34"/>
  <c r="B147" i="34"/>
  <c r="I146" i="34"/>
  <c r="J146" i="34" s="1"/>
  <c r="F146" i="34"/>
  <c r="D146" i="34"/>
  <c r="C146" i="34"/>
  <c r="B146" i="34"/>
  <c r="J145" i="34"/>
  <c r="I145" i="34"/>
  <c r="F145" i="34"/>
  <c r="D145" i="34"/>
  <c r="C145" i="34"/>
  <c r="B145" i="34"/>
  <c r="I144" i="34"/>
  <c r="J144" i="34" s="1"/>
  <c r="F144" i="34"/>
  <c r="D144" i="34"/>
  <c r="C144" i="34"/>
  <c r="B144" i="34"/>
  <c r="J143" i="34"/>
  <c r="I143" i="34"/>
  <c r="F143" i="34"/>
  <c r="D143" i="34"/>
  <c r="C143" i="34"/>
  <c r="B143" i="34"/>
  <c r="I142" i="34"/>
  <c r="J142" i="34" s="1"/>
  <c r="F142" i="34"/>
  <c r="D142" i="34"/>
  <c r="C142" i="34"/>
  <c r="B142" i="34"/>
  <c r="J141" i="34"/>
  <c r="I141" i="34"/>
  <c r="F141" i="34"/>
  <c r="D141" i="34"/>
  <c r="C141" i="34"/>
  <c r="B141" i="34"/>
  <c r="I140" i="34"/>
  <c r="J140" i="34" s="1"/>
  <c r="F140" i="34"/>
  <c r="D140" i="34"/>
  <c r="C140" i="34"/>
  <c r="B140" i="34"/>
  <c r="J139" i="34"/>
  <c r="I139" i="34"/>
  <c r="F139" i="34"/>
  <c r="D139" i="34"/>
  <c r="C139" i="34"/>
  <c r="B139" i="34"/>
  <c r="I138" i="34"/>
  <c r="J138" i="34" s="1"/>
  <c r="F138" i="34"/>
  <c r="D138" i="34"/>
  <c r="C138" i="34"/>
  <c r="B138" i="34"/>
  <c r="J137" i="34"/>
  <c r="I137" i="34"/>
  <c r="F137" i="34"/>
  <c r="D137" i="34"/>
  <c r="C137" i="34"/>
  <c r="B137" i="34"/>
  <c r="I136" i="34"/>
  <c r="J136" i="34" s="1"/>
  <c r="F136" i="34"/>
  <c r="D136" i="34"/>
  <c r="C136" i="34"/>
  <c r="B136" i="34"/>
  <c r="J135" i="34"/>
  <c r="I135" i="34"/>
  <c r="F135" i="34"/>
  <c r="D135" i="34"/>
  <c r="C135" i="34"/>
  <c r="B135" i="34"/>
  <c r="I134" i="34"/>
  <c r="J134" i="34" s="1"/>
  <c r="F134" i="34"/>
  <c r="D134" i="34"/>
  <c r="C134" i="34"/>
  <c r="B134" i="34"/>
  <c r="J133" i="34"/>
  <c r="I133" i="34"/>
  <c r="F133" i="34"/>
  <c r="D133" i="34"/>
  <c r="C133" i="34"/>
  <c r="B133" i="34"/>
  <c r="I132" i="34"/>
  <c r="J132" i="34" s="1"/>
  <c r="F132" i="34"/>
  <c r="D132" i="34"/>
  <c r="C132" i="34"/>
  <c r="B132" i="34"/>
  <c r="J131" i="34"/>
  <c r="I131" i="34"/>
  <c r="F131" i="34"/>
  <c r="D131" i="34"/>
  <c r="C131" i="34"/>
  <c r="B131" i="34"/>
  <c r="I130" i="34"/>
  <c r="J130" i="34" s="1"/>
  <c r="F130" i="34"/>
  <c r="D130" i="34"/>
  <c r="C130" i="34"/>
  <c r="B130" i="34"/>
  <c r="J129" i="34"/>
  <c r="I129" i="34"/>
  <c r="F129" i="34"/>
  <c r="D129" i="34"/>
  <c r="C129" i="34"/>
  <c r="B129" i="34"/>
  <c r="I128" i="34"/>
  <c r="J128" i="34" s="1"/>
  <c r="F128" i="34"/>
  <c r="D128" i="34"/>
  <c r="C128" i="34"/>
  <c r="B128" i="34"/>
  <c r="J127" i="34"/>
  <c r="I127" i="34"/>
  <c r="F127" i="34"/>
  <c r="D127" i="34"/>
  <c r="C127" i="34"/>
  <c r="B127" i="34"/>
  <c r="I126" i="34"/>
  <c r="J126" i="34" s="1"/>
  <c r="F126" i="34"/>
  <c r="D126" i="34"/>
  <c r="C126" i="34"/>
  <c r="B126" i="34"/>
  <c r="J125" i="34"/>
  <c r="I125" i="34"/>
  <c r="F125" i="34"/>
  <c r="D125" i="34"/>
  <c r="C125" i="34"/>
  <c r="B125" i="34"/>
  <c r="I124" i="34"/>
  <c r="J124" i="34" s="1"/>
  <c r="F124" i="34"/>
  <c r="D124" i="34"/>
  <c r="C124" i="34"/>
  <c r="B124" i="34"/>
  <c r="J123" i="34"/>
  <c r="I123" i="34"/>
  <c r="F123" i="34"/>
  <c r="D123" i="34"/>
  <c r="C123" i="34"/>
  <c r="B123" i="34"/>
  <c r="I122" i="34"/>
  <c r="J122" i="34" s="1"/>
  <c r="F122" i="34"/>
  <c r="D122" i="34"/>
  <c r="C122" i="34"/>
  <c r="B122" i="34"/>
  <c r="J121" i="34"/>
  <c r="I121" i="34"/>
  <c r="F121" i="34"/>
  <c r="D121" i="34"/>
  <c r="C121" i="34"/>
  <c r="B121" i="34"/>
  <c r="I120" i="34"/>
  <c r="J120" i="34" s="1"/>
  <c r="F120" i="34"/>
  <c r="D120" i="34"/>
  <c r="C120" i="34"/>
  <c r="B120" i="34"/>
  <c r="J119" i="34"/>
  <c r="I119" i="34"/>
  <c r="F119" i="34"/>
  <c r="D119" i="34"/>
  <c r="C119" i="34"/>
  <c r="B119" i="34"/>
  <c r="I118" i="34"/>
  <c r="J118" i="34" s="1"/>
  <c r="F118" i="34"/>
  <c r="D118" i="34"/>
  <c r="C118" i="34"/>
  <c r="B118" i="34"/>
  <c r="J117" i="34"/>
  <c r="I117" i="34"/>
  <c r="F117" i="34"/>
  <c r="D117" i="34"/>
  <c r="C117" i="34"/>
  <c r="B117" i="34"/>
  <c r="I116" i="34"/>
  <c r="J116" i="34" s="1"/>
  <c r="F116" i="34"/>
  <c r="D116" i="34"/>
  <c r="C116" i="34"/>
  <c r="B116" i="34"/>
  <c r="J115" i="34"/>
  <c r="I115" i="34"/>
  <c r="F115" i="34"/>
  <c r="D115" i="34"/>
  <c r="C115" i="34"/>
  <c r="B115" i="34"/>
  <c r="I114" i="34"/>
  <c r="J114" i="34" s="1"/>
  <c r="F114" i="34"/>
  <c r="D114" i="34"/>
  <c r="C114" i="34"/>
  <c r="B114" i="34"/>
  <c r="J113" i="34"/>
  <c r="I113" i="34"/>
  <c r="F113" i="34"/>
  <c r="D113" i="34"/>
  <c r="C113" i="34"/>
  <c r="B113" i="34"/>
  <c r="I112" i="34"/>
  <c r="J112" i="34" s="1"/>
  <c r="F112" i="34"/>
  <c r="D112" i="34"/>
  <c r="C112" i="34"/>
  <c r="B112" i="34"/>
  <c r="J111" i="34"/>
  <c r="I111" i="34"/>
  <c r="F111" i="34"/>
  <c r="D111" i="34"/>
  <c r="C111" i="34"/>
  <c r="B111" i="34"/>
  <c r="I110" i="34"/>
  <c r="J110" i="34" s="1"/>
  <c r="F110" i="34"/>
  <c r="D110" i="34"/>
  <c r="C110" i="34"/>
  <c r="B110" i="34"/>
  <c r="J109" i="34"/>
  <c r="I109" i="34"/>
  <c r="F109" i="34"/>
  <c r="D109" i="34"/>
  <c r="C109" i="34"/>
  <c r="B109" i="34"/>
  <c r="I108" i="34"/>
  <c r="J108" i="34" s="1"/>
  <c r="F108" i="34"/>
  <c r="D108" i="34"/>
  <c r="C108" i="34"/>
  <c r="B108" i="34"/>
  <c r="J107" i="34"/>
  <c r="I107" i="34"/>
  <c r="F107" i="34"/>
  <c r="D107" i="34"/>
  <c r="C107" i="34"/>
  <c r="B107" i="34"/>
  <c r="I106" i="34"/>
  <c r="J106" i="34" s="1"/>
  <c r="F106" i="34"/>
  <c r="D106" i="34"/>
  <c r="C106" i="34"/>
  <c r="B106" i="34"/>
  <c r="J105" i="34"/>
  <c r="I105" i="34"/>
  <c r="F105" i="34"/>
  <c r="D105" i="34"/>
  <c r="C105" i="34"/>
  <c r="B105" i="34"/>
  <c r="I104" i="34"/>
  <c r="J104" i="34" s="1"/>
  <c r="F104" i="34"/>
  <c r="D104" i="34"/>
  <c r="C104" i="34"/>
  <c r="B104" i="34"/>
  <c r="J103" i="34"/>
  <c r="I103" i="34"/>
  <c r="F103" i="34"/>
  <c r="D103" i="34"/>
  <c r="C103" i="34"/>
  <c r="B103" i="34"/>
  <c r="I102" i="34"/>
  <c r="J102" i="34" s="1"/>
  <c r="F102" i="34"/>
  <c r="D102" i="34"/>
  <c r="C102" i="34"/>
  <c r="B102" i="34"/>
  <c r="J101" i="34"/>
  <c r="I101" i="34"/>
  <c r="F101" i="34"/>
  <c r="D101" i="34"/>
  <c r="C101" i="34"/>
  <c r="B101" i="34"/>
  <c r="I100" i="34"/>
  <c r="J100" i="34" s="1"/>
  <c r="F100" i="34"/>
  <c r="D100" i="34"/>
  <c r="C100" i="34"/>
  <c r="B100" i="34"/>
  <c r="J99" i="34"/>
  <c r="I99" i="34"/>
  <c r="F99" i="34"/>
  <c r="D99" i="34"/>
  <c r="C99" i="34"/>
  <c r="B99" i="34"/>
  <c r="I98" i="34"/>
  <c r="J98" i="34" s="1"/>
  <c r="F98" i="34"/>
  <c r="D98" i="34"/>
  <c r="C98" i="34"/>
  <c r="B98" i="34"/>
  <c r="J97" i="34"/>
  <c r="I97" i="34"/>
  <c r="F97" i="34"/>
  <c r="D97" i="34"/>
  <c r="C97" i="34"/>
  <c r="B97" i="34"/>
  <c r="I96" i="34"/>
  <c r="J96" i="34" s="1"/>
  <c r="F96" i="34"/>
  <c r="D96" i="34"/>
  <c r="C96" i="34"/>
  <c r="B96" i="34"/>
  <c r="J95" i="34"/>
  <c r="I95" i="34"/>
  <c r="F95" i="34"/>
  <c r="D95" i="34"/>
  <c r="C95" i="34"/>
  <c r="B95" i="34"/>
  <c r="I94" i="34"/>
  <c r="J94" i="34" s="1"/>
  <c r="F94" i="34"/>
  <c r="D94" i="34"/>
  <c r="C94" i="34"/>
  <c r="B94" i="34"/>
  <c r="J93" i="34"/>
  <c r="I93" i="34"/>
  <c r="F93" i="34"/>
  <c r="D93" i="34"/>
  <c r="C93" i="34"/>
  <c r="B93" i="34"/>
  <c r="I92" i="34"/>
  <c r="J92" i="34" s="1"/>
  <c r="F92" i="34"/>
  <c r="D92" i="34"/>
  <c r="C92" i="34"/>
  <c r="B92" i="34"/>
  <c r="J91" i="34"/>
  <c r="I91" i="34"/>
  <c r="F91" i="34"/>
  <c r="D91" i="34"/>
  <c r="C91" i="34"/>
  <c r="B91" i="34"/>
  <c r="I90" i="34"/>
  <c r="J90" i="34" s="1"/>
  <c r="F90" i="34"/>
  <c r="D90" i="34"/>
  <c r="C90" i="34"/>
  <c r="B90" i="34"/>
  <c r="J89" i="34"/>
  <c r="I89" i="34"/>
  <c r="F89" i="34"/>
  <c r="D89" i="34"/>
  <c r="C89" i="34"/>
  <c r="B89" i="34"/>
  <c r="I88" i="34"/>
  <c r="J88" i="34" s="1"/>
  <c r="F88" i="34"/>
  <c r="D88" i="34"/>
  <c r="C88" i="34"/>
  <c r="B88" i="34"/>
  <c r="J87" i="34"/>
  <c r="I87" i="34"/>
  <c r="F87" i="34"/>
  <c r="D87" i="34"/>
  <c r="C87" i="34"/>
  <c r="B87" i="34"/>
  <c r="I86" i="34"/>
  <c r="J86" i="34" s="1"/>
  <c r="F86" i="34"/>
  <c r="D86" i="34"/>
  <c r="C86" i="34"/>
  <c r="B86" i="34"/>
  <c r="J85" i="34"/>
  <c r="I85" i="34"/>
  <c r="F85" i="34"/>
  <c r="D85" i="34"/>
  <c r="C85" i="34"/>
  <c r="B85" i="34"/>
  <c r="I84" i="34"/>
  <c r="J84" i="34" s="1"/>
  <c r="F84" i="34"/>
  <c r="D84" i="34"/>
  <c r="C84" i="34"/>
  <c r="B84" i="34"/>
  <c r="J83" i="34"/>
  <c r="I83" i="34"/>
  <c r="F83" i="34"/>
  <c r="D83" i="34"/>
  <c r="C83" i="34"/>
  <c r="B83" i="34"/>
  <c r="I82" i="34"/>
  <c r="J82" i="34" s="1"/>
  <c r="F82" i="34"/>
  <c r="D82" i="34"/>
  <c r="C82" i="34"/>
  <c r="B82" i="34"/>
  <c r="J81" i="34"/>
  <c r="I81" i="34"/>
  <c r="F81" i="34"/>
  <c r="D81" i="34"/>
  <c r="C81" i="34"/>
  <c r="B81" i="34"/>
  <c r="I80" i="34"/>
  <c r="J80" i="34" s="1"/>
  <c r="F80" i="34"/>
  <c r="D80" i="34"/>
  <c r="C80" i="34"/>
  <c r="B80" i="34"/>
  <c r="J79" i="34"/>
  <c r="I79" i="34"/>
  <c r="F79" i="34"/>
  <c r="D79" i="34"/>
  <c r="C79" i="34"/>
  <c r="B79" i="34"/>
  <c r="I78" i="34"/>
  <c r="J78" i="34" s="1"/>
  <c r="F78" i="34"/>
  <c r="D78" i="34"/>
  <c r="C78" i="34"/>
  <c r="B78" i="34"/>
  <c r="J77" i="34"/>
  <c r="I77" i="34"/>
  <c r="F77" i="34"/>
  <c r="D77" i="34"/>
  <c r="C77" i="34"/>
  <c r="B77" i="34"/>
  <c r="I76" i="34"/>
  <c r="J76" i="34" s="1"/>
  <c r="F76" i="34"/>
  <c r="D76" i="34"/>
  <c r="C76" i="34"/>
  <c r="B76" i="34"/>
  <c r="J75" i="34"/>
  <c r="I75" i="34"/>
  <c r="F75" i="34"/>
  <c r="D75" i="34"/>
  <c r="C75" i="34"/>
  <c r="B75" i="34"/>
  <c r="I74" i="34"/>
  <c r="J74" i="34" s="1"/>
  <c r="F74" i="34"/>
  <c r="D74" i="34"/>
  <c r="C74" i="34"/>
  <c r="B74" i="34"/>
  <c r="J73" i="34"/>
  <c r="I73" i="34"/>
  <c r="F73" i="34"/>
  <c r="D73" i="34"/>
  <c r="C73" i="34"/>
  <c r="B73" i="34"/>
  <c r="I72" i="34"/>
  <c r="J72" i="34" s="1"/>
  <c r="F72" i="34"/>
  <c r="D72" i="34"/>
  <c r="C72" i="34"/>
  <c r="B72" i="34"/>
  <c r="J71" i="34"/>
  <c r="I71" i="34"/>
  <c r="F71" i="34"/>
  <c r="D71" i="34"/>
  <c r="C71" i="34"/>
  <c r="B71" i="34"/>
  <c r="I70" i="34"/>
  <c r="J70" i="34" s="1"/>
  <c r="F70" i="34"/>
  <c r="D70" i="34"/>
  <c r="C70" i="34"/>
  <c r="B70" i="34"/>
  <c r="J69" i="34"/>
  <c r="I69" i="34"/>
  <c r="F69" i="34"/>
  <c r="D69" i="34"/>
  <c r="C69" i="34"/>
  <c r="B69" i="34"/>
  <c r="I68" i="34"/>
  <c r="J68" i="34" s="1"/>
  <c r="F68" i="34"/>
  <c r="D68" i="34"/>
  <c r="C68" i="34"/>
  <c r="B68" i="34"/>
  <c r="J67" i="34"/>
  <c r="I67" i="34"/>
  <c r="F67" i="34"/>
  <c r="D67" i="34"/>
  <c r="C67" i="34"/>
  <c r="B67" i="34"/>
  <c r="I66" i="34"/>
  <c r="J66" i="34" s="1"/>
  <c r="F66" i="34"/>
  <c r="D66" i="34"/>
  <c r="C66" i="34"/>
  <c r="B66" i="34"/>
  <c r="J65" i="34"/>
  <c r="I65" i="34"/>
  <c r="F65" i="34"/>
  <c r="D65" i="34"/>
  <c r="C65" i="34"/>
  <c r="B65" i="34"/>
  <c r="I64" i="34"/>
  <c r="J64" i="34" s="1"/>
  <c r="F64" i="34"/>
  <c r="D64" i="34"/>
  <c r="C64" i="34"/>
  <c r="B64" i="34"/>
  <c r="J63" i="34"/>
  <c r="I63" i="34"/>
  <c r="F63" i="34"/>
  <c r="D63" i="34"/>
  <c r="C63" i="34"/>
  <c r="B63" i="34"/>
  <c r="I62" i="34"/>
  <c r="J62" i="34" s="1"/>
  <c r="F62" i="34"/>
  <c r="D62" i="34"/>
  <c r="C62" i="34"/>
  <c r="B62" i="34"/>
  <c r="J61" i="34"/>
  <c r="I61" i="34"/>
  <c r="F61" i="34"/>
  <c r="D61" i="34"/>
  <c r="C61" i="34"/>
  <c r="B61" i="34"/>
  <c r="I60" i="34"/>
  <c r="J60" i="34" s="1"/>
  <c r="F60" i="34"/>
  <c r="D60" i="34"/>
  <c r="C60" i="34"/>
  <c r="B60" i="34"/>
  <c r="J59" i="34"/>
  <c r="I59" i="34"/>
  <c r="F59" i="34"/>
  <c r="D59" i="34"/>
  <c r="C59" i="34"/>
  <c r="B59" i="34"/>
  <c r="I58" i="34"/>
  <c r="J58" i="34" s="1"/>
  <c r="F58" i="34"/>
  <c r="D58" i="34"/>
  <c r="C58" i="34"/>
  <c r="B58" i="34"/>
  <c r="J57" i="34"/>
  <c r="I57" i="34"/>
  <c r="F57" i="34"/>
  <c r="D57" i="34"/>
  <c r="C57" i="34"/>
  <c r="B57" i="34"/>
  <c r="I56" i="34"/>
  <c r="J56" i="34" s="1"/>
  <c r="F56" i="34"/>
  <c r="D56" i="34"/>
  <c r="C56" i="34"/>
  <c r="B56" i="34"/>
  <c r="J55" i="34"/>
  <c r="I55" i="34"/>
  <c r="F55" i="34"/>
  <c r="D55" i="34"/>
  <c r="C55" i="34"/>
  <c r="B55" i="34"/>
  <c r="I54" i="34"/>
  <c r="J54" i="34" s="1"/>
  <c r="F54" i="34"/>
  <c r="D54" i="34"/>
  <c r="C54" i="34"/>
  <c r="B54" i="34"/>
  <c r="J53" i="34"/>
  <c r="I53" i="34"/>
  <c r="F53" i="34"/>
  <c r="D53" i="34"/>
  <c r="C53" i="34"/>
  <c r="B53" i="34"/>
  <c r="I52" i="34"/>
  <c r="J52" i="34" s="1"/>
  <c r="F52" i="34"/>
  <c r="D52" i="34"/>
  <c r="C52" i="34"/>
  <c r="B52" i="34"/>
  <c r="J51" i="34"/>
  <c r="I51" i="34"/>
  <c r="F51" i="34"/>
  <c r="D51" i="34"/>
  <c r="C51" i="34"/>
  <c r="B51" i="34"/>
  <c r="I50" i="34"/>
  <c r="J50" i="34" s="1"/>
  <c r="F50" i="34"/>
  <c r="D50" i="34"/>
  <c r="C50" i="34"/>
  <c r="B50" i="34"/>
  <c r="J49" i="34"/>
  <c r="I49" i="34"/>
  <c r="F49" i="34"/>
  <c r="D49" i="34"/>
  <c r="C49" i="34"/>
  <c r="B49" i="34"/>
  <c r="I48" i="34"/>
  <c r="J48" i="34" s="1"/>
  <c r="F48" i="34"/>
  <c r="D48" i="34"/>
  <c r="C48" i="34"/>
  <c r="B48" i="34"/>
  <c r="J47" i="34"/>
  <c r="I47" i="34"/>
  <c r="F47" i="34"/>
  <c r="D47" i="34"/>
  <c r="C47" i="34"/>
  <c r="B47" i="34"/>
  <c r="I46" i="34"/>
  <c r="J46" i="34" s="1"/>
  <c r="F46" i="34"/>
  <c r="D46" i="34"/>
  <c r="C46" i="34"/>
  <c r="B46" i="34"/>
  <c r="J45" i="34"/>
  <c r="I45" i="34"/>
  <c r="F45" i="34"/>
  <c r="D45" i="34"/>
  <c r="C45" i="34"/>
  <c r="B45" i="34"/>
  <c r="I44" i="34"/>
  <c r="J44" i="34" s="1"/>
  <c r="F44" i="34"/>
  <c r="D44" i="34"/>
  <c r="C44" i="34"/>
  <c r="B44" i="34"/>
  <c r="J43" i="34"/>
  <c r="I43" i="34"/>
  <c r="F43" i="34"/>
  <c r="D43" i="34"/>
  <c r="C43" i="34"/>
  <c r="B43" i="34"/>
  <c r="I42" i="34"/>
  <c r="J42" i="34" s="1"/>
  <c r="F42" i="34"/>
  <c r="D42" i="34"/>
  <c r="C42" i="34"/>
  <c r="B42" i="34"/>
  <c r="J41" i="34"/>
  <c r="I41" i="34"/>
  <c r="F41" i="34"/>
  <c r="D41" i="34"/>
  <c r="C41" i="34"/>
  <c r="B41" i="34"/>
  <c r="I40" i="34"/>
  <c r="J40" i="34" s="1"/>
  <c r="F40" i="34"/>
  <c r="D40" i="34"/>
  <c r="C40" i="34"/>
  <c r="B40" i="34"/>
  <c r="J39" i="34"/>
  <c r="I39" i="34"/>
  <c r="F39" i="34"/>
  <c r="D39" i="34"/>
  <c r="C39" i="34"/>
  <c r="B39" i="34"/>
  <c r="I38" i="34"/>
  <c r="J38" i="34" s="1"/>
  <c r="F38" i="34"/>
  <c r="D38" i="34"/>
  <c r="C38" i="34"/>
  <c r="B38" i="34"/>
  <c r="J37" i="34"/>
  <c r="I37" i="34"/>
  <c r="F37" i="34"/>
  <c r="D37" i="34"/>
  <c r="C37" i="34"/>
  <c r="B37" i="34"/>
  <c r="I36" i="34"/>
  <c r="J36" i="34" s="1"/>
  <c r="F36" i="34"/>
  <c r="D36" i="34"/>
  <c r="C36" i="34"/>
  <c r="B36" i="34"/>
  <c r="J35" i="34"/>
  <c r="I35" i="34"/>
  <c r="F35" i="34"/>
  <c r="D35" i="34"/>
  <c r="C35" i="34"/>
  <c r="B35" i="34"/>
  <c r="I34" i="34"/>
  <c r="J34" i="34" s="1"/>
  <c r="F34" i="34"/>
  <c r="D34" i="34"/>
  <c r="C34" i="34"/>
  <c r="B34" i="34"/>
  <c r="J33" i="34"/>
  <c r="I33" i="34"/>
  <c r="F33" i="34"/>
  <c r="D33" i="34"/>
  <c r="C33" i="34"/>
  <c r="B33" i="34"/>
  <c r="I32" i="34"/>
  <c r="J32" i="34" s="1"/>
  <c r="F32" i="34"/>
  <c r="D32" i="34"/>
  <c r="C32" i="34"/>
  <c r="B32" i="34"/>
  <c r="J31" i="34"/>
  <c r="I31" i="34"/>
  <c r="F31" i="34"/>
  <c r="D31" i="34"/>
  <c r="C31" i="34"/>
  <c r="B31" i="34"/>
  <c r="J30" i="34"/>
  <c r="I30" i="34"/>
  <c r="F30" i="34"/>
  <c r="D30" i="34"/>
  <c r="C30" i="34"/>
  <c r="B30" i="34"/>
  <c r="J29" i="34"/>
  <c r="I29" i="34"/>
  <c r="F29" i="34"/>
  <c r="D29" i="34"/>
  <c r="C29" i="34"/>
  <c r="B29" i="34"/>
  <c r="I28" i="34"/>
  <c r="J28" i="34" s="1"/>
  <c r="F28" i="34"/>
  <c r="D28" i="34"/>
  <c r="C28" i="34"/>
  <c r="B28" i="34"/>
  <c r="J27" i="34"/>
  <c r="I27" i="34"/>
  <c r="F27" i="34"/>
  <c r="D27" i="34"/>
  <c r="C27" i="34"/>
  <c r="B27" i="34"/>
  <c r="J26" i="34"/>
  <c r="I26" i="34"/>
  <c r="F26" i="34"/>
  <c r="D26" i="34"/>
  <c r="C26" i="34"/>
  <c r="B26" i="34"/>
  <c r="J25" i="34"/>
  <c r="I25" i="34"/>
  <c r="F25" i="34"/>
  <c r="D25" i="34"/>
  <c r="C25" i="34"/>
  <c r="B25" i="34"/>
  <c r="I24" i="34"/>
  <c r="J24" i="34" s="1"/>
  <c r="F24" i="34"/>
  <c r="D24" i="34"/>
  <c r="C24" i="34"/>
  <c r="B24" i="34"/>
  <c r="J23" i="34"/>
  <c r="I23" i="34"/>
  <c r="F23" i="34"/>
  <c r="D23" i="34"/>
  <c r="C23" i="34"/>
  <c r="B23" i="34"/>
  <c r="I22" i="34"/>
  <c r="J22" i="34" s="1"/>
  <c r="F22" i="34"/>
  <c r="D22" i="34"/>
  <c r="C22" i="34"/>
  <c r="B22" i="34"/>
  <c r="J21" i="34"/>
  <c r="I21" i="34"/>
  <c r="F21" i="34"/>
  <c r="D21" i="34"/>
  <c r="C21" i="34"/>
  <c r="B21" i="34"/>
  <c r="I20" i="34"/>
  <c r="J20" i="34" s="1"/>
  <c r="F20" i="34"/>
  <c r="D20" i="34"/>
  <c r="C20" i="34"/>
  <c r="B20" i="34"/>
  <c r="J19" i="34"/>
  <c r="I19" i="34"/>
  <c r="F19" i="34"/>
  <c r="D19" i="34"/>
  <c r="C19" i="34"/>
  <c r="B19" i="34"/>
  <c r="J18" i="34"/>
  <c r="I18" i="34"/>
  <c r="F18" i="34"/>
  <c r="D18" i="34"/>
  <c r="C18" i="34"/>
  <c r="B18" i="34"/>
  <c r="J17" i="34"/>
  <c r="I17" i="34"/>
  <c r="F17" i="34"/>
  <c r="D17" i="34"/>
  <c r="C17" i="34"/>
  <c r="B17" i="34"/>
  <c r="I16" i="34"/>
  <c r="J16" i="34" s="1"/>
  <c r="F16" i="34"/>
  <c r="D16" i="34"/>
  <c r="C16" i="34"/>
  <c r="B16" i="34"/>
  <c r="J15" i="34"/>
  <c r="I15" i="34"/>
  <c r="F15" i="34"/>
  <c r="D15" i="34"/>
  <c r="C15" i="34"/>
  <c r="B15" i="34"/>
  <c r="J14" i="34"/>
  <c r="I14" i="34"/>
  <c r="F14" i="34"/>
  <c r="D14" i="34"/>
  <c r="C14" i="34"/>
  <c r="B14" i="34"/>
  <c r="J13" i="34"/>
  <c r="I13" i="34"/>
  <c r="F13" i="34"/>
  <c r="D13" i="34"/>
  <c r="C13" i="34"/>
  <c r="B13" i="34"/>
  <c r="I12" i="34"/>
  <c r="J12" i="34" s="1"/>
  <c r="F12" i="34"/>
  <c r="D12" i="34"/>
  <c r="C12" i="34"/>
  <c r="B12" i="34"/>
  <c r="J11" i="34"/>
  <c r="I11" i="34"/>
  <c r="F11" i="34"/>
  <c r="D11" i="34"/>
  <c r="C11" i="34"/>
  <c r="B11" i="34"/>
  <c r="I10" i="34"/>
  <c r="J10" i="34" s="1"/>
  <c r="F10" i="34"/>
  <c r="D10" i="34"/>
  <c r="C10" i="34"/>
  <c r="B10" i="34"/>
  <c r="J9" i="34"/>
  <c r="I9" i="34"/>
  <c r="F9" i="34"/>
  <c r="D9" i="34"/>
  <c r="C9" i="34"/>
  <c r="B9" i="34"/>
  <c r="A5" i="34"/>
  <c r="G4" i="34"/>
  <c r="D4" i="34"/>
  <c r="A4" i="34"/>
  <c r="K213" i="33"/>
  <c r="J213" i="33"/>
  <c r="I213" i="33"/>
  <c r="D213" i="33"/>
  <c r="C213" i="33"/>
  <c r="A213" i="33"/>
  <c r="K212" i="33"/>
  <c r="I212" i="33"/>
  <c r="J212" i="33" s="1"/>
  <c r="D212" i="33"/>
  <c r="C212" i="33"/>
  <c r="A212" i="33"/>
  <c r="K211" i="33"/>
  <c r="J211" i="33"/>
  <c r="I211" i="33"/>
  <c r="D211" i="33"/>
  <c r="C211" i="33"/>
  <c r="A211" i="33"/>
  <c r="K210" i="33"/>
  <c r="J210" i="33"/>
  <c r="I210" i="33"/>
  <c r="D210" i="33"/>
  <c r="C210" i="33"/>
  <c r="A210" i="33"/>
  <c r="K209" i="33"/>
  <c r="I209" i="33"/>
  <c r="J209" i="33" s="1"/>
  <c r="D209" i="33"/>
  <c r="C209" i="33"/>
  <c r="A209" i="33"/>
  <c r="K208" i="33"/>
  <c r="I208" i="33"/>
  <c r="J208" i="33" s="1"/>
  <c r="D208" i="33"/>
  <c r="C208" i="33"/>
  <c r="A208" i="33"/>
  <c r="K207" i="33"/>
  <c r="J207" i="33"/>
  <c r="I207" i="33"/>
  <c r="D207" i="33"/>
  <c r="C207" i="33"/>
  <c r="A207" i="33"/>
  <c r="K206" i="33"/>
  <c r="J206" i="33"/>
  <c r="I206" i="33"/>
  <c r="D206" i="33"/>
  <c r="C206" i="33"/>
  <c r="A206" i="33"/>
  <c r="K205" i="33"/>
  <c r="I205" i="33"/>
  <c r="J205" i="33" s="1"/>
  <c r="D205" i="33"/>
  <c r="C205" i="33"/>
  <c r="A205" i="33"/>
  <c r="K204" i="33"/>
  <c r="I204" i="33"/>
  <c r="J204" i="33" s="1"/>
  <c r="D204" i="33"/>
  <c r="C204" i="33"/>
  <c r="A204" i="33"/>
  <c r="K203" i="33"/>
  <c r="J203" i="33"/>
  <c r="I203" i="33"/>
  <c r="D203" i="33"/>
  <c r="C203" i="33"/>
  <c r="A203" i="33"/>
  <c r="K202" i="33"/>
  <c r="J202" i="33"/>
  <c r="I202" i="33"/>
  <c r="D202" i="33"/>
  <c r="C202" i="33"/>
  <c r="A202" i="33"/>
  <c r="K201" i="33"/>
  <c r="I201" i="33"/>
  <c r="J201" i="33" s="1"/>
  <c r="D201" i="33"/>
  <c r="C201" i="33"/>
  <c r="A201" i="33"/>
  <c r="K200" i="33"/>
  <c r="I200" i="33"/>
  <c r="J200" i="33" s="1"/>
  <c r="D200" i="33"/>
  <c r="C200" i="33"/>
  <c r="A200" i="33"/>
  <c r="K199" i="33"/>
  <c r="J199" i="33"/>
  <c r="I199" i="33"/>
  <c r="D199" i="33"/>
  <c r="C199" i="33"/>
  <c r="A199" i="33"/>
  <c r="K198" i="33"/>
  <c r="J198" i="33"/>
  <c r="I198" i="33"/>
  <c r="D198" i="33"/>
  <c r="C198" i="33"/>
  <c r="A198" i="33"/>
  <c r="K197" i="33"/>
  <c r="J197" i="33"/>
  <c r="I197" i="33"/>
  <c r="D197" i="33"/>
  <c r="C197" i="33"/>
  <c r="A197" i="33"/>
  <c r="K196" i="33"/>
  <c r="I196" i="33"/>
  <c r="J196" i="33" s="1"/>
  <c r="D196" i="33"/>
  <c r="C196" i="33"/>
  <c r="A196" i="33"/>
  <c r="K195" i="33"/>
  <c r="J195" i="33"/>
  <c r="I195" i="33"/>
  <c r="D195" i="33"/>
  <c r="C195" i="33"/>
  <c r="A195" i="33"/>
  <c r="K194" i="33"/>
  <c r="J194" i="33"/>
  <c r="I194" i="33"/>
  <c r="D194" i="33"/>
  <c r="C194" i="33"/>
  <c r="A194" i="33"/>
  <c r="K193" i="33"/>
  <c r="I193" i="33"/>
  <c r="J193" i="33" s="1"/>
  <c r="D193" i="33"/>
  <c r="C193" i="33"/>
  <c r="A193" i="33"/>
  <c r="K192" i="33"/>
  <c r="I192" i="33"/>
  <c r="J192" i="33" s="1"/>
  <c r="D192" i="33"/>
  <c r="C192" i="33"/>
  <c r="A192" i="33"/>
  <c r="K191" i="33"/>
  <c r="J191" i="33"/>
  <c r="I191" i="33"/>
  <c r="D191" i="33"/>
  <c r="C191" i="33"/>
  <c r="A191" i="33"/>
  <c r="K190" i="33"/>
  <c r="J190" i="33"/>
  <c r="I190" i="33"/>
  <c r="D190" i="33"/>
  <c r="C190" i="33"/>
  <c r="A190" i="33"/>
  <c r="K189" i="33"/>
  <c r="I189" i="33"/>
  <c r="J189" i="33" s="1"/>
  <c r="D189" i="33"/>
  <c r="C189" i="33"/>
  <c r="A189" i="33"/>
  <c r="K188" i="33"/>
  <c r="I188" i="33"/>
  <c r="J188" i="33" s="1"/>
  <c r="D188" i="33"/>
  <c r="C188" i="33"/>
  <c r="A188" i="33"/>
  <c r="K187" i="33"/>
  <c r="J187" i="33"/>
  <c r="I187" i="33"/>
  <c r="D187" i="33"/>
  <c r="C187" i="33"/>
  <c r="A187" i="33"/>
  <c r="K186" i="33"/>
  <c r="J186" i="33"/>
  <c r="I186" i="33"/>
  <c r="D186" i="33"/>
  <c r="C186" i="33"/>
  <c r="A186" i="33"/>
  <c r="K185" i="33"/>
  <c r="J185" i="33"/>
  <c r="I185" i="33"/>
  <c r="D185" i="33"/>
  <c r="C185" i="33"/>
  <c r="A185" i="33"/>
  <c r="K184" i="33"/>
  <c r="I184" i="33"/>
  <c r="J184" i="33" s="1"/>
  <c r="D184" i="33"/>
  <c r="C184" i="33"/>
  <c r="A184" i="33"/>
  <c r="K183" i="33"/>
  <c r="J183" i="33"/>
  <c r="I183" i="33"/>
  <c r="D183" i="33"/>
  <c r="C183" i="33"/>
  <c r="A183" i="33"/>
  <c r="K182" i="33"/>
  <c r="J182" i="33"/>
  <c r="I182" i="33"/>
  <c r="D182" i="33"/>
  <c r="C182" i="33"/>
  <c r="A182" i="33"/>
  <c r="K181" i="33"/>
  <c r="J181" i="33"/>
  <c r="I181" i="33"/>
  <c r="D181" i="33"/>
  <c r="C181" i="33"/>
  <c r="A181" i="33"/>
  <c r="K180" i="33"/>
  <c r="I180" i="33"/>
  <c r="J180" i="33" s="1"/>
  <c r="D180" i="33"/>
  <c r="C180" i="33"/>
  <c r="A180" i="33"/>
  <c r="K179" i="33"/>
  <c r="J179" i="33"/>
  <c r="I179" i="33"/>
  <c r="D179" i="33"/>
  <c r="C179" i="33"/>
  <c r="A179" i="33"/>
  <c r="K178" i="33"/>
  <c r="J178" i="33"/>
  <c r="I178" i="33"/>
  <c r="D178" i="33"/>
  <c r="C178" i="33"/>
  <c r="A178" i="33"/>
  <c r="K177" i="33"/>
  <c r="I177" i="33"/>
  <c r="J177" i="33" s="1"/>
  <c r="D177" i="33"/>
  <c r="C177" i="33"/>
  <c r="A177" i="33"/>
  <c r="K176" i="33"/>
  <c r="I176" i="33"/>
  <c r="J176" i="33" s="1"/>
  <c r="D176" i="33"/>
  <c r="C176" i="33"/>
  <c r="A176" i="33"/>
  <c r="K175" i="33"/>
  <c r="J175" i="33"/>
  <c r="I175" i="33"/>
  <c r="D175" i="33"/>
  <c r="C175" i="33"/>
  <c r="A175" i="33"/>
  <c r="K174" i="33"/>
  <c r="J174" i="33"/>
  <c r="I174" i="33"/>
  <c r="D174" i="33"/>
  <c r="C174" i="33"/>
  <c r="A174" i="33"/>
  <c r="K173" i="33"/>
  <c r="I173" i="33"/>
  <c r="J173" i="33" s="1"/>
  <c r="D173" i="33"/>
  <c r="C173" i="33"/>
  <c r="A173" i="33"/>
  <c r="K172" i="33"/>
  <c r="I172" i="33"/>
  <c r="J172" i="33" s="1"/>
  <c r="D172" i="33"/>
  <c r="C172" i="33"/>
  <c r="A172" i="33"/>
  <c r="K171" i="33"/>
  <c r="J171" i="33"/>
  <c r="I171" i="33"/>
  <c r="D171" i="33"/>
  <c r="C171" i="33"/>
  <c r="A171" i="33"/>
  <c r="K170" i="33"/>
  <c r="J170" i="33"/>
  <c r="I170" i="33"/>
  <c r="D170" i="33"/>
  <c r="C170" i="33"/>
  <c r="A170" i="33"/>
  <c r="K169" i="33"/>
  <c r="I169" i="33"/>
  <c r="J169" i="33" s="1"/>
  <c r="D169" i="33"/>
  <c r="C169" i="33"/>
  <c r="A169" i="33"/>
  <c r="K168" i="33"/>
  <c r="I168" i="33"/>
  <c r="J168" i="33" s="1"/>
  <c r="D168" i="33"/>
  <c r="C168" i="33"/>
  <c r="A168" i="33"/>
  <c r="K167" i="33"/>
  <c r="J167" i="33"/>
  <c r="I167" i="33"/>
  <c r="D167" i="33"/>
  <c r="C167" i="33"/>
  <c r="A167" i="33"/>
  <c r="K166" i="33"/>
  <c r="J166" i="33"/>
  <c r="I166" i="33"/>
  <c r="D166" i="33"/>
  <c r="C166" i="33"/>
  <c r="A166" i="33"/>
  <c r="K165" i="33"/>
  <c r="J165" i="33"/>
  <c r="I165" i="33"/>
  <c r="D165" i="33"/>
  <c r="C165" i="33"/>
  <c r="A165" i="33"/>
  <c r="K164" i="33"/>
  <c r="I164" i="33"/>
  <c r="J164" i="33" s="1"/>
  <c r="D164" i="33"/>
  <c r="C164" i="33"/>
  <c r="A164" i="33"/>
  <c r="K163" i="33"/>
  <c r="J163" i="33"/>
  <c r="I163" i="33"/>
  <c r="D163" i="33"/>
  <c r="C163" i="33"/>
  <c r="A163" i="33"/>
  <c r="K162" i="33"/>
  <c r="I162" i="33"/>
  <c r="J162" i="33" s="1"/>
  <c r="D162" i="33"/>
  <c r="C162" i="33"/>
  <c r="A162" i="33"/>
  <c r="K161" i="33"/>
  <c r="I161" i="33"/>
  <c r="J161" i="33" s="1"/>
  <c r="D161" i="33"/>
  <c r="C161" i="33"/>
  <c r="A161" i="33"/>
  <c r="K160" i="33"/>
  <c r="I160" i="33"/>
  <c r="J160" i="33" s="1"/>
  <c r="D160" i="33"/>
  <c r="C160" i="33"/>
  <c r="A160" i="33"/>
  <c r="K159" i="33"/>
  <c r="J159" i="33"/>
  <c r="I159" i="33"/>
  <c r="D159" i="33"/>
  <c r="C159" i="33"/>
  <c r="A159" i="33"/>
  <c r="K158" i="33"/>
  <c r="J158" i="33"/>
  <c r="I158" i="33"/>
  <c r="D158" i="33"/>
  <c r="C158" i="33"/>
  <c r="A158" i="33"/>
  <c r="K157" i="33"/>
  <c r="I157" i="33"/>
  <c r="J157" i="33" s="1"/>
  <c r="D157" i="33"/>
  <c r="C157" i="33"/>
  <c r="A157" i="33"/>
  <c r="K156" i="33"/>
  <c r="I156" i="33"/>
  <c r="J156" i="33" s="1"/>
  <c r="D156" i="33"/>
  <c r="C156" i="33"/>
  <c r="A156" i="33"/>
  <c r="K155" i="33"/>
  <c r="I155" i="33"/>
  <c r="J155" i="33" s="1"/>
  <c r="D155" i="33"/>
  <c r="C155" i="33"/>
  <c r="A155" i="33"/>
  <c r="K154" i="33"/>
  <c r="I154" i="33"/>
  <c r="J154" i="33" s="1"/>
  <c r="D154" i="33"/>
  <c r="C154" i="33"/>
  <c r="A154" i="33"/>
  <c r="K153" i="33"/>
  <c r="J153" i="33"/>
  <c r="I153" i="33"/>
  <c r="D153" i="33"/>
  <c r="C153" i="33"/>
  <c r="A153" i="33"/>
  <c r="K152" i="33"/>
  <c r="I152" i="33"/>
  <c r="J152" i="33" s="1"/>
  <c r="D152" i="33"/>
  <c r="C152" i="33"/>
  <c r="A152" i="33"/>
  <c r="K151" i="33"/>
  <c r="J151" i="33"/>
  <c r="I151" i="33"/>
  <c r="D151" i="33"/>
  <c r="C151" i="33"/>
  <c r="A151" i="33"/>
  <c r="K150" i="33"/>
  <c r="I150" i="33"/>
  <c r="J150" i="33" s="1"/>
  <c r="D150" i="33"/>
  <c r="C150" i="33"/>
  <c r="A150" i="33"/>
  <c r="K149" i="33"/>
  <c r="J149" i="33"/>
  <c r="I149" i="33"/>
  <c r="D149" i="33"/>
  <c r="C149" i="33"/>
  <c r="A149" i="33"/>
  <c r="K148" i="33"/>
  <c r="I148" i="33"/>
  <c r="J148" i="33" s="1"/>
  <c r="D148" i="33"/>
  <c r="C148" i="33"/>
  <c r="A148" i="33"/>
  <c r="K147" i="33"/>
  <c r="I147" i="33"/>
  <c r="J147" i="33" s="1"/>
  <c r="D147" i="33"/>
  <c r="C147" i="33"/>
  <c r="A147" i="33"/>
  <c r="K146" i="33"/>
  <c r="J146" i="33"/>
  <c r="I146" i="33"/>
  <c r="D146" i="33"/>
  <c r="C146" i="33"/>
  <c r="A146" i="33"/>
  <c r="K145" i="33"/>
  <c r="I145" i="33"/>
  <c r="J145" i="33" s="1"/>
  <c r="D145" i="33"/>
  <c r="C145" i="33"/>
  <c r="A145" i="33"/>
  <c r="K144" i="33"/>
  <c r="I144" i="33"/>
  <c r="J144" i="33" s="1"/>
  <c r="D144" i="33"/>
  <c r="C144" i="33"/>
  <c r="A144" i="33"/>
  <c r="K143" i="33"/>
  <c r="I143" i="33"/>
  <c r="J143" i="33" s="1"/>
  <c r="D143" i="33"/>
  <c r="C143" i="33"/>
  <c r="A143" i="33"/>
  <c r="K142" i="33"/>
  <c r="J142" i="33"/>
  <c r="I142" i="33"/>
  <c r="D142" i="33"/>
  <c r="C142" i="33"/>
  <c r="A142" i="33"/>
  <c r="K141" i="33"/>
  <c r="J141" i="33"/>
  <c r="I141" i="33"/>
  <c r="D141" i="33"/>
  <c r="C141" i="33"/>
  <c r="A141" i="33"/>
  <c r="K140" i="33"/>
  <c r="I140" i="33"/>
  <c r="J140" i="33" s="1"/>
  <c r="D140" i="33"/>
  <c r="C140" i="33"/>
  <c r="A140" i="33"/>
  <c r="K139" i="33"/>
  <c r="J139" i="33"/>
  <c r="I139" i="33"/>
  <c r="D139" i="33"/>
  <c r="C139" i="33"/>
  <c r="A139" i="33"/>
  <c r="K138" i="33"/>
  <c r="I138" i="33"/>
  <c r="J138" i="33" s="1"/>
  <c r="D138" i="33"/>
  <c r="C138" i="33"/>
  <c r="A138" i="33"/>
  <c r="K137" i="33"/>
  <c r="I137" i="33"/>
  <c r="J137" i="33" s="1"/>
  <c r="D137" i="33"/>
  <c r="C137" i="33"/>
  <c r="A137" i="33"/>
  <c r="K136" i="33"/>
  <c r="I136" i="33"/>
  <c r="J136" i="33" s="1"/>
  <c r="D136" i="33"/>
  <c r="C136" i="33"/>
  <c r="A136" i="33"/>
  <c r="K135" i="33"/>
  <c r="J135" i="33"/>
  <c r="I135" i="33"/>
  <c r="D135" i="33"/>
  <c r="C135" i="33"/>
  <c r="A135" i="33"/>
  <c r="K134" i="33"/>
  <c r="J134" i="33"/>
  <c r="I134" i="33"/>
  <c r="D134" i="33"/>
  <c r="C134" i="33"/>
  <c r="A134" i="33"/>
  <c r="K133" i="33"/>
  <c r="J133" i="33"/>
  <c r="I133" i="33"/>
  <c r="D133" i="33"/>
  <c r="C133" i="33"/>
  <c r="A133" i="33"/>
  <c r="K132" i="33"/>
  <c r="I132" i="33"/>
  <c r="J132" i="33" s="1"/>
  <c r="D132" i="33"/>
  <c r="C132" i="33"/>
  <c r="A132" i="33"/>
  <c r="K131" i="33"/>
  <c r="I131" i="33"/>
  <c r="J131" i="33" s="1"/>
  <c r="D131" i="33"/>
  <c r="C131" i="33"/>
  <c r="A131" i="33"/>
  <c r="K130" i="33"/>
  <c r="I130" i="33"/>
  <c r="J130" i="33" s="1"/>
  <c r="D130" i="33"/>
  <c r="C130" i="33"/>
  <c r="A130" i="33"/>
  <c r="K129" i="33"/>
  <c r="I129" i="33"/>
  <c r="J129" i="33" s="1"/>
  <c r="D129" i="33"/>
  <c r="C129" i="33"/>
  <c r="A129" i="33"/>
  <c r="K128" i="33"/>
  <c r="I128" i="33"/>
  <c r="J128" i="33" s="1"/>
  <c r="D128" i="33"/>
  <c r="C128" i="33"/>
  <c r="A128" i="33"/>
  <c r="K127" i="33"/>
  <c r="J127" i="33"/>
  <c r="I127" i="33"/>
  <c r="D127" i="33"/>
  <c r="C127" i="33"/>
  <c r="A127" i="33"/>
  <c r="K126" i="33"/>
  <c r="J126" i="33"/>
  <c r="I126" i="33"/>
  <c r="D126" i="33"/>
  <c r="C126" i="33"/>
  <c r="A126" i="33"/>
  <c r="K125" i="33"/>
  <c r="I125" i="33"/>
  <c r="J125" i="33" s="1"/>
  <c r="D125" i="33"/>
  <c r="C125" i="33"/>
  <c r="A125" i="33"/>
  <c r="K124" i="33"/>
  <c r="I124" i="33"/>
  <c r="J124" i="33" s="1"/>
  <c r="D124" i="33"/>
  <c r="C124" i="33"/>
  <c r="A124" i="33"/>
  <c r="K123" i="33"/>
  <c r="I123" i="33"/>
  <c r="J123" i="33" s="1"/>
  <c r="D123" i="33"/>
  <c r="C123" i="33"/>
  <c r="A123" i="33"/>
  <c r="K122" i="33"/>
  <c r="I122" i="33"/>
  <c r="J122" i="33" s="1"/>
  <c r="D122" i="33"/>
  <c r="C122" i="33"/>
  <c r="A122" i="33"/>
  <c r="K121" i="33"/>
  <c r="J121" i="33"/>
  <c r="I121" i="33"/>
  <c r="D121" i="33"/>
  <c r="C121" i="33"/>
  <c r="A121" i="33"/>
  <c r="K120" i="33"/>
  <c r="I120" i="33"/>
  <c r="J120" i="33" s="1"/>
  <c r="D120" i="33"/>
  <c r="C120" i="33"/>
  <c r="A120" i="33"/>
  <c r="K119" i="33"/>
  <c r="J119" i="33"/>
  <c r="I119" i="33"/>
  <c r="D119" i="33"/>
  <c r="C119" i="33"/>
  <c r="A119" i="33"/>
  <c r="K118" i="33"/>
  <c r="I118" i="33"/>
  <c r="J118" i="33" s="1"/>
  <c r="D118" i="33"/>
  <c r="C118" i="33"/>
  <c r="A118" i="33"/>
  <c r="K117" i="33"/>
  <c r="J117" i="33"/>
  <c r="I117" i="33"/>
  <c r="D117" i="33"/>
  <c r="C117" i="33"/>
  <c r="A117" i="33"/>
  <c r="K116" i="33"/>
  <c r="I116" i="33"/>
  <c r="J116" i="33" s="1"/>
  <c r="D116" i="33"/>
  <c r="C116" i="33"/>
  <c r="A116" i="33"/>
  <c r="K115" i="33"/>
  <c r="I115" i="33"/>
  <c r="J115" i="33" s="1"/>
  <c r="D115" i="33"/>
  <c r="C115" i="33"/>
  <c r="A115" i="33"/>
  <c r="K114" i="33"/>
  <c r="I114" i="33"/>
  <c r="J114" i="33" s="1"/>
  <c r="D114" i="33"/>
  <c r="C114" i="33"/>
  <c r="A114" i="33"/>
  <c r="K113" i="33"/>
  <c r="I113" i="33"/>
  <c r="J113" i="33" s="1"/>
  <c r="D113" i="33"/>
  <c r="C113" i="33"/>
  <c r="A113" i="33"/>
  <c r="K112" i="33"/>
  <c r="I112" i="33"/>
  <c r="J112" i="33" s="1"/>
  <c r="D112" i="33"/>
  <c r="C112" i="33"/>
  <c r="A112" i="33"/>
  <c r="K111" i="33"/>
  <c r="I111" i="33"/>
  <c r="J111" i="33" s="1"/>
  <c r="D111" i="33"/>
  <c r="C111" i="33"/>
  <c r="A111" i="33"/>
  <c r="K110" i="33"/>
  <c r="J110" i="33"/>
  <c r="I110" i="33"/>
  <c r="D110" i="33"/>
  <c r="C110" i="33"/>
  <c r="A110" i="33"/>
  <c r="K109" i="33"/>
  <c r="J109" i="33"/>
  <c r="I109" i="33"/>
  <c r="D109" i="33"/>
  <c r="C109" i="33"/>
  <c r="A109" i="33"/>
  <c r="K108" i="33"/>
  <c r="I108" i="33"/>
  <c r="J108" i="33" s="1"/>
  <c r="D108" i="33"/>
  <c r="C108" i="33"/>
  <c r="A108" i="33"/>
  <c r="K107" i="33"/>
  <c r="I107" i="33"/>
  <c r="J107" i="33" s="1"/>
  <c r="D107" i="33"/>
  <c r="C107" i="33"/>
  <c r="A107" i="33"/>
  <c r="K106" i="33"/>
  <c r="I106" i="33"/>
  <c r="J106" i="33" s="1"/>
  <c r="D106" i="33"/>
  <c r="C106" i="33"/>
  <c r="A106" i="33"/>
  <c r="K105" i="33"/>
  <c r="I105" i="33"/>
  <c r="J105" i="33" s="1"/>
  <c r="D105" i="33"/>
  <c r="C105" i="33"/>
  <c r="A105" i="33"/>
  <c r="K104" i="33"/>
  <c r="I104" i="33"/>
  <c r="J104" i="33" s="1"/>
  <c r="D104" i="33"/>
  <c r="C104" i="33"/>
  <c r="A104" i="33"/>
  <c r="K103" i="33"/>
  <c r="J103" i="33"/>
  <c r="I103" i="33"/>
  <c r="D103" i="33"/>
  <c r="C103" i="33"/>
  <c r="A103" i="33"/>
  <c r="K102" i="33"/>
  <c r="J102" i="33"/>
  <c r="I102" i="33"/>
  <c r="D102" i="33"/>
  <c r="C102" i="33"/>
  <c r="A102" i="33"/>
  <c r="K101" i="33"/>
  <c r="J101" i="33"/>
  <c r="I101" i="33"/>
  <c r="D101" i="33"/>
  <c r="C101" i="33"/>
  <c r="A101" i="33"/>
  <c r="K100" i="33"/>
  <c r="I100" i="33"/>
  <c r="J100" i="33" s="1"/>
  <c r="D100" i="33"/>
  <c r="C100" i="33"/>
  <c r="A100" i="33"/>
  <c r="K99" i="33"/>
  <c r="I99" i="33"/>
  <c r="J99" i="33" s="1"/>
  <c r="D99" i="33"/>
  <c r="C99" i="33"/>
  <c r="A99" i="33"/>
  <c r="K98" i="33"/>
  <c r="I98" i="33"/>
  <c r="J98" i="33" s="1"/>
  <c r="D98" i="33"/>
  <c r="C98" i="33"/>
  <c r="A98" i="33"/>
  <c r="K97" i="33"/>
  <c r="I97" i="33"/>
  <c r="J97" i="33" s="1"/>
  <c r="D97" i="33"/>
  <c r="C97" i="33"/>
  <c r="A97" i="33"/>
  <c r="K96" i="33"/>
  <c r="I96" i="33"/>
  <c r="J96" i="33" s="1"/>
  <c r="D96" i="33"/>
  <c r="C96" i="33"/>
  <c r="A96" i="33"/>
  <c r="K95" i="33"/>
  <c r="J95" i="33"/>
  <c r="I95" i="33"/>
  <c r="D95" i="33"/>
  <c r="C95" i="33"/>
  <c r="A95" i="33"/>
  <c r="K94" i="33"/>
  <c r="J94" i="33"/>
  <c r="I94" i="33"/>
  <c r="D94" i="33"/>
  <c r="C94" i="33"/>
  <c r="A94" i="33"/>
  <c r="K93" i="33"/>
  <c r="J93" i="33"/>
  <c r="I93" i="33"/>
  <c r="D93" i="33"/>
  <c r="C93" i="33"/>
  <c r="A93" i="33"/>
  <c r="K92" i="33"/>
  <c r="I92" i="33"/>
  <c r="J92" i="33" s="1"/>
  <c r="D92" i="33"/>
  <c r="C92" i="33"/>
  <c r="A92" i="33"/>
  <c r="K91" i="33"/>
  <c r="I91" i="33"/>
  <c r="J91" i="33" s="1"/>
  <c r="D91" i="33"/>
  <c r="C91" i="33"/>
  <c r="A91" i="33"/>
  <c r="K90" i="33"/>
  <c r="I90" i="33"/>
  <c r="J90" i="33" s="1"/>
  <c r="D90" i="33"/>
  <c r="C90" i="33"/>
  <c r="A90" i="33"/>
  <c r="K89" i="33"/>
  <c r="I89" i="33"/>
  <c r="J89" i="33" s="1"/>
  <c r="D89" i="33"/>
  <c r="C89" i="33"/>
  <c r="A89" i="33"/>
  <c r="K88" i="33"/>
  <c r="I88" i="33"/>
  <c r="J88" i="33" s="1"/>
  <c r="D88" i="33"/>
  <c r="C88" i="33"/>
  <c r="A88" i="33"/>
  <c r="K87" i="33"/>
  <c r="J87" i="33"/>
  <c r="I87" i="33"/>
  <c r="D87" i="33"/>
  <c r="C87" i="33"/>
  <c r="A87" i="33"/>
  <c r="K86" i="33"/>
  <c r="J86" i="33"/>
  <c r="I86" i="33"/>
  <c r="D86" i="33"/>
  <c r="C86" i="33"/>
  <c r="A86" i="33"/>
  <c r="K85" i="33"/>
  <c r="J85" i="33"/>
  <c r="I85" i="33"/>
  <c r="D85" i="33"/>
  <c r="C85" i="33"/>
  <c r="A85" i="33"/>
  <c r="K84" i="33"/>
  <c r="I84" i="33"/>
  <c r="J84" i="33" s="1"/>
  <c r="D84" i="33"/>
  <c r="C84" i="33"/>
  <c r="A84" i="33"/>
  <c r="K83" i="33"/>
  <c r="I83" i="33"/>
  <c r="J83" i="33" s="1"/>
  <c r="D83" i="33"/>
  <c r="C83" i="33"/>
  <c r="A83" i="33"/>
  <c r="K82" i="33"/>
  <c r="I82" i="33"/>
  <c r="J82" i="33" s="1"/>
  <c r="D82" i="33"/>
  <c r="C82" i="33"/>
  <c r="A82" i="33"/>
  <c r="K81" i="33"/>
  <c r="I81" i="33"/>
  <c r="J81" i="33" s="1"/>
  <c r="D81" i="33"/>
  <c r="C81" i="33"/>
  <c r="A81" i="33"/>
  <c r="K80" i="33"/>
  <c r="I80" i="33"/>
  <c r="J80" i="33" s="1"/>
  <c r="D80" i="33"/>
  <c r="C80" i="33"/>
  <c r="A80" i="33"/>
  <c r="K79" i="33"/>
  <c r="J79" i="33"/>
  <c r="I79" i="33"/>
  <c r="D79" i="33"/>
  <c r="C79" i="33"/>
  <c r="A79" i="33"/>
  <c r="K78" i="33"/>
  <c r="J78" i="33"/>
  <c r="I78" i="33"/>
  <c r="D78" i="33"/>
  <c r="C78" i="33"/>
  <c r="A78" i="33"/>
  <c r="K77" i="33"/>
  <c r="J77" i="33"/>
  <c r="I77" i="33"/>
  <c r="D77" i="33"/>
  <c r="C77" i="33"/>
  <c r="A77" i="33"/>
  <c r="K76" i="33"/>
  <c r="I76" i="33"/>
  <c r="J76" i="33" s="1"/>
  <c r="D76" i="33"/>
  <c r="C76" i="33"/>
  <c r="A76" i="33"/>
  <c r="K75" i="33"/>
  <c r="I75" i="33"/>
  <c r="J75" i="33" s="1"/>
  <c r="D75" i="33"/>
  <c r="C75" i="33"/>
  <c r="A75" i="33"/>
  <c r="K74" i="33"/>
  <c r="I74" i="33"/>
  <c r="J74" i="33" s="1"/>
  <c r="D74" i="33"/>
  <c r="C74" i="33"/>
  <c r="A74" i="33"/>
  <c r="K73" i="33"/>
  <c r="I73" i="33"/>
  <c r="J73" i="33" s="1"/>
  <c r="D73" i="33"/>
  <c r="C73" i="33"/>
  <c r="A73" i="33"/>
  <c r="K72" i="33"/>
  <c r="I72" i="33"/>
  <c r="J72" i="33" s="1"/>
  <c r="D72" i="33"/>
  <c r="C72" i="33"/>
  <c r="A72" i="33"/>
  <c r="K71" i="33"/>
  <c r="J71" i="33"/>
  <c r="I71" i="33"/>
  <c r="D71" i="33"/>
  <c r="C71" i="33"/>
  <c r="A71" i="33"/>
  <c r="K70" i="33"/>
  <c r="J70" i="33"/>
  <c r="I70" i="33"/>
  <c r="D70" i="33"/>
  <c r="C70" i="33"/>
  <c r="A70" i="33"/>
  <c r="K69" i="33"/>
  <c r="J69" i="33"/>
  <c r="I69" i="33"/>
  <c r="D69" i="33"/>
  <c r="C69" i="33"/>
  <c r="A69" i="33"/>
  <c r="K68" i="33"/>
  <c r="I68" i="33"/>
  <c r="J68" i="33" s="1"/>
  <c r="D68" i="33"/>
  <c r="C68" i="33"/>
  <c r="A68" i="33"/>
  <c r="K67" i="33"/>
  <c r="I67" i="33"/>
  <c r="J67" i="33" s="1"/>
  <c r="D67" i="33"/>
  <c r="C67" i="33"/>
  <c r="A67" i="33"/>
  <c r="K66" i="33"/>
  <c r="I66" i="33"/>
  <c r="J66" i="33" s="1"/>
  <c r="D66" i="33"/>
  <c r="C66" i="33"/>
  <c r="A66" i="33"/>
  <c r="K65" i="33"/>
  <c r="I65" i="33"/>
  <c r="J65" i="33" s="1"/>
  <c r="D65" i="33"/>
  <c r="C65" i="33"/>
  <c r="A65" i="33"/>
  <c r="K64" i="33"/>
  <c r="I64" i="33"/>
  <c r="J64" i="33" s="1"/>
  <c r="D64" i="33"/>
  <c r="C64" i="33"/>
  <c r="A64" i="33"/>
  <c r="K63" i="33"/>
  <c r="J63" i="33"/>
  <c r="I63" i="33"/>
  <c r="D63" i="33"/>
  <c r="C63" i="33"/>
  <c r="A63" i="33"/>
  <c r="K62" i="33"/>
  <c r="J62" i="33"/>
  <c r="I62" i="33"/>
  <c r="D62" i="33"/>
  <c r="C62" i="33"/>
  <c r="A62" i="33"/>
  <c r="K61" i="33"/>
  <c r="J61" i="33"/>
  <c r="I61" i="33"/>
  <c r="D61" i="33"/>
  <c r="C61" i="33"/>
  <c r="A61" i="33"/>
  <c r="K60" i="33"/>
  <c r="I60" i="33"/>
  <c r="J60" i="33" s="1"/>
  <c r="D60" i="33"/>
  <c r="C60" i="33"/>
  <c r="A60" i="33"/>
  <c r="K59" i="33"/>
  <c r="I59" i="33"/>
  <c r="J59" i="33" s="1"/>
  <c r="D59" i="33"/>
  <c r="C59" i="33"/>
  <c r="A59" i="33"/>
  <c r="K58" i="33"/>
  <c r="I58" i="33"/>
  <c r="J58" i="33" s="1"/>
  <c r="D58" i="33"/>
  <c r="C58" i="33"/>
  <c r="A58" i="33"/>
  <c r="K57" i="33"/>
  <c r="I57" i="33"/>
  <c r="J57" i="33" s="1"/>
  <c r="D57" i="33"/>
  <c r="C57" i="33"/>
  <c r="A57" i="33"/>
  <c r="K56" i="33"/>
  <c r="I56" i="33"/>
  <c r="J56" i="33" s="1"/>
  <c r="D56" i="33"/>
  <c r="C56" i="33"/>
  <c r="A56" i="33"/>
  <c r="K55" i="33"/>
  <c r="J55" i="33"/>
  <c r="I55" i="33"/>
  <c r="D55" i="33"/>
  <c r="C55" i="33"/>
  <c r="A55" i="33"/>
  <c r="K54" i="33"/>
  <c r="J54" i="33"/>
  <c r="I54" i="33"/>
  <c r="D54" i="33"/>
  <c r="C54" i="33"/>
  <c r="A54" i="33"/>
  <c r="K53" i="33"/>
  <c r="J53" i="33"/>
  <c r="I53" i="33"/>
  <c r="D53" i="33"/>
  <c r="C53" i="33"/>
  <c r="A53" i="33"/>
  <c r="K52" i="33"/>
  <c r="I52" i="33"/>
  <c r="J52" i="33" s="1"/>
  <c r="D52" i="33"/>
  <c r="C52" i="33"/>
  <c r="A52" i="33"/>
  <c r="K51" i="33"/>
  <c r="I51" i="33"/>
  <c r="J51" i="33" s="1"/>
  <c r="D51" i="33"/>
  <c r="C51" i="33"/>
  <c r="A51" i="33"/>
  <c r="K50" i="33"/>
  <c r="I50" i="33"/>
  <c r="J50" i="33" s="1"/>
  <c r="D50" i="33"/>
  <c r="C50" i="33"/>
  <c r="A50" i="33"/>
  <c r="K49" i="33"/>
  <c r="I49" i="33"/>
  <c r="J49" i="33" s="1"/>
  <c r="D49" i="33"/>
  <c r="C49" i="33"/>
  <c r="A49" i="33"/>
  <c r="K48" i="33"/>
  <c r="I48" i="33"/>
  <c r="J48" i="33" s="1"/>
  <c r="D48" i="33"/>
  <c r="C48" i="33"/>
  <c r="A48" i="33"/>
  <c r="K47" i="33"/>
  <c r="J47" i="33"/>
  <c r="I47" i="33"/>
  <c r="D47" i="33"/>
  <c r="C47" i="33"/>
  <c r="A47" i="33"/>
  <c r="K46" i="33"/>
  <c r="J46" i="33"/>
  <c r="I46" i="33"/>
  <c r="D46" i="33"/>
  <c r="C46" i="33"/>
  <c r="A46" i="33"/>
  <c r="K45" i="33"/>
  <c r="J45" i="33"/>
  <c r="I45" i="33"/>
  <c r="D45" i="33"/>
  <c r="C45" i="33"/>
  <c r="A45" i="33"/>
  <c r="K44" i="33"/>
  <c r="I44" i="33"/>
  <c r="J44" i="33" s="1"/>
  <c r="D44" i="33"/>
  <c r="C44" i="33"/>
  <c r="A44" i="33"/>
  <c r="K43" i="33"/>
  <c r="I43" i="33"/>
  <c r="J43" i="33" s="1"/>
  <c r="D43" i="33"/>
  <c r="C43" i="33"/>
  <c r="A43" i="33"/>
  <c r="K42" i="33"/>
  <c r="I42" i="33"/>
  <c r="J42" i="33" s="1"/>
  <c r="D42" i="33"/>
  <c r="C42" i="33"/>
  <c r="A42" i="33"/>
  <c r="K41" i="33"/>
  <c r="I41" i="33"/>
  <c r="J41" i="33" s="1"/>
  <c r="D41" i="33"/>
  <c r="C41" i="33"/>
  <c r="A41" i="33"/>
  <c r="K40" i="33"/>
  <c r="I40" i="33"/>
  <c r="J40" i="33" s="1"/>
  <c r="D40" i="33"/>
  <c r="C40" i="33"/>
  <c r="A40" i="33"/>
  <c r="K39" i="33"/>
  <c r="J39" i="33"/>
  <c r="I39" i="33"/>
  <c r="D39" i="33"/>
  <c r="C39" i="33"/>
  <c r="A39" i="33"/>
  <c r="K38" i="33"/>
  <c r="J38" i="33"/>
  <c r="I38" i="33"/>
  <c r="D38" i="33"/>
  <c r="C38" i="33"/>
  <c r="A38" i="33"/>
  <c r="K37" i="33"/>
  <c r="J37" i="33"/>
  <c r="I37" i="33"/>
  <c r="D37" i="33"/>
  <c r="C37" i="33"/>
  <c r="A37" i="33"/>
  <c r="K36" i="33"/>
  <c r="I36" i="33"/>
  <c r="J36" i="33" s="1"/>
  <c r="D36" i="33"/>
  <c r="C36" i="33"/>
  <c r="A36" i="33"/>
  <c r="K35" i="33"/>
  <c r="I35" i="33"/>
  <c r="J35" i="33" s="1"/>
  <c r="D35" i="33"/>
  <c r="C35" i="33"/>
  <c r="A35" i="33"/>
  <c r="K34" i="33"/>
  <c r="I34" i="33"/>
  <c r="J34" i="33" s="1"/>
  <c r="D34" i="33"/>
  <c r="C34" i="33"/>
  <c r="A34" i="33"/>
  <c r="K33" i="33"/>
  <c r="I33" i="33"/>
  <c r="J33" i="33" s="1"/>
  <c r="D33" i="33"/>
  <c r="C33" i="33"/>
  <c r="A33" i="33"/>
  <c r="K32" i="33"/>
  <c r="I32" i="33"/>
  <c r="J32" i="33" s="1"/>
  <c r="D32" i="33"/>
  <c r="C32" i="33"/>
  <c r="A32" i="33"/>
  <c r="K31" i="33"/>
  <c r="J31" i="33"/>
  <c r="I31" i="33"/>
  <c r="D31" i="33"/>
  <c r="C31" i="33"/>
  <c r="A31" i="33"/>
  <c r="K30" i="33"/>
  <c r="J30" i="33"/>
  <c r="I30" i="33"/>
  <c r="D30" i="33"/>
  <c r="C30" i="33"/>
  <c r="A30" i="33"/>
  <c r="K29" i="33"/>
  <c r="J29" i="33"/>
  <c r="I29" i="33"/>
  <c r="D29" i="33"/>
  <c r="C29" i="33"/>
  <c r="A29" i="33"/>
  <c r="K28" i="33"/>
  <c r="I28" i="33"/>
  <c r="J28" i="33" s="1"/>
  <c r="D28" i="33"/>
  <c r="C28" i="33"/>
  <c r="A28" i="33"/>
  <c r="K27" i="33"/>
  <c r="I27" i="33"/>
  <c r="J27" i="33" s="1"/>
  <c r="D27" i="33"/>
  <c r="C27" i="33"/>
  <c r="A27" i="33"/>
  <c r="K26" i="33"/>
  <c r="I26" i="33"/>
  <c r="J26" i="33" s="1"/>
  <c r="D26" i="33"/>
  <c r="C26" i="33"/>
  <c r="A26" i="33"/>
  <c r="K25" i="33"/>
  <c r="I25" i="33"/>
  <c r="J25" i="33" s="1"/>
  <c r="D25" i="33"/>
  <c r="C25" i="33"/>
  <c r="A25" i="33"/>
  <c r="K24" i="33"/>
  <c r="I24" i="33"/>
  <c r="J24" i="33" s="1"/>
  <c r="D24" i="33"/>
  <c r="C24" i="33"/>
  <c r="A24" i="33"/>
  <c r="K23" i="33"/>
  <c r="J23" i="33"/>
  <c r="I23" i="33"/>
  <c r="D23" i="33"/>
  <c r="C23" i="33"/>
  <c r="A23" i="33"/>
  <c r="K22" i="33"/>
  <c r="J22" i="33"/>
  <c r="I22" i="33"/>
  <c r="D22" i="33"/>
  <c r="C22" i="33"/>
  <c r="A22" i="33"/>
  <c r="K21" i="33"/>
  <c r="J21" i="33"/>
  <c r="I21" i="33"/>
  <c r="D21" i="33"/>
  <c r="C21" i="33"/>
  <c r="A21" i="33"/>
  <c r="K20" i="33"/>
  <c r="J20" i="33"/>
  <c r="I20" i="33"/>
  <c r="D20" i="33"/>
  <c r="C20" i="33"/>
  <c r="A20" i="33"/>
  <c r="K19" i="33"/>
  <c r="J19" i="33"/>
  <c r="I19" i="33"/>
  <c r="D19" i="33"/>
  <c r="C19" i="33"/>
  <c r="A19" i="33"/>
  <c r="K18" i="33"/>
  <c r="J18" i="33"/>
  <c r="I18" i="33"/>
  <c r="D18" i="33"/>
  <c r="C18" i="33"/>
  <c r="A18" i="33"/>
  <c r="K17" i="33"/>
  <c r="J17" i="33"/>
  <c r="I17" i="33"/>
  <c r="D17" i="33"/>
  <c r="C17" i="33"/>
  <c r="A17" i="33"/>
  <c r="K16" i="33"/>
  <c r="J16" i="33"/>
  <c r="I16" i="33"/>
  <c r="D16" i="33"/>
  <c r="C16" i="33"/>
  <c r="A16" i="33"/>
  <c r="K15" i="33"/>
  <c r="J15" i="33"/>
  <c r="I15" i="33"/>
  <c r="D15" i="33"/>
  <c r="C15" i="33"/>
  <c r="A15" i="33"/>
  <c r="K14" i="33"/>
  <c r="J14" i="33"/>
  <c r="I14" i="33"/>
  <c r="D14" i="33"/>
  <c r="C14" i="33"/>
  <c r="A14" i="33"/>
  <c r="B9" i="33"/>
  <c r="B10" i="33" s="1"/>
  <c r="B8" i="33"/>
  <c r="K208" i="32"/>
  <c r="J208" i="32"/>
  <c r="G208" i="32"/>
  <c r="D208" i="32"/>
  <c r="C208" i="32"/>
  <c r="B208" i="32"/>
  <c r="K207" i="32"/>
  <c r="J207" i="32"/>
  <c r="G207" i="32"/>
  <c r="D207" i="32"/>
  <c r="C207" i="32"/>
  <c r="B207" i="32"/>
  <c r="K206" i="32"/>
  <c r="J206" i="32"/>
  <c r="G206" i="32"/>
  <c r="D206" i="32"/>
  <c r="C206" i="32"/>
  <c r="B206" i="32"/>
  <c r="K205" i="32"/>
  <c r="J205" i="32"/>
  <c r="G205" i="32"/>
  <c r="D205" i="32"/>
  <c r="C205" i="32"/>
  <c r="B205" i="32"/>
  <c r="K204" i="32"/>
  <c r="J204" i="32"/>
  <c r="G204" i="32"/>
  <c r="D204" i="32"/>
  <c r="C204" i="32"/>
  <c r="B204" i="32"/>
  <c r="K203" i="32"/>
  <c r="J203" i="32"/>
  <c r="G203" i="32"/>
  <c r="D203" i="32"/>
  <c r="C203" i="32"/>
  <c r="B203" i="32"/>
  <c r="K202" i="32"/>
  <c r="J202" i="32"/>
  <c r="G202" i="32"/>
  <c r="D202" i="32"/>
  <c r="C202" i="32"/>
  <c r="B202" i="32"/>
  <c r="K201" i="32"/>
  <c r="J201" i="32"/>
  <c r="G201" i="32"/>
  <c r="D201" i="32"/>
  <c r="C201" i="32"/>
  <c r="B201" i="32"/>
  <c r="K200" i="32"/>
  <c r="J200" i="32"/>
  <c r="G200" i="32"/>
  <c r="D200" i="32"/>
  <c r="C200" i="32"/>
  <c r="B200" i="32"/>
  <c r="K199" i="32"/>
  <c r="J199" i="32"/>
  <c r="G199" i="32"/>
  <c r="D199" i="32"/>
  <c r="C199" i="32"/>
  <c r="B199" i="32"/>
  <c r="K198" i="32"/>
  <c r="J198" i="32"/>
  <c r="G198" i="32"/>
  <c r="D198" i="32"/>
  <c r="C198" i="32"/>
  <c r="B198" i="32"/>
  <c r="K197" i="32"/>
  <c r="J197" i="32"/>
  <c r="G197" i="32"/>
  <c r="D197" i="32"/>
  <c r="C197" i="32"/>
  <c r="B197" i="32"/>
  <c r="K196" i="32"/>
  <c r="J196" i="32"/>
  <c r="G196" i="32"/>
  <c r="D196" i="32"/>
  <c r="C196" i="32"/>
  <c r="B196" i="32"/>
  <c r="K195" i="32"/>
  <c r="J195" i="32"/>
  <c r="G195" i="32"/>
  <c r="D195" i="32"/>
  <c r="C195" i="32"/>
  <c r="B195" i="32"/>
  <c r="K194" i="32"/>
  <c r="J194" i="32"/>
  <c r="G194" i="32"/>
  <c r="D194" i="32"/>
  <c r="C194" i="32"/>
  <c r="B194" i="32"/>
  <c r="K193" i="32"/>
  <c r="J193" i="32"/>
  <c r="G193" i="32"/>
  <c r="D193" i="32"/>
  <c r="C193" i="32"/>
  <c r="B193" i="32"/>
  <c r="K192" i="32"/>
  <c r="J192" i="32"/>
  <c r="G192" i="32"/>
  <c r="D192" i="32"/>
  <c r="C192" i="32"/>
  <c r="B192" i="32"/>
  <c r="K191" i="32"/>
  <c r="J191" i="32"/>
  <c r="G191" i="32"/>
  <c r="D191" i="32"/>
  <c r="C191" i="32"/>
  <c r="B191" i="32"/>
  <c r="K190" i="32"/>
  <c r="J190" i="32"/>
  <c r="G190" i="32"/>
  <c r="D190" i="32"/>
  <c r="C190" i="32"/>
  <c r="B190" i="32"/>
  <c r="K189" i="32"/>
  <c r="J189" i="32"/>
  <c r="G189" i="32"/>
  <c r="D189" i="32"/>
  <c r="C189" i="32"/>
  <c r="B189" i="32"/>
  <c r="K188" i="32"/>
  <c r="J188" i="32"/>
  <c r="G188" i="32"/>
  <c r="D188" i="32"/>
  <c r="C188" i="32"/>
  <c r="B188" i="32"/>
  <c r="K187" i="32"/>
  <c r="J187" i="32"/>
  <c r="G187" i="32"/>
  <c r="D187" i="32"/>
  <c r="C187" i="32"/>
  <c r="B187" i="32"/>
  <c r="K186" i="32"/>
  <c r="J186" i="32"/>
  <c r="G186" i="32"/>
  <c r="D186" i="32"/>
  <c r="C186" i="32"/>
  <c r="B186" i="32"/>
  <c r="K185" i="32"/>
  <c r="J185" i="32"/>
  <c r="G185" i="32"/>
  <c r="D185" i="32"/>
  <c r="C185" i="32"/>
  <c r="B185" i="32"/>
  <c r="K184" i="32"/>
  <c r="J184" i="32"/>
  <c r="G184" i="32"/>
  <c r="D184" i="32"/>
  <c r="C184" i="32"/>
  <c r="B184" i="32"/>
  <c r="K183" i="32"/>
  <c r="J183" i="32"/>
  <c r="G183" i="32"/>
  <c r="D183" i="32"/>
  <c r="C183" i="32"/>
  <c r="B183" i="32"/>
  <c r="K182" i="32"/>
  <c r="J182" i="32"/>
  <c r="G182" i="32"/>
  <c r="D182" i="32"/>
  <c r="C182" i="32"/>
  <c r="B182" i="32"/>
  <c r="K181" i="32"/>
  <c r="J181" i="32"/>
  <c r="G181" i="32"/>
  <c r="D181" i="32"/>
  <c r="C181" i="32"/>
  <c r="B181" i="32"/>
  <c r="K180" i="32"/>
  <c r="J180" i="32"/>
  <c r="G180" i="32"/>
  <c r="D180" i="32"/>
  <c r="C180" i="32"/>
  <c r="B180" i="32"/>
  <c r="K179" i="32"/>
  <c r="J179" i="32"/>
  <c r="G179" i="32"/>
  <c r="D179" i="32"/>
  <c r="C179" i="32"/>
  <c r="B179" i="32"/>
  <c r="K178" i="32"/>
  <c r="J178" i="32"/>
  <c r="G178" i="32"/>
  <c r="D178" i="32"/>
  <c r="C178" i="32"/>
  <c r="B178" i="32"/>
  <c r="K177" i="32"/>
  <c r="J177" i="32"/>
  <c r="G177" i="32"/>
  <c r="D177" i="32"/>
  <c r="C177" i="32"/>
  <c r="B177" i="32"/>
  <c r="K176" i="32"/>
  <c r="J176" i="32"/>
  <c r="G176" i="32"/>
  <c r="D176" i="32"/>
  <c r="C176" i="32"/>
  <c r="B176" i="32"/>
  <c r="K175" i="32"/>
  <c r="J175" i="32"/>
  <c r="G175" i="32"/>
  <c r="D175" i="32"/>
  <c r="C175" i="32"/>
  <c r="B175" i="32"/>
  <c r="K174" i="32"/>
  <c r="J174" i="32"/>
  <c r="G174" i="32"/>
  <c r="D174" i="32"/>
  <c r="C174" i="32"/>
  <c r="B174" i="32"/>
  <c r="K173" i="32"/>
  <c r="J173" i="32"/>
  <c r="G173" i="32"/>
  <c r="D173" i="32"/>
  <c r="C173" i="32"/>
  <c r="B173" i="32"/>
  <c r="K172" i="32"/>
  <c r="J172" i="32"/>
  <c r="G172" i="32"/>
  <c r="D172" i="32"/>
  <c r="C172" i="32"/>
  <c r="B172" i="32"/>
  <c r="K171" i="32"/>
  <c r="J171" i="32"/>
  <c r="G171" i="32"/>
  <c r="D171" i="32"/>
  <c r="C171" i="32"/>
  <c r="B171" i="32"/>
  <c r="K170" i="32"/>
  <c r="J170" i="32"/>
  <c r="G170" i="32"/>
  <c r="D170" i="32"/>
  <c r="C170" i="32"/>
  <c r="B170" i="32"/>
  <c r="K169" i="32"/>
  <c r="J169" i="32"/>
  <c r="G169" i="32"/>
  <c r="D169" i="32"/>
  <c r="C169" i="32"/>
  <c r="B169" i="32"/>
  <c r="K168" i="32"/>
  <c r="J168" i="32"/>
  <c r="G168" i="32"/>
  <c r="D168" i="32"/>
  <c r="C168" i="32"/>
  <c r="B168" i="32"/>
  <c r="K167" i="32"/>
  <c r="J167" i="32"/>
  <c r="G167" i="32"/>
  <c r="D167" i="32"/>
  <c r="C167" i="32"/>
  <c r="B167" i="32"/>
  <c r="K166" i="32"/>
  <c r="J166" i="32"/>
  <c r="G166" i="32"/>
  <c r="D166" i="32"/>
  <c r="C166" i="32"/>
  <c r="B166" i="32"/>
  <c r="K165" i="32"/>
  <c r="J165" i="32"/>
  <c r="G165" i="32"/>
  <c r="D165" i="32"/>
  <c r="C165" i="32"/>
  <c r="B165" i="32"/>
  <c r="K164" i="32"/>
  <c r="J164" i="32"/>
  <c r="G164" i="32"/>
  <c r="D164" i="32"/>
  <c r="C164" i="32"/>
  <c r="B164" i="32"/>
  <c r="K163" i="32"/>
  <c r="J163" i="32"/>
  <c r="G163" i="32"/>
  <c r="D163" i="32"/>
  <c r="C163" i="32"/>
  <c r="B163" i="32"/>
  <c r="K162" i="32"/>
  <c r="J162" i="32"/>
  <c r="G162" i="32"/>
  <c r="D162" i="32"/>
  <c r="C162" i="32"/>
  <c r="B162" i="32"/>
  <c r="K161" i="32"/>
  <c r="J161" i="32"/>
  <c r="G161" i="32"/>
  <c r="D161" i="32"/>
  <c r="C161" i="32"/>
  <c r="B161" i="32"/>
  <c r="K160" i="32"/>
  <c r="J160" i="32"/>
  <c r="G160" i="32"/>
  <c r="D160" i="32"/>
  <c r="C160" i="32"/>
  <c r="B160" i="32"/>
  <c r="K159" i="32"/>
  <c r="J159" i="32"/>
  <c r="G159" i="32"/>
  <c r="D159" i="32"/>
  <c r="C159" i="32"/>
  <c r="B159" i="32"/>
  <c r="K158" i="32"/>
  <c r="J158" i="32"/>
  <c r="G158" i="32"/>
  <c r="D158" i="32"/>
  <c r="C158" i="32"/>
  <c r="B158" i="32"/>
  <c r="K157" i="32"/>
  <c r="J157" i="32"/>
  <c r="G157" i="32"/>
  <c r="D157" i="32"/>
  <c r="C157" i="32"/>
  <c r="B157" i="32"/>
  <c r="K156" i="32"/>
  <c r="J156" i="32"/>
  <c r="G156" i="32"/>
  <c r="D156" i="32"/>
  <c r="C156" i="32"/>
  <c r="B156" i="32"/>
  <c r="K155" i="32"/>
  <c r="J155" i="32"/>
  <c r="G155" i="32"/>
  <c r="D155" i="32"/>
  <c r="C155" i="32"/>
  <c r="B155" i="32"/>
  <c r="K154" i="32"/>
  <c r="J154" i="32"/>
  <c r="G154" i="32"/>
  <c r="D154" i="32"/>
  <c r="C154" i="32"/>
  <c r="B154" i="32"/>
  <c r="K153" i="32"/>
  <c r="J153" i="32"/>
  <c r="G153" i="32"/>
  <c r="D153" i="32"/>
  <c r="C153" i="32"/>
  <c r="B153" i="32"/>
  <c r="K152" i="32"/>
  <c r="J152" i="32"/>
  <c r="G152" i="32"/>
  <c r="D152" i="32"/>
  <c r="C152" i="32"/>
  <c r="B152" i="32"/>
  <c r="K151" i="32"/>
  <c r="J151" i="32"/>
  <c r="G151" i="32"/>
  <c r="D151" i="32"/>
  <c r="C151" i="32"/>
  <c r="B151" i="32"/>
  <c r="K150" i="32"/>
  <c r="J150" i="32"/>
  <c r="G150" i="32"/>
  <c r="D150" i="32"/>
  <c r="C150" i="32"/>
  <c r="B150" i="32"/>
  <c r="K149" i="32"/>
  <c r="J149" i="32"/>
  <c r="G149" i="32"/>
  <c r="D149" i="32"/>
  <c r="C149" i="32"/>
  <c r="B149" i="32"/>
  <c r="K148" i="32"/>
  <c r="J148" i="32"/>
  <c r="G148" i="32"/>
  <c r="D148" i="32"/>
  <c r="C148" i="32"/>
  <c r="B148" i="32"/>
  <c r="K147" i="32"/>
  <c r="J147" i="32"/>
  <c r="G147" i="32"/>
  <c r="D147" i="32"/>
  <c r="C147" i="32"/>
  <c r="B147" i="32"/>
  <c r="K146" i="32"/>
  <c r="J146" i="32"/>
  <c r="G146" i="32"/>
  <c r="D146" i="32"/>
  <c r="C146" i="32"/>
  <c r="B146" i="32"/>
  <c r="K145" i="32"/>
  <c r="J145" i="32"/>
  <c r="G145" i="32"/>
  <c r="D145" i="32"/>
  <c r="C145" i="32"/>
  <c r="B145" i="32"/>
  <c r="K144" i="32"/>
  <c r="J144" i="32"/>
  <c r="G144" i="32"/>
  <c r="D144" i="32"/>
  <c r="C144" i="32"/>
  <c r="B144" i="32"/>
  <c r="K143" i="32"/>
  <c r="J143" i="32"/>
  <c r="G143" i="32"/>
  <c r="D143" i="32"/>
  <c r="C143" i="32"/>
  <c r="B143" i="32"/>
  <c r="K142" i="32"/>
  <c r="J142" i="32"/>
  <c r="G142" i="32"/>
  <c r="D142" i="32"/>
  <c r="C142" i="32"/>
  <c r="B142" i="32"/>
  <c r="K141" i="32"/>
  <c r="J141" i="32"/>
  <c r="G141" i="32"/>
  <c r="D141" i="32"/>
  <c r="C141" i="32"/>
  <c r="B141" i="32"/>
  <c r="K140" i="32"/>
  <c r="J140" i="32"/>
  <c r="G140" i="32"/>
  <c r="D140" i="32"/>
  <c r="C140" i="32"/>
  <c r="B140" i="32"/>
  <c r="K139" i="32"/>
  <c r="J139" i="32"/>
  <c r="G139" i="32"/>
  <c r="D139" i="32"/>
  <c r="C139" i="32"/>
  <c r="B139" i="32"/>
  <c r="K138" i="32"/>
  <c r="J138" i="32"/>
  <c r="G138" i="32"/>
  <c r="D138" i="32"/>
  <c r="C138" i="32"/>
  <c r="B138" i="32"/>
  <c r="K137" i="32"/>
  <c r="J137" i="32"/>
  <c r="G137" i="32"/>
  <c r="D137" i="32"/>
  <c r="C137" i="32"/>
  <c r="B137" i="32"/>
  <c r="K136" i="32"/>
  <c r="J136" i="32"/>
  <c r="G136" i="32"/>
  <c r="D136" i="32"/>
  <c r="C136" i="32"/>
  <c r="B136" i="32"/>
  <c r="K135" i="32"/>
  <c r="J135" i="32"/>
  <c r="G135" i="32"/>
  <c r="D135" i="32"/>
  <c r="C135" i="32"/>
  <c r="B135" i="32"/>
  <c r="K134" i="32"/>
  <c r="J134" i="32"/>
  <c r="G134" i="32"/>
  <c r="D134" i="32"/>
  <c r="C134" i="32"/>
  <c r="B134" i="32"/>
  <c r="K133" i="32"/>
  <c r="J133" i="32"/>
  <c r="G133" i="32"/>
  <c r="D133" i="32"/>
  <c r="C133" i="32"/>
  <c r="B133" i="32"/>
  <c r="K132" i="32"/>
  <c r="J132" i="32"/>
  <c r="G132" i="32"/>
  <c r="D132" i="32"/>
  <c r="C132" i="32"/>
  <c r="B132" i="32"/>
  <c r="K131" i="32"/>
  <c r="J131" i="32"/>
  <c r="G131" i="32"/>
  <c r="D131" i="32"/>
  <c r="C131" i="32"/>
  <c r="B131" i="32"/>
  <c r="K130" i="32"/>
  <c r="J130" i="32"/>
  <c r="G130" i="32"/>
  <c r="D130" i="32"/>
  <c r="C130" i="32"/>
  <c r="B130" i="32"/>
  <c r="K129" i="32"/>
  <c r="J129" i="32"/>
  <c r="G129" i="32"/>
  <c r="D129" i="32"/>
  <c r="C129" i="32"/>
  <c r="B129" i="32"/>
  <c r="K128" i="32"/>
  <c r="J128" i="32"/>
  <c r="G128" i="32"/>
  <c r="D128" i="32"/>
  <c r="C128" i="32"/>
  <c r="B128" i="32"/>
  <c r="K127" i="32"/>
  <c r="J127" i="32"/>
  <c r="G127" i="32"/>
  <c r="D127" i="32"/>
  <c r="C127" i="32"/>
  <c r="B127" i="32"/>
  <c r="K126" i="32"/>
  <c r="J126" i="32"/>
  <c r="G126" i="32"/>
  <c r="D126" i="32"/>
  <c r="C126" i="32"/>
  <c r="B126" i="32"/>
  <c r="K125" i="32"/>
  <c r="J125" i="32"/>
  <c r="G125" i="32"/>
  <c r="D125" i="32"/>
  <c r="C125" i="32"/>
  <c r="B125" i="32"/>
  <c r="K124" i="32"/>
  <c r="J124" i="32"/>
  <c r="G124" i="32"/>
  <c r="D124" i="32"/>
  <c r="C124" i="32"/>
  <c r="B124" i="32"/>
  <c r="K123" i="32"/>
  <c r="J123" i="32"/>
  <c r="G123" i="32"/>
  <c r="D123" i="32"/>
  <c r="C123" i="32"/>
  <c r="B123" i="32"/>
  <c r="K122" i="32"/>
  <c r="J122" i="32"/>
  <c r="G122" i="32"/>
  <c r="D122" i="32"/>
  <c r="C122" i="32"/>
  <c r="B122" i="32"/>
  <c r="K121" i="32"/>
  <c r="J121" i="32"/>
  <c r="G121" i="32"/>
  <c r="D121" i="32"/>
  <c r="C121" i="32"/>
  <c r="B121" i="32"/>
  <c r="K120" i="32"/>
  <c r="J120" i="32"/>
  <c r="G120" i="32"/>
  <c r="D120" i="32"/>
  <c r="C120" i="32"/>
  <c r="B120" i="32"/>
  <c r="K119" i="32"/>
  <c r="J119" i="32"/>
  <c r="G119" i="32"/>
  <c r="D119" i="32"/>
  <c r="C119" i="32"/>
  <c r="B119" i="32"/>
  <c r="K118" i="32"/>
  <c r="J118" i="32"/>
  <c r="G118" i="32"/>
  <c r="D118" i="32"/>
  <c r="C118" i="32"/>
  <c r="B118" i="32"/>
  <c r="K117" i="32"/>
  <c r="J117" i="32"/>
  <c r="G117" i="32"/>
  <c r="D117" i="32"/>
  <c r="C117" i="32"/>
  <c r="B117" i="32"/>
  <c r="K116" i="32"/>
  <c r="J116" i="32"/>
  <c r="G116" i="32"/>
  <c r="D116" i="32"/>
  <c r="C116" i="32"/>
  <c r="B116" i="32"/>
  <c r="K115" i="32"/>
  <c r="J115" i="32"/>
  <c r="G115" i="32"/>
  <c r="D115" i="32"/>
  <c r="C115" i="32"/>
  <c r="B115" i="32"/>
  <c r="K114" i="32"/>
  <c r="J114" i="32"/>
  <c r="G114" i="32"/>
  <c r="D114" i="32"/>
  <c r="C114" i="32"/>
  <c r="B114" i="32"/>
  <c r="K113" i="32"/>
  <c r="J113" i="32"/>
  <c r="G113" i="32"/>
  <c r="D113" i="32"/>
  <c r="C113" i="32"/>
  <c r="B113" i="32"/>
  <c r="K112" i="32"/>
  <c r="J112" i="32"/>
  <c r="G112" i="32"/>
  <c r="D112" i="32"/>
  <c r="C112" i="32"/>
  <c r="B112" i="32"/>
  <c r="K111" i="32"/>
  <c r="J111" i="32"/>
  <c r="G111" i="32"/>
  <c r="D111" i="32"/>
  <c r="C111" i="32"/>
  <c r="B111" i="32"/>
  <c r="K110" i="32"/>
  <c r="J110" i="32"/>
  <c r="G110" i="32"/>
  <c r="D110" i="32"/>
  <c r="C110" i="32"/>
  <c r="B110" i="32"/>
  <c r="K109" i="32"/>
  <c r="J109" i="32"/>
  <c r="G109" i="32"/>
  <c r="D109" i="32"/>
  <c r="C109" i="32"/>
  <c r="B109" i="32"/>
  <c r="K108" i="32"/>
  <c r="J108" i="32"/>
  <c r="G108" i="32"/>
  <c r="D108" i="32"/>
  <c r="C108" i="32"/>
  <c r="B108" i="32"/>
  <c r="K107" i="32"/>
  <c r="J107" i="32"/>
  <c r="G107" i="32"/>
  <c r="D107" i="32"/>
  <c r="C107" i="32"/>
  <c r="B107" i="32"/>
  <c r="K106" i="32"/>
  <c r="J106" i="32"/>
  <c r="G106" i="32"/>
  <c r="D106" i="32"/>
  <c r="C106" i="32"/>
  <c r="B106" i="32"/>
  <c r="K105" i="32"/>
  <c r="J105" i="32"/>
  <c r="G105" i="32"/>
  <c r="D105" i="32"/>
  <c r="C105" i="32"/>
  <c r="B105" i="32"/>
  <c r="K104" i="32"/>
  <c r="J104" i="32"/>
  <c r="G104" i="32"/>
  <c r="D104" i="32"/>
  <c r="C104" i="32"/>
  <c r="B104" i="32"/>
  <c r="K103" i="32"/>
  <c r="J103" i="32"/>
  <c r="G103" i="32"/>
  <c r="D103" i="32"/>
  <c r="C103" i="32"/>
  <c r="B103" i="32"/>
  <c r="K102" i="32"/>
  <c r="J102" i="32"/>
  <c r="G102" i="32"/>
  <c r="D102" i="32"/>
  <c r="C102" i="32"/>
  <c r="B102" i="32"/>
  <c r="K101" i="32"/>
  <c r="J101" i="32"/>
  <c r="G101" i="32"/>
  <c r="D101" i="32"/>
  <c r="C101" i="32"/>
  <c r="B101" i="32"/>
  <c r="K100" i="32"/>
  <c r="J100" i="32"/>
  <c r="G100" i="32"/>
  <c r="D100" i="32"/>
  <c r="C100" i="32"/>
  <c r="B100" i="32"/>
  <c r="K99" i="32"/>
  <c r="J99" i="32"/>
  <c r="G99" i="32"/>
  <c r="D99" i="32"/>
  <c r="C99" i="32"/>
  <c r="B99" i="32"/>
  <c r="K98" i="32"/>
  <c r="J98" i="32"/>
  <c r="G98" i="32"/>
  <c r="D98" i="32"/>
  <c r="C98" i="32"/>
  <c r="B98" i="32"/>
  <c r="K97" i="32"/>
  <c r="J97" i="32"/>
  <c r="G97" i="32"/>
  <c r="D97" i="32"/>
  <c r="C97" i="32"/>
  <c r="B97" i="32"/>
  <c r="K96" i="32"/>
  <c r="J96" i="32"/>
  <c r="G96" i="32"/>
  <c r="D96" i="32"/>
  <c r="C96" i="32"/>
  <c r="B96" i="32"/>
  <c r="K95" i="32"/>
  <c r="J95" i="32"/>
  <c r="G95" i="32"/>
  <c r="D95" i="32"/>
  <c r="C95" i="32"/>
  <c r="B95" i="32"/>
  <c r="K94" i="32"/>
  <c r="J94" i="32"/>
  <c r="G94" i="32"/>
  <c r="D94" i="32"/>
  <c r="C94" i="32"/>
  <c r="B94" i="32"/>
  <c r="K93" i="32"/>
  <c r="J93" i="32"/>
  <c r="G93" i="32"/>
  <c r="D93" i="32"/>
  <c r="C93" i="32"/>
  <c r="B93" i="32"/>
  <c r="K92" i="32"/>
  <c r="J92" i="32"/>
  <c r="G92" i="32"/>
  <c r="D92" i="32"/>
  <c r="C92" i="32"/>
  <c r="B92" i="32"/>
  <c r="K91" i="32"/>
  <c r="J91" i="32"/>
  <c r="G91" i="32"/>
  <c r="D91" i="32"/>
  <c r="C91" i="32"/>
  <c r="B91" i="32"/>
  <c r="K90" i="32"/>
  <c r="J90" i="32"/>
  <c r="G90" i="32"/>
  <c r="D90" i="32"/>
  <c r="C90" i="32"/>
  <c r="B90" i="32"/>
  <c r="K89" i="32"/>
  <c r="J89" i="32"/>
  <c r="G89" i="32"/>
  <c r="D89" i="32"/>
  <c r="C89" i="32"/>
  <c r="B89" i="32"/>
  <c r="K88" i="32"/>
  <c r="J88" i="32"/>
  <c r="G88" i="32"/>
  <c r="D88" i="32"/>
  <c r="C88" i="32"/>
  <c r="B88" i="32"/>
  <c r="K87" i="32"/>
  <c r="J87" i="32"/>
  <c r="G87" i="32"/>
  <c r="D87" i="32"/>
  <c r="C87" i="32"/>
  <c r="B87" i="32"/>
  <c r="K86" i="32"/>
  <c r="J86" i="32"/>
  <c r="G86" i="32"/>
  <c r="D86" i="32"/>
  <c r="C86" i="32"/>
  <c r="B86" i="32"/>
  <c r="K85" i="32"/>
  <c r="J85" i="32"/>
  <c r="G85" i="32"/>
  <c r="D85" i="32"/>
  <c r="C85" i="32"/>
  <c r="B85" i="32"/>
  <c r="K84" i="32"/>
  <c r="J84" i="32"/>
  <c r="G84" i="32"/>
  <c r="D84" i="32"/>
  <c r="C84" i="32"/>
  <c r="B84" i="32"/>
  <c r="K83" i="32"/>
  <c r="J83" i="32"/>
  <c r="G83" i="32"/>
  <c r="D83" i="32"/>
  <c r="C83" i="32"/>
  <c r="B83" i="32"/>
  <c r="K82" i="32"/>
  <c r="J82" i="32"/>
  <c r="G82" i="32"/>
  <c r="D82" i="32"/>
  <c r="C82" i="32"/>
  <c r="B82" i="32"/>
  <c r="K81" i="32"/>
  <c r="J81" i="32"/>
  <c r="G81" i="32"/>
  <c r="D81" i="32"/>
  <c r="C81" i="32"/>
  <c r="B81" i="32"/>
  <c r="K80" i="32"/>
  <c r="J80" i="32"/>
  <c r="G80" i="32"/>
  <c r="D80" i="32"/>
  <c r="C80" i="32"/>
  <c r="B80" i="32"/>
  <c r="K79" i="32"/>
  <c r="J79" i="32"/>
  <c r="G79" i="32"/>
  <c r="D79" i="32"/>
  <c r="C79" i="32"/>
  <c r="B79" i="32"/>
  <c r="K78" i="32"/>
  <c r="J78" i="32"/>
  <c r="G78" i="32"/>
  <c r="D78" i="32"/>
  <c r="C78" i="32"/>
  <c r="B78" i="32"/>
  <c r="K77" i="32"/>
  <c r="J77" i="32"/>
  <c r="G77" i="32"/>
  <c r="D77" i="32"/>
  <c r="C77" i="32"/>
  <c r="B77" i="32"/>
  <c r="K76" i="32"/>
  <c r="J76" i="32"/>
  <c r="G76" i="32"/>
  <c r="D76" i="32"/>
  <c r="C76" i="32"/>
  <c r="B76" i="32"/>
  <c r="K75" i="32"/>
  <c r="J75" i="32"/>
  <c r="G75" i="32"/>
  <c r="D75" i="32"/>
  <c r="C75" i="32"/>
  <c r="B75" i="32"/>
  <c r="K74" i="32"/>
  <c r="J74" i="32"/>
  <c r="G74" i="32"/>
  <c r="D74" i="32"/>
  <c r="C74" i="32"/>
  <c r="B74" i="32"/>
  <c r="K73" i="32"/>
  <c r="J73" i="32"/>
  <c r="G73" i="32"/>
  <c r="D73" i="32"/>
  <c r="C73" i="32"/>
  <c r="B73" i="32"/>
  <c r="K72" i="32"/>
  <c r="J72" i="32"/>
  <c r="G72" i="32"/>
  <c r="D72" i="32"/>
  <c r="C72" i="32"/>
  <c r="B72" i="32"/>
  <c r="K71" i="32"/>
  <c r="J71" i="32"/>
  <c r="G71" i="32"/>
  <c r="D71" i="32"/>
  <c r="C71" i="32"/>
  <c r="B71" i="32"/>
  <c r="K70" i="32"/>
  <c r="J70" i="32"/>
  <c r="G70" i="32"/>
  <c r="D70" i="32"/>
  <c r="C70" i="32"/>
  <c r="B70" i="32"/>
  <c r="K69" i="32"/>
  <c r="J69" i="32"/>
  <c r="G69" i="32"/>
  <c r="D69" i="32"/>
  <c r="C69" i="32"/>
  <c r="B69" i="32"/>
  <c r="K68" i="32"/>
  <c r="J68" i="32"/>
  <c r="G68" i="32"/>
  <c r="D68" i="32"/>
  <c r="C68" i="32"/>
  <c r="B68" i="32"/>
  <c r="K67" i="32"/>
  <c r="J67" i="32"/>
  <c r="G67" i="32"/>
  <c r="D67" i="32"/>
  <c r="C67" i="32"/>
  <c r="B67" i="32"/>
  <c r="K66" i="32"/>
  <c r="J66" i="32"/>
  <c r="G66" i="32"/>
  <c r="D66" i="32"/>
  <c r="C66" i="32"/>
  <c r="B66" i="32"/>
  <c r="K65" i="32"/>
  <c r="J65" i="32"/>
  <c r="G65" i="32"/>
  <c r="D65" i="32"/>
  <c r="C65" i="32"/>
  <c r="B65" i="32"/>
  <c r="K64" i="32"/>
  <c r="J64" i="32"/>
  <c r="G64" i="32"/>
  <c r="D64" i="32"/>
  <c r="C64" i="32"/>
  <c r="B64" i="32"/>
  <c r="K63" i="32"/>
  <c r="J63" i="32"/>
  <c r="G63" i="32"/>
  <c r="D63" i="32"/>
  <c r="C63" i="32"/>
  <c r="B63" i="32"/>
  <c r="K62" i="32"/>
  <c r="J62" i="32"/>
  <c r="G62" i="32"/>
  <c r="D62" i="32"/>
  <c r="C62" i="32"/>
  <c r="B62" i="32"/>
  <c r="K61" i="32"/>
  <c r="J61" i="32"/>
  <c r="G61" i="32"/>
  <c r="D61" i="32"/>
  <c r="C61" i="32"/>
  <c r="B61" i="32"/>
  <c r="K60" i="32"/>
  <c r="J60" i="32"/>
  <c r="G60" i="32"/>
  <c r="D60" i="32"/>
  <c r="C60" i="32"/>
  <c r="B60" i="32"/>
  <c r="K59" i="32"/>
  <c r="J59" i="32"/>
  <c r="G59" i="32"/>
  <c r="D59" i="32"/>
  <c r="C59" i="32"/>
  <c r="B59" i="32"/>
  <c r="K58" i="32"/>
  <c r="J58" i="32"/>
  <c r="G58" i="32"/>
  <c r="D58" i="32"/>
  <c r="C58" i="32"/>
  <c r="B58" i="32"/>
  <c r="K57" i="32"/>
  <c r="J57" i="32"/>
  <c r="G57" i="32"/>
  <c r="D57" i="32"/>
  <c r="C57" i="32"/>
  <c r="B57" i="32"/>
  <c r="K56" i="32"/>
  <c r="J56" i="32"/>
  <c r="G56" i="32"/>
  <c r="D56" i="32"/>
  <c r="C56" i="32"/>
  <c r="B56" i="32"/>
  <c r="K55" i="32"/>
  <c r="J55" i="32"/>
  <c r="G55" i="32"/>
  <c r="D55" i="32"/>
  <c r="C55" i="32"/>
  <c r="B55" i="32"/>
  <c r="K54" i="32"/>
  <c r="J54" i="32"/>
  <c r="G54" i="32"/>
  <c r="D54" i="32"/>
  <c r="C54" i="32"/>
  <c r="B54" i="32"/>
  <c r="K53" i="32"/>
  <c r="J53" i="32"/>
  <c r="G53" i="32"/>
  <c r="D53" i="32"/>
  <c r="C53" i="32"/>
  <c r="B53" i="32"/>
  <c r="K52" i="32"/>
  <c r="J52" i="32"/>
  <c r="G52" i="32"/>
  <c r="D52" i="32"/>
  <c r="C52" i="32"/>
  <c r="B52" i="32"/>
  <c r="K51" i="32"/>
  <c r="J51" i="32"/>
  <c r="G51" i="32"/>
  <c r="D51" i="32"/>
  <c r="C51" i="32"/>
  <c r="B51" i="32"/>
  <c r="K50" i="32"/>
  <c r="J50" i="32"/>
  <c r="G50" i="32"/>
  <c r="D50" i="32"/>
  <c r="C50" i="32"/>
  <c r="B50" i="32"/>
  <c r="K49" i="32"/>
  <c r="J49" i="32"/>
  <c r="G49" i="32"/>
  <c r="D49" i="32"/>
  <c r="C49" i="32"/>
  <c r="B49" i="32"/>
  <c r="K48" i="32"/>
  <c r="J48" i="32"/>
  <c r="G48" i="32"/>
  <c r="D48" i="32"/>
  <c r="C48" i="32"/>
  <c r="B48" i="32"/>
  <c r="K47" i="32"/>
  <c r="J47" i="32"/>
  <c r="G47" i="32"/>
  <c r="D47" i="32"/>
  <c r="C47" i="32"/>
  <c r="B47" i="32"/>
  <c r="K46" i="32"/>
  <c r="J46" i="32"/>
  <c r="G46" i="32"/>
  <c r="D46" i="32"/>
  <c r="C46" i="32"/>
  <c r="B46" i="32"/>
  <c r="K45" i="32"/>
  <c r="J45" i="32"/>
  <c r="G45" i="32"/>
  <c r="D45" i="32"/>
  <c r="C45" i="32"/>
  <c r="B45" i="32"/>
  <c r="K44" i="32"/>
  <c r="J44" i="32"/>
  <c r="G44" i="32"/>
  <c r="D44" i="32"/>
  <c r="C44" i="32"/>
  <c r="B44" i="32"/>
  <c r="K43" i="32"/>
  <c r="J43" i="32"/>
  <c r="G43" i="32"/>
  <c r="D43" i="32"/>
  <c r="C43" i="32"/>
  <c r="B43" i="32"/>
  <c r="K42" i="32"/>
  <c r="J42" i="32"/>
  <c r="G42" i="32"/>
  <c r="D42" i="32"/>
  <c r="C42" i="32"/>
  <c r="B42" i="32"/>
  <c r="K41" i="32"/>
  <c r="J41" i="32"/>
  <c r="G41" i="32"/>
  <c r="D41" i="32"/>
  <c r="C41" i="32"/>
  <c r="B41" i="32"/>
  <c r="K40" i="32"/>
  <c r="J40" i="32"/>
  <c r="G40" i="32"/>
  <c r="D40" i="32"/>
  <c r="C40" i="32"/>
  <c r="B40" i="32"/>
  <c r="K39" i="32"/>
  <c r="J39" i="32"/>
  <c r="G39" i="32"/>
  <c r="D39" i="32"/>
  <c r="C39" i="32"/>
  <c r="B39" i="32"/>
  <c r="K38" i="32"/>
  <c r="J38" i="32"/>
  <c r="G38" i="32"/>
  <c r="D38" i="32"/>
  <c r="C38" i="32"/>
  <c r="B38" i="32"/>
  <c r="K37" i="32"/>
  <c r="J37" i="32"/>
  <c r="G37" i="32"/>
  <c r="D37" i="32"/>
  <c r="C37" i="32"/>
  <c r="B37" i="32"/>
  <c r="K36" i="32"/>
  <c r="J36" i="32"/>
  <c r="G36" i="32"/>
  <c r="D36" i="32"/>
  <c r="C36" i="32"/>
  <c r="B36" i="32"/>
  <c r="K35" i="32"/>
  <c r="J35" i="32"/>
  <c r="G35" i="32"/>
  <c r="D35" i="32"/>
  <c r="C35" i="32"/>
  <c r="B35" i="32"/>
  <c r="K34" i="32"/>
  <c r="J34" i="32"/>
  <c r="G34" i="32"/>
  <c r="D34" i="32"/>
  <c r="C34" i="32"/>
  <c r="B34" i="32"/>
  <c r="K33" i="32"/>
  <c r="J33" i="32"/>
  <c r="G33" i="32"/>
  <c r="D33" i="32"/>
  <c r="C33" i="32"/>
  <c r="B33" i="32"/>
  <c r="K32" i="32"/>
  <c r="J32" i="32"/>
  <c r="G32" i="32"/>
  <c r="D32" i="32"/>
  <c r="C32" i="32"/>
  <c r="B32" i="32"/>
  <c r="K31" i="32"/>
  <c r="J31" i="32"/>
  <c r="G31" i="32"/>
  <c r="D31" i="32"/>
  <c r="C31" i="32"/>
  <c r="B31" i="32"/>
  <c r="K30" i="32"/>
  <c r="J30" i="32"/>
  <c r="G30" i="32"/>
  <c r="D30" i="32"/>
  <c r="C30" i="32"/>
  <c r="B30" i="32"/>
  <c r="K29" i="32"/>
  <c r="J29" i="32"/>
  <c r="G29" i="32"/>
  <c r="D29" i="32"/>
  <c r="C29" i="32"/>
  <c r="B29" i="32"/>
  <c r="K28" i="32"/>
  <c r="J28" i="32"/>
  <c r="G28" i="32"/>
  <c r="D28" i="32"/>
  <c r="C28" i="32"/>
  <c r="B28" i="32"/>
  <c r="K27" i="32"/>
  <c r="J27" i="32"/>
  <c r="G27" i="32"/>
  <c r="D27" i="32"/>
  <c r="C27" i="32"/>
  <c r="B27" i="32"/>
  <c r="K26" i="32"/>
  <c r="J26" i="32"/>
  <c r="G26" i="32"/>
  <c r="D26" i="32"/>
  <c r="C26" i="32"/>
  <c r="B26" i="32"/>
  <c r="K25" i="32"/>
  <c r="J25" i="32"/>
  <c r="G25" i="32"/>
  <c r="D25" i="32"/>
  <c r="C25" i="32"/>
  <c r="B25" i="32"/>
  <c r="K24" i="32"/>
  <c r="J24" i="32"/>
  <c r="G24" i="32"/>
  <c r="D24" i="32"/>
  <c r="C24" i="32"/>
  <c r="B24" i="32"/>
  <c r="K23" i="32"/>
  <c r="J23" i="32"/>
  <c r="G23" i="32"/>
  <c r="D23" i="32"/>
  <c r="C23" i="32"/>
  <c r="B23" i="32"/>
  <c r="K22" i="32"/>
  <c r="J22" i="32"/>
  <c r="G22" i="32"/>
  <c r="D22" i="32"/>
  <c r="C22" i="32"/>
  <c r="B22" i="32"/>
  <c r="K21" i="32"/>
  <c r="J21" i="32"/>
  <c r="G21" i="32"/>
  <c r="D21" i="32"/>
  <c r="C21" i="32"/>
  <c r="B21" i="32"/>
  <c r="K20" i="32"/>
  <c r="J20" i="32"/>
  <c r="G20" i="32"/>
  <c r="D20" i="32"/>
  <c r="C20" i="32"/>
  <c r="B20" i="32"/>
  <c r="K19" i="32"/>
  <c r="J19" i="32"/>
  <c r="G19" i="32"/>
  <c r="D19" i="32"/>
  <c r="C19" i="32"/>
  <c r="B19" i="32"/>
  <c r="K18" i="32"/>
  <c r="J18" i="32"/>
  <c r="G18" i="32"/>
  <c r="D18" i="32"/>
  <c r="C18" i="32"/>
  <c r="B18" i="32"/>
  <c r="K17" i="32"/>
  <c r="J17" i="32"/>
  <c r="G17" i="32"/>
  <c r="D17" i="32"/>
  <c r="C17" i="32"/>
  <c r="B17" i="32"/>
  <c r="K16" i="32"/>
  <c r="J16" i="32"/>
  <c r="G16" i="32"/>
  <c r="D16" i="32"/>
  <c r="C16" i="32"/>
  <c r="B16" i="32"/>
  <c r="K15" i="32"/>
  <c r="J15" i="32"/>
  <c r="G15" i="32"/>
  <c r="D15" i="32"/>
  <c r="C15" i="32"/>
  <c r="B15" i="32"/>
  <c r="K14" i="32"/>
  <c r="J14" i="32"/>
  <c r="G14" i="32"/>
  <c r="D14" i="32"/>
  <c r="C14" i="32"/>
  <c r="B14" i="32"/>
  <c r="K13" i="32"/>
  <c r="J13" i="32"/>
  <c r="G13" i="32"/>
  <c r="D13" i="32"/>
  <c r="C13" i="32"/>
  <c r="B13" i="32"/>
  <c r="K12" i="32"/>
  <c r="J12" i="32"/>
  <c r="G12" i="32"/>
  <c r="D12" i="32"/>
  <c r="C12" i="32"/>
  <c r="B12" i="32"/>
  <c r="K11" i="32"/>
  <c r="J11" i="32"/>
  <c r="G11" i="32"/>
  <c r="D11" i="32"/>
  <c r="C11" i="32"/>
  <c r="B11" i="32"/>
  <c r="K10" i="32"/>
  <c r="J10" i="32"/>
  <c r="G10" i="32"/>
  <c r="D10" i="32"/>
  <c r="C10" i="32"/>
  <c r="B10" i="32"/>
  <c r="K9" i="32"/>
  <c r="J9" i="32"/>
  <c r="G9" i="32"/>
  <c r="D9" i="32"/>
  <c r="C9" i="32"/>
  <c r="B9" i="32"/>
  <c r="K4" i="32"/>
  <c r="G4" i="32"/>
  <c r="D4" i="32"/>
  <c r="A4" i="32"/>
  <c r="J208" i="31"/>
  <c r="I208" i="31"/>
  <c r="F208" i="31"/>
  <c r="D208" i="31"/>
  <c r="C208" i="31"/>
  <c r="B208" i="31"/>
  <c r="J207" i="31"/>
  <c r="I207" i="31"/>
  <c r="F207" i="31"/>
  <c r="D207" i="31"/>
  <c r="C207" i="31"/>
  <c r="B207" i="31"/>
  <c r="J206" i="31"/>
  <c r="I206" i="31"/>
  <c r="F206" i="31"/>
  <c r="D206" i="31"/>
  <c r="C206" i="31"/>
  <c r="B206" i="31"/>
  <c r="J205" i="31"/>
  <c r="I205" i="31"/>
  <c r="F205" i="31"/>
  <c r="D205" i="31"/>
  <c r="C205" i="31"/>
  <c r="B205" i="31"/>
  <c r="J204" i="31"/>
  <c r="I204" i="31"/>
  <c r="F204" i="31"/>
  <c r="D204" i="31"/>
  <c r="C204" i="31"/>
  <c r="B204" i="31"/>
  <c r="J203" i="31"/>
  <c r="I203" i="31"/>
  <c r="F203" i="31"/>
  <c r="D203" i="31"/>
  <c r="C203" i="31"/>
  <c r="B203" i="31"/>
  <c r="J202" i="31"/>
  <c r="I202" i="31"/>
  <c r="F202" i="31"/>
  <c r="D202" i="31"/>
  <c r="C202" i="31"/>
  <c r="B202" i="31"/>
  <c r="I201" i="31"/>
  <c r="J201" i="31" s="1"/>
  <c r="F201" i="31"/>
  <c r="D201" i="31"/>
  <c r="C201" i="31"/>
  <c r="B201" i="31"/>
  <c r="J200" i="31"/>
  <c r="I200" i="31"/>
  <c r="F200" i="31"/>
  <c r="D200" i="31"/>
  <c r="C200" i="31"/>
  <c r="B200" i="31"/>
  <c r="J199" i="31"/>
  <c r="I199" i="31"/>
  <c r="F199" i="31"/>
  <c r="D199" i="31"/>
  <c r="C199" i="31"/>
  <c r="B199" i="31"/>
  <c r="J198" i="31"/>
  <c r="I198" i="31"/>
  <c r="F198" i="31"/>
  <c r="D198" i="31"/>
  <c r="C198" i="31"/>
  <c r="B198" i="31"/>
  <c r="I197" i="31"/>
  <c r="J197" i="31" s="1"/>
  <c r="F197" i="31"/>
  <c r="D197" i="31"/>
  <c r="C197" i="31"/>
  <c r="B197" i="31"/>
  <c r="J196" i="31"/>
  <c r="I196" i="31"/>
  <c r="F196" i="31"/>
  <c r="D196" i="31"/>
  <c r="C196" i="31"/>
  <c r="B196" i="31"/>
  <c r="J195" i="31"/>
  <c r="I195" i="31"/>
  <c r="F195" i="31"/>
  <c r="D195" i="31"/>
  <c r="C195" i="31"/>
  <c r="B195" i="31"/>
  <c r="J194" i="31"/>
  <c r="I194" i="31"/>
  <c r="F194" i="31"/>
  <c r="D194" i="31"/>
  <c r="C194" i="31"/>
  <c r="B194" i="31"/>
  <c r="I193" i="31"/>
  <c r="J193" i="31" s="1"/>
  <c r="F193" i="31"/>
  <c r="D193" i="31"/>
  <c r="C193" i="31"/>
  <c r="B193" i="31"/>
  <c r="J192" i="31"/>
  <c r="I192" i="31"/>
  <c r="F192" i="31"/>
  <c r="D192" i="31"/>
  <c r="C192" i="31"/>
  <c r="B192" i="31"/>
  <c r="J191" i="31"/>
  <c r="I191" i="31"/>
  <c r="F191" i="31"/>
  <c r="D191" i="31"/>
  <c r="C191" i="31"/>
  <c r="B191" i="31"/>
  <c r="J190" i="31"/>
  <c r="I190" i="31"/>
  <c r="F190" i="31"/>
  <c r="D190" i="31"/>
  <c r="C190" i="31"/>
  <c r="B190" i="31"/>
  <c r="I189" i="31"/>
  <c r="J189" i="31" s="1"/>
  <c r="F189" i="31"/>
  <c r="D189" i="31"/>
  <c r="C189" i="31"/>
  <c r="B189" i="31"/>
  <c r="J188" i="31"/>
  <c r="I188" i="31"/>
  <c r="F188" i="31"/>
  <c r="D188" i="31"/>
  <c r="C188" i="31"/>
  <c r="B188" i="31"/>
  <c r="J187" i="31"/>
  <c r="I187" i="31"/>
  <c r="F187" i="31"/>
  <c r="D187" i="31"/>
  <c r="C187" i="31"/>
  <c r="B187" i="31"/>
  <c r="J186" i="31"/>
  <c r="I186" i="31"/>
  <c r="F186" i="31"/>
  <c r="D186" i="31"/>
  <c r="C186" i="31"/>
  <c r="B186" i="31"/>
  <c r="I185" i="31"/>
  <c r="J185" i="31" s="1"/>
  <c r="F185" i="31"/>
  <c r="D185" i="31"/>
  <c r="C185" i="31"/>
  <c r="B185" i="31"/>
  <c r="J184" i="31"/>
  <c r="I184" i="31"/>
  <c r="F184" i="31"/>
  <c r="D184" i="31"/>
  <c r="C184" i="31"/>
  <c r="B184" i="31"/>
  <c r="J183" i="31"/>
  <c r="I183" i="31"/>
  <c r="F183" i="31"/>
  <c r="D183" i="31"/>
  <c r="C183" i="31"/>
  <c r="B183" i="31"/>
  <c r="J182" i="31"/>
  <c r="I182" i="31"/>
  <c r="F182" i="31"/>
  <c r="D182" i="31"/>
  <c r="C182" i="31"/>
  <c r="B182" i="31"/>
  <c r="I181" i="31"/>
  <c r="J181" i="31" s="1"/>
  <c r="F181" i="31"/>
  <c r="D181" i="31"/>
  <c r="C181" i="31"/>
  <c r="B181" i="31"/>
  <c r="J180" i="31"/>
  <c r="I180" i="31"/>
  <c r="F180" i="31"/>
  <c r="D180" i="31"/>
  <c r="C180" i="31"/>
  <c r="B180" i="31"/>
  <c r="J179" i="31"/>
  <c r="I179" i="31"/>
  <c r="F179" i="31"/>
  <c r="D179" i="31"/>
  <c r="C179" i="31"/>
  <c r="B179" i="31"/>
  <c r="J178" i="31"/>
  <c r="I178" i="31"/>
  <c r="F178" i="31"/>
  <c r="D178" i="31"/>
  <c r="C178" i="31"/>
  <c r="B178" i="31"/>
  <c r="I177" i="31"/>
  <c r="J177" i="31" s="1"/>
  <c r="F177" i="31"/>
  <c r="D177" i="31"/>
  <c r="C177" i="31"/>
  <c r="B177" i="31"/>
  <c r="J176" i="31"/>
  <c r="I176" i="31"/>
  <c r="F176" i="31"/>
  <c r="D176" i="31"/>
  <c r="C176" i="31"/>
  <c r="B176" i="31"/>
  <c r="J175" i="31"/>
  <c r="I175" i="31"/>
  <c r="F175" i="31"/>
  <c r="D175" i="31"/>
  <c r="C175" i="31"/>
  <c r="B175" i="31"/>
  <c r="J174" i="31"/>
  <c r="I174" i="31"/>
  <c r="F174" i="31"/>
  <c r="D174" i="31"/>
  <c r="C174" i="31"/>
  <c r="B174" i="31"/>
  <c r="I173" i="31"/>
  <c r="J173" i="31" s="1"/>
  <c r="F173" i="31"/>
  <c r="D173" i="31"/>
  <c r="C173" i="31"/>
  <c r="B173" i="31"/>
  <c r="J172" i="31"/>
  <c r="I172" i="31"/>
  <c r="F172" i="31"/>
  <c r="D172" i="31"/>
  <c r="C172" i="31"/>
  <c r="B172" i="31"/>
  <c r="J171" i="31"/>
  <c r="I171" i="31"/>
  <c r="F171" i="31"/>
  <c r="D171" i="31"/>
  <c r="C171" i="31"/>
  <c r="B171" i="31"/>
  <c r="J170" i="31"/>
  <c r="I170" i="31"/>
  <c r="F170" i="31"/>
  <c r="D170" i="31"/>
  <c r="C170" i="31"/>
  <c r="B170" i="31"/>
  <c r="I169" i="31"/>
  <c r="J169" i="31" s="1"/>
  <c r="F169" i="31"/>
  <c r="D169" i="31"/>
  <c r="C169" i="31"/>
  <c r="B169" i="31"/>
  <c r="J168" i="31"/>
  <c r="I168" i="31"/>
  <c r="F168" i="31"/>
  <c r="D168" i="31"/>
  <c r="C168" i="31"/>
  <c r="B168" i="31"/>
  <c r="J167" i="31"/>
  <c r="I167" i="31"/>
  <c r="F167" i="31"/>
  <c r="D167" i="31"/>
  <c r="C167" i="31"/>
  <c r="B167" i="31"/>
  <c r="J166" i="31"/>
  <c r="I166" i="31"/>
  <c r="F166" i="31"/>
  <c r="D166" i="31"/>
  <c r="C166" i="31"/>
  <c r="B166" i="31"/>
  <c r="I165" i="31"/>
  <c r="J165" i="31" s="1"/>
  <c r="F165" i="31"/>
  <c r="D165" i="31"/>
  <c r="C165" i="31"/>
  <c r="B165" i="31"/>
  <c r="J164" i="31"/>
  <c r="I164" i="31"/>
  <c r="F164" i="31"/>
  <c r="D164" i="31"/>
  <c r="C164" i="31"/>
  <c r="B164" i="31"/>
  <c r="J163" i="31"/>
  <c r="I163" i="31"/>
  <c r="F163" i="31"/>
  <c r="D163" i="31"/>
  <c r="C163" i="31"/>
  <c r="B163" i="31"/>
  <c r="J162" i="31"/>
  <c r="I162" i="31"/>
  <c r="F162" i="31"/>
  <c r="D162" i="31"/>
  <c r="C162" i="31"/>
  <c r="B162" i="31"/>
  <c r="I161" i="31"/>
  <c r="J161" i="31" s="1"/>
  <c r="F161" i="31"/>
  <c r="D161" i="31"/>
  <c r="C161" i="31"/>
  <c r="B161" i="31"/>
  <c r="J160" i="31"/>
  <c r="I160" i="31"/>
  <c r="F160" i="31"/>
  <c r="D160" i="31"/>
  <c r="C160" i="31"/>
  <c r="B160" i="31"/>
  <c r="J159" i="31"/>
  <c r="I159" i="31"/>
  <c r="F159" i="31"/>
  <c r="D159" i="31"/>
  <c r="C159" i="31"/>
  <c r="B159" i="31"/>
  <c r="J158" i="31"/>
  <c r="I158" i="31"/>
  <c r="F158" i="31"/>
  <c r="D158" i="31"/>
  <c r="C158" i="31"/>
  <c r="B158" i="31"/>
  <c r="I157" i="31"/>
  <c r="J157" i="31" s="1"/>
  <c r="F157" i="31"/>
  <c r="D157" i="31"/>
  <c r="C157" i="31"/>
  <c r="B157" i="31"/>
  <c r="J156" i="31"/>
  <c r="I156" i="31"/>
  <c r="F156" i="31"/>
  <c r="D156" i="31"/>
  <c r="C156" i="31"/>
  <c r="B156" i="31"/>
  <c r="J155" i="31"/>
  <c r="I155" i="31"/>
  <c r="F155" i="31"/>
  <c r="D155" i="31"/>
  <c r="C155" i="31"/>
  <c r="B155" i="31"/>
  <c r="J154" i="31"/>
  <c r="I154" i="31"/>
  <c r="F154" i="31"/>
  <c r="D154" i="31"/>
  <c r="C154" i="31"/>
  <c r="B154" i="31"/>
  <c r="I153" i="31"/>
  <c r="J153" i="31" s="1"/>
  <c r="F153" i="31"/>
  <c r="D153" i="31"/>
  <c r="C153" i="31"/>
  <c r="B153" i="31"/>
  <c r="J152" i="31"/>
  <c r="I152" i="31"/>
  <c r="F152" i="31"/>
  <c r="D152" i="31"/>
  <c r="C152" i="31"/>
  <c r="B152" i="31"/>
  <c r="J151" i="31"/>
  <c r="I151" i="31"/>
  <c r="F151" i="31"/>
  <c r="D151" i="31"/>
  <c r="C151" i="31"/>
  <c r="B151" i="31"/>
  <c r="J150" i="31"/>
  <c r="I150" i="31"/>
  <c r="F150" i="31"/>
  <c r="D150" i="31"/>
  <c r="C150" i="31"/>
  <c r="B150" i="31"/>
  <c r="I149" i="31"/>
  <c r="J149" i="31" s="1"/>
  <c r="F149" i="31"/>
  <c r="D149" i="31"/>
  <c r="C149" i="31"/>
  <c r="B149" i="31"/>
  <c r="J148" i="31"/>
  <c r="I148" i="31"/>
  <c r="F148" i="31"/>
  <c r="D148" i="31"/>
  <c r="C148" i="31"/>
  <c r="B148" i="31"/>
  <c r="J147" i="31"/>
  <c r="I147" i="31"/>
  <c r="F147" i="31"/>
  <c r="D147" i="31"/>
  <c r="C147" i="31"/>
  <c r="B147" i="31"/>
  <c r="J146" i="31"/>
  <c r="I146" i="31"/>
  <c r="F146" i="31"/>
  <c r="D146" i="31"/>
  <c r="C146" i="31"/>
  <c r="B146" i="31"/>
  <c r="I145" i="31"/>
  <c r="J145" i="31" s="1"/>
  <c r="F145" i="31"/>
  <c r="D145" i="31"/>
  <c r="C145" i="31"/>
  <c r="B145" i="31"/>
  <c r="J144" i="31"/>
  <c r="I144" i="31"/>
  <c r="F144" i="31"/>
  <c r="D144" i="31"/>
  <c r="C144" i="31"/>
  <c r="B144" i="31"/>
  <c r="J143" i="31"/>
  <c r="I143" i="31"/>
  <c r="F143" i="31"/>
  <c r="D143" i="31"/>
  <c r="C143" i="31"/>
  <c r="B143" i="31"/>
  <c r="J142" i="31"/>
  <c r="I142" i="31"/>
  <c r="F142" i="31"/>
  <c r="D142" i="31"/>
  <c r="C142" i="31"/>
  <c r="B142" i="31"/>
  <c r="I141" i="31"/>
  <c r="J141" i="31" s="1"/>
  <c r="F141" i="31"/>
  <c r="D141" i="31"/>
  <c r="C141" i="31"/>
  <c r="B141" i="31"/>
  <c r="J140" i="31"/>
  <c r="I140" i="31"/>
  <c r="F140" i="31"/>
  <c r="D140" i="31"/>
  <c r="C140" i="31"/>
  <c r="B140" i="31"/>
  <c r="J139" i="31"/>
  <c r="I139" i="31"/>
  <c r="F139" i="31"/>
  <c r="D139" i="31"/>
  <c r="C139" i="31"/>
  <c r="B139" i="31"/>
  <c r="J138" i="31"/>
  <c r="I138" i="31"/>
  <c r="F138" i="31"/>
  <c r="D138" i="31"/>
  <c r="C138" i="31"/>
  <c r="B138" i="31"/>
  <c r="I137" i="31"/>
  <c r="J137" i="31" s="1"/>
  <c r="F137" i="31"/>
  <c r="D137" i="31"/>
  <c r="C137" i="31"/>
  <c r="B137" i="31"/>
  <c r="J136" i="31"/>
  <c r="I136" i="31"/>
  <c r="F136" i="31"/>
  <c r="D136" i="31"/>
  <c r="C136" i="31"/>
  <c r="B136" i="31"/>
  <c r="J135" i="31"/>
  <c r="I135" i="31"/>
  <c r="F135" i="31"/>
  <c r="D135" i="31"/>
  <c r="C135" i="31"/>
  <c r="B135" i="31"/>
  <c r="J134" i="31"/>
  <c r="I134" i="31"/>
  <c r="F134" i="31"/>
  <c r="D134" i="31"/>
  <c r="C134" i="31"/>
  <c r="B134" i="31"/>
  <c r="I133" i="31"/>
  <c r="J133" i="31" s="1"/>
  <c r="F133" i="31"/>
  <c r="D133" i="31"/>
  <c r="C133" i="31"/>
  <c r="B133" i="31"/>
  <c r="J132" i="31"/>
  <c r="I132" i="31"/>
  <c r="F132" i="31"/>
  <c r="D132" i="31"/>
  <c r="C132" i="31"/>
  <c r="B132" i="31"/>
  <c r="J131" i="31"/>
  <c r="I131" i="31"/>
  <c r="F131" i="31"/>
  <c r="D131" i="31"/>
  <c r="C131" i="31"/>
  <c r="B131" i="31"/>
  <c r="J130" i="31"/>
  <c r="I130" i="31"/>
  <c r="F130" i="31"/>
  <c r="D130" i="31"/>
  <c r="C130" i="31"/>
  <c r="B130" i="31"/>
  <c r="I129" i="31"/>
  <c r="J129" i="31" s="1"/>
  <c r="F129" i="31"/>
  <c r="D129" i="31"/>
  <c r="C129" i="31"/>
  <c r="B129" i="31"/>
  <c r="J128" i="31"/>
  <c r="I128" i="31"/>
  <c r="F128" i="31"/>
  <c r="D128" i="31"/>
  <c r="C128" i="31"/>
  <c r="B128" i="31"/>
  <c r="J127" i="31"/>
  <c r="I127" i="31"/>
  <c r="F127" i="31"/>
  <c r="D127" i="31"/>
  <c r="C127" i="31"/>
  <c r="B127" i="31"/>
  <c r="J126" i="31"/>
  <c r="I126" i="31"/>
  <c r="F126" i="31"/>
  <c r="D126" i="31"/>
  <c r="C126" i="31"/>
  <c r="B126" i="31"/>
  <c r="I125" i="31"/>
  <c r="J125" i="31" s="1"/>
  <c r="F125" i="31"/>
  <c r="D125" i="31"/>
  <c r="C125" i="31"/>
  <c r="B125" i="31"/>
  <c r="J124" i="31"/>
  <c r="I124" i="31"/>
  <c r="F124" i="31"/>
  <c r="D124" i="31"/>
  <c r="C124" i="31"/>
  <c r="B124" i="31"/>
  <c r="J123" i="31"/>
  <c r="I123" i="31"/>
  <c r="F123" i="31"/>
  <c r="D123" i="31"/>
  <c r="C123" i="31"/>
  <c r="B123" i="31"/>
  <c r="J122" i="31"/>
  <c r="I122" i="31"/>
  <c r="F122" i="31"/>
  <c r="D122" i="31"/>
  <c r="C122" i="31"/>
  <c r="B122" i="31"/>
  <c r="I121" i="31"/>
  <c r="J121" i="31" s="1"/>
  <c r="F121" i="31"/>
  <c r="D121" i="31"/>
  <c r="C121" i="31"/>
  <c r="B121" i="31"/>
  <c r="J120" i="31"/>
  <c r="I120" i="31"/>
  <c r="F120" i="31"/>
  <c r="D120" i="31"/>
  <c r="C120" i="31"/>
  <c r="B120" i="31"/>
  <c r="J119" i="31"/>
  <c r="I119" i="31"/>
  <c r="F119" i="31"/>
  <c r="D119" i="31"/>
  <c r="C119" i="31"/>
  <c r="B119" i="31"/>
  <c r="J118" i="31"/>
  <c r="I118" i="31"/>
  <c r="F118" i="31"/>
  <c r="D118" i="31"/>
  <c r="C118" i="31"/>
  <c r="B118" i="31"/>
  <c r="I117" i="31"/>
  <c r="J117" i="31" s="1"/>
  <c r="F117" i="31"/>
  <c r="D117" i="31"/>
  <c r="C117" i="31"/>
  <c r="B117" i="31"/>
  <c r="J116" i="31"/>
  <c r="I116" i="31"/>
  <c r="F116" i="31"/>
  <c r="D116" i="31"/>
  <c r="C116" i="31"/>
  <c r="B116" i="31"/>
  <c r="J115" i="31"/>
  <c r="I115" i="31"/>
  <c r="F115" i="31"/>
  <c r="D115" i="31"/>
  <c r="C115" i="31"/>
  <c r="B115" i="31"/>
  <c r="J114" i="31"/>
  <c r="I114" i="31"/>
  <c r="F114" i="31"/>
  <c r="D114" i="31"/>
  <c r="C114" i="31"/>
  <c r="B114" i="31"/>
  <c r="I113" i="31"/>
  <c r="J113" i="31" s="1"/>
  <c r="F113" i="31"/>
  <c r="D113" i="31"/>
  <c r="C113" i="31"/>
  <c r="B113" i="31"/>
  <c r="J112" i="31"/>
  <c r="I112" i="31"/>
  <c r="F112" i="31"/>
  <c r="D112" i="31"/>
  <c r="C112" i="31"/>
  <c r="B112" i="31"/>
  <c r="J111" i="31"/>
  <c r="I111" i="31"/>
  <c r="F111" i="31"/>
  <c r="D111" i="31"/>
  <c r="C111" i="31"/>
  <c r="B111" i="31"/>
  <c r="J110" i="31"/>
  <c r="I110" i="31"/>
  <c r="F110" i="31"/>
  <c r="D110" i="31"/>
  <c r="C110" i="31"/>
  <c r="B110" i="31"/>
  <c r="I109" i="31"/>
  <c r="J109" i="31" s="1"/>
  <c r="F109" i="31"/>
  <c r="D109" i="31"/>
  <c r="C109" i="31"/>
  <c r="B109" i="31"/>
  <c r="J108" i="31"/>
  <c r="I108" i="31"/>
  <c r="F108" i="31"/>
  <c r="D108" i="31"/>
  <c r="C108" i="31"/>
  <c r="B108" i="31"/>
  <c r="J107" i="31"/>
  <c r="I107" i="31"/>
  <c r="F107" i="31"/>
  <c r="D107" i="31"/>
  <c r="C107" i="31"/>
  <c r="B107" i="31"/>
  <c r="J106" i="31"/>
  <c r="I106" i="31"/>
  <c r="F106" i="31"/>
  <c r="D106" i="31"/>
  <c r="C106" i="31"/>
  <c r="B106" i="31"/>
  <c r="I105" i="31"/>
  <c r="J105" i="31" s="1"/>
  <c r="F105" i="31"/>
  <c r="D105" i="31"/>
  <c r="C105" i="31"/>
  <c r="B105" i="31"/>
  <c r="J104" i="31"/>
  <c r="I104" i="31"/>
  <c r="F104" i="31"/>
  <c r="D104" i="31"/>
  <c r="C104" i="31"/>
  <c r="B104" i="31"/>
  <c r="J103" i="31"/>
  <c r="I103" i="31"/>
  <c r="F103" i="31"/>
  <c r="D103" i="31"/>
  <c r="C103" i="31"/>
  <c r="B103" i="31"/>
  <c r="J102" i="31"/>
  <c r="I102" i="31"/>
  <c r="F102" i="31"/>
  <c r="D102" i="31"/>
  <c r="C102" i="31"/>
  <c r="B102" i="31"/>
  <c r="I101" i="31"/>
  <c r="J101" i="31" s="1"/>
  <c r="F101" i="31"/>
  <c r="D101" i="31"/>
  <c r="C101" i="31"/>
  <c r="B101" i="31"/>
  <c r="J100" i="31"/>
  <c r="I100" i="31"/>
  <c r="F100" i="31"/>
  <c r="D100" i="31"/>
  <c r="C100" i="31"/>
  <c r="B100" i="31"/>
  <c r="J99" i="31"/>
  <c r="I99" i="31"/>
  <c r="F99" i="31"/>
  <c r="D99" i="31"/>
  <c r="C99" i="31"/>
  <c r="B99" i="31"/>
  <c r="J98" i="31"/>
  <c r="I98" i="31"/>
  <c r="F98" i="31"/>
  <c r="D98" i="31"/>
  <c r="C98" i="31"/>
  <c r="B98" i="31"/>
  <c r="I97" i="31"/>
  <c r="J97" i="31" s="1"/>
  <c r="F97" i="31"/>
  <c r="D97" i="31"/>
  <c r="C97" i="31"/>
  <c r="B97" i="31"/>
  <c r="J96" i="31"/>
  <c r="I96" i="31"/>
  <c r="F96" i="31"/>
  <c r="D96" i="31"/>
  <c r="C96" i="31"/>
  <c r="B96" i="31"/>
  <c r="J95" i="31"/>
  <c r="I95" i="31"/>
  <c r="F95" i="31"/>
  <c r="D95" i="31"/>
  <c r="C95" i="31"/>
  <c r="B95" i="31"/>
  <c r="J94" i="31"/>
  <c r="I94" i="31"/>
  <c r="F94" i="31"/>
  <c r="D94" i="31"/>
  <c r="C94" i="31"/>
  <c r="B94" i="31"/>
  <c r="I93" i="31"/>
  <c r="J93" i="31" s="1"/>
  <c r="F93" i="31"/>
  <c r="D93" i="31"/>
  <c r="C93" i="31"/>
  <c r="B93" i="31"/>
  <c r="J92" i="31"/>
  <c r="I92" i="31"/>
  <c r="F92" i="31"/>
  <c r="D92" i="31"/>
  <c r="C92" i="31"/>
  <c r="B92" i="31"/>
  <c r="J91" i="31"/>
  <c r="I91" i="31"/>
  <c r="F91" i="31"/>
  <c r="D91" i="31"/>
  <c r="C91" i="31"/>
  <c r="B91" i="31"/>
  <c r="J90" i="31"/>
  <c r="I90" i="31"/>
  <c r="F90" i="31"/>
  <c r="D90" i="31"/>
  <c r="C90" i="31"/>
  <c r="B90" i="31"/>
  <c r="I89" i="31"/>
  <c r="J89" i="31" s="1"/>
  <c r="F89" i="31"/>
  <c r="D89" i="31"/>
  <c r="C89" i="31"/>
  <c r="B89" i="31"/>
  <c r="J88" i="31"/>
  <c r="I88" i="31"/>
  <c r="F88" i="31"/>
  <c r="D88" i="31"/>
  <c r="C88" i="31"/>
  <c r="B88" i="31"/>
  <c r="J87" i="31"/>
  <c r="I87" i="31"/>
  <c r="F87" i="31"/>
  <c r="D87" i="31"/>
  <c r="C87" i="31"/>
  <c r="B87" i="31"/>
  <c r="J86" i="31"/>
  <c r="I86" i="31"/>
  <c r="F86" i="31"/>
  <c r="D86" i="31"/>
  <c r="C86" i="31"/>
  <c r="B86" i="31"/>
  <c r="I85" i="31"/>
  <c r="J85" i="31" s="1"/>
  <c r="F85" i="31"/>
  <c r="D85" i="31"/>
  <c r="C85" i="31"/>
  <c r="B85" i="31"/>
  <c r="J84" i="31"/>
  <c r="I84" i="31"/>
  <c r="F84" i="31"/>
  <c r="D84" i="31"/>
  <c r="C84" i="31"/>
  <c r="B84" i="31"/>
  <c r="J83" i="31"/>
  <c r="I83" i="31"/>
  <c r="F83" i="31"/>
  <c r="D83" i="31"/>
  <c r="C83" i="31"/>
  <c r="B83" i="31"/>
  <c r="J82" i="31"/>
  <c r="I82" i="31"/>
  <c r="F82" i="31"/>
  <c r="D82" i="31"/>
  <c r="C82" i="31"/>
  <c r="B82" i="31"/>
  <c r="I81" i="31"/>
  <c r="J81" i="31" s="1"/>
  <c r="F81" i="31"/>
  <c r="D81" i="31"/>
  <c r="C81" i="31"/>
  <c r="B81" i="31"/>
  <c r="J80" i="31"/>
  <c r="I80" i="31"/>
  <c r="F80" i="31"/>
  <c r="D80" i="31"/>
  <c r="C80" i="31"/>
  <c r="B80" i="31"/>
  <c r="J79" i="31"/>
  <c r="I79" i="31"/>
  <c r="F79" i="31"/>
  <c r="D79" i="31"/>
  <c r="C79" i="31"/>
  <c r="B79" i="31"/>
  <c r="J78" i="31"/>
  <c r="I78" i="31"/>
  <c r="F78" i="31"/>
  <c r="D78" i="31"/>
  <c r="C78" i="31"/>
  <c r="B78" i="31"/>
  <c r="I77" i="31"/>
  <c r="J77" i="31" s="1"/>
  <c r="F77" i="31"/>
  <c r="D77" i="31"/>
  <c r="C77" i="31"/>
  <c r="B77" i="31"/>
  <c r="J76" i="31"/>
  <c r="I76" i="31"/>
  <c r="F76" i="31"/>
  <c r="D76" i="31"/>
  <c r="C76" i="31"/>
  <c r="B76" i="31"/>
  <c r="J75" i="31"/>
  <c r="I75" i="31"/>
  <c r="F75" i="31"/>
  <c r="D75" i="31"/>
  <c r="C75" i="31"/>
  <c r="B75" i="31"/>
  <c r="J74" i="31"/>
  <c r="I74" i="31"/>
  <c r="F74" i="31"/>
  <c r="D74" i="31"/>
  <c r="C74" i="31"/>
  <c r="B74" i="31"/>
  <c r="I73" i="31"/>
  <c r="J73" i="31" s="1"/>
  <c r="F73" i="31"/>
  <c r="D73" i="31"/>
  <c r="C73" i="31"/>
  <c r="B73" i="31"/>
  <c r="J72" i="31"/>
  <c r="I72" i="31"/>
  <c r="F72" i="31"/>
  <c r="D72" i="31"/>
  <c r="C72" i="31"/>
  <c r="B72" i="31"/>
  <c r="J71" i="31"/>
  <c r="I71" i="31"/>
  <c r="F71" i="31"/>
  <c r="D71" i="31"/>
  <c r="C71" i="31"/>
  <c r="B71" i="31"/>
  <c r="J70" i="31"/>
  <c r="I70" i="31"/>
  <c r="F70" i="31"/>
  <c r="D70" i="31"/>
  <c r="C70" i="31"/>
  <c r="B70" i="31"/>
  <c r="I69" i="31"/>
  <c r="J69" i="31" s="1"/>
  <c r="F69" i="31"/>
  <c r="D69" i="31"/>
  <c r="C69" i="31"/>
  <c r="B69" i="31"/>
  <c r="J68" i="31"/>
  <c r="I68" i="31"/>
  <c r="F68" i="31"/>
  <c r="D68" i="31"/>
  <c r="C68" i="31"/>
  <c r="B68" i="31"/>
  <c r="J67" i="31"/>
  <c r="I67" i="31"/>
  <c r="F67" i="31"/>
  <c r="D67" i="31"/>
  <c r="C67" i="31"/>
  <c r="B67" i="31"/>
  <c r="J66" i="31"/>
  <c r="I66" i="31"/>
  <c r="F66" i="31"/>
  <c r="D66" i="31"/>
  <c r="C66" i="31"/>
  <c r="B66" i="31"/>
  <c r="I65" i="31"/>
  <c r="J65" i="31" s="1"/>
  <c r="F65" i="31"/>
  <c r="D65" i="31"/>
  <c r="C65" i="31"/>
  <c r="B65" i="31"/>
  <c r="J64" i="31"/>
  <c r="I64" i="31"/>
  <c r="F64" i="31"/>
  <c r="D64" i="31"/>
  <c r="C64" i="31"/>
  <c r="B64" i="31"/>
  <c r="J63" i="31"/>
  <c r="I63" i="31"/>
  <c r="F63" i="31"/>
  <c r="D63" i="31"/>
  <c r="C63" i="31"/>
  <c r="B63" i="31"/>
  <c r="J62" i="31"/>
  <c r="I62" i="31"/>
  <c r="F62" i="31"/>
  <c r="D62" i="31"/>
  <c r="C62" i="31"/>
  <c r="B62" i="31"/>
  <c r="I61" i="31"/>
  <c r="J61" i="31" s="1"/>
  <c r="F61" i="31"/>
  <c r="D61" i="31"/>
  <c r="C61" i="31"/>
  <c r="B61" i="31"/>
  <c r="J60" i="31"/>
  <c r="I60" i="31"/>
  <c r="F60" i="31"/>
  <c r="D60" i="31"/>
  <c r="C60" i="31"/>
  <c r="B60" i="31"/>
  <c r="J59" i="31"/>
  <c r="I59" i="31"/>
  <c r="F59" i="31"/>
  <c r="D59" i="31"/>
  <c r="C59" i="31"/>
  <c r="B59" i="31"/>
  <c r="J58" i="31"/>
  <c r="I58" i="31"/>
  <c r="F58" i="31"/>
  <c r="D58" i="31"/>
  <c r="C58" i="31"/>
  <c r="B58" i="31"/>
  <c r="I57" i="31"/>
  <c r="J57" i="31" s="1"/>
  <c r="F57" i="31"/>
  <c r="D57" i="31"/>
  <c r="C57" i="31"/>
  <c r="B57" i="31"/>
  <c r="J56" i="31"/>
  <c r="I56" i="31"/>
  <c r="F56" i="31"/>
  <c r="D56" i="31"/>
  <c r="C56" i="31"/>
  <c r="B56" i="31"/>
  <c r="J55" i="31"/>
  <c r="I55" i="31"/>
  <c r="F55" i="31"/>
  <c r="D55" i="31"/>
  <c r="C55" i="31"/>
  <c r="B55" i="31"/>
  <c r="J54" i="31"/>
  <c r="I54" i="31"/>
  <c r="F54" i="31"/>
  <c r="D54" i="31"/>
  <c r="C54" i="31"/>
  <c r="B54" i="31"/>
  <c r="I53" i="31"/>
  <c r="J53" i="31" s="1"/>
  <c r="F53" i="31"/>
  <c r="D53" i="31"/>
  <c r="C53" i="31"/>
  <c r="B53" i="31"/>
  <c r="J52" i="31"/>
  <c r="I52" i="31"/>
  <c r="F52" i="31"/>
  <c r="D52" i="31"/>
  <c r="C52" i="31"/>
  <c r="B52" i="31"/>
  <c r="J51" i="31"/>
  <c r="I51" i="31"/>
  <c r="F51" i="31"/>
  <c r="D51" i="31"/>
  <c r="C51" i="31"/>
  <c r="B51" i="31"/>
  <c r="J50" i="31"/>
  <c r="I50" i="31"/>
  <c r="F50" i="31"/>
  <c r="D50" i="31"/>
  <c r="C50" i="31"/>
  <c r="B50" i="31"/>
  <c r="I49" i="31"/>
  <c r="J49" i="31" s="1"/>
  <c r="F49" i="31"/>
  <c r="D49" i="31"/>
  <c r="C49" i="31"/>
  <c r="B49" i="31"/>
  <c r="J48" i="31"/>
  <c r="I48" i="31"/>
  <c r="F48" i="31"/>
  <c r="D48" i="31"/>
  <c r="C48" i="31"/>
  <c r="B48" i="31"/>
  <c r="J47" i="31"/>
  <c r="I47" i="31"/>
  <c r="F47" i="31"/>
  <c r="D47" i="31"/>
  <c r="C47" i="31"/>
  <c r="B47" i="31"/>
  <c r="J46" i="31"/>
  <c r="I46" i="31"/>
  <c r="F46" i="31"/>
  <c r="D46" i="31"/>
  <c r="C46" i="31"/>
  <c r="B46" i="31"/>
  <c r="I45" i="31"/>
  <c r="J45" i="31" s="1"/>
  <c r="F45" i="31"/>
  <c r="D45" i="31"/>
  <c r="C45" i="31"/>
  <c r="B45" i="31"/>
  <c r="J44" i="31"/>
  <c r="I44" i="31"/>
  <c r="F44" i="31"/>
  <c r="D44" i="31"/>
  <c r="C44" i="31"/>
  <c r="B44" i="31"/>
  <c r="J43" i="31"/>
  <c r="I43" i="31"/>
  <c r="F43" i="31"/>
  <c r="D43" i="31"/>
  <c r="C43" i="31"/>
  <c r="B43" i="31"/>
  <c r="J42" i="31"/>
  <c r="I42" i="31"/>
  <c r="F42" i="31"/>
  <c r="D42" i="31"/>
  <c r="C42" i="31"/>
  <c r="B42" i="31"/>
  <c r="I41" i="31"/>
  <c r="J41" i="31" s="1"/>
  <c r="F41" i="31"/>
  <c r="D41" i="31"/>
  <c r="C41" i="31"/>
  <c r="B41" i="31"/>
  <c r="J40" i="31"/>
  <c r="I40" i="31"/>
  <c r="F40" i="31"/>
  <c r="D40" i="31"/>
  <c r="C40" i="31"/>
  <c r="B40" i="31"/>
  <c r="J39" i="31"/>
  <c r="I39" i="31"/>
  <c r="F39" i="31"/>
  <c r="D39" i="31"/>
  <c r="C39" i="31"/>
  <c r="B39" i="31"/>
  <c r="J38" i="31"/>
  <c r="I38" i="31"/>
  <c r="F38" i="31"/>
  <c r="D38" i="31"/>
  <c r="C38" i="31"/>
  <c r="B38" i="31"/>
  <c r="I37" i="31"/>
  <c r="J37" i="31" s="1"/>
  <c r="F37" i="31"/>
  <c r="D37" i="31"/>
  <c r="C37" i="31"/>
  <c r="B37" i="31"/>
  <c r="J36" i="31"/>
  <c r="I36" i="31"/>
  <c r="F36" i="31"/>
  <c r="D36" i="31"/>
  <c r="C36" i="31"/>
  <c r="B36" i="31"/>
  <c r="J35" i="31"/>
  <c r="I35" i="31"/>
  <c r="F35" i="31"/>
  <c r="D35" i="31"/>
  <c r="C35" i="31"/>
  <c r="B35" i="31"/>
  <c r="J34" i="31"/>
  <c r="I34" i="31"/>
  <c r="F34" i="31"/>
  <c r="D34" i="31"/>
  <c r="C34" i="31"/>
  <c r="B34" i="31"/>
  <c r="I33" i="31"/>
  <c r="J33" i="31" s="1"/>
  <c r="F33" i="31"/>
  <c r="D33" i="31"/>
  <c r="C33" i="31"/>
  <c r="B33" i="31"/>
  <c r="J32" i="31"/>
  <c r="I32" i="31"/>
  <c r="F32" i="31"/>
  <c r="D32" i="31"/>
  <c r="C32" i="31"/>
  <c r="B32" i="31"/>
  <c r="J31" i="31"/>
  <c r="I31" i="31"/>
  <c r="F31" i="31"/>
  <c r="D31" i="31"/>
  <c r="C31" i="31"/>
  <c r="B31" i="31"/>
  <c r="J30" i="31"/>
  <c r="I30" i="31"/>
  <c r="F30" i="31"/>
  <c r="D30" i="31"/>
  <c r="C30" i="31"/>
  <c r="B30" i="31"/>
  <c r="I29" i="31"/>
  <c r="J29" i="31" s="1"/>
  <c r="F29" i="31"/>
  <c r="D29" i="31"/>
  <c r="C29" i="31"/>
  <c r="B29" i="31"/>
  <c r="J28" i="31"/>
  <c r="I28" i="31"/>
  <c r="F28" i="31"/>
  <c r="D28" i="31"/>
  <c r="C28" i="31"/>
  <c r="B28" i="31"/>
  <c r="J27" i="31"/>
  <c r="I27" i="31"/>
  <c r="F27" i="31"/>
  <c r="D27" i="31"/>
  <c r="C27" i="31"/>
  <c r="B27" i="31"/>
  <c r="J26" i="31"/>
  <c r="I26" i="31"/>
  <c r="F26" i="31"/>
  <c r="D26" i="31"/>
  <c r="C26" i="31"/>
  <c r="B26" i="31"/>
  <c r="I25" i="31"/>
  <c r="J25" i="31" s="1"/>
  <c r="F25" i="31"/>
  <c r="D25" i="31"/>
  <c r="C25" i="31"/>
  <c r="B25" i="31"/>
  <c r="J24" i="31"/>
  <c r="I24" i="31"/>
  <c r="F24" i="31"/>
  <c r="D24" i="31"/>
  <c r="C24" i="31"/>
  <c r="B24" i="31"/>
  <c r="J23" i="31"/>
  <c r="I23" i="31"/>
  <c r="F23" i="31"/>
  <c r="D23" i="31"/>
  <c r="C23" i="31"/>
  <c r="B23" i="31"/>
  <c r="J22" i="31"/>
  <c r="I22" i="31"/>
  <c r="F22" i="31"/>
  <c r="D22" i="31"/>
  <c r="C22" i="31"/>
  <c r="B22" i="31"/>
  <c r="I21" i="31"/>
  <c r="J21" i="31" s="1"/>
  <c r="F21" i="31"/>
  <c r="D21" i="31"/>
  <c r="C21" i="31"/>
  <c r="B21" i="31"/>
  <c r="J20" i="31"/>
  <c r="I20" i="31"/>
  <c r="F20" i="31"/>
  <c r="D20" i="31"/>
  <c r="C20" i="31"/>
  <c r="B20" i="31"/>
  <c r="J19" i="31"/>
  <c r="I19" i="31"/>
  <c r="F19" i="31"/>
  <c r="D19" i="31"/>
  <c r="C19" i="31"/>
  <c r="B19" i="31"/>
  <c r="J18" i="31"/>
  <c r="I18" i="31"/>
  <c r="F18" i="31"/>
  <c r="D18" i="31"/>
  <c r="C18" i="31"/>
  <c r="B18" i="31"/>
  <c r="I17" i="31"/>
  <c r="J17" i="31" s="1"/>
  <c r="F17" i="31"/>
  <c r="D17" i="31"/>
  <c r="C17" i="31"/>
  <c r="B17" i="31"/>
  <c r="J16" i="31"/>
  <c r="I16" i="31"/>
  <c r="F16" i="31"/>
  <c r="D16" i="31"/>
  <c r="C16" i="31"/>
  <c r="B16" i="31"/>
  <c r="J15" i="31"/>
  <c r="I15" i="31"/>
  <c r="F15" i="31"/>
  <c r="D15" i="31"/>
  <c r="C15" i="31"/>
  <c r="B15" i="31"/>
  <c r="J14" i="31"/>
  <c r="I14" i="31"/>
  <c r="F14" i="31"/>
  <c r="D14" i="31"/>
  <c r="C14" i="31"/>
  <c r="B14" i="31"/>
  <c r="I13" i="31"/>
  <c r="J13" i="31" s="1"/>
  <c r="F13" i="31"/>
  <c r="D13" i="31"/>
  <c r="C13" i="31"/>
  <c r="B13" i="31"/>
  <c r="J12" i="31"/>
  <c r="I12" i="31"/>
  <c r="F12" i="31"/>
  <c r="D12" i="31"/>
  <c r="C12" i="31"/>
  <c r="B12" i="31"/>
  <c r="J11" i="31"/>
  <c r="I11" i="31"/>
  <c r="F11" i="31"/>
  <c r="D11" i="31"/>
  <c r="C11" i="31"/>
  <c r="B11" i="31"/>
  <c r="J10" i="31"/>
  <c r="I10" i="31"/>
  <c r="F10" i="31"/>
  <c r="D10" i="31"/>
  <c r="C10" i="31"/>
  <c r="B10" i="31"/>
  <c r="I9" i="31"/>
  <c r="J9" i="31" s="1"/>
  <c r="F9" i="31"/>
  <c r="D9" i="31"/>
  <c r="C9" i="31"/>
  <c r="B9" i="31"/>
  <c r="A5" i="31"/>
  <c r="G4" i="31"/>
  <c r="D4" i="31"/>
  <c r="A4" i="31"/>
  <c r="K213" i="30"/>
  <c r="I213" i="30"/>
  <c r="J213" i="30" s="1"/>
  <c r="D213" i="30"/>
  <c r="C213" i="30"/>
  <c r="A213" i="30"/>
  <c r="K212" i="30"/>
  <c r="I212" i="30"/>
  <c r="J212" i="30" s="1"/>
  <c r="D212" i="30"/>
  <c r="C212" i="30"/>
  <c r="A212" i="30"/>
  <c r="K211" i="30"/>
  <c r="J211" i="30"/>
  <c r="I211" i="30"/>
  <c r="D211" i="30"/>
  <c r="C211" i="30"/>
  <c r="A211" i="30"/>
  <c r="K210" i="30"/>
  <c r="I210" i="30"/>
  <c r="J210" i="30" s="1"/>
  <c r="D210" i="30"/>
  <c r="C210" i="30"/>
  <c r="A210" i="30"/>
  <c r="K209" i="30"/>
  <c r="I209" i="30"/>
  <c r="J209" i="30" s="1"/>
  <c r="D209" i="30"/>
  <c r="C209" i="30"/>
  <c r="A209" i="30"/>
  <c r="K208" i="30"/>
  <c r="I208" i="30"/>
  <c r="J208" i="30" s="1"/>
  <c r="D208" i="30"/>
  <c r="C208" i="30"/>
  <c r="A208" i="30"/>
  <c r="K207" i="30"/>
  <c r="J207" i="30"/>
  <c r="I207" i="30"/>
  <c r="D207" i="30"/>
  <c r="C207" i="30"/>
  <c r="A207" i="30"/>
  <c r="K206" i="30"/>
  <c r="I206" i="30"/>
  <c r="J206" i="30" s="1"/>
  <c r="D206" i="30"/>
  <c r="C206" i="30"/>
  <c r="A206" i="30"/>
  <c r="K205" i="30"/>
  <c r="I205" i="30"/>
  <c r="J205" i="30" s="1"/>
  <c r="D205" i="30"/>
  <c r="C205" i="30"/>
  <c r="A205" i="30"/>
  <c r="K204" i="30"/>
  <c r="I204" i="30"/>
  <c r="J204" i="30" s="1"/>
  <c r="D204" i="30"/>
  <c r="C204" i="30"/>
  <c r="A204" i="30"/>
  <c r="K203" i="30"/>
  <c r="J203" i="30"/>
  <c r="I203" i="30"/>
  <c r="D203" i="30"/>
  <c r="C203" i="30"/>
  <c r="A203" i="30"/>
  <c r="K202" i="30"/>
  <c r="I202" i="30"/>
  <c r="J202" i="30" s="1"/>
  <c r="D202" i="30"/>
  <c r="C202" i="30"/>
  <c r="A202" i="30"/>
  <c r="K201" i="30"/>
  <c r="I201" i="30"/>
  <c r="J201" i="30" s="1"/>
  <c r="D201" i="30"/>
  <c r="C201" i="30"/>
  <c r="A201" i="30"/>
  <c r="K200" i="30"/>
  <c r="I200" i="30"/>
  <c r="J200" i="30" s="1"/>
  <c r="D200" i="30"/>
  <c r="C200" i="30"/>
  <c r="A200" i="30"/>
  <c r="K199" i="30"/>
  <c r="J199" i="30"/>
  <c r="I199" i="30"/>
  <c r="D199" i="30"/>
  <c r="C199" i="30"/>
  <c r="A199" i="30"/>
  <c r="K198" i="30"/>
  <c r="I198" i="30"/>
  <c r="J198" i="30" s="1"/>
  <c r="D198" i="30"/>
  <c r="C198" i="30"/>
  <c r="A198" i="30"/>
  <c r="K197" i="30"/>
  <c r="I197" i="30"/>
  <c r="J197" i="30" s="1"/>
  <c r="D197" i="30"/>
  <c r="C197" i="30"/>
  <c r="A197" i="30"/>
  <c r="K196" i="30"/>
  <c r="I196" i="30"/>
  <c r="J196" i="30" s="1"/>
  <c r="D196" i="30"/>
  <c r="C196" i="30"/>
  <c r="A196" i="30"/>
  <c r="K195" i="30"/>
  <c r="J195" i="30"/>
  <c r="I195" i="30"/>
  <c r="D195" i="30"/>
  <c r="C195" i="30"/>
  <c r="A195" i="30"/>
  <c r="K194" i="30"/>
  <c r="I194" i="30"/>
  <c r="J194" i="30" s="1"/>
  <c r="D194" i="30"/>
  <c r="C194" i="30"/>
  <c r="A194" i="30"/>
  <c r="K193" i="30"/>
  <c r="I193" i="30"/>
  <c r="J193" i="30" s="1"/>
  <c r="D193" i="30"/>
  <c r="C193" i="30"/>
  <c r="A193" i="30"/>
  <c r="K192" i="30"/>
  <c r="I192" i="30"/>
  <c r="J192" i="30" s="1"/>
  <c r="D192" i="30"/>
  <c r="C192" i="30"/>
  <c r="A192" i="30"/>
  <c r="K191" i="30"/>
  <c r="J191" i="30"/>
  <c r="I191" i="30"/>
  <c r="D191" i="30"/>
  <c r="C191" i="30"/>
  <c r="A191" i="30"/>
  <c r="K190" i="30"/>
  <c r="I190" i="30"/>
  <c r="J190" i="30" s="1"/>
  <c r="D190" i="30"/>
  <c r="C190" i="30"/>
  <c r="A190" i="30"/>
  <c r="K189" i="30"/>
  <c r="I189" i="30"/>
  <c r="J189" i="30" s="1"/>
  <c r="D189" i="30"/>
  <c r="C189" i="30"/>
  <c r="A189" i="30"/>
  <c r="K188" i="30"/>
  <c r="I188" i="30"/>
  <c r="J188" i="30" s="1"/>
  <c r="D188" i="30"/>
  <c r="C188" i="30"/>
  <c r="A188" i="30"/>
  <c r="K187" i="30"/>
  <c r="J187" i="30"/>
  <c r="I187" i="30"/>
  <c r="D187" i="30"/>
  <c r="C187" i="30"/>
  <c r="A187" i="30"/>
  <c r="K186" i="30"/>
  <c r="I186" i="30"/>
  <c r="J186" i="30" s="1"/>
  <c r="D186" i="30"/>
  <c r="C186" i="30"/>
  <c r="A186" i="30"/>
  <c r="K185" i="30"/>
  <c r="I185" i="30"/>
  <c r="J185" i="30" s="1"/>
  <c r="D185" i="30"/>
  <c r="C185" i="30"/>
  <c r="A185" i="30"/>
  <c r="K184" i="30"/>
  <c r="I184" i="30"/>
  <c r="J184" i="30" s="1"/>
  <c r="D184" i="30"/>
  <c r="C184" i="30"/>
  <c r="A184" i="30"/>
  <c r="K183" i="30"/>
  <c r="J183" i="30"/>
  <c r="I183" i="30"/>
  <c r="D183" i="30"/>
  <c r="C183" i="30"/>
  <c r="A183" i="30"/>
  <c r="K182" i="30"/>
  <c r="I182" i="30"/>
  <c r="J182" i="30" s="1"/>
  <c r="D182" i="30"/>
  <c r="C182" i="30"/>
  <c r="A182" i="30"/>
  <c r="K181" i="30"/>
  <c r="I181" i="30"/>
  <c r="J181" i="30" s="1"/>
  <c r="D181" i="30"/>
  <c r="C181" i="30"/>
  <c r="A181" i="30"/>
  <c r="K180" i="30"/>
  <c r="I180" i="30"/>
  <c r="J180" i="30" s="1"/>
  <c r="D180" i="30"/>
  <c r="C180" i="30"/>
  <c r="A180" i="30"/>
  <c r="K179" i="30"/>
  <c r="J179" i="30"/>
  <c r="I179" i="30"/>
  <c r="D179" i="30"/>
  <c r="C179" i="30"/>
  <c r="A179" i="30"/>
  <c r="K178" i="30"/>
  <c r="I178" i="30"/>
  <c r="J178" i="30" s="1"/>
  <c r="D178" i="30"/>
  <c r="C178" i="30"/>
  <c r="A178" i="30"/>
  <c r="K177" i="30"/>
  <c r="I177" i="30"/>
  <c r="J177" i="30" s="1"/>
  <c r="D177" i="30"/>
  <c r="C177" i="30"/>
  <c r="A177" i="30"/>
  <c r="K176" i="30"/>
  <c r="I176" i="30"/>
  <c r="J176" i="30" s="1"/>
  <c r="D176" i="30"/>
  <c r="C176" i="30"/>
  <c r="A176" i="30"/>
  <c r="K175" i="30"/>
  <c r="J175" i="30"/>
  <c r="I175" i="30"/>
  <c r="D175" i="30"/>
  <c r="C175" i="30"/>
  <c r="A175" i="30"/>
  <c r="K174" i="30"/>
  <c r="I174" i="30"/>
  <c r="J174" i="30" s="1"/>
  <c r="D174" i="30"/>
  <c r="C174" i="30"/>
  <c r="A174" i="30"/>
  <c r="K173" i="30"/>
  <c r="I173" i="30"/>
  <c r="J173" i="30" s="1"/>
  <c r="D173" i="30"/>
  <c r="C173" i="30"/>
  <c r="A173" i="30"/>
  <c r="K172" i="30"/>
  <c r="I172" i="30"/>
  <c r="J172" i="30" s="1"/>
  <c r="D172" i="30"/>
  <c r="C172" i="30"/>
  <c r="A172" i="30"/>
  <c r="K171" i="30"/>
  <c r="J171" i="30"/>
  <c r="I171" i="30"/>
  <c r="D171" i="30"/>
  <c r="C171" i="30"/>
  <c r="A171" i="30"/>
  <c r="K170" i="30"/>
  <c r="I170" i="30"/>
  <c r="J170" i="30" s="1"/>
  <c r="D170" i="30"/>
  <c r="C170" i="30"/>
  <c r="A170" i="30"/>
  <c r="K169" i="30"/>
  <c r="I169" i="30"/>
  <c r="J169" i="30" s="1"/>
  <c r="D169" i="30"/>
  <c r="C169" i="30"/>
  <c r="A169" i="30"/>
  <c r="K168" i="30"/>
  <c r="I168" i="30"/>
  <c r="J168" i="30" s="1"/>
  <c r="D168" i="30"/>
  <c r="C168" i="30"/>
  <c r="A168" i="30"/>
  <c r="K167" i="30"/>
  <c r="J167" i="30"/>
  <c r="I167" i="30"/>
  <c r="D167" i="30"/>
  <c r="C167" i="30"/>
  <c r="A167" i="30"/>
  <c r="K166" i="30"/>
  <c r="I166" i="30"/>
  <c r="J166" i="30" s="1"/>
  <c r="D166" i="30"/>
  <c r="C166" i="30"/>
  <c r="A166" i="30"/>
  <c r="K165" i="30"/>
  <c r="I165" i="30"/>
  <c r="J165" i="30" s="1"/>
  <c r="D165" i="30"/>
  <c r="C165" i="30"/>
  <c r="A165" i="30"/>
  <c r="K164" i="30"/>
  <c r="I164" i="30"/>
  <c r="J164" i="30" s="1"/>
  <c r="D164" i="30"/>
  <c r="C164" i="30"/>
  <c r="A164" i="30"/>
  <c r="K163" i="30"/>
  <c r="J163" i="30"/>
  <c r="I163" i="30"/>
  <c r="D163" i="30"/>
  <c r="C163" i="30"/>
  <c r="A163" i="30"/>
  <c r="K162" i="30"/>
  <c r="I162" i="30"/>
  <c r="J162" i="30" s="1"/>
  <c r="D162" i="30"/>
  <c r="C162" i="30"/>
  <c r="A162" i="30"/>
  <c r="K161" i="30"/>
  <c r="I161" i="30"/>
  <c r="J161" i="30" s="1"/>
  <c r="D161" i="30"/>
  <c r="C161" i="30"/>
  <c r="A161" i="30"/>
  <c r="K160" i="30"/>
  <c r="I160" i="30"/>
  <c r="J160" i="30" s="1"/>
  <c r="D160" i="30"/>
  <c r="C160" i="30"/>
  <c r="A160" i="30"/>
  <c r="K159" i="30"/>
  <c r="J159" i="30"/>
  <c r="I159" i="30"/>
  <c r="D159" i="30"/>
  <c r="C159" i="30"/>
  <c r="A159" i="30"/>
  <c r="K158" i="30"/>
  <c r="I158" i="30"/>
  <c r="J158" i="30" s="1"/>
  <c r="D158" i="30"/>
  <c r="C158" i="30"/>
  <c r="A158" i="30"/>
  <c r="K157" i="30"/>
  <c r="I157" i="30"/>
  <c r="J157" i="30" s="1"/>
  <c r="D157" i="30"/>
  <c r="C157" i="30"/>
  <c r="A157" i="30"/>
  <c r="K156" i="30"/>
  <c r="I156" i="30"/>
  <c r="J156" i="30" s="1"/>
  <c r="D156" i="30"/>
  <c r="C156" i="30"/>
  <c r="A156" i="30"/>
  <c r="K155" i="30"/>
  <c r="J155" i="30"/>
  <c r="I155" i="30"/>
  <c r="D155" i="30"/>
  <c r="C155" i="30"/>
  <c r="A155" i="30"/>
  <c r="K154" i="30"/>
  <c r="I154" i="30"/>
  <c r="J154" i="30" s="1"/>
  <c r="D154" i="30"/>
  <c r="C154" i="30"/>
  <c r="A154" i="30"/>
  <c r="K153" i="30"/>
  <c r="I153" i="30"/>
  <c r="J153" i="30" s="1"/>
  <c r="D153" i="30"/>
  <c r="C153" i="30"/>
  <c r="A153" i="30"/>
  <c r="K152" i="30"/>
  <c r="I152" i="30"/>
  <c r="J152" i="30" s="1"/>
  <c r="D152" i="30"/>
  <c r="C152" i="30"/>
  <c r="A152" i="30"/>
  <c r="K151" i="30"/>
  <c r="J151" i="30"/>
  <c r="I151" i="30"/>
  <c r="D151" i="30"/>
  <c r="C151" i="30"/>
  <c r="A151" i="30"/>
  <c r="K150" i="30"/>
  <c r="I150" i="30"/>
  <c r="J150" i="30" s="1"/>
  <c r="D150" i="30"/>
  <c r="C150" i="30"/>
  <c r="A150" i="30"/>
  <c r="K149" i="30"/>
  <c r="I149" i="30"/>
  <c r="J149" i="30" s="1"/>
  <c r="D149" i="30"/>
  <c r="C149" i="30"/>
  <c r="A149" i="30"/>
  <c r="K148" i="30"/>
  <c r="I148" i="30"/>
  <c r="J148" i="30" s="1"/>
  <c r="D148" i="30"/>
  <c r="C148" i="30"/>
  <c r="A148" i="30"/>
  <c r="K147" i="30"/>
  <c r="J147" i="30"/>
  <c r="I147" i="30"/>
  <c r="D147" i="30"/>
  <c r="C147" i="30"/>
  <c r="A147" i="30"/>
  <c r="K146" i="30"/>
  <c r="I146" i="30"/>
  <c r="J146" i="30" s="1"/>
  <c r="D146" i="30"/>
  <c r="C146" i="30"/>
  <c r="A146" i="30"/>
  <c r="K145" i="30"/>
  <c r="I145" i="30"/>
  <c r="J145" i="30" s="1"/>
  <c r="D145" i="30"/>
  <c r="C145" i="30"/>
  <c r="A145" i="30"/>
  <c r="K144" i="30"/>
  <c r="I144" i="30"/>
  <c r="J144" i="30" s="1"/>
  <c r="D144" i="30"/>
  <c r="C144" i="30"/>
  <c r="A144" i="30"/>
  <c r="K143" i="30"/>
  <c r="J143" i="30"/>
  <c r="I143" i="30"/>
  <c r="D143" i="30"/>
  <c r="C143" i="30"/>
  <c r="A143" i="30"/>
  <c r="K142" i="30"/>
  <c r="I142" i="30"/>
  <c r="J142" i="30" s="1"/>
  <c r="D142" i="30"/>
  <c r="C142" i="30"/>
  <c r="A142" i="30"/>
  <c r="K141" i="30"/>
  <c r="I141" i="30"/>
  <c r="J141" i="30" s="1"/>
  <c r="D141" i="30"/>
  <c r="C141" i="30"/>
  <c r="A141" i="30"/>
  <c r="K140" i="30"/>
  <c r="I140" i="30"/>
  <c r="J140" i="30" s="1"/>
  <c r="D140" i="30"/>
  <c r="C140" i="30"/>
  <c r="A140" i="30"/>
  <c r="K139" i="30"/>
  <c r="J139" i="30"/>
  <c r="I139" i="30"/>
  <c r="D139" i="30"/>
  <c r="C139" i="30"/>
  <c r="A139" i="30"/>
  <c r="K138" i="30"/>
  <c r="I138" i="30"/>
  <c r="J138" i="30" s="1"/>
  <c r="D138" i="30"/>
  <c r="C138" i="30"/>
  <c r="A138" i="30"/>
  <c r="K137" i="30"/>
  <c r="I137" i="30"/>
  <c r="J137" i="30" s="1"/>
  <c r="D137" i="30"/>
  <c r="C137" i="30"/>
  <c r="A137" i="30"/>
  <c r="K136" i="30"/>
  <c r="I136" i="30"/>
  <c r="J136" i="30" s="1"/>
  <c r="D136" i="30"/>
  <c r="C136" i="30"/>
  <c r="A136" i="30"/>
  <c r="K135" i="30"/>
  <c r="J135" i="30"/>
  <c r="I135" i="30"/>
  <c r="D135" i="30"/>
  <c r="C135" i="30"/>
  <c r="A135" i="30"/>
  <c r="K134" i="30"/>
  <c r="I134" i="30"/>
  <c r="J134" i="30" s="1"/>
  <c r="D134" i="30"/>
  <c r="C134" i="30"/>
  <c r="A134" i="30"/>
  <c r="K133" i="30"/>
  <c r="I133" i="30"/>
  <c r="J133" i="30" s="1"/>
  <c r="D133" i="30"/>
  <c r="C133" i="30"/>
  <c r="A133" i="30"/>
  <c r="K132" i="30"/>
  <c r="I132" i="30"/>
  <c r="J132" i="30" s="1"/>
  <c r="D132" i="30"/>
  <c r="C132" i="30"/>
  <c r="A132" i="30"/>
  <c r="K131" i="30"/>
  <c r="J131" i="30"/>
  <c r="I131" i="30"/>
  <c r="D131" i="30"/>
  <c r="C131" i="30"/>
  <c r="A131" i="30"/>
  <c r="K130" i="30"/>
  <c r="I130" i="30"/>
  <c r="J130" i="30" s="1"/>
  <c r="D130" i="30"/>
  <c r="C130" i="30"/>
  <c r="A130" i="30"/>
  <c r="K129" i="30"/>
  <c r="I129" i="30"/>
  <c r="J129" i="30" s="1"/>
  <c r="D129" i="30"/>
  <c r="C129" i="30"/>
  <c r="A129" i="30"/>
  <c r="K128" i="30"/>
  <c r="I128" i="30"/>
  <c r="J128" i="30" s="1"/>
  <c r="D128" i="30"/>
  <c r="C128" i="30"/>
  <c r="A128" i="30"/>
  <c r="K127" i="30"/>
  <c r="J127" i="30"/>
  <c r="I127" i="30"/>
  <c r="D127" i="30"/>
  <c r="C127" i="30"/>
  <c r="A127" i="30"/>
  <c r="K126" i="30"/>
  <c r="I126" i="30"/>
  <c r="J126" i="30" s="1"/>
  <c r="D126" i="30"/>
  <c r="C126" i="30"/>
  <c r="A126" i="30"/>
  <c r="K125" i="30"/>
  <c r="I125" i="30"/>
  <c r="J125" i="30" s="1"/>
  <c r="D125" i="30"/>
  <c r="C125" i="30"/>
  <c r="A125" i="30"/>
  <c r="K124" i="30"/>
  <c r="I124" i="30"/>
  <c r="J124" i="30" s="1"/>
  <c r="D124" i="30"/>
  <c r="C124" i="30"/>
  <c r="A124" i="30"/>
  <c r="K123" i="30"/>
  <c r="J123" i="30"/>
  <c r="I123" i="30"/>
  <c r="D123" i="30"/>
  <c r="C123" i="30"/>
  <c r="A123" i="30"/>
  <c r="K122" i="30"/>
  <c r="I122" i="30"/>
  <c r="J122" i="30" s="1"/>
  <c r="D122" i="30"/>
  <c r="C122" i="30"/>
  <c r="A122" i="30"/>
  <c r="K121" i="30"/>
  <c r="I121" i="30"/>
  <c r="J121" i="30" s="1"/>
  <c r="D121" i="30"/>
  <c r="C121" i="30"/>
  <c r="A121" i="30"/>
  <c r="K120" i="30"/>
  <c r="I120" i="30"/>
  <c r="J120" i="30" s="1"/>
  <c r="D120" i="30"/>
  <c r="C120" i="30"/>
  <c r="A120" i="30"/>
  <c r="K119" i="30"/>
  <c r="J119" i="30"/>
  <c r="I119" i="30"/>
  <c r="D119" i="30"/>
  <c r="C119" i="30"/>
  <c r="A119" i="30"/>
  <c r="K118" i="30"/>
  <c r="I118" i="30"/>
  <c r="J118" i="30" s="1"/>
  <c r="D118" i="30"/>
  <c r="C118" i="30"/>
  <c r="A118" i="30"/>
  <c r="K117" i="30"/>
  <c r="I117" i="30"/>
  <c r="J117" i="30" s="1"/>
  <c r="D117" i="30"/>
  <c r="C117" i="30"/>
  <c r="A117" i="30"/>
  <c r="K116" i="30"/>
  <c r="I116" i="30"/>
  <c r="J116" i="30" s="1"/>
  <c r="D116" i="30"/>
  <c r="C116" i="30"/>
  <c r="A116" i="30"/>
  <c r="K115" i="30"/>
  <c r="J115" i="30"/>
  <c r="I115" i="30"/>
  <c r="D115" i="30"/>
  <c r="C115" i="30"/>
  <c r="A115" i="30"/>
  <c r="K114" i="30"/>
  <c r="I114" i="30"/>
  <c r="J114" i="30" s="1"/>
  <c r="D114" i="30"/>
  <c r="C114" i="30"/>
  <c r="A114" i="30"/>
  <c r="K113" i="30"/>
  <c r="I113" i="30"/>
  <c r="J113" i="30" s="1"/>
  <c r="D113" i="30"/>
  <c r="C113" i="30"/>
  <c r="A113" i="30"/>
  <c r="K112" i="30"/>
  <c r="I112" i="30"/>
  <c r="J112" i="30" s="1"/>
  <c r="D112" i="30"/>
  <c r="C112" i="30"/>
  <c r="A112" i="30"/>
  <c r="K111" i="30"/>
  <c r="J111" i="30"/>
  <c r="I111" i="30"/>
  <c r="D111" i="30"/>
  <c r="C111" i="30"/>
  <c r="A111" i="30"/>
  <c r="K110" i="30"/>
  <c r="I110" i="30"/>
  <c r="J110" i="30" s="1"/>
  <c r="D110" i="30"/>
  <c r="C110" i="30"/>
  <c r="A110" i="30"/>
  <c r="K109" i="30"/>
  <c r="I109" i="30"/>
  <c r="J109" i="30" s="1"/>
  <c r="D109" i="30"/>
  <c r="C109" i="30"/>
  <c r="A109" i="30"/>
  <c r="K108" i="30"/>
  <c r="I108" i="30"/>
  <c r="J108" i="30" s="1"/>
  <c r="D108" i="30"/>
  <c r="C108" i="30"/>
  <c r="A108" i="30"/>
  <c r="K107" i="30"/>
  <c r="J107" i="30"/>
  <c r="I107" i="30"/>
  <c r="D107" i="30"/>
  <c r="C107" i="30"/>
  <c r="A107" i="30"/>
  <c r="K106" i="30"/>
  <c r="I106" i="30"/>
  <c r="J106" i="30" s="1"/>
  <c r="D106" i="30"/>
  <c r="C106" i="30"/>
  <c r="A106" i="30"/>
  <c r="K105" i="30"/>
  <c r="I105" i="30"/>
  <c r="J105" i="30" s="1"/>
  <c r="D105" i="30"/>
  <c r="C105" i="30"/>
  <c r="A105" i="30"/>
  <c r="K104" i="30"/>
  <c r="I104" i="30"/>
  <c r="J104" i="30" s="1"/>
  <c r="D104" i="30"/>
  <c r="C104" i="30"/>
  <c r="A104" i="30"/>
  <c r="K103" i="30"/>
  <c r="J103" i="30"/>
  <c r="I103" i="30"/>
  <c r="D103" i="30"/>
  <c r="C103" i="30"/>
  <c r="A103" i="30"/>
  <c r="K102" i="30"/>
  <c r="I102" i="30"/>
  <c r="J102" i="30" s="1"/>
  <c r="D102" i="30"/>
  <c r="C102" i="30"/>
  <c r="A102" i="30"/>
  <c r="K101" i="30"/>
  <c r="I101" i="30"/>
  <c r="J101" i="30" s="1"/>
  <c r="D101" i="30"/>
  <c r="C101" i="30"/>
  <c r="A101" i="30"/>
  <c r="K100" i="30"/>
  <c r="I100" i="30"/>
  <c r="J100" i="30" s="1"/>
  <c r="D100" i="30"/>
  <c r="C100" i="30"/>
  <c r="A100" i="30"/>
  <c r="K99" i="30"/>
  <c r="J99" i="30"/>
  <c r="I99" i="30"/>
  <c r="D99" i="30"/>
  <c r="C99" i="30"/>
  <c r="A99" i="30"/>
  <c r="K98" i="30"/>
  <c r="I98" i="30"/>
  <c r="J98" i="30" s="1"/>
  <c r="D98" i="30"/>
  <c r="C98" i="30"/>
  <c r="A98" i="30"/>
  <c r="K97" i="30"/>
  <c r="I97" i="30"/>
  <c r="J97" i="30" s="1"/>
  <c r="D97" i="30"/>
  <c r="C97" i="30"/>
  <c r="A97" i="30"/>
  <c r="K96" i="30"/>
  <c r="I96" i="30"/>
  <c r="J96" i="30" s="1"/>
  <c r="D96" i="30"/>
  <c r="C96" i="30"/>
  <c r="A96" i="30"/>
  <c r="K95" i="30"/>
  <c r="J95" i="30"/>
  <c r="I95" i="30"/>
  <c r="D95" i="30"/>
  <c r="C95" i="30"/>
  <c r="A95" i="30"/>
  <c r="K94" i="30"/>
  <c r="I94" i="30"/>
  <c r="J94" i="30" s="1"/>
  <c r="D94" i="30"/>
  <c r="C94" i="30"/>
  <c r="A94" i="30"/>
  <c r="K93" i="30"/>
  <c r="I93" i="30"/>
  <c r="J93" i="30" s="1"/>
  <c r="D93" i="30"/>
  <c r="C93" i="30"/>
  <c r="A93" i="30"/>
  <c r="K92" i="30"/>
  <c r="I92" i="30"/>
  <c r="J92" i="30" s="1"/>
  <c r="D92" i="30"/>
  <c r="C92" i="30"/>
  <c r="A92" i="30"/>
  <c r="K91" i="30"/>
  <c r="J91" i="30"/>
  <c r="I91" i="30"/>
  <c r="D91" i="30"/>
  <c r="C91" i="30"/>
  <c r="A91" i="30"/>
  <c r="K90" i="30"/>
  <c r="I90" i="30"/>
  <c r="J90" i="30" s="1"/>
  <c r="D90" i="30"/>
  <c r="C90" i="30"/>
  <c r="A90" i="30"/>
  <c r="K89" i="30"/>
  <c r="I89" i="30"/>
  <c r="J89" i="30" s="1"/>
  <c r="D89" i="30"/>
  <c r="C89" i="30"/>
  <c r="A89" i="30"/>
  <c r="K88" i="30"/>
  <c r="I88" i="30"/>
  <c r="J88" i="30" s="1"/>
  <c r="D88" i="30"/>
  <c r="C88" i="30"/>
  <c r="A88" i="30"/>
  <c r="K87" i="30"/>
  <c r="J87" i="30"/>
  <c r="I87" i="30"/>
  <c r="D87" i="30"/>
  <c r="C87" i="30"/>
  <c r="A87" i="30"/>
  <c r="K86" i="30"/>
  <c r="I86" i="30"/>
  <c r="J86" i="30" s="1"/>
  <c r="D86" i="30"/>
  <c r="C86" i="30"/>
  <c r="A86" i="30"/>
  <c r="K85" i="30"/>
  <c r="I85" i="30"/>
  <c r="J85" i="30" s="1"/>
  <c r="D85" i="30"/>
  <c r="C85" i="30"/>
  <c r="A85" i="30"/>
  <c r="K84" i="30"/>
  <c r="I84" i="30"/>
  <c r="J84" i="30" s="1"/>
  <c r="D84" i="30"/>
  <c r="C84" i="30"/>
  <c r="A84" i="30"/>
  <c r="K83" i="30"/>
  <c r="J83" i="30"/>
  <c r="I83" i="30"/>
  <c r="D83" i="30"/>
  <c r="C83" i="30"/>
  <c r="A83" i="30"/>
  <c r="K82" i="30"/>
  <c r="I82" i="30"/>
  <c r="J82" i="30" s="1"/>
  <c r="D82" i="30"/>
  <c r="C82" i="30"/>
  <c r="A82" i="30"/>
  <c r="K81" i="30"/>
  <c r="I81" i="30"/>
  <c r="J81" i="30" s="1"/>
  <c r="D81" i="30"/>
  <c r="C81" i="30"/>
  <c r="A81" i="30"/>
  <c r="K80" i="30"/>
  <c r="I80" i="30"/>
  <c r="J80" i="30" s="1"/>
  <c r="D80" i="30"/>
  <c r="C80" i="30"/>
  <c r="A80" i="30"/>
  <c r="K79" i="30"/>
  <c r="J79" i="30"/>
  <c r="I79" i="30"/>
  <c r="D79" i="30"/>
  <c r="C79" i="30"/>
  <c r="A79" i="30"/>
  <c r="K78" i="30"/>
  <c r="I78" i="30"/>
  <c r="J78" i="30" s="1"/>
  <c r="D78" i="30"/>
  <c r="C78" i="30"/>
  <c r="A78" i="30"/>
  <c r="K77" i="30"/>
  <c r="I77" i="30"/>
  <c r="J77" i="30" s="1"/>
  <c r="D77" i="30"/>
  <c r="C77" i="30"/>
  <c r="A77" i="30"/>
  <c r="K76" i="30"/>
  <c r="I76" i="30"/>
  <c r="J76" i="30" s="1"/>
  <c r="D76" i="30"/>
  <c r="C76" i="30"/>
  <c r="A76" i="30"/>
  <c r="K75" i="30"/>
  <c r="J75" i="30"/>
  <c r="I75" i="30"/>
  <c r="D75" i="30"/>
  <c r="C75" i="30"/>
  <c r="A75" i="30"/>
  <c r="K74" i="30"/>
  <c r="I74" i="30"/>
  <c r="J74" i="30" s="1"/>
  <c r="D74" i="30"/>
  <c r="C74" i="30"/>
  <c r="A74" i="30"/>
  <c r="K73" i="30"/>
  <c r="I73" i="30"/>
  <c r="J73" i="30" s="1"/>
  <c r="D73" i="30"/>
  <c r="C73" i="30"/>
  <c r="A73" i="30"/>
  <c r="K72" i="30"/>
  <c r="I72" i="30"/>
  <c r="J72" i="30" s="1"/>
  <c r="D72" i="30"/>
  <c r="C72" i="30"/>
  <c r="A72" i="30"/>
  <c r="K71" i="30"/>
  <c r="J71" i="30"/>
  <c r="I71" i="30"/>
  <c r="D71" i="30"/>
  <c r="C71" i="30"/>
  <c r="A71" i="30"/>
  <c r="K70" i="30"/>
  <c r="I70" i="30"/>
  <c r="J70" i="30" s="1"/>
  <c r="D70" i="30"/>
  <c r="C70" i="30"/>
  <c r="A70" i="30"/>
  <c r="K69" i="30"/>
  <c r="I69" i="30"/>
  <c r="J69" i="30" s="1"/>
  <c r="D69" i="30"/>
  <c r="C69" i="30"/>
  <c r="A69" i="30"/>
  <c r="K68" i="30"/>
  <c r="I68" i="30"/>
  <c r="J68" i="30" s="1"/>
  <c r="D68" i="30"/>
  <c r="C68" i="30"/>
  <c r="A68" i="30"/>
  <c r="K67" i="30"/>
  <c r="J67" i="30"/>
  <c r="I67" i="30"/>
  <c r="D67" i="30"/>
  <c r="C67" i="30"/>
  <c r="A67" i="30"/>
  <c r="K66" i="30"/>
  <c r="I66" i="30"/>
  <c r="J66" i="30" s="1"/>
  <c r="D66" i="30"/>
  <c r="C66" i="30"/>
  <c r="A66" i="30"/>
  <c r="K65" i="30"/>
  <c r="I65" i="30"/>
  <c r="J65" i="30" s="1"/>
  <c r="D65" i="30"/>
  <c r="C65" i="30"/>
  <c r="A65" i="30"/>
  <c r="K64" i="30"/>
  <c r="I64" i="30"/>
  <c r="J64" i="30" s="1"/>
  <c r="D64" i="30"/>
  <c r="C64" i="30"/>
  <c r="A64" i="30"/>
  <c r="K63" i="30"/>
  <c r="J63" i="30"/>
  <c r="I63" i="30"/>
  <c r="D63" i="30"/>
  <c r="C63" i="30"/>
  <c r="A63" i="30"/>
  <c r="K62" i="30"/>
  <c r="I62" i="30"/>
  <c r="J62" i="30" s="1"/>
  <c r="D62" i="30"/>
  <c r="C62" i="30"/>
  <c r="A62" i="30"/>
  <c r="K61" i="30"/>
  <c r="I61" i="30"/>
  <c r="J61" i="30" s="1"/>
  <c r="D61" i="30"/>
  <c r="C61" i="30"/>
  <c r="A61" i="30"/>
  <c r="K60" i="30"/>
  <c r="I60" i="30"/>
  <c r="J60" i="30" s="1"/>
  <c r="D60" i="30"/>
  <c r="C60" i="30"/>
  <c r="A60" i="30"/>
  <c r="K59" i="30"/>
  <c r="J59" i="30"/>
  <c r="I59" i="30"/>
  <c r="D59" i="30"/>
  <c r="C59" i="30"/>
  <c r="A59" i="30"/>
  <c r="K58" i="30"/>
  <c r="I58" i="30"/>
  <c r="J58" i="30" s="1"/>
  <c r="D58" i="30"/>
  <c r="C58" i="30"/>
  <c r="A58" i="30"/>
  <c r="K57" i="30"/>
  <c r="I57" i="30"/>
  <c r="J57" i="30" s="1"/>
  <c r="D57" i="30"/>
  <c r="C57" i="30"/>
  <c r="A57" i="30"/>
  <c r="K56" i="30"/>
  <c r="I56" i="30"/>
  <c r="J56" i="30" s="1"/>
  <c r="D56" i="30"/>
  <c r="C56" i="30"/>
  <c r="A56" i="30"/>
  <c r="K55" i="30"/>
  <c r="J55" i="30"/>
  <c r="I55" i="30"/>
  <c r="D55" i="30"/>
  <c r="C55" i="30"/>
  <c r="A55" i="30"/>
  <c r="K54" i="30"/>
  <c r="I54" i="30"/>
  <c r="J54" i="30" s="1"/>
  <c r="D54" i="30"/>
  <c r="C54" i="30"/>
  <c r="A54" i="30"/>
  <c r="K53" i="30"/>
  <c r="I53" i="30"/>
  <c r="J53" i="30" s="1"/>
  <c r="D53" i="30"/>
  <c r="C53" i="30"/>
  <c r="A53" i="30"/>
  <c r="K52" i="30"/>
  <c r="I52" i="30"/>
  <c r="J52" i="30" s="1"/>
  <c r="D52" i="30"/>
  <c r="C52" i="30"/>
  <c r="A52" i="30"/>
  <c r="K51" i="30"/>
  <c r="J51" i="30"/>
  <c r="I51" i="30"/>
  <c r="D51" i="30"/>
  <c r="C51" i="30"/>
  <c r="A51" i="30"/>
  <c r="K50" i="30"/>
  <c r="I50" i="30"/>
  <c r="J50" i="30" s="1"/>
  <c r="D50" i="30"/>
  <c r="C50" i="30"/>
  <c r="A50" i="30"/>
  <c r="K49" i="30"/>
  <c r="I49" i="30"/>
  <c r="J49" i="30" s="1"/>
  <c r="D49" i="30"/>
  <c r="C49" i="30"/>
  <c r="A49" i="30"/>
  <c r="K48" i="30"/>
  <c r="I48" i="30"/>
  <c r="J48" i="30" s="1"/>
  <c r="D48" i="30"/>
  <c r="C48" i="30"/>
  <c r="A48" i="30"/>
  <c r="K47" i="30"/>
  <c r="J47" i="30"/>
  <c r="I47" i="30"/>
  <c r="D47" i="30"/>
  <c r="C47" i="30"/>
  <c r="A47" i="30"/>
  <c r="K46" i="30"/>
  <c r="I46" i="30"/>
  <c r="J46" i="30" s="1"/>
  <c r="D46" i="30"/>
  <c r="C46" i="30"/>
  <c r="A46" i="30"/>
  <c r="K45" i="30"/>
  <c r="I45" i="30"/>
  <c r="J45" i="30" s="1"/>
  <c r="D45" i="30"/>
  <c r="C45" i="30"/>
  <c r="A45" i="30"/>
  <c r="K44" i="30"/>
  <c r="I44" i="30"/>
  <c r="J44" i="30" s="1"/>
  <c r="D44" i="30"/>
  <c r="C44" i="30"/>
  <c r="A44" i="30"/>
  <c r="K43" i="30"/>
  <c r="J43" i="30"/>
  <c r="I43" i="30"/>
  <c r="D43" i="30"/>
  <c r="C43" i="30"/>
  <c r="A43" i="30"/>
  <c r="K42" i="30"/>
  <c r="I42" i="30"/>
  <c r="J42" i="30" s="1"/>
  <c r="D42" i="30"/>
  <c r="C42" i="30"/>
  <c r="A42" i="30"/>
  <c r="K41" i="30"/>
  <c r="I41" i="30"/>
  <c r="J41" i="30" s="1"/>
  <c r="D41" i="30"/>
  <c r="C41" i="30"/>
  <c r="A41" i="30"/>
  <c r="K40" i="30"/>
  <c r="I40" i="30"/>
  <c r="J40" i="30" s="1"/>
  <c r="D40" i="30"/>
  <c r="C40" i="30"/>
  <c r="A40" i="30"/>
  <c r="K39" i="30"/>
  <c r="J39" i="30"/>
  <c r="I39" i="30"/>
  <c r="D39" i="30"/>
  <c r="C39" i="30"/>
  <c r="A39" i="30"/>
  <c r="K38" i="30"/>
  <c r="I38" i="30"/>
  <c r="J38" i="30" s="1"/>
  <c r="D38" i="30"/>
  <c r="C38" i="30"/>
  <c r="A38" i="30"/>
  <c r="K37" i="30"/>
  <c r="I37" i="30"/>
  <c r="J37" i="30" s="1"/>
  <c r="D37" i="30"/>
  <c r="C37" i="30"/>
  <c r="A37" i="30"/>
  <c r="K36" i="30"/>
  <c r="I36" i="30"/>
  <c r="J36" i="30" s="1"/>
  <c r="D36" i="30"/>
  <c r="C36" i="30"/>
  <c r="A36" i="30"/>
  <c r="K35" i="30"/>
  <c r="J35" i="30"/>
  <c r="I35" i="30"/>
  <c r="D35" i="30"/>
  <c r="C35" i="30"/>
  <c r="A35" i="30"/>
  <c r="K34" i="30"/>
  <c r="I34" i="30"/>
  <c r="J34" i="30" s="1"/>
  <c r="D34" i="30"/>
  <c r="C34" i="30"/>
  <c r="A34" i="30"/>
  <c r="K33" i="30"/>
  <c r="I33" i="30"/>
  <c r="J33" i="30" s="1"/>
  <c r="D33" i="30"/>
  <c r="C33" i="30"/>
  <c r="A33" i="30"/>
  <c r="K32" i="30"/>
  <c r="I32" i="30"/>
  <c r="J32" i="30" s="1"/>
  <c r="D32" i="30"/>
  <c r="C32" i="30"/>
  <c r="A32" i="30"/>
  <c r="K31" i="30"/>
  <c r="J31" i="30"/>
  <c r="I31" i="30"/>
  <c r="D31" i="30"/>
  <c r="C31" i="30"/>
  <c r="A31" i="30"/>
  <c r="K30" i="30"/>
  <c r="I30" i="30"/>
  <c r="J30" i="30" s="1"/>
  <c r="D30" i="30"/>
  <c r="C30" i="30"/>
  <c r="A30" i="30"/>
  <c r="K29" i="30"/>
  <c r="I29" i="30"/>
  <c r="J29" i="30" s="1"/>
  <c r="D29" i="30"/>
  <c r="C29" i="30"/>
  <c r="A29" i="30"/>
  <c r="K28" i="30"/>
  <c r="I28" i="30"/>
  <c r="J28" i="30" s="1"/>
  <c r="D28" i="30"/>
  <c r="C28" i="30"/>
  <c r="A28" i="30"/>
  <c r="K27" i="30"/>
  <c r="J27" i="30"/>
  <c r="I27" i="30"/>
  <c r="D27" i="30"/>
  <c r="C27" i="30"/>
  <c r="A27" i="30"/>
  <c r="K26" i="30"/>
  <c r="I26" i="30"/>
  <c r="J26" i="30" s="1"/>
  <c r="D26" i="30"/>
  <c r="C26" i="30"/>
  <c r="A26" i="30"/>
  <c r="K25" i="30"/>
  <c r="I25" i="30"/>
  <c r="J25" i="30" s="1"/>
  <c r="D25" i="30"/>
  <c r="C25" i="30"/>
  <c r="A25" i="30"/>
  <c r="K24" i="30"/>
  <c r="I24" i="30"/>
  <c r="J24" i="30" s="1"/>
  <c r="D24" i="30"/>
  <c r="C24" i="30"/>
  <c r="A24" i="30"/>
  <c r="K23" i="30"/>
  <c r="J23" i="30"/>
  <c r="I23" i="30"/>
  <c r="D23" i="30"/>
  <c r="C23" i="30"/>
  <c r="A23" i="30"/>
  <c r="K22" i="30"/>
  <c r="I22" i="30"/>
  <c r="J22" i="30" s="1"/>
  <c r="D22" i="30"/>
  <c r="C22" i="30"/>
  <c r="A22" i="30"/>
  <c r="K21" i="30"/>
  <c r="I21" i="30"/>
  <c r="J21" i="30" s="1"/>
  <c r="D21" i="30"/>
  <c r="C21" i="30"/>
  <c r="A21" i="30"/>
  <c r="K20" i="30"/>
  <c r="I20" i="30"/>
  <c r="J20" i="30" s="1"/>
  <c r="D20" i="30"/>
  <c r="C20" i="30"/>
  <c r="A20" i="30"/>
  <c r="K19" i="30"/>
  <c r="J19" i="30"/>
  <c r="I19" i="30"/>
  <c r="D19" i="30"/>
  <c r="C19" i="30"/>
  <c r="A19" i="30"/>
  <c r="K18" i="30"/>
  <c r="I18" i="30"/>
  <c r="J18" i="30" s="1"/>
  <c r="D18" i="30"/>
  <c r="C18" i="30"/>
  <c r="A18" i="30"/>
  <c r="K17" i="30"/>
  <c r="I17" i="30"/>
  <c r="J17" i="30" s="1"/>
  <c r="D17" i="30"/>
  <c r="C17" i="30"/>
  <c r="A17" i="30"/>
  <c r="K16" i="30"/>
  <c r="I16" i="30"/>
  <c r="J16" i="30" s="1"/>
  <c r="D16" i="30"/>
  <c r="C16" i="30"/>
  <c r="A16" i="30"/>
  <c r="K15" i="30"/>
  <c r="J15" i="30"/>
  <c r="I15" i="30"/>
  <c r="D15" i="30"/>
  <c r="C15" i="30"/>
  <c r="A15" i="30"/>
  <c r="K14" i="30"/>
  <c r="I14" i="30"/>
  <c r="J14" i="30" s="1"/>
  <c r="D14" i="30"/>
  <c r="C14" i="30"/>
  <c r="A14" i="30"/>
  <c r="B10" i="30"/>
  <c r="B9" i="30"/>
  <c r="B8" i="30"/>
  <c r="J208" i="29"/>
  <c r="K208" i="29" s="1"/>
  <c r="G208" i="29"/>
  <c r="D208" i="29"/>
  <c r="C208" i="29"/>
  <c r="B208" i="29"/>
  <c r="J207" i="29"/>
  <c r="K207" i="29" s="1"/>
  <c r="G207" i="29"/>
  <c r="D207" i="29"/>
  <c r="C207" i="29"/>
  <c r="B207" i="29"/>
  <c r="J206" i="29"/>
  <c r="K206" i="29" s="1"/>
  <c r="G206" i="29"/>
  <c r="D206" i="29"/>
  <c r="C206" i="29"/>
  <c r="B206" i="29"/>
  <c r="K205" i="29"/>
  <c r="J205" i="29"/>
  <c r="G205" i="29"/>
  <c r="D205" i="29"/>
  <c r="C205" i="29"/>
  <c r="B205" i="29"/>
  <c r="J204" i="29"/>
  <c r="K204" i="29" s="1"/>
  <c r="G204" i="29"/>
  <c r="D204" i="29"/>
  <c r="C204" i="29"/>
  <c r="B204" i="29"/>
  <c r="J203" i="29"/>
  <c r="K203" i="29" s="1"/>
  <c r="G203" i="29"/>
  <c r="D203" i="29"/>
  <c r="C203" i="29"/>
  <c r="B203" i="29"/>
  <c r="J202" i="29"/>
  <c r="K202" i="29" s="1"/>
  <c r="G202" i="29"/>
  <c r="D202" i="29"/>
  <c r="C202" i="29"/>
  <c r="B202" i="29"/>
  <c r="K201" i="29"/>
  <c r="J201" i="29"/>
  <c r="G201" i="29"/>
  <c r="D201" i="29"/>
  <c r="C201" i="29"/>
  <c r="B201" i="29"/>
  <c r="J200" i="29"/>
  <c r="K200" i="29" s="1"/>
  <c r="G200" i="29"/>
  <c r="D200" i="29"/>
  <c r="C200" i="29"/>
  <c r="B200" i="29"/>
  <c r="J199" i="29"/>
  <c r="K199" i="29" s="1"/>
  <c r="G199" i="29"/>
  <c r="D199" i="29"/>
  <c r="C199" i="29"/>
  <c r="B199" i="29"/>
  <c r="J198" i="29"/>
  <c r="K198" i="29" s="1"/>
  <c r="G198" i="29"/>
  <c r="D198" i="29"/>
  <c r="C198" i="29"/>
  <c r="B198" i="29"/>
  <c r="K197" i="29"/>
  <c r="J197" i="29"/>
  <c r="G197" i="29"/>
  <c r="D197" i="29"/>
  <c r="C197" i="29"/>
  <c r="B197" i="29"/>
  <c r="J196" i="29"/>
  <c r="K196" i="29" s="1"/>
  <c r="G196" i="29"/>
  <c r="D196" i="29"/>
  <c r="C196" i="29"/>
  <c r="B196" i="29"/>
  <c r="J195" i="29"/>
  <c r="K195" i="29" s="1"/>
  <c r="G195" i="29"/>
  <c r="D195" i="29"/>
  <c r="C195" i="29"/>
  <c r="B195" i="29"/>
  <c r="J194" i="29"/>
  <c r="K194" i="29" s="1"/>
  <c r="G194" i="29"/>
  <c r="D194" i="29"/>
  <c r="C194" i="29"/>
  <c r="B194" i="29"/>
  <c r="K193" i="29"/>
  <c r="J193" i="29"/>
  <c r="G193" i="29"/>
  <c r="D193" i="29"/>
  <c r="C193" i="29"/>
  <c r="B193" i="29"/>
  <c r="J192" i="29"/>
  <c r="K192" i="29" s="1"/>
  <c r="G192" i="29"/>
  <c r="D192" i="29"/>
  <c r="C192" i="29"/>
  <c r="B192" i="29"/>
  <c r="J191" i="29"/>
  <c r="K191" i="29" s="1"/>
  <c r="G191" i="29"/>
  <c r="D191" i="29"/>
  <c r="C191" i="29"/>
  <c r="B191" i="29"/>
  <c r="J190" i="29"/>
  <c r="K190" i="29" s="1"/>
  <c r="G190" i="29"/>
  <c r="D190" i="29"/>
  <c r="C190" i="29"/>
  <c r="B190" i="29"/>
  <c r="K189" i="29"/>
  <c r="J189" i="29"/>
  <c r="G189" i="29"/>
  <c r="D189" i="29"/>
  <c r="C189" i="29"/>
  <c r="B189" i="29"/>
  <c r="J188" i="29"/>
  <c r="K188" i="29" s="1"/>
  <c r="G188" i="29"/>
  <c r="D188" i="29"/>
  <c r="C188" i="29"/>
  <c r="B188" i="29"/>
  <c r="J187" i="29"/>
  <c r="K187" i="29" s="1"/>
  <c r="G187" i="29"/>
  <c r="D187" i="29"/>
  <c r="C187" i="29"/>
  <c r="B187" i="29"/>
  <c r="J186" i="29"/>
  <c r="K186" i="29" s="1"/>
  <c r="G186" i="29"/>
  <c r="D186" i="29"/>
  <c r="C186" i="29"/>
  <c r="B186" i="29"/>
  <c r="K185" i="29"/>
  <c r="J185" i="29"/>
  <c r="G185" i="29"/>
  <c r="D185" i="29"/>
  <c r="C185" i="29"/>
  <c r="B185" i="29"/>
  <c r="J184" i="29"/>
  <c r="K184" i="29" s="1"/>
  <c r="G184" i="29"/>
  <c r="D184" i="29"/>
  <c r="C184" i="29"/>
  <c r="B184" i="29"/>
  <c r="J183" i="29"/>
  <c r="K183" i="29" s="1"/>
  <c r="G183" i="29"/>
  <c r="D183" i="29"/>
  <c r="C183" i="29"/>
  <c r="B183" i="29"/>
  <c r="J182" i="29"/>
  <c r="K182" i="29" s="1"/>
  <c r="G182" i="29"/>
  <c r="D182" i="29"/>
  <c r="C182" i="29"/>
  <c r="B182" i="29"/>
  <c r="K181" i="29"/>
  <c r="J181" i="29"/>
  <c r="G181" i="29"/>
  <c r="D181" i="29"/>
  <c r="C181" i="29"/>
  <c r="B181" i="29"/>
  <c r="J180" i="29"/>
  <c r="K180" i="29" s="1"/>
  <c r="G180" i="29"/>
  <c r="D180" i="29"/>
  <c r="C180" i="29"/>
  <c r="B180" i="29"/>
  <c r="J179" i="29"/>
  <c r="K179" i="29" s="1"/>
  <c r="G179" i="29"/>
  <c r="D179" i="29"/>
  <c r="C179" i="29"/>
  <c r="B179" i="29"/>
  <c r="J178" i="29"/>
  <c r="K178" i="29" s="1"/>
  <c r="G178" i="29"/>
  <c r="D178" i="29"/>
  <c r="C178" i="29"/>
  <c r="B178" i="29"/>
  <c r="K177" i="29"/>
  <c r="J177" i="29"/>
  <c r="G177" i="29"/>
  <c r="D177" i="29"/>
  <c r="C177" i="29"/>
  <c r="B177" i="29"/>
  <c r="J176" i="29"/>
  <c r="K176" i="29" s="1"/>
  <c r="G176" i="29"/>
  <c r="D176" i="29"/>
  <c r="C176" i="29"/>
  <c r="B176" i="29"/>
  <c r="J175" i="29"/>
  <c r="K175" i="29" s="1"/>
  <c r="G175" i="29"/>
  <c r="D175" i="29"/>
  <c r="C175" i="29"/>
  <c r="B175" i="29"/>
  <c r="J174" i="29"/>
  <c r="K174" i="29" s="1"/>
  <c r="G174" i="29"/>
  <c r="D174" i="29"/>
  <c r="C174" i="29"/>
  <c r="B174" i="29"/>
  <c r="K173" i="29"/>
  <c r="J173" i="29"/>
  <c r="G173" i="29"/>
  <c r="D173" i="29"/>
  <c r="C173" i="29"/>
  <c r="B173" i="29"/>
  <c r="J172" i="29"/>
  <c r="K172" i="29" s="1"/>
  <c r="G172" i="29"/>
  <c r="D172" i="29"/>
  <c r="C172" i="29"/>
  <c r="B172" i="29"/>
  <c r="J171" i="29"/>
  <c r="K171" i="29" s="1"/>
  <c r="G171" i="29"/>
  <c r="D171" i="29"/>
  <c r="C171" i="29"/>
  <c r="B171" i="29"/>
  <c r="J170" i="29"/>
  <c r="K170" i="29" s="1"/>
  <c r="G170" i="29"/>
  <c r="D170" i="29"/>
  <c r="C170" i="29"/>
  <c r="B170" i="29"/>
  <c r="K169" i="29"/>
  <c r="J169" i="29"/>
  <c r="G169" i="29"/>
  <c r="D169" i="29"/>
  <c r="C169" i="29"/>
  <c r="B169" i="29"/>
  <c r="J168" i="29"/>
  <c r="K168" i="29" s="1"/>
  <c r="G168" i="29"/>
  <c r="D168" i="29"/>
  <c r="C168" i="29"/>
  <c r="B168" i="29"/>
  <c r="J167" i="29"/>
  <c r="K167" i="29" s="1"/>
  <c r="G167" i="29"/>
  <c r="D167" i="29"/>
  <c r="C167" i="29"/>
  <c r="B167" i="29"/>
  <c r="J166" i="29"/>
  <c r="K166" i="29" s="1"/>
  <c r="G166" i="29"/>
  <c r="D166" i="29"/>
  <c r="C166" i="29"/>
  <c r="B166" i="29"/>
  <c r="K165" i="29"/>
  <c r="J165" i="29"/>
  <c r="G165" i="29"/>
  <c r="D165" i="29"/>
  <c r="C165" i="29"/>
  <c r="B165" i="29"/>
  <c r="J164" i="29"/>
  <c r="K164" i="29" s="1"/>
  <c r="G164" i="29"/>
  <c r="D164" i="29"/>
  <c r="C164" i="29"/>
  <c r="B164" i="29"/>
  <c r="J163" i="29"/>
  <c r="K163" i="29" s="1"/>
  <c r="G163" i="29"/>
  <c r="D163" i="29"/>
  <c r="C163" i="29"/>
  <c r="B163" i="29"/>
  <c r="J162" i="29"/>
  <c r="K162" i="29" s="1"/>
  <c r="G162" i="29"/>
  <c r="D162" i="29"/>
  <c r="C162" i="29"/>
  <c r="B162" i="29"/>
  <c r="K161" i="29"/>
  <c r="J161" i="29"/>
  <c r="G161" i="29"/>
  <c r="D161" i="29"/>
  <c r="C161" i="29"/>
  <c r="B161" i="29"/>
  <c r="J160" i="29"/>
  <c r="K160" i="29" s="1"/>
  <c r="G160" i="29"/>
  <c r="D160" i="29"/>
  <c r="C160" i="29"/>
  <c r="B160" i="29"/>
  <c r="J159" i="29"/>
  <c r="K159" i="29" s="1"/>
  <c r="G159" i="29"/>
  <c r="D159" i="29"/>
  <c r="C159" i="29"/>
  <c r="B159" i="29"/>
  <c r="J158" i="29"/>
  <c r="K158" i="29" s="1"/>
  <c r="G158" i="29"/>
  <c r="D158" i="29"/>
  <c r="C158" i="29"/>
  <c r="B158" i="29"/>
  <c r="K157" i="29"/>
  <c r="J157" i="29"/>
  <c r="G157" i="29"/>
  <c r="D157" i="29"/>
  <c r="C157" i="29"/>
  <c r="B157" i="29"/>
  <c r="J156" i="29"/>
  <c r="K156" i="29" s="1"/>
  <c r="G156" i="29"/>
  <c r="D156" i="29"/>
  <c r="C156" i="29"/>
  <c r="B156" i="29"/>
  <c r="J155" i="29"/>
  <c r="K155" i="29" s="1"/>
  <c r="G155" i="29"/>
  <c r="D155" i="29"/>
  <c r="C155" i="29"/>
  <c r="B155" i="29"/>
  <c r="J154" i="29"/>
  <c r="K154" i="29" s="1"/>
  <c r="G154" i="29"/>
  <c r="D154" i="29"/>
  <c r="C154" i="29"/>
  <c r="B154" i="29"/>
  <c r="K153" i="29"/>
  <c r="J153" i="29"/>
  <c r="G153" i="29"/>
  <c r="D153" i="29"/>
  <c r="C153" i="29"/>
  <c r="B153" i="29"/>
  <c r="J152" i="29"/>
  <c r="K152" i="29" s="1"/>
  <c r="G152" i="29"/>
  <c r="D152" i="29"/>
  <c r="C152" i="29"/>
  <c r="B152" i="29"/>
  <c r="J151" i="29"/>
  <c r="K151" i="29" s="1"/>
  <c r="G151" i="29"/>
  <c r="D151" i="29"/>
  <c r="C151" i="29"/>
  <c r="B151" i="29"/>
  <c r="J150" i="29"/>
  <c r="K150" i="29" s="1"/>
  <c r="G150" i="29"/>
  <c r="D150" i="29"/>
  <c r="C150" i="29"/>
  <c r="B150" i="29"/>
  <c r="K149" i="29"/>
  <c r="J149" i="29"/>
  <c r="G149" i="29"/>
  <c r="D149" i="29"/>
  <c r="C149" i="29"/>
  <c r="B149" i="29"/>
  <c r="J148" i="29"/>
  <c r="K148" i="29" s="1"/>
  <c r="G148" i="29"/>
  <c r="D148" i="29"/>
  <c r="C148" i="29"/>
  <c r="B148" i="29"/>
  <c r="J147" i="29"/>
  <c r="K147" i="29" s="1"/>
  <c r="G147" i="29"/>
  <c r="D147" i="29"/>
  <c r="C147" i="29"/>
  <c r="B147" i="29"/>
  <c r="J146" i="29"/>
  <c r="K146" i="29" s="1"/>
  <c r="G146" i="29"/>
  <c r="D146" i="29"/>
  <c r="C146" i="29"/>
  <c r="B146" i="29"/>
  <c r="K145" i="29"/>
  <c r="J145" i="29"/>
  <c r="G145" i="29"/>
  <c r="D145" i="29"/>
  <c r="C145" i="29"/>
  <c r="B145" i="29"/>
  <c r="J144" i="29"/>
  <c r="K144" i="29" s="1"/>
  <c r="G144" i="29"/>
  <c r="D144" i="29"/>
  <c r="C144" i="29"/>
  <c r="B144" i="29"/>
  <c r="J143" i="29"/>
  <c r="K143" i="29" s="1"/>
  <c r="G143" i="29"/>
  <c r="D143" i="29"/>
  <c r="C143" i="29"/>
  <c r="B143" i="29"/>
  <c r="J142" i="29"/>
  <c r="K142" i="29" s="1"/>
  <c r="G142" i="29"/>
  <c r="D142" i="29"/>
  <c r="C142" i="29"/>
  <c r="B142" i="29"/>
  <c r="J141" i="29"/>
  <c r="K141" i="29" s="1"/>
  <c r="G141" i="29"/>
  <c r="D141" i="29"/>
  <c r="C141" i="29"/>
  <c r="B141" i="29"/>
  <c r="J140" i="29"/>
  <c r="K140" i="29" s="1"/>
  <c r="G140" i="29"/>
  <c r="D140" i="29"/>
  <c r="C140" i="29"/>
  <c r="B140" i="29"/>
  <c r="J139" i="29"/>
  <c r="K139" i="29" s="1"/>
  <c r="G139" i="29"/>
  <c r="D139" i="29"/>
  <c r="C139" i="29"/>
  <c r="B139" i="29"/>
  <c r="J138" i="29"/>
  <c r="K138" i="29" s="1"/>
  <c r="G138" i="29"/>
  <c r="D138" i="29"/>
  <c r="C138" i="29"/>
  <c r="B138" i="29"/>
  <c r="J137" i="29"/>
  <c r="K137" i="29" s="1"/>
  <c r="G137" i="29"/>
  <c r="D137" i="29"/>
  <c r="C137" i="29"/>
  <c r="B137" i="29"/>
  <c r="J136" i="29"/>
  <c r="K136" i="29" s="1"/>
  <c r="G136" i="29"/>
  <c r="D136" i="29"/>
  <c r="C136" i="29"/>
  <c r="B136" i="29"/>
  <c r="J135" i="29"/>
  <c r="K135" i="29" s="1"/>
  <c r="G135" i="29"/>
  <c r="D135" i="29"/>
  <c r="C135" i="29"/>
  <c r="B135" i="29"/>
  <c r="J134" i="29"/>
  <c r="K134" i="29" s="1"/>
  <c r="G134" i="29"/>
  <c r="D134" i="29"/>
  <c r="C134" i="29"/>
  <c r="B134" i="29"/>
  <c r="J133" i="29"/>
  <c r="K133" i="29" s="1"/>
  <c r="G133" i="29"/>
  <c r="D133" i="29"/>
  <c r="C133" i="29"/>
  <c r="B133" i="29"/>
  <c r="J132" i="29"/>
  <c r="K132" i="29" s="1"/>
  <c r="G132" i="29"/>
  <c r="D132" i="29"/>
  <c r="C132" i="29"/>
  <c r="B132" i="29"/>
  <c r="J131" i="29"/>
  <c r="K131" i="29" s="1"/>
  <c r="G131" i="29"/>
  <c r="D131" i="29"/>
  <c r="C131" i="29"/>
  <c r="B131" i="29"/>
  <c r="J130" i="29"/>
  <c r="K130" i="29" s="1"/>
  <c r="G130" i="29"/>
  <c r="D130" i="29"/>
  <c r="C130" i="29"/>
  <c r="B130" i="29"/>
  <c r="J129" i="29"/>
  <c r="K129" i="29" s="1"/>
  <c r="G129" i="29"/>
  <c r="D129" i="29"/>
  <c r="C129" i="29"/>
  <c r="B129" i="29"/>
  <c r="J128" i="29"/>
  <c r="K128" i="29" s="1"/>
  <c r="G128" i="29"/>
  <c r="D128" i="29"/>
  <c r="C128" i="29"/>
  <c r="B128" i="29"/>
  <c r="J127" i="29"/>
  <c r="K127" i="29" s="1"/>
  <c r="G127" i="29"/>
  <c r="D127" i="29"/>
  <c r="C127" i="29"/>
  <c r="B127" i="29"/>
  <c r="J126" i="29"/>
  <c r="K126" i="29" s="1"/>
  <c r="G126" i="29"/>
  <c r="D126" i="29"/>
  <c r="C126" i="29"/>
  <c r="B126" i="29"/>
  <c r="J125" i="29"/>
  <c r="K125" i="29" s="1"/>
  <c r="G125" i="29"/>
  <c r="D125" i="29"/>
  <c r="C125" i="29"/>
  <c r="B125" i="29"/>
  <c r="J124" i="29"/>
  <c r="K124" i="29" s="1"/>
  <c r="G124" i="29"/>
  <c r="D124" i="29"/>
  <c r="C124" i="29"/>
  <c r="B124" i="29"/>
  <c r="J123" i="29"/>
  <c r="K123" i="29" s="1"/>
  <c r="G123" i="29"/>
  <c r="D123" i="29"/>
  <c r="C123" i="29"/>
  <c r="B123" i="29"/>
  <c r="J122" i="29"/>
  <c r="K122" i="29" s="1"/>
  <c r="G122" i="29"/>
  <c r="D122" i="29"/>
  <c r="C122" i="29"/>
  <c r="B122" i="29"/>
  <c r="J121" i="29"/>
  <c r="K121" i="29" s="1"/>
  <c r="G121" i="29"/>
  <c r="D121" i="29"/>
  <c r="C121" i="29"/>
  <c r="B121" i="29"/>
  <c r="J120" i="29"/>
  <c r="K120" i="29" s="1"/>
  <c r="G120" i="29"/>
  <c r="D120" i="29"/>
  <c r="C120" i="29"/>
  <c r="B120" i="29"/>
  <c r="J119" i="29"/>
  <c r="K119" i="29" s="1"/>
  <c r="G119" i="29"/>
  <c r="D119" i="29"/>
  <c r="C119" i="29"/>
  <c r="B119" i="29"/>
  <c r="J118" i="29"/>
  <c r="K118" i="29" s="1"/>
  <c r="G118" i="29"/>
  <c r="D118" i="29"/>
  <c r="C118" i="29"/>
  <c r="B118" i="29"/>
  <c r="J117" i="29"/>
  <c r="K117" i="29" s="1"/>
  <c r="G117" i="29"/>
  <c r="D117" i="29"/>
  <c r="C117" i="29"/>
  <c r="B117" i="29"/>
  <c r="J116" i="29"/>
  <c r="K116" i="29" s="1"/>
  <c r="G116" i="29"/>
  <c r="D116" i="29"/>
  <c r="C116" i="29"/>
  <c r="B116" i="29"/>
  <c r="K115" i="29"/>
  <c r="J115" i="29"/>
  <c r="G115" i="29"/>
  <c r="D115" i="29"/>
  <c r="C115" i="29"/>
  <c r="B115" i="29"/>
  <c r="J114" i="29"/>
  <c r="K114" i="29" s="1"/>
  <c r="G114" i="29"/>
  <c r="D114" i="29"/>
  <c r="C114" i="29"/>
  <c r="B114" i="29"/>
  <c r="K113" i="29"/>
  <c r="J113" i="29"/>
  <c r="G113" i="29"/>
  <c r="D113" i="29"/>
  <c r="C113" i="29"/>
  <c r="B113" i="29"/>
  <c r="J112" i="29"/>
  <c r="K112" i="29" s="1"/>
  <c r="G112" i="29"/>
  <c r="D112" i="29"/>
  <c r="C112" i="29"/>
  <c r="B112" i="29"/>
  <c r="K111" i="29"/>
  <c r="J111" i="29"/>
  <c r="G111" i="29"/>
  <c r="D111" i="29"/>
  <c r="C111" i="29"/>
  <c r="B111" i="29"/>
  <c r="J110" i="29"/>
  <c r="K110" i="29" s="1"/>
  <c r="G110" i="29"/>
  <c r="D110" i="29"/>
  <c r="C110" i="29"/>
  <c r="B110" i="29"/>
  <c r="J109" i="29"/>
  <c r="K109" i="29" s="1"/>
  <c r="G109" i="29"/>
  <c r="D109" i="29"/>
  <c r="C109" i="29"/>
  <c r="B109" i="29"/>
  <c r="J108" i="29"/>
  <c r="K108" i="29" s="1"/>
  <c r="G108" i="29"/>
  <c r="D108" i="29"/>
  <c r="C108" i="29"/>
  <c r="B108" i="29"/>
  <c r="J107" i="29"/>
  <c r="K107" i="29" s="1"/>
  <c r="G107" i="29"/>
  <c r="D107" i="29"/>
  <c r="C107" i="29"/>
  <c r="B107" i="29"/>
  <c r="J106" i="29"/>
  <c r="K106" i="29" s="1"/>
  <c r="G106" i="29"/>
  <c r="D106" i="29"/>
  <c r="C106" i="29"/>
  <c r="B106" i="29"/>
  <c r="J105" i="29"/>
  <c r="K105" i="29" s="1"/>
  <c r="G105" i="29"/>
  <c r="D105" i="29"/>
  <c r="C105" i="29"/>
  <c r="B105" i="29"/>
  <c r="J104" i="29"/>
  <c r="K104" i="29" s="1"/>
  <c r="G104" i="29"/>
  <c r="D104" i="29"/>
  <c r="C104" i="29"/>
  <c r="B104" i="29"/>
  <c r="J103" i="29"/>
  <c r="K103" i="29" s="1"/>
  <c r="G103" i="29"/>
  <c r="D103" i="29"/>
  <c r="C103" i="29"/>
  <c r="B103" i="29"/>
  <c r="K102" i="29"/>
  <c r="J102" i="29"/>
  <c r="G102" i="29"/>
  <c r="D102" i="29"/>
  <c r="C102" i="29"/>
  <c r="B102" i="29"/>
  <c r="K101" i="29"/>
  <c r="J101" i="29"/>
  <c r="G101" i="29"/>
  <c r="D101" i="29"/>
  <c r="C101" i="29"/>
  <c r="B101" i="29"/>
  <c r="J100" i="29"/>
  <c r="K100" i="29" s="1"/>
  <c r="G100" i="29"/>
  <c r="D100" i="29"/>
  <c r="C100" i="29"/>
  <c r="B100" i="29"/>
  <c r="J99" i="29"/>
  <c r="K99" i="29" s="1"/>
  <c r="G99" i="29"/>
  <c r="D99" i="29"/>
  <c r="C99" i="29"/>
  <c r="B99" i="29"/>
  <c r="J98" i="29"/>
  <c r="K98" i="29" s="1"/>
  <c r="G98" i="29"/>
  <c r="D98" i="29"/>
  <c r="C98" i="29"/>
  <c r="B98" i="29"/>
  <c r="J97" i="29"/>
  <c r="K97" i="29" s="1"/>
  <c r="G97" i="29"/>
  <c r="D97" i="29"/>
  <c r="C97" i="29"/>
  <c r="B97" i="29"/>
  <c r="K96" i="29"/>
  <c r="J96" i="29"/>
  <c r="G96" i="29"/>
  <c r="D96" i="29"/>
  <c r="C96" i="29"/>
  <c r="B96" i="29"/>
  <c r="J95" i="29"/>
  <c r="K95" i="29" s="1"/>
  <c r="G95" i="29"/>
  <c r="D95" i="29"/>
  <c r="C95" i="29"/>
  <c r="B95" i="29"/>
  <c r="J94" i="29"/>
  <c r="K94" i="29" s="1"/>
  <c r="G94" i="29"/>
  <c r="D94" i="29"/>
  <c r="C94" i="29"/>
  <c r="B94" i="29"/>
  <c r="J93" i="29"/>
  <c r="K93" i="29" s="1"/>
  <c r="G93" i="29"/>
  <c r="D93" i="29"/>
  <c r="C93" i="29"/>
  <c r="B93" i="29"/>
  <c r="K92" i="29"/>
  <c r="J92" i="29"/>
  <c r="G92" i="29"/>
  <c r="D92" i="29"/>
  <c r="C92" i="29"/>
  <c r="B92" i="29"/>
  <c r="J91" i="29"/>
  <c r="K91" i="29" s="1"/>
  <c r="G91" i="29"/>
  <c r="D91" i="29"/>
  <c r="C91" i="29"/>
  <c r="B91" i="29"/>
  <c r="J90" i="29"/>
  <c r="K90" i="29" s="1"/>
  <c r="G90" i="29"/>
  <c r="D90" i="29"/>
  <c r="C90" i="29"/>
  <c r="B90" i="29"/>
  <c r="J89" i="29"/>
  <c r="K89" i="29" s="1"/>
  <c r="G89" i="29"/>
  <c r="D89" i="29"/>
  <c r="C89" i="29"/>
  <c r="B89" i="29"/>
  <c r="K88" i="29"/>
  <c r="J88" i="29"/>
  <c r="G88" i="29"/>
  <c r="D88" i="29"/>
  <c r="C88" i="29"/>
  <c r="B88" i="29"/>
  <c r="J87" i="29"/>
  <c r="K87" i="29" s="1"/>
  <c r="G87" i="29"/>
  <c r="D87" i="29"/>
  <c r="C87" i="29"/>
  <c r="B87" i="29"/>
  <c r="J86" i="29"/>
  <c r="K86" i="29" s="1"/>
  <c r="G86" i="29"/>
  <c r="D86" i="29"/>
  <c r="C86" i="29"/>
  <c r="B86" i="29"/>
  <c r="J85" i="29"/>
  <c r="K85" i="29" s="1"/>
  <c r="G85" i="29"/>
  <c r="D85" i="29"/>
  <c r="C85" i="29"/>
  <c r="B85" i="29"/>
  <c r="K84" i="29"/>
  <c r="J84" i="29"/>
  <c r="G84" i="29"/>
  <c r="D84" i="29"/>
  <c r="C84" i="29"/>
  <c r="B84" i="29"/>
  <c r="J83" i="29"/>
  <c r="K83" i="29" s="1"/>
  <c r="G83" i="29"/>
  <c r="D83" i="29"/>
  <c r="C83" i="29"/>
  <c r="B83" i="29"/>
  <c r="J82" i="29"/>
  <c r="K82" i="29" s="1"/>
  <c r="G82" i="29"/>
  <c r="D82" i="29"/>
  <c r="C82" i="29"/>
  <c r="B82" i="29"/>
  <c r="J81" i="29"/>
  <c r="K81" i="29" s="1"/>
  <c r="G81" i="29"/>
  <c r="D81" i="29"/>
  <c r="C81" i="29"/>
  <c r="B81" i="29"/>
  <c r="K80" i="29"/>
  <c r="J80" i="29"/>
  <c r="G80" i="29"/>
  <c r="D80" i="29"/>
  <c r="C80" i="29"/>
  <c r="B80" i="29"/>
  <c r="J79" i="29"/>
  <c r="K79" i="29" s="1"/>
  <c r="G79" i="29"/>
  <c r="D79" i="29"/>
  <c r="C79" i="29"/>
  <c r="B79" i="29"/>
  <c r="J78" i="29"/>
  <c r="K78" i="29" s="1"/>
  <c r="G78" i="29"/>
  <c r="D78" i="29"/>
  <c r="C78" i="29"/>
  <c r="B78" i="29"/>
  <c r="J77" i="29"/>
  <c r="K77" i="29" s="1"/>
  <c r="G77" i="29"/>
  <c r="D77" i="29"/>
  <c r="C77" i="29"/>
  <c r="B77" i="29"/>
  <c r="K76" i="29"/>
  <c r="J76" i="29"/>
  <c r="G76" i="29"/>
  <c r="D76" i="29"/>
  <c r="C76" i="29"/>
  <c r="B76" i="29"/>
  <c r="J75" i="29"/>
  <c r="K75" i="29" s="1"/>
  <c r="G75" i="29"/>
  <c r="D75" i="29"/>
  <c r="C75" i="29"/>
  <c r="B75" i="29"/>
  <c r="J74" i="29"/>
  <c r="K74" i="29" s="1"/>
  <c r="G74" i="29"/>
  <c r="D74" i="29"/>
  <c r="C74" i="29"/>
  <c r="B74" i="29"/>
  <c r="J73" i="29"/>
  <c r="K73" i="29" s="1"/>
  <c r="G73" i="29"/>
  <c r="D73" i="29"/>
  <c r="C73" i="29"/>
  <c r="B73" i="29"/>
  <c r="K72" i="29"/>
  <c r="J72" i="29"/>
  <c r="G72" i="29"/>
  <c r="D72" i="29"/>
  <c r="C72" i="29"/>
  <c r="B72" i="29"/>
  <c r="J71" i="29"/>
  <c r="K71" i="29" s="1"/>
  <c r="G71" i="29"/>
  <c r="D71" i="29"/>
  <c r="C71" i="29"/>
  <c r="B71" i="29"/>
  <c r="J70" i="29"/>
  <c r="K70" i="29" s="1"/>
  <c r="G70" i="29"/>
  <c r="D70" i="29"/>
  <c r="C70" i="29"/>
  <c r="B70" i="29"/>
  <c r="J69" i="29"/>
  <c r="K69" i="29" s="1"/>
  <c r="G69" i="29"/>
  <c r="D69" i="29"/>
  <c r="C69" i="29"/>
  <c r="B69" i="29"/>
  <c r="K68" i="29"/>
  <c r="J68" i="29"/>
  <c r="G68" i="29"/>
  <c r="D68" i="29"/>
  <c r="C68" i="29"/>
  <c r="B68" i="29"/>
  <c r="J67" i="29"/>
  <c r="K67" i="29" s="1"/>
  <c r="G67" i="29"/>
  <c r="D67" i="29"/>
  <c r="C67" i="29"/>
  <c r="B67" i="29"/>
  <c r="J66" i="29"/>
  <c r="K66" i="29" s="1"/>
  <c r="G66" i="29"/>
  <c r="D66" i="29"/>
  <c r="C66" i="29"/>
  <c r="B66" i="29"/>
  <c r="J65" i="29"/>
  <c r="K65" i="29" s="1"/>
  <c r="G65" i="29"/>
  <c r="D65" i="29"/>
  <c r="C65" i="29"/>
  <c r="B65" i="29"/>
  <c r="K64" i="29"/>
  <c r="J64" i="29"/>
  <c r="G64" i="29"/>
  <c r="D64" i="29"/>
  <c r="C64" i="29"/>
  <c r="B64" i="29"/>
  <c r="J63" i="29"/>
  <c r="K63" i="29" s="1"/>
  <c r="G63" i="29"/>
  <c r="D63" i="29"/>
  <c r="C63" i="29"/>
  <c r="B63" i="29"/>
  <c r="J62" i="29"/>
  <c r="K62" i="29" s="1"/>
  <c r="G62" i="29"/>
  <c r="D62" i="29"/>
  <c r="C62" i="29"/>
  <c r="B62" i="29"/>
  <c r="J61" i="29"/>
  <c r="K61" i="29" s="1"/>
  <c r="G61" i="29"/>
  <c r="D61" i="29"/>
  <c r="C61" i="29"/>
  <c r="B61" i="29"/>
  <c r="K60" i="29"/>
  <c r="J60" i="29"/>
  <c r="G60" i="29"/>
  <c r="D60" i="29"/>
  <c r="C60" i="29"/>
  <c r="B60" i="29"/>
  <c r="J59" i="29"/>
  <c r="K59" i="29" s="1"/>
  <c r="G59" i="29"/>
  <c r="D59" i="29"/>
  <c r="C59" i="29"/>
  <c r="B59" i="29"/>
  <c r="J58" i="29"/>
  <c r="K58" i="29" s="1"/>
  <c r="G58" i="29"/>
  <c r="D58" i="29"/>
  <c r="C58" i="29"/>
  <c r="B58" i="29"/>
  <c r="J57" i="29"/>
  <c r="K57" i="29" s="1"/>
  <c r="G57" i="29"/>
  <c r="D57" i="29"/>
  <c r="C57" i="29"/>
  <c r="B57" i="29"/>
  <c r="K56" i="29"/>
  <c r="J56" i="29"/>
  <c r="G56" i="29"/>
  <c r="D56" i="29"/>
  <c r="C56" i="29"/>
  <c r="B56" i="29"/>
  <c r="J55" i="29"/>
  <c r="K55" i="29" s="1"/>
  <c r="G55" i="29"/>
  <c r="D55" i="29"/>
  <c r="C55" i="29"/>
  <c r="B55" i="29"/>
  <c r="J54" i="29"/>
  <c r="K54" i="29" s="1"/>
  <c r="G54" i="29"/>
  <c r="D54" i="29"/>
  <c r="C54" i="29"/>
  <c r="B54" i="29"/>
  <c r="J53" i="29"/>
  <c r="K53" i="29" s="1"/>
  <c r="G53" i="29"/>
  <c r="D53" i="29"/>
  <c r="C53" i="29"/>
  <c r="B53" i="29"/>
  <c r="K52" i="29"/>
  <c r="J52" i="29"/>
  <c r="G52" i="29"/>
  <c r="D52" i="29"/>
  <c r="C52" i="29"/>
  <c r="B52" i="29"/>
  <c r="J51" i="29"/>
  <c r="K51" i="29" s="1"/>
  <c r="G51" i="29"/>
  <c r="D51" i="29"/>
  <c r="C51" i="29"/>
  <c r="B51" i="29"/>
  <c r="J50" i="29"/>
  <c r="K50" i="29" s="1"/>
  <c r="G50" i="29"/>
  <c r="D50" i="29"/>
  <c r="C50" i="29"/>
  <c r="B50" i="29"/>
  <c r="J49" i="29"/>
  <c r="K49" i="29" s="1"/>
  <c r="G49" i="29"/>
  <c r="D49" i="29"/>
  <c r="C49" i="29"/>
  <c r="B49" i="29"/>
  <c r="K48" i="29"/>
  <c r="J48" i="29"/>
  <c r="G48" i="29"/>
  <c r="D48" i="29"/>
  <c r="C48" i="29"/>
  <c r="B48" i="29"/>
  <c r="J47" i="29"/>
  <c r="K47" i="29" s="1"/>
  <c r="G47" i="29"/>
  <c r="D47" i="29"/>
  <c r="C47" i="29"/>
  <c r="B47" i="29"/>
  <c r="J46" i="29"/>
  <c r="K46" i="29" s="1"/>
  <c r="G46" i="29"/>
  <c r="D46" i="29"/>
  <c r="C46" i="29"/>
  <c r="B46" i="29"/>
  <c r="J45" i="29"/>
  <c r="K45" i="29" s="1"/>
  <c r="G45" i="29"/>
  <c r="D45" i="29"/>
  <c r="C45" i="29"/>
  <c r="B45" i="29"/>
  <c r="K44" i="29"/>
  <c r="J44" i="29"/>
  <c r="G44" i="29"/>
  <c r="D44" i="29"/>
  <c r="C44" i="29"/>
  <c r="B44" i="29"/>
  <c r="J43" i="29"/>
  <c r="K43" i="29" s="1"/>
  <c r="G43" i="29"/>
  <c r="D43" i="29"/>
  <c r="C43" i="29"/>
  <c r="B43" i="29"/>
  <c r="J42" i="29"/>
  <c r="K42" i="29" s="1"/>
  <c r="G42" i="29"/>
  <c r="D42" i="29"/>
  <c r="C42" i="29"/>
  <c r="B42" i="29"/>
  <c r="J41" i="29"/>
  <c r="K41" i="29" s="1"/>
  <c r="G41" i="29"/>
  <c r="D41" i="29"/>
  <c r="C41" i="29"/>
  <c r="B41" i="29"/>
  <c r="K40" i="29"/>
  <c r="J40" i="29"/>
  <c r="G40" i="29"/>
  <c r="D40" i="29"/>
  <c r="C40" i="29"/>
  <c r="B40" i="29"/>
  <c r="J39" i="29"/>
  <c r="K39" i="29" s="1"/>
  <c r="G39" i="29"/>
  <c r="D39" i="29"/>
  <c r="C39" i="29"/>
  <c r="B39" i="29"/>
  <c r="J38" i="29"/>
  <c r="K38" i="29" s="1"/>
  <c r="G38" i="29"/>
  <c r="D38" i="29"/>
  <c r="C38" i="29"/>
  <c r="B38" i="29"/>
  <c r="J37" i="29"/>
  <c r="K37" i="29" s="1"/>
  <c r="G37" i="29"/>
  <c r="D37" i="29"/>
  <c r="C37" i="29"/>
  <c r="B37" i="29"/>
  <c r="K36" i="29"/>
  <c r="J36" i="29"/>
  <c r="G36" i="29"/>
  <c r="D36" i="29"/>
  <c r="C36" i="29"/>
  <c r="B36" i="29"/>
  <c r="J35" i="29"/>
  <c r="K35" i="29" s="1"/>
  <c r="G35" i="29"/>
  <c r="D35" i="29"/>
  <c r="C35" i="29"/>
  <c r="B35" i="29"/>
  <c r="J34" i="29"/>
  <c r="K34" i="29" s="1"/>
  <c r="G34" i="29"/>
  <c r="D34" i="29"/>
  <c r="C34" i="29"/>
  <c r="B34" i="29"/>
  <c r="J33" i="29"/>
  <c r="K33" i="29" s="1"/>
  <c r="G33" i="29"/>
  <c r="D33" i="29"/>
  <c r="C33" i="29"/>
  <c r="B33" i="29"/>
  <c r="K32" i="29"/>
  <c r="J32" i="29"/>
  <c r="G32" i="29"/>
  <c r="D32" i="29"/>
  <c r="C32" i="29"/>
  <c r="B32" i="29"/>
  <c r="J31" i="29"/>
  <c r="K31" i="29" s="1"/>
  <c r="G31" i="29"/>
  <c r="D31" i="29"/>
  <c r="C31" i="29"/>
  <c r="B31" i="29"/>
  <c r="J30" i="29"/>
  <c r="K30" i="29" s="1"/>
  <c r="G30" i="29"/>
  <c r="D30" i="29"/>
  <c r="C30" i="29"/>
  <c r="B30" i="29"/>
  <c r="J29" i="29"/>
  <c r="K29" i="29" s="1"/>
  <c r="G29" i="29"/>
  <c r="D29" i="29"/>
  <c r="C29" i="29"/>
  <c r="B29" i="29"/>
  <c r="K28" i="29"/>
  <c r="J28" i="29"/>
  <c r="G28" i="29"/>
  <c r="D28" i="29"/>
  <c r="C28" i="29"/>
  <c r="B28" i="29"/>
  <c r="J27" i="29"/>
  <c r="K27" i="29" s="1"/>
  <c r="G27" i="29"/>
  <c r="D27" i="29"/>
  <c r="C27" i="29"/>
  <c r="B27" i="29"/>
  <c r="J26" i="29"/>
  <c r="K26" i="29" s="1"/>
  <c r="G26" i="29"/>
  <c r="D26" i="29"/>
  <c r="C26" i="29"/>
  <c r="B26" i="29"/>
  <c r="J25" i="29"/>
  <c r="K25" i="29" s="1"/>
  <c r="G25" i="29"/>
  <c r="D25" i="29"/>
  <c r="C25" i="29"/>
  <c r="B25" i="29"/>
  <c r="K24" i="29"/>
  <c r="J24" i="29"/>
  <c r="G24" i="29"/>
  <c r="D24" i="29"/>
  <c r="C24" i="29"/>
  <c r="B24" i="29"/>
  <c r="J23" i="29"/>
  <c r="K23" i="29" s="1"/>
  <c r="G23" i="29"/>
  <c r="D23" i="29"/>
  <c r="C23" i="29"/>
  <c r="B23" i="29"/>
  <c r="J22" i="29"/>
  <c r="K22" i="29" s="1"/>
  <c r="G22" i="29"/>
  <c r="D22" i="29"/>
  <c r="C22" i="29"/>
  <c r="B22" i="29"/>
  <c r="J21" i="29"/>
  <c r="K21" i="29" s="1"/>
  <c r="G21" i="29"/>
  <c r="D21" i="29"/>
  <c r="C21" i="29"/>
  <c r="B21" i="29"/>
  <c r="K20" i="29"/>
  <c r="J20" i="29"/>
  <c r="G20" i="29"/>
  <c r="D20" i="29"/>
  <c r="C20" i="29"/>
  <c r="B20" i="29"/>
  <c r="J19" i="29"/>
  <c r="K19" i="29" s="1"/>
  <c r="G19" i="29"/>
  <c r="D19" i="29"/>
  <c r="C19" i="29"/>
  <c r="B19" i="29"/>
  <c r="J18" i="29"/>
  <c r="K18" i="29" s="1"/>
  <c r="G18" i="29"/>
  <c r="D18" i="29"/>
  <c r="C18" i="29"/>
  <c r="B18" i="29"/>
  <c r="J17" i="29"/>
  <c r="K17" i="29" s="1"/>
  <c r="G17" i="29"/>
  <c r="D17" i="29"/>
  <c r="C17" i="29"/>
  <c r="B17" i="29"/>
  <c r="K16" i="29"/>
  <c r="J16" i="29"/>
  <c r="G16" i="29"/>
  <c r="D16" i="29"/>
  <c r="C16" i="29"/>
  <c r="B16" i="29"/>
  <c r="J15" i="29"/>
  <c r="K15" i="29" s="1"/>
  <c r="G15" i="29"/>
  <c r="D15" i="29"/>
  <c r="C15" i="29"/>
  <c r="B15" i="29"/>
  <c r="J14" i="29"/>
  <c r="K14" i="29" s="1"/>
  <c r="G14" i="29"/>
  <c r="D14" i="29"/>
  <c r="C14" i="29"/>
  <c r="B14" i="29"/>
  <c r="J13" i="29"/>
  <c r="K13" i="29" s="1"/>
  <c r="G13" i="29"/>
  <c r="D13" i="29"/>
  <c r="C13" i="29"/>
  <c r="B13" i="29"/>
  <c r="K12" i="29"/>
  <c r="J12" i="29"/>
  <c r="G12" i="29"/>
  <c r="D12" i="29"/>
  <c r="C12" i="29"/>
  <c r="B12" i="29"/>
  <c r="J11" i="29"/>
  <c r="K11" i="29" s="1"/>
  <c r="G11" i="29"/>
  <c r="D11" i="29"/>
  <c r="C11" i="29"/>
  <c r="B11" i="29"/>
  <c r="J10" i="29"/>
  <c r="K10" i="29" s="1"/>
  <c r="G10" i="29"/>
  <c r="D10" i="29"/>
  <c r="C10" i="29"/>
  <c r="B10" i="29"/>
  <c r="J9" i="29"/>
  <c r="K9" i="29" s="1"/>
  <c r="G9" i="29"/>
  <c r="D9" i="29"/>
  <c r="C9" i="29"/>
  <c r="B9" i="29"/>
  <c r="K4" i="29"/>
  <c r="G4" i="29"/>
  <c r="D4" i="29"/>
  <c r="A4" i="29"/>
  <c r="I208" i="28"/>
  <c r="J208" i="28" s="1"/>
  <c r="F208" i="28"/>
  <c r="D208" i="28"/>
  <c r="C208" i="28"/>
  <c r="B208" i="28"/>
  <c r="I207" i="28"/>
  <c r="J207" i="28" s="1"/>
  <c r="F207" i="28"/>
  <c r="D207" i="28"/>
  <c r="C207" i="28"/>
  <c r="B207" i="28"/>
  <c r="J206" i="28"/>
  <c r="I206" i="28"/>
  <c r="F206" i="28"/>
  <c r="D206" i="28"/>
  <c r="C206" i="28"/>
  <c r="B206" i="28"/>
  <c r="I205" i="28"/>
  <c r="J205" i="28" s="1"/>
  <c r="F205" i="28"/>
  <c r="D205" i="28"/>
  <c r="C205" i="28"/>
  <c r="B205" i="28"/>
  <c r="I204" i="28"/>
  <c r="J204" i="28" s="1"/>
  <c r="F204" i="28"/>
  <c r="D204" i="28"/>
  <c r="C204" i="28"/>
  <c r="B204" i="28"/>
  <c r="I203" i="28"/>
  <c r="J203" i="28" s="1"/>
  <c r="F203" i="28"/>
  <c r="D203" i="28"/>
  <c r="C203" i="28"/>
  <c r="B203" i="28"/>
  <c r="J202" i="28"/>
  <c r="I202" i="28"/>
  <c r="F202" i="28"/>
  <c r="D202" i="28"/>
  <c r="C202" i="28"/>
  <c r="B202" i="28"/>
  <c r="I201" i="28"/>
  <c r="J201" i="28" s="1"/>
  <c r="F201" i="28"/>
  <c r="D201" i="28"/>
  <c r="C201" i="28"/>
  <c r="B201" i="28"/>
  <c r="I200" i="28"/>
  <c r="J200" i="28" s="1"/>
  <c r="F200" i="28"/>
  <c r="D200" i="28"/>
  <c r="C200" i="28"/>
  <c r="B200" i="28"/>
  <c r="I199" i="28"/>
  <c r="J199" i="28" s="1"/>
  <c r="F199" i="28"/>
  <c r="D199" i="28"/>
  <c r="C199" i="28"/>
  <c r="B199" i="28"/>
  <c r="J198" i="28"/>
  <c r="I198" i="28"/>
  <c r="F198" i="28"/>
  <c r="D198" i="28"/>
  <c r="C198" i="28"/>
  <c r="B198" i="28"/>
  <c r="I197" i="28"/>
  <c r="J197" i="28" s="1"/>
  <c r="F197" i="28"/>
  <c r="D197" i="28"/>
  <c r="C197" i="28"/>
  <c r="B197" i="28"/>
  <c r="I196" i="28"/>
  <c r="J196" i="28" s="1"/>
  <c r="F196" i="28"/>
  <c r="D196" i="28"/>
  <c r="C196" i="28"/>
  <c r="B196" i="28"/>
  <c r="I195" i="28"/>
  <c r="J195" i="28" s="1"/>
  <c r="F195" i="28"/>
  <c r="D195" i="28"/>
  <c r="C195" i="28"/>
  <c r="B195" i="28"/>
  <c r="J194" i="28"/>
  <c r="I194" i="28"/>
  <c r="F194" i="28"/>
  <c r="D194" i="28"/>
  <c r="C194" i="28"/>
  <c r="B194" i="28"/>
  <c r="I193" i="28"/>
  <c r="J193" i="28" s="1"/>
  <c r="F193" i="28"/>
  <c r="D193" i="28"/>
  <c r="C193" i="28"/>
  <c r="B193" i="28"/>
  <c r="I192" i="28"/>
  <c r="J192" i="28" s="1"/>
  <c r="F192" i="28"/>
  <c r="D192" i="28"/>
  <c r="C192" i="28"/>
  <c r="B192" i="28"/>
  <c r="I191" i="28"/>
  <c r="J191" i="28" s="1"/>
  <c r="F191" i="28"/>
  <c r="D191" i="28"/>
  <c r="C191" i="28"/>
  <c r="B191" i="28"/>
  <c r="J190" i="28"/>
  <c r="I190" i="28"/>
  <c r="F190" i="28"/>
  <c r="D190" i="28"/>
  <c r="C190" i="28"/>
  <c r="B190" i="28"/>
  <c r="I189" i="28"/>
  <c r="J189" i="28" s="1"/>
  <c r="F189" i="28"/>
  <c r="D189" i="28"/>
  <c r="C189" i="28"/>
  <c r="B189" i="28"/>
  <c r="I188" i="28"/>
  <c r="J188" i="28" s="1"/>
  <c r="F188" i="28"/>
  <c r="D188" i="28"/>
  <c r="C188" i="28"/>
  <c r="B188" i="28"/>
  <c r="I187" i="28"/>
  <c r="J187" i="28" s="1"/>
  <c r="F187" i="28"/>
  <c r="D187" i="28"/>
  <c r="C187" i="28"/>
  <c r="B187" i="28"/>
  <c r="J186" i="28"/>
  <c r="I186" i="28"/>
  <c r="F186" i="28"/>
  <c r="D186" i="28"/>
  <c r="C186" i="28"/>
  <c r="B186" i="28"/>
  <c r="I185" i="28"/>
  <c r="J185" i="28" s="1"/>
  <c r="F185" i="28"/>
  <c r="D185" i="28"/>
  <c r="C185" i="28"/>
  <c r="B185" i="28"/>
  <c r="I184" i="28"/>
  <c r="J184" i="28" s="1"/>
  <c r="F184" i="28"/>
  <c r="D184" i="28"/>
  <c r="C184" i="28"/>
  <c r="B184" i="28"/>
  <c r="I183" i="28"/>
  <c r="J183" i="28" s="1"/>
  <c r="F183" i="28"/>
  <c r="D183" i="28"/>
  <c r="C183" i="28"/>
  <c r="B183" i="28"/>
  <c r="J182" i="28"/>
  <c r="I182" i="28"/>
  <c r="F182" i="28"/>
  <c r="D182" i="28"/>
  <c r="C182" i="28"/>
  <c r="B182" i="28"/>
  <c r="I181" i="28"/>
  <c r="J181" i="28" s="1"/>
  <c r="F181" i="28"/>
  <c r="D181" i="28"/>
  <c r="C181" i="28"/>
  <c r="B181" i="28"/>
  <c r="I180" i="28"/>
  <c r="J180" i="28" s="1"/>
  <c r="F180" i="28"/>
  <c r="D180" i="28"/>
  <c r="C180" i="28"/>
  <c r="B180" i="28"/>
  <c r="I179" i="28"/>
  <c r="J179" i="28" s="1"/>
  <c r="F179" i="28"/>
  <c r="D179" i="28"/>
  <c r="C179" i="28"/>
  <c r="B179" i="28"/>
  <c r="J178" i="28"/>
  <c r="I178" i="28"/>
  <c r="F178" i="28"/>
  <c r="D178" i="28"/>
  <c r="C178" i="28"/>
  <c r="B178" i="28"/>
  <c r="I177" i="28"/>
  <c r="J177" i="28" s="1"/>
  <c r="F177" i="28"/>
  <c r="D177" i="28"/>
  <c r="C177" i="28"/>
  <c r="B177" i="28"/>
  <c r="I176" i="28"/>
  <c r="J176" i="28" s="1"/>
  <c r="F176" i="28"/>
  <c r="D176" i="28"/>
  <c r="C176" i="28"/>
  <c r="B176" i="28"/>
  <c r="I175" i="28"/>
  <c r="J175" i="28" s="1"/>
  <c r="F175" i="28"/>
  <c r="D175" i="28"/>
  <c r="C175" i="28"/>
  <c r="B175" i="28"/>
  <c r="J174" i="28"/>
  <c r="I174" i="28"/>
  <c r="F174" i="28"/>
  <c r="D174" i="28"/>
  <c r="C174" i="28"/>
  <c r="B174" i="28"/>
  <c r="I173" i="28"/>
  <c r="J173" i="28" s="1"/>
  <c r="F173" i="28"/>
  <c r="D173" i="28"/>
  <c r="C173" i="28"/>
  <c r="B173" i="28"/>
  <c r="I172" i="28"/>
  <c r="J172" i="28" s="1"/>
  <c r="F172" i="28"/>
  <c r="D172" i="28"/>
  <c r="C172" i="28"/>
  <c r="B172" i="28"/>
  <c r="I171" i="28"/>
  <c r="J171" i="28" s="1"/>
  <c r="F171" i="28"/>
  <c r="D171" i="28"/>
  <c r="C171" i="28"/>
  <c r="B171" i="28"/>
  <c r="J170" i="28"/>
  <c r="I170" i="28"/>
  <c r="F170" i="28"/>
  <c r="D170" i="28"/>
  <c r="C170" i="28"/>
  <c r="B170" i="28"/>
  <c r="I169" i="28"/>
  <c r="J169" i="28" s="1"/>
  <c r="F169" i="28"/>
  <c r="D169" i="28"/>
  <c r="C169" i="28"/>
  <c r="B169" i="28"/>
  <c r="I168" i="28"/>
  <c r="J168" i="28" s="1"/>
  <c r="F168" i="28"/>
  <c r="D168" i="28"/>
  <c r="C168" i="28"/>
  <c r="B168" i="28"/>
  <c r="I167" i="28"/>
  <c r="J167" i="28" s="1"/>
  <c r="F167" i="28"/>
  <c r="D167" i="28"/>
  <c r="C167" i="28"/>
  <c r="B167" i="28"/>
  <c r="J166" i="28"/>
  <c r="I166" i="28"/>
  <c r="F166" i="28"/>
  <c r="D166" i="28"/>
  <c r="C166" i="28"/>
  <c r="B166" i="28"/>
  <c r="I165" i="28"/>
  <c r="J165" i="28" s="1"/>
  <c r="F165" i="28"/>
  <c r="D165" i="28"/>
  <c r="C165" i="28"/>
  <c r="B165" i="28"/>
  <c r="I164" i="28"/>
  <c r="J164" i="28" s="1"/>
  <c r="F164" i="28"/>
  <c r="D164" i="28"/>
  <c r="C164" i="28"/>
  <c r="B164" i="28"/>
  <c r="I163" i="28"/>
  <c r="J163" i="28" s="1"/>
  <c r="F163" i="28"/>
  <c r="D163" i="28"/>
  <c r="C163" i="28"/>
  <c r="B163" i="28"/>
  <c r="J162" i="28"/>
  <c r="I162" i="28"/>
  <c r="F162" i="28"/>
  <c r="D162" i="28"/>
  <c r="C162" i="28"/>
  <c r="B162" i="28"/>
  <c r="I161" i="28"/>
  <c r="J161" i="28" s="1"/>
  <c r="F161" i="28"/>
  <c r="D161" i="28"/>
  <c r="C161" i="28"/>
  <c r="B161" i="28"/>
  <c r="I160" i="28"/>
  <c r="J160" i="28" s="1"/>
  <c r="F160" i="28"/>
  <c r="D160" i="28"/>
  <c r="C160" i="28"/>
  <c r="B160" i="28"/>
  <c r="I159" i="28"/>
  <c r="J159" i="28" s="1"/>
  <c r="F159" i="28"/>
  <c r="D159" i="28"/>
  <c r="C159" i="28"/>
  <c r="B159" i="28"/>
  <c r="J158" i="28"/>
  <c r="I158" i="28"/>
  <c r="F158" i="28"/>
  <c r="D158" i="28"/>
  <c r="C158" i="28"/>
  <c r="B158" i="28"/>
  <c r="I157" i="28"/>
  <c r="J157" i="28" s="1"/>
  <c r="F157" i="28"/>
  <c r="D157" i="28"/>
  <c r="C157" i="28"/>
  <c r="B157" i="28"/>
  <c r="I156" i="28"/>
  <c r="J156" i="28" s="1"/>
  <c r="F156" i="28"/>
  <c r="D156" i="28"/>
  <c r="C156" i="28"/>
  <c r="B156" i="28"/>
  <c r="I155" i="28"/>
  <c r="J155" i="28" s="1"/>
  <c r="F155" i="28"/>
  <c r="D155" i="28"/>
  <c r="C155" i="28"/>
  <c r="B155" i="28"/>
  <c r="J154" i="28"/>
  <c r="I154" i="28"/>
  <c r="F154" i="28"/>
  <c r="D154" i="28"/>
  <c r="C154" i="28"/>
  <c r="B154" i="28"/>
  <c r="I153" i="28"/>
  <c r="J153" i="28" s="1"/>
  <c r="F153" i="28"/>
  <c r="D153" i="28"/>
  <c r="C153" i="28"/>
  <c r="B153" i="28"/>
  <c r="I152" i="28"/>
  <c r="J152" i="28" s="1"/>
  <c r="F152" i="28"/>
  <c r="D152" i="28"/>
  <c r="C152" i="28"/>
  <c r="B152" i="28"/>
  <c r="I151" i="28"/>
  <c r="J151" i="28" s="1"/>
  <c r="F151" i="28"/>
  <c r="D151" i="28"/>
  <c r="C151" i="28"/>
  <c r="B151" i="28"/>
  <c r="J150" i="28"/>
  <c r="I150" i="28"/>
  <c r="F150" i="28"/>
  <c r="D150" i="28"/>
  <c r="C150" i="28"/>
  <c r="B150" i="28"/>
  <c r="I149" i="28"/>
  <c r="J149" i="28" s="1"/>
  <c r="F149" i="28"/>
  <c r="D149" i="28"/>
  <c r="C149" i="28"/>
  <c r="B149" i="28"/>
  <c r="I148" i="28"/>
  <c r="J148" i="28" s="1"/>
  <c r="F148" i="28"/>
  <c r="D148" i="28"/>
  <c r="C148" i="28"/>
  <c r="B148" i="28"/>
  <c r="I147" i="28"/>
  <c r="J147" i="28" s="1"/>
  <c r="F147" i="28"/>
  <c r="D147" i="28"/>
  <c r="C147" i="28"/>
  <c r="B147" i="28"/>
  <c r="J146" i="28"/>
  <c r="I146" i="28"/>
  <c r="F146" i="28"/>
  <c r="D146" i="28"/>
  <c r="C146" i="28"/>
  <c r="B146" i="28"/>
  <c r="I145" i="28"/>
  <c r="J145" i="28" s="1"/>
  <c r="F145" i="28"/>
  <c r="D145" i="28"/>
  <c r="C145" i="28"/>
  <c r="B145" i="28"/>
  <c r="I144" i="28"/>
  <c r="J144" i="28" s="1"/>
  <c r="F144" i="28"/>
  <c r="D144" i="28"/>
  <c r="C144" i="28"/>
  <c r="B144" i="28"/>
  <c r="I143" i="28"/>
  <c r="J143" i="28" s="1"/>
  <c r="F143" i="28"/>
  <c r="D143" i="28"/>
  <c r="C143" i="28"/>
  <c r="B143" i="28"/>
  <c r="J142" i="28"/>
  <c r="I142" i="28"/>
  <c r="F142" i="28"/>
  <c r="D142" i="28"/>
  <c r="C142" i="28"/>
  <c r="B142" i="28"/>
  <c r="I141" i="28"/>
  <c r="J141" i="28" s="1"/>
  <c r="F141" i="28"/>
  <c r="D141" i="28"/>
  <c r="C141" i="28"/>
  <c r="B141" i="28"/>
  <c r="I140" i="28"/>
  <c r="J140" i="28" s="1"/>
  <c r="F140" i="28"/>
  <c r="D140" i="28"/>
  <c r="C140" i="28"/>
  <c r="B140" i="28"/>
  <c r="I139" i="28"/>
  <c r="J139" i="28" s="1"/>
  <c r="F139" i="28"/>
  <c r="D139" i="28"/>
  <c r="C139" i="28"/>
  <c r="B139" i="28"/>
  <c r="J138" i="28"/>
  <c r="I138" i="28"/>
  <c r="F138" i="28"/>
  <c r="D138" i="28"/>
  <c r="C138" i="28"/>
  <c r="B138" i="28"/>
  <c r="I137" i="28"/>
  <c r="J137" i="28" s="1"/>
  <c r="F137" i="28"/>
  <c r="D137" i="28"/>
  <c r="C137" i="28"/>
  <c r="B137" i="28"/>
  <c r="I136" i="28"/>
  <c r="J136" i="28" s="1"/>
  <c r="F136" i="28"/>
  <c r="D136" i="28"/>
  <c r="C136" i="28"/>
  <c r="B136" i="28"/>
  <c r="I135" i="28"/>
  <c r="J135" i="28" s="1"/>
  <c r="F135" i="28"/>
  <c r="D135" i="28"/>
  <c r="C135" i="28"/>
  <c r="B135" i="28"/>
  <c r="J134" i="28"/>
  <c r="I134" i="28"/>
  <c r="F134" i="28"/>
  <c r="D134" i="28"/>
  <c r="C134" i="28"/>
  <c r="B134" i="28"/>
  <c r="I133" i="28"/>
  <c r="J133" i="28" s="1"/>
  <c r="F133" i="28"/>
  <c r="D133" i="28"/>
  <c r="C133" i="28"/>
  <c r="B133" i="28"/>
  <c r="I132" i="28"/>
  <c r="J132" i="28" s="1"/>
  <c r="F132" i="28"/>
  <c r="D132" i="28"/>
  <c r="C132" i="28"/>
  <c r="B132" i="28"/>
  <c r="I131" i="28"/>
  <c r="J131" i="28" s="1"/>
  <c r="F131" i="28"/>
  <c r="D131" i="28"/>
  <c r="C131" i="28"/>
  <c r="B131" i="28"/>
  <c r="J130" i="28"/>
  <c r="I130" i="28"/>
  <c r="F130" i="28"/>
  <c r="D130" i="28"/>
  <c r="C130" i="28"/>
  <c r="B130" i="28"/>
  <c r="I129" i="28"/>
  <c r="J129" i="28" s="1"/>
  <c r="F129" i="28"/>
  <c r="D129" i="28"/>
  <c r="C129" i="28"/>
  <c r="B129" i="28"/>
  <c r="I128" i="28"/>
  <c r="J128" i="28" s="1"/>
  <c r="F128" i="28"/>
  <c r="D128" i="28"/>
  <c r="C128" i="28"/>
  <c r="B128" i="28"/>
  <c r="I127" i="28"/>
  <c r="J127" i="28" s="1"/>
  <c r="F127" i="28"/>
  <c r="D127" i="28"/>
  <c r="C127" i="28"/>
  <c r="B127" i="28"/>
  <c r="J126" i="28"/>
  <c r="I126" i="28"/>
  <c r="F126" i="28"/>
  <c r="D126" i="28"/>
  <c r="C126" i="28"/>
  <c r="B126" i="28"/>
  <c r="I125" i="28"/>
  <c r="J125" i="28" s="1"/>
  <c r="F125" i="28"/>
  <c r="D125" i="28"/>
  <c r="C125" i="28"/>
  <c r="B125" i="28"/>
  <c r="I124" i="28"/>
  <c r="J124" i="28" s="1"/>
  <c r="F124" i="28"/>
  <c r="D124" i="28"/>
  <c r="C124" i="28"/>
  <c r="B124" i="28"/>
  <c r="I123" i="28"/>
  <c r="J123" i="28" s="1"/>
  <c r="F123" i="28"/>
  <c r="D123" i="28"/>
  <c r="C123" i="28"/>
  <c r="B123" i="28"/>
  <c r="J122" i="28"/>
  <c r="I122" i="28"/>
  <c r="F122" i="28"/>
  <c r="D122" i="28"/>
  <c r="C122" i="28"/>
  <c r="B122" i="28"/>
  <c r="I121" i="28"/>
  <c r="J121" i="28" s="1"/>
  <c r="F121" i="28"/>
  <c r="D121" i="28"/>
  <c r="C121" i="28"/>
  <c r="B121" i="28"/>
  <c r="I120" i="28"/>
  <c r="J120" i="28" s="1"/>
  <c r="F120" i="28"/>
  <c r="D120" i="28"/>
  <c r="C120" i="28"/>
  <c r="B120" i="28"/>
  <c r="I119" i="28"/>
  <c r="J119" i="28" s="1"/>
  <c r="F119" i="28"/>
  <c r="D119" i="28"/>
  <c r="C119" i="28"/>
  <c r="B119" i="28"/>
  <c r="J118" i="28"/>
  <c r="I118" i="28"/>
  <c r="F118" i="28"/>
  <c r="D118" i="28"/>
  <c r="C118" i="28"/>
  <c r="B118" i="28"/>
  <c r="I117" i="28"/>
  <c r="J117" i="28" s="1"/>
  <c r="F117" i="28"/>
  <c r="D117" i="28"/>
  <c r="C117" i="28"/>
  <c r="B117" i="28"/>
  <c r="I116" i="28"/>
  <c r="J116" i="28" s="1"/>
  <c r="F116" i="28"/>
  <c r="D116" i="28"/>
  <c r="C116" i="28"/>
  <c r="B116" i="28"/>
  <c r="I115" i="28"/>
  <c r="J115" i="28" s="1"/>
  <c r="F115" i="28"/>
  <c r="D115" i="28"/>
  <c r="C115" i="28"/>
  <c r="B115" i="28"/>
  <c r="J114" i="28"/>
  <c r="I114" i="28"/>
  <c r="F114" i="28"/>
  <c r="D114" i="28"/>
  <c r="C114" i="28"/>
  <c r="B114" i="28"/>
  <c r="I113" i="28"/>
  <c r="J113" i="28" s="1"/>
  <c r="F113" i="28"/>
  <c r="D113" i="28"/>
  <c r="C113" i="28"/>
  <c r="B113" i="28"/>
  <c r="I112" i="28"/>
  <c r="J112" i="28" s="1"/>
  <c r="F112" i="28"/>
  <c r="D112" i="28"/>
  <c r="C112" i="28"/>
  <c r="B112" i="28"/>
  <c r="I111" i="28"/>
  <c r="J111" i="28" s="1"/>
  <c r="F111" i="28"/>
  <c r="D111" i="28"/>
  <c r="C111" i="28"/>
  <c r="B111" i="28"/>
  <c r="J110" i="28"/>
  <c r="I110" i="28"/>
  <c r="F110" i="28"/>
  <c r="D110" i="28"/>
  <c r="C110" i="28"/>
  <c r="B110" i="28"/>
  <c r="I109" i="28"/>
  <c r="J109" i="28" s="1"/>
  <c r="F109" i="28"/>
  <c r="D109" i="28"/>
  <c r="C109" i="28"/>
  <c r="B109" i="28"/>
  <c r="I108" i="28"/>
  <c r="J108" i="28" s="1"/>
  <c r="F108" i="28"/>
  <c r="D108" i="28"/>
  <c r="C108" i="28"/>
  <c r="B108" i="28"/>
  <c r="I107" i="28"/>
  <c r="J107" i="28" s="1"/>
  <c r="F107" i="28"/>
  <c r="D107" i="28"/>
  <c r="C107" i="28"/>
  <c r="B107" i="28"/>
  <c r="J106" i="28"/>
  <c r="I106" i="28"/>
  <c r="F106" i="28"/>
  <c r="D106" i="28"/>
  <c r="C106" i="28"/>
  <c r="B106" i="28"/>
  <c r="I105" i="28"/>
  <c r="J105" i="28" s="1"/>
  <c r="F105" i="28"/>
  <c r="D105" i="28"/>
  <c r="C105" i="28"/>
  <c r="B105" i="28"/>
  <c r="I104" i="28"/>
  <c r="J104" i="28" s="1"/>
  <c r="F104" i="28"/>
  <c r="D104" i="28"/>
  <c r="C104" i="28"/>
  <c r="B104" i="28"/>
  <c r="I103" i="28"/>
  <c r="J103" i="28" s="1"/>
  <c r="F103" i="28"/>
  <c r="D103" i="28"/>
  <c r="C103" i="28"/>
  <c r="B103" i="28"/>
  <c r="J102" i="28"/>
  <c r="I102" i="28"/>
  <c r="F102" i="28"/>
  <c r="D102" i="28"/>
  <c r="C102" i="28"/>
  <c r="B102" i="28"/>
  <c r="I101" i="28"/>
  <c r="J101" i="28" s="1"/>
  <c r="F101" i="28"/>
  <c r="D101" i="28"/>
  <c r="C101" i="28"/>
  <c r="B101" i="28"/>
  <c r="I100" i="28"/>
  <c r="J100" i="28" s="1"/>
  <c r="F100" i="28"/>
  <c r="D100" i="28"/>
  <c r="C100" i="28"/>
  <c r="B100" i="28"/>
  <c r="I99" i="28"/>
  <c r="J99" i="28" s="1"/>
  <c r="F99" i="28"/>
  <c r="D99" i="28"/>
  <c r="C99" i="28"/>
  <c r="B99" i="28"/>
  <c r="J98" i="28"/>
  <c r="I98" i="28"/>
  <c r="F98" i="28"/>
  <c r="D98" i="28"/>
  <c r="C98" i="28"/>
  <c r="B98" i="28"/>
  <c r="I97" i="28"/>
  <c r="J97" i="28" s="1"/>
  <c r="F97" i="28"/>
  <c r="D97" i="28"/>
  <c r="C97" i="28"/>
  <c r="B97" i="28"/>
  <c r="I96" i="28"/>
  <c r="J96" i="28" s="1"/>
  <c r="F96" i="28"/>
  <c r="D96" i="28"/>
  <c r="C96" i="28"/>
  <c r="B96" i="28"/>
  <c r="I95" i="28"/>
  <c r="J95" i="28" s="1"/>
  <c r="F95" i="28"/>
  <c r="D95" i="28"/>
  <c r="C95" i="28"/>
  <c r="B95" i="28"/>
  <c r="J94" i="28"/>
  <c r="I94" i="28"/>
  <c r="F94" i="28"/>
  <c r="D94" i="28"/>
  <c r="C94" i="28"/>
  <c r="B94" i="28"/>
  <c r="I93" i="28"/>
  <c r="J93" i="28" s="1"/>
  <c r="F93" i="28"/>
  <c r="D93" i="28"/>
  <c r="C93" i="28"/>
  <c r="B93" i="28"/>
  <c r="I92" i="28"/>
  <c r="J92" i="28" s="1"/>
  <c r="F92" i="28"/>
  <c r="D92" i="28"/>
  <c r="C92" i="28"/>
  <c r="B92" i="28"/>
  <c r="I91" i="28"/>
  <c r="J91" i="28" s="1"/>
  <c r="F91" i="28"/>
  <c r="D91" i="28"/>
  <c r="C91" i="28"/>
  <c r="B91" i="28"/>
  <c r="J90" i="28"/>
  <c r="I90" i="28"/>
  <c r="F90" i="28"/>
  <c r="D90" i="28"/>
  <c r="C90" i="28"/>
  <c r="B90" i="28"/>
  <c r="I89" i="28"/>
  <c r="J89" i="28" s="1"/>
  <c r="F89" i="28"/>
  <c r="D89" i="28"/>
  <c r="C89" i="28"/>
  <c r="B89" i="28"/>
  <c r="I88" i="28"/>
  <c r="J88" i="28" s="1"/>
  <c r="F88" i="28"/>
  <c r="D88" i="28"/>
  <c r="C88" i="28"/>
  <c r="B88" i="28"/>
  <c r="I87" i="28"/>
  <c r="J87" i="28" s="1"/>
  <c r="F87" i="28"/>
  <c r="D87" i="28"/>
  <c r="C87" i="28"/>
  <c r="B87" i="28"/>
  <c r="J86" i="28"/>
  <c r="I86" i="28"/>
  <c r="F86" i="28"/>
  <c r="D86" i="28"/>
  <c r="C86" i="28"/>
  <c r="B86" i="28"/>
  <c r="I85" i="28"/>
  <c r="J85" i="28" s="1"/>
  <c r="F85" i="28"/>
  <c r="D85" i="28"/>
  <c r="C85" i="28"/>
  <c r="B85" i="28"/>
  <c r="I84" i="28"/>
  <c r="J84" i="28" s="1"/>
  <c r="F84" i="28"/>
  <c r="D84" i="28"/>
  <c r="C84" i="28"/>
  <c r="B84" i="28"/>
  <c r="I83" i="28"/>
  <c r="J83" i="28" s="1"/>
  <c r="F83" i="28"/>
  <c r="D83" i="28"/>
  <c r="C83" i="28"/>
  <c r="B83" i="28"/>
  <c r="J82" i="28"/>
  <c r="I82" i="28"/>
  <c r="F82" i="28"/>
  <c r="D82" i="28"/>
  <c r="C82" i="28"/>
  <c r="B82" i="28"/>
  <c r="I81" i="28"/>
  <c r="J81" i="28" s="1"/>
  <c r="F81" i="28"/>
  <c r="D81" i="28"/>
  <c r="C81" i="28"/>
  <c r="B81" i="28"/>
  <c r="I80" i="28"/>
  <c r="J80" i="28" s="1"/>
  <c r="F80" i="28"/>
  <c r="D80" i="28"/>
  <c r="C80" i="28"/>
  <c r="B80" i="28"/>
  <c r="I79" i="28"/>
  <c r="J79" i="28" s="1"/>
  <c r="F79" i="28"/>
  <c r="D79" i="28"/>
  <c r="C79" i="28"/>
  <c r="B79" i="28"/>
  <c r="J78" i="28"/>
  <c r="I78" i="28"/>
  <c r="F78" i="28"/>
  <c r="D78" i="28"/>
  <c r="C78" i="28"/>
  <c r="B78" i="28"/>
  <c r="I77" i="28"/>
  <c r="J77" i="28" s="1"/>
  <c r="F77" i="28"/>
  <c r="D77" i="28"/>
  <c r="C77" i="28"/>
  <c r="B77" i="28"/>
  <c r="I76" i="28"/>
  <c r="J76" i="28" s="1"/>
  <c r="F76" i="28"/>
  <c r="D76" i="28"/>
  <c r="C76" i="28"/>
  <c r="B76" i="28"/>
  <c r="I75" i="28"/>
  <c r="J75" i="28" s="1"/>
  <c r="F75" i="28"/>
  <c r="D75" i="28"/>
  <c r="C75" i="28"/>
  <c r="B75" i="28"/>
  <c r="J74" i="28"/>
  <c r="I74" i="28"/>
  <c r="F74" i="28"/>
  <c r="D74" i="28"/>
  <c r="C74" i="28"/>
  <c r="B74" i="28"/>
  <c r="I73" i="28"/>
  <c r="J73" i="28" s="1"/>
  <c r="F73" i="28"/>
  <c r="D73" i="28"/>
  <c r="C73" i="28"/>
  <c r="B73" i="28"/>
  <c r="I72" i="28"/>
  <c r="J72" i="28" s="1"/>
  <c r="F72" i="28"/>
  <c r="D72" i="28"/>
  <c r="C72" i="28"/>
  <c r="B72" i="28"/>
  <c r="I71" i="28"/>
  <c r="J71" i="28" s="1"/>
  <c r="F71" i="28"/>
  <c r="D71" i="28"/>
  <c r="C71" i="28"/>
  <c r="B71" i="28"/>
  <c r="J70" i="28"/>
  <c r="I70" i="28"/>
  <c r="F70" i="28"/>
  <c r="D70" i="28"/>
  <c r="C70" i="28"/>
  <c r="B70" i="28"/>
  <c r="I69" i="28"/>
  <c r="J69" i="28" s="1"/>
  <c r="F69" i="28"/>
  <c r="D69" i="28"/>
  <c r="C69" i="28"/>
  <c r="B69" i="28"/>
  <c r="I68" i="28"/>
  <c r="J68" i="28" s="1"/>
  <c r="F68" i="28"/>
  <c r="D68" i="28"/>
  <c r="C68" i="28"/>
  <c r="B68" i="28"/>
  <c r="I67" i="28"/>
  <c r="J67" i="28" s="1"/>
  <c r="F67" i="28"/>
  <c r="D67" i="28"/>
  <c r="C67" i="28"/>
  <c r="B67" i="28"/>
  <c r="J66" i="28"/>
  <c r="I66" i="28"/>
  <c r="F66" i="28"/>
  <c r="D66" i="28"/>
  <c r="C66" i="28"/>
  <c r="B66" i="28"/>
  <c r="I65" i="28"/>
  <c r="J65" i="28" s="1"/>
  <c r="F65" i="28"/>
  <c r="D65" i="28"/>
  <c r="C65" i="28"/>
  <c r="B65" i="28"/>
  <c r="I64" i="28"/>
  <c r="J64" i="28" s="1"/>
  <c r="F64" i="28"/>
  <c r="D64" i="28"/>
  <c r="C64" i="28"/>
  <c r="B64" i="28"/>
  <c r="I63" i="28"/>
  <c r="J63" i="28" s="1"/>
  <c r="F63" i="28"/>
  <c r="D63" i="28"/>
  <c r="C63" i="28"/>
  <c r="B63" i="28"/>
  <c r="J62" i="28"/>
  <c r="I62" i="28"/>
  <c r="F62" i="28"/>
  <c r="D62" i="28"/>
  <c r="C62" i="28"/>
  <c r="B62" i="28"/>
  <c r="I61" i="28"/>
  <c r="J61" i="28" s="1"/>
  <c r="F61" i="28"/>
  <c r="D61" i="28"/>
  <c r="C61" i="28"/>
  <c r="B61" i="28"/>
  <c r="I60" i="28"/>
  <c r="J60" i="28" s="1"/>
  <c r="F60" i="28"/>
  <c r="D60" i="28"/>
  <c r="C60" i="28"/>
  <c r="B60" i="28"/>
  <c r="I59" i="28"/>
  <c r="J59" i="28" s="1"/>
  <c r="F59" i="28"/>
  <c r="D59" i="28"/>
  <c r="C59" i="28"/>
  <c r="B59" i="28"/>
  <c r="J58" i="28"/>
  <c r="I58" i="28"/>
  <c r="F58" i="28"/>
  <c r="D58" i="28"/>
  <c r="C58" i="28"/>
  <c r="B58" i="28"/>
  <c r="I57" i="28"/>
  <c r="J57" i="28" s="1"/>
  <c r="F57" i="28"/>
  <c r="D57" i="28"/>
  <c r="C57" i="28"/>
  <c r="B57" i="28"/>
  <c r="I56" i="28"/>
  <c r="J56" i="28" s="1"/>
  <c r="F56" i="28"/>
  <c r="D56" i="28"/>
  <c r="C56" i="28"/>
  <c r="B56" i="28"/>
  <c r="I55" i="28"/>
  <c r="J55" i="28" s="1"/>
  <c r="F55" i="28"/>
  <c r="D55" i="28"/>
  <c r="C55" i="28"/>
  <c r="B55" i="28"/>
  <c r="J54" i="28"/>
  <c r="I54" i="28"/>
  <c r="F54" i="28"/>
  <c r="D54" i="28"/>
  <c r="C54" i="28"/>
  <c r="B54" i="28"/>
  <c r="I53" i="28"/>
  <c r="J53" i="28" s="1"/>
  <c r="F53" i="28"/>
  <c r="D53" i="28"/>
  <c r="C53" i="28"/>
  <c r="B53" i="28"/>
  <c r="I52" i="28"/>
  <c r="J52" i="28" s="1"/>
  <c r="F52" i="28"/>
  <c r="D52" i="28"/>
  <c r="C52" i="28"/>
  <c r="B52" i="28"/>
  <c r="I51" i="28"/>
  <c r="J51" i="28" s="1"/>
  <c r="F51" i="28"/>
  <c r="D51" i="28"/>
  <c r="C51" i="28"/>
  <c r="B51" i="28"/>
  <c r="J50" i="28"/>
  <c r="I50" i="28"/>
  <c r="F50" i="28"/>
  <c r="D50" i="28"/>
  <c r="C50" i="28"/>
  <c r="B50" i="28"/>
  <c r="I49" i="28"/>
  <c r="J49" i="28" s="1"/>
  <c r="F49" i="28"/>
  <c r="D49" i="28"/>
  <c r="C49" i="28"/>
  <c r="B49" i="28"/>
  <c r="I48" i="28"/>
  <c r="J48" i="28" s="1"/>
  <c r="F48" i="28"/>
  <c r="D48" i="28"/>
  <c r="C48" i="28"/>
  <c r="B48" i="28"/>
  <c r="I47" i="28"/>
  <c r="J47" i="28" s="1"/>
  <c r="F47" i="28"/>
  <c r="D47" i="28"/>
  <c r="C47" i="28"/>
  <c r="B47" i="28"/>
  <c r="J46" i="28"/>
  <c r="I46" i="28"/>
  <c r="F46" i="28"/>
  <c r="D46" i="28"/>
  <c r="C46" i="28"/>
  <c r="B46" i="28"/>
  <c r="I45" i="28"/>
  <c r="J45" i="28" s="1"/>
  <c r="F45" i="28"/>
  <c r="D45" i="28"/>
  <c r="C45" i="28"/>
  <c r="B45" i="28"/>
  <c r="I44" i="28"/>
  <c r="J44" i="28" s="1"/>
  <c r="F44" i="28"/>
  <c r="D44" i="28"/>
  <c r="C44" i="28"/>
  <c r="B44" i="28"/>
  <c r="I43" i="28"/>
  <c r="J43" i="28" s="1"/>
  <c r="F43" i="28"/>
  <c r="D43" i="28"/>
  <c r="C43" i="28"/>
  <c r="B43" i="28"/>
  <c r="J42" i="28"/>
  <c r="I42" i="28"/>
  <c r="F42" i="28"/>
  <c r="D42" i="28"/>
  <c r="C42" i="28"/>
  <c r="B42" i="28"/>
  <c r="I41" i="28"/>
  <c r="J41" i="28" s="1"/>
  <c r="F41" i="28"/>
  <c r="D41" i="28"/>
  <c r="C41" i="28"/>
  <c r="B41" i="28"/>
  <c r="I40" i="28"/>
  <c r="J40" i="28" s="1"/>
  <c r="F40" i="28"/>
  <c r="D40" i="28"/>
  <c r="C40" i="28"/>
  <c r="B40" i="28"/>
  <c r="I39" i="28"/>
  <c r="J39" i="28" s="1"/>
  <c r="F39" i="28"/>
  <c r="D39" i="28"/>
  <c r="C39" i="28"/>
  <c r="B39" i="28"/>
  <c r="J38" i="28"/>
  <c r="I38" i="28"/>
  <c r="F38" i="28"/>
  <c r="D38" i="28"/>
  <c r="C38" i="28"/>
  <c r="B38" i="28"/>
  <c r="I37" i="28"/>
  <c r="J37" i="28" s="1"/>
  <c r="F37" i="28"/>
  <c r="D37" i="28"/>
  <c r="C37" i="28"/>
  <c r="B37" i="28"/>
  <c r="I36" i="28"/>
  <c r="J36" i="28" s="1"/>
  <c r="F36" i="28"/>
  <c r="D36" i="28"/>
  <c r="C36" i="28"/>
  <c r="B36" i="28"/>
  <c r="I35" i="28"/>
  <c r="J35" i="28" s="1"/>
  <c r="F35" i="28"/>
  <c r="D35" i="28"/>
  <c r="C35" i="28"/>
  <c r="B35" i="28"/>
  <c r="J34" i="28"/>
  <c r="I34" i="28"/>
  <c r="F34" i="28"/>
  <c r="D34" i="28"/>
  <c r="C34" i="28"/>
  <c r="B34" i="28"/>
  <c r="I33" i="28"/>
  <c r="J33" i="28" s="1"/>
  <c r="F33" i="28"/>
  <c r="D33" i="28"/>
  <c r="C33" i="28"/>
  <c r="B33" i="28"/>
  <c r="I32" i="28"/>
  <c r="J32" i="28" s="1"/>
  <c r="F32" i="28"/>
  <c r="D32" i="28"/>
  <c r="C32" i="28"/>
  <c r="B32" i="28"/>
  <c r="I31" i="28"/>
  <c r="J31" i="28" s="1"/>
  <c r="F31" i="28"/>
  <c r="D31" i="28"/>
  <c r="C31" i="28"/>
  <c r="B31" i="28"/>
  <c r="J30" i="28"/>
  <c r="I30" i="28"/>
  <c r="F30" i="28"/>
  <c r="D30" i="28"/>
  <c r="C30" i="28"/>
  <c r="B30" i="28"/>
  <c r="I29" i="28"/>
  <c r="J29" i="28" s="1"/>
  <c r="F29" i="28"/>
  <c r="D29" i="28"/>
  <c r="C29" i="28"/>
  <c r="B29" i="28"/>
  <c r="I28" i="28"/>
  <c r="J28" i="28" s="1"/>
  <c r="F28" i="28"/>
  <c r="D28" i="28"/>
  <c r="C28" i="28"/>
  <c r="B28" i="28"/>
  <c r="I27" i="28"/>
  <c r="J27" i="28" s="1"/>
  <c r="F27" i="28"/>
  <c r="D27" i="28"/>
  <c r="C27" i="28"/>
  <c r="B27" i="28"/>
  <c r="J26" i="28"/>
  <c r="I26" i="28"/>
  <c r="F26" i="28"/>
  <c r="D26" i="28"/>
  <c r="C26" i="28"/>
  <c r="B26" i="28"/>
  <c r="I25" i="28"/>
  <c r="J25" i="28" s="1"/>
  <c r="F25" i="28"/>
  <c r="D25" i="28"/>
  <c r="C25" i="28"/>
  <c r="B25" i="28"/>
  <c r="I24" i="28"/>
  <c r="J24" i="28" s="1"/>
  <c r="F24" i="28"/>
  <c r="D24" i="28"/>
  <c r="C24" i="28"/>
  <c r="B24" i="28"/>
  <c r="I23" i="28"/>
  <c r="J23" i="28" s="1"/>
  <c r="F23" i="28"/>
  <c r="D23" i="28"/>
  <c r="C23" i="28"/>
  <c r="B23" i="28"/>
  <c r="J22" i="28"/>
  <c r="I22" i="28"/>
  <c r="F22" i="28"/>
  <c r="D22" i="28"/>
  <c r="C22" i="28"/>
  <c r="B22" i="28"/>
  <c r="I21" i="28"/>
  <c r="J21" i="28" s="1"/>
  <c r="F21" i="28"/>
  <c r="D21" i="28"/>
  <c r="C21" i="28"/>
  <c r="B21" i="28"/>
  <c r="I20" i="28"/>
  <c r="J20" i="28" s="1"/>
  <c r="F20" i="28"/>
  <c r="D20" i="28"/>
  <c r="C20" i="28"/>
  <c r="B20" i="28"/>
  <c r="I19" i="28"/>
  <c r="J19" i="28" s="1"/>
  <c r="F19" i="28"/>
  <c r="D19" i="28"/>
  <c r="C19" i="28"/>
  <c r="B19" i="28"/>
  <c r="J18" i="28"/>
  <c r="I18" i="28"/>
  <c r="F18" i="28"/>
  <c r="D18" i="28"/>
  <c r="C18" i="28"/>
  <c r="B18" i="28"/>
  <c r="I17" i="28"/>
  <c r="J17" i="28" s="1"/>
  <c r="F17" i="28"/>
  <c r="D17" i="28"/>
  <c r="C17" i="28"/>
  <c r="B17" i="28"/>
  <c r="I16" i="28"/>
  <c r="J16" i="28" s="1"/>
  <c r="F16" i="28"/>
  <c r="D16" i="28"/>
  <c r="C16" i="28"/>
  <c r="B16" i="28"/>
  <c r="I15" i="28"/>
  <c r="J15" i="28" s="1"/>
  <c r="F15" i="28"/>
  <c r="D15" i="28"/>
  <c r="C15" i="28"/>
  <c r="B15" i="28"/>
  <c r="J14" i="28"/>
  <c r="I14" i="28"/>
  <c r="F14" i="28"/>
  <c r="D14" i="28"/>
  <c r="C14" i="28"/>
  <c r="B14" i="28"/>
  <c r="I13" i="28"/>
  <c r="J13" i="28" s="1"/>
  <c r="F13" i="28"/>
  <c r="D13" i="28"/>
  <c r="C13" i="28"/>
  <c r="B13" i="28"/>
  <c r="I12" i="28"/>
  <c r="J12" i="28" s="1"/>
  <c r="F12" i="28"/>
  <c r="D12" i="28"/>
  <c r="C12" i="28"/>
  <c r="B12" i="28"/>
  <c r="I11" i="28"/>
  <c r="J11" i="28" s="1"/>
  <c r="F11" i="28"/>
  <c r="D11" i="28"/>
  <c r="C11" i="28"/>
  <c r="B11" i="28"/>
  <c r="J10" i="28"/>
  <c r="I10" i="28"/>
  <c r="F10" i="28"/>
  <c r="D10" i="28"/>
  <c r="C10" i="28"/>
  <c r="B10" i="28"/>
  <c r="I9" i="28"/>
  <c r="J9" i="28" s="1"/>
  <c r="F9" i="28"/>
  <c r="D9" i="28"/>
  <c r="C9" i="28"/>
  <c r="B9" i="28"/>
  <c r="A5" i="28"/>
  <c r="G4" i="28"/>
  <c r="D4" i="28"/>
  <c r="A4" i="28"/>
  <c r="K213" i="27"/>
  <c r="J213" i="27"/>
  <c r="I213" i="27"/>
  <c r="D213" i="27"/>
  <c r="C213" i="27"/>
  <c r="A213" i="27"/>
  <c r="K212" i="27"/>
  <c r="I212" i="27"/>
  <c r="J212" i="27" s="1"/>
  <c r="D212" i="27"/>
  <c r="C212" i="27"/>
  <c r="A212" i="27"/>
  <c r="K211" i="27"/>
  <c r="J211" i="27"/>
  <c r="I211" i="27"/>
  <c r="D211" i="27"/>
  <c r="C211" i="27"/>
  <c r="A211" i="27"/>
  <c r="K210" i="27"/>
  <c r="J210" i="27"/>
  <c r="I210" i="27"/>
  <c r="D210" i="27"/>
  <c r="C210" i="27"/>
  <c r="A210" i="27"/>
  <c r="K209" i="27"/>
  <c r="J209" i="27"/>
  <c r="I209" i="27"/>
  <c r="D209" i="27"/>
  <c r="C209" i="27"/>
  <c r="A209" i="27"/>
  <c r="K208" i="27"/>
  <c r="I208" i="27"/>
  <c r="J208" i="27" s="1"/>
  <c r="D208" i="27"/>
  <c r="C208" i="27"/>
  <c r="A208" i="27"/>
  <c r="K207" i="27"/>
  <c r="J207" i="27"/>
  <c r="I207" i="27"/>
  <c r="D207" i="27"/>
  <c r="C207" i="27"/>
  <c r="A207" i="27"/>
  <c r="K206" i="27"/>
  <c r="J206" i="27"/>
  <c r="I206" i="27"/>
  <c r="D206" i="27"/>
  <c r="C206" i="27"/>
  <c r="A206" i="27"/>
  <c r="K205" i="27"/>
  <c r="J205" i="27"/>
  <c r="I205" i="27"/>
  <c r="D205" i="27"/>
  <c r="C205" i="27"/>
  <c r="A205" i="27"/>
  <c r="K204" i="27"/>
  <c r="I204" i="27"/>
  <c r="J204" i="27" s="1"/>
  <c r="D204" i="27"/>
  <c r="C204" i="27"/>
  <c r="A204" i="27"/>
  <c r="K203" i="27"/>
  <c r="J203" i="27"/>
  <c r="I203" i="27"/>
  <c r="D203" i="27"/>
  <c r="C203" i="27"/>
  <c r="A203" i="27"/>
  <c r="K202" i="27"/>
  <c r="J202" i="27"/>
  <c r="I202" i="27"/>
  <c r="D202" i="27"/>
  <c r="C202" i="27"/>
  <c r="A202" i="27"/>
  <c r="K201" i="27"/>
  <c r="J201" i="27"/>
  <c r="I201" i="27"/>
  <c r="D201" i="27"/>
  <c r="C201" i="27"/>
  <c r="A201" i="27"/>
  <c r="K200" i="27"/>
  <c r="I200" i="27"/>
  <c r="J200" i="27" s="1"/>
  <c r="D200" i="27"/>
  <c r="C200" i="27"/>
  <c r="A200" i="27"/>
  <c r="K199" i="27"/>
  <c r="J199" i="27"/>
  <c r="I199" i="27"/>
  <c r="D199" i="27"/>
  <c r="C199" i="27"/>
  <c r="A199" i="27"/>
  <c r="K198" i="27"/>
  <c r="J198" i="27"/>
  <c r="I198" i="27"/>
  <c r="D198" i="27"/>
  <c r="C198" i="27"/>
  <c r="A198" i="27"/>
  <c r="K197" i="27"/>
  <c r="J197" i="27"/>
  <c r="I197" i="27"/>
  <c r="D197" i="27"/>
  <c r="C197" i="27"/>
  <c r="A197" i="27"/>
  <c r="K196" i="27"/>
  <c r="I196" i="27"/>
  <c r="J196" i="27" s="1"/>
  <c r="D196" i="27"/>
  <c r="C196" i="27"/>
  <c r="A196" i="27"/>
  <c r="K195" i="27"/>
  <c r="J195" i="27"/>
  <c r="I195" i="27"/>
  <c r="D195" i="27"/>
  <c r="C195" i="27"/>
  <c r="A195" i="27"/>
  <c r="K194" i="27"/>
  <c r="J194" i="27"/>
  <c r="I194" i="27"/>
  <c r="D194" i="27"/>
  <c r="C194" i="27"/>
  <c r="A194" i="27"/>
  <c r="K193" i="27"/>
  <c r="J193" i="27"/>
  <c r="I193" i="27"/>
  <c r="D193" i="27"/>
  <c r="C193" i="27"/>
  <c r="A193" i="27"/>
  <c r="K192" i="27"/>
  <c r="I192" i="27"/>
  <c r="J192" i="27" s="1"/>
  <c r="D192" i="27"/>
  <c r="C192" i="27"/>
  <c r="A192" i="27"/>
  <c r="K191" i="27"/>
  <c r="J191" i="27"/>
  <c r="I191" i="27"/>
  <c r="D191" i="27"/>
  <c r="C191" i="27"/>
  <c r="A191" i="27"/>
  <c r="K190" i="27"/>
  <c r="J190" i="27"/>
  <c r="I190" i="27"/>
  <c r="D190" i="27"/>
  <c r="C190" i="27"/>
  <c r="A190" i="27"/>
  <c r="K189" i="27"/>
  <c r="J189" i="27"/>
  <c r="I189" i="27"/>
  <c r="D189" i="27"/>
  <c r="C189" i="27"/>
  <c r="A189" i="27"/>
  <c r="K188" i="27"/>
  <c r="I188" i="27"/>
  <c r="J188" i="27" s="1"/>
  <c r="D188" i="27"/>
  <c r="C188" i="27"/>
  <c r="A188" i="27"/>
  <c r="K187" i="27"/>
  <c r="J187" i="27"/>
  <c r="I187" i="27"/>
  <c r="D187" i="27"/>
  <c r="C187" i="27"/>
  <c r="A187" i="27"/>
  <c r="K186" i="27"/>
  <c r="J186" i="27"/>
  <c r="I186" i="27"/>
  <c r="D186" i="27"/>
  <c r="C186" i="27"/>
  <c r="A186" i="27"/>
  <c r="K185" i="27"/>
  <c r="J185" i="27"/>
  <c r="I185" i="27"/>
  <c r="D185" i="27"/>
  <c r="C185" i="27"/>
  <c r="A185" i="27"/>
  <c r="K184" i="27"/>
  <c r="I184" i="27"/>
  <c r="J184" i="27" s="1"/>
  <c r="D184" i="27"/>
  <c r="C184" i="27"/>
  <c r="A184" i="27"/>
  <c r="K183" i="27"/>
  <c r="J183" i="27"/>
  <c r="I183" i="27"/>
  <c r="D183" i="27"/>
  <c r="C183" i="27"/>
  <c r="A183" i="27"/>
  <c r="K182" i="27"/>
  <c r="J182" i="27"/>
  <c r="I182" i="27"/>
  <c r="D182" i="27"/>
  <c r="C182" i="27"/>
  <c r="A182" i="27"/>
  <c r="K181" i="27"/>
  <c r="J181" i="27"/>
  <c r="I181" i="27"/>
  <c r="D181" i="27"/>
  <c r="C181" i="27"/>
  <c r="A181" i="27"/>
  <c r="K180" i="27"/>
  <c r="I180" i="27"/>
  <c r="J180" i="27" s="1"/>
  <c r="D180" i="27"/>
  <c r="C180" i="27"/>
  <c r="A180" i="27"/>
  <c r="K179" i="27"/>
  <c r="J179" i="27"/>
  <c r="I179" i="27"/>
  <c r="D179" i="27"/>
  <c r="C179" i="27"/>
  <c r="A179" i="27"/>
  <c r="K178" i="27"/>
  <c r="J178" i="27"/>
  <c r="I178" i="27"/>
  <c r="D178" i="27"/>
  <c r="C178" i="27"/>
  <c r="A178" i="27"/>
  <c r="K177" i="27"/>
  <c r="J177" i="27"/>
  <c r="I177" i="27"/>
  <c r="D177" i="27"/>
  <c r="C177" i="27"/>
  <c r="A177" i="27"/>
  <c r="K176" i="27"/>
  <c r="I176" i="27"/>
  <c r="J176" i="27" s="1"/>
  <c r="D176" i="27"/>
  <c r="C176" i="27"/>
  <c r="A176" i="27"/>
  <c r="K175" i="27"/>
  <c r="J175" i="27"/>
  <c r="I175" i="27"/>
  <c r="D175" i="27"/>
  <c r="C175" i="27"/>
  <c r="A175" i="27"/>
  <c r="K174" i="27"/>
  <c r="J174" i="27"/>
  <c r="I174" i="27"/>
  <c r="D174" i="27"/>
  <c r="C174" i="27"/>
  <c r="A174" i="27"/>
  <c r="K173" i="27"/>
  <c r="J173" i="27"/>
  <c r="I173" i="27"/>
  <c r="D173" i="27"/>
  <c r="C173" i="27"/>
  <c r="A173" i="27"/>
  <c r="K172" i="27"/>
  <c r="I172" i="27"/>
  <c r="J172" i="27" s="1"/>
  <c r="D172" i="27"/>
  <c r="C172" i="27"/>
  <c r="A172" i="27"/>
  <c r="K171" i="27"/>
  <c r="J171" i="27"/>
  <c r="I171" i="27"/>
  <c r="D171" i="27"/>
  <c r="C171" i="27"/>
  <c r="A171" i="27"/>
  <c r="K170" i="27"/>
  <c r="J170" i="27"/>
  <c r="I170" i="27"/>
  <c r="D170" i="27"/>
  <c r="C170" i="27"/>
  <c r="A170" i="27"/>
  <c r="K169" i="27"/>
  <c r="J169" i="27"/>
  <c r="I169" i="27"/>
  <c r="D169" i="27"/>
  <c r="C169" i="27"/>
  <c r="A169" i="27"/>
  <c r="K168" i="27"/>
  <c r="I168" i="27"/>
  <c r="J168" i="27" s="1"/>
  <c r="D168" i="27"/>
  <c r="C168" i="27"/>
  <c r="A168" i="27"/>
  <c r="K167" i="27"/>
  <c r="J167" i="27"/>
  <c r="I167" i="27"/>
  <c r="D167" i="27"/>
  <c r="C167" i="27"/>
  <c r="A167" i="27"/>
  <c r="K166" i="27"/>
  <c r="J166" i="27"/>
  <c r="I166" i="27"/>
  <c r="D166" i="27"/>
  <c r="C166" i="27"/>
  <c r="A166" i="27"/>
  <c r="K165" i="27"/>
  <c r="J165" i="27"/>
  <c r="I165" i="27"/>
  <c r="D165" i="27"/>
  <c r="C165" i="27"/>
  <c r="A165" i="27"/>
  <c r="K164" i="27"/>
  <c r="I164" i="27"/>
  <c r="J164" i="27" s="1"/>
  <c r="D164" i="27"/>
  <c r="C164" i="27"/>
  <c r="A164" i="27"/>
  <c r="K163" i="27"/>
  <c r="J163" i="27"/>
  <c r="I163" i="27"/>
  <c r="D163" i="27"/>
  <c r="C163" i="27"/>
  <c r="A163" i="27"/>
  <c r="K162" i="27"/>
  <c r="J162" i="27"/>
  <c r="I162" i="27"/>
  <c r="D162" i="27"/>
  <c r="C162" i="27"/>
  <c r="A162" i="27"/>
  <c r="K161" i="27"/>
  <c r="J161" i="27"/>
  <c r="I161" i="27"/>
  <c r="D161" i="27"/>
  <c r="C161" i="27"/>
  <c r="A161" i="27"/>
  <c r="K160" i="27"/>
  <c r="I160" i="27"/>
  <c r="J160" i="27" s="1"/>
  <c r="D160" i="27"/>
  <c r="C160" i="27"/>
  <c r="A160" i="27"/>
  <c r="K159" i="27"/>
  <c r="J159" i="27"/>
  <c r="I159" i="27"/>
  <c r="D159" i="27"/>
  <c r="C159" i="27"/>
  <c r="A159" i="27"/>
  <c r="K158" i="27"/>
  <c r="J158" i="27"/>
  <c r="I158" i="27"/>
  <c r="D158" i="27"/>
  <c r="C158" i="27"/>
  <c r="A158" i="27"/>
  <c r="K157" i="27"/>
  <c r="J157" i="27"/>
  <c r="I157" i="27"/>
  <c r="D157" i="27"/>
  <c r="C157" i="27"/>
  <c r="A157" i="27"/>
  <c r="K156" i="27"/>
  <c r="I156" i="27"/>
  <c r="J156" i="27" s="1"/>
  <c r="D156" i="27"/>
  <c r="C156" i="27"/>
  <c r="A156" i="27"/>
  <c r="K155" i="27"/>
  <c r="J155" i="27"/>
  <c r="I155" i="27"/>
  <c r="D155" i="27"/>
  <c r="C155" i="27"/>
  <c r="A155" i="27"/>
  <c r="K154" i="27"/>
  <c r="J154" i="27"/>
  <c r="I154" i="27"/>
  <c r="D154" i="27"/>
  <c r="C154" i="27"/>
  <c r="A154" i="27"/>
  <c r="K153" i="27"/>
  <c r="J153" i="27"/>
  <c r="I153" i="27"/>
  <c r="D153" i="27"/>
  <c r="C153" i="27"/>
  <c r="A153" i="27"/>
  <c r="K152" i="27"/>
  <c r="I152" i="27"/>
  <c r="J152" i="27" s="1"/>
  <c r="D152" i="27"/>
  <c r="C152" i="27"/>
  <c r="A152" i="27"/>
  <c r="K151" i="27"/>
  <c r="J151" i="27"/>
  <c r="I151" i="27"/>
  <c r="D151" i="27"/>
  <c r="C151" i="27"/>
  <c r="A151" i="27"/>
  <c r="K150" i="27"/>
  <c r="J150" i="27"/>
  <c r="I150" i="27"/>
  <c r="D150" i="27"/>
  <c r="C150" i="27"/>
  <c r="A150" i="27"/>
  <c r="K149" i="27"/>
  <c r="J149" i="27"/>
  <c r="I149" i="27"/>
  <c r="D149" i="27"/>
  <c r="C149" i="27"/>
  <c r="A149" i="27"/>
  <c r="K148" i="27"/>
  <c r="I148" i="27"/>
  <c r="J148" i="27" s="1"/>
  <c r="D148" i="27"/>
  <c r="C148" i="27"/>
  <c r="A148" i="27"/>
  <c r="K147" i="27"/>
  <c r="J147" i="27"/>
  <c r="I147" i="27"/>
  <c r="D147" i="27"/>
  <c r="C147" i="27"/>
  <c r="A147" i="27"/>
  <c r="K146" i="27"/>
  <c r="J146" i="27"/>
  <c r="I146" i="27"/>
  <c r="D146" i="27"/>
  <c r="C146" i="27"/>
  <c r="A146" i="27"/>
  <c r="K145" i="27"/>
  <c r="J145" i="27"/>
  <c r="I145" i="27"/>
  <c r="D145" i="27"/>
  <c r="C145" i="27"/>
  <c r="A145" i="27"/>
  <c r="K144" i="27"/>
  <c r="I144" i="27"/>
  <c r="J144" i="27" s="1"/>
  <c r="D144" i="27"/>
  <c r="C144" i="27"/>
  <c r="A144" i="27"/>
  <c r="K143" i="27"/>
  <c r="J143" i="27"/>
  <c r="I143" i="27"/>
  <c r="D143" i="27"/>
  <c r="C143" i="27"/>
  <c r="A143" i="27"/>
  <c r="K142" i="27"/>
  <c r="J142" i="27"/>
  <c r="I142" i="27"/>
  <c r="D142" i="27"/>
  <c r="C142" i="27"/>
  <c r="A142" i="27"/>
  <c r="K141" i="27"/>
  <c r="J141" i="27"/>
  <c r="I141" i="27"/>
  <c r="D141" i="27"/>
  <c r="C141" i="27"/>
  <c r="A141" i="27"/>
  <c r="K140" i="27"/>
  <c r="I140" i="27"/>
  <c r="J140" i="27" s="1"/>
  <c r="D140" i="27"/>
  <c r="C140" i="27"/>
  <c r="A140" i="27"/>
  <c r="K139" i="27"/>
  <c r="J139" i="27"/>
  <c r="I139" i="27"/>
  <c r="D139" i="27"/>
  <c r="C139" i="27"/>
  <c r="A139" i="27"/>
  <c r="K138" i="27"/>
  <c r="J138" i="27"/>
  <c r="I138" i="27"/>
  <c r="D138" i="27"/>
  <c r="C138" i="27"/>
  <c r="A138" i="27"/>
  <c r="K137" i="27"/>
  <c r="J137" i="27"/>
  <c r="I137" i="27"/>
  <c r="D137" i="27"/>
  <c r="C137" i="27"/>
  <c r="A137" i="27"/>
  <c r="K136" i="27"/>
  <c r="I136" i="27"/>
  <c r="J136" i="27" s="1"/>
  <c r="D136" i="27"/>
  <c r="C136" i="27"/>
  <c r="A136" i="27"/>
  <c r="K135" i="27"/>
  <c r="J135" i="27"/>
  <c r="I135" i="27"/>
  <c r="D135" i="27"/>
  <c r="C135" i="27"/>
  <c r="A135" i="27"/>
  <c r="K134" i="27"/>
  <c r="J134" i="27"/>
  <c r="I134" i="27"/>
  <c r="D134" i="27"/>
  <c r="C134" i="27"/>
  <c r="A134" i="27"/>
  <c r="K133" i="27"/>
  <c r="J133" i="27"/>
  <c r="I133" i="27"/>
  <c r="D133" i="27"/>
  <c r="C133" i="27"/>
  <c r="A133" i="27"/>
  <c r="K132" i="27"/>
  <c r="I132" i="27"/>
  <c r="J132" i="27" s="1"/>
  <c r="D132" i="27"/>
  <c r="C132" i="27"/>
  <c r="A132" i="27"/>
  <c r="K131" i="27"/>
  <c r="J131" i="27"/>
  <c r="I131" i="27"/>
  <c r="D131" i="27"/>
  <c r="C131" i="27"/>
  <c r="A131" i="27"/>
  <c r="K130" i="27"/>
  <c r="J130" i="27"/>
  <c r="I130" i="27"/>
  <c r="D130" i="27"/>
  <c r="C130" i="27"/>
  <c r="A130" i="27"/>
  <c r="K129" i="27"/>
  <c r="J129" i="27"/>
  <c r="I129" i="27"/>
  <c r="D129" i="27"/>
  <c r="C129" i="27"/>
  <c r="A129" i="27"/>
  <c r="K128" i="27"/>
  <c r="I128" i="27"/>
  <c r="J128" i="27" s="1"/>
  <c r="D128" i="27"/>
  <c r="C128" i="27"/>
  <c r="A128" i="27"/>
  <c r="K127" i="27"/>
  <c r="J127" i="27"/>
  <c r="I127" i="27"/>
  <c r="D127" i="27"/>
  <c r="C127" i="27"/>
  <c r="A127" i="27"/>
  <c r="K126" i="27"/>
  <c r="J126" i="27"/>
  <c r="I126" i="27"/>
  <c r="D126" i="27"/>
  <c r="C126" i="27"/>
  <c r="A126" i="27"/>
  <c r="K125" i="27"/>
  <c r="J125" i="27"/>
  <c r="I125" i="27"/>
  <c r="D125" i="27"/>
  <c r="C125" i="27"/>
  <c r="A125" i="27"/>
  <c r="K124" i="27"/>
  <c r="I124" i="27"/>
  <c r="J124" i="27" s="1"/>
  <c r="D124" i="27"/>
  <c r="C124" i="27"/>
  <c r="A124" i="27"/>
  <c r="K123" i="27"/>
  <c r="J123" i="27"/>
  <c r="I123" i="27"/>
  <c r="D123" i="27"/>
  <c r="C123" i="27"/>
  <c r="A123" i="27"/>
  <c r="K122" i="27"/>
  <c r="J122" i="27"/>
  <c r="I122" i="27"/>
  <c r="D122" i="27"/>
  <c r="C122" i="27"/>
  <c r="A122" i="27"/>
  <c r="K121" i="27"/>
  <c r="J121" i="27"/>
  <c r="I121" i="27"/>
  <c r="D121" i="27"/>
  <c r="C121" i="27"/>
  <c r="A121" i="27"/>
  <c r="K120" i="27"/>
  <c r="I120" i="27"/>
  <c r="J120" i="27" s="1"/>
  <c r="D120" i="27"/>
  <c r="C120" i="27"/>
  <c r="A120" i="27"/>
  <c r="K119" i="27"/>
  <c r="J119" i="27"/>
  <c r="I119" i="27"/>
  <c r="D119" i="27"/>
  <c r="C119" i="27"/>
  <c r="A119" i="27"/>
  <c r="K118" i="27"/>
  <c r="J118" i="27"/>
  <c r="I118" i="27"/>
  <c r="D118" i="27"/>
  <c r="C118" i="27"/>
  <c r="A118" i="27"/>
  <c r="K117" i="27"/>
  <c r="J117" i="27"/>
  <c r="I117" i="27"/>
  <c r="D117" i="27"/>
  <c r="C117" i="27"/>
  <c r="A117" i="27"/>
  <c r="K116" i="27"/>
  <c r="I116" i="27"/>
  <c r="J116" i="27" s="1"/>
  <c r="D116" i="27"/>
  <c r="C116" i="27"/>
  <c r="A116" i="27"/>
  <c r="K115" i="27"/>
  <c r="J115" i="27"/>
  <c r="I115" i="27"/>
  <c r="D115" i="27"/>
  <c r="C115" i="27"/>
  <c r="A115" i="27"/>
  <c r="K114" i="27"/>
  <c r="J114" i="27"/>
  <c r="I114" i="27"/>
  <c r="D114" i="27"/>
  <c r="C114" i="27"/>
  <c r="A114" i="27"/>
  <c r="K113" i="27"/>
  <c r="J113" i="27"/>
  <c r="I113" i="27"/>
  <c r="D113" i="27"/>
  <c r="C113" i="27"/>
  <c r="A113" i="27"/>
  <c r="K112" i="27"/>
  <c r="I112" i="27"/>
  <c r="J112" i="27" s="1"/>
  <c r="D112" i="27"/>
  <c r="C112" i="27"/>
  <c r="A112" i="27"/>
  <c r="K111" i="27"/>
  <c r="J111" i="27"/>
  <c r="I111" i="27"/>
  <c r="D111" i="27"/>
  <c r="C111" i="27"/>
  <c r="A111" i="27"/>
  <c r="K110" i="27"/>
  <c r="J110" i="27"/>
  <c r="I110" i="27"/>
  <c r="D110" i="27"/>
  <c r="C110" i="27"/>
  <c r="A110" i="27"/>
  <c r="K109" i="27"/>
  <c r="J109" i="27"/>
  <c r="I109" i="27"/>
  <c r="D109" i="27"/>
  <c r="C109" i="27"/>
  <c r="A109" i="27"/>
  <c r="K108" i="27"/>
  <c r="I108" i="27"/>
  <c r="J108" i="27" s="1"/>
  <c r="D108" i="27"/>
  <c r="C108" i="27"/>
  <c r="A108" i="27"/>
  <c r="K107" i="27"/>
  <c r="J107" i="27"/>
  <c r="I107" i="27"/>
  <c r="D107" i="27"/>
  <c r="C107" i="27"/>
  <c r="A107" i="27"/>
  <c r="K106" i="27"/>
  <c r="J106" i="27"/>
  <c r="I106" i="27"/>
  <c r="D106" i="27"/>
  <c r="C106" i="27"/>
  <c r="A106" i="27"/>
  <c r="K105" i="27"/>
  <c r="J105" i="27"/>
  <c r="I105" i="27"/>
  <c r="D105" i="27"/>
  <c r="C105" i="27"/>
  <c r="A105" i="27"/>
  <c r="K104" i="27"/>
  <c r="I104" i="27"/>
  <c r="J104" i="27" s="1"/>
  <c r="D104" i="27"/>
  <c r="C104" i="27"/>
  <c r="A104" i="27"/>
  <c r="K103" i="27"/>
  <c r="J103" i="27"/>
  <c r="I103" i="27"/>
  <c r="D103" i="27"/>
  <c r="C103" i="27"/>
  <c r="A103" i="27"/>
  <c r="K102" i="27"/>
  <c r="J102" i="27"/>
  <c r="I102" i="27"/>
  <c r="D102" i="27"/>
  <c r="C102" i="27"/>
  <c r="A102" i="27"/>
  <c r="K101" i="27"/>
  <c r="J101" i="27"/>
  <c r="I101" i="27"/>
  <c r="D101" i="27"/>
  <c r="C101" i="27"/>
  <c r="A101" i="27"/>
  <c r="K100" i="27"/>
  <c r="I100" i="27"/>
  <c r="J100" i="27" s="1"/>
  <c r="D100" i="27"/>
  <c r="C100" i="27"/>
  <c r="A100" i="27"/>
  <c r="K99" i="27"/>
  <c r="J99" i="27"/>
  <c r="I99" i="27"/>
  <c r="D99" i="27"/>
  <c r="C99" i="27"/>
  <c r="A99" i="27"/>
  <c r="K98" i="27"/>
  <c r="J98" i="27"/>
  <c r="I98" i="27"/>
  <c r="D98" i="27"/>
  <c r="C98" i="27"/>
  <c r="A98" i="27"/>
  <c r="K97" i="27"/>
  <c r="J97" i="27"/>
  <c r="I97" i="27"/>
  <c r="D97" i="27"/>
  <c r="C97" i="27"/>
  <c r="A97" i="27"/>
  <c r="K96" i="27"/>
  <c r="I96" i="27"/>
  <c r="J96" i="27" s="1"/>
  <c r="D96" i="27"/>
  <c r="C96" i="27"/>
  <c r="A96" i="27"/>
  <c r="K95" i="27"/>
  <c r="J95" i="27"/>
  <c r="I95" i="27"/>
  <c r="D95" i="27"/>
  <c r="C95" i="27"/>
  <c r="A95" i="27"/>
  <c r="K94" i="27"/>
  <c r="J94" i="27"/>
  <c r="I94" i="27"/>
  <c r="D94" i="27"/>
  <c r="C94" i="27"/>
  <c r="A94" i="27"/>
  <c r="K93" i="27"/>
  <c r="J93" i="27"/>
  <c r="I93" i="27"/>
  <c r="D93" i="27"/>
  <c r="C93" i="27"/>
  <c r="A93" i="27"/>
  <c r="K92" i="27"/>
  <c r="I92" i="27"/>
  <c r="J92" i="27" s="1"/>
  <c r="D92" i="27"/>
  <c r="C92" i="27"/>
  <c r="A92" i="27"/>
  <c r="K91" i="27"/>
  <c r="J91" i="27"/>
  <c r="I91" i="27"/>
  <c r="D91" i="27"/>
  <c r="C91" i="27"/>
  <c r="A91" i="27"/>
  <c r="K90" i="27"/>
  <c r="J90" i="27"/>
  <c r="I90" i="27"/>
  <c r="D90" i="27"/>
  <c r="C90" i="27"/>
  <c r="A90" i="27"/>
  <c r="K89" i="27"/>
  <c r="J89" i="27"/>
  <c r="I89" i="27"/>
  <c r="D89" i="27"/>
  <c r="C89" i="27"/>
  <c r="A89" i="27"/>
  <c r="K88" i="27"/>
  <c r="I88" i="27"/>
  <c r="J88" i="27" s="1"/>
  <c r="D88" i="27"/>
  <c r="C88" i="27"/>
  <c r="A88" i="27"/>
  <c r="K87" i="27"/>
  <c r="J87" i="27"/>
  <c r="I87" i="27"/>
  <c r="D87" i="27"/>
  <c r="C87" i="27"/>
  <c r="A87" i="27"/>
  <c r="K86" i="27"/>
  <c r="J86" i="27"/>
  <c r="I86" i="27"/>
  <c r="D86" i="27"/>
  <c r="C86" i="27"/>
  <c r="A86" i="27"/>
  <c r="K85" i="27"/>
  <c r="J85" i="27"/>
  <c r="I85" i="27"/>
  <c r="D85" i="27"/>
  <c r="C85" i="27"/>
  <c r="A85" i="27"/>
  <c r="K84" i="27"/>
  <c r="I84" i="27"/>
  <c r="J84" i="27" s="1"/>
  <c r="D84" i="27"/>
  <c r="C84" i="27"/>
  <c r="A84" i="27"/>
  <c r="K83" i="27"/>
  <c r="J83" i="27"/>
  <c r="I83" i="27"/>
  <c r="D83" i="27"/>
  <c r="C83" i="27"/>
  <c r="A83" i="27"/>
  <c r="K82" i="27"/>
  <c r="J82" i="27"/>
  <c r="I82" i="27"/>
  <c r="D82" i="27"/>
  <c r="C82" i="27"/>
  <c r="A82" i="27"/>
  <c r="K81" i="27"/>
  <c r="J81" i="27"/>
  <c r="I81" i="27"/>
  <c r="D81" i="27"/>
  <c r="C81" i="27"/>
  <c r="A81" i="27"/>
  <c r="K80" i="27"/>
  <c r="I80" i="27"/>
  <c r="J80" i="27" s="1"/>
  <c r="D80" i="27"/>
  <c r="C80" i="27"/>
  <c r="A80" i="27"/>
  <c r="K79" i="27"/>
  <c r="J79" i="27"/>
  <c r="I79" i="27"/>
  <c r="D79" i="27"/>
  <c r="C79" i="27"/>
  <c r="A79" i="27"/>
  <c r="K78" i="27"/>
  <c r="J78" i="27"/>
  <c r="I78" i="27"/>
  <c r="D78" i="27"/>
  <c r="C78" i="27"/>
  <c r="A78" i="27"/>
  <c r="K77" i="27"/>
  <c r="J77" i="27"/>
  <c r="I77" i="27"/>
  <c r="D77" i="27"/>
  <c r="C77" i="27"/>
  <c r="A77" i="27"/>
  <c r="K76" i="27"/>
  <c r="I76" i="27"/>
  <c r="J76" i="27" s="1"/>
  <c r="D76" i="27"/>
  <c r="C76" i="27"/>
  <c r="A76" i="27"/>
  <c r="K75" i="27"/>
  <c r="J75" i="27"/>
  <c r="I75" i="27"/>
  <c r="D75" i="27"/>
  <c r="C75" i="27"/>
  <c r="A75" i="27"/>
  <c r="K74" i="27"/>
  <c r="J74" i="27"/>
  <c r="I74" i="27"/>
  <c r="D74" i="27"/>
  <c r="C74" i="27"/>
  <c r="A74" i="27"/>
  <c r="K73" i="27"/>
  <c r="J73" i="27"/>
  <c r="I73" i="27"/>
  <c r="D73" i="27"/>
  <c r="C73" i="27"/>
  <c r="A73" i="27"/>
  <c r="K72" i="27"/>
  <c r="I72" i="27"/>
  <c r="J72" i="27" s="1"/>
  <c r="D72" i="27"/>
  <c r="C72" i="27"/>
  <c r="A72" i="27"/>
  <c r="K71" i="27"/>
  <c r="J71" i="27"/>
  <c r="I71" i="27"/>
  <c r="D71" i="27"/>
  <c r="C71" i="27"/>
  <c r="A71" i="27"/>
  <c r="K70" i="27"/>
  <c r="J70" i="27"/>
  <c r="I70" i="27"/>
  <c r="D70" i="27"/>
  <c r="C70" i="27"/>
  <c r="A70" i="27"/>
  <c r="K69" i="27"/>
  <c r="J69" i="27"/>
  <c r="I69" i="27"/>
  <c r="D69" i="27"/>
  <c r="C69" i="27"/>
  <c r="A69" i="27"/>
  <c r="K68" i="27"/>
  <c r="I68" i="27"/>
  <c r="J68" i="27" s="1"/>
  <c r="D68" i="27"/>
  <c r="C68" i="27"/>
  <c r="A68" i="27"/>
  <c r="K67" i="27"/>
  <c r="J67" i="27"/>
  <c r="I67" i="27"/>
  <c r="D67" i="27"/>
  <c r="C67" i="27"/>
  <c r="A67" i="27"/>
  <c r="K66" i="27"/>
  <c r="J66" i="27"/>
  <c r="I66" i="27"/>
  <c r="D66" i="27"/>
  <c r="C66" i="27"/>
  <c r="A66" i="27"/>
  <c r="K65" i="27"/>
  <c r="J65" i="27"/>
  <c r="I65" i="27"/>
  <c r="D65" i="27"/>
  <c r="C65" i="27"/>
  <c r="A65" i="27"/>
  <c r="K64" i="27"/>
  <c r="I64" i="27"/>
  <c r="J64" i="27" s="1"/>
  <c r="D64" i="27"/>
  <c r="C64" i="27"/>
  <c r="A64" i="27"/>
  <c r="K63" i="27"/>
  <c r="J63" i="27"/>
  <c r="I63" i="27"/>
  <c r="D63" i="27"/>
  <c r="C63" i="27"/>
  <c r="A63" i="27"/>
  <c r="K62" i="27"/>
  <c r="J62" i="27"/>
  <c r="I62" i="27"/>
  <c r="D62" i="27"/>
  <c r="C62" i="27"/>
  <c r="A62" i="27"/>
  <c r="K61" i="27"/>
  <c r="J61" i="27"/>
  <c r="I61" i="27"/>
  <c r="D61" i="27"/>
  <c r="C61" i="27"/>
  <c r="A61" i="27"/>
  <c r="K60" i="27"/>
  <c r="I60" i="27"/>
  <c r="J60" i="27" s="1"/>
  <c r="D60" i="27"/>
  <c r="C60" i="27"/>
  <c r="A60" i="27"/>
  <c r="K59" i="27"/>
  <c r="J59" i="27"/>
  <c r="I59" i="27"/>
  <c r="D59" i="27"/>
  <c r="C59" i="27"/>
  <c r="A59" i="27"/>
  <c r="K58" i="27"/>
  <c r="J58" i="27"/>
  <c r="I58" i="27"/>
  <c r="D58" i="27"/>
  <c r="C58" i="27"/>
  <c r="A58" i="27"/>
  <c r="K57" i="27"/>
  <c r="J57" i="27"/>
  <c r="I57" i="27"/>
  <c r="D57" i="27"/>
  <c r="C57" i="27"/>
  <c r="A57" i="27"/>
  <c r="K56" i="27"/>
  <c r="I56" i="27"/>
  <c r="J56" i="27" s="1"/>
  <c r="D56" i="27"/>
  <c r="C56" i="27"/>
  <c r="A56" i="27"/>
  <c r="K55" i="27"/>
  <c r="J55" i="27"/>
  <c r="I55" i="27"/>
  <c r="D55" i="27"/>
  <c r="C55" i="27"/>
  <c r="A55" i="27"/>
  <c r="K54" i="27"/>
  <c r="J54" i="27"/>
  <c r="I54" i="27"/>
  <c r="D54" i="27"/>
  <c r="C54" i="27"/>
  <c r="A54" i="27"/>
  <c r="K53" i="27"/>
  <c r="J53" i="27"/>
  <c r="I53" i="27"/>
  <c r="D53" i="27"/>
  <c r="C53" i="27"/>
  <c r="A53" i="27"/>
  <c r="K52" i="27"/>
  <c r="I52" i="27"/>
  <c r="J52" i="27" s="1"/>
  <c r="D52" i="27"/>
  <c r="C52" i="27"/>
  <c r="A52" i="27"/>
  <c r="K51" i="27"/>
  <c r="J51" i="27"/>
  <c r="I51" i="27"/>
  <c r="D51" i="27"/>
  <c r="C51" i="27"/>
  <c r="A51" i="27"/>
  <c r="K50" i="27"/>
  <c r="J50" i="27"/>
  <c r="I50" i="27"/>
  <c r="D50" i="27"/>
  <c r="C50" i="27"/>
  <c r="A50" i="27"/>
  <c r="K49" i="27"/>
  <c r="J49" i="27"/>
  <c r="I49" i="27"/>
  <c r="D49" i="27"/>
  <c r="C49" i="27"/>
  <c r="A49" i="27"/>
  <c r="K48" i="27"/>
  <c r="I48" i="27"/>
  <c r="J48" i="27" s="1"/>
  <c r="D48" i="27"/>
  <c r="C48" i="27"/>
  <c r="A48" i="27"/>
  <c r="K47" i="27"/>
  <c r="J47" i="27"/>
  <c r="I47" i="27"/>
  <c r="D47" i="27"/>
  <c r="C47" i="27"/>
  <c r="A47" i="27"/>
  <c r="K46" i="27"/>
  <c r="J46" i="27"/>
  <c r="I46" i="27"/>
  <c r="D46" i="27"/>
  <c r="C46" i="27"/>
  <c r="A46" i="27"/>
  <c r="K45" i="27"/>
  <c r="J45" i="27"/>
  <c r="I45" i="27"/>
  <c r="D45" i="27"/>
  <c r="C45" i="27"/>
  <c r="A45" i="27"/>
  <c r="K44" i="27"/>
  <c r="I44" i="27"/>
  <c r="J44" i="27" s="1"/>
  <c r="D44" i="27"/>
  <c r="C44" i="27"/>
  <c r="A44" i="27"/>
  <c r="K43" i="27"/>
  <c r="J43" i="27"/>
  <c r="I43" i="27"/>
  <c r="D43" i="27"/>
  <c r="C43" i="27"/>
  <c r="A43" i="27"/>
  <c r="K42" i="27"/>
  <c r="J42" i="27"/>
  <c r="I42" i="27"/>
  <c r="D42" i="27"/>
  <c r="C42" i="27"/>
  <c r="A42" i="27"/>
  <c r="K41" i="27"/>
  <c r="J41" i="27"/>
  <c r="I41" i="27"/>
  <c r="D41" i="27"/>
  <c r="C41" i="27"/>
  <c r="A41" i="27"/>
  <c r="K40" i="27"/>
  <c r="I40" i="27"/>
  <c r="J40" i="27" s="1"/>
  <c r="D40" i="27"/>
  <c r="C40" i="27"/>
  <c r="A40" i="27"/>
  <c r="K39" i="27"/>
  <c r="J39" i="27"/>
  <c r="I39" i="27"/>
  <c r="D39" i="27"/>
  <c r="C39" i="27"/>
  <c r="A39" i="27"/>
  <c r="K38" i="27"/>
  <c r="J38" i="27"/>
  <c r="I38" i="27"/>
  <c r="D38" i="27"/>
  <c r="C38" i="27"/>
  <c r="A38" i="27"/>
  <c r="K37" i="27"/>
  <c r="J37" i="27"/>
  <c r="I37" i="27"/>
  <c r="D37" i="27"/>
  <c r="C37" i="27"/>
  <c r="A37" i="27"/>
  <c r="K36" i="27"/>
  <c r="I36" i="27"/>
  <c r="J36" i="27" s="1"/>
  <c r="D36" i="27"/>
  <c r="C36" i="27"/>
  <c r="A36" i="27"/>
  <c r="K35" i="27"/>
  <c r="J35" i="27"/>
  <c r="I35" i="27"/>
  <c r="D35" i="27"/>
  <c r="C35" i="27"/>
  <c r="A35" i="27"/>
  <c r="K34" i="27"/>
  <c r="J34" i="27"/>
  <c r="I34" i="27"/>
  <c r="D34" i="27"/>
  <c r="C34" i="27"/>
  <c r="A34" i="27"/>
  <c r="K33" i="27"/>
  <c r="J33" i="27"/>
  <c r="I33" i="27"/>
  <c r="D33" i="27"/>
  <c r="C33" i="27"/>
  <c r="A33" i="27"/>
  <c r="K32" i="27"/>
  <c r="I32" i="27"/>
  <c r="J32" i="27" s="1"/>
  <c r="D32" i="27"/>
  <c r="C32" i="27"/>
  <c r="A32" i="27"/>
  <c r="K31" i="27"/>
  <c r="J31" i="27"/>
  <c r="I31" i="27"/>
  <c r="D31" i="27"/>
  <c r="C31" i="27"/>
  <c r="A31" i="27"/>
  <c r="K30" i="27"/>
  <c r="J30" i="27"/>
  <c r="I30" i="27"/>
  <c r="D30" i="27"/>
  <c r="C30" i="27"/>
  <c r="A30" i="27"/>
  <c r="K29" i="27"/>
  <c r="J29" i="27"/>
  <c r="I29" i="27"/>
  <c r="D29" i="27"/>
  <c r="C29" i="27"/>
  <c r="A29" i="27"/>
  <c r="K28" i="27"/>
  <c r="I28" i="27"/>
  <c r="J28" i="27" s="1"/>
  <c r="D28" i="27"/>
  <c r="C28" i="27"/>
  <c r="A28" i="27"/>
  <c r="K27" i="27"/>
  <c r="J27" i="27"/>
  <c r="I27" i="27"/>
  <c r="D27" i="27"/>
  <c r="C27" i="27"/>
  <c r="A27" i="27"/>
  <c r="K26" i="27"/>
  <c r="J26" i="27"/>
  <c r="I26" i="27"/>
  <c r="D26" i="27"/>
  <c r="C26" i="27"/>
  <c r="A26" i="27"/>
  <c r="K25" i="27"/>
  <c r="J25" i="27"/>
  <c r="I25" i="27"/>
  <c r="D25" i="27"/>
  <c r="C25" i="27"/>
  <c r="A25" i="27"/>
  <c r="K24" i="27"/>
  <c r="I24" i="27"/>
  <c r="J24" i="27" s="1"/>
  <c r="D24" i="27"/>
  <c r="C24" i="27"/>
  <c r="A24" i="27"/>
  <c r="K23" i="27"/>
  <c r="J23" i="27"/>
  <c r="I23" i="27"/>
  <c r="D23" i="27"/>
  <c r="C23" i="27"/>
  <c r="A23" i="27"/>
  <c r="K22" i="27"/>
  <c r="J22" i="27"/>
  <c r="I22" i="27"/>
  <c r="D22" i="27"/>
  <c r="C22" i="27"/>
  <c r="A22" i="27"/>
  <c r="K21" i="27"/>
  <c r="J21" i="27"/>
  <c r="I21" i="27"/>
  <c r="D21" i="27"/>
  <c r="C21" i="27"/>
  <c r="A21" i="27"/>
  <c r="K20" i="27"/>
  <c r="I20" i="27"/>
  <c r="J20" i="27" s="1"/>
  <c r="D20" i="27"/>
  <c r="C20" i="27"/>
  <c r="A20" i="27"/>
  <c r="K19" i="27"/>
  <c r="J19" i="27"/>
  <c r="I19" i="27"/>
  <c r="D19" i="27"/>
  <c r="C19" i="27"/>
  <c r="A19" i="27"/>
  <c r="K18" i="27"/>
  <c r="J18" i="27"/>
  <c r="I18" i="27"/>
  <c r="D18" i="27"/>
  <c r="C18" i="27"/>
  <c r="A18" i="27"/>
  <c r="K17" i="27"/>
  <c r="J17" i="27"/>
  <c r="I17" i="27"/>
  <c r="D17" i="27"/>
  <c r="C17" i="27"/>
  <c r="A17" i="27"/>
  <c r="K16" i="27"/>
  <c r="I16" i="27"/>
  <c r="J16" i="27" s="1"/>
  <c r="D16" i="27"/>
  <c r="C16" i="27"/>
  <c r="A16" i="27"/>
  <c r="K15" i="27"/>
  <c r="J15" i="27"/>
  <c r="I15" i="27"/>
  <c r="D15" i="27"/>
  <c r="C15" i="27"/>
  <c r="A15" i="27"/>
  <c r="K14" i="27"/>
  <c r="J14" i="27"/>
  <c r="I14" i="27"/>
  <c r="D14" i="27"/>
  <c r="C14" i="27"/>
  <c r="A14" i="27"/>
  <c r="B10" i="27"/>
  <c r="B9" i="27"/>
  <c r="B8" i="27"/>
  <c r="K208" i="26"/>
  <c r="J208" i="26"/>
  <c r="G208" i="26"/>
  <c r="D208" i="26"/>
  <c r="C208" i="26"/>
  <c r="B208" i="26"/>
  <c r="K207" i="26"/>
  <c r="J207" i="26"/>
  <c r="G207" i="26"/>
  <c r="D207" i="26"/>
  <c r="C207" i="26"/>
  <c r="B207" i="26"/>
  <c r="J206" i="26"/>
  <c r="K206" i="26" s="1"/>
  <c r="G206" i="26"/>
  <c r="D206" i="26"/>
  <c r="C206" i="26"/>
  <c r="B206" i="26"/>
  <c r="K205" i="26"/>
  <c r="J205" i="26"/>
  <c r="G205" i="26"/>
  <c r="D205" i="26"/>
  <c r="C205" i="26"/>
  <c r="B205" i="26"/>
  <c r="K204" i="26"/>
  <c r="J204" i="26"/>
  <c r="G204" i="26"/>
  <c r="D204" i="26"/>
  <c r="C204" i="26"/>
  <c r="B204" i="26"/>
  <c r="K203" i="26"/>
  <c r="J203" i="26"/>
  <c r="G203" i="26"/>
  <c r="D203" i="26"/>
  <c r="C203" i="26"/>
  <c r="B203" i="26"/>
  <c r="J202" i="26"/>
  <c r="K202" i="26" s="1"/>
  <c r="G202" i="26"/>
  <c r="D202" i="26"/>
  <c r="C202" i="26"/>
  <c r="B202" i="26"/>
  <c r="K201" i="26"/>
  <c r="J201" i="26"/>
  <c r="G201" i="26"/>
  <c r="D201" i="26"/>
  <c r="C201" i="26"/>
  <c r="B201" i="26"/>
  <c r="K200" i="26"/>
  <c r="J200" i="26"/>
  <c r="G200" i="26"/>
  <c r="D200" i="26"/>
  <c r="C200" i="26"/>
  <c r="B200" i="26"/>
  <c r="K199" i="26"/>
  <c r="J199" i="26"/>
  <c r="G199" i="26"/>
  <c r="D199" i="26"/>
  <c r="C199" i="26"/>
  <c r="B199" i="26"/>
  <c r="J198" i="26"/>
  <c r="K198" i="26" s="1"/>
  <c r="G198" i="26"/>
  <c r="D198" i="26"/>
  <c r="C198" i="26"/>
  <c r="B198" i="26"/>
  <c r="K197" i="26"/>
  <c r="J197" i="26"/>
  <c r="G197" i="26"/>
  <c r="D197" i="26"/>
  <c r="C197" i="26"/>
  <c r="B197" i="26"/>
  <c r="K196" i="26"/>
  <c r="J196" i="26"/>
  <c r="G196" i="26"/>
  <c r="D196" i="26"/>
  <c r="C196" i="26"/>
  <c r="B196" i="26"/>
  <c r="K195" i="26"/>
  <c r="J195" i="26"/>
  <c r="G195" i="26"/>
  <c r="D195" i="26"/>
  <c r="C195" i="26"/>
  <c r="B195" i="26"/>
  <c r="J194" i="26"/>
  <c r="K194" i="26" s="1"/>
  <c r="G194" i="26"/>
  <c r="D194" i="26"/>
  <c r="C194" i="26"/>
  <c r="B194" i="26"/>
  <c r="K193" i="26"/>
  <c r="J193" i="26"/>
  <c r="G193" i="26"/>
  <c r="D193" i="26"/>
  <c r="C193" i="26"/>
  <c r="B193" i="26"/>
  <c r="K192" i="26"/>
  <c r="J192" i="26"/>
  <c r="G192" i="26"/>
  <c r="D192" i="26"/>
  <c r="C192" i="26"/>
  <c r="B192" i="26"/>
  <c r="K191" i="26"/>
  <c r="J191" i="26"/>
  <c r="G191" i="26"/>
  <c r="D191" i="26"/>
  <c r="C191" i="26"/>
  <c r="B191" i="26"/>
  <c r="J190" i="26"/>
  <c r="K190" i="26" s="1"/>
  <c r="G190" i="26"/>
  <c r="D190" i="26"/>
  <c r="C190" i="26"/>
  <c r="B190" i="26"/>
  <c r="K189" i="26"/>
  <c r="J189" i="26"/>
  <c r="G189" i="26"/>
  <c r="D189" i="26"/>
  <c r="C189" i="26"/>
  <c r="B189" i="26"/>
  <c r="K188" i="26"/>
  <c r="J188" i="26"/>
  <c r="G188" i="26"/>
  <c r="D188" i="26"/>
  <c r="C188" i="26"/>
  <c r="B188" i="26"/>
  <c r="K187" i="26"/>
  <c r="J187" i="26"/>
  <c r="G187" i="26"/>
  <c r="D187" i="26"/>
  <c r="C187" i="26"/>
  <c r="B187" i="26"/>
  <c r="J186" i="26"/>
  <c r="K186" i="26" s="1"/>
  <c r="G186" i="26"/>
  <c r="D186" i="26"/>
  <c r="C186" i="26"/>
  <c r="B186" i="26"/>
  <c r="K185" i="26"/>
  <c r="J185" i="26"/>
  <c r="G185" i="26"/>
  <c r="D185" i="26"/>
  <c r="C185" i="26"/>
  <c r="B185" i="26"/>
  <c r="K184" i="26"/>
  <c r="J184" i="26"/>
  <c r="G184" i="26"/>
  <c r="D184" i="26"/>
  <c r="C184" i="26"/>
  <c r="B184" i="26"/>
  <c r="K183" i="26"/>
  <c r="J183" i="26"/>
  <c r="G183" i="26"/>
  <c r="D183" i="26"/>
  <c r="C183" i="26"/>
  <c r="B183" i="26"/>
  <c r="J182" i="26"/>
  <c r="K182" i="26" s="1"/>
  <c r="G182" i="26"/>
  <c r="D182" i="26"/>
  <c r="C182" i="26"/>
  <c r="B182" i="26"/>
  <c r="K181" i="26"/>
  <c r="J181" i="26"/>
  <c r="G181" i="26"/>
  <c r="D181" i="26"/>
  <c r="C181" i="26"/>
  <c r="B181" i="26"/>
  <c r="K180" i="26"/>
  <c r="J180" i="26"/>
  <c r="G180" i="26"/>
  <c r="D180" i="26"/>
  <c r="C180" i="26"/>
  <c r="B180" i="26"/>
  <c r="K179" i="26"/>
  <c r="J179" i="26"/>
  <c r="G179" i="26"/>
  <c r="D179" i="26"/>
  <c r="C179" i="26"/>
  <c r="B179" i="26"/>
  <c r="J178" i="26"/>
  <c r="K178" i="26" s="1"/>
  <c r="G178" i="26"/>
  <c r="D178" i="26"/>
  <c r="C178" i="26"/>
  <c r="B178" i="26"/>
  <c r="K177" i="26"/>
  <c r="J177" i="26"/>
  <c r="G177" i="26"/>
  <c r="D177" i="26"/>
  <c r="C177" i="26"/>
  <c r="B177" i="26"/>
  <c r="K176" i="26"/>
  <c r="J176" i="26"/>
  <c r="G176" i="26"/>
  <c r="D176" i="26"/>
  <c r="C176" i="26"/>
  <c r="B176" i="26"/>
  <c r="K175" i="26"/>
  <c r="J175" i="26"/>
  <c r="G175" i="26"/>
  <c r="D175" i="26"/>
  <c r="C175" i="26"/>
  <c r="B175" i="26"/>
  <c r="J174" i="26"/>
  <c r="K174" i="26" s="1"/>
  <c r="G174" i="26"/>
  <c r="D174" i="26"/>
  <c r="C174" i="26"/>
  <c r="B174" i="26"/>
  <c r="K173" i="26"/>
  <c r="J173" i="26"/>
  <c r="G173" i="26"/>
  <c r="D173" i="26"/>
  <c r="C173" i="26"/>
  <c r="B173" i="26"/>
  <c r="K172" i="26"/>
  <c r="J172" i="26"/>
  <c r="G172" i="26"/>
  <c r="D172" i="26"/>
  <c r="C172" i="26"/>
  <c r="B172" i="26"/>
  <c r="K171" i="26"/>
  <c r="J171" i="26"/>
  <c r="G171" i="26"/>
  <c r="D171" i="26"/>
  <c r="C171" i="26"/>
  <c r="B171" i="26"/>
  <c r="J170" i="26"/>
  <c r="K170" i="26" s="1"/>
  <c r="G170" i="26"/>
  <c r="D170" i="26"/>
  <c r="C170" i="26"/>
  <c r="B170" i="26"/>
  <c r="K169" i="26"/>
  <c r="J169" i="26"/>
  <c r="G169" i="26"/>
  <c r="D169" i="26"/>
  <c r="C169" i="26"/>
  <c r="B169" i="26"/>
  <c r="K168" i="26"/>
  <c r="J168" i="26"/>
  <c r="G168" i="26"/>
  <c r="D168" i="26"/>
  <c r="C168" i="26"/>
  <c r="B168" i="26"/>
  <c r="K167" i="26"/>
  <c r="J167" i="26"/>
  <c r="G167" i="26"/>
  <c r="D167" i="26"/>
  <c r="C167" i="26"/>
  <c r="B167" i="26"/>
  <c r="J166" i="26"/>
  <c r="K166" i="26" s="1"/>
  <c r="G166" i="26"/>
  <c r="D166" i="26"/>
  <c r="C166" i="26"/>
  <c r="B166" i="26"/>
  <c r="K165" i="26"/>
  <c r="J165" i="26"/>
  <c r="G165" i="26"/>
  <c r="D165" i="26"/>
  <c r="C165" i="26"/>
  <c r="B165" i="26"/>
  <c r="K164" i="26"/>
  <c r="J164" i="26"/>
  <c r="G164" i="26"/>
  <c r="D164" i="26"/>
  <c r="C164" i="26"/>
  <c r="B164" i="26"/>
  <c r="K163" i="26"/>
  <c r="J163" i="26"/>
  <c r="G163" i="26"/>
  <c r="D163" i="26"/>
  <c r="C163" i="26"/>
  <c r="B163" i="26"/>
  <c r="J162" i="26"/>
  <c r="K162" i="26" s="1"/>
  <c r="G162" i="26"/>
  <c r="D162" i="26"/>
  <c r="C162" i="26"/>
  <c r="B162" i="26"/>
  <c r="K161" i="26"/>
  <c r="J161" i="26"/>
  <c r="G161" i="26"/>
  <c r="D161" i="26"/>
  <c r="C161" i="26"/>
  <c r="B161" i="26"/>
  <c r="K160" i="26"/>
  <c r="J160" i="26"/>
  <c r="G160" i="26"/>
  <c r="D160" i="26"/>
  <c r="C160" i="26"/>
  <c r="B160" i="26"/>
  <c r="K159" i="26"/>
  <c r="J159" i="26"/>
  <c r="G159" i="26"/>
  <c r="D159" i="26"/>
  <c r="C159" i="26"/>
  <c r="B159" i="26"/>
  <c r="J158" i="26"/>
  <c r="K158" i="26" s="1"/>
  <c r="G158" i="26"/>
  <c r="D158" i="26"/>
  <c r="C158" i="26"/>
  <c r="B158" i="26"/>
  <c r="K157" i="26"/>
  <c r="J157" i="26"/>
  <c r="G157" i="26"/>
  <c r="D157" i="26"/>
  <c r="C157" i="26"/>
  <c r="B157" i="26"/>
  <c r="K156" i="26"/>
  <c r="J156" i="26"/>
  <c r="G156" i="26"/>
  <c r="D156" i="26"/>
  <c r="C156" i="26"/>
  <c r="B156" i="26"/>
  <c r="K155" i="26"/>
  <c r="J155" i="26"/>
  <c r="G155" i="26"/>
  <c r="D155" i="26"/>
  <c r="C155" i="26"/>
  <c r="B155" i="26"/>
  <c r="J154" i="26"/>
  <c r="K154" i="26" s="1"/>
  <c r="G154" i="26"/>
  <c r="D154" i="26"/>
  <c r="C154" i="26"/>
  <c r="B154" i="26"/>
  <c r="K153" i="26"/>
  <c r="J153" i="26"/>
  <c r="G153" i="26"/>
  <c r="D153" i="26"/>
  <c r="C153" i="26"/>
  <c r="B153" i="26"/>
  <c r="K152" i="26"/>
  <c r="J152" i="26"/>
  <c r="G152" i="26"/>
  <c r="D152" i="26"/>
  <c r="C152" i="26"/>
  <c r="B152" i="26"/>
  <c r="K151" i="26"/>
  <c r="J151" i="26"/>
  <c r="G151" i="26"/>
  <c r="D151" i="26"/>
  <c r="C151" i="26"/>
  <c r="B151" i="26"/>
  <c r="J150" i="26"/>
  <c r="K150" i="26" s="1"/>
  <c r="G150" i="26"/>
  <c r="D150" i="26"/>
  <c r="C150" i="26"/>
  <c r="B150" i="26"/>
  <c r="K149" i="26"/>
  <c r="J149" i="26"/>
  <c r="G149" i="26"/>
  <c r="D149" i="26"/>
  <c r="C149" i="26"/>
  <c r="B149" i="26"/>
  <c r="K148" i="26"/>
  <c r="J148" i="26"/>
  <c r="G148" i="26"/>
  <c r="D148" i="26"/>
  <c r="C148" i="26"/>
  <c r="B148" i="26"/>
  <c r="K147" i="26"/>
  <c r="J147" i="26"/>
  <c r="G147" i="26"/>
  <c r="D147" i="26"/>
  <c r="C147" i="26"/>
  <c r="B147" i="26"/>
  <c r="J146" i="26"/>
  <c r="K146" i="26" s="1"/>
  <c r="G146" i="26"/>
  <c r="D146" i="26"/>
  <c r="C146" i="26"/>
  <c r="B146" i="26"/>
  <c r="K145" i="26"/>
  <c r="J145" i="26"/>
  <c r="G145" i="26"/>
  <c r="D145" i="26"/>
  <c r="C145" i="26"/>
  <c r="B145" i="26"/>
  <c r="K144" i="26"/>
  <c r="J144" i="26"/>
  <c r="G144" i="26"/>
  <c r="D144" i="26"/>
  <c r="C144" i="26"/>
  <c r="B144" i="26"/>
  <c r="K143" i="26"/>
  <c r="J143" i="26"/>
  <c r="G143" i="26"/>
  <c r="D143" i="26"/>
  <c r="C143" i="26"/>
  <c r="B143" i="26"/>
  <c r="J142" i="26"/>
  <c r="K142" i="26" s="1"/>
  <c r="G142" i="26"/>
  <c r="D142" i="26"/>
  <c r="C142" i="26"/>
  <c r="B142" i="26"/>
  <c r="K141" i="26"/>
  <c r="J141" i="26"/>
  <c r="G141" i="26"/>
  <c r="D141" i="26"/>
  <c r="C141" i="26"/>
  <c r="B141" i="26"/>
  <c r="K140" i="26"/>
  <c r="J140" i="26"/>
  <c r="G140" i="26"/>
  <c r="D140" i="26"/>
  <c r="C140" i="26"/>
  <c r="B140" i="26"/>
  <c r="K139" i="26"/>
  <c r="J139" i="26"/>
  <c r="G139" i="26"/>
  <c r="D139" i="26"/>
  <c r="C139" i="26"/>
  <c r="B139" i="26"/>
  <c r="J138" i="26"/>
  <c r="K138" i="26" s="1"/>
  <c r="G138" i="26"/>
  <c r="D138" i="26"/>
  <c r="C138" i="26"/>
  <c r="B138" i="26"/>
  <c r="K137" i="26"/>
  <c r="J137" i="26"/>
  <c r="G137" i="26"/>
  <c r="D137" i="26"/>
  <c r="C137" i="26"/>
  <c r="B137" i="26"/>
  <c r="K136" i="26"/>
  <c r="J136" i="26"/>
  <c r="G136" i="26"/>
  <c r="D136" i="26"/>
  <c r="C136" i="26"/>
  <c r="B136" i="26"/>
  <c r="K135" i="26"/>
  <c r="J135" i="26"/>
  <c r="G135" i="26"/>
  <c r="D135" i="26"/>
  <c r="C135" i="26"/>
  <c r="B135" i="26"/>
  <c r="J134" i="26"/>
  <c r="K134" i="26" s="1"/>
  <c r="G134" i="26"/>
  <c r="D134" i="26"/>
  <c r="C134" i="26"/>
  <c r="B134" i="26"/>
  <c r="K133" i="26"/>
  <c r="J133" i="26"/>
  <c r="G133" i="26"/>
  <c r="D133" i="26"/>
  <c r="C133" i="26"/>
  <c r="B133" i="26"/>
  <c r="K132" i="26"/>
  <c r="J132" i="26"/>
  <c r="G132" i="26"/>
  <c r="D132" i="26"/>
  <c r="C132" i="26"/>
  <c r="B132" i="26"/>
  <c r="K131" i="26"/>
  <c r="J131" i="26"/>
  <c r="G131" i="26"/>
  <c r="D131" i="26"/>
  <c r="C131" i="26"/>
  <c r="B131" i="26"/>
  <c r="J130" i="26"/>
  <c r="K130" i="26" s="1"/>
  <c r="G130" i="26"/>
  <c r="D130" i="26"/>
  <c r="C130" i="26"/>
  <c r="B130" i="26"/>
  <c r="K129" i="26"/>
  <c r="J129" i="26"/>
  <c r="G129" i="26"/>
  <c r="D129" i="26"/>
  <c r="C129" i="26"/>
  <c r="B129" i="26"/>
  <c r="K128" i="26"/>
  <c r="J128" i="26"/>
  <c r="G128" i="26"/>
  <c r="D128" i="26"/>
  <c r="C128" i="26"/>
  <c r="B128" i="26"/>
  <c r="K127" i="26"/>
  <c r="J127" i="26"/>
  <c r="G127" i="26"/>
  <c r="D127" i="26"/>
  <c r="C127" i="26"/>
  <c r="B127" i="26"/>
  <c r="J126" i="26"/>
  <c r="K126" i="26" s="1"/>
  <c r="G126" i="26"/>
  <c r="D126" i="26"/>
  <c r="C126" i="26"/>
  <c r="B126" i="26"/>
  <c r="K125" i="26"/>
  <c r="J125" i="26"/>
  <c r="G125" i="26"/>
  <c r="D125" i="26"/>
  <c r="C125" i="26"/>
  <c r="B125" i="26"/>
  <c r="K124" i="26"/>
  <c r="J124" i="26"/>
  <c r="G124" i="26"/>
  <c r="D124" i="26"/>
  <c r="C124" i="26"/>
  <c r="B124" i="26"/>
  <c r="K123" i="26"/>
  <c r="J123" i="26"/>
  <c r="G123" i="26"/>
  <c r="D123" i="26"/>
  <c r="C123" i="26"/>
  <c r="B123" i="26"/>
  <c r="J122" i="26"/>
  <c r="K122" i="26" s="1"/>
  <c r="G122" i="26"/>
  <c r="D122" i="26"/>
  <c r="C122" i="26"/>
  <c r="B122" i="26"/>
  <c r="K121" i="26"/>
  <c r="J121" i="26"/>
  <c r="G121" i="26"/>
  <c r="D121" i="26"/>
  <c r="C121" i="26"/>
  <c r="B121" i="26"/>
  <c r="K120" i="26"/>
  <c r="J120" i="26"/>
  <c r="G120" i="26"/>
  <c r="D120" i="26"/>
  <c r="C120" i="26"/>
  <c r="B120" i="26"/>
  <c r="K119" i="26"/>
  <c r="J119" i="26"/>
  <c r="G119" i="26"/>
  <c r="D119" i="26"/>
  <c r="C119" i="26"/>
  <c r="B119" i="26"/>
  <c r="J118" i="26"/>
  <c r="K118" i="26" s="1"/>
  <c r="G118" i="26"/>
  <c r="D118" i="26"/>
  <c r="C118" i="26"/>
  <c r="B118" i="26"/>
  <c r="K117" i="26"/>
  <c r="J117" i="26"/>
  <c r="G117" i="26"/>
  <c r="D117" i="26"/>
  <c r="C117" i="26"/>
  <c r="B117" i="26"/>
  <c r="K116" i="26"/>
  <c r="J116" i="26"/>
  <c r="G116" i="26"/>
  <c r="D116" i="26"/>
  <c r="C116" i="26"/>
  <c r="B116" i="26"/>
  <c r="K115" i="26"/>
  <c r="J115" i="26"/>
  <c r="G115" i="26"/>
  <c r="D115" i="26"/>
  <c r="C115" i="26"/>
  <c r="B115" i="26"/>
  <c r="J114" i="26"/>
  <c r="K114" i="26" s="1"/>
  <c r="G114" i="26"/>
  <c r="D114" i="26"/>
  <c r="C114" i="26"/>
  <c r="B114" i="26"/>
  <c r="K113" i="26"/>
  <c r="J113" i="26"/>
  <c r="G113" i="26"/>
  <c r="D113" i="26"/>
  <c r="C113" i="26"/>
  <c r="B113" i="26"/>
  <c r="K112" i="26"/>
  <c r="J112" i="26"/>
  <c r="G112" i="26"/>
  <c r="D112" i="26"/>
  <c r="C112" i="26"/>
  <c r="B112" i="26"/>
  <c r="K111" i="26"/>
  <c r="J111" i="26"/>
  <c r="G111" i="26"/>
  <c r="D111" i="26"/>
  <c r="C111" i="26"/>
  <c r="B111" i="26"/>
  <c r="J110" i="26"/>
  <c r="K110" i="26" s="1"/>
  <c r="G110" i="26"/>
  <c r="D110" i="26"/>
  <c r="C110" i="26"/>
  <c r="B110" i="26"/>
  <c r="K109" i="26"/>
  <c r="J109" i="26"/>
  <c r="G109" i="26"/>
  <c r="D109" i="26"/>
  <c r="C109" i="26"/>
  <c r="B109" i="26"/>
  <c r="K108" i="26"/>
  <c r="J108" i="26"/>
  <c r="G108" i="26"/>
  <c r="D108" i="26"/>
  <c r="C108" i="26"/>
  <c r="B108" i="26"/>
  <c r="K107" i="26"/>
  <c r="J107" i="26"/>
  <c r="G107" i="26"/>
  <c r="D107" i="26"/>
  <c r="C107" i="26"/>
  <c r="B107" i="26"/>
  <c r="J106" i="26"/>
  <c r="K106" i="26" s="1"/>
  <c r="G106" i="26"/>
  <c r="D106" i="26"/>
  <c r="C106" i="26"/>
  <c r="B106" i="26"/>
  <c r="K105" i="26"/>
  <c r="J105" i="26"/>
  <c r="G105" i="26"/>
  <c r="D105" i="26"/>
  <c r="C105" i="26"/>
  <c r="B105" i="26"/>
  <c r="K104" i="26"/>
  <c r="J104" i="26"/>
  <c r="G104" i="26"/>
  <c r="D104" i="26"/>
  <c r="C104" i="26"/>
  <c r="B104" i="26"/>
  <c r="K103" i="26"/>
  <c r="J103" i="26"/>
  <c r="G103" i="26"/>
  <c r="D103" i="26"/>
  <c r="C103" i="26"/>
  <c r="B103" i="26"/>
  <c r="J102" i="26"/>
  <c r="K102" i="26" s="1"/>
  <c r="G102" i="26"/>
  <c r="D102" i="26"/>
  <c r="C102" i="26"/>
  <c r="B102" i="26"/>
  <c r="K101" i="26"/>
  <c r="J101" i="26"/>
  <c r="G101" i="26"/>
  <c r="D101" i="26"/>
  <c r="C101" i="26"/>
  <c r="B101" i="26"/>
  <c r="K100" i="26"/>
  <c r="J100" i="26"/>
  <c r="G100" i="26"/>
  <c r="D100" i="26"/>
  <c r="C100" i="26"/>
  <c r="B100" i="26"/>
  <c r="K99" i="26"/>
  <c r="J99" i="26"/>
  <c r="G99" i="26"/>
  <c r="D99" i="26"/>
  <c r="C99" i="26"/>
  <c r="B99" i="26"/>
  <c r="J98" i="26"/>
  <c r="K98" i="26" s="1"/>
  <c r="G98" i="26"/>
  <c r="D98" i="26"/>
  <c r="C98" i="26"/>
  <c r="B98" i="26"/>
  <c r="K97" i="26"/>
  <c r="J97" i="26"/>
  <c r="G97" i="26"/>
  <c r="D97" i="26"/>
  <c r="C97" i="26"/>
  <c r="B97" i="26"/>
  <c r="K96" i="26"/>
  <c r="J96" i="26"/>
  <c r="G96" i="26"/>
  <c r="D96" i="26"/>
  <c r="C96" i="26"/>
  <c r="B96" i="26"/>
  <c r="K95" i="26"/>
  <c r="J95" i="26"/>
  <c r="G95" i="26"/>
  <c r="D95" i="26"/>
  <c r="C95" i="26"/>
  <c r="B95" i="26"/>
  <c r="J94" i="26"/>
  <c r="K94" i="26" s="1"/>
  <c r="G94" i="26"/>
  <c r="D94" i="26"/>
  <c r="C94" i="26"/>
  <c r="B94" i="26"/>
  <c r="K93" i="26"/>
  <c r="J93" i="26"/>
  <c r="G93" i="26"/>
  <c r="D93" i="26"/>
  <c r="C93" i="26"/>
  <c r="B93" i="26"/>
  <c r="K92" i="26"/>
  <c r="J92" i="26"/>
  <c r="G92" i="26"/>
  <c r="D92" i="26"/>
  <c r="C92" i="26"/>
  <c r="B92" i="26"/>
  <c r="K91" i="26"/>
  <c r="J91" i="26"/>
  <c r="G91" i="26"/>
  <c r="D91" i="26"/>
  <c r="C91" i="26"/>
  <c r="B91" i="26"/>
  <c r="J90" i="26"/>
  <c r="K90" i="26" s="1"/>
  <c r="G90" i="26"/>
  <c r="D90" i="26"/>
  <c r="C90" i="26"/>
  <c r="B90" i="26"/>
  <c r="K89" i="26"/>
  <c r="J89" i="26"/>
  <c r="G89" i="26"/>
  <c r="D89" i="26"/>
  <c r="C89" i="26"/>
  <c r="B89" i="26"/>
  <c r="K88" i="26"/>
  <c r="J88" i="26"/>
  <c r="G88" i="26"/>
  <c r="D88" i="26"/>
  <c r="C88" i="26"/>
  <c r="B88" i="26"/>
  <c r="K87" i="26"/>
  <c r="J87" i="26"/>
  <c r="G87" i="26"/>
  <c r="D87" i="26"/>
  <c r="C87" i="26"/>
  <c r="B87" i="26"/>
  <c r="J86" i="26"/>
  <c r="K86" i="26" s="1"/>
  <c r="G86" i="26"/>
  <c r="D86" i="26"/>
  <c r="C86" i="26"/>
  <c r="B86" i="26"/>
  <c r="K85" i="26"/>
  <c r="J85" i="26"/>
  <c r="G85" i="26"/>
  <c r="D85" i="26"/>
  <c r="C85" i="26"/>
  <c r="B85" i="26"/>
  <c r="K84" i="26"/>
  <c r="J84" i="26"/>
  <c r="G84" i="26"/>
  <c r="D84" i="26"/>
  <c r="C84" i="26"/>
  <c r="B84" i="26"/>
  <c r="K83" i="26"/>
  <c r="J83" i="26"/>
  <c r="G83" i="26"/>
  <c r="D83" i="26"/>
  <c r="C83" i="26"/>
  <c r="B83" i="26"/>
  <c r="J82" i="26"/>
  <c r="K82" i="26" s="1"/>
  <c r="G82" i="26"/>
  <c r="D82" i="26"/>
  <c r="C82" i="26"/>
  <c r="B82" i="26"/>
  <c r="K81" i="26"/>
  <c r="J81" i="26"/>
  <c r="G81" i="26"/>
  <c r="D81" i="26"/>
  <c r="C81" i="26"/>
  <c r="B81" i="26"/>
  <c r="K80" i="26"/>
  <c r="J80" i="26"/>
  <c r="G80" i="26"/>
  <c r="D80" i="26"/>
  <c r="C80" i="26"/>
  <c r="B80" i="26"/>
  <c r="K79" i="26"/>
  <c r="J79" i="26"/>
  <c r="G79" i="26"/>
  <c r="D79" i="26"/>
  <c r="C79" i="26"/>
  <c r="B79" i="26"/>
  <c r="J78" i="26"/>
  <c r="K78" i="26" s="1"/>
  <c r="G78" i="26"/>
  <c r="D78" i="26"/>
  <c r="C78" i="26"/>
  <c r="B78" i="26"/>
  <c r="K77" i="26"/>
  <c r="J77" i="26"/>
  <c r="G77" i="26"/>
  <c r="D77" i="26"/>
  <c r="C77" i="26"/>
  <c r="B77" i="26"/>
  <c r="K76" i="26"/>
  <c r="J76" i="26"/>
  <c r="G76" i="26"/>
  <c r="D76" i="26"/>
  <c r="C76" i="26"/>
  <c r="B76" i="26"/>
  <c r="K75" i="26"/>
  <c r="J75" i="26"/>
  <c r="G75" i="26"/>
  <c r="D75" i="26"/>
  <c r="C75" i="26"/>
  <c r="B75" i="26"/>
  <c r="J74" i="26"/>
  <c r="K74" i="26" s="1"/>
  <c r="G74" i="26"/>
  <c r="D74" i="26"/>
  <c r="C74" i="26"/>
  <c r="B74" i="26"/>
  <c r="K73" i="26"/>
  <c r="J73" i="26"/>
  <c r="G73" i="26"/>
  <c r="D73" i="26"/>
  <c r="C73" i="26"/>
  <c r="B73" i="26"/>
  <c r="K72" i="26"/>
  <c r="J72" i="26"/>
  <c r="G72" i="26"/>
  <c r="D72" i="26"/>
  <c r="C72" i="26"/>
  <c r="B72" i="26"/>
  <c r="K71" i="26"/>
  <c r="J71" i="26"/>
  <c r="G71" i="26"/>
  <c r="D71" i="26"/>
  <c r="C71" i="26"/>
  <c r="B71" i="26"/>
  <c r="J70" i="26"/>
  <c r="K70" i="26" s="1"/>
  <c r="G70" i="26"/>
  <c r="D70" i="26"/>
  <c r="C70" i="26"/>
  <c r="B70" i="26"/>
  <c r="K69" i="26"/>
  <c r="J69" i="26"/>
  <c r="G69" i="26"/>
  <c r="D69" i="26"/>
  <c r="C69" i="26"/>
  <c r="B69" i="26"/>
  <c r="K68" i="26"/>
  <c r="J68" i="26"/>
  <c r="G68" i="26"/>
  <c r="D68" i="26"/>
  <c r="C68" i="26"/>
  <c r="B68" i="26"/>
  <c r="K67" i="26"/>
  <c r="J67" i="26"/>
  <c r="G67" i="26"/>
  <c r="D67" i="26"/>
  <c r="C67" i="26"/>
  <c r="B67" i="26"/>
  <c r="J66" i="26"/>
  <c r="K66" i="26" s="1"/>
  <c r="G66" i="26"/>
  <c r="D66" i="26"/>
  <c r="C66" i="26"/>
  <c r="B66" i="26"/>
  <c r="K65" i="26"/>
  <c r="J65" i="26"/>
  <c r="G65" i="26"/>
  <c r="D65" i="26"/>
  <c r="C65" i="26"/>
  <c r="B65" i="26"/>
  <c r="K64" i="26"/>
  <c r="J64" i="26"/>
  <c r="G64" i="26"/>
  <c r="D64" i="26"/>
  <c r="C64" i="26"/>
  <c r="B64" i="26"/>
  <c r="K63" i="26"/>
  <c r="J63" i="26"/>
  <c r="G63" i="26"/>
  <c r="D63" i="26"/>
  <c r="C63" i="26"/>
  <c r="B63" i="26"/>
  <c r="J62" i="26"/>
  <c r="K62" i="26" s="1"/>
  <c r="G62" i="26"/>
  <c r="D62" i="26"/>
  <c r="C62" i="26"/>
  <c r="B62" i="26"/>
  <c r="K61" i="26"/>
  <c r="J61" i="26"/>
  <c r="G61" i="26"/>
  <c r="D61" i="26"/>
  <c r="C61" i="26"/>
  <c r="B61" i="26"/>
  <c r="K60" i="26"/>
  <c r="J60" i="26"/>
  <c r="G60" i="26"/>
  <c r="D60" i="26"/>
  <c r="C60" i="26"/>
  <c r="B60" i="26"/>
  <c r="K59" i="26"/>
  <c r="J59" i="26"/>
  <c r="G59" i="26"/>
  <c r="D59" i="26"/>
  <c r="C59" i="26"/>
  <c r="B59" i="26"/>
  <c r="J58" i="26"/>
  <c r="K58" i="26" s="1"/>
  <c r="G58" i="26"/>
  <c r="D58" i="26"/>
  <c r="C58" i="26"/>
  <c r="B58" i="26"/>
  <c r="K57" i="26"/>
  <c r="J57" i="26"/>
  <c r="G57" i="26"/>
  <c r="D57" i="26"/>
  <c r="C57" i="26"/>
  <c r="B57" i="26"/>
  <c r="K56" i="26"/>
  <c r="J56" i="26"/>
  <c r="G56" i="26"/>
  <c r="D56" i="26"/>
  <c r="C56" i="26"/>
  <c r="B56" i="26"/>
  <c r="K55" i="26"/>
  <c r="J55" i="26"/>
  <c r="G55" i="26"/>
  <c r="D55" i="26"/>
  <c r="C55" i="26"/>
  <c r="B55" i="26"/>
  <c r="J54" i="26"/>
  <c r="K54" i="26" s="1"/>
  <c r="G54" i="26"/>
  <c r="D54" i="26"/>
  <c r="C54" i="26"/>
  <c r="B54" i="26"/>
  <c r="K53" i="26"/>
  <c r="J53" i="26"/>
  <c r="G53" i="26"/>
  <c r="D53" i="26"/>
  <c r="C53" i="26"/>
  <c r="B53" i="26"/>
  <c r="K52" i="26"/>
  <c r="J52" i="26"/>
  <c r="G52" i="26"/>
  <c r="D52" i="26"/>
  <c r="C52" i="26"/>
  <c r="B52" i="26"/>
  <c r="K51" i="26"/>
  <c r="J51" i="26"/>
  <c r="G51" i="26"/>
  <c r="D51" i="26"/>
  <c r="C51" i="26"/>
  <c r="B51" i="26"/>
  <c r="J50" i="26"/>
  <c r="K50" i="26" s="1"/>
  <c r="G50" i="26"/>
  <c r="D50" i="26"/>
  <c r="C50" i="26"/>
  <c r="B50" i="26"/>
  <c r="K49" i="26"/>
  <c r="J49" i="26"/>
  <c r="G49" i="26"/>
  <c r="D49" i="26"/>
  <c r="C49" i="26"/>
  <c r="B49" i="26"/>
  <c r="K48" i="26"/>
  <c r="J48" i="26"/>
  <c r="G48" i="26"/>
  <c r="D48" i="26"/>
  <c r="C48" i="26"/>
  <c r="B48" i="26"/>
  <c r="K47" i="26"/>
  <c r="J47" i="26"/>
  <c r="G47" i="26"/>
  <c r="D47" i="26"/>
  <c r="C47" i="26"/>
  <c r="B47" i="26"/>
  <c r="J46" i="26"/>
  <c r="K46" i="26" s="1"/>
  <c r="G46" i="26"/>
  <c r="D46" i="26"/>
  <c r="C46" i="26"/>
  <c r="B46" i="26"/>
  <c r="K45" i="26"/>
  <c r="J45" i="26"/>
  <c r="G45" i="26"/>
  <c r="D45" i="26"/>
  <c r="C45" i="26"/>
  <c r="B45" i="26"/>
  <c r="K44" i="26"/>
  <c r="J44" i="26"/>
  <c r="G44" i="26"/>
  <c r="D44" i="26"/>
  <c r="C44" i="26"/>
  <c r="B44" i="26"/>
  <c r="K43" i="26"/>
  <c r="J43" i="26"/>
  <c r="G43" i="26"/>
  <c r="D43" i="26"/>
  <c r="C43" i="26"/>
  <c r="B43" i="26"/>
  <c r="J42" i="26"/>
  <c r="K42" i="26" s="1"/>
  <c r="G42" i="26"/>
  <c r="D42" i="26"/>
  <c r="C42" i="26"/>
  <c r="B42" i="26"/>
  <c r="K41" i="26"/>
  <c r="J41" i="26"/>
  <c r="G41" i="26"/>
  <c r="D41" i="26"/>
  <c r="C41" i="26"/>
  <c r="B41" i="26"/>
  <c r="K40" i="26"/>
  <c r="J40" i="26"/>
  <c r="G40" i="26"/>
  <c r="D40" i="26"/>
  <c r="C40" i="26"/>
  <c r="B40" i="26"/>
  <c r="K39" i="26"/>
  <c r="J39" i="26"/>
  <c r="G39" i="26"/>
  <c r="D39" i="26"/>
  <c r="C39" i="26"/>
  <c r="B39" i="26"/>
  <c r="J38" i="26"/>
  <c r="K38" i="26" s="1"/>
  <c r="G38" i="26"/>
  <c r="D38" i="26"/>
  <c r="C38" i="26"/>
  <c r="B38" i="26"/>
  <c r="K37" i="26"/>
  <c r="J37" i="26"/>
  <c r="G37" i="26"/>
  <c r="D37" i="26"/>
  <c r="C37" i="26"/>
  <c r="B37" i="26"/>
  <c r="K36" i="26"/>
  <c r="J36" i="26"/>
  <c r="G36" i="26"/>
  <c r="D36" i="26"/>
  <c r="C36" i="26"/>
  <c r="B36" i="26"/>
  <c r="K35" i="26"/>
  <c r="J35" i="26"/>
  <c r="G35" i="26"/>
  <c r="D35" i="26"/>
  <c r="C35" i="26"/>
  <c r="B35" i="26"/>
  <c r="J34" i="26"/>
  <c r="K34" i="26" s="1"/>
  <c r="G34" i="26"/>
  <c r="D34" i="26"/>
  <c r="C34" i="26"/>
  <c r="B34" i="26"/>
  <c r="K33" i="26"/>
  <c r="J33" i="26"/>
  <c r="G33" i="26"/>
  <c r="D33" i="26"/>
  <c r="C33" i="26"/>
  <c r="B33" i="26"/>
  <c r="K32" i="26"/>
  <c r="J32" i="26"/>
  <c r="G32" i="26"/>
  <c r="D32" i="26"/>
  <c r="C32" i="26"/>
  <c r="B32" i="26"/>
  <c r="K31" i="26"/>
  <c r="J31" i="26"/>
  <c r="G31" i="26"/>
  <c r="D31" i="26"/>
  <c r="C31" i="26"/>
  <c r="B31" i="26"/>
  <c r="J30" i="26"/>
  <c r="K30" i="26" s="1"/>
  <c r="G30" i="26"/>
  <c r="D30" i="26"/>
  <c r="C30" i="26"/>
  <c r="B30" i="26"/>
  <c r="K29" i="26"/>
  <c r="J29" i="26"/>
  <c r="G29" i="26"/>
  <c r="D29" i="26"/>
  <c r="C29" i="26"/>
  <c r="B29" i="26"/>
  <c r="K28" i="26"/>
  <c r="J28" i="26"/>
  <c r="G28" i="26"/>
  <c r="D28" i="26"/>
  <c r="C28" i="26"/>
  <c r="B28" i="26"/>
  <c r="K27" i="26"/>
  <c r="J27" i="26"/>
  <c r="G27" i="26"/>
  <c r="D27" i="26"/>
  <c r="C27" i="26"/>
  <c r="B27" i="26"/>
  <c r="J26" i="26"/>
  <c r="K26" i="26" s="1"/>
  <c r="G26" i="26"/>
  <c r="D26" i="26"/>
  <c r="C26" i="26"/>
  <c r="B26" i="26"/>
  <c r="K25" i="26"/>
  <c r="J25" i="26"/>
  <c r="G25" i="26"/>
  <c r="D25" i="26"/>
  <c r="C25" i="26"/>
  <c r="B25" i="26"/>
  <c r="K24" i="26"/>
  <c r="J24" i="26"/>
  <c r="G24" i="26"/>
  <c r="D24" i="26"/>
  <c r="C24" i="26"/>
  <c r="B24" i="26"/>
  <c r="K23" i="26"/>
  <c r="J23" i="26"/>
  <c r="G23" i="26"/>
  <c r="D23" i="26"/>
  <c r="C23" i="26"/>
  <c r="B23" i="26"/>
  <c r="J22" i="26"/>
  <c r="K22" i="26" s="1"/>
  <c r="G22" i="26"/>
  <c r="D22" i="26"/>
  <c r="C22" i="26"/>
  <c r="B22" i="26"/>
  <c r="K21" i="26"/>
  <c r="J21" i="26"/>
  <c r="G21" i="26"/>
  <c r="D21" i="26"/>
  <c r="C21" i="26"/>
  <c r="B21" i="26"/>
  <c r="K20" i="26"/>
  <c r="J20" i="26"/>
  <c r="G20" i="26"/>
  <c r="D20" i="26"/>
  <c r="C20" i="26"/>
  <c r="B20" i="26"/>
  <c r="K19" i="26"/>
  <c r="J19" i="26"/>
  <c r="G19" i="26"/>
  <c r="D19" i="26"/>
  <c r="C19" i="26"/>
  <c r="B19" i="26"/>
  <c r="J18" i="26"/>
  <c r="K18" i="26" s="1"/>
  <c r="G18" i="26"/>
  <c r="D18" i="26"/>
  <c r="C18" i="26"/>
  <c r="B18" i="26"/>
  <c r="K17" i="26"/>
  <c r="J17" i="26"/>
  <c r="G17" i="26"/>
  <c r="D17" i="26"/>
  <c r="C17" i="26"/>
  <c r="B17" i="26"/>
  <c r="K16" i="26"/>
  <c r="J16" i="26"/>
  <c r="G16" i="26"/>
  <c r="D16" i="26"/>
  <c r="C16" i="26"/>
  <c r="B16" i="26"/>
  <c r="K15" i="26"/>
  <c r="J15" i="26"/>
  <c r="G15" i="26"/>
  <c r="D15" i="26"/>
  <c r="C15" i="26"/>
  <c r="B15" i="26"/>
  <c r="J14" i="26"/>
  <c r="K14" i="26" s="1"/>
  <c r="G14" i="26"/>
  <c r="D14" i="26"/>
  <c r="C14" i="26"/>
  <c r="B14" i="26"/>
  <c r="K13" i="26"/>
  <c r="J13" i="26"/>
  <c r="G13" i="26"/>
  <c r="D13" i="26"/>
  <c r="C13" i="26"/>
  <c r="B13" i="26"/>
  <c r="K12" i="26"/>
  <c r="J12" i="26"/>
  <c r="G12" i="26"/>
  <c r="D12" i="26"/>
  <c r="C12" i="26"/>
  <c r="B12" i="26"/>
  <c r="K11" i="26"/>
  <c r="J11" i="26"/>
  <c r="G11" i="26"/>
  <c r="D11" i="26"/>
  <c r="C11" i="26"/>
  <c r="B11" i="26"/>
  <c r="J10" i="26"/>
  <c r="K10" i="26" s="1"/>
  <c r="G10" i="26"/>
  <c r="D10" i="26"/>
  <c r="C10" i="26"/>
  <c r="B10" i="26"/>
  <c r="K9" i="26"/>
  <c r="J9" i="26"/>
  <c r="G9" i="26"/>
  <c r="D9" i="26"/>
  <c r="C9" i="26"/>
  <c r="B9" i="26"/>
  <c r="K4" i="26"/>
  <c r="G4" i="26"/>
  <c r="D4" i="26"/>
  <c r="A4" i="26"/>
  <c r="I208" i="25"/>
  <c r="J208" i="25" s="1"/>
  <c r="F208" i="25"/>
  <c r="D208" i="25"/>
  <c r="C208" i="25"/>
  <c r="B208" i="25"/>
  <c r="J207" i="25"/>
  <c r="I207" i="25"/>
  <c r="F207" i="25"/>
  <c r="D207" i="25"/>
  <c r="C207" i="25"/>
  <c r="B207" i="25"/>
  <c r="J206" i="25"/>
  <c r="I206" i="25"/>
  <c r="F206" i="25"/>
  <c r="D206" i="25"/>
  <c r="C206" i="25"/>
  <c r="B206" i="25"/>
  <c r="J205" i="25"/>
  <c r="I205" i="25"/>
  <c r="F205" i="25"/>
  <c r="D205" i="25"/>
  <c r="C205" i="25"/>
  <c r="B205" i="25"/>
  <c r="I204" i="25"/>
  <c r="J204" i="25" s="1"/>
  <c r="F204" i="25"/>
  <c r="D204" i="25"/>
  <c r="C204" i="25"/>
  <c r="B204" i="25"/>
  <c r="J203" i="25"/>
  <c r="I203" i="25"/>
  <c r="F203" i="25"/>
  <c r="D203" i="25"/>
  <c r="C203" i="25"/>
  <c r="B203" i="25"/>
  <c r="J202" i="25"/>
  <c r="I202" i="25"/>
  <c r="F202" i="25"/>
  <c r="D202" i="25"/>
  <c r="C202" i="25"/>
  <c r="B202" i="25"/>
  <c r="J201" i="25"/>
  <c r="I201" i="25"/>
  <c r="F201" i="25"/>
  <c r="D201" i="25"/>
  <c r="C201" i="25"/>
  <c r="B201" i="25"/>
  <c r="I200" i="25"/>
  <c r="J200" i="25" s="1"/>
  <c r="F200" i="25"/>
  <c r="D200" i="25"/>
  <c r="C200" i="25"/>
  <c r="B200" i="25"/>
  <c r="J199" i="25"/>
  <c r="I199" i="25"/>
  <c r="F199" i="25"/>
  <c r="D199" i="25"/>
  <c r="C199" i="25"/>
  <c r="B199" i="25"/>
  <c r="J198" i="25"/>
  <c r="I198" i="25"/>
  <c r="F198" i="25"/>
  <c r="D198" i="25"/>
  <c r="C198" i="25"/>
  <c r="B198" i="25"/>
  <c r="J197" i="25"/>
  <c r="I197" i="25"/>
  <c r="F197" i="25"/>
  <c r="D197" i="25"/>
  <c r="C197" i="25"/>
  <c r="B197" i="25"/>
  <c r="I196" i="25"/>
  <c r="J196" i="25" s="1"/>
  <c r="F196" i="25"/>
  <c r="D196" i="25"/>
  <c r="C196" i="25"/>
  <c r="B196" i="25"/>
  <c r="J195" i="25"/>
  <c r="I195" i="25"/>
  <c r="F195" i="25"/>
  <c r="D195" i="25"/>
  <c r="C195" i="25"/>
  <c r="B195" i="25"/>
  <c r="J194" i="25"/>
  <c r="I194" i="25"/>
  <c r="F194" i="25"/>
  <c r="D194" i="25"/>
  <c r="C194" i="25"/>
  <c r="B194" i="25"/>
  <c r="J193" i="25"/>
  <c r="I193" i="25"/>
  <c r="F193" i="25"/>
  <c r="D193" i="25"/>
  <c r="C193" i="25"/>
  <c r="B193" i="25"/>
  <c r="I192" i="25"/>
  <c r="J192" i="25" s="1"/>
  <c r="F192" i="25"/>
  <c r="D192" i="25"/>
  <c r="C192" i="25"/>
  <c r="B192" i="25"/>
  <c r="J191" i="25"/>
  <c r="I191" i="25"/>
  <c r="F191" i="25"/>
  <c r="D191" i="25"/>
  <c r="C191" i="25"/>
  <c r="B191" i="25"/>
  <c r="J190" i="25"/>
  <c r="I190" i="25"/>
  <c r="F190" i="25"/>
  <c r="D190" i="25"/>
  <c r="C190" i="25"/>
  <c r="B190" i="25"/>
  <c r="J189" i="25"/>
  <c r="I189" i="25"/>
  <c r="F189" i="25"/>
  <c r="D189" i="25"/>
  <c r="C189" i="25"/>
  <c r="B189" i="25"/>
  <c r="I188" i="25"/>
  <c r="J188" i="25" s="1"/>
  <c r="F188" i="25"/>
  <c r="D188" i="25"/>
  <c r="C188" i="25"/>
  <c r="B188" i="25"/>
  <c r="J187" i="25"/>
  <c r="I187" i="25"/>
  <c r="F187" i="25"/>
  <c r="D187" i="25"/>
  <c r="C187" i="25"/>
  <c r="B187" i="25"/>
  <c r="J186" i="25"/>
  <c r="I186" i="25"/>
  <c r="F186" i="25"/>
  <c r="D186" i="25"/>
  <c r="C186" i="25"/>
  <c r="B186" i="25"/>
  <c r="J185" i="25"/>
  <c r="I185" i="25"/>
  <c r="F185" i="25"/>
  <c r="D185" i="25"/>
  <c r="C185" i="25"/>
  <c r="B185" i="25"/>
  <c r="I184" i="25"/>
  <c r="J184" i="25" s="1"/>
  <c r="F184" i="25"/>
  <c r="D184" i="25"/>
  <c r="C184" i="25"/>
  <c r="B184" i="25"/>
  <c r="J183" i="25"/>
  <c r="I183" i="25"/>
  <c r="F183" i="25"/>
  <c r="D183" i="25"/>
  <c r="C183" i="25"/>
  <c r="B183" i="25"/>
  <c r="J182" i="25"/>
  <c r="I182" i="25"/>
  <c r="F182" i="25"/>
  <c r="D182" i="25"/>
  <c r="C182" i="25"/>
  <c r="B182" i="25"/>
  <c r="J181" i="25"/>
  <c r="I181" i="25"/>
  <c r="F181" i="25"/>
  <c r="D181" i="25"/>
  <c r="C181" i="25"/>
  <c r="B181" i="25"/>
  <c r="I180" i="25"/>
  <c r="J180" i="25" s="1"/>
  <c r="F180" i="25"/>
  <c r="D180" i="25"/>
  <c r="C180" i="25"/>
  <c r="B180" i="25"/>
  <c r="J179" i="25"/>
  <c r="I179" i="25"/>
  <c r="F179" i="25"/>
  <c r="D179" i="25"/>
  <c r="C179" i="25"/>
  <c r="B179" i="25"/>
  <c r="J178" i="25"/>
  <c r="I178" i="25"/>
  <c r="F178" i="25"/>
  <c r="D178" i="25"/>
  <c r="C178" i="25"/>
  <c r="B178" i="25"/>
  <c r="J177" i="25"/>
  <c r="I177" i="25"/>
  <c r="F177" i="25"/>
  <c r="D177" i="25"/>
  <c r="C177" i="25"/>
  <c r="B177" i="25"/>
  <c r="I176" i="25"/>
  <c r="J176" i="25" s="1"/>
  <c r="F176" i="25"/>
  <c r="D176" i="25"/>
  <c r="C176" i="25"/>
  <c r="B176" i="25"/>
  <c r="J175" i="25"/>
  <c r="I175" i="25"/>
  <c r="F175" i="25"/>
  <c r="D175" i="25"/>
  <c r="C175" i="25"/>
  <c r="B175" i="25"/>
  <c r="J174" i="25"/>
  <c r="I174" i="25"/>
  <c r="F174" i="25"/>
  <c r="D174" i="25"/>
  <c r="C174" i="25"/>
  <c r="B174" i="25"/>
  <c r="J173" i="25"/>
  <c r="I173" i="25"/>
  <c r="F173" i="25"/>
  <c r="D173" i="25"/>
  <c r="C173" i="25"/>
  <c r="B173" i="25"/>
  <c r="I172" i="25"/>
  <c r="J172" i="25" s="1"/>
  <c r="F172" i="25"/>
  <c r="D172" i="25"/>
  <c r="C172" i="25"/>
  <c r="B172" i="25"/>
  <c r="J171" i="25"/>
  <c r="I171" i="25"/>
  <c r="F171" i="25"/>
  <c r="D171" i="25"/>
  <c r="C171" i="25"/>
  <c r="B171" i="25"/>
  <c r="J170" i="25"/>
  <c r="I170" i="25"/>
  <c r="F170" i="25"/>
  <c r="D170" i="25"/>
  <c r="C170" i="25"/>
  <c r="B170" i="25"/>
  <c r="J169" i="25"/>
  <c r="I169" i="25"/>
  <c r="F169" i="25"/>
  <c r="D169" i="25"/>
  <c r="C169" i="25"/>
  <c r="B169" i="25"/>
  <c r="I168" i="25"/>
  <c r="J168" i="25" s="1"/>
  <c r="F168" i="25"/>
  <c r="D168" i="25"/>
  <c r="C168" i="25"/>
  <c r="B168" i="25"/>
  <c r="J167" i="25"/>
  <c r="I167" i="25"/>
  <c r="F167" i="25"/>
  <c r="D167" i="25"/>
  <c r="C167" i="25"/>
  <c r="B167" i="25"/>
  <c r="J166" i="25"/>
  <c r="I166" i="25"/>
  <c r="F166" i="25"/>
  <c r="D166" i="25"/>
  <c r="C166" i="25"/>
  <c r="B166" i="25"/>
  <c r="J165" i="25"/>
  <c r="I165" i="25"/>
  <c r="F165" i="25"/>
  <c r="D165" i="25"/>
  <c r="C165" i="25"/>
  <c r="B165" i="25"/>
  <c r="I164" i="25"/>
  <c r="J164" i="25" s="1"/>
  <c r="F164" i="25"/>
  <c r="D164" i="25"/>
  <c r="C164" i="25"/>
  <c r="B164" i="25"/>
  <c r="J163" i="25"/>
  <c r="I163" i="25"/>
  <c r="F163" i="25"/>
  <c r="D163" i="25"/>
  <c r="C163" i="25"/>
  <c r="B163" i="25"/>
  <c r="J162" i="25"/>
  <c r="I162" i="25"/>
  <c r="F162" i="25"/>
  <c r="D162" i="25"/>
  <c r="C162" i="25"/>
  <c r="B162" i="25"/>
  <c r="J161" i="25"/>
  <c r="I161" i="25"/>
  <c r="F161" i="25"/>
  <c r="D161" i="25"/>
  <c r="C161" i="25"/>
  <c r="B161" i="25"/>
  <c r="I160" i="25"/>
  <c r="J160" i="25" s="1"/>
  <c r="F160" i="25"/>
  <c r="D160" i="25"/>
  <c r="C160" i="25"/>
  <c r="B160" i="25"/>
  <c r="J159" i="25"/>
  <c r="I159" i="25"/>
  <c r="F159" i="25"/>
  <c r="D159" i="25"/>
  <c r="C159" i="25"/>
  <c r="B159" i="25"/>
  <c r="J158" i="25"/>
  <c r="I158" i="25"/>
  <c r="F158" i="25"/>
  <c r="D158" i="25"/>
  <c r="C158" i="25"/>
  <c r="B158" i="25"/>
  <c r="J157" i="25"/>
  <c r="I157" i="25"/>
  <c r="F157" i="25"/>
  <c r="D157" i="25"/>
  <c r="C157" i="25"/>
  <c r="B157" i="25"/>
  <c r="I156" i="25"/>
  <c r="J156" i="25" s="1"/>
  <c r="F156" i="25"/>
  <c r="D156" i="25"/>
  <c r="C156" i="25"/>
  <c r="B156" i="25"/>
  <c r="J155" i="25"/>
  <c r="I155" i="25"/>
  <c r="F155" i="25"/>
  <c r="D155" i="25"/>
  <c r="C155" i="25"/>
  <c r="B155" i="25"/>
  <c r="J154" i="25"/>
  <c r="I154" i="25"/>
  <c r="F154" i="25"/>
  <c r="D154" i="25"/>
  <c r="C154" i="25"/>
  <c r="B154" i="25"/>
  <c r="J153" i="25"/>
  <c r="I153" i="25"/>
  <c r="F153" i="25"/>
  <c r="D153" i="25"/>
  <c r="C153" i="25"/>
  <c r="B153" i="25"/>
  <c r="I152" i="25"/>
  <c r="J152" i="25" s="1"/>
  <c r="F152" i="25"/>
  <c r="D152" i="25"/>
  <c r="C152" i="25"/>
  <c r="B152" i="25"/>
  <c r="J151" i="25"/>
  <c r="I151" i="25"/>
  <c r="F151" i="25"/>
  <c r="D151" i="25"/>
  <c r="C151" i="25"/>
  <c r="B151" i="25"/>
  <c r="J150" i="25"/>
  <c r="I150" i="25"/>
  <c r="F150" i="25"/>
  <c r="D150" i="25"/>
  <c r="C150" i="25"/>
  <c r="B150" i="25"/>
  <c r="J149" i="25"/>
  <c r="I149" i="25"/>
  <c r="F149" i="25"/>
  <c r="D149" i="25"/>
  <c r="C149" i="25"/>
  <c r="B149" i="25"/>
  <c r="I148" i="25"/>
  <c r="J148" i="25" s="1"/>
  <c r="F148" i="25"/>
  <c r="D148" i="25"/>
  <c r="C148" i="25"/>
  <c r="B148" i="25"/>
  <c r="J147" i="25"/>
  <c r="I147" i="25"/>
  <c r="F147" i="25"/>
  <c r="D147" i="25"/>
  <c r="C147" i="25"/>
  <c r="B147" i="25"/>
  <c r="J146" i="25"/>
  <c r="I146" i="25"/>
  <c r="F146" i="25"/>
  <c r="D146" i="25"/>
  <c r="C146" i="25"/>
  <c r="B146" i="25"/>
  <c r="J145" i="25"/>
  <c r="I145" i="25"/>
  <c r="F145" i="25"/>
  <c r="D145" i="25"/>
  <c r="C145" i="25"/>
  <c r="B145" i="25"/>
  <c r="I144" i="25"/>
  <c r="J144" i="25" s="1"/>
  <c r="F144" i="25"/>
  <c r="D144" i="25"/>
  <c r="C144" i="25"/>
  <c r="B144" i="25"/>
  <c r="J143" i="25"/>
  <c r="I143" i="25"/>
  <c r="F143" i="25"/>
  <c r="D143" i="25"/>
  <c r="C143" i="25"/>
  <c r="B143" i="25"/>
  <c r="J142" i="25"/>
  <c r="I142" i="25"/>
  <c r="F142" i="25"/>
  <c r="D142" i="25"/>
  <c r="C142" i="25"/>
  <c r="B142" i="25"/>
  <c r="J141" i="25"/>
  <c r="I141" i="25"/>
  <c r="F141" i="25"/>
  <c r="D141" i="25"/>
  <c r="C141" i="25"/>
  <c r="B141" i="25"/>
  <c r="I140" i="25"/>
  <c r="J140" i="25" s="1"/>
  <c r="F140" i="25"/>
  <c r="D140" i="25"/>
  <c r="C140" i="25"/>
  <c r="B140" i="25"/>
  <c r="J139" i="25"/>
  <c r="I139" i="25"/>
  <c r="F139" i="25"/>
  <c r="D139" i="25"/>
  <c r="C139" i="25"/>
  <c r="B139" i="25"/>
  <c r="J138" i="25"/>
  <c r="I138" i="25"/>
  <c r="F138" i="25"/>
  <c r="D138" i="25"/>
  <c r="C138" i="25"/>
  <c r="B138" i="25"/>
  <c r="J137" i="25"/>
  <c r="I137" i="25"/>
  <c r="F137" i="25"/>
  <c r="D137" i="25"/>
  <c r="C137" i="25"/>
  <c r="B137" i="25"/>
  <c r="I136" i="25"/>
  <c r="J136" i="25" s="1"/>
  <c r="F136" i="25"/>
  <c r="D136" i="25"/>
  <c r="C136" i="25"/>
  <c r="B136" i="25"/>
  <c r="J135" i="25"/>
  <c r="I135" i="25"/>
  <c r="F135" i="25"/>
  <c r="D135" i="25"/>
  <c r="C135" i="25"/>
  <c r="B135" i="25"/>
  <c r="J134" i="25"/>
  <c r="I134" i="25"/>
  <c r="F134" i="25"/>
  <c r="D134" i="25"/>
  <c r="C134" i="25"/>
  <c r="B134" i="25"/>
  <c r="J133" i="25"/>
  <c r="I133" i="25"/>
  <c r="F133" i="25"/>
  <c r="D133" i="25"/>
  <c r="C133" i="25"/>
  <c r="B133" i="25"/>
  <c r="I132" i="25"/>
  <c r="J132" i="25" s="1"/>
  <c r="F132" i="25"/>
  <c r="D132" i="25"/>
  <c r="C132" i="25"/>
  <c r="B132" i="25"/>
  <c r="J131" i="25"/>
  <c r="I131" i="25"/>
  <c r="F131" i="25"/>
  <c r="D131" i="25"/>
  <c r="C131" i="25"/>
  <c r="B131" i="25"/>
  <c r="J130" i="25"/>
  <c r="I130" i="25"/>
  <c r="F130" i="25"/>
  <c r="D130" i="25"/>
  <c r="C130" i="25"/>
  <c r="B130" i="25"/>
  <c r="J129" i="25"/>
  <c r="I129" i="25"/>
  <c r="F129" i="25"/>
  <c r="D129" i="25"/>
  <c r="C129" i="25"/>
  <c r="B129" i="25"/>
  <c r="I128" i="25"/>
  <c r="J128" i="25" s="1"/>
  <c r="F128" i="25"/>
  <c r="D128" i="25"/>
  <c r="C128" i="25"/>
  <c r="B128" i="25"/>
  <c r="J127" i="25"/>
  <c r="I127" i="25"/>
  <c r="F127" i="25"/>
  <c r="D127" i="25"/>
  <c r="C127" i="25"/>
  <c r="B127" i="25"/>
  <c r="J126" i="25"/>
  <c r="I126" i="25"/>
  <c r="F126" i="25"/>
  <c r="D126" i="25"/>
  <c r="C126" i="25"/>
  <c r="B126" i="25"/>
  <c r="J125" i="25"/>
  <c r="I125" i="25"/>
  <c r="F125" i="25"/>
  <c r="D125" i="25"/>
  <c r="C125" i="25"/>
  <c r="B125" i="25"/>
  <c r="I124" i="25"/>
  <c r="J124" i="25" s="1"/>
  <c r="F124" i="25"/>
  <c r="D124" i="25"/>
  <c r="C124" i="25"/>
  <c r="B124" i="25"/>
  <c r="J123" i="25"/>
  <c r="I123" i="25"/>
  <c r="F123" i="25"/>
  <c r="D123" i="25"/>
  <c r="C123" i="25"/>
  <c r="B123" i="25"/>
  <c r="J122" i="25"/>
  <c r="I122" i="25"/>
  <c r="F122" i="25"/>
  <c r="D122" i="25"/>
  <c r="C122" i="25"/>
  <c r="B122" i="25"/>
  <c r="J121" i="25"/>
  <c r="I121" i="25"/>
  <c r="F121" i="25"/>
  <c r="D121" i="25"/>
  <c r="C121" i="25"/>
  <c r="B121" i="25"/>
  <c r="I120" i="25"/>
  <c r="J120" i="25" s="1"/>
  <c r="F120" i="25"/>
  <c r="D120" i="25"/>
  <c r="C120" i="25"/>
  <c r="B120" i="25"/>
  <c r="J119" i="25"/>
  <c r="I119" i="25"/>
  <c r="F119" i="25"/>
  <c r="D119" i="25"/>
  <c r="C119" i="25"/>
  <c r="B119" i="25"/>
  <c r="J118" i="25"/>
  <c r="I118" i="25"/>
  <c r="F118" i="25"/>
  <c r="D118" i="25"/>
  <c r="C118" i="25"/>
  <c r="B118" i="25"/>
  <c r="J117" i="25"/>
  <c r="I117" i="25"/>
  <c r="F117" i="25"/>
  <c r="D117" i="25"/>
  <c r="C117" i="25"/>
  <c r="B117" i="25"/>
  <c r="I116" i="25"/>
  <c r="J116" i="25" s="1"/>
  <c r="F116" i="25"/>
  <c r="D116" i="25"/>
  <c r="C116" i="25"/>
  <c r="B116" i="25"/>
  <c r="J115" i="25"/>
  <c r="I115" i="25"/>
  <c r="F115" i="25"/>
  <c r="D115" i="25"/>
  <c r="C115" i="25"/>
  <c r="B115" i="25"/>
  <c r="J114" i="25"/>
  <c r="I114" i="25"/>
  <c r="F114" i="25"/>
  <c r="D114" i="25"/>
  <c r="C114" i="25"/>
  <c r="B114" i="25"/>
  <c r="J113" i="25"/>
  <c r="I113" i="25"/>
  <c r="F113" i="25"/>
  <c r="D113" i="25"/>
  <c r="C113" i="25"/>
  <c r="B113" i="25"/>
  <c r="I112" i="25"/>
  <c r="J112" i="25" s="1"/>
  <c r="F112" i="25"/>
  <c r="D112" i="25"/>
  <c r="C112" i="25"/>
  <c r="B112" i="25"/>
  <c r="J111" i="25"/>
  <c r="I111" i="25"/>
  <c r="F111" i="25"/>
  <c r="D111" i="25"/>
  <c r="C111" i="25"/>
  <c r="B111" i="25"/>
  <c r="J110" i="25"/>
  <c r="I110" i="25"/>
  <c r="F110" i="25"/>
  <c r="D110" i="25"/>
  <c r="C110" i="25"/>
  <c r="B110" i="25"/>
  <c r="J109" i="25"/>
  <c r="I109" i="25"/>
  <c r="F109" i="25"/>
  <c r="D109" i="25"/>
  <c r="C109" i="25"/>
  <c r="B109" i="25"/>
  <c r="I108" i="25"/>
  <c r="J108" i="25" s="1"/>
  <c r="F108" i="25"/>
  <c r="D108" i="25"/>
  <c r="C108" i="25"/>
  <c r="B108" i="25"/>
  <c r="J107" i="25"/>
  <c r="I107" i="25"/>
  <c r="F107" i="25"/>
  <c r="D107" i="25"/>
  <c r="C107" i="25"/>
  <c r="B107" i="25"/>
  <c r="J106" i="25"/>
  <c r="I106" i="25"/>
  <c r="F106" i="25"/>
  <c r="D106" i="25"/>
  <c r="C106" i="25"/>
  <c r="B106" i="25"/>
  <c r="J105" i="25"/>
  <c r="I105" i="25"/>
  <c r="F105" i="25"/>
  <c r="D105" i="25"/>
  <c r="C105" i="25"/>
  <c r="B105" i="25"/>
  <c r="I104" i="25"/>
  <c r="J104" i="25" s="1"/>
  <c r="F104" i="25"/>
  <c r="D104" i="25"/>
  <c r="C104" i="25"/>
  <c r="B104" i="25"/>
  <c r="J103" i="25"/>
  <c r="I103" i="25"/>
  <c r="F103" i="25"/>
  <c r="D103" i="25"/>
  <c r="C103" i="25"/>
  <c r="B103" i="25"/>
  <c r="J102" i="25"/>
  <c r="I102" i="25"/>
  <c r="F102" i="25"/>
  <c r="D102" i="25"/>
  <c r="C102" i="25"/>
  <c r="B102" i="25"/>
  <c r="J101" i="25"/>
  <c r="I101" i="25"/>
  <c r="F101" i="25"/>
  <c r="D101" i="25"/>
  <c r="C101" i="25"/>
  <c r="B101" i="25"/>
  <c r="I100" i="25"/>
  <c r="J100" i="25" s="1"/>
  <c r="F100" i="25"/>
  <c r="D100" i="25"/>
  <c r="C100" i="25"/>
  <c r="B100" i="25"/>
  <c r="J99" i="25"/>
  <c r="I99" i="25"/>
  <c r="F99" i="25"/>
  <c r="D99" i="25"/>
  <c r="C99" i="25"/>
  <c r="B99" i="25"/>
  <c r="J98" i="25"/>
  <c r="I98" i="25"/>
  <c r="F98" i="25"/>
  <c r="D98" i="25"/>
  <c r="C98" i="25"/>
  <c r="B98" i="25"/>
  <c r="J97" i="25"/>
  <c r="I97" i="25"/>
  <c r="F97" i="25"/>
  <c r="D97" i="25"/>
  <c r="C97" i="25"/>
  <c r="B97" i="25"/>
  <c r="I96" i="25"/>
  <c r="J96" i="25" s="1"/>
  <c r="F96" i="25"/>
  <c r="D96" i="25"/>
  <c r="C96" i="25"/>
  <c r="B96" i="25"/>
  <c r="J95" i="25"/>
  <c r="I95" i="25"/>
  <c r="F95" i="25"/>
  <c r="D95" i="25"/>
  <c r="C95" i="25"/>
  <c r="B95" i="25"/>
  <c r="J94" i="25"/>
  <c r="I94" i="25"/>
  <c r="F94" i="25"/>
  <c r="D94" i="25"/>
  <c r="C94" i="25"/>
  <c r="B94" i="25"/>
  <c r="J93" i="25"/>
  <c r="I93" i="25"/>
  <c r="F93" i="25"/>
  <c r="D93" i="25"/>
  <c r="C93" i="25"/>
  <c r="B93" i="25"/>
  <c r="I92" i="25"/>
  <c r="J92" i="25" s="1"/>
  <c r="F92" i="25"/>
  <c r="D92" i="25"/>
  <c r="C92" i="25"/>
  <c r="B92" i="25"/>
  <c r="J91" i="25"/>
  <c r="I91" i="25"/>
  <c r="F91" i="25"/>
  <c r="D91" i="25"/>
  <c r="C91" i="25"/>
  <c r="B91" i="25"/>
  <c r="J90" i="25"/>
  <c r="I90" i="25"/>
  <c r="F90" i="25"/>
  <c r="D90" i="25"/>
  <c r="C90" i="25"/>
  <c r="B90" i="25"/>
  <c r="J89" i="25"/>
  <c r="I89" i="25"/>
  <c r="F89" i="25"/>
  <c r="D89" i="25"/>
  <c r="C89" i="25"/>
  <c r="B89" i="25"/>
  <c r="I88" i="25"/>
  <c r="J88" i="25" s="1"/>
  <c r="F88" i="25"/>
  <c r="D88" i="25"/>
  <c r="C88" i="25"/>
  <c r="B88" i="25"/>
  <c r="J87" i="25"/>
  <c r="I87" i="25"/>
  <c r="F87" i="25"/>
  <c r="D87" i="25"/>
  <c r="C87" i="25"/>
  <c r="B87" i="25"/>
  <c r="J86" i="25"/>
  <c r="I86" i="25"/>
  <c r="F86" i="25"/>
  <c r="D86" i="25"/>
  <c r="C86" i="25"/>
  <c r="B86" i="25"/>
  <c r="I85" i="25"/>
  <c r="J85" i="25" s="1"/>
  <c r="F85" i="25"/>
  <c r="D85" i="25"/>
  <c r="C85" i="25"/>
  <c r="B85" i="25"/>
  <c r="I84" i="25"/>
  <c r="J84" i="25" s="1"/>
  <c r="F84" i="25"/>
  <c r="D84" i="25"/>
  <c r="C84" i="25"/>
  <c r="B84" i="25"/>
  <c r="J83" i="25"/>
  <c r="I83" i="25"/>
  <c r="F83" i="25"/>
  <c r="D83" i="25"/>
  <c r="C83" i="25"/>
  <c r="B83" i="25"/>
  <c r="J82" i="25"/>
  <c r="I82" i="25"/>
  <c r="F82" i="25"/>
  <c r="D82" i="25"/>
  <c r="C82" i="25"/>
  <c r="B82" i="25"/>
  <c r="I81" i="25"/>
  <c r="J81" i="25" s="1"/>
  <c r="F81" i="25"/>
  <c r="D81" i="25"/>
  <c r="C81" i="25"/>
  <c r="B81" i="25"/>
  <c r="I80" i="25"/>
  <c r="J80" i="25" s="1"/>
  <c r="F80" i="25"/>
  <c r="D80" i="25"/>
  <c r="C80" i="25"/>
  <c r="B80" i="25"/>
  <c r="J79" i="25"/>
  <c r="I79" i="25"/>
  <c r="F79" i="25"/>
  <c r="D79" i="25"/>
  <c r="C79" i="25"/>
  <c r="B79" i="25"/>
  <c r="J78" i="25"/>
  <c r="I78" i="25"/>
  <c r="F78" i="25"/>
  <c r="D78" i="25"/>
  <c r="C78" i="25"/>
  <c r="B78" i="25"/>
  <c r="I77" i="25"/>
  <c r="J77" i="25" s="1"/>
  <c r="F77" i="25"/>
  <c r="D77" i="25"/>
  <c r="C77" i="25"/>
  <c r="B77" i="25"/>
  <c r="I76" i="25"/>
  <c r="J76" i="25" s="1"/>
  <c r="F76" i="25"/>
  <c r="D76" i="25"/>
  <c r="C76" i="25"/>
  <c r="B76" i="25"/>
  <c r="J75" i="25"/>
  <c r="I75" i="25"/>
  <c r="F75" i="25"/>
  <c r="D75" i="25"/>
  <c r="C75" i="25"/>
  <c r="B75" i="25"/>
  <c r="J74" i="25"/>
  <c r="I74" i="25"/>
  <c r="F74" i="25"/>
  <c r="D74" i="25"/>
  <c r="C74" i="25"/>
  <c r="B74" i="25"/>
  <c r="I73" i="25"/>
  <c r="J73" i="25" s="1"/>
  <c r="F73" i="25"/>
  <c r="D73" i="25"/>
  <c r="C73" i="25"/>
  <c r="B73" i="25"/>
  <c r="I72" i="25"/>
  <c r="J72" i="25" s="1"/>
  <c r="F72" i="25"/>
  <c r="D72" i="25"/>
  <c r="C72" i="25"/>
  <c r="B72" i="25"/>
  <c r="J71" i="25"/>
  <c r="I71" i="25"/>
  <c r="F71" i="25"/>
  <c r="D71" i="25"/>
  <c r="C71" i="25"/>
  <c r="B71" i="25"/>
  <c r="J70" i="25"/>
  <c r="I70" i="25"/>
  <c r="F70" i="25"/>
  <c r="D70" i="25"/>
  <c r="C70" i="25"/>
  <c r="B70" i="25"/>
  <c r="I69" i="25"/>
  <c r="J69" i="25" s="1"/>
  <c r="F69" i="25"/>
  <c r="D69" i="25"/>
  <c r="C69" i="25"/>
  <c r="B69" i="25"/>
  <c r="I68" i="25"/>
  <c r="J68" i="25" s="1"/>
  <c r="F68" i="25"/>
  <c r="D68" i="25"/>
  <c r="C68" i="25"/>
  <c r="B68" i="25"/>
  <c r="J67" i="25"/>
  <c r="I67" i="25"/>
  <c r="F67" i="25"/>
  <c r="D67" i="25"/>
  <c r="C67" i="25"/>
  <c r="B67" i="25"/>
  <c r="J66" i="25"/>
  <c r="I66" i="25"/>
  <c r="F66" i="25"/>
  <c r="D66" i="25"/>
  <c r="C66" i="25"/>
  <c r="B66" i="25"/>
  <c r="I65" i="25"/>
  <c r="J65" i="25" s="1"/>
  <c r="F65" i="25"/>
  <c r="D65" i="25"/>
  <c r="C65" i="25"/>
  <c r="B65" i="25"/>
  <c r="I64" i="25"/>
  <c r="J64" i="25" s="1"/>
  <c r="F64" i="25"/>
  <c r="D64" i="25"/>
  <c r="C64" i="25"/>
  <c r="B64" i="25"/>
  <c r="J63" i="25"/>
  <c r="I63" i="25"/>
  <c r="F63" i="25"/>
  <c r="D63" i="25"/>
  <c r="C63" i="25"/>
  <c r="B63" i="25"/>
  <c r="J62" i="25"/>
  <c r="I62" i="25"/>
  <c r="F62" i="25"/>
  <c r="D62" i="25"/>
  <c r="C62" i="25"/>
  <c r="B62" i="25"/>
  <c r="I61" i="25"/>
  <c r="J61" i="25" s="1"/>
  <c r="F61" i="25"/>
  <c r="D61" i="25"/>
  <c r="C61" i="25"/>
  <c r="B61" i="25"/>
  <c r="I60" i="25"/>
  <c r="J60" i="25" s="1"/>
  <c r="F60" i="25"/>
  <c r="D60" i="25"/>
  <c r="C60" i="25"/>
  <c r="B60" i="25"/>
  <c r="J59" i="25"/>
  <c r="I59" i="25"/>
  <c r="F59" i="25"/>
  <c r="D59" i="25"/>
  <c r="C59" i="25"/>
  <c r="B59" i="25"/>
  <c r="J58" i="25"/>
  <c r="I58" i="25"/>
  <c r="F58" i="25"/>
  <c r="D58" i="25"/>
  <c r="C58" i="25"/>
  <c r="B58" i="25"/>
  <c r="I57" i="25"/>
  <c r="J57" i="25" s="1"/>
  <c r="F57" i="25"/>
  <c r="D57" i="25"/>
  <c r="C57" i="25"/>
  <c r="B57" i="25"/>
  <c r="I56" i="25"/>
  <c r="J56" i="25" s="1"/>
  <c r="F56" i="25"/>
  <c r="D56" i="25"/>
  <c r="C56" i="25"/>
  <c r="B56" i="25"/>
  <c r="J55" i="25"/>
  <c r="I55" i="25"/>
  <c r="F55" i="25"/>
  <c r="D55" i="25"/>
  <c r="C55" i="25"/>
  <c r="B55" i="25"/>
  <c r="J54" i="25"/>
  <c r="I54" i="25"/>
  <c r="F54" i="25"/>
  <c r="D54" i="25"/>
  <c r="C54" i="25"/>
  <c r="B54" i="25"/>
  <c r="I53" i="25"/>
  <c r="J53" i="25" s="1"/>
  <c r="F53" i="25"/>
  <c r="D53" i="25"/>
  <c r="C53" i="25"/>
  <c r="B53" i="25"/>
  <c r="I52" i="25"/>
  <c r="J52" i="25" s="1"/>
  <c r="F52" i="25"/>
  <c r="D52" i="25"/>
  <c r="C52" i="25"/>
  <c r="B52" i="25"/>
  <c r="J51" i="25"/>
  <c r="I51" i="25"/>
  <c r="F51" i="25"/>
  <c r="D51" i="25"/>
  <c r="C51" i="25"/>
  <c r="B51" i="25"/>
  <c r="J50" i="25"/>
  <c r="I50" i="25"/>
  <c r="F50" i="25"/>
  <c r="D50" i="25"/>
  <c r="C50" i="25"/>
  <c r="B50" i="25"/>
  <c r="I49" i="25"/>
  <c r="J49" i="25" s="1"/>
  <c r="F49" i="25"/>
  <c r="D49" i="25"/>
  <c r="C49" i="25"/>
  <c r="B49" i="25"/>
  <c r="I48" i="25"/>
  <c r="J48" i="25" s="1"/>
  <c r="F48" i="25"/>
  <c r="D48" i="25"/>
  <c r="C48" i="25"/>
  <c r="B48" i="25"/>
  <c r="J47" i="25"/>
  <c r="I47" i="25"/>
  <c r="F47" i="25"/>
  <c r="D47" i="25"/>
  <c r="C47" i="25"/>
  <c r="B47" i="25"/>
  <c r="J46" i="25"/>
  <c r="I46" i="25"/>
  <c r="F46" i="25"/>
  <c r="D46" i="25"/>
  <c r="C46" i="25"/>
  <c r="B46" i="25"/>
  <c r="I45" i="25"/>
  <c r="J45" i="25" s="1"/>
  <c r="F45" i="25"/>
  <c r="D45" i="25"/>
  <c r="C45" i="25"/>
  <c r="B45" i="25"/>
  <c r="I44" i="25"/>
  <c r="J44" i="25" s="1"/>
  <c r="F44" i="25"/>
  <c r="D44" i="25"/>
  <c r="C44" i="25"/>
  <c r="B44" i="25"/>
  <c r="J43" i="25"/>
  <c r="I43" i="25"/>
  <c r="F43" i="25"/>
  <c r="D43" i="25"/>
  <c r="C43" i="25"/>
  <c r="B43" i="25"/>
  <c r="J42" i="25"/>
  <c r="I42" i="25"/>
  <c r="F42" i="25"/>
  <c r="D42" i="25"/>
  <c r="C42" i="25"/>
  <c r="B42" i="25"/>
  <c r="I41" i="25"/>
  <c r="J41" i="25" s="1"/>
  <c r="F41" i="25"/>
  <c r="D41" i="25"/>
  <c r="C41" i="25"/>
  <c r="B41" i="25"/>
  <c r="I40" i="25"/>
  <c r="J40" i="25" s="1"/>
  <c r="F40" i="25"/>
  <c r="D40" i="25"/>
  <c r="C40" i="25"/>
  <c r="B40" i="25"/>
  <c r="J39" i="25"/>
  <c r="I39" i="25"/>
  <c r="F39" i="25"/>
  <c r="D39" i="25"/>
  <c r="C39" i="25"/>
  <c r="B39" i="25"/>
  <c r="J38" i="25"/>
  <c r="I38" i="25"/>
  <c r="F38" i="25"/>
  <c r="D38" i="25"/>
  <c r="C38" i="25"/>
  <c r="B38" i="25"/>
  <c r="I37" i="25"/>
  <c r="J37" i="25" s="1"/>
  <c r="F37" i="25"/>
  <c r="D37" i="25"/>
  <c r="C37" i="25"/>
  <c r="B37" i="25"/>
  <c r="I36" i="25"/>
  <c r="J36" i="25" s="1"/>
  <c r="F36" i="25"/>
  <c r="D36" i="25"/>
  <c r="C36" i="25"/>
  <c r="B36" i="25"/>
  <c r="J35" i="25"/>
  <c r="I35" i="25"/>
  <c r="F35" i="25"/>
  <c r="D35" i="25"/>
  <c r="C35" i="25"/>
  <c r="B35" i="25"/>
  <c r="J34" i="25"/>
  <c r="I34" i="25"/>
  <c r="F34" i="25"/>
  <c r="D34" i="25"/>
  <c r="C34" i="25"/>
  <c r="B34" i="25"/>
  <c r="I33" i="25"/>
  <c r="J33" i="25" s="1"/>
  <c r="F33" i="25"/>
  <c r="D33" i="25"/>
  <c r="C33" i="25"/>
  <c r="B33" i="25"/>
  <c r="I32" i="25"/>
  <c r="J32" i="25" s="1"/>
  <c r="F32" i="25"/>
  <c r="D32" i="25"/>
  <c r="C32" i="25"/>
  <c r="B32" i="25"/>
  <c r="J31" i="25"/>
  <c r="I31" i="25"/>
  <c r="F31" i="25"/>
  <c r="D31" i="25"/>
  <c r="C31" i="25"/>
  <c r="B31" i="25"/>
  <c r="J30" i="25"/>
  <c r="I30" i="25"/>
  <c r="F30" i="25"/>
  <c r="D30" i="25"/>
  <c r="C30" i="25"/>
  <c r="B30" i="25"/>
  <c r="I29" i="25"/>
  <c r="J29" i="25" s="1"/>
  <c r="F29" i="25"/>
  <c r="D29" i="25"/>
  <c r="C29" i="25"/>
  <c r="B29" i="25"/>
  <c r="I28" i="25"/>
  <c r="J28" i="25" s="1"/>
  <c r="F28" i="25"/>
  <c r="D28" i="25"/>
  <c r="C28" i="25"/>
  <c r="B28" i="25"/>
  <c r="J27" i="25"/>
  <c r="I27" i="25"/>
  <c r="F27" i="25"/>
  <c r="D27" i="25"/>
  <c r="C27" i="25"/>
  <c r="B27" i="25"/>
  <c r="J26" i="25"/>
  <c r="I26" i="25"/>
  <c r="F26" i="25"/>
  <c r="D26" i="25"/>
  <c r="C26" i="25"/>
  <c r="B26" i="25"/>
  <c r="I25" i="25"/>
  <c r="J25" i="25" s="1"/>
  <c r="F25" i="25"/>
  <c r="D25" i="25"/>
  <c r="C25" i="25"/>
  <c r="B25" i="25"/>
  <c r="I24" i="25"/>
  <c r="J24" i="25" s="1"/>
  <c r="F24" i="25"/>
  <c r="D24" i="25"/>
  <c r="C24" i="25"/>
  <c r="B24" i="25"/>
  <c r="J23" i="25"/>
  <c r="I23" i="25"/>
  <c r="F23" i="25"/>
  <c r="D23" i="25"/>
  <c r="C23" i="25"/>
  <c r="B23" i="25"/>
  <c r="J22" i="25"/>
  <c r="I22" i="25"/>
  <c r="F22" i="25"/>
  <c r="D22" i="25"/>
  <c r="C22" i="25"/>
  <c r="B22" i="25"/>
  <c r="I21" i="25"/>
  <c r="J21" i="25" s="1"/>
  <c r="F21" i="25"/>
  <c r="D21" i="25"/>
  <c r="C21" i="25"/>
  <c r="B21" i="25"/>
  <c r="I20" i="25"/>
  <c r="J20" i="25" s="1"/>
  <c r="F20" i="25"/>
  <c r="D20" i="25"/>
  <c r="C20" i="25"/>
  <c r="B20" i="25"/>
  <c r="J19" i="25"/>
  <c r="I19" i="25"/>
  <c r="F19" i="25"/>
  <c r="D19" i="25"/>
  <c r="C19" i="25"/>
  <c r="B19" i="25"/>
  <c r="J18" i="25"/>
  <c r="I18" i="25"/>
  <c r="F18" i="25"/>
  <c r="D18" i="25"/>
  <c r="C18" i="25"/>
  <c r="B18" i="25"/>
  <c r="I17" i="25"/>
  <c r="J17" i="25" s="1"/>
  <c r="F17" i="25"/>
  <c r="D17" i="25"/>
  <c r="C17" i="25"/>
  <c r="B17" i="25"/>
  <c r="I16" i="25"/>
  <c r="J16" i="25" s="1"/>
  <c r="F16" i="25"/>
  <c r="D16" i="25"/>
  <c r="C16" i="25"/>
  <c r="B16" i="25"/>
  <c r="J15" i="25"/>
  <c r="I15" i="25"/>
  <c r="F15" i="25"/>
  <c r="D15" i="25"/>
  <c r="C15" i="25"/>
  <c r="B15" i="25"/>
  <c r="J14" i="25"/>
  <c r="I14" i="25"/>
  <c r="F14" i="25"/>
  <c r="D14" i="25"/>
  <c r="C14" i="25"/>
  <c r="B14" i="25"/>
  <c r="I13" i="25"/>
  <c r="J13" i="25" s="1"/>
  <c r="F13" i="25"/>
  <c r="D13" i="25"/>
  <c r="C13" i="25"/>
  <c r="B13" i="25"/>
  <c r="I12" i="25"/>
  <c r="J12" i="25" s="1"/>
  <c r="F12" i="25"/>
  <c r="D12" i="25"/>
  <c r="C12" i="25"/>
  <c r="B12" i="25"/>
  <c r="J11" i="25"/>
  <c r="I11" i="25"/>
  <c r="F11" i="25"/>
  <c r="D11" i="25"/>
  <c r="C11" i="25"/>
  <c r="B11" i="25"/>
  <c r="J10" i="25"/>
  <c r="I10" i="25"/>
  <c r="F10" i="25"/>
  <c r="D10" i="25"/>
  <c r="C10" i="25"/>
  <c r="B10" i="25"/>
  <c r="I9" i="25"/>
  <c r="J9" i="25" s="1"/>
  <c r="F9" i="25"/>
  <c r="D9" i="25"/>
  <c r="C9" i="25"/>
  <c r="B9" i="25"/>
  <c r="A5" i="25"/>
  <c r="G4" i="25"/>
  <c r="D4" i="25"/>
  <c r="A4" i="25"/>
  <c r="K213" i="24"/>
  <c r="I213" i="24"/>
  <c r="J213" i="24" s="1"/>
  <c r="D213" i="24"/>
  <c r="C213" i="24"/>
  <c r="A213" i="24"/>
  <c r="K212" i="24"/>
  <c r="J212" i="24"/>
  <c r="I212" i="24"/>
  <c r="D212" i="24"/>
  <c r="C212" i="24"/>
  <c r="A212" i="24"/>
  <c r="K211" i="24"/>
  <c r="J211" i="24"/>
  <c r="I211" i="24"/>
  <c r="D211" i="24"/>
  <c r="C211" i="24"/>
  <c r="A211" i="24"/>
  <c r="K210" i="24"/>
  <c r="I210" i="24"/>
  <c r="J210" i="24" s="1"/>
  <c r="D210" i="24"/>
  <c r="C210" i="24"/>
  <c r="A210" i="24"/>
  <c r="K209" i="24"/>
  <c r="I209" i="24"/>
  <c r="J209" i="24" s="1"/>
  <c r="D209" i="24"/>
  <c r="C209" i="24"/>
  <c r="A209" i="24"/>
  <c r="K208" i="24"/>
  <c r="J208" i="24"/>
  <c r="I208" i="24"/>
  <c r="D208" i="24"/>
  <c r="C208" i="24"/>
  <c r="A208" i="24"/>
  <c r="K207" i="24"/>
  <c r="J207" i="24"/>
  <c r="I207" i="24"/>
  <c r="D207" i="24"/>
  <c r="C207" i="24"/>
  <c r="A207" i="24"/>
  <c r="K206" i="24"/>
  <c r="I206" i="24"/>
  <c r="J206" i="24" s="1"/>
  <c r="D206" i="24"/>
  <c r="C206" i="24"/>
  <c r="A206" i="24"/>
  <c r="K205" i="24"/>
  <c r="I205" i="24"/>
  <c r="J205" i="24" s="1"/>
  <c r="D205" i="24"/>
  <c r="C205" i="24"/>
  <c r="A205" i="24"/>
  <c r="K204" i="24"/>
  <c r="J204" i="24"/>
  <c r="I204" i="24"/>
  <c r="D204" i="24"/>
  <c r="C204" i="24"/>
  <c r="A204" i="24"/>
  <c r="K203" i="24"/>
  <c r="J203" i="24"/>
  <c r="I203" i="24"/>
  <c r="D203" i="24"/>
  <c r="C203" i="24"/>
  <c r="A203" i="24"/>
  <c r="K202" i="24"/>
  <c r="I202" i="24"/>
  <c r="J202" i="24" s="1"/>
  <c r="D202" i="24"/>
  <c r="C202" i="24"/>
  <c r="A202" i="24"/>
  <c r="K201" i="24"/>
  <c r="I201" i="24"/>
  <c r="J201" i="24" s="1"/>
  <c r="D201" i="24"/>
  <c r="C201" i="24"/>
  <c r="A201" i="24"/>
  <c r="K200" i="24"/>
  <c r="J200" i="24"/>
  <c r="I200" i="24"/>
  <c r="D200" i="24"/>
  <c r="C200" i="24"/>
  <c r="A200" i="24"/>
  <c r="K199" i="24"/>
  <c r="J199" i="24"/>
  <c r="I199" i="24"/>
  <c r="D199" i="24"/>
  <c r="C199" i="24"/>
  <c r="A199" i="24"/>
  <c r="K198" i="24"/>
  <c r="I198" i="24"/>
  <c r="J198" i="24" s="1"/>
  <c r="D198" i="24"/>
  <c r="C198" i="24"/>
  <c r="A198" i="24"/>
  <c r="K197" i="24"/>
  <c r="I197" i="24"/>
  <c r="J197" i="24" s="1"/>
  <c r="D197" i="24"/>
  <c r="C197" i="24"/>
  <c r="A197" i="24"/>
  <c r="K196" i="24"/>
  <c r="J196" i="24"/>
  <c r="I196" i="24"/>
  <c r="D196" i="24"/>
  <c r="C196" i="24"/>
  <c r="A196" i="24"/>
  <c r="K195" i="24"/>
  <c r="J195" i="24"/>
  <c r="I195" i="24"/>
  <c r="D195" i="24"/>
  <c r="C195" i="24"/>
  <c r="A195" i="24"/>
  <c r="K194" i="24"/>
  <c r="I194" i="24"/>
  <c r="J194" i="24" s="1"/>
  <c r="D194" i="24"/>
  <c r="C194" i="24"/>
  <c r="A194" i="24"/>
  <c r="K193" i="24"/>
  <c r="I193" i="24"/>
  <c r="J193" i="24" s="1"/>
  <c r="D193" i="24"/>
  <c r="C193" i="24"/>
  <c r="A193" i="24"/>
  <c r="K192" i="24"/>
  <c r="J192" i="24"/>
  <c r="I192" i="24"/>
  <c r="D192" i="24"/>
  <c r="C192" i="24"/>
  <c r="A192" i="24"/>
  <c r="K191" i="24"/>
  <c r="J191" i="24"/>
  <c r="I191" i="24"/>
  <c r="D191" i="24"/>
  <c r="C191" i="24"/>
  <c r="A191" i="24"/>
  <c r="K190" i="24"/>
  <c r="I190" i="24"/>
  <c r="J190" i="24" s="1"/>
  <c r="D190" i="24"/>
  <c r="C190" i="24"/>
  <c r="A190" i="24"/>
  <c r="K189" i="24"/>
  <c r="I189" i="24"/>
  <c r="J189" i="24" s="1"/>
  <c r="D189" i="24"/>
  <c r="C189" i="24"/>
  <c r="A189" i="24"/>
  <c r="K188" i="24"/>
  <c r="J188" i="24"/>
  <c r="I188" i="24"/>
  <c r="D188" i="24"/>
  <c r="C188" i="24"/>
  <c r="A188" i="24"/>
  <c r="K187" i="24"/>
  <c r="J187" i="24"/>
  <c r="I187" i="24"/>
  <c r="D187" i="24"/>
  <c r="C187" i="24"/>
  <c r="A187" i="24"/>
  <c r="K186" i="24"/>
  <c r="I186" i="24"/>
  <c r="J186" i="24" s="1"/>
  <c r="D186" i="24"/>
  <c r="C186" i="24"/>
  <c r="A186" i="24"/>
  <c r="K185" i="24"/>
  <c r="I185" i="24"/>
  <c r="J185" i="24" s="1"/>
  <c r="D185" i="24"/>
  <c r="C185" i="24"/>
  <c r="A185" i="24"/>
  <c r="K184" i="24"/>
  <c r="J184" i="24"/>
  <c r="I184" i="24"/>
  <c r="D184" i="24"/>
  <c r="C184" i="24"/>
  <c r="A184" i="24"/>
  <c r="K183" i="24"/>
  <c r="J183" i="24"/>
  <c r="I183" i="24"/>
  <c r="D183" i="24"/>
  <c r="C183" i="24"/>
  <c r="A183" i="24"/>
  <c r="K182" i="24"/>
  <c r="I182" i="24"/>
  <c r="J182" i="24" s="1"/>
  <c r="D182" i="24"/>
  <c r="C182" i="24"/>
  <c r="A182" i="24"/>
  <c r="K181" i="24"/>
  <c r="I181" i="24"/>
  <c r="J181" i="24" s="1"/>
  <c r="D181" i="24"/>
  <c r="C181" i="24"/>
  <c r="A181" i="24"/>
  <c r="K180" i="24"/>
  <c r="J180" i="24"/>
  <c r="I180" i="24"/>
  <c r="D180" i="24"/>
  <c r="C180" i="24"/>
  <c r="A180" i="24"/>
  <c r="K179" i="24"/>
  <c r="J179" i="24"/>
  <c r="I179" i="24"/>
  <c r="D179" i="24"/>
  <c r="C179" i="24"/>
  <c r="A179" i="24"/>
  <c r="K178" i="24"/>
  <c r="I178" i="24"/>
  <c r="J178" i="24" s="1"/>
  <c r="D178" i="24"/>
  <c r="C178" i="24"/>
  <c r="A178" i="24"/>
  <c r="K177" i="24"/>
  <c r="I177" i="24"/>
  <c r="J177" i="24" s="1"/>
  <c r="D177" i="24"/>
  <c r="C177" i="24"/>
  <c r="A177" i="24"/>
  <c r="K176" i="24"/>
  <c r="J176" i="24"/>
  <c r="I176" i="24"/>
  <c r="D176" i="24"/>
  <c r="C176" i="24"/>
  <c r="A176" i="24"/>
  <c r="K175" i="24"/>
  <c r="J175" i="24"/>
  <c r="I175" i="24"/>
  <c r="D175" i="24"/>
  <c r="C175" i="24"/>
  <c r="A175" i="24"/>
  <c r="K174" i="24"/>
  <c r="I174" i="24"/>
  <c r="J174" i="24" s="1"/>
  <c r="D174" i="24"/>
  <c r="C174" i="24"/>
  <c r="A174" i="24"/>
  <c r="K173" i="24"/>
  <c r="I173" i="24"/>
  <c r="J173" i="24" s="1"/>
  <c r="D173" i="24"/>
  <c r="C173" i="24"/>
  <c r="A173" i="24"/>
  <c r="K172" i="24"/>
  <c r="J172" i="24"/>
  <c r="I172" i="24"/>
  <c r="D172" i="24"/>
  <c r="C172" i="24"/>
  <c r="A172" i="24"/>
  <c r="K171" i="24"/>
  <c r="J171" i="24"/>
  <c r="I171" i="24"/>
  <c r="D171" i="24"/>
  <c r="C171" i="24"/>
  <c r="A171" i="24"/>
  <c r="K170" i="24"/>
  <c r="I170" i="24"/>
  <c r="J170" i="24" s="1"/>
  <c r="D170" i="24"/>
  <c r="C170" i="24"/>
  <c r="A170" i="24"/>
  <c r="K169" i="24"/>
  <c r="I169" i="24"/>
  <c r="J169" i="24" s="1"/>
  <c r="D169" i="24"/>
  <c r="C169" i="24"/>
  <c r="A169" i="24"/>
  <c r="K168" i="24"/>
  <c r="J168" i="24"/>
  <c r="I168" i="24"/>
  <c r="D168" i="24"/>
  <c r="C168" i="24"/>
  <c r="A168" i="24"/>
  <c r="K167" i="24"/>
  <c r="J167" i="24"/>
  <c r="I167" i="24"/>
  <c r="D167" i="24"/>
  <c r="C167" i="24"/>
  <c r="A167" i="24"/>
  <c r="K166" i="24"/>
  <c r="I166" i="24"/>
  <c r="J166" i="24" s="1"/>
  <c r="D166" i="24"/>
  <c r="C166" i="24"/>
  <c r="A166" i="24"/>
  <c r="K165" i="24"/>
  <c r="I165" i="24"/>
  <c r="J165" i="24" s="1"/>
  <c r="D165" i="24"/>
  <c r="C165" i="24"/>
  <c r="A165" i="24"/>
  <c r="K164" i="24"/>
  <c r="J164" i="24"/>
  <c r="I164" i="24"/>
  <c r="D164" i="24"/>
  <c r="C164" i="24"/>
  <c r="A164" i="24"/>
  <c r="K163" i="24"/>
  <c r="J163" i="24"/>
  <c r="I163" i="24"/>
  <c r="D163" i="24"/>
  <c r="C163" i="24"/>
  <c r="A163" i="24"/>
  <c r="K162" i="24"/>
  <c r="I162" i="24"/>
  <c r="J162" i="24" s="1"/>
  <c r="D162" i="24"/>
  <c r="C162" i="24"/>
  <c r="A162" i="24"/>
  <c r="K161" i="24"/>
  <c r="I161" i="24"/>
  <c r="J161" i="24" s="1"/>
  <c r="D161" i="24"/>
  <c r="C161" i="24"/>
  <c r="A161" i="24"/>
  <c r="K160" i="24"/>
  <c r="J160" i="24"/>
  <c r="I160" i="24"/>
  <c r="D160" i="24"/>
  <c r="C160" i="24"/>
  <c r="A160" i="24"/>
  <c r="K159" i="24"/>
  <c r="J159" i="24"/>
  <c r="I159" i="24"/>
  <c r="D159" i="24"/>
  <c r="C159" i="24"/>
  <c r="A159" i="24"/>
  <c r="K158" i="24"/>
  <c r="I158" i="24"/>
  <c r="J158" i="24" s="1"/>
  <c r="D158" i="24"/>
  <c r="C158" i="24"/>
  <c r="A158" i="24"/>
  <c r="K157" i="24"/>
  <c r="I157" i="24"/>
  <c r="J157" i="24" s="1"/>
  <c r="D157" i="24"/>
  <c r="C157" i="24"/>
  <c r="A157" i="24"/>
  <c r="K156" i="24"/>
  <c r="J156" i="24"/>
  <c r="I156" i="24"/>
  <c r="D156" i="24"/>
  <c r="C156" i="24"/>
  <c r="A156" i="24"/>
  <c r="K155" i="24"/>
  <c r="J155" i="24"/>
  <c r="I155" i="24"/>
  <c r="D155" i="24"/>
  <c r="C155" i="24"/>
  <c r="A155" i="24"/>
  <c r="K154" i="24"/>
  <c r="I154" i="24"/>
  <c r="J154" i="24" s="1"/>
  <c r="D154" i="24"/>
  <c r="C154" i="24"/>
  <c r="A154" i="24"/>
  <c r="K153" i="24"/>
  <c r="I153" i="24"/>
  <c r="J153" i="24" s="1"/>
  <c r="D153" i="24"/>
  <c r="C153" i="24"/>
  <c r="A153" i="24"/>
  <c r="K152" i="24"/>
  <c r="J152" i="24"/>
  <c r="I152" i="24"/>
  <c r="D152" i="24"/>
  <c r="C152" i="24"/>
  <c r="A152" i="24"/>
  <c r="K151" i="24"/>
  <c r="J151" i="24"/>
  <c r="I151" i="24"/>
  <c r="D151" i="24"/>
  <c r="C151" i="24"/>
  <c r="A151" i="24"/>
  <c r="K150" i="24"/>
  <c r="I150" i="24"/>
  <c r="J150" i="24" s="1"/>
  <c r="D150" i="24"/>
  <c r="C150" i="24"/>
  <c r="A150" i="24"/>
  <c r="K149" i="24"/>
  <c r="I149" i="24"/>
  <c r="J149" i="24" s="1"/>
  <c r="D149" i="24"/>
  <c r="C149" i="24"/>
  <c r="A149" i="24"/>
  <c r="K148" i="24"/>
  <c r="J148" i="24"/>
  <c r="I148" i="24"/>
  <c r="D148" i="24"/>
  <c r="C148" i="24"/>
  <c r="A148" i="24"/>
  <c r="K147" i="24"/>
  <c r="J147" i="24"/>
  <c r="I147" i="24"/>
  <c r="D147" i="24"/>
  <c r="C147" i="24"/>
  <c r="A147" i="24"/>
  <c r="K146" i="24"/>
  <c r="I146" i="24"/>
  <c r="J146" i="24" s="1"/>
  <c r="D146" i="24"/>
  <c r="C146" i="24"/>
  <c r="A146" i="24"/>
  <c r="K145" i="24"/>
  <c r="I145" i="24"/>
  <c r="J145" i="24" s="1"/>
  <c r="D145" i="24"/>
  <c r="C145" i="24"/>
  <c r="A145" i="24"/>
  <c r="K144" i="24"/>
  <c r="J144" i="24"/>
  <c r="I144" i="24"/>
  <c r="D144" i="24"/>
  <c r="C144" i="24"/>
  <c r="A144" i="24"/>
  <c r="K143" i="24"/>
  <c r="J143" i="24"/>
  <c r="I143" i="24"/>
  <c r="D143" i="24"/>
  <c r="C143" i="24"/>
  <c r="A143" i="24"/>
  <c r="K142" i="24"/>
  <c r="I142" i="24"/>
  <c r="J142" i="24" s="1"/>
  <c r="D142" i="24"/>
  <c r="C142" i="24"/>
  <c r="A142" i="24"/>
  <c r="K141" i="24"/>
  <c r="I141" i="24"/>
  <c r="J141" i="24" s="1"/>
  <c r="D141" i="24"/>
  <c r="C141" i="24"/>
  <c r="A141" i="24"/>
  <c r="K140" i="24"/>
  <c r="J140" i="24"/>
  <c r="I140" i="24"/>
  <c r="D140" i="24"/>
  <c r="C140" i="24"/>
  <c r="A140" i="24"/>
  <c r="K139" i="24"/>
  <c r="J139" i="24"/>
  <c r="I139" i="24"/>
  <c r="D139" i="24"/>
  <c r="C139" i="24"/>
  <c r="A139" i="24"/>
  <c r="K138" i="24"/>
  <c r="I138" i="24"/>
  <c r="J138" i="24" s="1"/>
  <c r="D138" i="24"/>
  <c r="C138" i="24"/>
  <c r="A138" i="24"/>
  <c r="K137" i="24"/>
  <c r="I137" i="24"/>
  <c r="J137" i="24" s="1"/>
  <c r="D137" i="24"/>
  <c r="C137" i="24"/>
  <c r="A137" i="24"/>
  <c r="K136" i="24"/>
  <c r="J136" i="24"/>
  <c r="I136" i="24"/>
  <c r="D136" i="24"/>
  <c r="C136" i="24"/>
  <c r="A136" i="24"/>
  <c r="K135" i="24"/>
  <c r="J135" i="24"/>
  <c r="I135" i="24"/>
  <c r="D135" i="24"/>
  <c r="C135" i="24"/>
  <c r="A135" i="24"/>
  <c r="K134" i="24"/>
  <c r="I134" i="24"/>
  <c r="J134" i="24" s="1"/>
  <c r="D134" i="24"/>
  <c r="C134" i="24"/>
  <c r="A134" i="24"/>
  <c r="K133" i="24"/>
  <c r="I133" i="24"/>
  <c r="J133" i="24" s="1"/>
  <c r="D133" i="24"/>
  <c r="C133" i="24"/>
  <c r="A133" i="24"/>
  <c r="K132" i="24"/>
  <c r="J132" i="24"/>
  <c r="I132" i="24"/>
  <c r="D132" i="24"/>
  <c r="C132" i="24"/>
  <c r="A132" i="24"/>
  <c r="K131" i="24"/>
  <c r="J131" i="24"/>
  <c r="I131" i="24"/>
  <c r="D131" i="24"/>
  <c r="C131" i="24"/>
  <c r="A131" i="24"/>
  <c r="K130" i="24"/>
  <c r="I130" i="24"/>
  <c r="J130" i="24" s="1"/>
  <c r="D130" i="24"/>
  <c r="C130" i="24"/>
  <c r="A130" i="24"/>
  <c r="K129" i="24"/>
  <c r="I129" i="24"/>
  <c r="J129" i="24" s="1"/>
  <c r="D129" i="24"/>
  <c r="C129" i="24"/>
  <c r="A129" i="24"/>
  <c r="K128" i="24"/>
  <c r="J128" i="24"/>
  <c r="I128" i="24"/>
  <c r="D128" i="24"/>
  <c r="C128" i="24"/>
  <c r="A128" i="24"/>
  <c r="K127" i="24"/>
  <c r="J127" i="24"/>
  <c r="I127" i="24"/>
  <c r="D127" i="24"/>
  <c r="C127" i="24"/>
  <c r="A127" i="24"/>
  <c r="K126" i="24"/>
  <c r="I126" i="24"/>
  <c r="J126" i="24" s="1"/>
  <c r="D126" i="24"/>
  <c r="C126" i="24"/>
  <c r="A126" i="24"/>
  <c r="K125" i="24"/>
  <c r="I125" i="24"/>
  <c r="J125" i="24" s="1"/>
  <c r="D125" i="24"/>
  <c r="C125" i="24"/>
  <c r="A125" i="24"/>
  <c r="K124" i="24"/>
  <c r="J124" i="24"/>
  <c r="I124" i="24"/>
  <c r="D124" i="24"/>
  <c r="C124" i="24"/>
  <c r="A124" i="24"/>
  <c r="K123" i="24"/>
  <c r="J123" i="24"/>
  <c r="I123" i="24"/>
  <c r="D123" i="24"/>
  <c r="C123" i="24"/>
  <c r="A123" i="24"/>
  <c r="K122" i="24"/>
  <c r="I122" i="24"/>
  <c r="J122" i="24" s="1"/>
  <c r="D122" i="24"/>
  <c r="C122" i="24"/>
  <c r="A122" i="24"/>
  <c r="K121" i="24"/>
  <c r="I121" i="24"/>
  <c r="J121" i="24" s="1"/>
  <c r="D121" i="24"/>
  <c r="C121" i="24"/>
  <c r="A121" i="24"/>
  <c r="K120" i="24"/>
  <c r="J120" i="24"/>
  <c r="I120" i="24"/>
  <c r="D120" i="24"/>
  <c r="C120" i="24"/>
  <c r="A120" i="24"/>
  <c r="K119" i="24"/>
  <c r="J119" i="24"/>
  <c r="I119" i="24"/>
  <c r="D119" i="24"/>
  <c r="C119" i="24"/>
  <c r="A119" i="24"/>
  <c r="K118" i="24"/>
  <c r="I118" i="24"/>
  <c r="J118" i="24" s="1"/>
  <c r="D118" i="24"/>
  <c r="C118" i="24"/>
  <c r="A118" i="24"/>
  <c r="K117" i="24"/>
  <c r="I117" i="24"/>
  <c r="J117" i="24" s="1"/>
  <c r="D117" i="24"/>
  <c r="C117" i="24"/>
  <c r="A117" i="24"/>
  <c r="K116" i="24"/>
  <c r="J116" i="24"/>
  <c r="I116" i="24"/>
  <c r="D116" i="24"/>
  <c r="C116" i="24"/>
  <c r="A116" i="24"/>
  <c r="K115" i="24"/>
  <c r="J115" i="24"/>
  <c r="I115" i="24"/>
  <c r="D115" i="24"/>
  <c r="C115" i="24"/>
  <c r="A115" i="24"/>
  <c r="K114" i="24"/>
  <c r="I114" i="24"/>
  <c r="J114" i="24" s="1"/>
  <c r="D114" i="24"/>
  <c r="C114" i="24"/>
  <c r="A114" i="24"/>
  <c r="K113" i="24"/>
  <c r="I113" i="24"/>
  <c r="J113" i="24" s="1"/>
  <c r="D113" i="24"/>
  <c r="C113" i="24"/>
  <c r="A113" i="24"/>
  <c r="K112" i="24"/>
  <c r="J112" i="24"/>
  <c r="I112" i="24"/>
  <c r="D112" i="24"/>
  <c r="C112" i="24"/>
  <c r="A112" i="24"/>
  <c r="K111" i="24"/>
  <c r="J111" i="24"/>
  <c r="I111" i="24"/>
  <c r="D111" i="24"/>
  <c r="C111" i="24"/>
  <c r="A111" i="24"/>
  <c r="K110" i="24"/>
  <c r="I110" i="24"/>
  <c r="J110" i="24" s="1"/>
  <c r="D110" i="24"/>
  <c r="C110" i="24"/>
  <c r="A110" i="24"/>
  <c r="K109" i="24"/>
  <c r="I109" i="24"/>
  <c r="J109" i="24" s="1"/>
  <c r="D109" i="24"/>
  <c r="C109" i="24"/>
  <c r="A109" i="24"/>
  <c r="K108" i="24"/>
  <c r="J108" i="24"/>
  <c r="I108" i="24"/>
  <c r="D108" i="24"/>
  <c r="C108" i="24"/>
  <c r="A108" i="24"/>
  <c r="K107" i="24"/>
  <c r="J107" i="24"/>
  <c r="I107" i="24"/>
  <c r="D107" i="24"/>
  <c r="C107" i="24"/>
  <c r="A107" i="24"/>
  <c r="K106" i="24"/>
  <c r="I106" i="24"/>
  <c r="J106" i="24" s="1"/>
  <c r="D106" i="24"/>
  <c r="C106" i="24"/>
  <c r="A106" i="24"/>
  <c r="K105" i="24"/>
  <c r="I105" i="24"/>
  <c r="J105" i="24" s="1"/>
  <c r="D105" i="24"/>
  <c r="C105" i="24"/>
  <c r="A105" i="24"/>
  <c r="K104" i="24"/>
  <c r="J104" i="24"/>
  <c r="I104" i="24"/>
  <c r="D104" i="24"/>
  <c r="C104" i="24"/>
  <c r="A104" i="24"/>
  <c r="K103" i="24"/>
  <c r="J103" i="24"/>
  <c r="I103" i="24"/>
  <c r="D103" i="24"/>
  <c r="C103" i="24"/>
  <c r="A103" i="24"/>
  <c r="K102" i="24"/>
  <c r="I102" i="24"/>
  <c r="J102" i="24" s="1"/>
  <c r="D102" i="24"/>
  <c r="C102" i="24"/>
  <c r="A102" i="24"/>
  <c r="K101" i="24"/>
  <c r="I101" i="24"/>
  <c r="J101" i="24" s="1"/>
  <c r="D101" i="24"/>
  <c r="C101" i="24"/>
  <c r="A101" i="24"/>
  <c r="K100" i="24"/>
  <c r="J100" i="24"/>
  <c r="I100" i="24"/>
  <c r="D100" i="24"/>
  <c r="C100" i="24"/>
  <c r="A100" i="24"/>
  <c r="K99" i="24"/>
  <c r="J99" i="24"/>
  <c r="I99" i="24"/>
  <c r="D99" i="24"/>
  <c r="C99" i="24"/>
  <c r="A99" i="24"/>
  <c r="K98" i="24"/>
  <c r="I98" i="24"/>
  <c r="J98" i="24" s="1"/>
  <c r="D98" i="24"/>
  <c r="C98" i="24"/>
  <c r="A98" i="24"/>
  <c r="K97" i="24"/>
  <c r="I97" i="24"/>
  <c r="J97" i="24" s="1"/>
  <c r="D97" i="24"/>
  <c r="C97" i="24"/>
  <c r="A97" i="24"/>
  <c r="K96" i="24"/>
  <c r="J96" i="24"/>
  <c r="I96" i="24"/>
  <c r="D96" i="24"/>
  <c r="C96" i="24"/>
  <c r="A96" i="24"/>
  <c r="K95" i="24"/>
  <c r="J95" i="24"/>
  <c r="I95" i="24"/>
  <c r="D95" i="24"/>
  <c r="C95" i="24"/>
  <c r="A95" i="24"/>
  <c r="K94" i="24"/>
  <c r="I94" i="24"/>
  <c r="J94" i="24" s="1"/>
  <c r="D94" i="24"/>
  <c r="C94" i="24"/>
  <c r="A94" i="24"/>
  <c r="K93" i="24"/>
  <c r="I93" i="24"/>
  <c r="J93" i="24" s="1"/>
  <c r="D93" i="24"/>
  <c r="C93" i="24"/>
  <c r="A93" i="24"/>
  <c r="K92" i="24"/>
  <c r="J92" i="24"/>
  <c r="I92" i="24"/>
  <c r="D92" i="24"/>
  <c r="C92" i="24"/>
  <c r="A92" i="24"/>
  <c r="K91" i="24"/>
  <c r="J91" i="24"/>
  <c r="I91" i="24"/>
  <c r="D91" i="24"/>
  <c r="C91" i="24"/>
  <c r="A91" i="24"/>
  <c r="K90" i="24"/>
  <c r="I90" i="24"/>
  <c r="J90" i="24" s="1"/>
  <c r="D90" i="24"/>
  <c r="C90" i="24"/>
  <c r="A90" i="24"/>
  <c r="K89" i="24"/>
  <c r="I89" i="24"/>
  <c r="J89" i="24" s="1"/>
  <c r="D89" i="24"/>
  <c r="C89" i="24"/>
  <c r="A89" i="24"/>
  <c r="K88" i="24"/>
  <c r="J88" i="24"/>
  <c r="I88" i="24"/>
  <c r="D88" i="24"/>
  <c r="C88" i="24"/>
  <c r="A88" i="24"/>
  <c r="K87" i="24"/>
  <c r="J87" i="24"/>
  <c r="I87" i="24"/>
  <c r="D87" i="24"/>
  <c r="C87" i="24"/>
  <c r="A87" i="24"/>
  <c r="K86" i="24"/>
  <c r="I86" i="24"/>
  <c r="J86" i="24" s="1"/>
  <c r="D86" i="24"/>
  <c r="C86" i="24"/>
  <c r="A86" i="24"/>
  <c r="K85" i="24"/>
  <c r="I85" i="24"/>
  <c r="J85" i="24" s="1"/>
  <c r="D85" i="24"/>
  <c r="C85" i="24"/>
  <c r="A85" i="24"/>
  <c r="K84" i="24"/>
  <c r="J84" i="24"/>
  <c r="I84" i="24"/>
  <c r="D84" i="24"/>
  <c r="C84" i="24"/>
  <c r="A84" i="24"/>
  <c r="K83" i="24"/>
  <c r="J83" i="24"/>
  <c r="I83" i="24"/>
  <c r="D83" i="24"/>
  <c r="C83" i="24"/>
  <c r="A83" i="24"/>
  <c r="K82" i="24"/>
  <c r="I82" i="24"/>
  <c r="J82" i="24" s="1"/>
  <c r="D82" i="24"/>
  <c r="C82" i="24"/>
  <c r="A82" i="24"/>
  <c r="K81" i="24"/>
  <c r="I81" i="24"/>
  <c r="J81" i="24" s="1"/>
  <c r="D81" i="24"/>
  <c r="C81" i="24"/>
  <c r="A81" i="24"/>
  <c r="K80" i="24"/>
  <c r="J80" i="24"/>
  <c r="I80" i="24"/>
  <c r="D80" i="24"/>
  <c r="C80" i="24"/>
  <c r="A80" i="24"/>
  <c r="K79" i="24"/>
  <c r="J79" i="24"/>
  <c r="I79" i="24"/>
  <c r="D79" i="24"/>
  <c r="C79" i="24"/>
  <c r="A79" i="24"/>
  <c r="K78" i="24"/>
  <c r="I78" i="24"/>
  <c r="J78" i="24" s="1"/>
  <c r="D78" i="24"/>
  <c r="C78" i="24"/>
  <c r="A78" i="24"/>
  <c r="K77" i="24"/>
  <c r="I77" i="24"/>
  <c r="J77" i="24" s="1"/>
  <c r="D77" i="24"/>
  <c r="C77" i="24"/>
  <c r="A77" i="24"/>
  <c r="K76" i="24"/>
  <c r="J76" i="24"/>
  <c r="I76" i="24"/>
  <c r="D76" i="24"/>
  <c r="C76" i="24"/>
  <c r="A76" i="24"/>
  <c r="K75" i="24"/>
  <c r="J75" i="24"/>
  <c r="I75" i="24"/>
  <c r="D75" i="24"/>
  <c r="C75" i="24"/>
  <c r="A75" i="24"/>
  <c r="K74" i="24"/>
  <c r="I74" i="24"/>
  <c r="J74" i="24" s="1"/>
  <c r="D74" i="24"/>
  <c r="C74" i="24"/>
  <c r="A74" i="24"/>
  <c r="K73" i="24"/>
  <c r="I73" i="24"/>
  <c r="J73" i="24" s="1"/>
  <c r="D73" i="24"/>
  <c r="C73" i="24"/>
  <c r="A73" i="24"/>
  <c r="K72" i="24"/>
  <c r="J72" i="24"/>
  <c r="I72" i="24"/>
  <c r="D72" i="24"/>
  <c r="C72" i="24"/>
  <c r="A72" i="24"/>
  <c r="K71" i="24"/>
  <c r="J71" i="24"/>
  <c r="I71" i="24"/>
  <c r="D71" i="24"/>
  <c r="C71" i="24"/>
  <c r="A71" i="24"/>
  <c r="K70" i="24"/>
  <c r="I70" i="24"/>
  <c r="J70" i="24" s="1"/>
  <c r="D70" i="24"/>
  <c r="C70" i="24"/>
  <c r="A70" i="24"/>
  <c r="K69" i="24"/>
  <c r="I69" i="24"/>
  <c r="J69" i="24" s="1"/>
  <c r="D69" i="24"/>
  <c r="C69" i="24"/>
  <c r="A69" i="24"/>
  <c r="K68" i="24"/>
  <c r="J68" i="24"/>
  <c r="I68" i="24"/>
  <c r="D68" i="24"/>
  <c r="C68" i="24"/>
  <c r="A68" i="24"/>
  <c r="K67" i="24"/>
  <c r="J67" i="24"/>
  <c r="I67" i="24"/>
  <c r="D67" i="24"/>
  <c r="C67" i="24"/>
  <c r="A67" i="24"/>
  <c r="K66" i="24"/>
  <c r="I66" i="24"/>
  <c r="J66" i="24" s="1"/>
  <c r="D66" i="24"/>
  <c r="C66" i="24"/>
  <c r="A66" i="24"/>
  <c r="K65" i="24"/>
  <c r="I65" i="24"/>
  <c r="J65" i="24" s="1"/>
  <c r="D65" i="24"/>
  <c r="C65" i="24"/>
  <c r="A65" i="24"/>
  <c r="K64" i="24"/>
  <c r="J64" i="24"/>
  <c r="I64" i="24"/>
  <c r="D64" i="24"/>
  <c r="C64" i="24"/>
  <c r="A64" i="24"/>
  <c r="K63" i="24"/>
  <c r="J63" i="24"/>
  <c r="I63" i="24"/>
  <c r="D63" i="24"/>
  <c r="C63" i="24"/>
  <c r="A63" i="24"/>
  <c r="K62" i="24"/>
  <c r="I62" i="24"/>
  <c r="J62" i="24" s="1"/>
  <c r="D62" i="24"/>
  <c r="C62" i="24"/>
  <c r="A62" i="24"/>
  <c r="K61" i="24"/>
  <c r="I61" i="24"/>
  <c r="J61" i="24" s="1"/>
  <c r="D61" i="24"/>
  <c r="C61" i="24"/>
  <c r="A61" i="24"/>
  <c r="K60" i="24"/>
  <c r="J60" i="24"/>
  <c r="I60" i="24"/>
  <c r="D60" i="24"/>
  <c r="C60" i="24"/>
  <c r="A60" i="24"/>
  <c r="K59" i="24"/>
  <c r="J59" i="24"/>
  <c r="I59" i="24"/>
  <c r="D59" i="24"/>
  <c r="C59" i="24"/>
  <c r="A59" i="24"/>
  <c r="K58" i="24"/>
  <c r="I58" i="24"/>
  <c r="J58" i="24" s="1"/>
  <c r="D58" i="24"/>
  <c r="C58" i="24"/>
  <c r="A58" i="24"/>
  <c r="K57" i="24"/>
  <c r="I57" i="24"/>
  <c r="J57" i="24" s="1"/>
  <c r="D57" i="24"/>
  <c r="C57" i="24"/>
  <c r="A57" i="24"/>
  <c r="K56" i="24"/>
  <c r="J56" i="24"/>
  <c r="I56" i="24"/>
  <c r="D56" i="24"/>
  <c r="C56" i="24"/>
  <c r="A56" i="24"/>
  <c r="K55" i="24"/>
  <c r="J55" i="24"/>
  <c r="I55" i="24"/>
  <c r="D55" i="24"/>
  <c r="C55" i="24"/>
  <c r="A55" i="24"/>
  <c r="K54" i="24"/>
  <c r="I54" i="24"/>
  <c r="J54" i="24" s="1"/>
  <c r="D54" i="24"/>
  <c r="C54" i="24"/>
  <c r="A54" i="24"/>
  <c r="K53" i="24"/>
  <c r="I53" i="24"/>
  <c r="J53" i="24" s="1"/>
  <c r="D53" i="24"/>
  <c r="C53" i="24"/>
  <c r="A53" i="24"/>
  <c r="K52" i="24"/>
  <c r="J52" i="24"/>
  <c r="I52" i="24"/>
  <c r="D52" i="24"/>
  <c r="C52" i="24"/>
  <c r="A52" i="24"/>
  <c r="K51" i="24"/>
  <c r="J51" i="24"/>
  <c r="I51" i="24"/>
  <c r="D51" i="24"/>
  <c r="C51" i="24"/>
  <c r="A51" i="24"/>
  <c r="K50" i="24"/>
  <c r="I50" i="24"/>
  <c r="J50" i="24" s="1"/>
  <c r="D50" i="24"/>
  <c r="C50" i="24"/>
  <c r="A50" i="24"/>
  <c r="K49" i="24"/>
  <c r="I49" i="24"/>
  <c r="J49" i="24" s="1"/>
  <c r="D49" i="24"/>
  <c r="C49" i="24"/>
  <c r="A49" i="24"/>
  <c r="K48" i="24"/>
  <c r="J48" i="24"/>
  <c r="I48" i="24"/>
  <c r="D48" i="24"/>
  <c r="C48" i="24"/>
  <c r="A48" i="24"/>
  <c r="K47" i="24"/>
  <c r="J47" i="24"/>
  <c r="I47" i="24"/>
  <c r="D47" i="24"/>
  <c r="C47" i="24"/>
  <c r="A47" i="24"/>
  <c r="K46" i="24"/>
  <c r="I46" i="24"/>
  <c r="J46" i="24" s="1"/>
  <c r="D46" i="24"/>
  <c r="C46" i="24"/>
  <c r="A46" i="24"/>
  <c r="K45" i="24"/>
  <c r="I45" i="24"/>
  <c r="J45" i="24" s="1"/>
  <c r="D45" i="24"/>
  <c r="C45" i="24"/>
  <c r="A45" i="24"/>
  <c r="K44" i="24"/>
  <c r="J44" i="24"/>
  <c r="I44" i="24"/>
  <c r="D44" i="24"/>
  <c r="C44" i="24"/>
  <c r="A44" i="24"/>
  <c r="K43" i="24"/>
  <c r="J43" i="24"/>
  <c r="I43" i="24"/>
  <c r="D43" i="24"/>
  <c r="C43" i="24"/>
  <c r="A43" i="24"/>
  <c r="K42" i="24"/>
  <c r="I42" i="24"/>
  <c r="J42" i="24" s="1"/>
  <c r="D42" i="24"/>
  <c r="C42" i="24"/>
  <c r="A42" i="24"/>
  <c r="K41" i="24"/>
  <c r="I41" i="24"/>
  <c r="J41" i="24" s="1"/>
  <c r="D41" i="24"/>
  <c r="C41" i="24"/>
  <c r="A41" i="24"/>
  <c r="K40" i="24"/>
  <c r="J40" i="24"/>
  <c r="I40" i="24"/>
  <c r="D40" i="24"/>
  <c r="C40" i="24"/>
  <c r="A40" i="24"/>
  <c r="K39" i="24"/>
  <c r="J39" i="24"/>
  <c r="I39" i="24"/>
  <c r="D39" i="24"/>
  <c r="C39" i="24"/>
  <c r="A39" i="24"/>
  <c r="K38" i="24"/>
  <c r="I38" i="24"/>
  <c r="J38" i="24" s="1"/>
  <c r="D38" i="24"/>
  <c r="C38" i="24"/>
  <c r="A38" i="24"/>
  <c r="K37" i="24"/>
  <c r="I37" i="24"/>
  <c r="J37" i="24" s="1"/>
  <c r="D37" i="24"/>
  <c r="C37" i="24"/>
  <c r="A37" i="24"/>
  <c r="K36" i="24"/>
  <c r="J36" i="24"/>
  <c r="I36" i="24"/>
  <c r="D36" i="24"/>
  <c r="C36" i="24"/>
  <c r="A36" i="24"/>
  <c r="K35" i="24"/>
  <c r="J35" i="24"/>
  <c r="I35" i="24"/>
  <c r="D35" i="24"/>
  <c r="C35" i="24"/>
  <c r="A35" i="24"/>
  <c r="K34" i="24"/>
  <c r="I34" i="24"/>
  <c r="J34" i="24" s="1"/>
  <c r="D34" i="24"/>
  <c r="C34" i="24"/>
  <c r="A34" i="24"/>
  <c r="K33" i="24"/>
  <c r="I33" i="24"/>
  <c r="J33" i="24" s="1"/>
  <c r="D33" i="24"/>
  <c r="C33" i="24"/>
  <c r="A33" i="24"/>
  <c r="K32" i="24"/>
  <c r="J32" i="24"/>
  <c r="I32" i="24"/>
  <c r="D32" i="24"/>
  <c r="C32" i="24"/>
  <c r="A32" i="24"/>
  <c r="K31" i="24"/>
  <c r="J31" i="24"/>
  <c r="I31" i="24"/>
  <c r="D31" i="24"/>
  <c r="C31" i="24"/>
  <c r="A31" i="24"/>
  <c r="K30" i="24"/>
  <c r="I30" i="24"/>
  <c r="J30" i="24" s="1"/>
  <c r="D30" i="24"/>
  <c r="C30" i="24"/>
  <c r="A30" i="24"/>
  <c r="K29" i="24"/>
  <c r="I29" i="24"/>
  <c r="J29" i="24" s="1"/>
  <c r="D29" i="24"/>
  <c r="C29" i="24"/>
  <c r="A29" i="24"/>
  <c r="K28" i="24"/>
  <c r="J28" i="24"/>
  <c r="I28" i="24"/>
  <c r="D28" i="24"/>
  <c r="C28" i="24"/>
  <c r="A28" i="24"/>
  <c r="K27" i="24"/>
  <c r="J27" i="24"/>
  <c r="I27" i="24"/>
  <c r="D27" i="24"/>
  <c r="C27" i="24"/>
  <c r="A27" i="24"/>
  <c r="K26" i="24"/>
  <c r="I26" i="24"/>
  <c r="J26" i="24" s="1"/>
  <c r="D26" i="24"/>
  <c r="C26" i="24"/>
  <c r="A26" i="24"/>
  <c r="K25" i="24"/>
  <c r="I25" i="24"/>
  <c r="J25" i="24" s="1"/>
  <c r="D25" i="24"/>
  <c r="C25" i="24"/>
  <c r="A25" i="24"/>
  <c r="K24" i="24"/>
  <c r="J24" i="24"/>
  <c r="I24" i="24"/>
  <c r="D24" i="24"/>
  <c r="C24" i="24"/>
  <c r="A24" i="24"/>
  <c r="K23" i="24"/>
  <c r="J23" i="24"/>
  <c r="I23" i="24"/>
  <c r="D23" i="24"/>
  <c r="C23" i="24"/>
  <c r="A23" i="24"/>
  <c r="K22" i="24"/>
  <c r="I22" i="24"/>
  <c r="J22" i="24" s="1"/>
  <c r="D22" i="24"/>
  <c r="C22" i="24"/>
  <c r="A22" i="24"/>
  <c r="K21" i="24"/>
  <c r="I21" i="24"/>
  <c r="J21" i="24" s="1"/>
  <c r="D21" i="24"/>
  <c r="C21" i="24"/>
  <c r="A21" i="24"/>
  <c r="K20" i="24"/>
  <c r="J20" i="24"/>
  <c r="I20" i="24"/>
  <c r="D20" i="24"/>
  <c r="C20" i="24"/>
  <c r="A20" i="24"/>
  <c r="K19" i="24"/>
  <c r="J19" i="24"/>
  <c r="I19" i="24"/>
  <c r="D19" i="24"/>
  <c r="C19" i="24"/>
  <c r="A19" i="24"/>
  <c r="K18" i="24"/>
  <c r="I18" i="24"/>
  <c r="J18" i="24" s="1"/>
  <c r="D18" i="24"/>
  <c r="C18" i="24"/>
  <c r="A18" i="24"/>
  <c r="K17" i="24"/>
  <c r="I17" i="24"/>
  <c r="J17" i="24" s="1"/>
  <c r="D17" i="24"/>
  <c r="C17" i="24"/>
  <c r="A17" i="24"/>
  <c r="K16" i="24"/>
  <c r="J16" i="24"/>
  <c r="I16" i="24"/>
  <c r="D16" i="24"/>
  <c r="C16" i="24"/>
  <c r="A16" i="24"/>
  <c r="K15" i="24"/>
  <c r="J15" i="24"/>
  <c r="I15" i="24"/>
  <c r="D15" i="24"/>
  <c r="C15" i="24"/>
  <c r="A15" i="24"/>
  <c r="K14" i="24"/>
  <c r="I14" i="24"/>
  <c r="J14" i="24" s="1"/>
  <c r="D14" i="24"/>
  <c r="C14" i="24"/>
  <c r="A14" i="24"/>
  <c r="B10" i="24"/>
  <c r="B9" i="24"/>
  <c r="B8" i="24"/>
  <c r="J208" i="23"/>
  <c r="K208" i="23" s="1"/>
  <c r="G208" i="23"/>
  <c r="D208" i="23"/>
  <c r="C208" i="23"/>
  <c r="B208" i="23"/>
  <c r="J207" i="23"/>
  <c r="K207" i="23" s="1"/>
  <c r="G207" i="23"/>
  <c r="D207" i="23"/>
  <c r="C207" i="23"/>
  <c r="B207" i="23"/>
  <c r="K206" i="23"/>
  <c r="J206" i="23"/>
  <c r="G206" i="23"/>
  <c r="D206" i="23"/>
  <c r="C206" i="23"/>
  <c r="B206" i="23"/>
  <c r="K205" i="23"/>
  <c r="J205" i="23"/>
  <c r="G205" i="23"/>
  <c r="D205" i="23"/>
  <c r="C205" i="23"/>
  <c r="B205" i="23"/>
  <c r="J204" i="23"/>
  <c r="K204" i="23" s="1"/>
  <c r="G204" i="23"/>
  <c r="D204" i="23"/>
  <c r="C204" i="23"/>
  <c r="B204" i="23"/>
  <c r="J203" i="23"/>
  <c r="K203" i="23" s="1"/>
  <c r="G203" i="23"/>
  <c r="D203" i="23"/>
  <c r="C203" i="23"/>
  <c r="B203" i="23"/>
  <c r="K202" i="23"/>
  <c r="J202" i="23"/>
  <c r="G202" i="23"/>
  <c r="D202" i="23"/>
  <c r="C202" i="23"/>
  <c r="B202" i="23"/>
  <c r="K201" i="23"/>
  <c r="J201" i="23"/>
  <c r="G201" i="23"/>
  <c r="D201" i="23"/>
  <c r="C201" i="23"/>
  <c r="B201" i="23"/>
  <c r="J200" i="23"/>
  <c r="K200" i="23" s="1"/>
  <c r="G200" i="23"/>
  <c r="D200" i="23"/>
  <c r="C200" i="23"/>
  <c r="B200" i="23"/>
  <c r="J199" i="23"/>
  <c r="K199" i="23" s="1"/>
  <c r="G199" i="23"/>
  <c r="D199" i="23"/>
  <c r="C199" i="23"/>
  <c r="B199" i="23"/>
  <c r="K198" i="23"/>
  <c r="J198" i="23"/>
  <c r="G198" i="23"/>
  <c r="D198" i="23"/>
  <c r="C198" i="23"/>
  <c r="B198" i="23"/>
  <c r="K197" i="23"/>
  <c r="J197" i="23"/>
  <c r="G197" i="23"/>
  <c r="D197" i="23"/>
  <c r="C197" i="23"/>
  <c r="B197" i="23"/>
  <c r="J196" i="23"/>
  <c r="K196" i="23" s="1"/>
  <c r="G196" i="23"/>
  <c r="D196" i="23"/>
  <c r="C196" i="23"/>
  <c r="B196" i="23"/>
  <c r="J195" i="23"/>
  <c r="K195" i="23" s="1"/>
  <c r="G195" i="23"/>
  <c r="D195" i="23"/>
  <c r="C195" i="23"/>
  <c r="B195" i="23"/>
  <c r="K194" i="23"/>
  <c r="J194" i="23"/>
  <c r="G194" i="23"/>
  <c r="D194" i="23"/>
  <c r="C194" i="23"/>
  <c r="B194" i="23"/>
  <c r="K193" i="23"/>
  <c r="J193" i="23"/>
  <c r="G193" i="23"/>
  <c r="D193" i="23"/>
  <c r="C193" i="23"/>
  <c r="B193" i="23"/>
  <c r="J192" i="23"/>
  <c r="K192" i="23" s="1"/>
  <c r="G192" i="23"/>
  <c r="D192" i="23"/>
  <c r="C192" i="23"/>
  <c r="B192" i="23"/>
  <c r="J191" i="23"/>
  <c r="K191" i="23" s="1"/>
  <c r="G191" i="23"/>
  <c r="D191" i="23"/>
  <c r="C191" i="23"/>
  <c r="B191" i="23"/>
  <c r="K190" i="23"/>
  <c r="J190" i="23"/>
  <c r="G190" i="23"/>
  <c r="D190" i="23"/>
  <c r="C190" i="23"/>
  <c r="B190" i="23"/>
  <c r="K189" i="23"/>
  <c r="J189" i="23"/>
  <c r="G189" i="23"/>
  <c r="D189" i="23"/>
  <c r="C189" i="23"/>
  <c r="B189" i="23"/>
  <c r="J188" i="23"/>
  <c r="K188" i="23" s="1"/>
  <c r="G188" i="23"/>
  <c r="D188" i="23"/>
  <c r="C188" i="23"/>
  <c r="B188" i="23"/>
  <c r="J187" i="23"/>
  <c r="K187" i="23" s="1"/>
  <c r="G187" i="23"/>
  <c r="D187" i="23"/>
  <c r="C187" i="23"/>
  <c r="B187" i="23"/>
  <c r="K186" i="23"/>
  <c r="J186" i="23"/>
  <c r="G186" i="23"/>
  <c r="D186" i="23"/>
  <c r="C186" i="23"/>
  <c r="B186" i="23"/>
  <c r="K185" i="23"/>
  <c r="J185" i="23"/>
  <c r="G185" i="23"/>
  <c r="D185" i="23"/>
  <c r="C185" i="23"/>
  <c r="B185" i="23"/>
  <c r="J184" i="23"/>
  <c r="K184" i="23" s="1"/>
  <c r="G184" i="23"/>
  <c r="D184" i="23"/>
  <c r="C184" i="23"/>
  <c r="B184" i="23"/>
  <c r="J183" i="23"/>
  <c r="K183" i="23" s="1"/>
  <c r="G183" i="23"/>
  <c r="D183" i="23"/>
  <c r="C183" i="23"/>
  <c r="B183" i="23"/>
  <c r="K182" i="23"/>
  <c r="J182" i="23"/>
  <c r="G182" i="23"/>
  <c r="D182" i="23"/>
  <c r="C182" i="23"/>
  <c r="B182" i="23"/>
  <c r="K181" i="23"/>
  <c r="J181" i="23"/>
  <c r="G181" i="23"/>
  <c r="D181" i="23"/>
  <c r="C181" i="23"/>
  <c r="B181" i="23"/>
  <c r="J180" i="23"/>
  <c r="K180" i="23" s="1"/>
  <c r="G180" i="23"/>
  <c r="D180" i="23"/>
  <c r="C180" i="23"/>
  <c r="B180" i="23"/>
  <c r="J179" i="23"/>
  <c r="K179" i="23" s="1"/>
  <c r="G179" i="23"/>
  <c r="D179" i="23"/>
  <c r="C179" i="23"/>
  <c r="B179" i="23"/>
  <c r="K178" i="23"/>
  <c r="J178" i="23"/>
  <c r="G178" i="23"/>
  <c r="D178" i="23"/>
  <c r="C178" i="23"/>
  <c r="B178" i="23"/>
  <c r="K177" i="23"/>
  <c r="J177" i="23"/>
  <c r="G177" i="23"/>
  <c r="D177" i="23"/>
  <c r="C177" i="23"/>
  <c r="B177" i="23"/>
  <c r="J176" i="23"/>
  <c r="K176" i="23" s="1"/>
  <c r="G176" i="23"/>
  <c r="D176" i="23"/>
  <c r="C176" i="23"/>
  <c r="B176" i="23"/>
  <c r="J175" i="23"/>
  <c r="K175" i="23" s="1"/>
  <c r="G175" i="23"/>
  <c r="D175" i="23"/>
  <c r="C175" i="23"/>
  <c r="B175" i="23"/>
  <c r="K174" i="23"/>
  <c r="J174" i="23"/>
  <c r="G174" i="23"/>
  <c r="D174" i="23"/>
  <c r="C174" i="23"/>
  <c r="B174" i="23"/>
  <c r="K173" i="23"/>
  <c r="J173" i="23"/>
  <c r="G173" i="23"/>
  <c r="D173" i="23"/>
  <c r="C173" i="23"/>
  <c r="B173" i="23"/>
  <c r="J172" i="23"/>
  <c r="K172" i="23" s="1"/>
  <c r="G172" i="23"/>
  <c r="D172" i="23"/>
  <c r="C172" i="23"/>
  <c r="B172" i="23"/>
  <c r="J171" i="23"/>
  <c r="K171" i="23" s="1"/>
  <c r="G171" i="23"/>
  <c r="D171" i="23"/>
  <c r="C171" i="23"/>
  <c r="B171" i="23"/>
  <c r="K170" i="23"/>
  <c r="J170" i="23"/>
  <c r="G170" i="23"/>
  <c r="D170" i="23"/>
  <c r="C170" i="23"/>
  <c r="B170" i="23"/>
  <c r="K169" i="23"/>
  <c r="J169" i="23"/>
  <c r="G169" i="23"/>
  <c r="D169" i="23"/>
  <c r="C169" i="23"/>
  <c r="B169" i="23"/>
  <c r="J168" i="23"/>
  <c r="K168" i="23" s="1"/>
  <c r="G168" i="23"/>
  <c r="D168" i="23"/>
  <c r="C168" i="23"/>
  <c r="B168" i="23"/>
  <c r="J167" i="23"/>
  <c r="K167" i="23" s="1"/>
  <c r="G167" i="23"/>
  <c r="D167" i="23"/>
  <c r="C167" i="23"/>
  <c r="B167" i="23"/>
  <c r="K166" i="23"/>
  <c r="J166" i="23"/>
  <c r="G166" i="23"/>
  <c r="D166" i="23"/>
  <c r="C166" i="23"/>
  <c r="B166" i="23"/>
  <c r="K165" i="23"/>
  <c r="J165" i="23"/>
  <c r="G165" i="23"/>
  <c r="D165" i="23"/>
  <c r="C165" i="23"/>
  <c r="B165" i="23"/>
  <c r="J164" i="23"/>
  <c r="K164" i="23" s="1"/>
  <c r="G164" i="23"/>
  <c r="D164" i="23"/>
  <c r="C164" i="23"/>
  <c r="B164" i="23"/>
  <c r="J163" i="23"/>
  <c r="K163" i="23" s="1"/>
  <c r="G163" i="23"/>
  <c r="D163" i="23"/>
  <c r="C163" i="23"/>
  <c r="B163" i="23"/>
  <c r="K162" i="23"/>
  <c r="J162" i="23"/>
  <c r="G162" i="23"/>
  <c r="D162" i="23"/>
  <c r="C162" i="23"/>
  <c r="B162" i="23"/>
  <c r="K161" i="23"/>
  <c r="J161" i="23"/>
  <c r="G161" i="23"/>
  <c r="D161" i="23"/>
  <c r="C161" i="23"/>
  <c r="B161" i="23"/>
  <c r="J160" i="23"/>
  <c r="K160" i="23" s="1"/>
  <c r="G160" i="23"/>
  <c r="D160" i="23"/>
  <c r="C160" i="23"/>
  <c r="B160" i="23"/>
  <c r="J159" i="23"/>
  <c r="K159" i="23" s="1"/>
  <c r="G159" i="23"/>
  <c r="D159" i="23"/>
  <c r="C159" i="23"/>
  <c r="B159" i="23"/>
  <c r="K158" i="23"/>
  <c r="J158" i="23"/>
  <c r="G158" i="23"/>
  <c r="D158" i="23"/>
  <c r="C158" i="23"/>
  <c r="B158" i="23"/>
  <c r="K157" i="23"/>
  <c r="J157" i="23"/>
  <c r="G157" i="23"/>
  <c r="D157" i="23"/>
  <c r="C157" i="23"/>
  <c r="B157" i="23"/>
  <c r="J156" i="23"/>
  <c r="K156" i="23" s="1"/>
  <c r="G156" i="23"/>
  <c r="D156" i="23"/>
  <c r="C156" i="23"/>
  <c r="B156" i="23"/>
  <c r="J155" i="23"/>
  <c r="K155" i="23" s="1"/>
  <c r="G155" i="23"/>
  <c r="D155" i="23"/>
  <c r="C155" i="23"/>
  <c r="B155" i="23"/>
  <c r="K154" i="23"/>
  <c r="J154" i="23"/>
  <c r="G154" i="23"/>
  <c r="D154" i="23"/>
  <c r="C154" i="23"/>
  <c r="B154" i="23"/>
  <c r="K153" i="23"/>
  <c r="J153" i="23"/>
  <c r="G153" i="23"/>
  <c r="D153" i="23"/>
  <c r="C153" i="23"/>
  <c r="B153" i="23"/>
  <c r="J152" i="23"/>
  <c r="K152" i="23" s="1"/>
  <c r="G152" i="23"/>
  <c r="D152" i="23"/>
  <c r="C152" i="23"/>
  <c r="B152" i="23"/>
  <c r="J151" i="23"/>
  <c r="K151" i="23" s="1"/>
  <c r="G151" i="23"/>
  <c r="D151" i="23"/>
  <c r="C151" i="23"/>
  <c r="B151" i="23"/>
  <c r="K150" i="23"/>
  <c r="J150" i="23"/>
  <c r="G150" i="23"/>
  <c r="D150" i="23"/>
  <c r="C150" i="23"/>
  <c r="B150" i="23"/>
  <c r="K149" i="23"/>
  <c r="J149" i="23"/>
  <c r="G149" i="23"/>
  <c r="D149" i="23"/>
  <c r="C149" i="23"/>
  <c r="B149" i="23"/>
  <c r="J148" i="23"/>
  <c r="K148" i="23" s="1"/>
  <c r="G148" i="23"/>
  <c r="D148" i="23"/>
  <c r="C148" i="23"/>
  <c r="B148" i="23"/>
  <c r="J147" i="23"/>
  <c r="K147" i="23" s="1"/>
  <c r="G147" i="23"/>
  <c r="D147" i="23"/>
  <c r="C147" i="23"/>
  <c r="B147" i="23"/>
  <c r="K146" i="23"/>
  <c r="J146" i="23"/>
  <c r="G146" i="23"/>
  <c r="D146" i="23"/>
  <c r="C146" i="23"/>
  <c r="B146" i="23"/>
  <c r="K145" i="23"/>
  <c r="J145" i="23"/>
  <c r="G145" i="23"/>
  <c r="D145" i="23"/>
  <c r="C145" i="23"/>
  <c r="B145" i="23"/>
  <c r="J144" i="23"/>
  <c r="K144" i="23" s="1"/>
  <c r="G144" i="23"/>
  <c r="D144" i="23"/>
  <c r="C144" i="23"/>
  <c r="B144" i="23"/>
  <c r="J143" i="23"/>
  <c r="K143" i="23" s="1"/>
  <c r="G143" i="23"/>
  <c r="D143" i="23"/>
  <c r="C143" i="23"/>
  <c r="B143" i="23"/>
  <c r="K142" i="23"/>
  <c r="J142" i="23"/>
  <c r="G142" i="23"/>
  <c r="D142" i="23"/>
  <c r="C142" i="23"/>
  <c r="B142" i="23"/>
  <c r="K141" i="23"/>
  <c r="J141" i="23"/>
  <c r="G141" i="23"/>
  <c r="D141" i="23"/>
  <c r="C141" i="23"/>
  <c r="B141" i="23"/>
  <c r="J140" i="23"/>
  <c r="K140" i="23" s="1"/>
  <c r="G140" i="23"/>
  <c r="D140" i="23"/>
  <c r="C140" i="23"/>
  <c r="B140" i="23"/>
  <c r="J139" i="23"/>
  <c r="K139" i="23" s="1"/>
  <c r="G139" i="23"/>
  <c r="D139" i="23"/>
  <c r="C139" i="23"/>
  <c r="B139" i="23"/>
  <c r="K138" i="23"/>
  <c r="J138" i="23"/>
  <c r="G138" i="23"/>
  <c r="D138" i="23"/>
  <c r="C138" i="23"/>
  <c r="B138" i="23"/>
  <c r="K137" i="23"/>
  <c r="J137" i="23"/>
  <c r="G137" i="23"/>
  <c r="D137" i="23"/>
  <c r="C137" i="23"/>
  <c r="B137" i="23"/>
  <c r="J136" i="23"/>
  <c r="K136" i="23" s="1"/>
  <c r="G136" i="23"/>
  <c r="D136" i="23"/>
  <c r="C136" i="23"/>
  <c r="B136" i="23"/>
  <c r="J135" i="23"/>
  <c r="K135" i="23" s="1"/>
  <c r="G135" i="23"/>
  <c r="D135" i="23"/>
  <c r="C135" i="23"/>
  <c r="B135" i="23"/>
  <c r="K134" i="23"/>
  <c r="J134" i="23"/>
  <c r="G134" i="23"/>
  <c r="D134" i="23"/>
  <c r="C134" i="23"/>
  <c r="B134" i="23"/>
  <c r="K133" i="23"/>
  <c r="J133" i="23"/>
  <c r="G133" i="23"/>
  <c r="D133" i="23"/>
  <c r="C133" i="23"/>
  <c r="B133" i="23"/>
  <c r="J132" i="23"/>
  <c r="K132" i="23" s="1"/>
  <c r="G132" i="23"/>
  <c r="D132" i="23"/>
  <c r="C132" i="23"/>
  <c r="B132" i="23"/>
  <c r="J131" i="23"/>
  <c r="K131" i="23" s="1"/>
  <c r="G131" i="23"/>
  <c r="D131" i="23"/>
  <c r="C131" i="23"/>
  <c r="B131" i="23"/>
  <c r="K130" i="23"/>
  <c r="J130" i="23"/>
  <c r="G130" i="23"/>
  <c r="D130" i="23"/>
  <c r="C130" i="23"/>
  <c r="B130" i="23"/>
  <c r="K129" i="23"/>
  <c r="J129" i="23"/>
  <c r="G129" i="23"/>
  <c r="D129" i="23"/>
  <c r="C129" i="23"/>
  <c r="B129" i="23"/>
  <c r="J128" i="23"/>
  <c r="K128" i="23" s="1"/>
  <c r="G128" i="23"/>
  <c r="D128" i="23"/>
  <c r="C128" i="23"/>
  <c r="B128" i="23"/>
  <c r="J127" i="23"/>
  <c r="K127" i="23" s="1"/>
  <c r="G127" i="23"/>
  <c r="D127" i="23"/>
  <c r="C127" i="23"/>
  <c r="B127" i="23"/>
  <c r="K126" i="23"/>
  <c r="J126" i="23"/>
  <c r="G126" i="23"/>
  <c r="D126" i="23"/>
  <c r="C126" i="23"/>
  <c r="B126" i="23"/>
  <c r="K125" i="23"/>
  <c r="J125" i="23"/>
  <c r="G125" i="23"/>
  <c r="D125" i="23"/>
  <c r="C125" i="23"/>
  <c r="B125" i="23"/>
  <c r="J124" i="23"/>
  <c r="K124" i="23" s="1"/>
  <c r="G124" i="23"/>
  <c r="D124" i="23"/>
  <c r="C124" i="23"/>
  <c r="B124" i="23"/>
  <c r="J123" i="23"/>
  <c r="K123" i="23" s="1"/>
  <c r="G123" i="23"/>
  <c r="D123" i="23"/>
  <c r="C123" i="23"/>
  <c r="B123" i="23"/>
  <c r="K122" i="23"/>
  <c r="J122" i="23"/>
  <c r="G122" i="23"/>
  <c r="D122" i="23"/>
  <c r="C122" i="23"/>
  <c r="B122" i="23"/>
  <c r="K121" i="23"/>
  <c r="J121" i="23"/>
  <c r="G121" i="23"/>
  <c r="D121" i="23"/>
  <c r="C121" i="23"/>
  <c r="B121" i="23"/>
  <c r="J120" i="23"/>
  <c r="K120" i="23" s="1"/>
  <c r="G120" i="23"/>
  <c r="D120" i="23"/>
  <c r="C120" i="23"/>
  <c r="B120" i="23"/>
  <c r="J119" i="23"/>
  <c r="K119" i="23" s="1"/>
  <c r="G119" i="23"/>
  <c r="D119" i="23"/>
  <c r="C119" i="23"/>
  <c r="B119" i="23"/>
  <c r="K118" i="23"/>
  <c r="J118" i="23"/>
  <c r="G118" i="23"/>
  <c r="D118" i="23"/>
  <c r="C118" i="23"/>
  <c r="B118" i="23"/>
  <c r="K117" i="23"/>
  <c r="J117" i="23"/>
  <c r="G117" i="23"/>
  <c r="D117" i="23"/>
  <c r="C117" i="23"/>
  <c r="B117" i="23"/>
  <c r="J116" i="23"/>
  <c r="K116" i="23" s="1"/>
  <c r="G116" i="23"/>
  <c r="D116" i="23"/>
  <c r="C116" i="23"/>
  <c r="B116" i="23"/>
  <c r="J115" i="23"/>
  <c r="K115" i="23" s="1"/>
  <c r="G115" i="23"/>
  <c r="D115" i="23"/>
  <c r="C115" i="23"/>
  <c r="B115" i="23"/>
  <c r="K114" i="23"/>
  <c r="J114" i="23"/>
  <c r="G114" i="23"/>
  <c r="D114" i="23"/>
  <c r="C114" i="23"/>
  <c r="B114" i="23"/>
  <c r="K113" i="23"/>
  <c r="J113" i="23"/>
  <c r="G113" i="23"/>
  <c r="D113" i="23"/>
  <c r="C113" i="23"/>
  <c r="B113" i="23"/>
  <c r="J112" i="23"/>
  <c r="K112" i="23" s="1"/>
  <c r="G112" i="23"/>
  <c r="D112" i="23"/>
  <c r="C112" i="23"/>
  <c r="B112" i="23"/>
  <c r="J111" i="23"/>
  <c r="K111" i="23" s="1"/>
  <c r="G111" i="23"/>
  <c r="D111" i="23"/>
  <c r="C111" i="23"/>
  <c r="B111" i="23"/>
  <c r="K110" i="23"/>
  <c r="J110" i="23"/>
  <c r="G110" i="23"/>
  <c r="D110" i="23"/>
  <c r="C110" i="23"/>
  <c r="B110" i="23"/>
  <c r="K109" i="23"/>
  <c r="J109" i="23"/>
  <c r="G109" i="23"/>
  <c r="D109" i="23"/>
  <c r="C109" i="23"/>
  <c r="B109" i="23"/>
  <c r="J108" i="23"/>
  <c r="K108" i="23" s="1"/>
  <c r="G108" i="23"/>
  <c r="D108" i="23"/>
  <c r="C108" i="23"/>
  <c r="B108" i="23"/>
  <c r="J107" i="23"/>
  <c r="K107" i="23" s="1"/>
  <c r="G107" i="23"/>
  <c r="D107" i="23"/>
  <c r="C107" i="23"/>
  <c r="B107" i="23"/>
  <c r="K106" i="23"/>
  <c r="J106" i="23"/>
  <c r="G106" i="23"/>
  <c r="D106" i="23"/>
  <c r="C106" i="23"/>
  <c r="B106" i="23"/>
  <c r="K105" i="23"/>
  <c r="J105" i="23"/>
  <c r="G105" i="23"/>
  <c r="D105" i="23"/>
  <c r="C105" i="23"/>
  <c r="B105" i="23"/>
  <c r="J104" i="23"/>
  <c r="K104" i="23" s="1"/>
  <c r="G104" i="23"/>
  <c r="D104" i="23"/>
  <c r="C104" i="23"/>
  <c r="B104" i="23"/>
  <c r="J103" i="23"/>
  <c r="K103" i="23" s="1"/>
  <c r="G103" i="23"/>
  <c r="D103" i="23"/>
  <c r="C103" i="23"/>
  <c r="B103" i="23"/>
  <c r="K102" i="23"/>
  <c r="J102" i="23"/>
  <c r="G102" i="23"/>
  <c r="D102" i="23"/>
  <c r="C102" i="23"/>
  <c r="B102" i="23"/>
  <c r="K101" i="23"/>
  <c r="J101" i="23"/>
  <c r="G101" i="23"/>
  <c r="D101" i="23"/>
  <c r="C101" i="23"/>
  <c r="B101" i="23"/>
  <c r="J100" i="23"/>
  <c r="K100" i="23" s="1"/>
  <c r="G100" i="23"/>
  <c r="D100" i="23"/>
  <c r="C100" i="23"/>
  <c r="B100" i="23"/>
  <c r="J99" i="23"/>
  <c r="K99" i="23" s="1"/>
  <c r="G99" i="23"/>
  <c r="D99" i="23"/>
  <c r="C99" i="23"/>
  <c r="B99" i="23"/>
  <c r="K98" i="23"/>
  <c r="J98" i="23"/>
  <c r="G98" i="23"/>
  <c r="D98" i="23"/>
  <c r="C98" i="23"/>
  <c r="B98" i="23"/>
  <c r="K97" i="23"/>
  <c r="J97" i="23"/>
  <c r="G97" i="23"/>
  <c r="D97" i="23"/>
  <c r="C97" i="23"/>
  <c r="B97" i="23"/>
  <c r="J96" i="23"/>
  <c r="K96" i="23" s="1"/>
  <c r="G96" i="23"/>
  <c r="D96" i="23"/>
  <c r="C96" i="23"/>
  <c r="B96" i="23"/>
  <c r="J95" i="23"/>
  <c r="K95" i="23" s="1"/>
  <c r="G95" i="23"/>
  <c r="D95" i="23"/>
  <c r="C95" i="23"/>
  <c r="B95" i="23"/>
  <c r="K94" i="23"/>
  <c r="J94" i="23"/>
  <c r="G94" i="23"/>
  <c r="D94" i="23"/>
  <c r="C94" i="23"/>
  <c r="B94" i="23"/>
  <c r="K93" i="23"/>
  <c r="J93" i="23"/>
  <c r="G93" i="23"/>
  <c r="D93" i="23"/>
  <c r="C93" i="23"/>
  <c r="B93" i="23"/>
  <c r="J92" i="23"/>
  <c r="K92" i="23" s="1"/>
  <c r="G92" i="23"/>
  <c r="D92" i="23"/>
  <c r="C92" i="23"/>
  <c r="B92" i="23"/>
  <c r="J91" i="23"/>
  <c r="K91" i="23" s="1"/>
  <c r="G91" i="23"/>
  <c r="D91" i="23"/>
  <c r="C91" i="23"/>
  <c r="B91" i="23"/>
  <c r="K90" i="23"/>
  <c r="J90" i="23"/>
  <c r="G90" i="23"/>
  <c r="D90" i="23"/>
  <c r="C90" i="23"/>
  <c r="B90" i="23"/>
  <c r="K89" i="23"/>
  <c r="J89" i="23"/>
  <c r="G89" i="23"/>
  <c r="D89" i="23"/>
  <c r="C89" i="23"/>
  <c r="B89" i="23"/>
  <c r="J88" i="23"/>
  <c r="K88" i="23" s="1"/>
  <c r="G88" i="23"/>
  <c r="D88" i="23"/>
  <c r="C88" i="23"/>
  <c r="B88" i="23"/>
  <c r="J87" i="23"/>
  <c r="K87" i="23" s="1"/>
  <c r="G87" i="23"/>
  <c r="D87" i="23"/>
  <c r="C87" i="23"/>
  <c r="B87" i="23"/>
  <c r="K86" i="23"/>
  <c r="J86" i="23"/>
  <c r="G86" i="23"/>
  <c r="D86" i="23"/>
  <c r="C86" i="23"/>
  <c r="B86" i="23"/>
  <c r="K85" i="23"/>
  <c r="J85" i="23"/>
  <c r="G85" i="23"/>
  <c r="D85" i="23"/>
  <c r="C85" i="23"/>
  <c r="B85" i="23"/>
  <c r="J84" i="23"/>
  <c r="K84" i="23" s="1"/>
  <c r="G84" i="23"/>
  <c r="D84" i="23"/>
  <c r="C84" i="23"/>
  <c r="B84" i="23"/>
  <c r="J83" i="23"/>
  <c r="K83" i="23" s="1"/>
  <c r="G83" i="23"/>
  <c r="D83" i="23"/>
  <c r="C83" i="23"/>
  <c r="B83" i="23"/>
  <c r="K82" i="23"/>
  <c r="J82" i="23"/>
  <c r="G82" i="23"/>
  <c r="D82" i="23"/>
  <c r="C82" i="23"/>
  <c r="B82" i="23"/>
  <c r="K81" i="23"/>
  <c r="J81" i="23"/>
  <c r="G81" i="23"/>
  <c r="D81" i="23"/>
  <c r="C81" i="23"/>
  <c r="B81" i="23"/>
  <c r="J80" i="23"/>
  <c r="K80" i="23" s="1"/>
  <c r="G80" i="23"/>
  <c r="D80" i="23"/>
  <c r="C80" i="23"/>
  <c r="B80" i="23"/>
  <c r="J79" i="23"/>
  <c r="K79" i="23" s="1"/>
  <c r="G79" i="23"/>
  <c r="D79" i="23"/>
  <c r="C79" i="23"/>
  <c r="B79" i="23"/>
  <c r="K78" i="23"/>
  <c r="J78" i="23"/>
  <c r="G78" i="23"/>
  <c r="D78" i="23"/>
  <c r="C78" i="23"/>
  <c r="B78" i="23"/>
  <c r="K77" i="23"/>
  <c r="J77" i="23"/>
  <c r="G77" i="23"/>
  <c r="D77" i="23"/>
  <c r="C77" i="23"/>
  <c r="B77" i="23"/>
  <c r="J76" i="23"/>
  <c r="K76" i="23" s="1"/>
  <c r="G76" i="23"/>
  <c r="D76" i="23"/>
  <c r="C76" i="23"/>
  <c r="B76" i="23"/>
  <c r="J75" i="23"/>
  <c r="K75" i="23" s="1"/>
  <c r="G75" i="23"/>
  <c r="D75" i="23"/>
  <c r="C75" i="23"/>
  <c r="B75" i="23"/>
  <c r="K74" i="23"/>
  <c r="J74" i="23"/>
  <c r="G74" i="23"/>
  <c r="D74" i="23"/>
  <c r="C74" i="23"/>
  <c r="B74" i="23"/>
  <c r="K73" i="23"/>
  <c r="J73" i="23"/>
  <c r="G73" i="23"/>
  <c r="D73" i="23"/>
  <c r="C73" i="23"/>
  <c r="B73" i="23"/>
  <c r="J72" i="23"/>
  <c r="K72" i="23" s="1"/>
  <c r="G72" i="23"/>
  <c r="D72" i="23"/>
  <c r="C72" i="23"/>
  <c r="B72" i="23"/>
  <c r="J71" i="23"/>
  <c r="K71" i="23" s="1"/>
  <c r="G71" i="23"/>
  <c r="D71" i="23"/>
  <c r="C71" i="23"/>
  <c r="B71" i="23"/>
  <c r="K70" i="23"/>
  <c r="J70" i="23"/>
  <c r="G70" i="23"/>
  <c r="D70" i="23"/>
  <c r="C70" i="23"/>
  <c r="B70" i="23"/>
  <c r="K69" i="23"/>
  <c r="J69" i="23"/>
  <c r="G69" i="23"/>
  <c r="D69" i="23"/>
  <c r="C69" i="23"/>
  <c r="B69" i="23"/>
  <c r="J68" i="23"/>
  <c r="K68" i="23" s="1"/>
  <c r="G68" i="23"/>
  <c r="D68" i="23"/>
  <c r="C68" i="23"/>
  <c r="B68" i="23"/>
  <c r="J67" i="23"/>
  <c r="K67" i="23" s="1"/>
  <c r="G67" i="23"/>
  <c r="D67" i="23"/>
  <c r="C67" i="23"/>
  <c r="B67" i="23"/>
  <c r="K66" i="23"/>
  <c r="J66" i="23"/>
  <c r="G66" i="23"/>
  <c r="D66" i="23"/>
  <c r="C66" i="23"/>
  <c r="B66" i="23"/>
  <c r="K65" i="23"/>
  <c r="J65" i="23"/>
  <c r="G65" i="23"/>
  <c r="D65" i="23"/>
  <c r="C65" i="23"/>
  <c r="B65" i="23"/>
  <c r="J64" i="23"/>
  <c r="K64" i="23" s="1"/>
  <c r="G64" i="23"/>
  <c r="D64" i="23"/>
  <c r="C64" i="23"/>
  <c r="B64" i="23"/>
  <c r="J63" i="23"/>
  <c r="K63" i="23" s="1"/>
  <c r="G63" i="23"/>
  <c r="D63" i="23"/>
  <c r="C63" i="23"/>
  <c r="B63" i="23"/>
  <c r="K62" i="23"/>
  <c r="J62" i="23"/>
  <c r="G62" i="23"/>
  <c r="D62" i="23"/>
  <c r="C62" i="23"/>
  <c r="B62" i="23"/>
  <c r="K61" i="23"/>
  <c r="J61" i="23"/>
  <c r="G61" i="23"/>
  <c r="D61" i="23"/>
  <c r="C61" i="23"/>
  <c r="B61" i="23"/>
  <c r="J60" i="23"/>
  <c r="K60" i="23" s="1"/>
  <c r="G60" i="23"/>
  <c r="D60" i="23"/>
  <c r="C60" i="23"/>
  <c r="B60" i="23"/>
  <c r="J59" i="23"/>
  <c r="K59" i="23" s="1"/>
  <c r="G59" i="23"/>
  <c r="D59" i="23"/>
  <c r="C59" i="23"/>
  <c r="B59" i="23"/>
  <c r="K58" i="23"/>
  <c r="J58" i="23"/>
  <c r="G58" i="23"/>
  <c r="D58" i="23"/>
  <c r="C58" i="23"/>
  <c r="B58" i="23"/>
  <c r="K57" i="23"/>
  <c r="J57" i="23"/>
  <c r="G57" i="23"/>
  <c r="D57" i="23"/>
  <c r="C57" i="23"/>
  <c r="B57" i="23"/>
  <c r="J56" i="23"/>
  <c r="K56" i="23" s="1"/>
  <c r="G56" i="23"/>
  <c r="D56" i="23"/>
  <c r="C56" i="23"/>
  <c r="B56" i="23"/>
  <c r="J55" i="23"/>
  <c r="K55" i="23" s="1"/>
  <c r="G55" i="23"/>
  <c r="D55" i="23"/>
  <c r="C55" i="23"/>
  <c r="B55" i="23"/>
  <c r="K54" i="23"/>
  <c r="J54" i="23"/>
  <c r="G54" i="23"/>
  <c r="D54" i="23"/>
  <c r="C54" i="23"/>
  <c r="B54" i="23"/>
  <c r="K53" i="23"/>
  <c r="J53" i="23"/>
  <c r="G53" i="23"/>
  <c r="D53" i="23"/>
  <c r="C53" i="23"/>
  <c r="B53" i="23"/>
  <c r="J52" i="23"/>
  <c r="K52" i="23" s="1"/>
  <c r="G52" i="23"/>
  <c r="D52" i="23"/>
  <c r="C52" i="23"/>
  <c r="B52" i="23"/>
  <c r="J51" i="23"/>
  <c r="K51" i="23" s="1"/>
  <c r="G51" i="23"/>
  <c r="D51" i="23"/>
  <c r="C51" i="23"/>
  <c r="B51" i="23"/>
  <c r="K50" i="23"/>
  <c r="J50" i="23"/>
  <c r="G50" i="23"/>
  <c r="D50" i="23"/>
  <c r="C50" i="23"/>
  <c r="B50" i="23"/>
  <c r="K49" i="23"/>
  <c r="J49" i="23"/>
  <c r="G49" i="23"/>
  <c r="D49" i="23"/>
  <c r="C49" i="23"/>
  <c r="B49" i="23"/>
  <c r="J48" i="23"/>
  <c r="K48" i="23" s="1"/>
  <c r="G48" i="23"/>
  <c r="D48" i="23"/>
  <c r="C48" i="23"/>
  <c r="B48" i="23"/>
  <c r="J47" i="23"/>
  <c r="K47" i="23" s="1"/>
  <c r="G47" i="23"/>
  <c r="D47" i="23"/>
  <c r="C47" i="23"/>
  <c r="B47" i="23"/>
  <c r="K46" i="23"/>
  <c r="J46" i="23"/>
  <c r="G46" i="23"/>
  <c r="D46" i="23"/>
  <c r="C46" i="23"/>
  <c r="B46" i="23"/>
  <c r="K45" i="23"/>
  <c r="J45" i="23"/>
  <c r="G45" i="23"/>
  <c r="D45" i="23"/>
  <c r="C45" i="23"/>
  <c r="B45" i="23"/>
  <c r="J44" i="23"/>
  <c r="K44" i="23" s="1"/>
  <c r="G44" i="23"/>
  <c r="D44" i="23"/>
  <c r="C44" i="23"/>
  <c r="B44" i="23"/>
  <c r="J43" i="23"/>
  <c r="K43" i="23" s="1"/>
  <c r="G43" i="23"/>
  <c r="D43" i="23"/>
  <c r="C43" i="23"/>
  <c r="B43" i="23"/>
  <c r="K42" i="23"/>
  <c r="J42" i="23"/>
  <c r="G42" i="23"/>
  <c r="D42" i="23"/>
  <c r="C42" i="23"/>
  <c r="B42" i="23"/>
  <c r="K41" i="23"/>
  <c r="J41" i="23"/>
  <c r="G41" i="23"/>
  <c r="D41" i="23"/>
  <c r="C41" i="23"/>
  <c r="B41" i="23"/>
  <c r="J40" i="23"/>
  <c r="K40" i="23" s="1"/>
  <c r="G40" i="23"/>
  <c r="D40" i="23"/>
  <c r="C40" i="23"/>
  <c r="B40" i="23"/>
  <c r="J39" i="23"/>
  <c r="K39" i="23" s="1"/>
  <c r="G39" i="23"/>
  <c r="D39" i="23"/>
  <c r="C39" i="23"/>
  <c r="B39" i="23"/>
  <c r="K38" i="23"/>
  <c r="J38" i="23"/>
  <c r="G38" i="23"/>
  <c r="D38" i="23"/>
  <c r="C38" i="23"/>
  <c r="B38" i="23"/>
  <c r="K37" i="23"/>
  <c r="J37" i="23"/>
  <c r="G37" i="23"/>
  <c r="D37" i="23"/>
  <c r="C37" i="23"/>
  <c r="B37" i="23"/>
  <c r="J36" i="23"/>
  <c r="K36" i="23" s="1"/>
  <c r="G36" i="23"/>
  <c r="D36" i="23"/>
  <c r="C36" i="23"/>
  <c r="B36" i="23"/>
  <c r="J35" i="23"/>
  <c r="K35" i="23" s="1"/>
  <c r="G35" i="23"/>
  <c r="D35" i="23"/>
  <c r="C35" i="23"/>
  <c r="B35" i="23"/>
  <c r="K34" i="23"/>
  <c r="J34" i="23"/>
  <c r="G34" i="23"/>
  <c r="D34" i="23"/>
  <c r="C34" i="23"/>
  <c r="B34" i="23"/>
  <c r="K33" i="23"/>
  <c r="J33" i="23"/>
  <c r="G33" i="23"/>
  <c r="D33" i="23"/>
  <c r="C33" i="23"/>
  <c r="B33" i="23"/>
  <c r="J32" i="23"/>
  <c r="K32" i="23" s="1"/>
  <c r="G32" i="23"/>
  <c r="D32" i="23"/>
  <c r="C32" i="23"/>
  <c r="B32" i="23"/>
  <c r="J31" i="23"/>
  <c r="K31" i="23" s="1"/>
  <c r="G31" i="23"/>
  <c r="D31" i="23"/>
  <c r="C31" i="23"/>
  <c r="B31" i="23"/>
  <c r="K30" i="23"/>
  <c r="J30" i="23"/>
  <c r="G30" i="23"/>
  <c r="D30" i="23"/>
  <c r="C30" i="23"/>
  <c r="B30" i="23"/>
  <c r="K29" i="23"/>
  <c r="J29" i="23"/>
  <c r="G29" i="23"/>
  <c r="D29" i="23"/>
  <c r="C29" i="23"/>
  <c r="B29" i="23"/>
  <c r="J28" i="23"/>
  <c r="K28" i="23" s="1"/>
  <c r="G28" i="23"/>
  <c r="D28" i="23"/>
  <c r="C28" i="23"/>
  <c r="B28" i="23"/>
  <c r="J27" i="23"/>
  <c r="K27" i="23" s="1"/>
  <c r="G27" i="23"/>
  <c r="D27" i="23"/>
  <c r="C27" i="23"/>
  <c r="B27" i="23"/>
  <c r="K26" i="23"/>
  <c r="J26" i="23"/>
  <c r="G26" i="23"/>
  <c r="D26" i="23"/>
  <c r="C26" i="23"/>
  <c r="B26" i="23"/>
  <c r="K25" i="23"/>
  <c r="J25" i="23"/>
  <c r="G25" i="23"/>
  <c r="D25" i="23"/>
  <c r="C25" i="23"/>
  <c r="B25" i="23"/>
  <c r="J24" i="23"/>
  <c r="K24" i="23" s="1"/>
  <c r="G24" i="23"/>
  <c r="D24" i="23"/>
  <c r="C24" i="23"/>
  <c r="B24" i="23"/>
  <c r="J23" i="23"/>
  <c r="K23" i="23" s="1"/>
  <c r="G23" i="23"/>
  <c r="D23" i="23"/>
  <c r="C23" i="23"/>
  <c r="B23" i="23"/>
  <c r="K22" i="23"/>
  <c r="J22" i="23"/>
  <c r="G22" i="23"/>
  <c r="D22" i="23"/>
  <c r="C22" i="23"/>
  <c r="B22" i="23"/>
  <c r="K21" i="23"/>
  <c r="J21" i="23"/>
  <c r="G21" i="23"/>
  <c r="D21" i="23"/>
  <c r="C21" i="23"/>
  <c r="B21" i="23"/>
  <c r="J20" i="23"/>
  <c r="K20" i="23" s="1"/>
  <c r="G20" i="23"/>
  <c r="D20" i="23"/>
  <c r="C20" i="23"/>
  <c r="B20" i="23"/>
  <c r="J19" i="23"/>
  <c r="K19" i="23" s="1"/>
  <c r="G19" i="23"/>
  <c r="D19" i="23"/>
  <c r="C19" i="23"/>
  <c r="B19" i="23"/>
  <c r="K18" i="23"/>
  <c r="J18" i="23"/>
  <c r="G18" i="23"/>
  <c r="D18" i="23"/>
  <c r="C18" i="23"/>
  <c r="B18" i="23"/>
  <c r="K17" i="23"/>
  <c r="J17" i="23"/>
  <c r="G17" i="23"/>
  <c r="D17" i="23"/>
  <c r="C17" i="23"/>
  <c r="B17" i="23"/>
  <c r="J16" i="23"/>
  <c r="K16" i="23" s="1"/>
  <c r="G16" i="23"/>
  <c r="D16" i="23"/>
  <c r="C16" i="23"/>
  <c r="B16" i="23"/>
  <c r="J15" i="23"/>
  <c r="K15" i="23" s="1"/>
  <c r="G15" i="23"/>
  <c r="D15" i="23"/>
  <c r="C15" i="23"/>
  <c r="B15" i="23"/>
  <c r="K14" i="23"/>
  <c r="J14" i="23"/>
  <c r="G14" i="23"/>
  <c r="D14" i="23"/>
  <c r="C14" i="23"/>
  <c r="B14" i="23"/>
  <c r="K13" i="23"/>
  <c r="J13" i="23"/>
  <c r="G13" i="23"/>
  <c r="D13" i="23"/>
  <c r="C13" i="23"/>
  <c r="B13" i="23"/>
  <c r="J12" i="23"/>
  <c r="K12" i="23" s="1"/>
  <c r="G12" i="23"/>
  <c r="D12" i="23"/>
  <c r="C12" i="23"/>
  <c r="B12" i="23"/>
  <c r="J11" i="23"/>
  <c r="K11" i="23" s="1"/>
  <c r="G11" i="23"/>
  <c r="D11" i="23"/>
  <c r="C11" i="23"/>
  <c r="B11" i="23"/>
  <c r="K10" i="23"/>
  <c r="J10" i="23"/>
  <c r="G10" i="23"/>
  <c r="D10" i="23"/>
  <c r="C10" i="23"/>
  <c r="B10" i="23"/>
  <c r="K9" i="23"/>
  <c r="J9" i="23"/>
  <c r="G9" i="23"/>
  <c r="D9" i="23"/>
  <c r="C9" i="23"/>
  <c r="B9" i="23"/>
  <c r="K4" i="23"/>
  <c r="G4" i="23"/>
  <c r="D4" i="23"/>
  <c r="A4" i="23"/>
  <c r="J208" i="22"/>
  <c r="I208" i="22"/>
  <c r="F208" i="22"/>
  <c r="D208" i="22"/>
  <c r="C208" i="22"/>
  <c r="B208" i="22"/>
  <c r="J207" i="22"/>
  <c r="I207" i="22"/>
  <c r="F207" i="22"/>
  <c r="D207" i="22"/>
  <c r="C207" i="22"/>
  <c r="B207" i="22"/>
  <c r="I206" i="22"/>
  <c r="J206" i="22" s="1"/>
  <c r="F206" i="22"/>
  <c r="D206" i="22"/>
  <c r="C206" i="22"/>
  <c r="B206" i="22"/>
  <c r="I205" i="22"/>
  <c r="J205" i="22" s="1"/>
  <c r="F205" i="22"/>
  <c r="D205" i="22"/>
  <c r="C205" i="22"/>
  <c r="B205" i="22"/>
  <c r="J204" i="22"/>
  <c r="I204" i="22"/>
  <c r="F204" i="22"/>
  <c r="D204" i="22"/>
  <c r="C204" i="22"/>
  <c r="B204" i="22"/>
  <c r="J203" i="22"/>
  <c r="I203" i="22"/>
  <c r="F203" i="22"/>
  <c r="D203" i="22"/>
  <c r="C203" i="22"/>
  <c r="B203" i="22"/>
  <c r="I202" i="22"/>
  <c r="J202" i="22" s="1"/>
  <c r="F202" i="22"/>
  <c r="D202" i="22"/>
  <c r="C202" i="22"/>
  <c r="B202" i="22"/>
  <c r="I201" i="22"/>
  <c r="J201" i="22" s="1"/>
  <c r="F201" i="22"/>
  <c r="D201" i="22"/>
  <c r="C201" i="22"/>
  <c r="B201" i="22"/>
  <c r="J200" i="22"/>
  <c r="I200" i="22"/>
  <c r="F200" i="22"/>
  <c r="D200" i="22"/>
  <c r="C200" i="22"/>
  <c r="B200" i="22"/>
  <c r="J199" i="22"/>
  <c r="I199" i="22"/>
  <c r="F199" i="22"/>
  <c r="D199" i="22"/>
  <c r="C199" i="22"/>
  <c r="B199" i="22"/>
  <c r="I198" i="22"/>
  <c r="J198" i="22" s="1"/>
  <c r="F198" i="22"/>
  <c r="D198" i="22"/>
  <c r="C198" i="22"/>
  <c r="B198" i="22"/>
  <c r="I197" i="22"/>
  <c r="J197" i="22" s="1"/>
  <c r="F197" i="22"/>
  <c r="D197" i="22"/>
  <c r="C197" i="22"/>
  <c r="B197" i="22"/>
  <c r="J196" i="22"/>
  <c r="I196" i="22"/>
  <c r="F196" i="22"/>
  <c r="D196" i="22"/>
  <c r="C196" i="22"/>
  <c r="B196" i="22"/>
  <c r="J195" i="22"/>
  <c r="I195" i="22"/>
  <c r="F195" i="22"/>
  <c r="D195" i="22"/>
  <c r="C195" i="22"/>
  <c r="B195" i="22"/>
  <c r="I194" i="22"/>
  <c r="J194" i="22" s="1"/>
  <c r="F194" i="22"/>
  <c r="D194" i="22"/>
  <c r="C194" i="22"/>
  <c r="B194" i="22"/>
  <c r="I193" i="22"/>
  <c r="J193" i="22" s="1"/>
  <c r="F193" i="22"/>
  <c r="D193" i="22"/>
  <c r="C193" i="22"/>
  <c r="B193" i="22"/>
  <c r="J192" i="22"/>
  <c r="I192" i="22"/>
  <c r="F192" i="22"/>
  <c r="D192" i="22"/>
  <c r="C192" i="22"/>
  <c r="B192" i="22"/>
  <c r="J191" i="22"/>
  <c r="I191" i="22"/>
  <c r="F191" i="22"/>
  <c r="D191" i="22"/>
  <c r="C191" i="22"/>
  <c r="B191" i="22"/>
  <c r="I190" i="22"/>
  <c r="J190" i="22" s="1"/>
  <c r="F190" i="22"/>
  <c r="D190" i="22"/>
  <c r="C190" i="22"/>
  <c r="B190" i="22"/>
  <c r="I189" i="22"/>
  <c r="J189" i="22" s="1"/>
  <c r="F189" i="22"/>
  <c r="D189" i="22"/>
  <c r="C189" i="22"/>
  <c r="B189" i="22"/>
  <c r="J188" i="22"/>
  <c r="I188" i="22"/>
  <c r="F188" i="22"/>
  <c r="D188" i="22"/>
  <c r="C188" i="22"/>
  <c r="B188" i="22"/>
  <c r="J187" i="22"/>
  <c r="I187" i="22"/>
  <c r="F187" i="22"/>
  <c r="D187" i="22"/>
  <c r="C187" i="22"/>
  <c r="B187" i="22"/>
  <c r="I186" i="22"/>
  <c r="J186" i="22" s="1"/>
  <c r="F186" i="22"/>
  <c r="D186" i="22"/>
  <c r="C186" i="22"/>
  <c r="B186" i="22"/>
  <c r="I185" i="22"/>
  <c r="J185" i="22" s="1"/>
  <c r="F185" i="22"/>
  <c r="D185" i="22"/>
  <c r="C185" i="22"/>
  <c r="B185" i="22"/>
  <c r="J184" i="22"/>
  <c r="I184" i="22"/>
  <c r="F184" i="22"/>
  <c r="D184" i="22"/>
  <c r="C184" i="22"/>
  <c r="B184" i="22"/>
  <c r="J183" i="22"/>
  <c r="I183" i="22"/>
  <c r="F183" i="22"/>
  <c r="D183" i="22"/>
  <c r="C183" i="22"/>
  <c r="B183" i="22"/>
  <c r="I182" i="22"/>
  <c r="J182" i="22" s="1"/>
  <c r="F182" i="22"/>
  <c r="D182" i="22"/>
  <c r="C182" i="22"/>
  <c r="B182" i="22"/>
  <c r="I181" i="22"/>
  <c r="J181" i="22" s="1"/>
  <c r="F181" i="22"/>
  <c r="D181" i="22"/>
  <c r="C181" i="22"/>
  <c r="B181" i="22"/>
  <c r="J180" i="22"/>
  <c r="I180" i="22"/>
  <c r="F180" i="22"/>
  <c r="D180" i="22"/>
  <c r="C180" i="22"/>
  <c r="B180" i="22"/>
  <c r="J179" i="22"/>
  <c r="I179" i="22"/>
  <c r="F179" i="22"/>
  <c r="D179" i="22"/>
  <c r="C179" i="22"/>
  <c r="B179" i="22"/>
  <c r="I178" i="22"/>
  <c r="J178" i="22" s="1"/>
  <c r="F178" i="22"/>
  <c r="D178" i="22"/>
  <c r="C178" i="22"/>
  <c r="B178" i="22"/>
  <c r="I177" i="22"/>
  <c r="J177" i="22" s="1"/>
  <c r="F177" i="22"/>
  <c r="D177" i="22"/>
  <c r="C177" i="22"/>
  <c r="B177" i="22"/>
  <c r="J176" i="22"/>
  <c r="I176" i="22"/>
  <c r="F176" i="22"/>
  <c r="D176" i="22"/>
  <c r="C176" i="22"/>
  <c r="B176" i="22"/>
  <c r="J175" i="22"/>
  <c r="I175" i="22"/>
  <c r="F175" i="22"/>
  <c r="D175" i="22"/>
  <c r="C175" i="22"/>
  <c r="B175" i="22"/>
  <c r="I174" i="22"/>
  <c r="J174" i="22" s="1"/>
  <c r="F174" i="22"/>
  <c r="D174" i="22"/>
  <c r="C174" i="22"/>
  <c r="B174" i="22"/>
  <c r="I173" i="22"/>
  <c r="J173" i="22" s="1"/>
  <c r="F173" i="22"/>
  <c r="D173" i="22"/>
  <c r="C173" i="22"/>
  <c r="B173" i="22"/>
  <c r="J172" i="22"/>
  <c r="I172" i="22"/>
  <c r="F172" i="22"/>
  <c r="D172" i="22"/>
  <c r="C172" i="22"/>
  <c r="B172" i="22"/>
  <c r="J171" i="22"/>
  <c r="I171" i="22"/>
  <c r="F171" i="22"/>
  <c r="D171" i="22"/>
  <c r="C171" i="22"/>
  <c r="B171" i="22"/>
  <c r="I170" i="22"/>
  <c r="J170" i="22" s="1"/>
  <c r="F170" i="22"/>
  <c r="D170" i="22"/>
  <c r="C170" i="22"/>
  <c r="B170" i="22"/>
  <c r="I169" i="22"/>
  <c r="J169" i="22" s="1"/>
  <c r="F169" i="22"/>
  <c r="D169" i="22"/>
  <c r="C169" i="22"/>
  <c r="B169" i="22"/>
  <c r="J168" i="22"/>
  <c r="I168" i="22"/>
  <c r="F168" i="22"/>
  <c r="D168" i="22"/>
  <c r="C168" i="22"/>
  <c r="B168" i="22"/>
  <c r="J167" i="22"/>
  <c r="I167" i="22"/>
  <c r="F167" i="22"/>
  <c r="D167" i="22"/>
  <c r="C167" i="22"/>
  <c r="B167" i="22"/>
  <c r="I166" i="22"/>
  <c r="J166" i="22" s="1"/>
  <c r="F166" i="22"/>
  <c r="D166" i="22"/>
  <c r="C166" i="22"/>
  <c r="B166" i="22"/>
  <c r="I165" i="22"/>
  <c r="J165" i="22" s="1"/>
  <c r="F165" i="22"/>
  <c r="D165" i="22"/>
  <c r="C165" i="22"/>
  <c r="B165" i="22"/>
  <c r="J164" i="22"/>
  <c r="I164" i="22"/>
  <c r="F164" i="22"/>
  <c r="D164" i="22"/>
  <c r="C164" i="22"/>
  <c r="B164" i="22"/>
  <c r="J163" i="22"/>
  <c r="I163" i="22"/>
  <c r="F163" i="22"/>
  <c r="D163" i="22"/>
  <c r="C163" i="22"/>
  <c r="B163" i="22"/>
  <c r="I162" i="22"/>
  <c r="J162" i="22" s="1"/>
  <c r="F162" i="22"/>
  <c r="D162" i="22"/>
  <c r="C162" i="22"/>
  <c r="B162" i="22"/>
  <c r="I161" i="22"/>
  <c r="J161" i="22" s="1"/>
  <c r="F161" i="22"/>
  <c r="D161" i="22"/>
  <c r="C161" i="22"/>
  <c r="B161" i="22"/>
  <c r="J160" i="22"/>
  <c r="I160" i="22"/>
  <c r="F160" i="22"/>
  <c r="D160" i="22"/>
  <c r="C160" i="22"/>
  <c r="B160" i="22"/>
  <c r="J159" i="22"/>
  <c r="I159" i="22"/>
  <c r="F159" i="22"/>
  <c r="D159" i="22"/>
  <c r="C159" i="22"/>
  <c r="B159" i="22"/>
  <c r="I158" i="22"/>
  <c r="J158" i="22" s="1"/>
  <c r="F158" i="22"/>
  <c r="D158" i="22"/>
  <c r="C158" i="22"/>
  <c r="B158" i="22"/>
  <c r="I157" i="22"/>
  <c r="J157" i="22" s="1"/>
  <c r="F157" i="22"/>
  <c r="D157" i="22"/>
  <c r="C157" i="22"/>
  <c r="B157" i="22"/>
  <c r="J156" i="22"/>
  <c r="I156" i="22"/>
  <c r="F156" i="22"/>
  <c r="D156" i="22"/>
  <c r="C156" i="22"/>
  <c r="B156" i="22"/>
  <c r="J155" i="22"/>
  <c r="I155" i="22"/>
  <c r="F155" i="22"/>
  <c r="D155" i="22"/>
  <c r="C155" i="22"/>
  <c r="B155" i="22"/>
  <c r="I154" i="22"/>
  <c r="J154" i="22" s="1"/>
  <c r="F154" i="22"/>
  <c r="D154" i="22"/>
  <c r="C154" i="22"/>
  <c r="B154" i="22"/>
  <c r="I153" i="22"/>
  <c r="J153" i="22" s="1"/>
  <c r="F153" i="22"/>
  <c r="D153" i="22"/>
  <c r="C153" i="22"/>
  <c r="B153" i="22"/>
  <c r="J152" i="22"/>
  <c r="I152" i="22"/>
  <c r="F152" i="22"/>
  <c r="D152" i="22"/>
  <c r="C152" i="22"/>
  <c r="B152" i="22"/>
  <c r="J151" i="22"/>
  <c r="I151" i="22"/>
  <c r="F151" i="22"/>
  <c r="D151" i="22"/>
  <c r="C151" i="22"/>
  <c r="B151" i="22"/>
  <c r="I150" i="22"/>
  <c r="J150" i="22" s="1"/>
  <c r="F150" i="22"/>
  <c r="D150" i="22"/>
  <c r="C150" i="22"/>
  <c r="B150" i="22"/>
  <c r="I149" i="22"/>
  <c r="J149" i="22" s="1"/>
  <c r="F149" i="22"/>
  <c r="D149" i="22"/>
  <c r="C149" i="22"/>
  <c r="B149" i="22"/>
  <c r="J148" i="22"/>
  <c r="I148" i="22"/>
  <c r="F148" i="22"/>
  <c r="D148" i="22"/>
  <c r="C148" i="22"/>
  <c r="B148" i="22"/>
  <c r="J147" i="22"/>
  <c r="I147" i="22"/>
  <c r="F147" i="22"/>
  <c r="D147" i="22"/>
  <c r="C147" i="22"/>
  <c r="B147" i="22"/>
  <c r="I146" i="22"/>
  <c r="J146" i="22" s="1"/>
  <c r="F146" i="22"/>
  <c r="D146" i="22"/>
  <c r="C146" i="22"/>
  <c r="B146" i="22"/>
  <c r="I145" i="22"/>
  <c r="J145" i="22" s="1"/>
  <c r="F145" i="22"/>
  <c r="D145" i="22"/>
  <c r="C145" i="22"/>
  <c r="B145" i="22"/>
  <c r="J144" i="22"/>
  <c r="I144" i="22"/>
  <c r="F144" i="22"/>
  <c r="D144" i="22"/>
  <c r="C144" i="22"/>
  <c r="B144" i="22"/>
  <c r="J143" i="22"/>
  <c r="I143" i="22"/>
  <c r="F143" i="22"/>
  <c r="D143" i="22"/>
  <c r="C143" i="22"/>
  <c r="B143" i="22"/>
  <c r="I142" i="22"/>
  <c r="J142" i="22" s="1"/>
  <c r="F142" i="22"/>
  <c r="D142" i="22"/>
  <c r="C142" i="22"/>
  <c r="B142" i="22"/>
  <c r="I141" i="22"/>
  <c r="J141" i="22" s="1"/>
  <c r="F141" i="22"/>
  <c r="D141" i="22"/>
  <c r="C141" i="22"/>
  <c r="B141" i="22"/>
  <c r="J140" i="22"/>
  <c r="I140" i="22"/>
  <c r="F140" i="22"/>
  <c r="D140" i="22"/>
  <c r="C140" i="22"/>
  <c r="B140" i="22"/>
  <c r="J139" i="22"/>
  <c r="I139" i="22"/>
  <c r="F139" i="22"/>
  <c r="D139" i="22"/>
  <c r="C139" i="22"/>
  <c r="B139" i="22"/>
  <c r="I138" i="22"/>
  <c r="J138" i="22" s="1"/>
  <c r="F138" i="22"/>
  <c r="D138" i="22"/>
  <c r="C138" i="22"/>
  <c r="B138" i="22"/>
  <c r="I137" i="22"/>
  <c r="J137" i="22" s="1"/>
  <c r="F137" i="22"/>
  <c r="D137" i="22"/>
  <c r="C137" i="22"/>
  <c r="B137" i="22"/>
  <c r="J136" i="22"/>
  <c r="I136" i="22"/>
  <c r="F136" i="22"/>
  <c r="D136" i="22"/>
  <c r="C136" i="22"/>
  <c r="B136" i="22"/>
  <c r="J135" i="22"/>
  <c r="I135" i="22"/>
  <c r="F135" i="22"/>
  <c r="D135" i="22"/>
  <c r="C135" i="22"/>
  <c r="B135" i="22"/>
  <c r="I134" i="22"/>
  <c r="J134" i="22" s="1"/>
  <c r="F134" i="22"/>
  <c r="D134" i="22"/>
  <c r="C134" i="22"/>
  <c r="B134" i="22"/>
  <c r="I133" i="22"/>
  <c r="J133" i="22" s="1"/>
  <c r="F133" i="22"/>
  <c r="D133" i="22"/>
  <c r="C133" i="22"/>
  <c r="B133" i="22"/>
  <c r="J132" i="22"/>
  <c r="I132" i="22"/>
  <c r="F132" i="22"/>
  <c r="D132" i="22"/>
  <c r="C132" i="22"/>
  <c r="B132" i="22"/>
  <c r="J131" i="22"/>
  <c r="I131" i="22"/>
  <c r="F131" i="22"/>
  <c r="D131" i="22"/>
  <c r="C131" i="22"/>
  <c r="B131" i="22"/>
  <c r="I130" i="22"/>
  <c r="J130" i="22" s="1"/>
  <c r="F130" i="22"/>
  <c r="D130" i="22"/>
  <c r="C130" i="22"/>
  <c r="B130" i="22"/>
  <c r="I129" i="22"/>
  <c r="J129" i="22" s="1"/>
  <c r="F129" i="22"/>
  <c r="D129" i="22"/>
  <c r="C129" i="22"/>
  <c r="B129" i="22"/>
  <c r="J128" i="22"/>
  <c r="I128" i="22"/>
  <c r="F128" i="22"/>
  <c r="D128" i="22"/>
  <c r="C128" i="22"/>
  <c r="B128" i="22"/>
  <c r="J127" i="22"/>
  <c r="I127" i="22"/>
  <c r="F127" i="22"/>
  <c r="D127" i="22"/>
  <c r="C127" i="22"/>
  <c r="B127" i="22"/>
  <c r="I126" i="22"/>
  <c r="J126" i="22" s="1"/>
  <c r="F126" i="22"/>
  <c r="D126" i="22"/>
  <c r="C126" i="22"/>
  <c r="B126" i="22"/>
  <c r="I125" i="22"/>
  <c r="J125" i="22" s="1"/>
  <c r="F125" i="22"/>
  <c r="D125" i="22"/>
  <c r="C125" i="22"/>
  <c r="B125" i="22"/>
  <c r="J124" i="22"/>
  <c r="I124" i="22"/>
  <c r="F124" i="22"/>
  <c r="D124" i="22"/>
  <c r="C124" i="22"/>
  <c r="B124" i="22"/>
  <c r="J123" i="22"/>
  <c r="I123" i="22"/>
  <c r="F123" i="22"/>
  <c r="D123" i="22"/>
  <c r="C123" i="22"/>
  <c r="B123" i="22"/>
  <c r="I122" i="22"/>
  <c r="J122" i="22" s="1"/>
  <c r="F122" i="22"/>
  <c r="D122" i="22"/>
  <c r="C122" i="22"/>
  <c r="B122" i="22"/>
  <c r="I121" i="22"/>
  <c r="J121" i="22" s="1"/>
  <c r="F121" i="22"/>
  <c r="D121" i="22"/>
  <c r="C121" i="22"/>
  <c r="B121" i="22"/>
  <c r="J120" i="22"/>
  <c r="I120" i="22"/>
  <c r="F120" i="22"/>
  <c r="D120" i="22"/>
  <c r="C120" i="22"/>
  <c r="B120" i="22"/>
  <c r="J119" i="22"/>
  <c r="I119" i="22"/>
  <c r="F119" i="22"/>
  <c r="D119" i="22"/>
  <c r="C119" i="22"/>
  <c r="B119" i="22"/>
  <c r="I118" i="22"/>
  <c r="J118" i="22" s="1"/>
  <c r="F118" i="22"/>
  <c r="D118" i="22"/>
  <c r="C118" i="22"/>
  <c r="B118" i="22"/>
  <c r="I117" i="22"/>
  <c r="J117" i="22" s="1"/>
  <c r="F117" i="22"/>
  <c r="D117" i="22"/>
  <c r="C117" i="22"/>
  <c r="B117" i="22"/>
  <c r="J116" i="22"/>
  <c r="I116" i="22"/>
  <c r="F116" i="22"/>
  <c r="D116" i="22"/>
  <c r="C116" i="22"/>
  <c r="B116" i="22"/>
  <c r="J115" i="22"/>
  <c r="I115" i="22"/>
  <c r="F115" i="22"/>
  <c r="D115" i="22"/>
  <c r="C115" i="22"/>
  <c r="B115" i="22"/>
  <c r="I114" i="22"/>
  <c r="J114" i="22" s="1"/>
  <c r="F114" i="22"/>
  <c r="D114" i="22"/>
  <c r="C114" i="22"/>
  <c r="B114" i="22"/>
  <c r="I113" i="22"/>
  <c r="J113" i="22" s="1"/>
  <c r="F113" i="22"/>
  <c r="D113" i="22"/>
  <c r="C113" i="22"/>
  <c r="B113" i="22"/>
  <c r="J112" i="22"/>
  <c r="I112" i="22"/>
  <c r="F112" i="22"/>
  <c r="D112" i="22"/>
  <c r="C112" i="22"/>
  <c r="B112" i="22"/>
  <c r="J111" i="22"/>
  <c r="I111" i="22"/>
  <c r="F111" i="22"/>
  <c r="D111" i="22"/>
  <c r="C111" i="22"/>
  <c r="B111" i="22"/>
  <c r="I110" i="22"/>
  <c r="J110" i="22" s="1"/>
  <c r="F110" i="22"/>
  <c r="D110" i="22"/>
  <c r="C110" i="22"/>
  <c r="B110" i="22"/>
  <c r="I109" i="22"/>
  <c r="J109" i="22" s="1"/>
  <c r="F109" i="22"/>
  <c r="D109" i="22"/>
  <c r="C109" i="22"/>
  <c r="B109" i="22"/>
  <c r="J108" i="22"/>
  <c r="I108" i="22"/>
  <c r="F108" i="22"/>
  <c r="D108" i="22"/>
  <c r="C108" i="22"/>
  <c r="B108" i="22"/>
  <c r="J107" i="22"/>
  <c r="I107" i="22"/>
  <c r="F107" i="22"/>
  <c r="D107" i="22"/>
  <c r="C107" i="22"/>
  <c r="B107" i="22"/>
  <c r="I106" i="22"/>
  <c r="J106" i="22" s="1"/>
  <c r="F106" i="22"/>
  <c r="D106" i="22"/>
  <c r="C106" i="22"/>
  <c r="B106" i="22"/>
  <c r="I105" i="22"/>
  <c r="J105" i="22" s="1"/>
  <c r="F105" i="22"/>
  <c r="D105" i="22"/>
  <c r="C105" i="22"/>
  <c r="B105" i="22"/>
  <c r="J104" i="22"/>
  <c r="I104" i="22"/>
  <c r="F104" i="22"/>
  <c r="D104" i="22"/>
  <c r="C104" i="22"/>
  <c r="B104" i="22"/>
  <c r="J103" i="22"/>
  <c r="I103" i="22"/>
  <c r="F103" i="22"/>
  <c r="D103" i="22"/>
  <c r="C103" i="22"/>
  <c r="B103" i="22"/>
  <c r="I102" i="22"/>
  <c r="J102" i="22" s="1"/>
  <c r="F102" i="22"/>
  <c r="D102" i="22"/>
  <c r="C102" i="22"/>
  <c r="B102" i="22"/>
  <c r="I101" i="22"/>
  <c r="J101" i="22" s="1"/>
  <c r="F101" i="22"/>
  <c r="D101" i="22"/>
  <c r="C101" i="22"/>
  <c r="B101" i="22"/>
  <c r="J100" i="22"/>
  <c r="I100" i="22"/>
  <c r="F100" i="22"/>
  <c r="D100" i="22"/>
  <c r="C100" i="22"/>
  <c r="B100" i="22"/>
  <c r="J99" i="22"/>
  <c r="I99" i="22"/>
  <c r="F99" i="22"/>
  <c r="D99" i="22"/>
  <c r="C99" i="22"/>
  <c r="B99" i="22"/>
  <c r="I98" i="22"/>
  <c r="J98" i="22" s="1"/>
  <c r="F98" i="22"/>
  <c r="D98" i="22"/>
  <c r="C98" i="22"/>
  <c r="B98" i="22"/>
  <c r="I97" i="22"/>
  <c r="J97" i="22" s="1"/>
  <c r="F97" i="22"/>
  <c r="D97" i="22"/>
  <c r="C97" i="22"/>
  <c r="B97" i="22"/>
  <c r="J96" i="22"/>
  <c r="I96" i="22"/>
  <c r="F96" i="22"/>
  <c r="D96" i="22"/>
  <c r="C96" i="22"/>
  <c r="B96" i="22"/>
  <c r="J95" i="22"/>
  <c r="I95" i="22"/>
  <c r="F95" i="22"/>
  <c r="D95" i="22"/>
  <c r="C95" i="22"/>
  <c r="B95" i="22"/>
  <c r="I94" i="22"/>
  <c r="J94" i="22" s="1"/>
  <c r="F94" i="22"/>
  <c r="D94" i="22"/>
  <c r="C94" i="22"/>
  <c r="B94" i="22"/>
  <c r="I93" i="22"/>
  <c r="J93" i="22" s="1"/>
  <c r="F93" i="22"/>
  <c r="D93" i="22"/>
  <c r="C93" i="22"/>
  <c r="B93" i="22"/>
  <c r="J92" i="22"/>
  <c r="I92" i="22"/>
  <c r="F92" i="22"/>
  <c r="D92" i="22"/>
  <c r="C92" i="22"/>
  <c r="B92" i="22"/>
  <c r="J91" i="22"/>
  <c r="I91" i="22"/>
  <c r="F91" i="22"/>
  <c r="D91" i="22"/>
  <c r="C91" i="22"/>
  <c r="B91" i="22"/>
  <c r="I90" i="22"/>
  <c r="J90" i="22" s="1"/>
  <c r="F90" i="22"/>
  <c r="D90" i="22"/>
  <c r="C90" i="22"/>
  <c r="B90" i="22"/>
  <c r="I89" i="22"/>
  <c r="J89" i="22" s="1"/>
  <c r="F89" i="22"/>
  <c r="D89" i="22"/>
  <c r="C89" i="22"/>
  <c r="B89" i="22"/>
  <c r="J88" i="22"/>
  <c r="I88" i="22"/>
  <c r="F88" i="22"/>
  <c r="D88" i="22"/>
  <c r="C88" i="22"/>
  <c r="B88" i="22"/>
  <c r="J87" i="22"/>
  <c r="I87" i="22"/>
  <c r="F87" i="22"/>
  <c r="D87" i="22"/>
  <c r="C87" i="22"/>
  <c r="B87" i="22"/>
  <c r="I86" i="22"/>
  <c r="J86" i="22" s="1"/>
  <c r="F86" i="22"/>
  <c r="D86" i="22"/>
  <c r="C86" i="22"/>
  <c r="B86" i="22"/>
  <c r="I85" i="22"/>
  <c r="J85" i="22" s="1"/>
  <c r="F85" i="22"/>
  <c r="D85" i="22"/>
  <c r="C85" i="22"/>
  <c r="B85" i="22"/>
  <c r="J84" i="22"/>
  <c r="I84" i="22"/>
  <c r="F84" i="22"/>
  <c r="D84" i="22"/>
  <c r="C84" i="22"/>
  <c r="B84" i="22"/>
  <c r="J83" i="22"/>
  <c r="I83" i="22"/>
  <c r="F83" i="22"/>
  <c r="D83" i="22"/>
  <c r="C83" i="22"/>
  <c r="B83" i="22"/>
  <c r="I82" i="22"/>
  <c r="J82" i="22" s="1"/>
  <c r="F82" i="22"/>
  <c r="D82" i="22"/>
  <c r="C82" i="22"/>
  <c r="B82" i="22"/>
  <c r="I81" i="22"/>
  <c r="J81" i="22" s="1"/>
  <c r="F81" i="22"/>
  <c r="D81" i="22"/>
  <c r="C81" i="22"/>
  <c r="B81" i="22"/>
  <c r="J80" i="22"/>
  <c r="I80" i="22"/>
  <c r="F80" i="22"/>
  <c r="D80" i="22"/>
  <c r="C80" i="22"/>
  <c r="B80" i="22"/>
  <c r="J79" i="22"/>
  <c r="I79" i="22"/>
  <c r="F79" i="22"/>
  <c r="D79" i="22"/>
  <c r="C79" i="22"/>
  <c r="B79" i="22"/>
  <c r="I78" i="22"/>
  <c r="J78" i="22" s="1"/>
  <c r="F78" i="22"/>
  <c r="D78" i="22"/>
  <c r="C78" i="22"/>
  <c r="B78" i="22"/>
  <c r="I77" i="22"/>
  <c r="J77" i="22" s="1"/>
  <c r="F77" i="22"/>
  <c r="D77" i="22"/>
  <c r="C77" i="22"/>
  <c r="B77" i="22"/>
  <c r="J76" i="22"/>
  <c r="I76" i="22"/>
  <c r="F76" i="22"/>
  <c r="D76" i="22"/>
  <c r="C76" i="22"/>
  <c r="B76" i="22"/>
  <c r="J75" i="22"/>
  <c r="I75" i="22"/>
  <c r="F75" i="22"/>
  <c r="D75" i="22"/>
  <c r="C75" i="22"/>
  <c r="B75" i="22"/>
  <c r="I74" i="22"/>
  <c r="J74" i="22" s="1"/>
  <c r="F74" i="22"/>
  <c r="D74" i="22"/>
  <c r="C74" i="22"/>
  <c r="B74" i="22"/>
  <c r="I73" i="22"/>
  <c r="J73" i="22" s="1"/>
  <c r="F73" i="22"/>
  <c r="D73" i="22"/>
  <c r="C73" i="22"/>
  <c r="B73" i="22"/>
  <c r="J72" i="22"/>
  <c r="I72" i="22"/>
  <c r="F72" i="22"/>
  <c r="D72" i="22"/>
  <c r="C72" i="22"/>
  <c r="B72" i="22"/>
  <c r="J71" i="22"/>
  <c r="I71" i="22"/>
  <c r="F71" i="22"/>
  <c r="D71" i="22"/>
  <c r="C71" i="22"/>
  <c r="B71" i="22"/>
  <c r="I70" i="22"/>
  <c r="J70" i="22" s="1"/>
  <c r="F70" i="22"/>
  <c r="D70" i="22"/>
  <c r="C70" i="22"/>
  <c r="B70" i="22"/>
  <c r="I69" i="22"/>
  <c r="J69" i="22" s="1"/>
  <c r="F69" i="22"/>
  <c r="D69" i="22"/>
  <c r="C69" i="22"/>
  <c r="B69" i="22"/>
  <c r="J68" i="22"/>
  <c r="I68" i="22"/>
  <c r="F68" i="22"/>
  <c r="D68" i="22"/>
  <c r="C68" i="22"/>
  <c r="B68" i="22"/>
  <c r="J67" i="22"/>
  <c r="I67" i="22"/>
  <c r="F67" i="22"/>
  <c r="D67" i="22"/>
  <c r="C67" i="22"/>
  <c r="B67" i="22"/>
  <c r="I66" i="22"/>
  <c r="J66" i="22" s="1"/>
  <c r="F66" i="22"/>
  <c r="D66" i="22"/>
  <c r="C66" i="22"/>
  <c r="B66" i="22"/>
  <c r="I65" i="22"/>
  <c r="J65" i="22" s="1"/>
  <c r="F65" i="22"/>
  <c r="D65" i="22"/>
  <c r="C65" i="22"/>
  <c r="B65" i="22"/>
  <c r="J64" i="22"/>
  <c r="I64" i="22"/>
  <c r="F64" i="22"/>
  <c r="D64" i="22"/>
  <c r="C64" i="22"/>
  <c r="B64" i="22"/>
  <c r="J63" i="22"/>
  <c r="I63" i="22"/>
  <c r="F63" i="22"/>
  <c r="D63" i="22"/>
  <c r="C63" i="22"/>
  <c r="B63" i="22"/>
  <c r="I62" i="22"/>
  <c r="J62" i="22" s="1"/>
  <c r="F62" i="22"/>
  <c r="D62" i="22"/>
  <c r="C62" i="22"/>
  <c r="B62" i="22"/>
  <c r="I61" i="22"/>
  <c r="J61" i="22" s="1"/>
  <c r="F61" i="22"/>
  <c r="D61" i="22"/>
  <c r="C61" i="22"/>
  <c r="B61" i="22"/>
  <c r="J60" i="22"/>
  <c r="I60" i="22"/>
  <c r="F60" i="22"/>
  <c r="D60" i="22"/>
  <c r="C60" i="22"/>
  <c r="B60" i="22"/>
  <c r="J59" i="22"/>
  <c r="I59" i="22"/>
  <c r="F59" i="22"/>
  <c r="D59" i="22"/>
  <c r="C59" i="22"/>
  <c r="B59" i="22"/>
  <c r="I58" i="22"/>
  <c r="J58" i="22" s="1"/>
  <c r="F58" i="22"/>
  <c r="D58" i="22"/>
  <c r="C58" i="22"/>
  <c r="B58" i="22"/>
  <c r="I57" i="22"/>
  <c r="J57" i="22" s="1"/>
  <c r="F57" i="22"/>
  <c r="D57" i="22"/>
  <c r="C57" i="22"/>
  <c r="B57" i="22"/>
  <c r="J56" i="22"/>
  <c r="I56" i="22"/>
  <c r="F56" i="22"/>
  <c r="D56" i="22"/>
  <c r="C56" i="22"/>
  <c r="B56" i="22"/>
  <c r="J55" i="22"/>
  <c r="I55" i="22"/>
  <c r="F55" i="22"/>
  <c r="D55" i="22"/>
  <c r="C55" i="22"/>
  <c r="B55" i="22"/>
  <c r="I54" i="22"/>
  <c r="J54" i="22" s="1"/>
  <c r="F54" i="22"/>
  <c r="D54" i="22"/>
  <c r="C54" i="22"/>
  <c r="B54" i="22"/>
  <c r="I53" i="22"/>
  <c r="J53" i="22" s="1"/>
  <c r="F53" i="22"/>
  <c r="D53" i="22"/>
  <c r="C53" i="22"/>
  <c r="B53" i="22"/>
  <c r="J52" i="22"/>
  <c r="I52" i="22"/>
  <c r="F52" i="22"/>
  <c r="D52" i="22"/>
  <c r="C52" i="22"/>
  <c r="B52" i="22"/>
  <c r="J51" i="22"/>
  <c r="I51" i="22"/>
  <c r="F51" i="22"/>
  <c r="D51" i="22"/>
  <c r="C51" i="22"/>
  <c r="B51" i="22"/>
  <c r="I50" i="22"/>
  <c r="J50" i="22" s="1"/>
  <c r="F50" i="22"/>
  <c r="D50" i="22"/>
  <c r="C50" i="22"/>
  <c r="B50" i="22"/>
  <c r="I49" i="22"/>
  <c r="J49" i="22" s="1"/>
  <c r="F49" i="22"/>
  <c r="D49" i="22"/>
  <c r="C49" i="22"/>
  <c r="B49" i="22"/>
  <c r="J48" i="22"/>
  <c r="I48" i="22"/>
  <c r="F48" i="22"/>
  <c r="D48" i="22"/>
  <c r="C48" i="22"/>
  <c r="B48" i="22"/>
  <c r="J47" i="22"/>
  <c r="I47" i="22"/>
  <c r="F47" i="22"/>
  <c r="D47" i="22"/>
  <c r="C47" i="22"/>
  <c r="B47" i="22"/>
  <c r="I46" i="22"/>
  <c r="J46" i="22" s="1"/>
  <c r="F46" i="22"/>
  <c r="D46" i="22"/>
  <c r="C46" i="22"/>
  <c r="B46" i="22"/>
  <c r="I45" i="22"/>
  <c r="J45" i="22" s="1"/>
  <c r="F45" i="22"/>
  <c r="D45" i="22"/>
  <c r="C45" i="22"/>
  <c r="B45" i="22"/>
  <c r="J44" i="22"/>
  <c r="I44" i="22"/>
  <c r="F44" i="22"/>
  <c r="D44" i="22"/>
  <c r="C44" i="22"/>
  <c r="B44" i="22"/>
  <c r="J43" i="22"/>
  <c r="I43" i="22"/>
  <c r="F43" i="22"/>
  <c r="D43" i="22"/>
  <c r="C43" i="22"/>
  <c r="B43" i="22"/>
  <c r="I42" i="22"/>
  <c r="J42" i="22" s="1"/>
  <c r="F42" i="22"/>
  <c r="D42" i="22"/>
  <c r="C42" i="22"/>
  <c r="B42" i="22"/>
  <c r="I41" i="22"/>
  <c r="J41" i="22" s="1"/>
  <c r="F41" i="22"/>
  <c r="D41" i="22"/>
  <c r="C41" i="22"/>
  <c r="B41" i="22"/>
  <c r="J40" i="22"/>
  <c r="I40" i="22"/>
  <c r="F40" i="22"/>
  <c r="D40" i="22"/>
  <c r="C40" i="22"/>
  <c r="B40" i="22"/>
  <c r="J39" i="22"/>
  <c r="I39" i="22"/>
  <c r="F39" i="22"/>
  <c r="D39" i="22"/>
  <c r="C39" i="22"/>
  <c r="B39" i="22"/>
  <c r="I38" i="22"/>
  <c r="J38" i="22" s="1"/>
  <c r="F38" i="22"/>
  <c r="D38" i="22"/>
  <c r="C38" i="22"/>
  <c r="B38" i="22"/>
  <c r="I37" i="22"/>
  <c r="J37" i="22" s="1"/>
  <c r="F37" i="22"/>
  <c r="D37" i="22"/>
  <c r="C37" i="22"/>
  <c r="B37" i="22"/>
  <c r="J36" i="22"/>
  <c r="I36" i="22"/>
  <c r="F36" i="22"/>
  <c r="D36" i="22"/>
  <c r="C36" i="22"/>
  <c r="B36" i="22"/>
  <c r="J35" i="22"/>
  <c r="I35" i="22"/>
  <c r="F35" i="22"/>
  <c r="D35" i="22"/>
  <c r="C35" i="22"/>
  <c r="B35" i="22"/>
  <c r="I34" i="22"/>
  <c r="J34" i="22" s="1"/>
  <c r="F34" i="22"/>
  <c r="D34" i="22"/>
  <c r="C34" i="22"/>
  <c r="B34" i="22"/>
  <c r="I33" i="22"/>
  <c r="J33" i="22" s="1"/>
  <c r="F33" i="22"/>
  <c r="D33" i="22"/>
  <c r="C33" i="22"/>
  <c r="B33" i="22"/>
  <c r="J32" i="22"/>
  <c r="I32" i="22"/>
  <c r="F32" i="22"/>
  <c r="D32" i="22"/>
  <c r="C32" i="22"/>
  <c r="B32" i="22"/>
  <c r="J31" i="22"/>
  <c r="I31" i="22"/>
  <c r="F31" i="22"/>
  <c r="D31" i="22"/>
  <c r="C31" i="22"/>
  <c r="B31" i="22"/>
  <c r="I30" i="22"/>
  <c r="J30" i="22" s="1"/>
  <c r="F30" i="22"/>
  <c r="D30" i="22"/>
  <c r="C30" i="22"/>
  <c r="B30" i="22"/>
  <c r="I29" i="22"/>
  <c r="J29" i="22" s="1"/>
  <c r="F29" i="22"/>
  <c r="D29" i="22"/>
  <c r="C29" i="22"/>
  <c r="B29" i="22"/>
  <c r="J28" i="22"/>
  <c r="I28" i="22"/>
  <c r="F28" i="22"/>
  <c r="D28" i="22"/>
  <c r="C28" i="22"/>
  <c r="B28" i="22"/>
  <c r="J27" i="22"/>
  <c r="I27" i="22"/>
  <c r="F27" i="22"/>
  <c r="D27" i="22"/>
  <c r="C27" i="22"/>
  <c r="B27" i="22"/>
  <c r="I26" i="22"/>
  <c r="J26" i="22" s="1"/>
  <c r="F26" i="22"/>
  <c r="D26" i="22"/>
  <c r="C26" i="22"/>
  <c r="B26" i="22"/>
  <c r="I25" i="22"/>
  <c r="J25" i="22" s="1"/>
  <c r="F25" i="22"/>
  <c r="D25" i="22"/>
  <c r="C25" i="22"/>
  <c r="B25" i="22"/>
  <c r="J24" i="22"/>
  <c r="I24" i="22"/>
  <c r="F24" i="22"/>
  <c r="D24" i="22"/>
  <c r="C24" i="22"/>
  <c r="B24" i="22"/>
  <c r="J23" i="22"/>
  <c r="I23" i="22"/>
  <c r="F23" i="22"/>
  <c r="D23" i="22"/>
  <c r="C23" i="22"/>
  <c r="B23" i="22"/>
  <c r="I22" i="22"/>
  <c r="J22" i="22" s="1"/>
  <c r="F22" i="22"/>
  <c r="D22" i="22"/>
  <c r="C22" i="22"/>
  <c r="B22" i="22"/>
  <c r="I21" i="22"/>
  <c r="J21" i="22" s="1"/>
  <c r="F21" i="22"/>
  <c r="D21" i="22"/>
  <c r="C21" i="22"/>
  <c r="B21" i="22"/>
  <c r="J20" i="22"/>
  <c r="I20" i="22"/>
  <c r="F20" i="22"/>
  <c r="D20" i="22"/>
  <c r="C20" i="22"/>
  <c r="B20" i="22"/>
  <c r="J19" i="22"/>
  <c r="I19" i="22"/>
  <c r="F19" i="22"/>
  <c r="D19" i="22"/>
  <c r="C19" i="22"/>
  <c r="B19" i="22"/>
  <c r="I18" i="22"/>
  <c r="J18" i="22" s="1"/>
  <c r="F18" i="22"/>
  <c r="D18" i="22"/>
  <c r="C18" i="22"/>
  <c r="B18" i="22"/>
  <c r="I17" i="22"/>
  <c r="J17" i="22" s="1"/>
  <c r="F17" i="22"/>
  <c r="D17" i="22"/>
  <c r="C17" i="22"/>
  <c r="B17" i="22"/>
  <c r="J16" i="22"/>
  <c r="I16" i="22"/>
  <c r="F16" i="22"/>
  <c r="D16" i="22"/>
  <c r="C16" i="22"/>
  <c r="B16" i="22"/>
  <c r="J15" i="22"/>
  <c r="I15" i="22"/>
  <c r="F15" i="22"/>
  <c r="D15" i="22"/>
  <c r="C15" i="22"/>
  <c r="B15" i="22"/>
  <c r="I14" i="22"/>
  <c r="J14" i="22" s="1"/>
  <c r="F14" i="22"/>
  <c r="D14" i="22"/>
  <c r="C14" i="22"/>
  <c r="B14" i="22"/>
  <c r="I13" i="22"/>
  <c r="J13" i="22" s="1"/>
  <c r="F13" i="22"/>
  <c r="D13" i="22"/>
  <c r="C13" i="22"/>
  <c r="B13" i="22"/>
  <c r="J12" i="22"/>
  <c r="I12" i="22"/>
  <c r="F12" i="22"/>
  <c r="D12" i="22"/>
  <c r="C12" i="22"/>
  <c r="B12" i="22"/>
  <c r="J11" i="22"/>
  <c r="I11" i="22"/>
  <c r="F11" i="22"/>
  <c r="D11" i="22"/>
  <c r="C11" i="22"/>
  <c r="B11" i="22"/>
  <c r="I10" i="22"/>
  <c r="J10" i="22" s="1"/>
  <c r="F10" i="22"/>
  <c r="D10" i="22"/>
  <c r="C10" i="22"/>
  <c r="B10" i="22"/>
  <c r="I9" i="22"/>
  <c r="J9" i="22" s="1"/>
  <c r="F9" i="22"/>
  <c r="D9" i="22"/>
  <c r="C9" i="22"/>
  <c r="B9" i="22"/>
  <c r="A5" i="22"/>
  <c r="G4" i="22"/>
  <c r="D4" i="22"/>
  <c r="A4" i="22"/>
  <c r="K213" i="21"/>
  <c r="I213" i="21"/>
  <c r="J213" i="21" s="1"/>
  <c r="D213" i="21"/>
  <c r="C213" i="21"/>
  <c r="A213" i="21"/>
  <c r="K212" i="21"/>
  <c r="J212" i="21"/>
  <c r="I212" i="21"/>
  <c r="D212" i="21"/>
  <c r="C212" i="21"/>
  <c r="A212" i="21"/>
  <c r="K211" i="21"/>
  <c r="J211" i="21"/>
  <c r="I211" i="21"/>
  <c r="D211" i="21"/>
  <c r="C211" i="21"/>
  <c r="A211" i="21"/>
  <c r="K210" i="21"/>
  <c r="I210" i="21"/>
  <c r="J210" i="21" s="1"/>
  <c r="D210" i="21"/>
  <c r="C210" i="21"/>
  <c r="A210" i="21"/>
  <c r="K209" i="21"/>
  <c r="I209" i="21"/>
  <c r="J209" i="21" s="1"/>
  <c r="D209" i="21"/>
  <c r="C209" i="21"/>
  <c r="A209" i="21"/>
  <c r="K208" i="21"/>
  <c r="J208" i="21"/>
  <c r="I208" i="21"/>
  <c r="D208" i="21"/>
  <c r="C208" i="21"/>
  <c r="A208" i="21"/>
  <c r="K207" i="21"/>
  <c r="J207" i="21"/>
  <c r="I207" i="21"/>
  <c r="D207" i="21"/>
  <c r="C207" i="21"/>
  <c r="A207" i="21"/>
  <c r="K206" i="21"/>
  <c r="I206" i="21"/>
  <c r="J206" i="21" s="1"/>
  <c r="D206" i="21"/>
  <c r="C206" i="21"/>
  <c r="A206" i="21"/>
  <c r="K205" i="21"/>
  <c r="I205" i="21"/>
  <c r="J205" i="21" s="1"/>
  <c r="D205" i="21"/>
  <c r="C205" i="21"/>
  <c r="A205" i="21"/>
  <c r="K204" i="21"/>
  <c r="J204" i="21"/>
  <c r="I204" i="21"/>
  <c r="D204" i="21"/>
  <c r="C204" i="21"/>
  <c r="A204" i="21"/>
  <c r="K203" i="21"/>
  <c r="J203" i="21"/>
  <c r="I203" i="21"/>
  <c r="D203" i="21"/>
  <c r="C203" i="21"/>
  <c r="A203" i="21"/>
  <c r="K202" i="21"/>
  <c r="I202" i="21"/>
  <c r="J202" i="21" s="1"/>
  <c r="D202" i="21"/>
  <c r="C202" i="21"/>
  <c r="A202" i="21"/>
  <c r="K201" i="21"/>
  <c r="I201" i="21"/>
  <c r="J201" i="21" s="1"/>
  <c r="D201" i="21"/>
  <c r="C201" i="21"/>
  <c r="A201" i="21"/>
  <c r="K200" i="21"/>
  <c r="J200" i="21"/>
  <c r="I200" i="21"/>
  <c r="D200" i="21"/>
  <c r="C200" i="21"/>
  <c r="A200" i="21"/>
  <c r="K199" i="21"/>
  <c r="J199" i="21"/>
  <c r="I199" i="21"/>
  <c r="D199" i="21"/>
  <c r="C199" i="21"/>
  <c r="A199" i="21"/>
  <c r="K198" i="21"/>
  <c r="I198" i="21"/>
  <c r="J198" i="21" s="1"/>
  <c r="D198" i="21"/>
  <c r="C198" i="21"/>
  <c r="A198" i="21"/>
  <c r="K197" i="21"/>
  <c r="I197" i="21"/>
  <c r="J197" i="21" s="1"/>
  <c r="D197" i="21"/>
  <c r="C197" i="21"/>
  <c r="A197" i="21"/>
  <c r="K196" i="21"/>
  <c r="J196" i="21"/>
  <c r="I196" i="21"/>
  <c r="D196" i="21"/>
  <c r="C196" i="21"/>
  <c r="A196" i="21"/>
  <c r="K195" i="21"/>
  <c r="J195" i="21"/>
  <c r="I195" i="21"/>
  <c r="D195" i="21"/>
  <c r="C195" i="21"/>
  <c r="A195" i="21"/>
  <c r="K194" i="21"/>
  <c r="I194" i="21"/>
  <c r="J194" i="21" s="1"/>
  <c r="D194" i="21"/>
  <c r="C194" i="21"/>
  <c r="A194" i="21"/>
  <c r="K193" i="21"/>
  <c r="I193" i="21"/>
  <c r="J193" i="21" s="1"/>
  <c r="D193" i="21"/>
  <c r="C193" i="21"/>
  <c r="A193" i="21"/>
  <c r="K192" i="21"/>
  <c r="J192" i="21"/>
  <c r="I192" i="21"/>
  <c r="D192" i="21"/>
  <c r="C192" i="21"/>
  <c r="A192" i="21"/>
  <c r="K191" i="21"/>
  <c r="J191" i="21"/>
  <c r="I191" i="21"/>
  <c r="D191" i="21"/>
  <c r="C191" i="21"/>
  <c r="A191" i="21"/>
  <c r="K190" i="21"/>
  <c r="I190" i="21"/>
  <c r="J190" i="21" s="1"/>
  <c r="D190" i="21"/>
  <c r="C190" i="21"/>
  <c r="A190" i="21"/>
  <c r="K189" i="21"/>
  <c r="I189" i="21"/>
  <c r="J189" i="21" s="1"/>
  <c r="D189" i="21"/>
  <c r="C189" i="21"/>
  <c r="A189" i="21"/>
  <c r="K188" i="21"/>
  <c r="J188" i="21"/>
  <c r="I188" i="21"/>
  <c r="D188" i="21"/>
  <c r="C188" i="21"/>
  <c r="A188" i="21"/>
  <c r="K187" i="21"/>
  <c r="J187" i="21"/>
  <c r="I187" i="21"/>
  <c r="D187" i="21"/>
  <c r="C187" i="21"/>
  <c r="A187" i="21"/>
  <c r="K186" i="21"/>
  <c r="I186" i="21"/>
  <c r="J186" i="21" s="1"/>
  <c r="D186" i="21"/>
  <c r="C186" i="21"/>
  <c r="A186" i="21"/>
  <c r="K185" i="21"/>
  <c r="I185" i="21"/>
  <c r="J185" i="21" s="1"/>
  <c r="D185" i="21"/>
  <c r="C185" i="21"/>
  <c r="A185" i="21"/>
  <c r="K184" i="21"/>
  <c r="J184" i="21"/>
  <c r="I184" i="21"/>
  <c r="D184" i="21"/>
  <c r="C184" i="21"/>
  <c r="A184" i="21"/>
  <c r="K183" i="21"/>
  <c r="J183" i="21"/>
  <c r="I183" i="21"/>
  <c r="D183" i="21"/>
  <c r="C183" i="21"/>
  <c r="A183" i="21"/>
  <c r="K182" i="21"/>
  <c r="I182" i="21"/>
  <c r="J182" i="21" s="1"/>
  <c r="D182" i="21"/>
  <c r="C182" i="21"/>
  <c r="A182" i="21"/>
  <c r="K181" i="21"/>
  <c r="I181" i="21"/>
  <c r="J181" i="21" s="1"/>
  <c r="D181" i="21"/>
  <c r="C181" i="21"/>
  <c r="A181" i="21"/>
  <c r="K180" i="21"/>
  <c r="J180" i="21"/>
  <c r="I180" i="21"/>
  <c r="D180" i="21"/>
  <c r="C180" i="21"/>
  <c r="A180" i="21"/>
  <c r="K179" i="21"/>
  <c r="J179" i="21"/>
  <c r="I179" i="21"/>
  <c r="D179" i="21"/>
  <c r="C179" i="21"/>
  <c r="A179" i="21"/>
  <c r="K178" i="21"/>
  <c r="I178" i="21"/>
  <c r="J178" i="21" s="1"/>
  <c r="D178" i="21"/>
  <c r="C178" i="21"/>
  <c r="A178" i="21"/>
  <c r="K177" i="21"/>
  <c r="I177" i="21"/>
  <c r="J177" i="21" s="1"/>
  <c r="D177" i="21"/>
  <c r="C177" i="21"/>
  <c r="A177" i="21"/>
  <c r="K176" i="21"/>
  <c r="J176" i="21"/>
  <c r="I176" i="21"/>
  <c r="D176" i="21"/>
  <c r="C176" i="21"/>
  <c r="A176" i="21"/>
  <c r="K175" i="21"/>
  <c r="J175" i="21"/>
  <c r="I175" i="21"/>
  <c r="D175" i="21"/>
  <c r="C175" i="21"/>
  <c r="A175" i="21"/>
  <c r="K174" i="21"/>
  <c r="I174" i="21"/>
  <c r="J174" i="21" s="1"/>
  <c r="D174" i="21"/>
  <c r="C174" i="21"/>
  <c r="A174" i="21"/>
  <c r="K173" i="21"/>
  <c r="I173" i="21"/>
  <c r="J173" i="21" s="1"/>
  <c r="D173" i="21"/>
  <c r="C173" i="21"/>
  <c r="A173" i="21"/>
  <c r="K172" i="21"/>
  <c r="J172" i="21"/>
  <c r="I172" i="21"/>
  <c r="D172" i="21"/>
  <c r="C172" i="21"/>
  <c r="A172" i="21"/>
  <c r="K171" i="21"/>
  <c r="J171" i="21"/>
  <c r="I171" i="21"/>
  <c r="D171" i="21"/>
  <c r="C171" i="21"/>
  <c r="A171" i="21"/>
  <c r="K170" i="21"/>
  <c r="I170" i="21"/>
  <c r="J170" i="21" s="1"/>
  <c r="D170" i="21"/>
  <c r="C170" i="21"/>
  <c r="A170" i="21"/>
  <c r="K169" i="21"/>
  <c r="I169" i="21"/>
  <c r="J169" i="21" s="1"/>
  <c r="D169" i="21"/>
  <c r="C169" i="21"/>
  <c r="A169" i="21"/>
  <c r="K168" i="21"/>
  <c r="J168" i="21"/>
  <c r="I168" i="21"/>
  <c r="D168" i="21"/>
  <c r="C168" i="21"/>
  <c r="A168" i="21"/>
  <c r="K167" i="21"/>
  <c r="J167" i="21"/>
  <c r="I167" i="21"/>
  <c r="D167" i="21"/>
  <c r="C167" i="21"/>
  <c r="A167" i="21"/>
  <c r="K166" i="21"/>
  <c r="I166" i="21"/>
  <c r="J166" i="21" s="1"/>
  <c r="D166" i="21"/>
  <c r="C166" i="21"/>
  <c r="A166" i="21"/>
  <c r="K165" i="21"/>
  <c r="I165" i="21"/>
  <c r="J165" i="21" s="1"/>
  <c r="D165" i="21"/>
  <c r="C165" i="21"/>
  <c r="A165" i="21"/>
  <c r="K164" i="21"/>
  <c r="J164" i="21"/>
  <c r="I164" i="21"/>
  <c r="D164" i="21"/>
  <c r="C164" i="21"/>
  <c r="A164" i="21"/>
  <c r="K163" i="21"/>
  <c r="J163" i="21"/>
  <c r="I163" i="21"/>
  <c r="D163" i="21"/>
  <c r="C163" i="21"/>
  <c r="A163" i="21"/>
  <c r="K162" i="21"/>
  <c r="I162" i="21"/>
  <c r="J162" i="21" s="1"/>
  <c r="D162" i="21"/>
  <c r="C162" i="21"/>
  <c r="A162" i="21"/>
  <c r="K161" i="21"/>
  <c r="I161" i="21"/>
  <c r="J161" i="21" s="1"/>
  <c r="D161" i="21"/>
  <c r="C161" i="21"/>
  <c r="A161" i="21"/>
  <c r="K160" i="21"/>
  <c r="J160" i="21"/>
  <c r="I160" i="21"/>
  <c r="D160" i="21"/>
  <c r="C160" i="21"/>
  <c r="A160" i="21"/>
  <c r="K159" i="21"/>
  <c r="J159" i="21"/>
  <c r="I159" i="21"/>
  <c r="D159" i="21"/>
  <c r="C159" i="21"/>
  <c r="A159" i="21"/>
  <c r="K158" i="21"/>
  <c r="I158" i="21"/>
  <c r="J158" i="21" s="1"/>
  <c r="D158" i="21"/>
  <c r="C158" i="21"/>
  <c r="A158" i="21"/>
  <c r="K157" i="21"/>
  <c r="I157" i="21"/>
  <c r="J157" i="21" s="1"/>
  <c r="D157" i="21"/>
  <c r="C157" i="21"/>
  <c r="A157" i="21"/>
  <c r="K156" i="21"/>
  <c r="J156" i="21"/>
  <c r="I156" i="21"/>
  <c r="D156" i="21"/>
  <c r="C156" i="21"/>
  <c r="A156" i="21"/>
  <c r="K155" i="21"/>
  <c r="J155" i="21"/>
  <c r="I155" i="21"/>
  <c r="D155" i="21"/>
  <c r="C155" i="21"/>
  <c r="A155" i="21"/>
  <c r="K154" i="21"/>
  <c r="I154" i="21"/>
  <c r="J154" i="21" s="1"/>
  <c r="D154" i="21"/>
  <c r="C154" i="21"/>
  <c r="A154" i="21"/>
  <c r="K153" i="21"/>
  <c r="I153" i="21"/>
  <c r="J153" i="21" s="1"/>
  <c r="D153" i="21"/>
  <c r="C153" i="21"/>
  <c r="A153" i="21"/>
  <c r="K152" i="21"/>
  <c r="J152" i="21"/>
  <c r="I152" i="21"/>
  <c r="D152" i="21"/>
  <c r="C152" i="21"/>
  <c r="A152" i="21"/>
  <c r="K151" i="21"/>
  <c r="J151" i="21"/>
  <c r="I151" i="21"/>
  <c r="D151" i="21"/>
  <c r="C151" i="21"/>
  <c r="A151" i="21"/>
  <c r="K150" i="21"/>
  <c r="I150" i="21"/>
  <c r="J150" i="21" s="1"/>
  <c r="D150" i="21"/>
  <c r="C150" i="21"/>
  <c r="A150" i="21"/>
  <c r="K149" i="21"/>
  <c r="I149" i="21"/>
  <c r="J149" i="21" s="1"/>
  <c r="D149" i="21"/>
  <c r="C149" i="21"/>
  <c r="A149" i="21"/>
  <c r="K148" i="21"/>
  <c r="J148" i="21"/>
  <c r="I148" i="21"/>
  <c r="D148" i="21"/>
  <c r="C148" i="21"/>
  <c r="A148" i="21"/>
  <c r="K147" i="21"/>
  <c r="J147" i="21"/>
  <c r="I147" i="21"/>
  <c r="D147" i="21"/>
  <c r="C147" i="21"/>
  <c r="A147" i="21"/>
  <c r="K146" i="21"/>
  <c r="I146" i="21"/>
  <c r="J146" i="21" s="1"/>
  <c r="D146" i="21"/>
  <c r="C146" i="21"/>
  <c r="A146" i="21"/>
  <c r="K145" i="21"/>
  <c r="I145" i="21"/>
  <c r="J145" i="21" s="1"/>
  <c r="D145" i="21"/>
  <c r="C145" i="21"/>
  <c r="A145" i="21"/>
  <c r="K144" i="21"/>
  <c r="J144" i="21"/>
  <c r="I144" i="21"/>
  <c r="D144" i="21"/>
  <c r="C144" i="21"/>
  <c r="A144" i="21"/>
  <c r="K143" i="21"/>
  <c r="J143" i="21"/>
  <c r="I143" i="21"/>
  <c r="D143" i="21"/>
  <c r="C143" i="21"/>
  <c r="A143" i="21"/>
  <c r="K142" i="21"/>
  <c r="I142" i="21"/>
  <c r="J142" i="21" s="1"/>
  <c r="D142" i="21"/>
  <c r="C142" i="21"/>
  <c r="A142" i="21"/>
  <c r="K141" i="21"/>
  <c r="I141" i="21"/>
  <c r="J141" i="21" s="1"/>
  <c r="D141" i="21"/>
  <c r="C141" i="21"/>
  <c r="A141" i="21"/>
  <c r="K140" i="21"/>
  <c r="J140" i="21"/>
  <c r="I140" i="21"/>
  <c r="D140" i="21"/>
  <c r="C140" i="21"/>
  <c r="A140" i="21"/>
  <c r="K139" i="21"/>
  <c r="J139" i="21"/>
  <c r="I139" i="21"/>
  <c r="D139" i="21"/>
  <c r="C139" i="21"/>
  <c r="A139" i="21"/>
  <c r="K138" i="21"/>
  <c r="I138" i="21"/>
  <c r="J138" i="21" s="1"/>
  <c r="D138" i="21"/>
  <c r="C138" i="21"/>
  <c r="A138" i="21"/>
  <c r="K137" i="21"/>
  <c r="I137" i="21"/>
  <c r="J137" i="21" s="1"/>
  <c r="D137" i="21"/>
  <c r="C137" i="21"/>
  <c r="A137" i="21"/>
  <c r="K136" i="21"/>
  <c r="J136" i="21"/>
  <c r="I136" i="21"/>
  <c r="D136" i="21"/>
  <c r="C136" i="21"/>
  <c r="A136" i="21"/>
  <c r="K135" i="21"/>
  <c r="J135" i="21"/>
  <c r="I135" i="21"/>
  <c r="D135" i="21"/>
  <c r="C135" i="21"/>
  <c r="A135" i="21"/>
  <c r="K134" i="21"/>
  <c r="I134" i="21"/>
  <c r="J134" i="21" s="1"/>
  <c r="D134" i="21"/>
  <c r="C134" i="21"/>
  <c r="A134" i="21"/>
  <c r="K133" i="21"/>
  <c r="I133" i="21"/>
  <c r="J133" i="21" s="1"/>
  <c r="D133" i="21"/>
  <c r="C133" i="21"/>
  <c r="A133" i="21"/>
  <c r="K132" i="21"/>
  <c r="J132" i="21"/>
  <c r="I132" i="21"/>
  <c r="D132" i="21"/>
  <c r="C132" i="21"/>
  <c r="A132" i="21"/>
  <c r="K131" i="21"/>
  <c r="J131" i="21"/>
  <c r="I131" i="21"/>
  <c r="D131" i="21"/>
  <c r="C131" i="21"/>
  <c r="A131" i="21"/>
  <c r="K130" i="21"/>
  <c r="I130" i="21"/>
  <c r="J130" i="21" s="1"/>
  <c r="D130" i="21"/>
  <c r="C130" i="21"/>
  <c r="A130" i="21"/>
  <c r="K129" i="21"/>
  <c r="I129" i="21"/>
  <c r="J129" i="21" s="1"/>
  <c r="D129" i="21"/>
  <c r="C129" i="21"/>
  <c r="A129" i="21"/>
  <c r="K128" i="21"/>
  <c r="J128" i="21"/>
  <c r="I128" i="21"/>
  <c r="D128" i="21"/>
  <c r="C128" i="21"/>
  <c r="A128" i="21"/>
  <c r="K127" i="21"/>
  <c r="J127" i="21"/>
  <c r="I127" i="21"/>
  <c r="D127" i="21"/>
  <c r="C127" i="21"/>
  <c r="A127" i="21"/>
  <c r="K126" i="21"/>
  <c r="I126" i="21"/>
  <c r="J126" i="21" s="1"/>
  <c r="D126" i="21"/>
  <c r="C126" i="21"/>
  <c r="A126" i="21"/>
  <c r="K125" i="21"/>
  <c r="I125" i="21"/>
  <c r="J125" i="21" s="1"/>
  <c r="D125" i="21"/>
  <c r="C125" i="21"/>
  <c r="A125" i="21"/>
  <c r="K124" i="21"/>
  <c r="J124" i="21"/>
  <c r="I124" i="21"/>
  <c r="D124" i="21"/>
  <c r="C124" i="21"/>
  <c r="A124" i="21"/>
  <c r="K123" i="21"/>
  <c r="J123" i="21"/>
  <c r="I123" i="21"/>
  <c r="D123" i="21"/>
  <c r="C123" i="21"/>
  <c r="A123" i="21"/>
  <c r="K122" i="21"/>
  <c r="I122" i="21"/>
  <c r="J122" i="21" s="1"/>
  <c r="D122" i="21"/>
  <c r="C122" i="21"/>
  <c r="A122" i="21"/>
  <c r="K121" i="21"/>
  <c r="I121" i="21"/>
  <c r="J121" i="21" s="1"/>
  <c r="D121" i="21"/>
  <c r="C121" i="21"/>
  <c r="A121" i="21"/>
  <c r="K120" i="21"/>
  <c r="J120" i="21"/>
  <c r="I120" i="21"/>
  <c r="D120" i="21"/>
  <c r="C120" i="21"/>
  <c r="A120" i="21"/>
  <c r="K119" i="21"/>
  <c r="J119" i="21"/>
  <c r="I119" i="21"/>
  <c r="D119" i="21"/>
  <c r="C119" i="21"/>
  <c r="A119" i="21"/>
  <c r="K118" i="21"/>
  <c r="I118" i="21"/>
  <c r="J118" i="21" s="1"/>
  <c r="D118" i="21"/>
  <c r="C118" i="21"/>
  <c r="A118" i="21"/>
  <c r="K117" i="21"/>
  <c r="I117" i="21"/>
  <c r="J117" i="21" s="1"/>
  <c r="D117" i="21"/>
  <c r="C117" i="21"/>
  <c r="A117" i="21"/>
  <c r="K116" i="21"/>
  <c r="J116" i="21"/>
  <c r="I116" i="21"/>
  <c r="D116" i="21"/>
  <c r="C116" i="21"/>
  <c r="A116" i="21"/>
  <c r="K115" i="21"/>
  <c r="J115" i="21"/>
  <c r="I115" i="21"/>
  <c r="D115" i="21"/>
  <c r="C115" i="21"/>
  <c r="A115" i="21"/>
  <c r="K114" i="21"/>
  <c r="I114" i="21"/>
  <c r="J114" i="21" s="1"/>
  <c r="D114" i="21"/>
  <c r="C114" i="21"/>
  <c r="A114" i="21"/>
  <c r="K113" i="21"/>
  <c r="I113" i="21"/>
  <c r="J113" i="21" s="1"/>
  <c r="D113" i="21"/>
  <c r="C113" i="21"/>
  <c r="A113" i="21"/>
  <c r="K112" i="21"/>
  <c r="J112" i="21"/>
  <c r="I112" i="21"/>
  <c r="D112" i="21"/>
  <c r="C112" i="21"/>
  <c r="A112" i="21"/>
  <c r="K111" i="21"/>
  <c r="J111" i="21"/>
  <c r="I111" i="21"/>
  <c r="D111" i="21"/>
  <c r="C111" i="21"/>
  <c r="A111" i="21"/>
  <c r="K110" i="21"/>
  <c r="I110" i="21"/>
  <c r="J110" i="21" s="1"/>
  <c r="D110" i="21"/>
  <c r="C110" i="21"/>
  <c r="A110" i="21"/>
  <c r="K109" i="21"/>
  <c r="I109" i="21"/>
  <c r="J109" i="21" s="1"/>
  <c r="D109" i="21"/>
  <c r="C109" i="21"/>
  <c r="A109" i="21"/>
  <c r="K108" i="21"/>
  <c r="J108" i="21"/>
  <c r="I108" i="21"/>
  <c r="D108" i="21"/>
  <c r="C108" i="21"/>
  <c r="A108" i="21"/>
  <c r="K107" i="21"/>
  <c r="J107" i="21"/>
  <c r="I107" i="21"/>
  <c r="D107" i="21"/>
  <c r="C107" i="21"/>
  <c r="A107" i="21"/>
  <c r="K106" i="21"/>
  <c r="I106" i="21"/>
  <c r="J106" i="21" s="1"/>
  <c r="D106" i="21"/>
  <c r="C106" i="21"/>
  <c r="A106" i="21"/>
  <c r="K105" i="21"/>
  <c r="I105" i="21"/>
  <c r="J105" i="21" s="1"/>
  <c r="D105" i="21"/>
  <c r="C105" i="21"/>
  <c r="A105" i="21"/>
  <c r="K104" i="21"/>
  <c r="J104" i="21"/>
  <c r="I104" i="21"/>
  <c r="D104" i="21"/>
  <c r="C104" i="21"/>
  <c r="A104" i="21"/>
  <c r="K103" i="21"/>
  <c r="J103" i="21"/>
  <c r="I103" i="21"/>
  <c r="D103" i="21"/>
  <c r="C103" i="21"/>
  <c r="A103" i="21"/>
  <c r="K102" i="21"/>
  <c r="I102" i="21"/>
  <c r="J102" i="21" s="1"/>
  <c r="D102" i="21"/>
  <c r="C102" i="21"/>
  <c r="A102" i="21"/>
  <c r="K101" i="21"/>
  <c r="I101" i="21"/>
  <c r="J101" i="21" s="1"/>
  <c r="D101" i="21"/>
  <c r="C101" i="21"/>
  <c r="A101" i="21"/>
  <c r="K100" i="21"/>
  <c r="J100" i="21"/>
  <c r="I100" i="21"/>
  <c r="D100" i="21"/>
  <c r="C100" i="21"/>
  <c r="A100" i="21"/>
  <c r="K99" i="21"/>
  <c r="J99" i="21"/>
  <c r="I99" i="21"/>
  <c r="D99" i="21"/>
  <c r="C99" i="21"/>
  <c r="A99" i="21"/>
  <c r="K98" i="21"/>
  <c r="I98" i="21"/>
  <c r="J98" i="21" s="1"/>
  <c r="D98" i="21"/>
  <c r="C98" i="21"/>
  <c r="A98" i="21"/>
  <c r="K97" i="21"/>
  <c r="I97" i="21"/>
  <c r="J97" i="21" s="1"/>
  <c r="D97" i="21"/>
  <c r="C97" i="21"/>
  <c r="A97" i="21"/>
  <c r="K96" i="21"/>
  <c r="J96" i="21"/>
  <c r="I96" i="21"/>
  <c r="D96" i="21"/>
  <c r="C96" i="21"/>
  <c r="A96" i="21"/>
  <c r="K95" i="21"/>
  <c r="J95" i="21"/>
  <c r="I95" i="21"/>
  <c r="D95" i="21"/>
  <c r="C95" i="21"/>
  <c r="A95" i="21"/>
  <c r="K94" i="21"/>
  <c r="I94" i="21"/>
  <c r="J94" i="21" s="1"/>
  <c r="D94" i="21"/>
  <c r="C94" i="21"/>
  <c r="A94" i="21"/>
  <c r="K93" i="21"/>
  <c r="I93" i="21"/>
  <c r="J93" i="21" s="1"/>
  <c r="D93" i="21"/>
  <c r="C93" i="21"/>
  <c r="A93" i="21"/>
  <c r="K92" i="21"/>
  <c r="J92" i="21"/>
  <c r="I92" i="21"/>
  <c r="D92" i="21"/>
  <c r="C92" i="21"/>
  <c r="A92" i="21"/>
  <c r="K91" i="21"/>
  <c r="J91" i="21"/>
  <c r="I91" i="21"/>
  <c r="D91" i="21"/>
  <c r="C91" i="21"/>
  <c r="A91" i="21"/>
  <c r="K90" i="21"/>
  <c r="I90" i="21"/>
  <c r="J90" i="21" s="1"/>
  <c r="D90" i="21"/>
  <c r="C90" i="21"/>
  <c r="A90" i="21"/>
  <c r="K89" i="21"/>
  <c r="I89" i="21"/>
  <c r="J89" i="21" s="1"/>
  <c r="D89" i="21"/>
  <c r="C89" i="21"/>
  <c r="A89" i="21"/>
  <c r="K88" i="21"/>
  <c r="J88" i="21"/>
  <c r="I88" i="21"/>
  <c r="D88" i="21"/>
  <c r="C88" i="21"/>
  <c r="A88" i="21"/>
  <c r="K87" i="21"/>
  <c r="J87" i="21"/>
  <c r="I87" i="21"/>
  <c r="D87" i="21"/>
  <c r="C87" i="21"/>
  <c r="A87" i="21"/>
  <c r="K86" i="21"/>
  <c r="I86" i="21"/>
  <c r="J86" i="21" s="1"/>
  <c r="D86" i="21"/>
  <c r="C86" i="21"/>
  <c r="A86" i="21"/>
  <c r="K85" i="21"/>
  <c r="I85" i="21"/>
  <c r="J85" i="21" s="1"/>
  <c r="D85" i="21"/>
  <c r="C85" i="21"/>
  <c r="A85" i="21"/>
  <c r="K84" i="21"/>
  <c r="J84" i="21"/>
  <c r="I84" i="21"/>
  <c r="D84" i="21"/>
  <c r="C84" i="21"/>
  <c r="A84" i="21"/>
  <c r="K83" i="21"/>
  <c r="J83" i="21"/>
  <c r="I83" i="21"/>
  <c r="D83" i="21"/>
  <c r="C83" i="21"/>
  <c r="A83" i="21"/>
  <c r="K82" i="21"/>
  <c r="I82" i="21"/>
  <c r="J82" i="21" s="1"/>
  <c r="D82" i="21"/>
  <c r="C82" i="21"/>
  <c r="A82" i="21"/>
  <c r="K81" i="21"/>
  <c r="I81" i="21"/>
  <c r="J81" i="21" s="1"/>
  <c r="D81" i="21"/>
  <c r="C81" i="21"/>
  <c r="A81" i="21"/>
  <c r="K80" i="21"/>
  <c r="J80" i="21"/>
  <c r="I80" i="21"/>
  <c r="D80" i="21"/>
  <c r="C80" i="21"/>
  <c r="A80" i="21"/>
  <c r="K79" i="21"/>
  <c r="J79" i="21"/>
  <c r="I79" i="21"/>
  <c r="D79" i="21"/>
  <c r="C79" i="21"/>
  <c r="A79" i="21"/>
  <c r="K78" i="21"/>
  <c r="I78" i="21"/>
  <c r="J78" i="21" s="1"/>
  <c r="D78" i="21"/>
  <c r="C78" i="21"/>
  <c r="A78" i="21"/>
  <c r="K77" i="21"/>
  <c r="I77" i="21"/>
  <c r="J77" i="21" s="1"/>
  <c r="D77" i="21"/>
  <c r="C77" i="21"/>
  <c r="A77" i="21"/>
  <c r="K76" i="21"/>
  <c r="J76" i="21"/>
  <c r="I76" i="21"/>
  <c r="D76" i="21"/>
  <c r="C76" i="21"/>
  <c r="A76" i="21"/>
  <c r="K75" i="21"/>
  <c r="J75" i="21"/>
  <c r="I75" i="21"/>
  <c r="D75" i="21"/>
  <c r="C75" i="21"/>
  <c r="A75" i="21"/>
  <c r="K74" i="21"/>
  <c r="I74" i="21"/>
  <c r="J74" i="21" s="1"/>
  <c r="D74" i="21"/>
  <c r="C74" i="21"/>
  <c r="A74" i="21"/>
  <c r="K73" i="21"/>
  <c r="I73" i="21"/>
  <c r="J73" i="21" s="1"/>
  <c r="D73" i="21"/>
  <c r="C73" i="21"/>
  <c r="A73" i="21"/>
  <c r="K72" i="21"/>
  <c r="J72" i="21"/>
  <c r="I72" i="21"/>
  <c r="D72" i="21"/>
  <c r="C72" i="21"/>
  <c r="A72" i="21"/>
  <c r="K71" i="21"/>
  <c r="J71" i="21"/>
  <c r="I71" i="21"/>
  <c r="D71" i="21"/>
  <c r="C71" i="21"/>
  <c r="A71" i="21"/>
  <c r="K70" i="21"/>
  <c r="J70" i="21"/>
  <c r="I70" i="21"/>
  <c r="D70" i="21"/>
  <c r="C70" i="21"/>
  <c r="A70" i="21"/>
  <c r="K69" i="21"/>
  <c r="I69" i="21"/>
  <c r="J69" i="21" s="1"/>
  <c r="D69" i="21"/>
  <c r="C69" i="21"/>
  <c r="A69" i="21"/>
  <c r="K68" i="21"/>
  <c r="J68" i="21"/>
  <c r="I68" i="21"/>
  <c r="D68" i="21"/>
  <c r="C68" i="21"/>
  <c r="A68" i="21"/>
  <c r="K67" i="21"/>
  <c r="J67" i="21"/>
  <c r="I67" i="21"/>
  <c r="D67" i="21"/>
  <c r="C67" i="21"/>
  <c r="A67" i="21"/>
  <c r="K66" i="21"/>
  <c r="J66" i="21"/>
  <c r="I66" i="21"/>
  <c r="D66" i="21"/>
  <c r="C66" i="21"/>
  <c r="A66" i="21"/>
  <c r="K65" i="21"/>
  <c r="I65" i="21"/>
  <c r="J65" i="21" s="1"/>
  <c r="D65" i="21"/>
  <c r="C65" i="21"/>
  <c r="A65" i="21"/>
  <c r="K64" i="21"/>
  <c r="J64" i="21"/>
  <c r="I64" i="21"/>
  <c r="D64" i="21"/>
  <c r="C64" i="21"/>
  <c r="A64" i="21"/>
  <c r="K63" i="21"/>
  <c r="J63" i="21"/>
  <c r="I63" i="21"/>
  <c r="D63" i="21"/>
  <c r="C63" i="21"/>
  <c r="A63" i="21"/>
  <c r="K62" i="21"/>
  <c r="J62" i="21"/>
  <c r="I62" i="21"/>
  <c r="D62" i="21"/>
  <c r="C62" i="21"/>
  <c r="A62" i="21"/>
  <c r="K61" i="21"/>
  <c r="I61" i="21"/>
  <c r="J61" i="21" s="1"/>
  <c r="D61" i="21"/>
  <c r="C61" i="21"/>
  <c r="A61" i="21"/>
  <c r="K60" i="21"/>
  <c r="J60" i="21"/>
  <c r="I60" i="21"/>
  <c r="D60" i="21"/>
  <c r="C60" i="21"/>
  <c r="A60" i="21"/>
  <c r="K59" i="21"/>
  <c r="J59" i="21"/>
  <c r="I59" i="21"/>
  <c r="D59" i="21"/>
  <c r="C59" i="21"/>
  <c r="A59" i="21"/>
  <c r="K58" i="21"/>
  <c r="I58" i="21"/>
  <c r="J58" i="21" s="1"/>
  <c r="D58" i="21"/>
  <c r="C58" i="21"/>
  <c r="A58" i="21"/>
  <c r="K57" i="21"/>
  <c r="I57" i="21"/>
  <c r="J57" i="21" s="1"/>
  <c r="D57" i="21"/>
  <c r="C57" i="21"/>
  <c r="A57" i="21"/>
  <c r="K56" i="21"/>
  <c r="J56" i="21"/>
  <c r="I56" i="21"/>
  <c r="D56" i="21"/>
  <c r="C56" i="21"/>
  <c r="A56" i="21"/>
  <c r="K55" i="21"/>
  <c r="J55" i="21"/>
  <c r="I55" i="21"/>
  <c r="D55" i="21"/>
  <c r="C55" i="21"/>
  <c r="A55" i="21"/>
  <c r="K54" i="21"/>
  <c r="J54" i="21"/>
  <c r="I54" i="21"/>
  <c r="D54" i="21"/>
  <c r="C54" i="21"/>
  <c r="A54" i="21"/>
  <c r="K53" i="21"/>
  <c r="I53" i="21"/>
  <c r="J53" i="21" s="1"/>
  <c r="D53" i="21"/>
  <c r="C53" i="21"/>
  <c r="A53" i="21"/>
  <c r="K52" i="21"/>
  <c r="J52" i="21"/>
  <c r="I52" i="21"/>
  <c r="D52" i="21"/>
  <c r="C52" i="21"/>
  <c r="A52" i="21"/>
  <c r="K51" i="21"/>
  <c r="J51" i="21"/>
  <c r="I51" i="21"/>
  <c r="D51" i="21"/>
  <c r="C51" i="21"/>
  <c r="A51" i="21"/>
  <c r="K50" i="21"/>
  <c r="J50" i="21"/>
  <c r="I50" i="21"/>
  <c r="D50" i="21"/>
  <c r="C50" i="21"/>
  <c r="A50" i="21"/>
  <c r="K49" i="21"/>
  <c r="I49" i="21"/>
  <c r="J49" i="21" s="1"/>
  <c r="D49" i="21"/>
  <c r="C49" i="21"/>
  <c r="A49" i="21"/>
  <c r="K48" i="21"/>
  <c r="J48" i="21"/>
  <c r="I48" i="21"/>
  <c r="D48" i="21"/>
  <c r="C48" i="21"/>
  <c r="A48" i="21"/>
  <c r="K47" i="21"/>
  <c r="J47" i="21"/>
  <c r="I47" i="21"/>
  <c r="D47" i="21"/>
  <c r="C47" i="21"/>
  <c r="A47" i="21"/>
  <c r="K46" i="21"/>
  <c r="I46" i="21"/>
  <c r="J46" i="21" s="1"/>
  <c r="D46" i="21"/>
  <c r="C46" i="21"/>
  <c r="A46" i="21"/>
  <c r="K45" i="21"/>
  <c r="I45" i="21"/>
  <c r="J45" i="21" s="1"/>
  <c r="D45" i="21"/>
  <c r="C45" i="21"/>
  <c r="A45" i="21"/>
  <c r="K44" i="21"/>
  <c r="J44" i="21"/>
  <c r="I44" i="21"/>
  <c r="D44" i="21"/>
  <c r="C44" i="21"/>
  <c r="A44" i="21"/>
  <c r="K43" i="21"/>
  <c r="J43" i="21"/>
  <c r="I43" i="21"/>
  <c r="D43" i="21"/>
  <c r="C43" i="21"/>
  <c r="A43" i="21"/>
  <c r="K42" i="21"/>
  <c r="I42" i="21"/>
  <c r="J42" i="21" s="1"/>
  <c r="D42" i="21"/>
  <c r="C42" i="21"/>
  <c r="A42" i="21"/>
  <c r="K41" i="21"/>
  <c r="I41" i="21"/>
  <c r="J41" i="21" s="1"/>
  <c r="D41" i="21"/>
  <c r="C41" i="21"/>
  <c r="A41" i="21"/>
  <c r="K40" i="21"/>
  <c r="J40" i="21"/>
  <c r="I40" i="21"/>
  <c r="D40" i="21"/>
  <c r="C40" i="21"/>
  <c r="A40" i="21"/>
  <c r="K39" i="21"/>
  <c r="J39" i="21"/>
  <c r="I39" i="21"/>
  <c r="D39" i="21"/>
  <c r="C39" i="21"/>
  <c r="A39" i="21"/>
  <c r="K38" i="21"/>
  <c r="J38" i="21"/>
  <c r="I38" i="21"/>
  <c r="D38" i="21"/>
  <c r="C38" i="21"/>
  <c r="A38" i="21"/>
  <c r="K37" i="21"/>
  <c r="I37" i="21"/>
  <c r="J37" i="21" s="1"/>
  <c r="D37" i="21"/>
  <c r="C37" i="21"/>
  <c r="A37" i="21"/>
  <c r="K36" i="21"/>
  <c r="J36" i="21"/>
  <c r="I36" i="21"/>
  <c r="D36" i="21"/>
  <c r="C36" i="21"/>
  <c r="A36" i="21"/>
  <c r="K35" i="21"/>
  <c r="J35" i="21"/>
  <c r="I35" i="21"/>
  <c r="D35" i="21"/>
  <c r="C35" i="21"/>
  <c r="A35" i="21"/>
  <c r="K34" i="21"/>
  <c r="J34" i="21"/>
  <c r="I34" i="21"/>
  <c r="D34" i="21"/>
  <c r="C34" i="21"/>
  <c r="A34" i="21"/>
  <c r="K33" i="21"/>
  <c r="I33" i="21"/>
  <c r="J33" i="21" s="1"/>
  <c r="D33" i="21"/>
  <c r="C33" i="21"/>
  <c r="A33" i="21"/>
  <c r="K32" i="21"/>
  <c r="J32" i="21"/>
  <c r="I32" i="21"/>
  <c r="D32" i="21"/>
  <c r="C32" i="21"/>
  <c r="A32" i="21"/>
  <c r="K31" i="21"/>
  <c r="J31" i="21"/>
  <c r="I31" i="21"/>
  <c r="D31" i="21"/>
  <c r="C31" i="21"/>
  <c r="A31" i="21"/>
  <c r="K30" i="21"/>
  <c r="J30" i="21"/>
  <c r="I30" i="21"/>
  <c r="D30" i="21"/>
  <c r="C30" i="21"/>
  <c r="A30" i="21"/>
  <c r="K29" i="21"/>
  <c r="I29" i="21"/>
  <c r="J29" i="21" s="1"/>
  <c r="D29" i="21"/>
  <c r="C29" i="21"/>
  <c r="A29" i="21"/>
  <c r="K28" i="21"/>
  <c r="J28" i="21"/>
  <c r="I28" i="21"/>
  <c r="D28" i="21"/>
  <c r="C28" i="21"/>
  <c r="A28" i="21"/>
  <c r="K27" i="21"/>
  <c r="J27" i="21"/>
  <c r="I27" i="21"/>
  <c r="D27" i="21"/>
  <c r="C27" i="21"/>
  <c r="A27" i="21"/>
  <c r="K26" i="21"/>
  <c r="I26" i="21"/>
  <c r="J26" i="21" s="1"/>
  <c r="D26" i="21"/>
  <c r="C26" i="21"/>
  <c r="A26" i="21"/>
  <c r="K25" i="21"/>
  <c r="I25" i="21"/>
  <c r="J25" i="21" s="1"/>
  <c r="D25" i="21"/>
  <c r="C25" i="21"/>
  <c r="A25" i="21"/>
  <c r="K24" i="21"/>
  <c r="J24" i="21"/>
  <c r="I24" i="21"/>
  <c r="D24" i="21"/>
  <c r="C24" i="21"/>
  <c r="A24" i="21"/>
  <c r="K23" i="21"/>
  <c r="J23" i="21"/>
  <c r="I23" i="21"/>
  <c r="D23" i="21"/>
  <c r="C23" i="21"/>
  <c r="A23" i="21"/>
  <c r="K22" i="21"/>
  <c r="J22" i="21"/>
  <c r="I22" i="21"/>
  <c r="D22" i="21"/>
  <c r="C22" i="21"/>
  <c r="A22" i="21"/>
  <c r="K21" i="21"/>
  <c r="I21" i="21"/>
  <c r="J21" i="21" s="1"/>
  <c r="D21" i="21"/>
  <c r="C21" i="21"/>
  <c r="A21" i="21"/>
  <c r="K20" i="21"/>
  <c r="J20" i="21"/>
  <c r="I20" i="21"/>
  <c r="D20" i="21"/>
  <c r="C20" i="21"/>
  <c r="A20" i="21"/>
  <c r="K19" i="21"/>
  <c r="J19" i="21"/>
  <c r="I19" i="21"/>
  <c r="D19" i="21"/>
  <c r="C19" i="21"/>
  <c r="A19" i="21"/>
  <c r="K18" i="21"/>
  <c r="J18" i="21"/>
  <c r="I18" i="21"/>
  <c r="D18" i="21"/>
  <c r="C18" i="21"/>
  <c r="A18" i="21"/>
  <c r="K17" i="21"/>
  <c r="I17" i="21"/>
  <c r="J17" i="21" s="1"/>
  <c r="D17" i="21"/>
  <c r="C17" i="21"/>
  <c r="A17" i="21"/>
  <c r="K16" i="21"/>
  <c r="J16" i="21"/>
  <c r="I16" i="21"/>
  <c r="D16" i="21"/>
  <c r="C16" i="21"/>
  <c r="A16" i="21"/>
  <c r="K15" i="21"/>
  <c r="J15" i="21"/>
  <c r="I15" i="21"/>
  <c r="D15" i="21"/>
  <c r="C15" i="21"/>
  <c r="A15" i="21"/>
  <c r="K14" i="21"/>
  <c r="I14" i="21"/>
  <c r="J14" i="21" s="1"/>
  <c r="D14" i="21"/>
  <c r="C14" i="21"/>
  <c r="A14" i="21"/>
  <c r="B9" i="21"/>
  <c r="B10" i="21" s="1"/>
  <c r="B8" i="21"/>
  <c r="J208" i="20"/>
  <c r="K208" i="20" s="1"/>
  <c r="G208" i="20"/>
  <c r="D208" i="20"/>
  <c r="C208" i="20"/>
  <c r="B208" i="20"/>
  <c r="J207" i="20"/>
  <c r="K207" i="20" s="1"/>
  <c r="G207" i="20"/>
  <c r="D207" i="20"/>
  <c r="C207" i="20"/>
  <c r="B207" i="20"/>
  <c r="K206" i="20"/>
  <c r="J206" i="20"/>
  <c r="G206" i="20"/>
  <c r="D206" i="20"/>
  <c r="C206" i="20"/>
  <c r="B206" i="20"/>
  <c r="K205" i="20"/>
  <c r="J205" i="20"/>
  <c r="G205" i="20"/>
  <c r="D205" i="20"/>
  <c r="C205" i="20"/>
  <c r="B205" i="20"/>
  <c r="J204" i="20"/>
  <c r="K204" i="20" s="1"/>
  <c r="G204" i="20"/>
  <c r="D204" i="20"/>
  <c r="C204" i="20"/>
  <c r="B204" i="20"/>
  <c r="J203" i="20"/>
  <c r="K203" i="20" s="1"/>
  <c r="G203" i="20"/>
  <c r="D203" i="20"/>
  <c r="C203" i="20"/>
  <c r="B203" i="20"/>
  <c r="K202" i="20"/>
  <c r="J202" i="20"/>
  <c r="G202" i="20"/>
  <c r="D202" i="20"/>
  <c r="C202" i="20"/>
  <c r="B202" i="20"/>
  <c r="K201" i="20"/>
  <c r="J201" i="20"/>
  <c r="G201" i="20"/>
  <c r="D201" i="20"/>
  <c r="C201" i="20"/>
  <c r="B201" i="20"/>
  <c r="K200" i="20"/>
  <c r="J200" i="20"/>
  <c r="G200" i="20"/>
  <c r="D200" i="20"/>
  <c r="C200" i="20"/>
  <c r="B200" i="20"/>
  <c r="J199" i="20"/>
  <c r="K199" i="20" s="1"/>
  <c r="G199" i="20"/>
  <c r="D199" i="20"/>
  <c r="C199" i="20"/>
  <c r="B199" i="20"/>
  <c r="K198" i="20"/>
  <c r="J198" i="20"/>
  <c r="G198" i="20"/>
  <c r="D198" i="20"/>
  <c r="C198" i="20"/>
  <c r="B198" i="20"/>
  <c r="K197" i="20"/>
  <c r="J197" i="20"/>
  <c r="G197" i="20"/>
  <c r="D197" i="20"/>
  <c r="C197" i="20"/>
  <c r="B197" i="20"/>
  <c r="K196" i="20"/>
  <c r="J196" i="20"/>
  <c r="G196" i="20"/>
  <c r="D196" i="20"/>
  <c r="C196" i="20"/>
  <c r="B196" i="20"/>
  <c r="J195" i="20"/>
  <c r="K195" i="20" s="1"/>
  <c r="G195" i="20"/>
  <c r="D195" i="20"/>
  <c r="C195" i="20"/>
  <c r="B195" i="20"/>
  <c r="K194" i="20"/>
  <c r="J194" i="20"/>
  <c r="G194" i="20"/>
  <c r="D194" i="20"/>
  <c r="C194" i="20"/>
  <c r="B194" i="20"/>
  <c r="K193" i="20"/>
  <c r="J193" i="20"/>
  <c r="G193" i="20"/>
  <c r="D193" i="20"/>
  <c r="C193" i="20"/>
  <c r="B193" i="20"/>
  <c r="J192" i="20"/>
  <c r="K192" i="20" s="1"/>
  <c r="G192" i="20"/>
  <c r="D192" i="20"/>
  <c r="C192" i="20"/>
  <c r="B192" i="20"/>
  <c r="J191" i="20"/>
  <c r="K191" i="20" s="1"/>
  <c r="G191" i="20"/>
  <c r="D191" i="20"/>
  <c r="C191" i="20"/>
  <c r="B191" i="20"/>
  <c r="K190" i="20"/>
  <c r="J190" i="20"/>
  <c r="G190" i="20"/>
  <c r="D190" i="20"/>
  <c r="C190" i="20"/>
  <c r="B190" i="20"/>
  <c r="K189" i="20"/>
  <c r="J189" i="20"/>
  <c r="G189" i="20"/>
  <c r="D189" i="20"/>
  <c r="C189" i="20"/>
  <c r="B189" i="20"/>
  <c r="K188" i="20"/>
  <c r="J188" i="20"/>
  <c r="G188" i="20"/>
  <c r="D188" i="20"/>
  <c r="C188" i="20"/>
  <c r="B188" i="20"/>
  <c r="J187" i="20"/>
  <c r="K187" i="20" s="1"/>
  <c r="G187" i="20"/>
  <c r="D187" i="20"/>
  <c r="C187" i="20"/>
  <c r="B187" i="20"/>
  <c r="K186" i="20"/>
  <c r="J186" i="20"/>
  <c r="G186" i="20"/>
  <c r="D186" i="20"/>
  <c r="C186" i="20"/>
  <c r="B186" i="20"/>
  <c r="K185" i="20"/>
  <c r="J185" i="20"/>
  <c r="G185" i="20"/>
  <c r="D185" i="20"/>
  <c r="C185" i="20"/>
  <c r="B185" i="20"/>
  <c r="K184" i="20"/>
  <c r="J184" i="20"/>
  <c r="G184" i="20"/>
  <c r="D184" i="20"/>
  <c r="C184" i="20"/>
  <c r="B184" i="20"/>
  <c r="J183" i="20"/>
  <c r="K183" i="20" s="1"/>
  <c r="G183" i="20"/>
  <c r="D183" i="20"/>
  <c r="C183" i="20"/>
  <c r="B183" i="20"/>
  <c r="K182" i="20"/>
  <c r="J182" i="20"/>
  <c r="G182" i="20"/>
  <c r="D182" i="20"/>
  <c r="C182" i="20"/>
  <c r="B182" i="20"/>
  <c r="K181" i="20"/>
  <c r="J181" i="20"/>
  <c r="G181" i="20"/>
  <c r="D181" i="20"/>
  <c r="C181" i="20"/>
  <c r="B181" i="20"/>
  <c r="J180" i="20"/>
  <c r="K180" i="20" s="1"/>
  <c r="G180" i="20"/>
  <c r="D180" i="20"/>
  <c r="C180" i="20"/>
  <c r="B180" i="20"/>
  <c r="J179" i="20"/>
  <c r="K179" i="20" s="1"/>
  <c r="G179" i="20"/>
  <c r="D179" i="20"/>
  <c r="C179" i="20"/>
  <c r="B179" i="20"/>
  <c r="K178" i="20"/>
  <c r="J178" i="20"/>
  <c r="G178" i="20"/>
  <c r="D178" i="20"/>
  <c r="C178" i="20"/>
  <c r="B178" i="20"/>
  <c r="K177" i="20"/>
  <c r="J177" i="20"/>
  <c r="G177" i="20"/>
  <c r="D177" i="20"/>
  <c r="C177" i="20"/>
  <c r="B177" i="20"/>
  <c r="J176" i="20"/>
  <c r="K176" i="20" s="1"/>
  <c r="G176" i="20"/>
  <c r="D176" i="20"/>
  <c r="C176" i="20"/>
  <c r="B176" i="20"/>
  <c r="J175" i="20"/>
  <c r="K175" i="20" s="1"/>
  <c r="G175" i="20"/>
  <c r="D175" i="20"/>
  <c r="C175" i="20"/>
  <c r="B175" i="20"/>
  <c r="K174" i="20"/>
  <c r="J174" i="20"/>
  <c r="G174" i="20"/>
  <c r="D174" i="20"/>
  <c r="C174" i="20"/>
  <c r="B174" i="20"/>
  <c r="K173" i="20"/>
  <c r="J173" i="20"/>
  <c r="G173" i="20"/>
  <c r="D173" i="20"/>
  <c r="C173" i="20"/>
  <c r="B173" i="20"/>
  <c r="J172" i="20"/>
  <c r="K172" i="20" s="1"/>
  <c r="G172" i="20"/>
  <c r="D172" i="20"/>
  <c r="C172" i="20"/>
  <c r="B172" i="20"/>
  <c r="J171" i="20"/>
  <c r="K171" i="20" s="1"/>
  <c r="G171" i="20"/>
  <c r="D171" i="20"/>
  <c r="C171" i="20"/>
  <c r="B171" i="20"/>
  <c r="K170" i="20"/>
  <c r="J170" i="20"/>
  <c r="G170" i="20"/>
  <c r="D170" i="20"/>
  <c r="C170" i="20"/>
  <c r="B170" i="20"/>
  <c r="K169" i="20"/>
  <c r="J169" i="20"/>
  <c r="G169" i="20"/>
  <c r="D169" i="20"/>
  <c r="C169" i="20"/>
  <c r="B169" i="20"/>
  <c r="K168" i="20"/>
  <c r="J168" i="20"/>
  <c r="G168" i="20"/>
  <c r="D168" i="20"/>
  <c r="C168" i="20"/>
  <c r="B168" i="20"/>
  <c r="J167" i="20"/>
  <c r="K167" i="20" s="1"/>
  <c r="G167" i="20"/>
  <c r="D167" i="20"/>
  <c r="C167" i="20"/>
  <c r="B167" i="20"/>
  <c r="K166" i="20"/>
  <c r="J166" i="20"/>
  <c r="G166" i="20"/>
  <c r="D166" i="20"/>
  <c r="C166" i="20"/>
  <c r="B166" i="20"/>
  <c r="K165" i="20"/>
  <c r="J165" i="20"/>
  <c r="G165" i="20"/>
  <c r="D165" i="20"/>
  <c r="C165" i="20"/>
  <c r="B165" i="20"/>
  <c r="K164" i="20"/>
  <c r="J164" i="20"/>
  <c r="G164" i="20"/>
  <c r="D164" i="20"/>
  <c r="C164" i="20"/>
  <c r="B164" i="20"/>
  <c r="J163" i="20"/>
  <c r="K163" i="20" s="1"/>
  <c r="G163" i="20"/>
  <c r="D163" i="20"/>
  <c r="C163" i="20"/>
  <c r="B163" i="20"/>
  <c r="K162" i="20"/>
  <c r="J162" i="20"/>
  <c r="G162" i="20"/>
  <c r="D162" i="20"/>
  <c r="C162" i="20"/>
  <c r="B162" i="20"/>
  <c r="K161" i="20"/>
  <c r="J161" i="20"/>
  <c r="G161" i="20"/>
  <c r="D161" i="20"/>
  <c r="C161" i="20"/>
  <c r="B161" i="20"/>
  <c r="J160" i="20"/>
  <c r="K160" i="20" s="1"/>
  <c r="G160" i="20"/>
  <c r="D160" i="20"/>
  <c r="C160" i="20"/>
  <c r="B160" i="20"/>
  <c r="J159" i="20"/>
  <c r="K159" i="20" s="1"/>
  <c r="G159" i="20"/>
  <c r="D159" i="20"/>
  <c r="C159" i="20"/>
  <c r="B159" i="20"/>
  <c r="K158" i="20"/>
  <c r="J158" i="20"/>
  <c r="G158" i="20"/>
  <c r="D158" i="20"/>
  <c r="C158" i="20"/>
  <c r="B158" i="20"/>
  <c r="K157" i="20"/>
  <c r="J157" i="20"/>
  <c r="G157" i="20"/>
  <c r="D157" i="20"/>
  <c r="C157" i="20"/>
  <c r="B157" i="20"/>
  <c r="K156" i="20"/>
  <c r="J156" i="20"/>
  <c r="G156" i="20"/>
  <c r="D156" i="20"/>
  <c r="C156" i="20"/>
  <c r="B156" i="20"/>
  <c r="J155" i="20"/>
  <c r="K155" i="20" s="1"/>
  <c r="G155" i="20"/>
  <c r="D155" i="20"/>
  <c r="C155" i="20"/>
  <c r="B155" i="20"/>
  <c r="K154" i="20"/>
  <c r="J154" i="20"/>
  <c r="G154" i="20"/>
  <c r="D154" i="20"/>
  <c r="C154" i="20"/>
  <c r="B154" i="20"/>
  <c r="K153" i="20"/>
  <c r="J153" i="20"/>
  <c r="G153" i="20"/>
  <c r="D153" i="20"/>
  <c r="C153" i="20"/>
  <c r="B153" i="20"/>
  <c r="K152" i="20"/>
  <c r="J152" i="20"/>
  <c r="G152" i="20"/>
  <c r="D152" i="20"/>
  <c r="C152" i="20"/>
  <c r="B152" i="20"/>
  <c r="J151" i="20"/>
  <c r="K151" i="20" s="1"/>
  <c r="G151" i="20"/>
  <c r="D151" i="20"/>
  <c r="C151" i="20"/>
  <c r="B151" i="20"/>
  <c r="K150" i="20"/>
  <c r="J150" i="20"/>
  <c r="G150" i="20"/>
  <c r="D150" i="20"/>
  <c r="C150" i="20"/>
  <c r="B150" i="20"/>
  <c r="K149" i="20"/>
  <c r="J149" i="20"/>
  <c r="G149" i="20"/>
  <c r="D149" i="20"/>
  <c r="C149" i="20"/>
  <c r="B149" i="20"/>
  <c r="J148" i="20"/>
  <c r="K148" i="20" s="1"/>
  <c r="G148" i="20"/>
  <c r="D148" i="20"/>
  <c r="C148" i="20"/>
  <c r="B148" i="20"/>
  <c r="J147" i="20"/>
  <c r="K147" i="20" s="1"/>
  <c r="G147" i="20"/>
  <c r="D147" i="20"/>
  <c r="C147" i="20"/>
  <c r="B147" i="20"/>
  <c r="K146" i="20"/>
  <c r="J146" i="20"/>
  <c r="G146" i="20"/>
  <c r="D146" i="20"/>
  <c r="C146" i="20"/>
  <c r="B146" i="20"/>
  <c r="K145" i="20"/>
  <c r="J145" i="20"/>
  <c r="G145" i="20"/>
  <c r="D145" i="20"/>
  <c r="C145" i="20"/>
  <c r="B145" i="20"/>
  <c r="J144" i="20"/>
  <c r="K144" i="20" s="1"/>
  <c r="G144" i="20"/>
  <c r="D144" i="20"/>
  <c r="C144" i="20"/>
  <c r="B144" i="20"/>
  <c r="J143" i="20"/>
  <c r="K143" i="20" s="1"/>
  <c r="G143" i="20"/>
  <c r="D143" i="20"/>
  <c r="C143" i="20"/>
  <c r="B143" i="20"/>
  <c r="K142" i="20"/>
  <c r="J142" i="20"/>
  <c r="G142" i="20"/>
  <c r="D142" i="20"/>
  <c r="C142" i="20"/>
  <c r="B142" i="20"/>
  <c r="K141" i="20"/>
  <c r="J141" i="20"/>
  <c r="G141" i="20"/>
  <c r="D141" i="20"/>
  <c r="C141" i="20"/>
  <c r="B141" i="20"/>
  <c r="J140" i="20"/>
  <c r="K140" i="20" s="1"/>
  <c r="G140" i="20"/>
  <c r="D140" i="20"/>
  <c r="C140" i="20"/>
  <c r="B140" i="20"/>
  <c r="J139" i="20"/>
  <c r="K139" i="20" s="1"/>
  <c r="G139" i="20"/>
  <c r="D139" i="20"/>
  <c r="C139" i="20"/>
  <c r="B139" i="20"/>
  <c r="K138" i="20"/>
  <c r="J138" i="20"/>
  <c r="G138" i="20"/>
  <c r="D138" i="20"/>
  <c r="C138" i="20"/>
  <c r="B138" i="20"/>
  <c r="K137" i="20"/>
  <c r="J137" i="20"/>
  <c r="G137" i="20"/>
  <c r="D137" i="20"/>
  <c r="C137" i="20"/>
  <c r="B137" i="20"/>
  <c r="K136" i="20"/>
  <c r="J136" i="20"/>
  <c r="G136" i="20"/>
  <c r="D136" i="20"/>
  <c r="C136" i="20"/>
  <c r="B136" i="20"/>
  <c r="J135" i="20"/>
  <c r="K135" i="20" s="1"/>
  <c r="G135" i="20"/>
  <c r="D135" i="20"/>
  <c r="C135" i="20"/>
  <c r="B135" i="20"/>
  <c r="K134" i="20"/>
  <c r="J134" i="20"/>
  <c r="G134" i="20"/>
  <c r="D134" i="20"/>
  <c r="C134" i="20"/>
  <c r="B134" i="20"/>
  <c r="K133" i="20"/>
  <c r="J133" i="20"/>
  <c r="G133" i="20"/>
  <c r="D133" i="20"/>
  <c r="C133" i="20"/>
  <c r="B133" i="20"/>
  <c r="K132" i="20"/>
  <c r="J132" i="20"/>
  <c r="G132" i="20"/>
  <c r="D132" i="20"/>
  <c r="C132" i="20"/>
  <c r="B132" i="20"/>
  <c r="J131" i="20"/>
  <c r="K131" i="20" s="1"/>
  <c r="G131" i="20"/>
  <c r="D131" i="20"/>
  <c r="C131" i="20"/>
  <c r="B131" i="20"/>
  <c r="K130" i="20"/>
  <c r="J130" i="20"/>
  <c r="G130" i="20"/>
  <c r="D130" i="20"/>
  <c r="C130" i="20"/>
  <c r="B130" i="20"/>
  <c r="K129" i="20"/>
  <c r="J129" i="20"/>
  <c r="G129" i="20"/>
  <c r="D129" i="20"/>
  <c r="C129" i="20"/>
  <c r="B129" i="20"/>
  <c r="J128" i="20"/>
  <c r="K128" i="20" s="1"/>
  <c r="G128" i="20"/>
  <c r="D128" i="20"/>
  <c r="C128" i="20"/>
  <c r="B128" i="20"/>
  <c r="J127" i="20"/>
  <c r="K127" i="20" s="1"/>
  <c r="G127" i="20"/>
  <c r="D127" i="20"/>
  <c r="C127" i="20"/>
  <c r="B127" i="20"/>
  <c r="K126" i="20"/>
  <c r="J126" i="20"/>
  <c r="G126" i="20"/>
  <c r="D126" i="20"/>
  <c r="C126" i="20"/>
  <c r="B126" i="20"/>
  <c r="K125" i="20"/>
  <c r="J125" i="20"/>
  <c r="G125" i="20"/>
  <c r="D125" i="20"/>
  <c r="C125" i="20"/>
  <c r="B125" i="20"/>
  <c r="K124" i="20"/>
  <c r="J124" i="20"/>
  <c r="G124" i="20"/>
  <c r="D124" i="20"/>
  <c r="C124" i="20"/>
  <c r="B124" i="20"/>
  <c r="J123" i="20"/>
  <c r="K123" i="20" s="1"/>
  <c r="G123" i="20"/>
  <c r="D123" i="20"/>
  <c r="C123" i="20"/>
  <c r="B123" i="20"/>
  <c r="K122" i="20"/>
  <c r="J122" i="20"/>
  <c r="G122" i="20"/>
  <c r="D122" i="20"/>
  <c r="C122" i="20"/>
  <c r="B122" i="20"/>
  <c r="K121" i="20"/>
  <c r="J121" i="20"/>
  <c r="G121" i="20"/>
  <c r="D121" i="20"/>
  <c r="C121" i="20"/>
  <c r="B121" i="20"/>
  <c r="K120" i="20"/>
  <c r="J120" i="20"/>
  <c r="G120" i="20"/>
  <c r="D120" i="20"/>
  <c r="C120" i="20"/>
  <c r="B120" i="20"/>
  <c r="J119" i="20"/>
  <c r="K119" i="20" s="1"/>
  <c r="G119" i="20"/>
  <c r="D119" i="20"/>
  <c r="C119" i="20"/>
  <c r="B119" i="20"/>
  <c r="K118" i="20"/>
  <c r="J118" i="20"/>
  <c r="G118" i="20"/>
  <c r="D118" i="20"/>
  <c r="C118" i="20"/>
  <c r="B118" i="20"/>
  <c r="K117" i="20"/>
  <c r="J117" i="20"/>
  <c r="G117" i="20"/>
  <c r="D117" i="20"/>
  <c r="C117" i="20"/>
  <c r="B117" i="20"/>
  <c r="J116" i="20"/>
  <c r="K116" i="20" s="1"/>
  <c r="G116" i="20"/>
  <c r="D116" i="20"/>
  <c r="C116" i="20"/>
  <c r="B116" i="20"/>
  <c r="J115" i="20"/>
  <c r="K115" i="20" s="1"/>
  <c r="G115" i="20"/>
  <c r="D115" i="20"/>
  <c r="C115" i="20"/>
  <c r="B115" i="20"/>
  <c r="K114" i="20"/>
  <c r="J114" i="20"/>
  <c r="G114" i="20"/>
  <c r="D114" i="20"/>
  <c r="C114" i="20"/>
  <c r="B114" i="20"/>
  <c r="K113" i="20"/>
  <c r="J113" i="20"/>
  <c r="G113" i="20"/>
  <c r="D113" i="20"/>
  <c r="C113" i="20"/>
  <c r="B113" i="20"/>
  <c r="J112" i="20"/>
  <c r="K112" i="20" s="1"/>
  <c r="G112" i="20"/>
  <c r="D112" i="20"/>
  <c r="C112" i="20"/>
  <c r="B112" i="20"/>
  <c r="J111" i="20"/>
  <c r="K111" i="20" s="1"/>
  <c r="G111" i="20"/>
  <c r="D111" i="20"/>
  <c r="C111" i="20"/>
  <c r="B111" i="20"/>
  <c r="K110" i="20"/>
  <c r="J110" i="20"/>
  <c r="G110" i="20"/>
  <c r="D110" i="20"/>
  <c r="C110" i="20"/>
  <c r="B110" i="20"/>
  <c r="K109" i="20"/>
  <c r="J109" i="20"/>
  <c r="G109" i="20"/>
  <c r="D109" i="20"/>
  <c r="C109" i="20"/>
  <c r="B109" i="20"/>
  <c r="J108" i="20"/>
  <c r="K108" i="20" s="1"/>
  <c r="G108" i="20"/>
  <c r="D108" i="20"/>
  <c r="C108" i="20"/>
  <c r="B108" i="20"/>
  <c r="J107" i="20"/>
  <c r="K107" i="20" s="1"/>
  <c r="G107" i="20"/>
  <c r="D107" i="20"/>
  <c r="C107" i="20"/>
  <c r="B107" i="20"/>
  <c r="K106" i="20"/>
  <c r="J106" i="20"/>
  <c r="G106" i="20"/>
  <c r="D106" i="20"/>
  <c r="C106" i="20"/>
  <c r="B106" i="20"/>
  <c r="K105" i="20"/>
  <c r="J105" i="20"/>
  <c r="G105" i="20"/>
  <c r="D105" i="20"/>
  <c r="C105" i="20"/>
  <c r="B105" i="20"/>
  <c r="K104" i="20"/>
  <c r="J104" i="20"/>
  <c r="G104" i="20"/>
  <c r="D104" i="20"/>
  <c r="C104" i="20"/>
  <c r="B104" i="20"/>
  <c r="J103" i="20"/>
  <c r="K103" i="20" s="1"/>
  <c r="G103" i="20"/>
  <c r="D103" i="20"/>
  <c r="C103" i="20"/>
  <c r="B103" i="20"/>
  <c r="K102" i="20"/>
  <c r="J102" i="20"/>
  <c r="G102" i="20"/>
  <c r="D102" i="20"/>
  <c r="C102" i="20"/>
  <c r="B102" i="20"/>
  <c r="K101" i="20"/>
  <c r="J101" i="20"/>
  <c r="G101" i="20"/>
  <c r="D101" i="20"/>
  <c r="C101" i="20"/>
  <c r="B101" i="20"/>
  <c r="K100" i="20"/>
  <c r="J100" i="20"/>
  <c r="G100" i="20"/>
  <c r="D100" i="20"/>
  <c r="C100" i="20"/>
  <c r="B100" i="20"/>
  <c r="J99" i="20"/>
  <c r="K99" i="20" s="1"/>
  <c r="G99" i="20"/>
  <c r="D99" i="20"/>
  <c r="C99" i="20"/>
  <c r="B99" i="20"/>
  <c r="K98" i="20"/>
  <c r="J98" i="20"/>
  <c r="G98" i="20"/>
  <c r="D98" i="20"/>
  <c r="C98" i="20"/>
  <c r="B98" i="20"/>
  <c r="K97" i="20"/>
  <c r="J97" i="20"/>
  <c r="G97" i="20"/>
  <c r="D97" i="20"/>
  <c r="C97" i="20"/>
  <c r="B97" i="20"/>
  <c r="J96" i="20"/>
  <c r="K96" i="20" s="1"/>
  <c r="G96" i="20"/>
  <c r="D96" i="20"/>
  <c r="C96" i="20"/>
  <c r="B96" i="20"/>
  <c r="J95" i="20"/>
  <c r="K95" i="20" s="1"/>
  <c r="G95" i="20"/>
  <c r="D95" i="20"/>
  <c r="C95" i="20"/>
  <c r="B95" i="20"/>
  <c r="K94" i="20"/>
  <c r="J94" i="20"/>
  <c r="G94" i="20"/>
  <c r="D94" i="20"/>
  <c r="C94" i="20"/>
  <c r="B94" i="20"/>
  <c r="K93" i="20"/>
  <c r="J93" i="20"/>
  <c r="G93" i="20"/>
  <c r="D93" i="20"/>
  <c r="C93" i="20"/>
  <c r="B93" i="20"/>
  <c r="K92" i="20"/>
  <c r="J92" i="20"/>
  <c r="G92" i="20"/>
  <c r="D92" i="20"/>
  <c r="C92" i="20"/>
  <c r="B92" i="20"/>
  <c r="J91" i="20"/>
  <c r="K91" i="20" s="1"/>
  <c r="G91" i="20"/>
  <c r="D91" i="20"/>
  <c r="C91" i="20"/>
  <c r="B91" i="20"/>
  <c r="K90" i="20"/>
  <c r="J90" i="20"/>
  <c r="G90" i="20"/>
  <c r="D90" i="20"/>
  <c r="C90" i="20"/>
  <c r="B90" i="20"/>
  <c r="K89" i="20"/>
  <c r="J89" i="20"/>
  <c r="G89" i="20"/>
  <c r="D89" i="20"/>
  <c r="C89" i="20"/>
  <c r="B89" i="20"/>
  <c r="K88" i="20"/>
  <c r="J88" i="20"/>
  <c r="G88" i="20"/>
  <c r="D88" i="20"/>
  <c r="C88" i="20"/>
  <c r="B88" i="20"/>
  <c r="J87" i="20"/>
  <c r="K87" i="20" s="1"/>
  <c r="G87" i="20"/>
  <c r="D87" i="20"/>
  <c r="C87" i="20"/>
  <c r="B87" i="20"/>
  <c r="K86" i="20"/>
  <c r="J86" i="20"/>
  <c r="G86" i="20"/>
  <c r="D86" i="20"/>
  <c r="C86" i="20"/>
  <c r="B86" i="20"/>
  <c r="K85" i="20"/>
  <c r="J85" i="20"/>
  <c r="G85" i="20"/>
  <c r="D85" i="20"/>
  <c r="C85" i="20"/>
  <c r="B85" i="20"/>
  <c r="J84" i="20"/>
  <c r="K84" i="20" s="1"/>
  <c r="G84" i="20"/>
  <c r="D84" i="20"/>
  <c r="C84" i="20"/>
  <c r="B84" i="20"/>
  <c r="J83" i="20"/>
  <c r="K83" i="20" s="1"/>
  <c r="G83" i="20"/>
  <c r="D83" i="20"/>
  <c r="C83" i="20"/>
  <c r="B83" i="20"/>
  <c r="K82" i="20"/>
  <c r="J82" i="20"/>
  <c r="G82" i="20"/>
  <c r="D82" i="20"/>
  <c r="C82" i="20"/>
  <c r="B82" i="20"/>
  <c r="K81" i="20"/>
  <c r="J81" i="20"/>
  <c r="G81" i="20"/>
  <c r="D81" i="20"/>
  <c r="C81" i="20"/>
  <c r="B81" i="20"/>
  <c r="J80" i="20"/>
  <c r="K80" i="20" s="1"/>
  <c r="G80" i="20"/>
  <c r="D80" i="20"/>
  <c r="C80" i="20"/>
  <c r="B80" i="20"/>
  <c r="J79" i="20"/>
  <c r="K79" i="20" s="1"/>
  <c r="G79" i="20"/>
  <c r="D79" i="20"/>
  <c r="C79" i="20"/>
  <c r="B79" i="20"/>
  <c r="K78" i="20"/>
  <c r="J78" i="20"/>
  <c r="G78" i="20"/>
  <c r="D78" i="20"/>
  <c r="C78" i="20"/>
  <c r="B78" i="20"/>
  <c r="K77" i="20"/>
  <c r="J77" i="20"/>
  <c r="G77" i="20"/>
  <c r="D77" i="20"/>
  <c r="C77" i="20"/>
  <c r="B77" i="20"/>
  <c r="J76" i="20"/>
  <c r="K76" i="20" s="1"/>
  <c r="G76" i="20"/>
  <c r="D76" i="20"/>
  <c r="C76" i="20"/>
  <c r="B76" i="20"/>
  <c r="J75" i="20"/>
  <c r="K75" i="20" s="1"/>
  <c r="G75" i="20"/>
  <c r="D75" i="20"/>
  <c r="C75" i="20"/>
  <c r="B75" i="20"/>
  <c r="K74" i="20"/>
  <c r="J74" i="20"/>
  <c r="G74" i="20"/>
  <c r="D74" i="20"/>
  <c r="C74" i="20"/>
  <c r="B74" i="20"/>
  <c r="K73" i="20"/>
  <c r="J73" i="20"/>
  <c r="G73" i="20"/>
  <c r="D73" i="20"/>
  <c r="C73" i="20"/>
  <c r="B73" i="20"/>
  <c r="K72" i="20"/>
  <c r="J72" i="20"/>
  <c r="G72" i="20"/>
  <c r="D72" i="20"/>
  <c r="C72" i="20"/>
  <c r="B72" i="20"/>
  <c r="J71" i="20"/>
  <c r="K71" i="20" s="1"/>
  <c r="G71" i="20"/>
  <c r="D71" i="20"/>
  <c r="C71" i="20"/>
  <c r="B71" i="20"/>
  <c r="K70" i="20"/>
  <c r="J70" i="20"/>
  <c r="G70" i="20"/>
  <c r="D70" i="20"/>
  <c r="C70" i="20"/>
  <c r="B70" i="20"/>
  <c r="K69" i="20"/>
  <c r="J69" i="20"/>
  <c r="G69" i="20"/>
  <c r="D69" i="20"/>
  <c r="C69" i="20"/>
  <c r="B69" i="20"/>
  <c r="K68" i="20"/>
  <c r="J68" i="20"/>
  <c r="G68" i="20"/>
  <c r="D68" i="20"/>
  <c r="C68" i="20"/>
  <c r="B68" i="20"/>
  <c r="J67" i="20"/>
  <c r="K67" i="20" s="1"/>
  <c r="G67" i="20"/>
  <c r="D67" i="20"/>
  <c r="C67" i="20"/>
  <c r="B67" i="20"/>
  <c r="K66" i="20"/>
  <c r="J66" i="20"/>
  <c r="G66" i="20"/>
  <c r="D66" i="20"/>
  <c r="C66" i="20"/>
  <c r="B66" i="20"/>
  <c r="K65" i="20"/>
  <c r="J65" i="20"/>
  <c r="G65" i="20"/>
  <c r="D65" i="20"/>
  <c r="C65" i="20"/>
  <c r="B65" i="20"/>
  <c r="J64" i="20"/>
  <c r="K64" i="20" s="1"/>
  <c r="G64" i="20"/>
  <c r="D64" i="20"/>
  <c r="C64" i="20"/>
  <c r="B64" i="20"/>
  <c r="J63" i="20"/>
  <c r="K63" i="20" s="1"/>
  <c r="G63" i="20"/>
  <c r="D63" i="20"/>
  <c r="C63" i="20"/>
  <c r="B63" i="20"/>
  <c r="K62" i="20"/>
  <c r="J62" i="20"/>
  <c r="G62" i="20"/>
  <c r="D62" i="20"/>
  <c r="C62" i="20"/>
  <c r="B62" i="20"/>
  <c r="K61" i="20"/>
  <c r="J61" i="20"/>
  <c r="G61" i="20"/>
  <c r="D61" i="20"/>
  <c r="C61" i="20"/>
  <c r="B61" i="20"/>
  <c r="K60" i="20"/>
  <c r="J60" i="20"/>
  <c r="G60" i="20"/>
  <c r="D60" i="20"/>
  <c r="C60" i="20"/>
  <c r="B60" i="20"/>
  <c r="J59" i="20"/>
  <c r="K59" i="20" s="1"/>
  <c r="G59" i="20"/>
  <c r="D59" i="20"/>
  <c r="C59" i="20"/>
  <c r="B59" i="20"/>
  <c r="K58" i="20"/>
  <c r="J58" i="20"/>
  <c r="G58" i="20"/>
  <c r="D58" i="20"/>
  <c r="C58" i="20"/>
  <c r="B58" i="20"/>
  <c r="K57" i="20"/>
  <c r="J57" i="20"/>
  <c r="G57" i="20"/>
  <c r="D57" i="20"/>
  <c r="C57" i="20"/>
  <c r="B57" i="20"/>
  <c r="K56" i="20"/>
  <c r="J56" i="20"/>
  <c r="G56" i="20"/>
  <c r="D56" i="20"/>
  <c r="C56" i="20"/>
  <c r="B56" i="20"/>
  <c r="J55" i="20"/>
  <c r="K55" i="20" s="1"/>
  <c r="G55" i="20"/>
  <c r="D55" i="20"/>
  <c r="C55" i="20"/>
  <c r="B55" i="20"/>
  <c r="K54" i="20"/>
  <c r="J54" i="20"/>
  <c r="G54" i="20"/>
  <c r="D54" i="20"/>
  <c r="C54" i="20"/>
  <c r="B54" i="20"/>
  <c r="K53" i="20"/>
  <c r="J53" i="20"/>
  <c r="G53" i="20"/>
  <c r="D53" i="20"/>
  <c r="C53" i="20"/>
  <c r="B53" i="20"/>
  <c r="J52" i="20"/>
  <c r="K52" i="20" s="1"/>
  <c r="G52" i="20"/>
  <c r="D52" i="20"/>
  <c r="C52" i="20"/>
  <c r="B52" i="20"/>
  <c r="J51" i="20"/>
  <c r="K51" i="20" s="1"/>
  <c r="G51" i="20"/>
  <c r="D51" i="20"/>
  <c r="C51" i="20"/>
  <c r="B51" i="20"/>
  <c r="K50" i="20"/>
  <c r="J50" i="20"/>
  <c r="G50" i="20"/>
  <c r="D50" i="20"/>
  <c r="C50" i="20"/>
  <c r="B50" i="20"/>
  <c r="K49" i="20"/>
  <c r="J49" i="20"/>
  <c r="G49" i="20"/>
  <c r="D49" i="20"/>
  <c r="C49" i="20"/>
  <c r="B49" i="20"/>
  <c r="J48" i="20"/>
  <c r="K48" i="20" s="1"/>
  <c r="G48" i="20"/>
  <c r="D48" i="20"/>
  <c r="C48" i="20"/>
  <c r="B48" i="20"/>
  <c r="J47" i="20"/>
  <c r="K47" i="20" s="1"/>
  <c r="G47" i="20"/>
  <c r="D47" i="20"/>
  <c r="C47" i="20"/>
  <c r="B47" i="20"/>
  <c r="K46" i="20"/>
  <c r="J46" i="20"/>
  <c r="G46" i="20"/>
  <c r="D46" i="20"/>
  <c r="C46" i="20"/>
  <c r="B46" i="20"/>
  <c r="K45" i="20"/>
  <c r="J45" i="20"/>
  <c r="G45" i="20"/>
  <c r="D45" i="20"/>
  <c r="C45" i="20"/>
  <c r="B45" i="20"/>
  <c r="J44" i="20"/>
  <c r="K44" i="20" s="1"/>
  <c r="G44" i="20"/>
  <c r="D44" i="20"/>
  <c r="C44" i="20"/>
  <c r="B44" i="20"/>
  <c r="J43" i="20"/>
  <c r="K43" i="20" s="1"/>
  <c r="G43" i="20"/>
  <c r="D43" i="20"/>
  <c r="C43" i="20"/>
  <c r="B43" i="20"/>
  <c r="K42" i="20"/>
  <c r="J42" i="20"/>
  <c r="G42" i="20"/>
  <c r="D42" i="20"/>
  <c r="C42" i="20"/>
  <c r="B42" i="20"/>
  <c r="K41" i="20"/>
  <c r="J41" i="20"/>
  <c r="G41" i="20"/>
  <c r="D41" i="20"/>
  <c r="C41" i="20"/>
  <c r="B41" i="20"/>
  <c r="K40" i="20"/>
  <c r="J40" i="20"/>
  <c r="G40" i="20"/>
  <c r="D40" i="20"/>
  <c r="C40" i="20"/>
  <c r="B40" i="20"/>
  <c r="J39" i="20"/>
  <c r="K39" i="20" s="1"/>
  <c r="G39" i="20"/>
  <c r="D39" i="20"/>
  <c r="C39" i="20"/>
  <c r="B39" i="20"/>
  <c r="K38" i="20"/>
  <c r="J38" i="20"/>
  <c r="G38" i="20"/>
  <c r="D38" i="20"/>
  <c r="C38" i="20"/>
  <c r="B38" i="20"/>
  <c r="K37" i="20"/>
  <c r="J37" i="20"/>
  <c r="G37" i="20"/>
  <c r="D37" i="20"/>
  <c r="C37" i="20"/>
  <c r="B37" i="20"/>
  <c r="K36" i="20"/>
  <c r="J36" i="20"/>
  <c r="G36" i="20"/>
  <c r="D36" i="20"/>
  <c r="C36" i="20"/>
  <c r="B36" i="20"/>
  <c r="J35" i="20"/>
  <c r="K35" i="20" s="1"/>
  <c r="G35" i="20"/>
  <c r="D35" i="20"/>
  <c r="C35" i="20"/>
  <c r="B35" i="20"/>
  <c r="K34" i="20"/>
  <c r="J34" i="20"/>
  <c r="G34" i="20"/>
  <c r="D34" i="20"/>
  <c r="C34" i="20"/>
  <c r="B34" i="20"/>
  <c r="K33" i="20"/>
  <c r="J33" i="20"/>
  <c r="G33" i="20"/>
  <c r="D33" i="20"/>
  <c r="C33" i="20"/>
  <c r="B33" i="20"/>
  <c r="J32" i="20"/>
  <c r="K32" i="20" s="1"/>
  <c r="G32" i="20"/>
  <c r="D32" i="20"/>
  <c r="C32" i="20"/>
  <c r="B32" i="20"/>
  <c r="J31" i="20"/>
  <c r="K31" i="20" s="1"/>
  <c r="G31" i="20"/>
  <c r="D31" i="20"/>
  <c r="C31" i="20"/>
  <c r="B31" i="20"/>
  <c r="K30" i="20"/>
  <c r="J30" i="20"/>
  <c r="G30" i="20"/>
  <c r="D30" i="20"/>
  <c r="C30" i="20"/>
  <c r="B30" i="20"/>
  <c r="K29" i="20"/>
  <c r="J29" i="20"/>
  <c r="G29" i="20"/>
  <c r="D29" i="20"/>
  <c r="C29" i="20"/>
  <c r="B29" i="20"/>
  <c r="K28" i="20"/>
  <c r="J28" i="20"/>
  <c r="G28" i="20"/>
  <c r="D28" i="20"/>
  <c r="C28" i="20"/>
  <c r="B28" i="20"/>
  <c r="J27" i="20"/>
  <c r="K27" i="20" s="1"/>
  <c r="G27" i="20"/>
  <c r="D27" i="20"/>
  <c r="C27" i="20"/>
  <c r="B27" i="20"/>
  <c r="K26" i="20"/>
  <c r="J26" i="20"/>
  <c r="G26" i="20"/>
  <c r="D26" i="20"/>
  <c r="C26" i="20"/>
  <c r="B26" i="20"/>
  <c r="K25" i="20"/>
  <c r="J25" i="20"/>
  <c r="G25" i="20"/>
  <c r="D25" i="20"/>
  <c r="C25" i="20"/>
  <c r="B25" i="20"/>
  <c r="K24" i="20"/>
  <c r="J24" i="20"/>
  <c r="G24" i="20"/>
  <c r="D24" i="20"/>
  <c r="C24" i="20"/>
  <c r="B24" i="20"/>
  <c r="J23" i="20"/>
  <c r="K23" i="20" s="1"/>
  <c r="G23" i="20"/>
  <c r="D23" i="20"/>
  <c r="C23" i="20"/>
  <c r="B23" i="20"/>
  <c r="K22" i="20"/>
  <c r="J22" i="20"/>
  <c r="G22" i="20"/>
  <c r="D22" i="20"/>
  <c r="C22" i="20"/>
  <c r="B22" i="20"/>
  <c r="K21" i="20"/>
  <c r="J21" i="20"/>
  <c r="G21" i="20"/>
  <c r="D21" i="20"/>
  <c r="C21" i="20"/>
  <c r="B21" i="20"/>
  <c r="J20" i="20"/>
  <c r="K20" i="20" s="1"/>
  <c r="G20" i="20"/>
  <c r="D20" i="20"/>
  <c r="C20" i="20"/>
  <c r="B20" i="20"/>
  <c r="J19" i="20"/>
  <c r="K19" i="20" s="1"/>
  <c r="G19" i="20"/>
  <c r="D19" i="20"/>
  <c r="C19" i="20"/>
  <c r="B19" i="20"/>
  <c r="K18" i="20"/>
  <c r="J18" i="20"/>
  <c r="G18" i="20"/>
  <c r="D18" i="20"/>
  <c r="C18" i="20"/>
  <c r="B18" i="20"/>
  <c r="K17" i="20"/>
  <c r="J17" i="20"/>
  <c r="G17" i="20"/>
  <c r="D17" i="20"/>
  <c r="C17" i="20"/>
  <c r="B17" i="20"/>
  <c r="J16" i="20"/>
  <c r="K16" i="20" s="1"/>
  <c r="G16" i="20"/>
  <c r="D16" i="20"/>
  <c r="C16" i="20"/>
  <c r="B16" i="20"/>
  <c r="J15" i="20"/>
  <c r="K15" i="20" s="1"/>
  <c r="G15" i="20"/>
  <c r="D15" i="20"/>
  <c r="C15" i="20"/>
  <c r="B15" i="20"/>
  <c r="K14" i="20"/>
  <c r="J14" i="20"/>
  <c r="G14" i="20"/>
  <c r="D14" i="20"/>
  <c r="C14" i="20"/>
  <c r="B14" i="20"/>
  <c r="K13" i="20"/>
  <c r="J13" i="20"/>
  <c r="G13" i="20"/>
  <c r="D13" i="20"/>
  <c r="C13" i="20"/>
  <c r="B13" i="20"/>
  <c r="J12" i="20"/>
  <c r="K12" i="20" s="1"/>
  <c r="G12" i="20"/>
  <c r="D12" i="20"/>
  <c r="C12" i="20"/>
  <c r="B12" i="20"/>
  <c r="J11" i="20"/>
  <c r="K11" i="20" s="1"/>
  <c r="G11" i="20"/>
  <c r="D11" i="20"/>
  <c r="C11" i="20"/>
  <c r="B11" i="20"/>
  <c r="K10" i="20"/>
  <c r="J10" i="20"/>
  <c r="G10" i="20"/>
  <c r="D10" i="20"/>
  <c r="C10" i="20"/>
  <c r="B10" i="20"/>
  <c r="K9" i="20"/>
  <c r="J9" i="20"/>
  <c r="G9" i="20"/>
  <c r="D9" i="20"/>
  <c r="C9" i="20"/>
  <c r="B9" i="20"/>
  <c r="K4" i="20"/>
  <c r="G4" i="20"/>
  <c r="D4" i="20"/>
  <c r="A4" i="20"/>
  <c r="J208" i="19"/>
  <c r="I208" i="19"/>
  <c r="F208" i="19"/>
  <c r="D208" i="19"/>
  <c r="C208" i="19"/>
  <c r="B208" i="19"/>
  <c r="J207" i="19"/>
  <c r="I207" i="19"/>
  <c r="F207" i="19"/>
  <c r="D207" i="19"/>
  <c r="C207" i="19"/>
  <c r="B207" i="19"/>
  <c r="J206" i="19"/>
  <c r="I206" i="19"/>
  <c r="F206" i="19"/>
  <c r="D206" i="19"/>
  <c r="C206" i="19"/>
  <c r="B206" i="19"/>
  <c r="I205" i="19"/>
  <c r="J205" i="19" s="1"/>
  <c r="F205" i="19"/>
  <c r="D205" i="19"/>
  <c r="C205" i="19"/>
  <c r="B205" i="19"/>
  <c r="J204" i="19"/>
  <c r="I204" i="19"/>
  <c r="F204" i="19"/>
  <c r="D204" i="19"/>
  <c r="C204" i="19"/>
  <c r="B204" i="19"/>
  <c r="I203" i="19"/>
  <c r="J203" i="19" s="1"/>
  <c r="F203" i="19"/>
  <c r="D203" i="19"/>
  <c r="C203" i="19"/>
  <c r="B203" i="19"/>
  <c r="J202" i="19"/>
  <c r="I202" i="19"/>
  <c r="F202" i="19"/>
  <c r="D202" i="19"/>
  <c r="C202" i="19"/>
  <c r="B202" i="19"/>
  <c r="I201" i="19"/>
  <c r="J201" i="19" s="1"/>
  <c r="F201" i="19"/>
  <c r="D201" i="19"/>
  <c r="C201" i="19"/>
  <c r="B201" i="19"/>
  <c r="J200" i="19"/>
  <c r="I200" i="19"/>
  <c r="F200" i="19"/>
  <c r="D200" i="19"/>
  <c r="C200" i="19"/>
  <c r="B200" i="19"/>
  <c r="J199" i="19"/>
  <c r="I199" i="19"/>
  <c r="F199" i="19"/>
  <c r="D199" i="19"/>
  <c r="C199" i="19"/>
  <c r="B199" i="19"/>
  <c r="I198" i="19"/>
  <c r="J198" i="19" s="1"/>
  <c r="F198" i="19"/>
  <c r="D198" i="19"/>
  <c r="C198" i="19"/>
  <c r="B198" i="19"/>
  <c r="J197" i="19"/>
  <c r="I197" i="19"/>
  <c r="F197" i="19"/>
  <c r="D197" i="19"/>
  <c r="C197" i="19"/>
  <c r="B197" i="19"/>
  <c r="J196" i="19"/>
  <c r="I196" i="19"/>
  <c r="F196" i="19"/>
  <c r="D196" i="19"/>
  <c r="C196" i="19"/>
  <c r="B196" i="19"/>
  <c r="J195" i="19"/>
  <c r="I195" i="19"/>
  <c r="F195" i="19"/>
  <c r="D195" i="19"/>
  <c r="C195" i="19"/>
  <c r="B195" i="19"/>
  <c r="I194" i="19"/>
  <c r="J194" i="19" s="1"/>
  <c r="F194" i="19"/>
  <c r="D194" i="19"/>
  <c r="C194" i="19"/>
  <c r="B194" i="19"/>
  <c r="J193" i="19"/>
  <c r="I193" i="19"/>
  <c r="F193" i="19"/>
  <c r="D193" i="19"/>
  <c r="C193" i="19"/>
  <c r="B193" i="19"/>
  <c r="J192" i="19"/>
  <c r="I192" i="19"/>
  <c r="F192" i="19"/>
  <c r="D192" i="19"/>
  <c r="C192" i="19"/>
  <c r="B192" i="19"/>
  <c r="J191" i="19"/>
  <c r="I191" i="19"/>
  <c r="F191" i="19"/>
  <c r="D191" i="19"/>
  <c r="C191" i="19"/>
  <c r="B191" i="19"/>
  <c r="I190" i="19"/>
  <c r="J190" i="19" s="1"/>
  <c r="F190" i="19"/>
  <c r="D190" i="19"/>
  <c r="C190" i="19"/>
  <c r="B190" i="19"/>
  <c r="J189" i="19"/>
  <c r="I189" i="19"/>
  <c r="F189" i="19"/>
  <c r="D189" i="19"/>
  <c r="C189" i="19"/>
  <c r="B189" i="19"/>
  <c r="J188" i="19"/>
  <c r="I188" i="19"/>
  <c r="F188" i="19"/>
  <c r="D188" i="19"/>
  <c r="C188" i="19"/>
  <c r="B188" i="19"/>
  <c r="J187" i="19"/>
  <c r="I187" i="19"/>
  <c r="F187" i="19"/>
  <c r="D187" i="19"/>
  <c r="C187" i="19"/>
  <c r="B187" i="19"/>
  <c r="I186" i="19"/>
  <c r="J186" i="19" s="1"/>
  <c r="F186" i="19"/>
  <c r="D186" i="19"/>
  <c r="C186" i="19"/>
  <c r="B186" i="19"/>
  <c r="J185" i="19"/>
  <c r="I185" i="19"/>
  <c r="F185" i="19"/>
  <c r="D185" i="19"/>
  <c r="C185" i="19"/>
  <c r="B185" i="19"/>
  <c r="J184" i="19"/>
  <c r="I184" i="19"/>
  <c r="F184" i="19"/>
  <c r="D184" i="19"/>
  <c r="C184" i="19"/>
  <c r="B184" i="19"/>
  <c r="J183" i="19"/>
  <c r="I183" i="19"/>
  <c r="F183" i="19"/>
  <c r="D183" i="19"/>
  <c r="C183" i="19"/>
  <c r="B183" i="19"/>
  <c r="I182" i="19"/>
  <c r="J182" i="19" s="1"/>
  <c r="F182" i="19"/>
  <c r="D182" i="19"/>
  <c r="C182" i="19"/>
  <c r="B182" i="19"/>
  <c r="J181" i="19"/>
  <c r="I181" i="19"/>
  <c r="F181" i="19"/>
  <c r="D181" i="19"/>
  <c r="C181" i="19"/>
  <c r="B181" i="19"/>
  <c r="J180" i="19"/>
  <c r="I180" i="19"/>
  <c r="F180" i="19"/>
  <c r="D180" i="19"/>
  <c r="C180" i="19"/>
  <c r="B180" i="19"/>
  <c r="J179" i="19"/>
  <c r="I179" i="19"/>
  <c r="F179" i="19"/>
  <c r="D179" i="19"/>
  <c r="C179" i="19"/>
  <c r="B179" i="19"/>
  <c r="I178" i="19"/>
  <c r="J178" i="19" s="1"/>
  <c r="F178" i="19"/>
  <c r="D178" i="19"/>
  <c r="C178" i="19"/>
  <c r="B178" i="19"/>
  <c r="J177" i="19"/>
  <c r="I177" i="19"/>
  <c r="F177" i="19"/>
  <c r="D177" i="19"/>
  <c r="C177" i="19"/>
  <c r="B177" i="19"/>
  <c r="J176" i="19"/>
  <c r="I176" i="19"/>
  <c r="F176" i="19"/>
  <c r="D176" i="19"/>
  <c r="C176" i="19"/>
  <c r="B176" i="19"/>
  <c r="J175" i="19"/>
  <c r="I175" i="19"/>
  <c r="F175" i="19"/>
  <c r="D175" i="19"/>
  <c r="C175" i="19"/>
  <c r="B175" i="19"/>
  <c r="I174" i="19"/>
  <c r="J174" i="19" s="1"/>
  <c r="F174" i="19"/>
  <c r="D174" i="19"/>
  <c r="C174" i="19"/>
  <c r="B174" i="19"/>
  <c r="J173" i="19"/>
  <c r="I173" i="19"/>
  <c r="F173" i="19"/>
  <c r="D173" i="19"/>
  <c r="C173" i="19"/>
  <c r="B173" i="19"/>
  <c r="J172" i="19"/>
  <c r="I172" i="19"/>
  <c r="F172" i="19"/>
  <c r="D172" i="19"/>
  <c r="C172" i="19"/>
  <c r="B172" i="19"/>
  <c r="J171" i="19"/>
  <c r="I171" i="19"/>
  <c r="F171" i="19"/>
  <c r="D171" i="19"/>
  <c r="C171" i="19"/>
  <c r="B171" i="19"/>
  <c r="I170" i="19"/>
  <c r="J170" i="19" s="1"/>
  <c r="F170" i="19"/>
  <c r="D170" i="19"/>
  <c r="C170" i="19"/>
  <c r="B170" i="19"/>
  <c r="J169" i="19"/>
  <c r="I169" i="19"/>
  <c r="F169" i="19"/>
  <c r="D169" i="19"/>
  <c r="C169" i="19"/>
  <c r="B169" i="19"/>
  <c r="J168" i="19"/>
  <c r="I168" i="19"/>
  <c r="F168" i="19"/>
  <c r="D168" i="19"/>
  <c r="C168" i="19"/>
  <c r="B168" i="19"/>
  <c r="J167" i="19"/>
  <c r="I167" i="19"/>
  <c r="F167" i="19"/>
  <c r="D167" i="19"/>
  <c r="C167" i="19"/>
  <c r="B167" i="19"/>
  <c r="I166" i="19"/>
  <c r="J166" i="19" s="1"/>
  <c r="F166" i="19"/>
  <c r="D166" i="19"/>
  <c r="C166" i="19"/>
  <c r="B166" i="19"/>
  <c r="J165" i="19"/>
  <c r="I165" i="19"/>
  <c r="F165" i="19"/>
  <c r="D165" i="19"/>
  <c r="C165" i="19"/>
  <c r="B165" i="19"/>
  <c r="J164" i="19"/>
  <c r="I164" i="19"/>
  <c r="F164" i="19"/>
  <c r="D164" i="19"/>
  <c r="C164" i="19"/>
  <c r="B164" i="19"/>
  <c r="J163" i="19"/>
  <c r="I163" i="19"/>
  <c r="F163" i="19"/>
  <c r="D163" i="19"/>
  <c r="C163" i="19"/>
  <c r="B163" i="19"/>
  <c r="I162" i="19"/>
  <c r="J162" i="19" s="1"/>
  <c r="F162" i="19"/>
  <c r="D162" i="19"/>
  <c r="C162" i="19"/>
  <c r="B162" i="19"/>
  <c r="J161" i="19"/>
  <c r="I161" i="19"/>
  <c r="F161" i="19"/>
  <c r="D161" i="19"/>
  <c r="C161" i="19"/>
  <c r="B161" i="19"/>
  <c r="J160" i="19"/>
  <c r="I160" i="19"/>
  <c r="F160" i="19"/>
  <c r="D160" i="19"/>
  <c r="C160" i="19"/>
  <c r="B160" i="19"/>
  <c r="J159" i="19"/>
  <c r="I159" i="19"/>
  <c r="F159" i="19"/>
  <c r="D159" i="19"/>
  <c r="C159" i="19"/>
  <c r="B159" i="19"/>
  <c r="I158" i="19"/>
  <c r="J158" i="19" s="1"/>
  <c r="F158" i="19"/>
  <c r="D158" i="19"/>
  <c r="C158" i="19"/>
  <c r="B158" i="19"/>
  <c r="J157" i="19"/>
  <c r="I157" i="19"/>
  <c r="F157" i="19"/>
  <c r="D157" i="19"/>
  <c r="C157" i="19"/>
  <c r="B157" i="19"/>
  <c r="J156" i="19"/>
  <c r="I156" i="19"/>
  <c r="F156" i="19"/>
  <c r="D156" i="19"/>
  <c r="C156" i="19"/>
  <c r="B156" i="19"/>
  <c r="J155" i="19"/>
  <c r="I155" i="19"/>
  <c r="F155" i="19"/>
  <c r="D155" i="19"/>
  <c r="C155" i="19"/>
  <c r="B155" i="19"/>
  <c r="I154" i="19"/>
  <c r="J154" i="19" s="1"/>
  <c r="F154" i="19"/>
  <c r="D154" i="19"/>
  <c r="C154" i="19"/>
  <c r="B154" i="19"/>
  <c r="J153" i="19"/>
  <c r="I153" i="19"/>
  <c r="F153" i="19"/>
  <c r="D153" i="19"/>
  <c r="C153" i="19"/>
  <c r="B153" i="19"/>
  <c r="J152" i="19"/>
  <c r="I152" i="19"/>
  <c r="F152" i="19"/>
  <c r="D152" i="19"/>
  <c r="C152" i="19"/>
  <c r="B152" i="19"/>
  <c r="J151" i="19"/>
  <c r="I151" i="19"/>
  <c r="F151" i="19"/>
  <c r="D151" i="19"/>
  <c r="C151" i="19"/>
  <c r="B151" i="19"/>
  <c r="I150" i="19"/>
  <c r="J150" i="19" s="1"/>
  <c r="F150" i="19"/>
  <c r="D150" i="19"/>
  <c r="C150" i="19"/>
  <c r="B150" i="19"/>
  <c r="J149" i="19"/>
  <c r="I149" i="19"/>
  <c r="F149" i="19"/>
  <c r="D149" i="19"/>
  <c r="C149" i="19"/>
  <c r="B149" i="19"/>
  <c r="J148" i="19"/>
  <c r="I148" i="19"/>
  <c r="F148" i="19"/>
  <c r="D148" i="19"/>
  <c r="C148" i="19"/>
  <c r="B148" i="19"/>
  <c r="J147" i="19"/>
  <c r="I147" i="19"/>
  <c r="F147" i="19"/>
  <c r="D147" i="19"/>
  <c r="C147" i="19"/>
  <c r="B147" i="19"/>
  <c r="I146" i="19"/>
  <c r="J146" i="19" s="1"/>
  <c r="F146" i="19"/>
  <c r="D146" i="19"/>
  <c r="C146" i="19"/>
  <c r="B146" i="19"/>
  <c r="J145" i="19"/>
  <c r="I145" i="19"/>
  <c r="F145" i="19"/>
  <c r="D145" i="19"/>
  <c r="C145" i="19"/>
  <c r="B145" i="19"/>
  <c r="J144" i="19"/>
  <c r="I144" i="19"/>
  <c r="F144" i="19"/>
  <c r="D144" i="19"/>
  <c r="C144" i="19"/>
  <c r="B144" i="19"/>
  <c r="J143" i="19"/>
  <c r="I143" i="19"/>
  <c r="F143" i="19"/>
  <c r="D143" i="19"/>
  <c r="C143" i="19"/>
  <c r="B143" i="19"/>
  <c r="I142" i="19"/>
  <c r="J142" i="19" s="1"/>
  <c r="F142" i="19"/>
  <c r="D142" i="19"/>
  <c r="C142" i="19"/>
  <c r="B142" i="19"/>
  <c r="J141" i="19"/>
  <c r="I141" i="19"/>
  <c r="F141" i="19"/>
  <c r="D141" i="19"/>
  <c r="C141" i="19"/>
  <c r="B141" i="19"/>
  <c r="J140" i="19"/>
  <c r="I140" i="19"/>
  <c r="F140" i="19"/>
  <c r="D140" i="19"/>
  <c r="C140" i="19"/>
  <c r="B140" i="19"/>
  <c r="J139" i="19"/>
  <c r="I139" i="19"/>
  <c r="F139" i="19"/>
  <c r="D139" i="19"/>
  <c r="C139" i="19"/>
  <c r="B139" i="19"/>
  <c r="I138" i="19"/>
  <c r="J138" i="19" s="1"/>
  <c r="F138" i="19"/>
  <c r="D138" i="19"/>
  <c r="C138" i="19"/>
  <c r="B138" i="19"/>
  <c r="J137" i="19"/>
  <c r="I137" i="19"/>
  <c r="F137" i="19"/>
  <c r="D137" i="19"/>
  <c r="C137" i="19"/>
  <c r="B137" i="19"/>
  <c r="J136" i="19"/>
  <c r="I136" i="19"/>
  <c r="F136" i="19"/>
  <c r="D136" i="19"/>
  <c r="C136" i="19"/>
  <c r="B136" i="19"/>
  <c r="J135" i="19"/>
  <c r="I135" i="19"/>
  <c r="F135" i="19"/>
  <c r="D135" i="19"/>
  <c r="C135" i="19"/>
  <c r="B135" i="19"/>
  <c r="I134" i="19"/>
  <c r="J134" i="19" s="1"/>
  <c r="F134" i="19"/>
  <c r="D134" i="19"/>
  <c r="C134" i="19"/>
  <c r="B134" i="19"/>
  <c r="J133" i="19"/>
  <c r="I133" i="19"/>
  <c r="F133" i="19"/>
  <c r="D133" i="19"/>
  <c r="C133" i="19"/>
  <c r="B133" i="19"/>
  <c r="J132" i="19"/>
  <c r="I132" i="19"/>
  <c r="F132" i="19"/>
  <c r="D132" i="19"/>
  <c r="C132" i="19"/>
  <c r="B132" i="19"/>
  <c r="J131" i="19"/>
  <c r="I131" i="19"/>
  <c r="F131" i="19"/>
  <c r="D131" i="19"/>
  <c r="C131" i="19"/>
  <c r="B131" i="19"/>
  <c r="I130" i="19"/>
  <c r="J130" i="19" s="1"/>
  <c r="F130" i="19"/>
  <c r="D130" i="19"/>
  <c r="C130" i="19"/>
  <c r="B130" i="19"/>
  <c r="J129" i="19"/>
  <c r="I129" i="19"/>
  <c r="F129" i="19"/>
  <c r="D129" i="19"/>
  <c r="C129" i="19"/>
  <c r="B129" i="19"/>
  <c r="J128" i="19"/>
  <c r="I128" i="19"/>
  <c r="F128" i="19"/>
  <c r="D128" i="19"/>
  <c r="C128" i="19"/>
  <c r="B128" i="19"/>
  <c r="J127" i="19"/>
  <c r="I127" i="19"/>
  <c r="F127" i="19"/>
  <c r="D127" i="19"/>
  <c r="C127" i="19"/>
  <c r="B127" i="19"/>
  <c r="I126" i="19"/>
  <c r="J126" i="19" s="1"/>
  <c r="F126" i="19"/>
  <c r="D126" i="19"/>
  <c r="C126" i="19"/>
  <c r="B126" i="19"/>
  <c r="J125" i="19"/>
  <c r="I125" i="19"/>
  <c r="F125" i="19"/>
  <c r="D125" i="19"/>
  <c r="C125" i="19"/>
  <c r="B125" i="19"/>
  <c r="J124" i="19"/>
  <c r="I124" i="19"/>
  <c r="F124" i="19"/>
  <c r="D124" i="19"/>
  <c r="C124" i="19"/>
  <c r="B124" i="19"/>
  <c r="J123" i="19"/>
  <c r="I123" i="19"/>
  <c r="F123" i="19"/>
  <c r="D123" i="19"/>
  <c r="C123" i="19"/>
  <c r="B123" i="19"/>
  <c r="I122" i="19"/>
  <c r="J122" i="19" s="1"/>
  <c r="F122" i="19"/>
  <c r="D122" i="19"/>
  <c r="C122" i="19"/>
  <c r="B122" i="19"/>
  <c r="J121" i="19"/>
  <c r="I121" i="19"/>
  <c r="F121" i="19"/>
  <c r="D121" i="19"/>
  <c r="C121" i="19"/>
  <c r="B121" i="19"/>
  <c r="J120" i="19"/>
  <c r="I120" i="19"/>
  <c r="F120" i="19"/>
  <c r="D120" i="19"/>
  <c r="C120" i="19"/>
  <c r="B120" i="19"/>
  <c r="J119" i="19"/>
  <c r="I119" i="19"/>
  <c r="F119" i="19"/>
  <c r="D119" i="19"/>
  <c r="C119" i="19"/>
  <c r="B119" i="19"/>
  <c r="I118" i="19"/>
  <c r="J118" i="19" s="1"/>
  <c r="F118" i="19"/>
  <c r="D118" i="19"/>
  <c r="C118" i="19"/>
  <c r="B118" i="19"/>
  <c r="J117" i="19"/>
  <c r="I117" i="19"/>
  <c r="F117" i="19"/>
  <c r="D117" i="19"/>
  <c r="C117" i="19"/>
  <c r="B117" i="19"/>
  <c r="J116" i="19"/>
  <c r="I116" i="19"/>
  <c r="F116" i="19"/>
  <c r="D116" i="19"/>
  <c r="C116" i="19"/>
  <c r="B116" i="19"/>
  <c r="J115" i="19"/>
  <c r="I115" i="19"/>
  <c r="F115" i="19"/>
  <c r="D115" i="19"/>
  <c r="C115" i="19"/>
  <c r="B115" i="19"/>
  <c r="I114" i="19"/>
  <c r="J114" i="19" s="1"/>
  <c r="F114" i="19"/>
  <c r="D114" i="19"/>
  <c r="C114" i="19"/>
  <c r="B114" i="19"/>
  <c r="J113" i="19"/>
  <c r="I113" i="19"/>
  <c r="F113" i="19"/>
  <c r="D113" i="19"/>
  <c r="C113" i="19"/>
  <c r="B113" i="19"/>
  <c r="J112" i="19"/>
  <c r="I112" i="19"/>
  <c r="F112" i="19"/>
  <c r="D112" i="19"/>
  <c r="C112" i="19"/>
  <c r="B112" i="19"/>
  <c r="J111" i="19"/>
  <c r="I111" i="19"/>
  <c r="F111" i="19"/>
  <c r="D111" i="19"/>
  <c r="C111" i="19"/>
  <c r="B111" i="19"/>
  <c r="I110" i="19"/>
  <c r="J110" i="19" s="1"/>
  <c r="F110" i="19"/>
  <c r="D110" i="19"/>
  <c r="C110" i="19"/>
  <c r="B110" i="19"/>
  <c r="J109" i="19"/>
  <c r="I109" i="19"/>
  <c r="F109" i="19"/>
  <c r="D109" i="19"/>
  <c r="C109" i="19"/>
  <c r="B109" i="19"/>
  <c r="J108" i="19"/>
  <c r="I108" i="19"/>
  <c r="F108" i="19"/>
  <c r="D108" i="19"/>
  <c r="C108" i="19"/>
  <c r="B108" i="19"/>
  <c r="J107" i="19"/>
  <c r="I107" i="19"/>
  <c r="F107" i="19"/>
  <c r="D107" i="19"/>
  <c r="C107" i="19"/>
  <c r="B107" i="19"/>
  <c r="I106" i="19"/>
  <c r="J106" i="19" s="1"/>
  <c r="F106" i="19"/>
  <c r="D106" i="19"/>
  <c r="C106" i="19"/>
  <c r="B106" i="19"/>
  <c r="J105" i="19"/>
  <c r="I105" i="19"/>
  <c r="F105" i="19"/>
  <c r="D105" i="19"/>
  <c r="C105" i="19"/>
  <c r="B105" i="19"/>
  <c r="J104" i="19"/>
  <c r="I104" i="19"/>
  <c r="F104" i="19"/>
  <c r="D104" i="19"/>
  <c r="C104" i="19"/>
  <c r="B104" i="19"/>
  <c r="J103" i="19"/>
  <c r="I103" i="19"/>
  <c r="F103" i="19"/>
  <c r="D103" i="19"/>
  <c r="C103" i="19"/>
  <c r="B103" i="19"/>
  <c r="I102" i="19"/>
  <c r="J102" i="19" s="1"/>
  <c r="F102" i="19"/>
  <c r="D102" i="19"/>
  <c r="C102" i="19"/>
  <c r="B102" i="19"/>
  <c r="J101" i="19"/>
  <c r="I101" i="19"/>
  <c r="F101" i="19"/>
  <c r="D101" i="19"/>
  <c r="C101" i="19"/>
  <c r="B101" i="19"/>
  <c r="J100" i="19"/>
  <c r="I100" i="19"/>
  <c r="F100" i="19"/>
  <c r="D100" i="19"/>
  <c r="C100" i="19"/>
  <c r="B100" i="19"/>
  <c r="J99" i="19"/>
  <c r="I99" i="19"/>
  <c r="F99" i="19"/>
  <c r="D99" i="19"/>
  <c r="C99" i="19"/>
  <c r="B99" i="19"/>
  <c r="I98" i="19"/>
  <c r="J98" i="19" s="1"/>
  <c r="F98" i="19"/>
  <c r="D98" i="19"/>
  <c r="C98" i="19"/>
  <c r="B98" i="19"/>
  <c r="J97" i="19"/>
  <c r="I97" i="19"/>
  <c r="F97" i="19"/>
  <c r="D97" i="19"/>
  <c r="C97" i="19"/>
  <c r="B97" i="19"/>
  <c r="J96" i="19"/>
  <c r="I96" i="19"/>
  <c r="F96" i="19"/>
  <c r="D96" i="19"/>
  <c r="C96" i="19"/>
  <c r="B96" i="19"/>
  <c r="J95" i="19"/>
  <c r="I95" i="19"/>
  <c r="F95" i="19"/>
  <c r="D95" i="19"/>
  <c r="C95" i="19"/>
  <c r="B95" i="19"/>
  <c r="I94" i="19"/>
  <c r="J94" i="19" s="1"/>
  <c r="F94" i="19"/>
  <c r="D94" i="19"/>
  <c r="C94" i="19"/>
  <c r="B94" i="19"/>
  <c r="J93" i="19"/>
  <c r="I93" i="19"/>
  <c r="F93" i="19"/>
  <c r="D93" i="19"/>
  <c r="C93" i="19"/>
  <c r="B93" i="19"/>
  <c r="J92" i="19"/>
  <c r="I92" i="19"/>
  <c r="F92" i="19"/>
  <c r="D92" i="19"/>
  <c r="C92" i="19"/>
  <c r="B92" i="19"/>
  <c r="J91" i="19"/>
  <c r="I91" i="19"/>
  <c r="F91" i="19"/>
  <c r="D91" i="19"/>
  <c r="C91" i="19"/>
  <c r="B91" i="19"/>
  <c r="I90" i="19"/>
  <c r="J90" i="19" s="1"/>
  <c r="F90" i="19"/>
  <c r="D90" i="19"/>
  <c r="C90" i="19"/>
  <c r="B90" i="19"/>
  <c r="J89" i="19"/>
  <c r="I89" i="19"/>
  <c r="F89" i="19"/>
  <c r="D89" i="19"/>
  <c r="C89" i="19"/>
  <c r="B89" i="19"/>
  <c r="J88" i="19"/>
  <c r="I88" i="19"/>
  <c r="F88" i="19"/>
  <c r="D88" i="19"/>
  <c r="C88" i="19"/>
  <c r="B88" i="19"/>
  <c r="J87" i="19"/>
  <c r="I87" i="19"/>
  <c r="F87" i="19"/>
  <c r="D87" i="19"/>
  <c r="C87" i="19"/>
  <c r="B87" i="19"/>
  <c r="I86" i="19"/>
  <c r="J86" i="19" s="1"/>
  <c r="F86" i="19"/>
  <c r="D86" i="19"/>
  <c r="C86" i="19"/>
  <c r="B86" i="19"/>
  <c r="J85" i="19"/>
  <c r="I85" i="19"/>
  <c r="F85" i="19"/>
  <c r="D85" i="19"/>
  <c r="C85" i="19"/>
  <c r="B85" i="19"/>
  <c r="J84" i="19"/>
  <c r="I84" i="19"/>
  <c r="F84" i="19"/>
  <c r="D84" i="19"/>
  <c r="C84" i="19"/>
  <c r="B84" i="19"/>
  <c r="J83" i="19"/>
  <c r="I83" i="19"/>
  <c r="F83" i="19"/>
  <c r="D83" i="19"/>
  <c r="C83" i="19"/>
  <c r="B83" i="19"/>
  <c r="I82" i="19"/>
  <c r="J82" i="19" s="1"/>
  <c r="F82" i="19"/>
  <c r="D82" i="19"/>
  <c r="C82" i="19"/>
  <c r="B82" i="19"/>
  <c r="J81" i="19"/>
  <c r="I81" i="19"/>
  <c r="F81" i="19"/>
  <c r="D81" i="19"/>
  <c r="C81" i="19"/>
  <c r="B81" i="19"/>
  <c r="J80" i="19"/>
  <c r="I80" i="19"/>
  <c r="F80" i="19"/>
  <c r="D80" i="19"/>
  <c r="C80" i="19"/>
  <c r="B80" i="19"/>
  <c r="J79" i="19"/>
  <c r="I79" i="19"/>
  <c r="F79" i="19"/>
  <c r="D79" i="19"/>
  <c r="C79" i="19"/>
  <c r="B79" i="19"/>
  <c r="I78" i="19"/>
  <c r="J78" i="19" s="1"/>
  <c r="F78" i="19"/>
  <c r="D78" i="19"/>
  <c r="C78" i="19"/>
  <c r="B78" i="19"/>
  <c r="J77" i="19"/>
  <c r="I77" i="19"/>
  <c r="F77" i="19"/>
  <c r="D77" i="19"/>
  <c r="C77" i="19"/>
  <c r="B77" i="19"/>
  <c r="J76" i="19"/>
  <c r="I76" i="19"/>
  <c r="F76" i="19"/>
  <c r="D76" i="19"/>
  <c r="C76" i="19"/>
  <c r="B76" i="19"/>
  <c r="J75" i="19"/>
  <c r="I75" i="19"/>
  <c r="F75" i="19"/>
  <c r="D75" i="19"/>
  <c r="C75" i="19"/>
  <c r="B75" i="19"/>
  <c r="I74" i="19"/>
  <c r="J74" i="19" s="1"/>
  <c r="F74" i="19"/>
  <c r="D74" i="19"/>
  <c r="C74" i="19"/>
  <c r="B74" i="19"/>
  <c r="J73" i="19"/>
  <c r="I73" i="19"/>
  <c r="F73" i="19"/>
  <c r="D73" i="19"/>
  <c r="C73" i="19"/>
  <c r="B73" i="19"/>
  <c r="J72" i="19"/>
  <c r="I72" i="19"/>
  <c r="F72" i="19"/>
  <c r="D72" i="19"/>
  <c r="C72" i="19"/>
  <c r="B72" i="19"/>
  <c r="J71" i="19"/>
  <c r="I71" i="19"/>
  <c r="F71" i="19"/>
  <c r="D71" i="19"/>
  <c r="C71" i="19"/>
  <c r="B71" i="19"/>
  <c r="I70" i="19"/>
  <c r="J70" i="19" s="1"/>
  <c r="F70" i="19"/>
  <c r="D70" i="19"/>
  <c r="C70" i="19"/>
  <c r="B70" i="19"/>
  <c r="J69" i="19"/>
  <c r="I69" i="19"/>
  <c r="F69" i="19"/>
  <c r="D69" i="19"/>
  <c r="C69" i="19"/>
  <c r="B69" i="19"/>
  <c r="J68" i="19"/>
  <c r="I68" i="19"/>
  <c r="F68" i="19"/>
  <c r="D68" i="19"/>
  <c r="C68" i="19"/>
  <c r="B68" i="19"/>
  <c r="J67" i="19"/>
  <c r="I67" i="19"/>
  <c r="F67" i="19"/>
  <c r="D67" i="19"/>
  <c r="C67" i="19"/>
  <c r="B67" i="19"/>
  <c r="I66" i="19"/>
  <c r="J66" i="19" s="1"/>
  <c r="F66" i="19"/>
  <c r="D66" i="19"/>
  <c r="C66" i="19"/>
  <c r="B66" i="19"/>
  <c r="J65" i="19"/>
  <c r="I65" i="19"/>
  <c r="F65" i="19"/>
  <c r="D65" i="19"/>
  <c r="C65" i="19"/>
  <c r="B65" i="19"/>
  <c r="J64" i="19"/>
  <c r="I64" i="19"/>
  <c r="F64" i="19"/>
  <c r="D64" i="19"/>
  <c r="C64" i="19"/>
  <c r="B64" i="19"/>
  <c r="J63" i="19"/>
  <c r="I63" i="19"/>
  <c r="F63" i="19"/>
  <c r="D63" i="19"/>
  <c r="C63" i="19"/>
  <c r="B63" i="19"/>
  <c r="I62" i="19"/>
  <c r="J62" i="19" s="1"/>
  <c r="F62" i="19"/>
  <c r="D62" i="19"/>
  <c r="C62" i="19"/>
  <c r="B62" i="19"/>
  <c r="J61" i="19"/>
  <c r="I61" i="19"/>
  <c r="F61" i="19"/>
  <c r="D61" i="19"/>
  <c r="C61" i="19"/>
  <c r="B61" i="19"/>
  <c r="J60" i="19"/>
  <c r="I60" i="19"/>
  <c r="F60" i="19"/>
  <c r="D60" i="19"/>
  <c r="C60" i="19"/>
  <c r="B60" i="19"/>
  <c r="J59" i="19"/>
  <c r="I59" i="19"/>
  <c r="F59" i="19"/>
  <c r="D59" i="19"/>
  <c r="C59" i="19"/>
  <c r="B59" i="19"/>
  <c r="I58" i="19"/>
  <c r="J58" i="19" s="1"/>
  <c r="F58" i="19"/>
  <c r="D58" i="19"/>
  <c r="C58" i="19"/>
  <c r="B58" i="19"/>
  <c r="J57" i="19"/>
  <c r="I57" i="19"/>
  <c r="F57" i="19"/>
  <c r="D57" i="19"/>
  <c r="C57" i="19"/>
  <c r="B57" i="19"/>
  <c r="J56" i="19"/>
  <c r="I56" i="19"/>
  <c r="F56" i="19"/>
  <c r="D56" i="19"/>
  <c r="C56" i="19"/>
  <c r="B56" i="19"/>
  <c r="J55" i="19"/>
  <c r="I55" i="19"/>
  <c r="F55" i="19"/>
  <c r="D55" i="19"/>
  <c r="C55" i="19"/>
  <c r="B55" i="19"/>
  <c r="I54" i="19"/>
  <c r="J54" i="19" s="1"/>
  <c r="F54" i="19"/>
  <c r="D54" i="19"/>
  <c r="C54" i="19"/>
  <c r="B54" i="19"/>
  <c r="J53" i="19"/>
  <c r="I53" i="19"/>
  <c r="F53" i="19"/>
  <c r="D53" i="19"/>
  <c r="C53" i="19"/>
  <c r="B53" i="19"/>
  <c r="J52" i="19"/>
  <c r="I52" i="19"/>
  <c r="F52" i="19"/>
  <c r="D52" i="19"/>
  <c r="C52" i="19"/>
  <c r="B52" i="19"/>
  <c r="J51" i="19"/>
  <c r="I51" i="19"/>
  <c r="F51" i="19"/>
  <c r="D51" i="19"/>
  <c r="C51" i="19"/>
  <c r="B51" i="19"/>
  <c r="I50" i="19"/>
  <c r="J50" i="19" s="1"/>
  <c r="F50" i="19"/>
  <c r="D50" i="19"/>
  <c r="C50" i="19"/>
  <c r="B50" i="19"/>
  <c r="J49" i="19"/>
  <c r="I49" i="19"/>
  <c r="F49" i="19"/>
  <c r="D49" i="19"/>
  <c r="C49" i="19"/>
  <c r="B49" i="19"/>
  <c r="J48" i="19"/>
  <c r="I48" i="19"/>
  <c r="F48" i="19"/>
  <c r="D48" i="19"/>
  <c r="C48" i="19"/>
  <c r="B48" i="19"/>
  <c r="J47" i="19"/>
  <c r="I47" i="19"/>
  <c r="F47" i="19"/>
  <c r="D47" i="19"/>
  <c r="C47" i="19"/>
  <c r="B47" i="19"/>
  <c r="I46" i="19"/>
  <c r="J46" i="19" s="1"/>
  <c r="F46" i="19"/>
  <c r="D46" i="19"/>
  <c r="C46" i="19"/>
  <c r="B46" i="19"/>
  <c r="J45" i="19"/>
  <c r="I45" i="19"/>
  <c r="F45" i="19"/>
  <c r="D45" i="19"/>
  <c r="C45" i="19"/>
  <c r="B45" i="19"/>
  <c r="J44" i="19"/>
  <c r="I44" i="19"/>
  <c r="F44" i="19"/>
  <c r="D44" i="19"/>
  <c r="C44" i="19"/>
  <c r="B44" i="19"/>
  <c r="J43" i="19"/>
  <c r="I43" i="19"/>
  <c r="F43" i="19"/>
  <c r="D43" i="19"/>
  <c r="C43" i="19"/>
  <c r="B43" i="19"/>
  <c r="I42" i="19"/>
  <c r="J42" i="19" s="1"/>
  <c r="F42" i="19"/>
  <c r="D42" i="19"/>
  <c r="C42" i="19"/>
  <c r="B42" i="19"/>
  <c r="J41" i="19"/>
  <c r="I41" i="19"/>
  <c r="F41" i="19"/>
  <c r="D41" i="19"/>
  <c r="C41" i="19"/>
  <c r="B41" i="19"/>
  <c r="J40" i="19"/>
  <c r="I40" i="19"/>
  <c r="F40" i="19"/>
  <c r="D40" i="19"/>
  <c r="C40" i="19"/>
  <c r="B40" i="19"/>
  <c r="J39" i="19"/>
  <c r="I39" i="19"/>
  <c r="F39" i="19"/>
  <c r="D39" i="19"/>
  <c r="C39" i="19"/>
  <c r="B39" i="19"/>
  <c r="I38" i="19"/>
  <c r="J38" i="19" s="1"/>
  <c r="F38" i="19"/>
  <c r="D38" i="19"/>
  <c r="C38" i="19"/>
  <c r="B38" i="19"/>
  <c r="J37" i="19"/>
  <c r="I37" i="19"/>
  <c r="F37" i="19"/>
  <c r="D37" i="19"/>
  <c r="C37" i="19"/>
  <c r="B37" i="19"/>
  <c r="J36" i="19"/>
  <c r="I36" i="19"/>
  <c r="F36" i="19"/>
  <c r="D36" i="19"/>
  <c r="C36" i="19"/>
  <c r="B36" i="19"/>
  <c r="J35" i="19"/>
  <c r="I35" i="19"/>
  <c r="F35" i="19"/>
  <c r="D35" i="19"/>
  <c r="C35" i="19"/>
  <c r="B35" i="19"/>
  <c r="I34" i="19"/>
  <c r="J34" i="19" s="1"/>
  <c r="F34" i="19"/>
  <c r="D34" i="19"/>
  <c r="C34" i="19"/>
  <c r="B34" i="19"/>
  <c r="J33" i="19"/>
  <c r="I33" i="19"/>
  <c r="F33" i="19"/>
  <c r="D33" i="19"/>
  <c r="C33" i="19"/>
  <c r="B33" i="19"/>
  <c r="J32" i="19"/>
  <c r="I32" i="19"/>
  <c r="F32" i="19"/>
  <c r="D32" i="19"/>
  <c r="C32" i="19"/>
  <c r="B32" i="19"/>
  <c r="J31" i="19"/>
  <c r="I31" i="19"/>
  <c r="F31" i="19"/>
  <c r="D31" i="19"/>
  <c r="C31" i="19"/>
  <c r="B31" i="19"/>
  <c r="I30" i="19"/>
  <c r="J30" i="19" s="1"/>
  <c r="F30" i="19"/>
  <c r="D30" i="19"/>
  <c r="C30" i="19"/>
  <c r="B30" i="19"/>
  <c r="J29" i="19"/>
  <c r="I29" i="19"/>
  <c r="F29" i="19"/>
  <c r="D29" i="19"/>
  <c r="C29" i="19"/>
  <c r="B29" i="19"/>
  <c r="J28" i="19"/>
  <c r="I28" i="19"/>
  <c r="F28" i="19"/>
  <c r="D28" i="19"/>
  <c r="C28" i="19"/>
  <c r="B28" i="19"/>
  <c r="J27" i="19"/>
  <c r="I27" i="19"/>
  <c r="F27" i="19"/>
  <c r="D27" i="19"/>
  <c r="C27" i="19"/>
  <c r="B27" i="19"/>
  <c r="I26" i="19"/>
  <c r="J26" i="19" s="1"/>
  <c r="F26" i="19"/>
  <c r="D26" i="19"/>
  <c r="C26" i="19"/>
  <c r="B26" i="19"/>
  <c r="J25" i="19"/>
  <c r="I25" i="19"/>
  <c r="F25" i="19"/>
  <c r="D25" i="19"/>
  <c r="C25" i="19"/>
  <c r="B25" i="19"/>
  <c r="J24" i="19"/>
  <c r="I24" i="19"/>
  <c r="F24" i="19"/>
  <c r="D24" i="19"/>
  <c r="C24" i="19"/>
  <c r="B24" i="19"/>
  <c r="J23" i="19"/>
  <c r="I23" i="19"/>
  <c r="F23" i="19"/>
  <c r="D23" i="19"/>
  <c r="C23" i="19"/>
  <c r="B23" i="19"/>
  <c r="I22" i="19"/>
  <c r="J22" i="19" s="1"/>
  <c r="F22" i="19"/>
  <c r="D22" i="19"/>
  <c r="C22" i="19"/>
  <c r="B22" i="19"/>
  <c r="J21" i="19"/>
  <c r="I21" i="19"/>
  <c r="F21" i="19"/>
  <c r="D21" i="19"/>
  <c r="C21" i="19"/>
  <c r="B21" i="19"/>
  <c r="J20" i="19"/>
  <c r="I20" i="19"/>
  <c r="F20" i="19"/>
  <c r="D20" i="19"/>
  <c r="C20" i="19"/>
  <c r="B20" i="19"/>
  <c r="J19" i="19"/>
  <c r="I19" i="19"/>
  <c r="F19" i="19"/>
  <c r="D19" i="19"/>
  <c r="C19" i="19"/>
  <c r="B19" i="19"/>
  <c r="I18" i="19"/>
  <c r="J18" i="19" s="1"/>
  <c r="F18" i="19"/>
  <c r="D18" i="19"/>
  <c r="C18" i="19"/>
  <c r="B18" i="19"/>
  <c r="J17" i="19"/>
  <c r="I17" i="19"/>
  <c r="F17" i="19"/>
  <c r="D17" i="19"/>
  <c r="C17" i="19"/>
  <c r="B17" i="19"/>
  <c r="J16" i="19"/>
  <c r="I16" i="19"/>
  <c r="F16" i="19"/>
  <c r="D16" i="19"/>
  <c r="C16" i="19"/>
  <c r="B16" i="19"/>
  <c r="J15" i="19"/>
  <c r="I15" i="19"/>
  <c r="F15" i="19"/>
  <c r="D15" i="19"/>
  <c r="C15" i="19"/>
  <c r="B15" i="19"/>
  <c r="I14" i="19"/>
  <c r="J14" i="19" s="1"/>
  <c r="F14" i="19"/>
  <c r="D14" i="19"/>
  <c r="C14" i="19"/>
  <c r="B14" i="19"/>
  <c r="J13" i="19"/>
  <c r="I13" i="19"/>
  <c r="F13" i="19"/>
  <c r="D13" i="19"/>
  <c r="C13" i="19"/>
  <c r="B13" i="19"/>
  <c r="I12" i="19"/>
  <c r="J12" i="19" s="1"/>
  <c r="F12" i="19"/>
  <c r="D12" i="19"/>
  <c r="C12" i="19"/>
  <c r="B12" i="19"/>
  <c r="J11" i="19"/>
  <c r="I11" i="19"/>
  <c r="F11" i="19"/>
  <c r="D11" i="19"/>
  <c r="C11" i="19"/>
  <c r="B11" i="19"/>
  <c r="I10" i="19"/>
  <c r="J10" i="19" s="1"/>
  <c r="F10" i="19"/>
  <c r="D10" i="19"/>
  <c r="C10" i="19"/>
  <c r="B10" i="19"/>
  <c r="J9" i="19"/>
  <c r="I9" i="19"/>
  <c r="F9" i="19"/>
  <c r="D9" i="19"/>
  <c r="C9" i="19"/>
  <c r="B9" i="19"/>
  <c r="A5" i="19"/>
  <c r="G4" i="19"/>
  <c r="D4" i="19"/>
  <c r="A4" i="19"/>
  <c r="K213" i="18"/>
  <c r="J213" i="18"/>
  <c r="I213" i="18"/>
  <c r="D213" i="18"/>
  <c r="C213" i="18"/>
  <c r="A213" i="18"/>
  <c r="K212" i="18"/>
  <c r="J212" i="18"/>
  <c r="I212" i="18"/>
  <c r="D212" i="18"/>
  <c r="C212" i="18"/>
  <c r="A212" i="18"/>
  <c r="K211" i="18"/>
  <c r="I211" i="18"/>
  <c r="J211" i="18" s="1"/>
  <c r="D211" i="18"/>
  <c r="C211" i="18"/>
  <c r="A211" i="18"/>
  <c r="K210" i="18"/>
  <c r="I210" i="18"/>
  <c r="J210" i="18" s="1"/>
  <c r="D210" i="18"/>
  <c r="C210" i="18"/>
  <c r="A210" i="18"/>
  <c r="K209" i="18"/>
  <c r="J209" i="18"/>
  <c r="I209" i="18"/>
  <c r="D209" i="18"/>
  <c r="C209" i="18"/>
  <c r="A209" i="18"/>
  <c r="K208" i="18"/>
  <c r="J208" i="18"/>
  <c r="I208" i="18"/>
  <c r="D208" i="18"/>
  <c r="C208" i="18"/>
  <c r="A208" i="18"/>
  <c r="K207" i="18"/>
  <c r="I207" i="18"/>
  <c r="J207" i="18" s="1"/>
  <c r="D207" i="18"/>
  <c r="C207" i="18"/>
  <c r="A207" i="18"/>
  <c r="K206" i="18"/>
  <c r="I206" i="18"/>
  <c r="J206" i="18" s="1"/>
  <c r="D206" i="18"/>
  <c r="C206" i="18"/>
  <c r="A206" i="18"/>
  <c r="K205" i="18"/>
  <c r="J205" i="18"/>
  <c r="I205" i="18"/>
  <c r="D205" i="18"/>
  <c r="C205" i="18"/>
  <c r="A205" i="18"/>
  <c r="K204" i="18"/>
  <c r="J204" i="18"/>
  <c r="I204" i="18"/>
  <c r="D204" i="18"/>
  <c r="C204" i="18"/>
  <c r="A204" i="18"/>
  <c r="K203" i="18"/>
  <c r="I203" i="18"/>
  <c r="J203" i="18" s="1"/>
  <c r="D203" i="18"/>
  <c r="C203" i="18"/>
  <c r="A203" i="18"/>
  <c r="K202" i="18"/>
  <c r="I202" i="18"/>
  <c r="J202" i="18" s="1"/>
  <c r="D202" i="18"/>
  <c r="C202" i="18"/>
  <c r="A202" i="18"/>
  <c r="K201" i="18"/>
  <c r="J201" i="18"/>
  <c r="I201" i="18"/>
  <c r="D201" i="18"/>
  <c r="C201" i="18"/>
  <c r="A201" i="18"/>
  <c r="K200" i="18"/>
  <c r="J200" i="18"/>
  <c r="I200" i="18"/>
  <c r="D200" i="18"/>
  <c r="C200" i="18"/>
  <c r="A200" i="18"/>
  <c r="K199" i="18"/>
  <c r="I199" i="18"/>
  <c r="J199" i="18" s="1"/>
  <c r="D199" i="18"/>
  <c r="C199" i="18"/>
  <c r="A199" i="18"/>
  <c r="K198" i="18"/>
  <c r="I198" i="18"/>
  <c r="J198" i="18" s="1"/>
  <c r="D198" i="18"/>
  <c r="C198" i="18"/>
  <c r="A198" i="18"/>
  <c r="K197" i="18"/>
  <c r="J197" i="18"/>
  <c r="I197" i="18"/>
  <c r="D197" i="18"/>
  <c r="C197" i="18"/>
  <c r="A197" i="18"/>
  <c r="K196" i="18"/>
  <c r="J196" i="18"/>
  <c r="I196" i="18"/>
  <c r="D196" i="18"/>
  <c r="C196" i="18"/>
  <c r="A196" i="18"/>
  <c r="K195" i="18"/>
  <c r="I195" i="18"/>
  <c r="J195" i="18" s="1"/>
  <c r="D195" i="18"/>
  <c r="C195" i="18"/>
  <c r="A195" i="18"/>
  <c r="K194" i="18"/>
  <c r="I194" i="18"/>
  <c r="J194" i="18" s="1"/>
  <c r="D194" i="18"/>
  <c r="C194" i="18"/>
  <c r="A194" i="18"/>
  <c r="K193" i="18"/>
  <c r="J193" i="18"/>
  <c r="I193" i="18"/>
  <c r="D193" i="18"/>
  <c r="C193" i="18"/>
  <c r="A193" i="18"/>
  <c r="K192" i="18"/>
  <c r="J192" i="18"/>
  <c r="I192" i="18"/>
  <c r="D192" i="18"/>
  <c r="C192" i="18"/>
  <c r="A192" i="18"/>
  <c r="K191" i="18"/>
  <c r="I191" i="18"/>
  <c r="J191" i="18" s="1"/>
  <c r="D191" i="18"/>
  <c r="C191" i="18"/>
  <c r="A191" i="18"/>
  <c r="K190" i="18"/>
  <c r="I190" i="18"/>
  <c r="J190" i="18" s="1"/>
  <c r="D190" i="18"/>
  <c r="C190" i="18"/>
  <c r="A190" i="18"/>
  <c r="K189" i="18"/>
  <c r="J189" i="18"/>
  <c r="I189" i="18"/>
  <c r="D189" i="18"/>
  <c r="C189" i="18"/>
  <c r="A189" i="18"/>
  <c r="K188" i="18"/>
  <c r="J188" i="18"/>
  <c r="I188" i="18"/>
  <c r="D188" i="18"/>
  <c r="C188" i="18"/>
  <c r="A188" i="18"/>
  <c r="K187" i="18"/>
  <c r="I187" i="18"/>
  <c r="J187" i="18" s="1"/>
  <c r="D187" i="18"/>
  <c r="C187" i="18"/>
  <c r="A187" i="18"/>
  <c r="K186" i="18"/>
  <c r="I186" i="18"/>
  <c r="J186" i="18" s="1"/>
  <c r="D186" i="18"/>
  <c r="C186" i="18"/>
  <c r="A186" i="18"/>
  <c r="K185" i="18"/>
  <c r="J185" i="18"/>
  <c r="I185" i="18"/>
  <c r="D185" i="18"/>
  <c r="C185" i="18"/>
  <c r="A185" i="18"/>
  <c r="K184" i="18"/>
  <c r="J184" i="18"/>
  <c r="I184" i="18"/>
  <c r="D184" i="18"/>
  <c r="C184" i="18"/>
  <c r="A184" i="18"/>
  <c r="K183" i="18"/>
  <c r="I183" i="18"/>
  <c r="J183" i="18" s="1"/>
  <c r="D183" i="18"/>
  <c r="C183" i="18"/>
  <c r="A183" i="18"/>
  <c r="K182" i="18"/>
  <c r="I182" i="18"/>
  <c r="J182" i="18" s="1"/>
  <c r="D182" i="18"/>
  <c r="C182" i="18"/>
  <c r="A182" i="18"/>
  <c r="K181" i="18"/>
  <c r="J181" i="18"/>
  <c r="I181" i="18"/>
  <c r="D181" i="18"/>
  <c r="C181" i="18"/>
  <c r="A181" i="18"/>
  <c r="K180" i="18"/>
  <c r="J180" i="18"/>
  <c r="I180" i="18"/>
  <c r="D180" i="18"/>
  <c r="C180" i="18"/>
  <c r="A180" i="18"/>
  <c r="K179" i="18"/>
  <c r="I179" i="18"/>
  <c r="J179" i="18" s="1"/>
  <c r="D179" i="18"/>
  <c r="C179" i="18"/>
  <c r="A179" i="18"/>
  <c r="K178" i="18"/>
  <c r="I178" i="18"/>
  <c r="J178" i="18" s="1"/>
  <c r="D178" i="18"/>
  <c r="C178" i="18"/>
  <c r="A178" i="18"/>
  <c r="K177" i="18"/>
  <c r="J177" i="18"/>
  <c r="I177" i="18"/>
  <c r="D177" i="18"/>
  <c r="C177" i="18"/>
  <c r="A177" i="18"/>
  <c r="K176" i="18"/>
  <c r="J176" i="18"/>
  <c r="I176" i="18"/>
  <c r="D176" i="18"/>
  <c r="C176" i="18"/>
  <c r="A176" i="18"/>
  <c r="K175" i="18"/>
  <c r="I175" i="18"/>
  <c r="J175" i="18" s="1"/>
  <c r="D175" i="18"/>
  <c r="C175" i="18"/>
  <c r="A175" i="18"/>
  <c r="K174" i="18"/>
  <c r="I174" i="18"/>
  <c r="J174" i="18" s="1"/>
  <c r="D174" i="18"/>
  <c r="C174" i="18"/>
  <c r="A174" i="18"/>
  <c r="K173" i="18"/>
  <c r="J173" i="18"/>
  <c r="I173" i="18"/>
  <c r="D173" i="18"/>
  <c r="C173" i="18"/>
  <c r="A173" i="18"/>
  <c r="K172" i="18"/>
  <c r="J172" i="18"/>
  <c r="I172" i="18"/>
  <c r="D172" i="18"/>
  <c r="C172" i="18"/>
  <c r="A172" i="18"/>
  <c r="K171" i="18"/>
  <c r="I171" i="18"/>
  <c r="J171" i="18" s="1"/>
  <c r="D171" i="18"/>
  <c r="C171" i="18"/>
  <c r="A171" i="18"/>
  <c r="K170" i="18"/>
  <c r="I170" i="18"/>
  <c r="J170" i="18" s="1"/>
  <c r="D170" i="18"/>
  <c r="C170" i="18"/>
  <c r="A170" i="18"/>
  <c r="K169" i="18"/>
  <c r="J169" i="18"/>
  <c r="I169" i="18"/>
  <c r="D169" i="18"/>
  <c r="C169" i="18"/>
  <c r="A169" i="18"/>
  <c r="K168" i="18"/>
  <c r="J168" i="18"/>
  <c r="I168" i="18"/>
  <c r="D168" i="18"/>
  <c r="C168" i="18"/>
  <c r="A168" i="18"/>
  <c r="K167" i="18"/>
  <c r="I167" i="18"/>
  <c r="J167" i="18" s="1"/>
  <c r="D167" i="18"/>
  <c r="C167" i="18"/>
  <c r="A167" i="18"/>
  <c r="K166" i="18"/>
  <c r="I166" i="18"/>
  <c r="J166" i="18" s="1"/>
  <c r="D166" i="18"/>
  <c r="C166" i="18"/>
  <c r="A166" i="18"/>
  <c r="K165" i="18"/>
  <c r="J165" i="18"/>
  <c r="I165" i="18"/>
  <c r="D165" i="18"/>
  <c r="C165" i="18"/>
  <c r="A165" i="18"/>
  <c r="K164" i="18"/>
  <c r="J164" i="18"/>
  <c r="I164" i="18"/>
  <c r="D164" i="18"/>
  <c r="C164" i="18"/>
  <c r="A164" i="18"/>
  <c r="K163" i="18"/>
  <c r="I163" i="18"/>
  <c r="J163" i="18" s="1"/>
  <c r="D163" i="18"/>
  <c r="C163" i="18"/>
  <c r="A163" i="18"/>
  <c r="K162" i="18"/>
  <c r="I162" i="18"/>
  <c r="J162" i="18" s="1"/>
  <c r="D162" i="18"/>
  <c r="C162" i="18"/>
  <c r="A162" i="18"/>
  <c r="K161" i="18"/>
  <c r="J161" i="18"/>
  <c r="I161" i="18"/>
  <c r="D161" i="18"/>
  <c r="C161" i="18"/>
  <c r="A161" i="18"/>
  <c r="K160" i="18"/>
  <c r="J160" i="18"/>
  <c r="I160" i="18"/>
  <c r="D160" i="18"/>
  <c r="C160" i="18"/>
  <c r="A160" i="18"/>
  <c r="K159" i="18"/>
  <c r="I159" i="18"/>
  <c r="J159" i="18" s="1"/>
  <c r="D159" i="18"/>
  <c r="C159" i="18"/>
  <c r="A159" i="18"/>
  <c r="K158" i="18"/>
  <c r="I158" i="18"/>
  <c r="J158" i="18" s="1"/>
  <c r="D158" i="18"/>
  <c r="C158" i="18"/>
  <c r="A158" i="18"/>
  <c r="K157" i="18"/>
  <c r="J157" i="18"/>
  <c r="I157" i="18"/>
  <c r="D157" i="18"/>
  <c r="C157" i="18"/>
  <c r="A157" i="18"/>
  <c r="K156" i="18"/>
  <c r="J156" i="18"/>
  <c r="I156" i="18"/>
  <c r="D156" i="18"/>
  <c r="C156" i="18"/>
  <c r="A156" i="18"/>
  <c r="K155" i="18"/>
  <c r="I155" i="18"/>
  <c r="J155" i="18" s="1"/>
  <c r="D155" i="18"/>
  <c r="C155" i="18"/>
  <c r="A155" i="18"/>
  <c r="K154" i="18"/>
  <c r="I154" i="18"/>
  <c r="J154" i="18" s="1"/>
  <c r="D154" i="18"/>
  <c r="C154" i="18"/>
  <c r="A154" i="18"/>
  <c r="K153" i="18"/>
  <c r="J153" i="18"/>
  <c r="I153" i="18"/>
  <c r="D153" i="18"/>
  <c r="C153" i="18"/>
  <c r="A153" i="18"/>
  <c r="K152" i="18"/>
  <c r="J152" i="18"/>
  <c r="I152" i="18"/>
  <c r="D152" i="18"/>
  <c r="C152" i="18"/>
  <c r="A152" i="18"/>
  <c r="K151" i="18"/>
  <c r="I151" i="18"/>
  <c r="J151" i="18" s="1"/>
  <c r="D151" i="18"/>
  <c r="C151" i="18"/>
  <c r="A151" i="18"/>
  <c r="K150" i="18"/>
  <c r="I150" i="18"/>
  <c r="J150" i="18" s="1"/>
  <c r="D150" i="18"/>
  <c r="C150" i="18"/>
  <c r="A150" i="18"/>
  <c r="K149" i="18"/>
  <c r="J149" i="18"/>
  <c r="I149" i="18"/>
  <c r="D149" i="18"/>
  <c r="C149" i="18"/>
  <c r="A149" i="18"/>
  <c r="K148" i="18"/>
  <c r="J148" i="18"/>
  <c r="I148" i="18"/>
  <c r="D148" i="18"/>
  <c r="C148" i="18"/>
  <c r="A148" i="18"/>
  <c r="K147" i="18"/>
  <c r="I147" i="18"/>
  <c r="J147" i="18" s="1"/>
  <c r="D147" i="18"/>
  <c r="C147" i="18"/>
  <c r="A147" i="18"/>
  <c r="K146" i="18"/>
  <c r="I146" i="18"/>
  <c r="J146" i="18" s="1"/>
  <c r="D146" i="18"/>
  <c r="C146" i="18"/>
  <c r="A146" i="18"/>
  <c r="K145" i="18"/>
  <c r="J145" i="18"/>
  <c r="I145" i="18"/>
  <c r="D145" i="18"/>
  <c r="C145" i="18"/>
  <c r="A145" i="18"/>
  <c r="K144" i="18"/>
  <c r="J144" i="18"/>
  <c r="I144" i="18"/>
  <c r="D144" i="18"/>
  <c r="C144" i="18"/>
  <c r="A144" i="18"/>
  <c r="K143" i="18"/>
  <c r="I143" i="18"/>
  <c r="J143" i="18" s="1"/>
  <c r="D143" i="18"/>
  <c r="C143" i="18"/>
  <c r="A143" i="18"/>
  <c r="K142" i="18"/>
  <c r="I142" i="18"/>
  <c r="J142" i="18" s="1"/>
  <c r="D142" i="18"/>
  <c r="C142" i="18"/>
  <c r="A142" i="18"/>
  <c r="K141" i="18"/>
  <c r="J141" i="18"/>
  <c r="I141" i="18"/>
  <c r="D141" i="18"/>
  <c r="C141" i="18"/>
  <c r="A141" i="18"/>
  <c r="K140" i="18"/>
  <c r="J140" i="18"/>
  <c r="I140" i="18"/>
  <c r="D140" i="18"/>
  <c r="C140" i="18"/>
  <c r="A140" i="18"/>
  <c r="K139" i="18"/>
  <c r="I139" i="18"/>
  <c r="J139" i="18" s="1"/>
  <c r="D139" i="18"/>
  <c r="C139" i="18"/>
  <c r="A139" i="18"/>
  <c r="K138" i="18"/>
  <c r="I138" i="18"/>
  <c r="J138" i="18" s="1"/>
  <c r="D138" i="18"/>
  <c r="C138" i="18"/>
  <c r="A138" i="18"/>
  <c r="K137" i="18"/>
  <c r="J137" i="18"/>
  <c r="I137" i="18"/>
  <c r="D137" i="18"/>
  <c r="C137" i="18"/>
  <c r="A137" i="18"/>
  <c r="K136" i="18"/>
  <c r="J136" i="18"/>
  <c r="I136" i="18"/>
  <c r="D136" i="18"/>
  <c r="C136" i="18"/>
  <c r="A136" i="18"/>
  <c r="K135" i="18"/>
  <c r="I135" i="18"/>
  <c r="J135" i="18" s="1"/>
  <c r="D135" i="18"/>
  <c r="C135" i="18"/>
  <c r="A135" i="18"/>
  <c r="K134" i="18"/>
  <c r="I134" i="18"/>
  <c r="J134" i="18" s="1"/>
  <c r="D134" i="18"/>
  <c r="C134" i="18"/>
  <c r="A134" i="18"/>
  <c r="K133" i="18"/>
  <c r="J133" i="18"/>
  <c r="I133" i="18"/>
  <c r="D133" i="18"/>
  <c r="C133" i="18"/>
  <c r="A133" i="18"/>
  <c r="K132" i="18"/>
  <c r="J132" i="18"/>
  <c r="I132" i="18"/>
  <c r="D132" i="18"/>
  <c r="C132" i="18"/>
  <c r="A132" i="18"/>
  <c r="K131" i="18"/>
  <c r="I131" i="18"/>
  <c r="J131" i="18" s="1"/>
  <c r="D131" i="18"/>
  <c r="C131" i="18"/>
  <c r="A131" i="18"/>
  <c r="K130" i="18"/>
  <c r="I130" i="18"/>
  <c r="J130" i="18" s="1"/>
  <c r="D130" i="18"/>
  <c r="C130" i="18"/>
  <c r="A130" i="18"/>
  <c r="K129" i="18"/>
  <c r="J129" i="18"/>
  <c r="I129" i="18"/>
  <c r="D129" i="18"/>
  <c r="C129" i="18"/>
  <c r="A129" i="18"/>
  <c r="K128" i="18"/>
  <c r="J128" i="18"/>
  <c r="I128" i="18"/>
  <c r="D128" i="18"/>
  <c r="C128" i="18"/>
  <c r="A128" i="18"/>
  <c r="K127" i="18"/>
  <c r="I127" i="18"/>
  <c r="J127" i="18" s="1"/>
  <c r="D127" i="18"/>
  <c r="C127" i="18"/>
  <c r="A127" i="18"/>
  <c r="K126" i="18"/>
  <c r="I126" i="18"/>
  <c r="J126" i="18" s="1"/>
  <c r="D126" i="18"/>
  <c r="C126" i="18"/>
  <c r="A126" i="18"/>
  <c r="K125" i="18"/>
  <c r="J125" i="18"/>
  <c r="I125" i="18"/>
  <c r="D125" i="18"/>
  <c r="C125" i="18"/>
  <c r="A125" i="18"/>
  <c r="K124" i="18"/>
  <c r="J124" i="18"/>
  <c r="I124" i="18"/>
  <c r="D124" i="18"/>
  <c r="C124" i="18"/>
  <c r="A124" i="18"/>
  <c r="K123" i="18"/>
  <c r="I123" i="18"/>
  <c r="J123" i="18" s="1"/>
  <c r="D123" i="18"/>
  <c r="C123" i="18"/>
  <c r="A123" i="18"/>
  <c r="K122" i="18"/>
  <c r="I122" i="18"/>
  <c r="J122" i="18" s="1"/>
  <c r="D122" i="18"/>
  <c r="C122" i="18"/>
  <c r="A122" i="18"/>
  <c r="K121" i="18"/>
  <c r="J121" i="18"/>
  <c r="I121" i="18"/>
  <c r="D121" i="18"/>
  <c r="C121" i="18"/>
  <c r="A121" i="18"/>
  <c r="K120" i="18"/>
  <c r="J120" i="18"/>
  <c r="I120" i="18"/>
  <c r="D120" i="18"/>
  <c r="C120" i="18"/>
  <c r="A120" i="18"/>
  <c r="K119" i="18"/>
  <c r="I119" i="18"/>
  <c r="J119" i="18" s="1"/>
  <c r="D119" i="18"/>
  <c r="C119" i="18"/>
  <c r="A119" i="18"/>
  <c r="K118" i="18"/>
  <c r="I118" i="18"/>
  <c r="J118" i="18" s="1"/>
  <c r="D118" i="18"/>
  <c r="C118" i="18"/>
  <c r="A118" i="18"/>
  <c r="K117" i="18"/>
  <c r="J117" i="18"/>
  <c r="I117" i="18"/>
  <c r="D117" i="18"/>
  <c r="C117" i="18"/>
  <c r="A117" i="18"/>
  <c r="K116" i="18"/>
  <c r="J116" i="18"/>
  <c r="I116" i="18"/>
  <c r="D116" i="18"/>
  <c r="C116" i="18"/>
  <c r="A116" i="18"/>
  <c r="K115" i="18"/>
  <c r="I115" i="18"/>
  <c r="J115" i="18" s="1"/>
  <c r="D115" i="18"/>
  <c r="C115" i="18"/>
  <c r="A115" i="18"/>
  <c r="K114" i="18"/>
  <c r="I114" i="18"/>
  <c r="J114" i="18" s="1"/>
  <c r="D114" i="18"/>
  <c r="C114" i="18"/>
  <c r="A114" i="18"/>
  <c r="K113" i="18"/>
  <c r="J113" i="18"/>
  <c r="I113" i="18"/>
  <c r="D113" i="18"/>
  <c r="C113" i="18"/>
  <c r="A113" i="18"/>
  <c r="K112" i="18"/>
  <c r="J112" i="18"/>
  <c r="I112" i="18"/>
  <c r="D112" i="18"/>
  <c r="C112" i="18"/>
  <c r="A112" i="18"/>
  <c r="K111" i="18"/>
  <c r="I111" i="18"/>
  <c r="J111" i="18" s="1"/>
  <c r="D111" i="18"/>
  <c r="C111" i="18"/>
  <c r="A111" i="18"/>
  <c r="K110" i="18"/>
  <c r="I110" i="18"/>
  <c r="J110" i="18" s="1"/>
  <c r="D110" i="18"/>
  <c r="C110" i="18"/>
  <c r="A110" i="18"/>
  <c r="K109" i="18"/>
  <c r="J109" i="18"/>
  <c r="I109" i="18"/>
  <c r="D109" i="18"/>
  <c r="C109" i="18"/>
  <c r="A109" i="18"/>
  <c r="K108" i="18"/>
  <c r="J108" i="18"/>
  <c r="I108" i="18"/>
  <c r="D108" i="18"/>
  <c r="C108" i="18"/>
  <c r="A108" i="18"/>
  <c r="K107" i="18"/>
  <c r="I107" i="18"/>
  <c r="J107" i="18" s="1"/>
  <c r="D107" i="18"/>
  <c r="C107" i="18"/>
  <c r="A107" i="18"/>
  <c r="K106" i="18"/>
  <c r="I106" i="18"/>
  <c r="J106" i="18" s="1"/>
  <c r="D106" i="18"/>
  <c r="C106" i="18"/>
  <c r="A106" i="18"/>
  <c r="K105" i="18"/>
  <c r="J105" i="18"/>
  <c r="I105" i="18"/>
  <c r="D105" i="18"/>
  <c r="C105" i="18"/>
  <c r="A105" i="18"/>
  <c r="K104" i="18"/>
  <c r="J104" i="18"/>
  <c r="I104" i="18"/>
  <c r="D104" i="18"/>
  <c r="C104" i="18"/>
  <c r="A104" i="18"/>
  <c r="K103" i="18"/>
  <c r="I103" i="18"/>
  <c r="J103" i="18" s="1"/>
  <c r="D103" i="18"/>
  <c r="C103" i="18"/>
  <c r="A103" i="18"/>
  <c r="K102" i="18"/>
  <c r="I102" i="18"/>
  <c r="J102" i="18" s="1"/>
  <c r="D102" i="18"/>
  <c r="C102" i="18"/>
  <c r="A102" i="18"/>
  <c r="K101" i="18"/>
  <c r="J101" i="18"/>
  <c r="I101" i="18"/>
  <c r="D101" i="18"/>
  <c r="C101" i="18"/>
  <c r="A101" i="18"/>
  <c r="K100" i="18"/>
  <c r="J100" i="18"/>
  <c r="I100" i="18"/>
  <c r="D100" i="18"/>
  <c r="C100" i="18"/>
  <c r="A100" i="18"/>
  <c r="K99" i="18"/>
  <c r="I99" i="18"/>
  <c r="J99" i="18" s="1"/>
  <c r="D99" i="18"/>
  <c r="C99" i="18"/>
  <c r="A99" i="18"/>
  <c r="K98" i="18"/>
  <c r="I98" i="18"/>
  <c r="J98" i="18" s="1"/>
  <c r="D98" i="18"/>
  <c r="C98" i="18"/>
  <c r="A98" i="18"/>
  <c r="K97" i="18"/>
  <c r="J97" i="18"/>
  <c r="I97" i="18"/>
  <c r="D97" i="18"/>
  <c r="C97" i="18"/>
  <c r="A97" i="18"/>
  <c r="K96" i="18"/>
  <c r="J96" i="18"/>
  <c r="I96" i="18"/>
  <c r="D96" i="18"/>
  <c r="C96" i="18"/>
  <c r="A96" i="18"/>
  <c r="K95" i="18"/>
  <c r="I95" i="18"/>
  <c r="J95" i="18" s="1"/>
  <c r="D95" i="18"/>
  <c r="C95" i="18"/>
  <c r="A95" i="18"/>
  <c r="K94" i="18"/>
  <c r="I94" i="18"/>
  <c r="J94" i="18" s="1"/>
  <c r="D94" i="18"/>
  <c r="C94" i="18"/>
  <c r="A94" i="18"/>
  <c r="K93" i="18"/>
  <c r="J93" i="18"/>
  <c r="I93" i="18"/>
  <c r="D93" i="18"/>
  <c r="C93" i="18"/>
  <c r="A93" i="18"/>
  <c r="K92" i="18"/>
  <c r="J92" i="18"/>
  <c r="I92" i="18"/>
  <c r="D92" i="18"/>
  <c r="C92" i="18"/>
  <c r="A92" i="18"/>
  <c r="K91" i="18"/>
  <c r="I91" i="18"/>
  <c r="J91" i="18" s="1"/>
  <c r="D91" i="18"/>
  <c r="C91" i="18"/>
  <c r="A91" i="18"/>
  <c r="K90" i="18"/>
  <c r="I90" i="18"/>
  <c r="J90" i="18" s="1"/>
  <c r="D90" i="18"/>
  <c r="C90" i="18"/>
  <c r="A90" i="18"/>
  <c r="K89" i="18"/>
  <c r="J89" i="18"/>
  <c r="I89" i="18"/>
  <c r="D89" i="18"/>
  <c r="C89" i="18"/>
  <c r="A89" i="18"/>
  <c r="K88" i="18"/>
  <c r="J88" i="18"/>
  <c r="I88" i="18"/>
  <c r="D88" i="18"/>
  <c r="C88" i="18"/>
  <c r="A88" i="18"/>
  <c r="K87" i="18"/>
  <c r="I87" i="18"/>
  <c r="J87" i="18" s="1"/>
  <c r="D87" i="18"/>
  <c r="C87" i="18"/>
  <c r="A87" i="18"/>
  <c r="K86" i="18"/>
  <c r="I86" i="18"/>
  <c r="J86" i="18" s="1"/>
  <c r="D86" i="18"/>
  <c r="C86" i="18"/>
  <c r="A86" i="18"/>
  <c r="K85" i="18"/>
  <c r="J85" i="18"/>
  <c r="I85" i="18"/>
  <c r="D85" i="18"/>
  <c r="C85" i="18"/>
  <c r="A85" i="18"/>
  <c r="K84" i="18"/>
  <c r="J84" i="18"/>
  <c r="I84" i="18"/>
  <c r="D84" i="18"/>
  <c r="C84" i="18"/>
  <c r="A84" i="18"/>
  <c r="K83" i="18"/>
  <c r="I83" i="18"/>
  <c r="J83" i="18" s="1"/>
  <c r="D83" i="18"/>
  <c r="C83" i="18"/>
  <c r="A83" i="18"/>
  <c r="K82" i="18"/>
  <c r="I82" i="18"/>
  <c r="J82" i="18" s="1"/>
  <c r="D82" i="18"/>
  <c r="C82" i="18"/>
  <c r="A82" i="18"/>
  <c r="K81" i="18"/>
  <c r="J81" i="18"/>
  <c r="I81" i="18"/>
  <c r="D81" i="18"/>
  <c r="C81" i="18"/>
  <c r="A81" i="18"/>
  <c r="K80" i="18"/>
  <c r="J80" i="18"/>
  <c r="I80" i="18"/>
  <c r="D80" i="18"/>
  <c r="C80" i="18"/>
  <c r="A80" i="18"/>
  <c r="K79" i="18"/>
  <c r="I79" i="18"/>
  <c r="J79" i="18" s="1"/>
  <c r="D79" i="18"/>
  <c r="C79" i="18"/>
  <c r="A79" i="18"/>
  <c r="K78" i="18"/>
  <c r="I78" i="18"/>
  <c r="J78" i="18" s="1"/>
  <c r="D78" i="18"/>
  <c r="C78" i="18"/>
  <c r="A78" i="18"/>
  <c r="K77" i="18"/>
  <c r="J77" i="18"/>
  <c r="I77" i="18"/>
  <c r="D77" i="18"/>
  <c r="C77" i="18"/>
  <c r="A77" i="18"/>
  <c r="K76" i="18"/>
  <c r="J76" i="18"/>
  <c r="I76" i="18"/>
  <c r="D76" i="18"/>
  <c r="C76" i="18"/>
  <c r="A76" i="18"/>
  <c r="K75" i="18"/>
  <c r="I75" i="18"/>
  <c r="J75" i="18" s="1"/>
  <c r="D75" i="18"/>
  <c r="C75" i="18"/>
  <c r="A75" i="18"/>
  <c r="K74" i="18"/>
  <c r="I74" i="18"/>
  <c r="J74" i="18" s="1"/>
  <c r="D74" i="18"/>
  <c r="C74" i="18"/>
  <c r="A74" i="18"/>
  <c r="K73" i="18"/>
  <c r="J73" i="18"/>
  <c r="I73" i="18"/>
  <c r="D73" i="18"/>
  <c r="C73" i="18"/>
  <c r="A73" i="18"/>
  <c r="K72" i="18"/>
  <c r="J72" i="18"/>
  <c r="I72" i="18"/>
  <c r="D72" i="18"/>
  <c r="C72" i="18"/>
  <c r="A72" i="18"/>
  <c r="K71" i="18"/>
  <c r="I71" i="18"/>
  <c r="J71" i="18" s="1"/>
  <c r="D71" i="18"/>
  <c r="C71" i="18"/>
  <c r="A71" i="18"/>
  <c r="K70" i="18"/>
  <c r="I70" i="18"/>
  <c r="J70" i="18" s="1"/>
  <c r="D70" i="18"/>
  <c r="C70" i="18"/>
  <c r="A70" i="18"/>
  <c r="K69" i="18"/>
  <c r="J69" i="18"/>
  <c r="I69" i="18"/>
  <c r="D69" i="18"/>
  <c r="C69" i="18"/>
  <c r="A69" i="18"/>
  <c r="K68" i="18"/>
  <c r="J68" i="18"/>
  <c r="I68" i="18"/>
  <c r="D68" i="18"/>
  <c r="C68" i="18"/>
  <c r="A68" i="18"/>
  <c r="K67" i="18"/>
  <c r="I67" i="18"/>
  <c r="J67" i="18" s="1"/>
  <c r="D67" i="18"/>
  <c r="C67" i="18"/>
  <c r="A67" i="18"/>
  <c r="K66" i="18"/>
  <c r="I66" i="18"/>
  <c r="J66" i="18" s="1"/>
  <c r="D66" i="18"/>
  <c r="C66" i="18"/>
  <c r="A66" i="18"/>
  <c r="K65" i="18"/>
  <c r="J65" i="18"/>
  <c r="I65" i="18"/>
  <c r="D65" i="18"/>
  <c r="C65" i="18"/>
  <c r="A65" i="18"/>
  <c r="K64" i="18"/>
  <c r="J64" i="18"/>
  <c r="I64" i="18"/>
  <c r="D64" i="18"/>
  <c r="C64" i="18"/>
  <c r="A64" i="18"/>
  <c r="K63" i="18"/>
  <c r="I63" i="18"/>
  <c r="J63" i="18" s="1"/>
  <c r="D63" i="18"/>
  <c r="C63" i="18"/>
  <c r="A63" i="18"/>
  <c r="K62" i="18"/>
  <c r="I62" i="18"/>
  <c r="J62" i="18" s="1"/>
  <c r="D62" i="18"/>
  <c r="C62" i="18"/>
  <c r="A62" i="18"/>
  <c r="K61" i="18"/>
  <c r="J61" i="18"/>
  <c r="I61" i="18"/>
  <c r="D61" i="18"/>
  <c r="C61" i="18"/>
  <c r="A61" i="18"/>
  <c r="K60" i="18"/>
  <c r="J60" i="18"/>
  <c r="I60" i="18"/>
  <c r="D60" i="18"/>
  <c r="C60" i="18"/>
  <c r="A60" i="18"/>
  <c r="K59" i="18"/>
  <c r="I59" i="18"/>
  <c r="J59" i="18" s="1"/>
  <c r="D59" i="18"/>
  <c r="C59" i="18"/>
  <c r="A59" i="18"/>
  <c r="K58" i="18"/>
  <c r="I58" i="18"/>
  <c r="J58" i="18" s="1"/>
  <c r="D58" i="18"/>
  <c r="C58" i="18"/>
  <c r="A58" i="18"/>
  <c r="K57" i="18"/>
  <c r="J57" i="18"/>
  <c r="I57" i="18"/>
  <c r="D57" i="18"/>
  <c r="C57" i="18"/>
  <c r="A57" i="18"/>
  <c r="K56" i="18"/>
  <c r="J56" i="18"/>
  <c r="I56" i="18"/>
  <c r="D56" i="18"/>
  <c r="C56" i="18"/>
  <c r="A56" i="18"/>
  <c r="K55" i="18"/>
  <c r="I55" i="18"/>
  <c r="J55" i="18" s="1"/>
  <c r="D55" i="18"/>
  <c r="C55" i="18"/>
  <c r="A55" i="18"/>
  <c r="K54" i="18"/>
  <c r="I54" i="18"/>
  <c r="J54" i="18" s="1"/>
  <c r="D54" i="18"/>
  <c r="C54" i="18"/>
  <c r="A54" i="18"/>
  <c r="K53" i="18"/>
  <c r="J53" i="18"/>
  <c r="I53" i="18"/>
  <c r="D53" i="18"/>
  <c r="C53" i="18"/>
  <c r="A53" i="18"/>
  <c r="K52" i="18"/>
  <c r="J52" i="18"/>
  <c r="I52" i="18"/>
  <c r="D52" i="18"/>
  <c r="C52" i="18"/>
  <c r="A52" i="18"/>
  <c r="K51" i="18"/>
  <c r="I51" i="18"/>
  <c r="J51" i="18" s="1"/>
  <c r="D51" i="18"/>
  <c r="C51" i="18"/>
  <c r="A51" i="18"/>
  <c r="K50" i="18"/>
  <c r="I50" i="18"/>
  <c r="J50" i="18" s="1"/>
  <c r="D50" i="18"/>
  <c r="C50" i="18"/>
  <c r="A50" i="18"/>
  <c r="K49" i="18"/>
  <c r="J49" i="18"/>
  <c r="I49" i="18"/>
  <c r="D49" i="18"/>
  <c r="C49" i="18"/>
  <c r="A49" i="18"/>
  <c r="K48" i="18"/>
  <c r="J48" i="18"/>
  <c r="I48" i="18"/>
  <c r="D48" i="18"/>
  <c r="C48" i="18"/>
  <c r="A48" i="18"/>
  <c r="K47" i="18"/>
  <c r="I47" i="18"/>
  <c r="J47" i="18" s="1"/>
  <c r="D47" i="18"/>
  <c r="C47" i="18"/>
  <c r="A47" i="18"/>
  <c r="K46" i="18"/>
  <c r="I46" i="18"/>
  <c r="J46" i="18" s="1"/>
  <c r="D46" i="18"/>
  <c r="C46" i="18"/>
  <c r="A46" i="18"/>
  <c r="K45" i="18"/>
  <c r="J45" i="18"/>
  <c r="I45" i="18"/>
  <c r="D45" i="18"/>
  <c r="C45" i="18"/>
  <c r="A45" i="18"/>
  <c r="K44" i="18"/>
  <c r="J44" i="18"/>
  <c r="I44" i="18"/>
  <c r="D44" i="18"/>
  <c r="C44" i="18"/>
  <c r="A44" i="18"/>
  <c r="K43" i="18"/>
  <c r="I43" i="18"/>
  <c r="J43" i="18" s="1"/>
  <c r="D43" i="18"/>
  <c r="C43" i="18"/>
  <c r="A43" i="18"/>
  <c r="K42" i="18"/>
  <c r="I42" i="18"/>
  <c r="J42" i="18" s="1"/>
  <c r="D42" i="18"/>
  <c r="C42" i="18"/>
  <c r="A42" i="18"/>
  <c r="K41" i="18"/>
  <c r="J41" i="18"/>
  <c r="I41" i="18"/>
  <c r="D41" i="18"/>
  <c r="C41" i="18"/>
  <c r="A41" i="18"/>
  <c r="K40" i="18"/>
  <c r="J40" i="18"/>
  <c r="I40" i="18"/>
  <c r="D40" i="18"/>
  <c r="C40" i="18"/>
  <c r="A40" i="18"/>
  <c r="K39" i="18"/>
  <c r="I39" i="18"/>
  <c r="J39" i="18" s="1"/>
  <c r="D39" i="18"/>
  <c r="C39" i="18"/>
  <c r="A39" i="18"/>
  <c r="K38" i="18"/>
  <c r="I38" i="18"/>
  <c r="J38" i="18" s="1"/>
  <c r="D38" i="18"/>
  <c r="C38" i="18"/>
  <c r="A38" i="18"/>
  <c r="K37" i="18"/>
  <c r="J37" i="18"/>
  <c r="I37" i="18"/>
  <c r="D37" i="18"/>
  <c r="C37" i="18"/>
  <c r="A37" i="18"/>
  <c r="K36" i="18"/>
  <c r="J36" i="18"/>
  <c r="I36" i="18"/>
  <c r="D36" i="18"/>
  <c r="C36" i="18"/>
  <c r="A36" i="18"/>
  <c r="K35" i="18"/>
  <c r="I35" i="18"/>
  <c r="J35" i="18" s="1"/>
  <c r="D35" i="18"/>
  <c r="C35" i="18"/>
  <c r="A35" i="18"/>
  <c r="K34" i="18"/>
  <c r="I34" i="18"/>
  <c r="J34" i="18" s="1"/>
  <c r="D34" i="18"/>
  <c r="C34" i="18"/>
  <c r="A34" i="18"/>
  <c r="K33" i="18"/>
  <c r="J33" i="18"/>
  <c r="I33" i="18"/>
  <c r="D33" i="18"/>
  <c r="C33" i="18"/>
  <c r="A33" i="18"/>
  <c r="K32" i="18"/>
  <c r="J32" i="18"/>
  <c r="I32" i="18"/>
  <c r="D32" i="18"/>
  <c r="C32" i="18"/>
  <c r="A32" i="18"/>
  <c r="K31" i="18"/>
  <c r="I31" i="18"/>
  <c r="J31" i="18" s="1"/>
  <c r="D31" i="18"/>
  <c r="C31" i="18"/>
  <c r="A31" i="18"/>
  <c r="K30" i="18"/>
  <c r="I30" i="18"/>
  <c r="J30" i="18" s="1"/>
  <c r="D30" i="18"/>
  <c r="C30" i="18"/>
  <c r="A30" i="18"/>
  <c r="K29" i="18"/>
  <c r="J29" i="18"/>
  <c r="I29" i="18"/>
  <c r="D29" i="18"/>
  <c r="C29" i="18"/>
  <c r="A29" i="18"/>
  <c r="K28" i="18"/>
  <c r="J28" i="18"/>
  <c r="I28" i="18"/>
  <c r="D28" i="18"/>
  <c r="C28" i="18"/>
  <c r="A28" i="18"/>
  <c r="K27" i="18"/>
  <c r="I27" i="18"/>
  <c r="J27" i="18" s="1"/>
  <c r="D27" i="18"/>
  <c r="C27" i="18"/>
  <c r="A27" i="18"/>
  <c r="K26" i="18"/>
  <c r="I26" i="18"/>
  <c r="J26" i="18" s="1"/>
  <c r="D26" i="18"/>
  <c r="C26" i="18"/>
  <c r="A26" i="18"/>
  <c r="K25" i="18"/>
  <c r="J25" i="18"/>
  <c r="I25" i="18"/>
  <c r="D25" i="18"/>
  <c r="C25" i="18"/>
  <c r="A25" i="18"/>
  <c r="K24" i="18"/>
  <c r="J24" i="18"/>
  <c r="I24" i="18"/>
  <c r="D24" i="18"/>
  <c r="C24" i="18"/>
  <c r="A24" i="18"/>
  <c r="K23" i="18"/>
  <c r="I23" i="18"/>
  <c r="J23" i="18" s="1"/>
  <c r="D23" i="18"/>
  <c r="C23" i="18"/>
  <c r="A23" i="18"/>
  <c r="K22" i="18"/>
  <c r="I22" i="18"/>
  <c r="J22" i="18" s="1"/>
  <c r="D22" i="18"/>
  <c r="C22" i="18"/>
  <c r="A22" i="18"/>
  <c r="K21" i="18"/>
  <c r="J21" i="18"/>
  <c r="I21" i="18"/>
  <c r="D21" i="18"/>
  <c r="C21" i="18"/>
  <c r="A21" i="18"/>
  <c r="K20" i="18"/>
  <c r="J20" i="18"/>
  <c r="I20" i="18"/>
  <c r="D20" i="18"/>
  <c r="C20" i="18"/>
  <c r="A20" i="18"/>
  <c r="K19" i="18"/>
  <c r="I19" i="18"/>
  <c r="J19" i="18" s="1"/>
  <c r="D19" i="18"/>
  <c r="C19" i="18"/>
  <c r="A19" i="18"/>
  <c r="K18" i="18"/>
  <c r="I18" i="18"/>
  <c r="J18" i="18" s="1"/>
  <c r="D18" i="18"/>
  <c r="C18" i="18"/>
  <c r="A18" i="18"/>
  <c r="K17" i="18"/>
  <c r="J17" i="18"/>
  <c r="I17" i="18"/>
  <c r="D17" i="18"/>
  <c r="C17" i="18"/>
  <c r="A17" i="18"/>
  <c r="K16" i="18"/>
  <c r="J16" i="18"/>
  <c r="I16" i="18"/>
  <c r="D16" i="18"/>
  <c r="C16" i="18"/>
  <c r="A16" i="18"/>
  <c r="K15" i="18"/>
  <c r="I15" i="18"/>
  <c r="J15" i="18" s="1"/>
  <c r="D15" i="18"/>
  <c r="C15" i="18"/>
  <c r="A15" i="18"/>
  <c r="K14" i="18"/>
  <c r="I14" i="18"/>
  <c r="J14" i="18" s="1"/>
  <c r="D14" i="18"/>
  <c r="C14" i="18"/>
  <c r="A14" i="18"/>
  <c r="B9" i="18"/>
  <c r="B10" i="18" s="1"/>
  <c r="B8" i="18"/>
  <c r="J208" i="17"/>
  <c r="K208" i="17" s="1"/>
  <c r="G208" i="17"/>
  <c r="D208" i="17"/>
  <c r="C208" i="17"/>
  <c r="B208" i="17"/>
  <c r="K207" i="17"/>
  <c r="J207" i="17"/>
  <c r="G207" i="17"/>
  <c r="D207" i="17"/>
  <c r="C207" i="17"/>
  <c r="B207" i="17"/>
  <c r="K206" i="17"/>
  <c r="J206" i="17"/>
  <c r="G206" i="17"/>
  <c r="D206" i="17"/>
  <c r="C206" i="17"/>
  <c r="B206" i="17"/>
  <c r="J205" i="17"/>
  <c r="K205" i="17" s="1"/>
  <c r="G205" i="17"/>
  <c r="D205" i="17"/>
  <c r="C205" i="17"/>
  <c r="B205" i="17"/>
  <c r="J204" i="17"/>
  <c r="K204" i="17" s="1"/>
  <c r="G204" i="17"/>
  <c r="D204" i="17"/>
  <c r="C204" i="17"/>
  <c r="B204" i="17"/>
  <c r="K203" i="17"/>
  <c r="J203" i="17"/>
  <c r="G203" i="17"/>
  <c r="D203" i="17"/>
  <c r="C203" i="17"/>
  <c r="B203" i="17"/>
  <c r="K202" i="17"/>
  <c r="J202" i="17"/>
  <c r="G202" i="17"/>
  <c r="D202" i="17"/>
  <c r="C202" i="17"/>
  <c r="B202" i="17"/>
  <c r="J201" i="17"/>
  <c r="K201" i="17" s="1"/>
  <c r="G201" i="17"/>
  <c r="D201" i="17"/>
  <c r="C201" i="17"/>
  <c r="B201" i="17"/>
  <c r="J200" i="17"/>
  <c r="K200" i="17" s="1"/>
  <c r="G200" i="17"/>
  <c r="D200" i="17"/>
  <c r="C200" i="17"/>
  <c r="B200" i="17"/>
  <c r="K199" i="17"/>
  <c r="J199" i="17"/>
  <c r="G199" i="17"/>
  <c r="D199" i="17"/>
  <c r="C199" i="17"/>
  <c r="B199" i="17"/>
  <c r="K198" i="17"/>
  <c r="J198" i="17"/>
  <c r="G198" i="17"/>
  <c r="D198" i="17"/>
  <c r="C198" i="17"/>
  <c r="B198" i="17"/>
  <c r="J197" i="17"/>
  <c r="K197" i="17" s="1"/>
  <c r="G197" i="17"/>
  <c r="D197" i="17"/>
  <c r="C197" i="17"/>
  <c r="B197" i="17"/>
  <c r="J196" i="17"/>
  <c r="K196" i="17" s="1"/>
  <c r="G196" i="17"/>
  <c r="D196" i="17"/>
  <c r="C196" i="17"/>
  <c r="B196" i="17"/>
  <c r="K195" i="17"/>
  <c r="J195" i="17"/>
  <c r="G195" i="17"/>
  <c r="D195" i="17"/>
  <c r="C195" i="17"/>
  <c r="B195" i="17"/>
  <c r="K194" i="17"/>
  <c r="J194" i="17"/>
  <c r="G194" i="17"/>
  <c r="D194" i="17"/>
  <c r="C194" i="17"/>
  <c r="B194" i="17"/>
  <c r="J193" i="17"/>
  <c r="K193" i="17" s="1"/>
  <c r="G193" i="17"/>
  <c r="D193" i="17"/>
  <c r="C193" i="17"/>
  <c r="B193" i="17"/>
  <c r="J192" i="17"/>
  <c r="K192" i="17" s="1"/>
  <c r="G192" i="17"/>
  <c r="D192" i="17"/>
  <c r="C192" i="17"/>
  <c r="B192" i="17"/>
  <c r="K191" i="17"/>
  <c r="J191" i="17"/>
  <c r="G191" i="17"/>
  <c r="D191" i="17"/>
  <c r="C191" i="17"/>
  <c r="B191" i="17"/>
  <c r="K190" i="17"/>
  <c r="J190" i="17"/>
  <c r="G190" i="17"/>
  <c r="D190" i="17"/>
  <c r="C190" i="17"/>
  <c r="B190" i="17"/>
  <c r="J189" i="17"/>
  <c r="K189" i="17" s="1"/>
  <c r="G189" i="17"/>
  <c r="D189" i="17"/>
  <c r="C189" i="17"/>
  <c r="B189" i="17"/>
  <c r="J188" i="17"/>
  <c r="K188" i="17" s="1"/>
  <c r="G188" i="17"/>
  <c r="D188" i="17"/>
  <c r="C188" i="17"/>
  <c r="B188" i="17"/>
  <c r="K187" i="17"/>
  <c r="J187" i="17"/>
  <c r="G187" i="17"/>
  <c r="D187" i="17"/>
  <c r="C187" i="17"/>
  <c r="B187" i="17"/>
  <c r="K186" i="17"/>
  <c r="J186" i="17"/>
  <c r="G186" i="17"/>
  <c r="D186" i="17"/>
  <c r="C186" i="17"/>
  <c r="B186" i="17"/>
  <c r="J185" i="17"/>
  <c r="K185" i="17" s="1"/>
  <c r="G185" i="17"/>
  <c r="D185" i="17"/>
  <c r="C185" i="17"/>
  <c r="B185" i="17"/>
  <c r="J184" i="17"/>
  <c r="K184" i="17" s="1"/>
  <c r="G184" i="17"/>
  <c r="D184" i="17"/>
  <c r="C184" i="17"/>
  <c r="B184" i="17"/>
  <c r="K183" i="17"/>
  <c r="J183" i="17"/>
  <c r="G183" i="17"/>
  <c r="D183" i="17"/>
  <c r="C183" i="17"/>
  <c r="B183" i="17"/>
  <c r="K182" i="17"/>
  <c r="J182" i="17"/>
  <c r="G182" i="17"/>
  <c r="D182" i="17"/>
  <c r="C182" i="17"/>
  <c r="B182" i="17"/>
  <c r="J181" i="17"/>
  <c r="K181" i="17" s="1"/>
  <c r="G181" i="17"/>
  <c r="D181" i="17"/>
  <c r="C181" i="17"/>
  <c r="B181" i="17"/>
  <c r="J180" i="17"/>
  <c r="K180" i="17" s="1"/>
  <c r="G180" i="17"/>
  <c r="D180" i="17"/>
  <c r="C180" i="17"/>
  <c r="B180" i="17"/>
  <c r="K179" i="17"/>
  <c r="J179" i="17"/>
  <c r="G179" i="17"/>
  <c r="D179" i="17"/>
  <c r="C179" i="17"/>
  <c r="B179" i="17"/>
  <c r="K178" i="17"/>
  <c r="J178" i="17"/>
  <c r="G178" i="17"/>
  <c r="D178" i="17"/>
  <c r="C178" i="17"/>
  <c r="B178" i="17"/>
  <c r="J177" i="17"/>
  <c r="K177" i="17" s="1"/>
  <c r="G177" i="17"/>
  <c r="D177" i="17"/>
  <c r="C177" i="17"/>
  <c r="B177" i="17"/>
  <c r="J176" i="17"/>
  <c r="K176" i="17" s="1"/>
  <c r="G176" i="17"/>
  <c r="D176" i="17"/>
  <c r="C176" i="17"/>
  <c r="B176" i="17"/>
  <c r="K175" i="17"/>
  <c r="J175" i="17"/>
  <c r="G175" i="17"/>
  <c r="D175" i="17"/>
  <c r="C175" i="17"/>
  <c r="B175" i="17"/>
  <c r="K174" i="17"/>
  <c r="J174" i="17"/>
  <c r="G174" i="17"/>
  <c r="D174" i="17"/>
  <c r="C174" i="17"/>
  <c r="B174" i="17"/>
  <c r="J173" i="17"/>
  <c r="K173" i="17" s="1"/>
  <c r="G173" i="17"/>
  <c r="D173" i="17"/>
  <c r="C173" i="17"/>
  <c r="B173" i="17"/>
  <c r="J172" i="17"/>
  <c r="K172" i="17" s="1"/>
  <c r="G172" i="17"/>
  <c r="D172" i="17"/>
  <c r="C172" i="17"/>
  <c r="B172" i="17"/>
  <c r="K171" i="17"/>
  <c r="J171" i="17"/>
  <c r="G171" i="17"/>
  <c r="D171" i="17"/>
  <c r="C171" i="17"/>
  <c r="B171" i="17"/>
  <c r="K170" i="17"/>
  <c r="J170" i="17"/>
  <c r="G170" i="17"/>
  <c r="D170" i="17"/>
  <c r="C170" i="17"/>
  <c r="B170" i="17"/>
  <c r="J169" i="17"/>
  <c r="K169" i="17" s="1"/>
  <c r="G169" i="17"/>
  <c r="D169" i="17"/>
  <c r="C169" i="17"/>
  <c r="B169" i="17"/>
  <c r="J168" i="17"/>
  <c r="K168" i="17" s="1"/>
  <c r="G168" i="17"/>
  <c r="D168" i="17"/>
  <c r="C168" i="17"/>
  <c r="B168" i="17"/>
  <c r="K167" i="17"/>
  <c r="J167" i="17"/>
  <c r="G167" i="17"/>
  <c r="D167" i="17"/>
  <c r="C167" i="17"/>
  <c r="B167" i="17"/>
  <c r="K166" i="17"/>
  <c r="J166" i="17"/>
  <c r="G166" i="17"/>
  <c r="D166" i="17"/>
  <c r="C166" i="17"/>
  <c r="B166" i="17"/>
  <c r="J165" i="17"/>
  <c r="K165" i="17" s="1"/>
  <c r="G165" i="17"/>
  <c r="D165" i="17"/>
  <c r="C165" i="17"/>
  <c r="B165" i="17"/>
  <c r="J164" i="17"/>
  <c r="K164" i="17" s="1"/>
  <c r="G164" i="17"/>
  <c r="D164" i="17"/>
  <c r="C164" i="17"/>
  <c r="B164" i="17"/>
  <c r="K163" i="17"/>
  <c r="J163" i="17"/>
  <c r="G163" i="17"/>
  <c r="D163" i="17"/>
  <c r="C163" i="17"/>
  <c r="B163" i="17"/>
  <c r="K162" i="17"/>
  <c r="J162" i="17"/>
  <c r="G162" i="17"/>
  <c r="D162" i="17"/>
  <c r="C162" i="17"/>
  <c r="B162" i="17"/>
  <c r="J161" i="17"/>
  <c r="K161" i="17" s="1"/>
  <c r="G161" i="17"/>
  <c r="D161" i="17"/>
  <c r="C161" i="17"/>
  <c r="B161" i="17"/>
  <c r="J160" i="17"/>
  <c r="K160" i="17" s="1"/>
  <c r="G160" i="17"/>
  <c r="D160" i="17"/>
  <c r="C160" i="17"/>
  <c r="B160" i="17"/>
  <c r="K159" i="17"/>
  <c r="J159" i="17"/>
  <c r="G159" i="17"/>
  <c r="D159" i="17"/>
  <c r="C159" i="17"/>
  <c r="B159" i="17"/>
  <c r="K158" i="17"/>
  <c r="J158" i="17"/>
  <c r="G158" i="17"/>
  <c r="D158" i="17"/>
  <c r="C158" i="17"/>
  <c r="B158" i="17"/>
  <c r="J157" i="17"/>
  <c r="K157" i="17" s="1"/>
  <c r="G157" i="17"/>
  <c r="D157" i="17"/>
  <c r="C157" i="17"/>
  <c r="B157" i="17"/>
  <c r="J156" i="17"/>
  <c r="K156" i="17" s="1"/>
  <c r="G156" i="17"/>
  <c r="D156" i="17"/>
  <c r="C156" i="17"/>
  <c r="B156" i="17"/>
  <c r="K155" i="17"/>
  <c r="J155" i="17"/>
  <c r="G155" i="17"/>
  <c r="D155" i="17"/>
  <c r="C155" i="17"/>
  <c r="B155" i="17"/>
  <c r="K154" i="17"/>
  <c r="J154" i="17"/>
  <c r="G154" i="17"/>
  <c r="D154" i="17"/>
  <c r="C154" i="17"/>
  <c r="B154" i="17"/>
  <c r="J153" i="17"/>
  <c r="K153" i="17" s="1"/>
  <c r="G153" i="17"/>
  <c r="D153" i="17"/>
  <c r="C153" i="17"/>
  <c r="B153" i="17"/>
  <c r="J152" i="17"/>
  <c r="K152" i="17" s="1"/>
  <c r="G152" i="17"/>
  <c r="D152" i="17"/>
  <c r="C152" i="17"/>
  <c r="B152" i="17"/>
  <c r="K151" i="17"/>
  <c r="J151" i="17"/>
  <c r="G151" i="17"/>
  <c r="D151" i="17"/>
  <c r="C151" i="17"/>
  <c r="B151" i="17"/>
  <c r="K150" i="17"/>
  <c r="J150" i="17"/>
  <c r="G150" i="17"/>
  <c r="D150" i="17"/>
  <c r="C150" i="17"/>
  <c r="B150" i="17"/>
  <c r="J149" i="17"/>
  <c r="K149" i="17" s="1"/>
  <c r="G149" i="17"/>
  <c r="D149" i="17"/>
  <c r="C149" i="17"/>
  <c r="B149" i="17"/>
  <c r="J148" i="17"/>
  <c r="K148" i="17" s="1"/>
  <c r="G148" i="17"/>
  <c r="D148" i="17"/>
  <c r="C148" i="17"/>
  <c r="B148" i="17"/>
  <c r="K147" i="17"/>
  <c r="J147" i="17"/>
  <c r="G147" i="17"/>
  <c r="D147" i="17"/>
  <c r="C147" i="17"/>
  <c r="B147" i="17"/>
  <c r="K146" i="17"/>
  <c r="J146" i="17"/>
  <c r="G146" i="17"/>
  <c r="D146" i="17"/>
  <c r="C146" i="17"/>
  <c r="B146" i="17"/>
  <c r="J145" i="17"/>
  <c r="K145" i="17" s="1"/>
  <c r="G145" i="17"/>
  <c r="D145" i="17"/>
  <c r="C145" i="17"/>
  <c r="B145" i="17"/>
  <c r="J144" i="17"/>
  <c r="K144" i="17" s="1"/>
  <c r="G144" i="17"/>
  <c r="D144" i="17"/>
  <c r="C144" i="17"/>
  <c r="B144" i="17"/>
  <c r="K143" i="17"/>
  <c r="J143" i="17"/>
  <c r="G143" i="17"/>
  <c r="D143" i="17"/>
  <c r="C143" i="17"/>
  <c r="B143" i="17"/>
  <c r="K142" i="17"/>
  <c r="J142" i="17"/>
  <c r="G142" i="17"/>
  <c r="D142" i="17"/>
  <c r="C142" i="17"/>
  <c r="B142" i="17"/>
  <c r="J141" i="17"/>
  <c r="K141" i="17" s="1"/>
  <c r="G141" i="17"/>
  <c r="D141" i="17"/>
  <c r="C141" i="17"/>
  <c r="B141" i="17"/>
  <c r="J140" i="17"/>
  <c r="K140" i="17" s="1"/>
  <c r="G140" i="17"/>
  <c r="D140" i="17"/>
  <c r="C140" i="17"/>
  <c r="B140" i="17"/>
  <c r="K139" i="17"/>
  <c r="J139" i="17"/>
  <c r="G139" i="17"/>
  <c r="D139" i="17"/>
  <c r="C139" i="17"/>
  <c r="B139" i="17"/>
  <c r="K138" i="17"/>
  <c r="J138" i="17"/>
  <c r="G138" i="17"/>
  <c r="D138" i="17"/>
  <c r="C138" i="17"/>
  <c r="B138" i="17"/>
  <c r="J137" i="17"/>
  <c r="K137" i="17" s="1"/>
  <c r="G137" i="17"/>
  <c r="D137" i="17"/>
  <c r="C137" i="17"/>
  <c r="B137" i="17"/>
  <c r="J136" i="17"/>
  <c r="K136" i="17" s="1"/>
  <c r="G136" i="17"/>
  <c r="D136" i="17"/>
  <c r="C136" i="17"/>
  <c r="B136" i="17"/>
  <c r="K135" i="17"/>
  <c r="J135" i="17"/>
  <c r="G135" i="17"/>
  <c r="D135" i="17"/>
  <c r="C135" i="17"/>
  <c r="B135" i="17"/>
  <c r="K134" i="17"/>
  <c r="J134" i="17"/>
  <c r="G134" i="17"/>
  <c r="D134" i="17"/>
  <c r="C134" i="17"/>
  <c r="B134" i="17"/>
  <c r="J133" i="17"/>
  <c r="K133" i="17" s="1"/>
  <c r="G133" i="17"/>
  <c r="D133" i="17"/>
  <c r="C133" i="17"/>
  <c r="B133" i="17"/>
  <c r="J132" i="17"/>
  <c r="K132" i="17" s="1"/>
  <c r="G132" i="17"/>
  <c r="D132" i="17"/>
  <c r="C132" i="17"/>
  <c r="B132" i="17"/>
  <c r="K131" i="17"/>
  <c r="J131" i="17"/>
  <c r="G131" i="17"/>
  <c r="D131" i="17"/>
  <c r="C131" i="17"/>
  <c r="B131" i="17"/>
  <c r="K130" i="17"/>
  <c r="J130" i="17"/>
  <c r="G130" i="17"/>
  <c r="D130" i="17"/>
  <c r="C130" i="17"/>
  <c r="B130" i="17"/>
  <c r="J129" i="17"/>
  <c r="K129" i="17" s="1"/>
  <c r="G129" i="17"/>
  <c r="D129" i="17"/>
  <c r="C129" i="17"/>
  <c r="B129" i="17"/>
  <c r="J128" i="17"/>
  <c r="K128" i="17" s="1"/>
  <c r="G128" i="17"/>
  <c r="D128" i="17"/>
  <c r="C128" i="17"/>
  <c r="B128" i="17"/>
  <c r="K127" i="17"/>
  <c r="J127" i="17"/>
  <c r="G127" i="17"/>
  <c r="D127" i="17"/>
  <c r="C127" i="17"/>
  <c r="B127" i="17"/>
  <c r="K126" i="17"/>
  <c r="J126" i="17"/>
  <c r="G126" i="17"/>
  <c r="D126" i="17"/>
  <c r="C126" i="17"/>
  <c r="B126" i="17"/>
  <c r="J125" i="17"/>
  <c r="K125" i="17" s="1"/>
  <c r="G125" i="17"/>
  <c r="D125" i="17"/>
  <c r="C125" i="17"/>
  <c r="B125" i="17"/>
  <c r="J124" i="17"/>
  <c r="K124" i="17" s="1"/>
  <c r="G124" i="17"/>
  <c r="D124" i="17"/>
  <c r="C124" i="17"/>
  <c r="B124" i="17"/>
  <c r="K123" i="17"/>
  <c r="J123" i="17"/>
  <c r="G123" i="17"/>
  <c r="D123" i="17"/>
  <c r="C123" i="17"/>
  <c r="B123" i="17"/>
  <c r="K122" i="17"/>
  <c r="J122" i="17"/>
  <c r="G122" i="17"/>
  <c r="D122" i="17"/>
  <c r="C122" i="17"/>
  <c r="B122" i="17"/>
  <c r="J121" i="17"/>
  <c r="K121" i="17" s="1"/>
  <c r="G121" i="17"/>
  <c r="D121" i="17"/>
  <c r="C121" i="17"/>
  <c r="B121" i="17"/>
  <c r="J120" i="17"/>
  <c r="K120" i="17" s="1"/>
  <c r="G120" i="17"/>
  <c r="D120" i="17"/>
  <c r="C120" i="17"/>
  <c r="B120" i="17"/>
  <c r="K119" i="17"/>
  <c r="J119" i="17"/>
  <c r="G119" i="17"/>
  <c r="D119" i="17"/>
  <c r="C119" i="17"/>
  <c r="B119" i="17"/>
  <c r="K118" i="17"/>
  <c r="J118" i="17"/>
  <c r="G118" i="17"/>
  <c r="D118" i="17"/>
  <c r="C118" i="17"/>
  <c r="B118" i="17"/>
  <c r="J117" i="17"/>
  <c r="K117" i="17" s="1"/>
  <c r="G117" i="17"/>
  <c r="D117" i="17"/>
  <c r="C117" i="17"/>
  <c r="B117" i="17"/>
  <c r="J116" i="17"/>
  <c r="K116" i="17" s="1"/>
  <c r="G116" i="17"/>
  <c r="D116" i="17"/>
  <c r="C116" i="17"/>
  <c r="B116" i="17"/>
  <c r="K115" i="17"/>
  <c r="J115" i="17"/>
  <c r="G115" i="17"/>
  <c r="D115" i="17"/>
  <c r="C115" i="17"/>
  <c r="B115" i="17"/>
  <c r="K114" i="17"/>
  <c r="J114" i="17"/>
  <c r="G114" i="17"/>
  <c r="D114" i="17"/>
  <c r="C114" i="17"/>
  <c r="B114" i="17"/>
  <c r="J113" i="17"/>
  <c r="K113" i="17" s="1"/>
  <c r="G113" i="17"/>
  <c r="D113" i="17"/>
  <c r="C113" i="17"/>
  <c r="B113" i="17"/>
  <c r="J112" i="17"/>
  <c r="K112" i="17" s="1"/>
  <c r="G112" i="17"/>
  <c r="D112" i="17"/>
  <c r="C112" i="17"/>
  <c r="B112" i="17"/>
  <c r="K111" i="17"/>
  <c r="J111" i="17"/>
  <c r="G111" i="17"/>
  <c r="D111" i="17"/>
  <c r="C111" i="17"/>
  <c r="B111" i="17"/>
  <c r="K110" i="17"/>
  <c r="J110" i="17"/>
  <c r="G110" i="17"/>
  <c r="D110" i="17"/>
  <c r="C110" i="17"/>
  <c r="B110" i="17"/>
  <c r="J109" i="17"/>
  <c r="K109" i="17" s="1"/>
  <c r="G109" i="17"/>
  <c r="D109" i="17"/>
  <c r="C109" i="17"/>
  <c r="B109" i="17"/>
  <c r="J108" i="17"/>
  <c r="K108" i="17" s="1"/>
  <c r="G108" i="17"/>
  <c r="D108" i="17"/>
  <c r="C108" i="17"/>
  <c r="B108" i="17"/>
  <c r="K107" i="17"/>
  <c r="J107" i="17"/>
  <c r="G107" i="17"/>
  <c r="D107" i="17"/>
  <c r="C107" i="17"/>
  <c r="B107" i="17"/>
  <c r="K106" i="17"/>
  <c r="J106" i="17"/>
  <c r="G106" i="17"/>
  <c r="D106" i="17"/>
  <c r="C106" i="17"/>
  <c r="B106" i="17"/>
  <c r="J105" i="17"/>
  <c r="K105" i="17" s="1"/>
  <c r="G105" i="17"/>
  <c r="D105" i="17"/>
  <c r="C105" i="17"/>
  <c r="B105" i="17"/>
  <c r="J104" i="17"/>
  <c r="K104" i="17" s="1"/>
  <c r="G104" i="17"/>
  <c r="D104" i="17"/>
  <c r="C104" i="17"/>
  <c r="B104" i="17"/>
  <c r="K103" i="17"/>
  <c r="J103" i="17"/>
  <c r="G103" i="17"/>
  <c r="D103" i="17"/>
  <c r="C103" i="17"/>
  <c r="B103" i="17"/>
  <c r="K102" i="17"/>
  <c r="J102" i="17"/>
  <c r="G102" i="17"/>
  <c r="D102" i="17"/>
  <c r="C102" i="17"/>
  <c r="B102" i="17"/>
  <c r="J101" i="17"/>
  <c r="K101" i="17" s="1"/>
  <c r="G101" i="17"/>
  <c r="D101" i="17"/>
  <c r="C101" i="17"/>
  <c r="B101" i="17"/>
  <c r="J100" i="17"/>
  <c r="K100" i="17" s="1"/>
  <c r="G100" i="17"/>
  <c r="D100" i="17"/>
  <c r="C100" i="17"/>
  <c r="B100" i="17"/>
  <c r="K99" i="17"/>
  <c r="J99" i="17"/>
  <c r="G99" i="17"/>
  <c r="D99" i="17"/>
  <c r="C99" i="17"/>
  <c r="B99" i="17"/>
  <c r="K98" i="17"/>
  <c r="J98" i="17"/>
  <c r="G98" i="17"/>
  <c r="D98" i="17"/>
  <c r="C98" i="17"/>
  <c r="B98" i="17"/>
  <c r="J97" i="17"/>
  <c r="K97" i="17" s="1"/>
  <c r="G97" i="17"/>
  <c r="D97" i="17"/>
  <c r="C97" i="17"/>
  <c r="B97" i="17"/>
  <c r="J96" i="17"/>
  <c r="K96" i="17" s="1"/>
  <c r="G96" i="17"/>
  <c r="D96" i="17"/>
  <c r="C96" i="17"/>
  <c r="B96" i="17"/>
  <c r="K95" i="17"/>
  <c r="J95" i="17"/>
  <c r="G95" i="17"/>
  <c r="D95" i="17"/>
  <c r="C95" i="17"/>
  <c r="B95" i="17"/>
  <c r="K94" i="17"/>
  <c r="J94" i="17"/>
  <c r="G94" i="17"/>
  <c r="D94" i="17"/>
  <c r="C94" i="17"/>
  <c r="B94" i="17"/>
  <c r="J93" i="17"/>
  <c r="K93" i="17" s="1"/>
  <c r="G93" i="17"/>
  <c r="D93" i="17"/>
  <c r="C93" i="17"/>
  <c r="B93" i="17"/>
  <c r="J92" i="17"/>
  <c r="K92" i="17" s="1"/>
  <c r="G92" i="17"/>
  <c r="D92" i="17"/>
  <c r="C92" i="17"/>
  <c r="B92" i="17"/>
  <c r="K91" i="17"/>
  <c r="J91" i="17"/>
  <c r="G91" i="17"/>
  <c r="D91" i="17"/>
  <c r="C91" i="17"/>
  <c r="B91" i="17"/>
  <c r="K90" i="17"/>
  <c r="J90" i="17"/>
  <c r="G90" i="17"/>
  <c r="D90" i="17"/>
  <c r="C90" i="17"/>
  <c r="B90" i="17"/>
  <c r="J89" i="17"/>
  <c r="K89" i="17" s="1"/>
  <c r="G89" i="17"/>
  <c r="D89" i="17"/>
  <c r="C89" i="17"/>
  <c r="B89" i="17"/>
  <c r="J88" i="17"/>
  <c r="K88" i="17" s="1"/>
  <c r="G88" i="17"/>
  <c r="D88" i="17"/>
  <c r="C88" i="17"/>
  <c r="B88" i="17"/>
  <c r="K87" i="17"/>
  <c r="J87" i="17"/>
  <c r="G87" i="17"/>
  <c r="D87" i="17"/>
  <c r="C87" i="17"/>
  <c r="B87" i="17"/>
  <c r="K86" i="17"/>
  <c r="J86" i="17"/>
  <c r="G86" i="17"/>
  <c r="D86" i="17"/>
  <c r="C86" i="17"/>
  <c r="B86" i="17"/>
  <c r="J85" i="17"/>
  <c r="K85" i="17" s="1"/>
  <c r="G85" i="17"/>
  <c r="D85" i="17"/>
  <c r="C85" i="17"/>
  <c r="B85" i="17"/>
  <c r="J84" i="17"/>
  <c r="K84" i="17" s="1"/>
  <c r="G84" i="17"/>
  <c r="D84" i="17"/>
  <c r="C84" i="17"/>
  <c r="B84" i="17"/>
  <c r="K83" i="17"/>
  <c r="J83" i="17"/>
  <c r="G83" i="17"/>
  <c r="D83" i="17"/>
  <c r="C83" i="17"/>
  <c r="B83" i="17"/>
  <c r="K82" i="17"/>
  <c r="J82" i="17"/>
  <c r="G82" i="17"/>
  <c r="D82" i="17"/>
  <c r="C82" i="17"/>
  <c r="B82" i="17"/>
  <c r="J81" i="17"/>
  <c r="K81" i="17" s="1"/>
  <c r="G81" i="17"/>
  <c r="D81" i="17"/>
  <c r="C81" i="17"/>
  <c r="B81" i="17"/>
  <c r="J80" i="17"/>
  <c r="K80" i="17" s="1"/>
  <c r="G80" i="17"/>
  <c r="D80" i="17"/>
  <c r="C80" i="17"/>
  <c r="B80" i="17"/>
  <c r="K79" i="17"/>
  <c r="J79" i="17"/>
  <c r="G79" i="17"/>
  <c r="D79" i="17"/>
  <c r="C79" i="17"/>
  <c r="B79" i="17"/>
  <c r="K78" i="17"/>
  <c r="J78" i="17"/>
  <c r="G78" i="17"/>
  <c r="D78" i="17"/>
  <c r="C78" i="17"/>
  <c r="B78" i="17"/>
  <c r="J77" i="17"/>
  <c r="K77" i="17" s="1"/>
  <c r="G77" i="17"/>
  <c r="D77" i="17"/>
  <c r="C77" i="17"/>
  <c r="B77" i="17"/>
  <c r="J76" i="17"/>
  <c r="K76" i="17" s="1"/>
  <c r="G76" i="17"/>
  <c r="D76" i="17"/>
  <c r="C76" i="17"/>
  <c r="B76" i="17"/>
  <c r="K75" i="17"/>
  <c r="J75" i="17"/>
  <c r="G75" i="17"/>
  <c r="D75" i="17"/>
  <c r="C75" i="17"/>
  <c r="B75" i="17"/>
  <c r="K74" i="17"/>
  <c r="J74" i="17"/>
  <c r="G74" i="17"/>
  <c r="D74" i="17"/>
  <c r="C74" i="17"/>
  <c r="B74" i="17"/>
  <c r="J73" i="17"/>
  <c r="K73" i="17" s="1"/>
  <c r="G73" i="17"/>
  <c r="D73" i="17"/>
  <c r="C73" i="17"/>
  <c r="B73" i="17"/>
  <c r="J72" i="17"/>
  <c r="K72" i="17" s="1"/>
  <c r="G72" i="17"/>
  <c r="D72" i="17"/>
  <c r="C72" i="17"/>
  <c r="B72" i="17"/>
  <c r="K71" i="17"/>
  <c r="J71" i="17"/>
  <c r="G71" i="17"/>
  <c r="D71" i="17"/>
  <c r="C71" i="17"/>
  <c r="B71" i="17"/>
  <c r="K70" i="17"/>
  <c r="J70" i="17"/>
  <c r="G70" i="17"/>
  <c r="D70" i="17"/>
  <c r="C70" i="17"/>
  <c r="B70" i="17"/>
  <c r="J69" i="17"/>
  <c r="K69" i="17" s="1"/>
  <c r="G69" i="17"/>
  <c r="D69" i="17"/>
  <c r="C69" i="17"/>
  <c r="B69" i="17"/>
  <c r="J68" i="17"/>
  <c r="K68" i="17" s="1"/>
  <c r="G68" i="17"/>
  <c r="D68" i="17"/>
  <c r="C68" i="17"/>
  <c r="B68" i="17"/>
  <c r="K67" i="17"/>
  <c r="J67" i="17"/>
  <c r="G67" i="17"/>
  <c r="D67" i="17"/>
  <c r="C67" i="17"/>
  <c r="B67" i="17"/>
  <c r="K66" i="17"/>
  <c r="J66" i="17"/>
  <c r="G66" i="17"/>
  <c r="D66" i="17"/>
  <c r="C66" i="17"/>
  <c r="B66" i="17"/>
  <c r="J65" i="17"/>
  <c r="K65" i="17" s="1"/>
  <c r="G65" i="17"/>
  <c r="D65" i="17"/>
  <c r="C65" i="17"/>
  <c r="B65" i="17"/>
  <c r="J64" i="17"/>
  <c r="K64" i="17" s="1"/>
  <c r="G64" i="17"/>
  <c r="D64" i="17"/>
  <c r="C64" i="17"/>
  <c r="B64" i="17"/>
  <c r="K63" i="17"/>
  <c r="J63" i="17"/>
  <c r="G63" i="17"/>
  <c r="D63" i="17"/>
  <c r="C63" i="17"/>
  <c r="B63" i="17"/>
  <c r="K62" i="17"/>
  <c r="J62" i="17"/>
  <c r="G62" i="17"/>
  <c r="D62" i="17"/>
  <c r="C62" i="17"/>
  <c r="B62" i="17"/>
  <c r="J61" i="17"/>
  <c r="K61" i="17" s="1"/>
  <c r="G61" i="17"/>
  <c r="D61" i="17"/>
  <c r="C61" i="17"/>
  <c r="B61" i="17"/>
  <c r="J60" i="17"/>
  <c r="K60" i="17" s="1"/>
  <c r="G60" i="17"/>
  <c r="D60" i="17"/>
  <c r="C60" i="17"/>
  <c r="B60" i="17"/>
  <c r="K59" i="17"/>
  <c r="J59" i="17"/>
  <c r="G59" i="17"/>
  <c r="D59" i="17"/>
  <c r="C59" i="17"/>
  <c r="B59" i="17"/>
  <c r="K58" i="17"/>
  <c r="J58" i="17"/>
  <c r="G58" i="17"/>
  <c r="D58" i="17"/>
  <c r="C58" i="17"/>
  <c r="B58" i="17"/>
  <c r="J57" i="17"/>
  <c r="K57" i="17" s="1"/>
  <c r="G57" i="17"/>
  <c r="D57" i="17"/>
  <c r="C57" i="17"/>
  <c r="B57" i="17"/>
  <c r="J56" i="17"/>
  <c r="K56" i="17" s="1"/>
  <c r="G56" i="17"/>
  <c r="D56" i="17"/>
  <c r="C56" i="17"/>
  <c r="B56" i="17"/>
  <c r="K55" i="17"/>
  <c r="J55" i="17"/>
  <c r="G55" i="17"/>
  <c r="D55" i="17"/>
  <c r="C55" i="17"/>
  <c r="B55" i="17"/>
  <c r="K54" i="17"/>
  <c r="J54" i="17"/>
  <c r="G54" i="17"/>
  <c r="D54" i="17"/>
  <c r="C54" i="17"/>
  <c r="B54" i="17"/>
  <c r="J53" i="17"/>
  <c r="K53" i="17" s="1"/>
  <c r="G53" i="17"/>
  <c r="D53" i="17"/>
  <c r="C53" i="17"/>
  <c r="B53" i="17"/>
  <c r="J52" i="17"/>
  <c r="K52" i="17" s="1"/>
  <c r="G52" i="17"/>
  <c r="D52" i="17"/>
  <c r="C52" i="17"/>
  <c r="B52" i="17"/>
  <c r="K51" i="17"/>
  <c r="J51" i="17"/>
  <c r="G51" i="17"/>
  <c r="D51" i="17"/>
  <c r="C51" i="17"/>
  <c r="B51" i="17"/>
  <c r="K50" i="17"/>
  <c r="J50" i="17"/>
  <c r="G50" i="17"/>
  <c r="D50" i="17"/>
  <c r="C50" i="17"/>
  <c r="B50" i="17"/>
  <c r="J49" i="17"/>
  <c r="K49" i="17" s="1"/>
  <c r="G49" i="17"/>
  <c r="D49" i="17"/>
  <c r="C49" i="17"/>
  <c r="B49" i="17"/>
  <c r="J48" i="17"/>
  <c r="K48" i="17" s="1"/>
  <c r="G48" i="17"/>
  <c r="D48" i="17"/>
  <c r="C48" i="17"/>
  <c r="B48" i="17"/>
  <c r="K47" i="17"/>
  <c r="J47" i="17"/>
  <c r="G47" i="17"/>
  <c r="D47" i="17"/>
  <c r="C47" i="17"/>
  <c r="B47" i="17"/>
  <c r="K46" i="17"/>
  <c r="J46" i="17"/>
  <c r="G46" i="17"/>
  <c r="D46" i="17"/>
  <c r="C46" i="17"/>
  <c r="B46" i="17"/>
  <c r="J45" i="17"/>
  <c r="K45" i="17" s="1"/>
  <c r="G45" i="17"/>
  <c r="D45" i="17"/>
  <c r="C45" i="17"/>
  <c r="B45" i="17"/>
  <c r="J44" i="17"/>
  <c r="K44" i="17" s="1"/>
  <c r="G44" i="17"/>
  <c r="D44" i="17"/>
  <c r="C44" i="17"/>
  <c r="B44" i="17"/>
  <c r="K43" i="17"/>
  <c r="J43" i="17"/>
  <c r="G43" i="17"/>
  <c r="D43" i="17"/>
  <c r="C43" i="17"/>
  <c r="B43" i="17"/>
  <c r="K42" i="17"/>
  <c r="J42" i="17"/>
  <c r="G42" i="17"/>
  <c r="D42" i="17"/>
  <c r="C42" i="17"/>
  <c r="B42" i="17"/>
  <c r="J41" i="17"/>
  <c r="K41" i="17" s="1"/>
  <c r="G41" i="17"/>
  <c r="D41" i="17"/>
  <c r="C41" i="17"/>
  <c r="B41" i="17"/>
  <c r="J40" i="17"/>
  <c r="K40" i="17" s="1"/>
  <c r="G40" i="17"/>
  <c r="D40" i="17"/>
  <c r="C40" i="17"/>
  <c r="B40" i="17"/>
  <c r="K39" i="17"/>
  <c r="J39" i="17"/>
  <c r="G39" i="17"/>
  <c r="D39" i="17"/>
  <c r="C39" i="17"/>
  <c r="B39" i="17"/>
  <c r="K38" i="17"/>
  <c r="J38" i="17"/>
  <c r="G38" i="17"/>
  <c r="D38" i="17"/>
  <c r="C38" i="17"/>
  <c r="B38" i="17"/>
  <c r="J37" i="17"/>
  <c r="K37" i="17" s="1"/>
  <c r="G37" i="17"/>
  <c r="D37" i="17"/>
  <c r="C37" i="17"/>
  <c r="B37" i="17"/>
  <c r="J36" i="17"/>
  <c r="K36" i="17" s="1"/>
  <c r="G36" i="17"/>
  <c r="D36" i="17"/>
  <c r="C36" i="17"/>
  <c r="B36" i="17"/>
  <c r="K35" i="17"/>
  <c r="J35" i="17"/>
  <c r="G35" i="17"/>
  <c r="D35" i="17"/>
  <c r="C35" i="17"/>
  <c r="B35" i="17"/>
  <c r="K34" i="17"/>
  <c r="J34" i="17"/>
  <c r="G34" i="17"/>
  <c r="D34" i="17"/>
  <c r="C34" i="17"/>
  <c r="B34" i="17"/>
  <c r="J33" i="17"/>
  <c r="K33" i="17" s="1"/>
  <c r="G33" i="17"/>
  <c r="D33" i="17"/>
  <c r="C33" i="17"/>
  <c r="B33" i="17"/>
  <c r="J32" i="17"/>
  <c r="K32" i="17" s="1"/>
  <c r="G32" i="17"/>
  <c r="D32" i="17"/>
  <c r="C32" i="17"/>
  <c r="B32" i="17"/>
  <c r="K31" i="17"/>
  <c r="J31" i="17"/>
  <c r="G31" i="17"/>
  <c r="D31" i="17"/>
  <c r="C31" i="17"/>
  <c r="B31" i="17"/>
  <c r="K30" i="17"/>
  <c r="J30" i="17"/>
  <c r="G30" i="17"/>
  <c r="D30" i="17"/>
  <c r="C30" i="17"/>
  <c r="B30" i="17"/>
  <c r="J29" i="17"/>
  <c r="K29" i="17" s="1"/>
  <c r="G29" i="17"/>
  <c r="D29" i="17"/>
  <c r="C29" i="17"/>
  <c r="B29" i="17"/>
  <c r="J28" i="17"/>
  <c r="K28" i="17" s="1"/>
  <c r="G28" i="17"/>
  <c r="D28" i="17"/>
  <c r="C28" i="17"/>
  <c r="B28" i="17"/>
  <c r="K27" i="17"/>
  <c r="J27" i="17"/>
  <c r="G27" i="17"/>
  <c r="D27" i="17"/>
  <c r="C27" i="17"/>
  <c r="B27" i="17"/>
  <c r="K26" i="17"/>
  <c r="J26" i="17"/>
  <c r="G26" i="17"/>
  <c r="D26" i="17"/>
  <c r="C26" i="17"/>
  <c r="B26" i="17"/>
  <c r="J25" i="17"/>
  <c r="K25" i="17" s="1"/>
  <c r="G25" i="17"/>
  <c r="D25" i="17"/>
  <c r="C25" i="17"/>
  <c r="B25" i="17"/>
  <c r="J24" i="17"/>
  <c r="K24" i="17" s="1"/>
  <c r="G24" i="17"/>
  <c r="D24" i="17"/>
  <c r="C24" i="17"/>
  <c r="B24" i="17"/>
  <c r="K23" i="17"/>
  <c r="J23" i="17"/>
  <c r="G23" i="17"/>
  <c r="D23" i="17"/>
  <c r="C23" i="17"/>
  <c r="B23" i="17"/>
  <c r="K22" i="17"/>
  <c r="J22" i="17"/>
  <c r="G22" i="17"/>
  <c r="D22" i="17"/>
  <c r="C22" i="17"/>
  <c r="B22" i="17"/>
  <c r="J21" i="17"/>
  <c r="K21" i="17" s="1"/>
  <c r="G21" i="17"/>
  <c r="D21" i="17"/>
  <c r="C21" i="17"/>
  <c r="B21" i="17"/>
  <c r="J20" i="17"/>
  <c r="K20" i="17" s="1"/>
  <c r="G20" i="17"/>
  <c r="D20" i="17"/>
  <c r="C20" i="17"/>
  <c r="B20" i="17"/>
  <c r="K19" i="17"/>
  <c r="J19" i="17"/>
  <c r="G19" i="17"/>
  <c r="D19" i="17"/>
  <c r="C19" i="17"/>
  <c r="B19" i="17"/>
  <c r="K18" i="17"/>
  <c r="J18" i="17"/>
  <c r="G18" i="17"/>
  <c r="D18" i="17"/>
  <c r="C18" i="17"/>
  <c r="B18" i="17"/>
  <c r="J17" i="17"/>
  <c r="K17" i="17" s="1"/>
  <c r="G17" i="17"/>
  <c r="D17" i="17"/>
  <c r="C17" i="17"/>
  <c r="B17" i="17"/>
  <c r="J16" i="17"/>
  <c r="K16" i="17" s="1"/>
  <c r="G16" i="17"/>
  <c r="D16" i="17"/>
  <c r="C16" i="17"/>
  <c r="B16" i="17"/>
  <c r="K15" i="17"/>
  <c r="J15" i="17"/>
  <c r="G15" i="17"/>
  <c r="D15" i="17"/>
  <c r="C15" i="17"/>
  <c r="B15" i="17"/>
  <c r="K14" i="17"/>
  <c r="J14" i="17"/>
  <c r="G14" i="17"/>
  <c r="D14" i="17"/>
  <c r="C14" i="17"/>
  <c r="B14" i="17"/>
  <c r="J13" i="17"/>
  <c r="K13" i="17" s="1"/>
  <c r="G13" i="17"/>
  <c r="D13" i="17"/>
  <c r="C13" i="17"/>
  <c r="B13" i="17"/>
  <c r="J12" i="17"/>
  <c r="K12" i="17" s="1"/>
  <c r="G12" i="17"/>
  <c r="D12" i="17"/>
  <c r="C12" i="17"/>
  <c r="B12" i="17"/>
  <c r="K11" i="17"/>
  <c r="J11" i="17"/>
  <c r="G11" i="17"/>
  <c r="D11" i="17"/>
  <c r="C11" i="17"/>
  <c r="B11" i="17"/>
  <c r="K10" i="17"/>
  <c r="J10" i="17"/>
  <c r="G10" i="17"/>
  <c r="D10" i="17"/>
  <c r="C10" i="17"/>
  <c r="B10" i="17"/>
  <c r="J9" i="17"/>
  <c r="K9" i="17" s="1"/>
  <c r="G9" i="17"/>
  <c r="D9" i="17"/>
  <c r="C9" i="17"/>
  <c r="B9" i="17"/>
  <c r="K4" i="17"/>
  <c r="G4" i="17"/>
  <c r="D4" i="17"/>
  <c r="A4" i="17"/>
  <c r="J208" i="16"/>
  <c r="I208" i="16"/>
  <c r="F208" i="16"/>
  <c r="D208" i="16"/>
  <c r="C208" i="16"/>
  <c r="B208" i="16"/>
  <c r="I207" i="16"/>
  <c r="J207" i="16" s="1"/>
  <c r="F207" i="16"/>
  <c r="D207" i="16"/>
  <c r="C207" i="16"/>
  <c r="B207" i="16"/>
  <c r="I206" i="16"/>
  <c r="J206" i="16" s="1"/>
  <c r="F206" i="16"/>
  <c r="D206" i="16"/>
  <c r="C206" i="16"/>
  <c r="B206" i="16"/>
  <c r="J205" i="16"/>
  <c r="I205" i="16"/>
  <c r="F205" i="16"/>
  <c r="D205" i="16"/>
  <c r="C205" i="16"/>
  <c r="B205" i="16"/>
  <c r="J204" i="16"/>
  <c r="I204" i="16"/>
  <c r="F204" i="16"/>
  <c r="D204" i="16"/>
  <c r="C204" i="16"/>
  <c r="B204" i="16"/>
  <c r="I203" i="16"/>
  <c r="J203" i="16" s="1"/>
  <c r="F203" i="16"/>
  <c r="D203" i="16"/>
  <c r="C203" i="16"/>
  <c r="B203" i="16"/>
  <c r="I202" i="16"/>
  <c r="J202" i="16" s="1"/>
  <c r="F202" i="16"/>
  <c r="D202" i="16"/>
  <c r="C202" i="16"/>
  <c r="B202" i="16"/>
  <c r="J201" i="16"/>
  <c r="I201" i="16"/>
  <c r="F201" i="16"/>
  <c r="D201" i="16"/>
  <c r="C201" i="16"/>
  <c r="B201" i="16"/>
  <c r="J200" i="16"/>
  <c r="I200" i="16"/>
  <c r="F200" i="16"/>
  <c r="D200" i="16"/>
  <c r="C200" i="16"/>
  <c r="B200" i="16"/>
  <c r="I199" i="16"/>
  <c r="J199" i="16" s="1"/>
  <c r="F199" i="16"/>
  <c r="D199" i="16"/>
  <c r="C199" i="16"/>
  <c r="B199" i="16"/>
  <c r="I198" i="16"/>
  <c r="J198" i="16" s="1"/>
  <c r="F198" i="16"/>
  <c r="D198" i="16"/>
  <c r="C198" i="16"/>
  <c r="B198" i="16"/>
  <c r="J197" i="16"/>
  <c r="I197" i="16"/>
  <c r="F197" i="16"/>
  <c r="D197" i="16"/>
  <c r="C197" i="16"/>
  <c r="B197" i="16"/>
  <c r="J196" i="16"/>
  <c r="I196" i="16"/>
  <c r="F196" i="16"/>
  <c r="D196" i="16"/>
  <c r="C196" i="16"/>
  <c r="B196" i="16"/>
  <c r="I195" i="16"/>
  <c r="J195" i="16" s="1"/>
  <c r="F195" i="16"/>
  <c r="D195" i="16"/>
  <c r="C195" i="16"/>
  <c r="B195" i="16"/>
  <c r="I194" i="16"/>
  <c r="J194" i="16" s="1"/>
  <c r="F194" i="16"/>
  <c r="D194" i="16"/>
  <c r="C194" i="16"/>
  <c r="B194" i="16"/>
  <c r="J193" i="16"/>
  <c r="I193" i="16"/>
  <c r="F193" i="16"/>
  <c r="D193" i="16"/>
  <c r="C193" i="16"/>
  <c r="B193" i="16"/>
  <c r="J192" i="16"/>
  <c r="I192" i="16"/>
  <c r="F192" i="16"/>
  <c r="D192" i="16"/>
  <c r="C192" i="16"/>
  <c r="B192" i="16"/>
  <c r="I191" i="16"/>
  <c r="J191" i="16" s="1"/>
  <c r="F191" i="16"/>
  <c r="D191" i="16"/>
  <c r="C191" i="16"/>
  <c r="B191" i="16"/>
  <c r="I190" i="16"/>
  <c r="J190" i="16" s="1"/>
  <c r="F190" i="16"/>
  <c r="D190" i="16"/>
  <c r="C190" i="16"/>
  <c r="B190" i="16"/>
  <c r="J189" i="16"/>
  <c r="I189" i="16"/>
  <c r="F189" i="16"/>
  <c r="D189" i="16"/>
  <c r="C189" i="16"/>
  <c r="B189" i="16"/>
  <c r="J188" i="16"/>
  <c r="I188" i="16"/>
  <c r="F188" i="16"/>
  <c r="D188" i="16"/>
  <c r="C188" i="16"/>
  <c r="B188" i="16"/>
  <c r="I187" i="16"/>
  <c r="J187" i="16" s="1"/>
  <c r="F187" i="16"/>
  <c r="D187" i="16"/>
  <c r="C187" i="16"/>
  <c r="B187" i="16"/>
  <c r="I186" i="16"/>
  <c r="J186" i="16" s="1"/>
  <c r="F186" i="16"/>
  <c r="D186" i="16"/>
  <c r="C186" i="16"/>
  <c r="B186" i="16"/>
  <c r="J185" i="16"/>
  <c r="I185" i="16"/>
  <c r="F185" i="16"/>
  <c r="D185" i="16"/>
  <c r="C185" i="16"/>
  <c r="B185" i="16"/>
  <c r="J184" i="16"/>
  <c r="I184" i="16"/>
  <c r="F184" i="16"/>
  <c r="D184" i="16"/>
  <c r="C184" i="16"/>
  <c r="B184" i="16"/>
  <c r="I183" i="16"/>
  <c r="J183" i="16" s="1"/>
  <c r="F183" i="16"/>
  <c r="D183" i="16"/>
  <c r="C183" i="16"/>
  <c r="B183" i="16"/>
  <c r="I182" i="16"/>
  <c r="J182" i="16" s="1"/>
  <c r="F182" i="16"/>
  <c r="D182" i="16"/>
  <c r="C182" i="16"/>
  <c r="B182" i="16"/>
  <c r="J181" i="16"/>
  <c r="I181" i="16"/>
  <c r="F181" i="16"/>
  <c r="D181" i="16"/>
  <c r="C181" i="16"/>
  <c r="B181" i="16"/>
  <c r="J180" i="16"/>
  <c r="I180" i="16"/>
  <c r="F180" i="16"/>
  <c r="D180" i="16"/>
  <c r="C180" i="16"/>
  <c r="B180" i="16"/>
  <c r="I179" i="16"/>
  <c r="J179" i="16" s="1"/>
  <c r="F179" i="16"/>
  <c r="D179" i="16"/>
  <c r="C179" i="16"/>
  <c r="B179" i="16"/>
  <c r="I178" i="16"/>
  <c r="J178" i="16" s="1"/>
  <c r="F178" i="16"/>
  <c r="D178" i="16"/>
  <c r="C178" i="16"/>
  <c r="B178" i="16"/>
  <c r="J177" i="16"/>
  <c r="I177" i="16"/>
  <c r="F177" i="16"/>
  <c r="D177" i="16"/>
  <c r="C177" i="16"/>
  <c r="B177" i="16"/>
  <c r="J176" i="16"/>
  <c r="I176" i="16"/>
  <c r="F176" i="16"/>
  <c r="D176" i="16"/>
  <c r="C176" i="16"/>
  <c r="B176" i="16"/>
  <c r="I175" i="16"/>
  <c r="J175" i="16" s="1"/>
  <c r="F175" i="16"/>
  <c r="D175" i="16"/>
  <c r="C175" i="16"/>
  <c r="B175" i="16"/>
  <c r="I174" i="16"/>
  <c r="J174" i="16" s="1"/>
  <c r="F174" i="16"/>
  <c r="D174" i="16"/>
  <c r="C174" i="16"/>
  <c r="B174" i="16"/>
  <c r="J173" i="16"/>
  <c r="I173" i="16"/>
  <c r="F173" i="16"/>
  <c r="D173" i="16"/>
  <c r="C173" i="16"/>
  <c r="B173" i="16"/>
  <c r="J172" i="16"/>
  <c r="I172" i="16"/>
  <c r="F172" i="16"/>
  <c r="D172" i="16"/>
  <c r="C172" i="16"/>
  <c r="B172" i="16"/>
  <c r="I171" i="16"/>
  <c r="J171" i="16" s="1"/>
  <c r="F171" i="16"/>
  <c r="D171" i="16"/>
  <c r="C171" i="16"/>
  <c r="B171" i="16"/>
  <c r="I170" i="16"/>
  <c r="J170" i="16" s="1"/>
  <c r="F170" i="16"/>
  <c r="D170" i="16"/>
  <c r="C170" i="16"/>
  <c r="B170" i="16"/>
  <c r="J169" i="16"/>
  <c r="I169" i="16"/>
  <c r="F169" i="16"/>
  <c r="D169" i="16"/>
  <c r="C169" i="16"/>
  <c r="B169" i="16"/>
  <c r="J168" i="16"/>
  <c r="I168" i="16"/>
  <c r="F168" i="16"/>
  <c r="D168" i="16"/>
  <c r="C168" i="16"/>
  <c r="B168" i="16"/>
  <c r="I167" i="16"/>
  <c r="J167" i="16" s="1"/>
  <c r="F167" i="16"/>
  <c r="D167" i="16"/>
  <c r="C167" i="16"/>
  <c r="B167" i="16"/>
  <c r="I166" i="16"/>
  <c r="J166" i="16" s="1"/>
  <c r="F166" i="16"/>
  <c r="D166" i="16"/>
  <c r="C166" i="16"/>
  <c r="B166" i="16"/>
  <c r="J165" i="16"/>
  <c r="I165" i="16"/>
  <c r="F165" i="16"/>
  <c r="D165" i="16"/>
  <c r="C165" i="16"/>
  <c r="B165" i="16"/>
  <c r="J164" i="16"/>
  <c r="I164" i="16"/>
  <c r="F164" i="16"/>
  <c r="D164" i="16"/>
  <c r="C164" i="16"/>
  <c r="B164" i="16"/>
  <c r="I163" i="16"/>
  <c r="J163" i="16" s="1"/>
  <c r="F163" i="16"/>
  <c r="D163" i="16"/>
  <c r="C163" i="16"/>
  <c r="B163" i="16"/>
  <c r="I162" i="16"/>
  <c r="J162" i="16" s="1"/>
  <c r="F162" i="16"/>
  <c r="D162" i="16"/>
  <c r="C162" i="16"/>
  <c r="B162" i="16"/>
  <c r="J161" i="16"/>
  <c r="I161" i="16"/>
  <c r="F161" i="16"/>
  <c r="D161" i="16"/>
  <c r="C161" i="16"/>
  <c r="B161" i="16"/>
  <c r="J160" i="16"/>
  <c r="I160" i="16"/>
  <c r="F160" i="16"/>
  <c r="D160" i="16"/>
  <c r="C160" i="16"/>
  <c r="B160" i="16"/>
  <c r="I159" i="16"/>
  <c r="J159" i="16" s="1"/>
  <c r="F159" i="16"/>
  <c r="D159" i="16"/>
  <c r="C159" i="16"/>
  <c r="B159" i="16"/>
  <c r="I158" i="16"/>
  <c r="J158" i="16" s="1"/>
  <c r="F158" i="16"/>
  <c r="D158" i="16"/>
  <c r="C158" i="16"/>
  <c r="B158" i="16"/>
  <c r="J157" i="16"/>
  <c r="I157" i="16"/>
  <c r="F157" i="16"/>
  <c r="D157" i="16"/>
  <c r="C157" i="16"/>
  <c r="B157" i="16"/>
  <c r="J156" i="16"/>
  <c r="I156" i="16"/>
  <c r="F156" i="16"/>
  <c r="D156" i="16"/>
  <c r="C156" i="16"/>
  <c r="B156" i="16"/>
  <c r="I155" i="16"/>
  <c r="J155" i="16" s="1"/>
  <c r="F155" i="16"/>
  <c r="D155" i="16"/>
  <c r="C155" i="16"/>
  <c r="B155" i="16"/>
  <c r="I154" i="16"/>
  <c r="J154" i="16" s="1"/>
  <c r="F154" i="16"/>
  <c r="D154" i="16"/>
  <c r="C154" i="16"/>
  <c r="B154" i="16"/>
  <c r="J153" i="16"/>
  <c r="I153" i="16"/>
  <c r="F153" i="16"/>
  <c r="D153" i="16"/>
  <c r="C153" i="16"/>
  <c r="B153" i="16"/>
  <c r="J152" i="16"/>
  <c r="I152" i="16"/>
  <c r="F152" i="16"/>
  <c r="D152" i="16"/>
  <c r="C152" i="16"/>
  <c r="B152" i="16"/>
  <c r="I151" i="16"/>
  <c r="J151" i="16" s="1"/>
  <c r="F151" i="16"/>
  <c r="D151" i="16"/>
  <c r="C151" i="16"/>
  <c r="B151" i="16"/>
  <c r="I150" i="16"/>
  <c r="J150" i="16" s="1"/>
  <c r="F150" i="16"/>
  <c r="D150" i="16"/>
  <c r="C150" i="16"/>
  <c r="B150" i="16"/>
  <c r="J149" i="16"/>
  <c r="I149" i="16"/>
  <c r="F149" i="16"/>
  <c r="D149" i="16"/>
  <c r="C149" i="16"/>
  <c r="B149" i="16"/>
  <c r="J148" i="16"/>
  <c r="I148" i="16"/>
  <c r="F148" i="16"/>
  <c r="D148" i="16"/>
  <c r="C148" i="16"/>
  <c r="B148" i="16"/>
  <c r="I147" i="16"/>
  <c r="J147" i="16" s="1"/>
  <c r="F147" i="16"/>
  <c r="D147" i="16"/>
  <c r="C147" i="16"/>
  <c r="B147" i="16"/>
  <c r="I146" i="16"/>
  <c r="J146" i="16" s="1"/>
  <c r="F146" i="16"/>
  <c r="D146" i="16"/>
  <c r="C146" i="16"/>
  <c r="B146" i="16"/>
  <c r="J145" i="16"/>
  <c r="I145" i="16"/>
  <c r="F145" i="16"/>
  <c r="D145" i="16"/>
  <c r="C145" i="16"/>
  <c r="B145" i="16"/>
  <c r="J144" i="16"/>
  <c r="I144" i="16"/>
  <c r="F144" i="16"/>
  <c r="D144" i="16"/>
  <c r="C144" i="16"/>
  <c r="B144" i="16"/>
  <c r="I143" i="16"/>
  <c r="J143" i="16" s="1"/>
  <c r="F143" i="16"/>
  <c r="D143" i="16"/>
  <c r="C143" i="16"/>
  <c r="B143" i="16"/>
  <c r="I142" i="16"/>
  <c r="J142" i="16" s="1"/>
  <c r="F142" i="16"/>
  <c r="D142" i="16"/>
  <c r="C142" i="16"/>
  <c r="B142" i="16"/>
  <c r="J141" i="16"/>
  <c r="I141" i="16"/>
  <c r="F141" i="16"/>
  <c r="D141" i="16"/>
  <c r="C141" i="16"/>
  <c r="B141" i="16"/>
  <c r="J140" i="16"/>
  <c r="I140" i="16"/>
  <c r="F140" i="16"/>
  <c r="D140" i="16"/>
  <c r="C140" i="16"/>
  <c r="B140" i="16"/>
  <c r="I139" i="16"/>
  <c r="J139" i="16" s="1"/>
  <c r="F139" i="16"/>
  <c r="D139" i="16"/>
  <c r="C139" i="16"/>
  <c r="B139" i="16"/>
  <c r="I138" i="16"/>
  <c r="J138" i="16" s="1"/>
  <c r="F138" i="16"/>
  <c r="D138" i="16"/>
  <c r="C138" i="16"/>
  <c r="B138" i="16"/>
  <c r="J137" i="16"/>
  <c r="I137" i="16"/>
  <c r="F137" i="16"/>
  <c r="D137" i="16"/>
  <c r="C137" i="16"/>
  <c r="B137" i="16"/>
  <c r="J136" i="16"/>
  <c r="I136" i="16"/>
  <c r="F136" i="16"/>
  <c r="D136" i="16"/>
  <c r="C136" i="16"/>
  <c r="B136" i="16"/>
  <c r="I135" i="16"/>
  <c r="J135" i="16" s="1"/>
  <c r="F135" i="16"/>
  <c r="D135" i="16"/>
  <c r="C135" i="16"/>
  <c r="B135" i="16"/>
  <c r="I134" i="16"/>
  <c r="J134" i="16" s="1"/>
  <c r="F134" i="16"/>
  <c r="D134" i="16"/>
  <c r="C134" i="16"/>
  <c r="B134" i="16"/>
  <c r="J133" i="16"/>
  <c r="I133" i="16"/>
  <c r="F133" i="16"/>
  <c r="D133" i="16"/>
  <c r="C133" i="16"/>
  <c r="B133" i="16"/>
  <c r="J132" i="16"/>
  <c r="I132" i="16"/>
  <c r="F132" i="16"/>
  <c r="D132" i="16"/>
  <c r="C132" i="16"/>
  <c r="B132" i="16"/>
  <c r="I131" i="16"/>
  <c r="J131" i="16" s="1"/>
  <c r="F131" i="16"/>
  <c r="D131" i="16"/>
  <c r="C131" i="16"/>
  <c r="B131" i="16"/>
  <c r="I130" i="16"/>
  <c r="J130" i="16" s="1"/>
  <c r="F130" i="16"/>
  <c r="D130" i="16"/>
  <c r="C130" i="16"/>
  <c r="B130" i="16"/>
  <c r="J129" i="16"/>
  <c r="I129" i="16"/>
  <c r="F129" i="16"/>
  <c r="D129" i="16"/>
  <c r="C129" i="16"/>
  <c r="B129" i="16"/>
  <c r="J128" i="16"/>
  <c r="I128" i="16"/>
  <c r="F128" i="16"/>
  <c r="D128" i="16"/>
  <c r="C128" i="16"/>
  <c r="B128" i="16"/>
  <c r="I127" i="16"/>
  <c r="J127" i="16" s="1"/>
  <c r="F127" i="16"/>
  <c r="D127" i="16"/>
  <c r="C127" i="16"/>
  <c r="B127" i="16"/>
  <c r="I126" i="16"/>
  <c r="J126" i="16" s="1"/>
  <c r="F126" i="16"/>
  <c r="D126" i="16"/>
  <c r="C126" i="16"/>
  <c r="B126" i="16"/>
  <c r="J125" i="16"/>
  <c r="I125" i="16"/>
  <c r="F125" i="16"/>
  <c r="D125" i="16"/>
  <c r="C125" i="16"/>
  <c r="B125" i="16"/>
  <c r="J124" i="16"/>
  <c r="I124" i="16"/>
  <c r="F124" i="16"/>
  <c r="D124" i="16"/>
  <c r="C124" i="16"/>
  <c r="B124" i="16"/>
  <c r="I123" i="16"/>
  <c r="J123" i="16" s="1"/>
  <c r="F123" i="16"/>
  <c r="D123" i="16"/>
  <c r="C123" i="16"/>
  <c r="B123" i="16"/>
  <c r="I122" i="16"/>
  <c r="J122" i="16" s="1"/>
  <c r="F122" i="16"/>
  <c r="D122" i="16"/>
  <c r="C122" i="16"/>
  <c r="B122" i="16"/>
  <c r="J121" i="16"/>
  <c r="I121" i="16"/>
  <c r="F121" i="16"/>
  <c r="D121" i="16"/>
  <c r="C121" i="16"/>
  <c r="B121" i="16"/>
  <c r="J120" i="16"/>
  <c r="I120" i="16"/>
  <c r="F120" i="16"/>
  <c r="D120" i="16"/>
  <c r="C120" i="16"/>
  <c r="B120" i="16"/>
  <c r="I119" i="16"/>
  <c r="J119" i="16" s="1"/>
  <c r="F119" i="16"/>
  <c r="D119" i="16"/>
  <c r="C119" i="16"/>
  <c r="B119" i="16"/>
  <c r="I118" i="16"/>
  <c r="J118" i="16" s="1"/>
  <c r="F118" i="16"/>
  <c r="D118" i="16"/>
  <c r="C118" i="16"/>
  <c r="B118" i="16"/>
  <c r="J117" i="16"/>
  <c r="I117" i="16"/>
  <c r="F117" i="16"/>
  <c r="D117" i="16"/>
  <c r="C117" i="16"/>
  <c r="B117" i="16"/>
  <c r="J116" i="16"/>
  <c r="I116" i="16"/>
  <c r="F116" i="16"/>
  <c r="D116" i="16"/>
  <c r="C116" i="16"/>
  <c r="B116" i="16"/>
  <c r="I115" i="16"/>
  <c r="J115" i="16" s="1"/>
  <c r="F115" i="16"/>
  <c r="D115" i="16"/>
  <c r="C115" i="16"/>
  <c r="B115" i="16"/>
  <c r="I114" i="16"/>
  <c r="J114" i="16" s="1"/>
  <c r="F114" i="16"/>
  <c r="D114" i="16"/>
  <c r="C114" i="16"/>
  <c r="B114" i="16"/>
  <c r="J113" i="16"/>
  <c r="I113" i="16"/>
  <c r="F113" i="16"/>
  <c r="D113" i="16"/>
  <c r="C113" i="16"/>
  <c r="B113" i="16"/>
  <c r="J112" i="16"/>
  <c r="I112" i="16"/>
  <c r="F112" i="16"/>
  <c r="D112" i="16"/>
  <c r="C112" i="16"/>
  <c r="B112" i="16"/>
  <c r="I111" i="16"/>
  <c r="J111" i="16" s="1"/>
  <c r="F111" i="16"/>
  <c r="D111" i="16"/>
  <c r="C111" i="16"/>
  <c r="B111" i="16"/>
  <c r="I110" i="16"/>
  <c r="J110" i="16" s="1"/>
  <c r="F110" i="16"/>
  <c r="D110" i="16"/>
  <c r="C110" i="16"/>
  <c r="B110" i="16"/>
  <c r="J109" i="16"/>
  <c r="I109" i="16"/>
  <c r="F109" i="16"/>
  <c r="D109" i="16"/>
  <c r="C109" i="16"/>
  <c r="B109" i="16"/>
  <c r="J108" i="16"/>
  <c r="I108" i="16"/>
  <c r="F108" i="16"/>
  <c r="D108" i="16"/>
  <c r="C108" i="16"/>
  <c r="B108" i="16"/>
  <c r="I107" i="16"/>
  <c r="J107" i="16" s="1"/>
  <c r="F107" i="16"/>
  <c r="D107" i="16"/>
  <c r="C107" i="16"/>
  <c r="B107" i="16"/>
  <c r="I106" i="16"/>
  <c r="J106" i="16" s="1"/>
  <c r="F106" i="16"/>
  <c r="D106" i="16"/>
  <c r="C106" i="16"/>
  <c r="B106" i="16"/>
  <c r="J105" i="16"/>
  <c r="I105" i="16"/>
  <c r="F105" i="16"/>
  <c r="D105" i="16"/>
  <c r="C105" i="16"/>
  <c r="B105" i="16"/>
  <c r="J104" i="16"/>
  <c r="I104" i="16"/>
  <c r="F104" i="16"/>
  <c r="D104" i="16"/>
  <c r="C104" i="16"/>
  <c r="B104" i="16"/>
  <c r="I103" i="16"/>
  <c r="J103" i="16" s="1"/>
  <c r="F103" i="16"/>
  <c r="D103" i="16"/>
  <c r="C103" i="16"/>
  <c r="B103" i="16"/>
  <c r="I102" i="16"/>
  <c r="J102" i="16" s="1"/>
  <c r="F102" i="16"/>
  <c r="D102" i="16"/>
  <c r="C102" i="16"/>
  <c r="B102" i="16"/>
  <c r="J101" i="16"/>
  <c r="I101" i="16"/>
  <c r="F101" i="16"/>
  <c r="D101" i="16"/>
  <c r="C101" i="16"/>
  <c r="B101" i="16"/>
  <c r="J100" i="16"/>
  <c r="I100" i="16"/>
  <c r="F100" i="16"/>
  <c r="D100" i="16"/>
  <c r="C100" i="16"/>
  <c r="B100" i="16"/>
  <c r="I99" i="16"/>
  <c r="J99" i="16" s="1"/>
  <c r="F99" i="16"/>
  <c r="D99" i="16"/>
  <c r="C99" i="16"/>
  <c r="B99" i="16"/>
  <c r="I98" i="16"/>
  <c r="J98" i="16" s="1"/>
  <c r="F98" i="16"/>
  <c r="D98" i="16"/>
  <c r="C98" i="16"/>
  <c r="B98" i="16"/>
  <c r="J97" i="16"/>
  <c r="I97" i="16"/>
  <c r="F97" i="16"/>
  <c r="D97" i="16"/>
  <c r="C97" i="16"/>
  <c r="B97" i="16"/>
  <c r="J96" i="16"/>
  <c r="I96" i="16"/>
  <c r="F96" i="16"/>
  <c r="D96" i="16"/>
  <c r="C96" i="16"/>
  <c r="B96" i="16"/>
  <c r="I95" i="16"/>
  <c r="J95" i="16" s="1"/>
  <c r="F95" i="16"/>
  <c r="D95" i="16"/>
  <c r="C95" i="16"/>
  <c r="B95" i="16"/>
  <c r="I94" i="16"/>
  <c r="J94" i="16" s="1"/>
  <c r="F94" i="16"/>
  <c r="D94" i="16"/>
  <c r="C94" i="16"/>
  <c r="B94" i="16"/>
  <c r="J93" i="16"/>
  <c r="I93" i="16"/>
  <c r="F93" i="16"/>
  <c r="D93" i="16"/>
  <c r="C93" i="16"/>
  <c r="B93" i="16"/>
  <c r="J92" i="16"/>
  <c r="I92" i="16"/>
  <c r="F92" i="16"/>
  <c r="D92" i="16"/>
  <c r="C92" i="16"/>
  <c r="B92" i="16"/>
  <c r="I91" i="16"/>
  <c r="J91" i="16" s="1"/>
  <c r="F91" i="16"/>
  <c r="D91" i="16"/>
  <c r="C91" i="16"/>
  <c r="B91" i="16"/>
  <c r="I90" i="16"/>
  <c r="J90" i="16" s="1"/>
  <c r="F90" i="16"/>
  <c r="D90" i="16"/>
  <c r="C90" i="16"/>
  <c r="B90" i="16"/>
  <c r="J89" i="16"/>
  <c r="I89" i="16"/>
  <c r="F89" i="16"/>
  <c r="D89" i="16"/>
  <c r="C89" i="16"/>
  <c r="B89" i="16"/>
  <c r="J88" i="16"/>
  <c r="I88" i="16"/>
  <c r="F88" i="16"/>
  <c r="D88" i="16"/>
  <c r="C88" i="16"/>
  <c r="B88" i="16"/>
  <c r="I87" i="16"/>
  <c r="J87" i="16" s="1"/>
  <c r="F87" i="16"/>
  <c r="D87" i="16"/>
  <c r="C87" i="16"/>
  <c r="B87" i="16"/>
  <c r="I86" i="16"/>
  <c r="J86" i="16" s="1"/>
  <c r="F86" i="16"/>
  <c r="D86" i="16"/>
  <c r="C86" i="16"/>
  <c r="B86" i="16"/>
  <c r="J85" i="16"/>
  <c r="I85" i="16"/>
  <c r="F85" i="16"/>
  <c r="D85" i="16"/>
  <c r="C85" i="16"/>
  <c r="B85" i="16"/>
  <c r="J84" i="16"/>
  <c r="I84" i="16"/>
  <c r="F84" i="16"/>
  <c r="D84" i="16"/>
  <c r="C84" i="16"/>
  <c r="B84" i="16"/>
  <c r="I83" i="16"/>
  <c r="J83" i="16" s="1"/>
  <c r="F83" i="16"/>
  <c r="D83" i="16"/>
  <c r="C83" i="16"/>
  <c r="B83" i="16"/>
  <c r="I82" i="16"/>
  <c r="J82" i="16" s="1"/>
  <c r="F82" i="16"/>
  <c r="D82" i="16"/>
  <c r="C82" i="16"/>
  <c r="B82" i="16"/>
  <c r="J81" i="16"/>
  <c r="I81" i="16"/>
  <c r="F81" i="16"/>
  <c r="D81" i="16"/>
  <c r="C81" i="16"/>
  <c r="B81" i="16"/>
  <c r="J80" i="16"/>
  <c r="I80" i="16"/>
  <c r="F80" i="16"/>
  <c r="D80" i="16"/>
  <c r="C80" i="16"/>
  <c r="B80" i="16"/>
  <c r="I79" i="16"/>
  <c r="J79" i="16" s="1"/>
  <c r="F79" i="16"/>
  <c r="D79" i="16"/>
  <c r="C79" i="16"/>
  <c r="B79" i="16"/>
  <c r="I78" i="16"/>
  <c r="J78" i="16" s="1"/>
  <c r="F78" i="16"/>
  <c r="D78" i="16"/>
  <c r="C78" i="16"/>
  <c r="B78" i="16"/>
  <c r="J77" i="16"/>
  <c r="I77" i="16"/>
  <c r="F77" i="16"/>
  <c r="D77" i="16"/>
  <c r="C77" i="16"/>
  <c r="B77" i="16"/>
  <c r="J76" i="16"/>
  <c r="I76" i="16"/>
  <c r="F76" i="16"/>
  <c r="D76" i="16"/>
  <c r="C76" i="16"/>
  <c r="B76" i="16"/>
  <c r="I75" i="16"/>
  <c r="J75" i="16" s="1"/>
  <c r="F75" i="16"/>
  <c r="D75" i="16"/>
  <c r="C75" i="16"/>
  <c r="B75" i="16"/>
  <c r="I74" i="16"/>
  <c r="J74" i="16" s="1"/>
  <c r="F74" i="16"/>
  <c r="D74" i="16"/>
  <c r="C74" i="16"/>
  <c r="B74" i="16"/>
  <c r="J73" i="16"/>
  <c r="I73" i="16"/>
  <c r="F73" i="16"/>
  <c r="D73" i="16"/>
  <c r="C73" i="16"/>
  <c r="B73" i="16"/>
  <c r="J72" i="16"/>
  <c r="I72" i="16"/>
  <c r="F72" i="16"/>
  <c r="D72" i="16"/>
  <c r="C72" i="16"/>
  <c r="B72" i="16"/>
  <c r="I71" i="16"/>
  <c r="J71" i="16" s="1"/>
  <c r="F71" i="16"/>
  <c r="D71" i="16"/>
  <c r="C71" i="16"/>
  <c r="B71" i="16"/>
  <c r="I70" i="16"/>
  <c r="J70" i="16" s="1"/>
  <c r="F70" i="16"/>
  <c r="D70" i="16"/>
  <c r="C70" i="16"/>
  <c r="B70" i="16"/>
  <c r="J69" i="16"/>
  <c r="I69" i="16"/>
  <c r="F69" i="16"/>
  <c r="D69" i="16"/>
  <c r="C69" i="16"/>
  <c r="B69" i="16"/>
  <c r="J68" i="16"/>
  <c r="I68" i="16"/>
  <c r="F68" i="16"/>
  <c r="D68" i="16"/>
  <c r="C68" i="16"/>
  <c r="B68" i="16"/>
  <c r="I67" i="16"/>
  <c r="J67" i="16" s="1"/>
  <c r="F67" i="16"/>
  <c r="D67" i="16"/>
  <c r="C67" i="16"/>
  <c r="B67" i="16"/>
  <c r="I66" i="16"/>
  <c r="J66" i="16" s="1"/>
  <c r="F66" i="16"/>
  <c r="D66" i="16"/>
  <c r="C66" i="16"/>
  <c r="B66" i="16"/>
  <c r="J65" i="16"/>
  <c r="I65" i="16"/>
  <c r="F65" i="16"/>
  <c r="D65" i="16"/>
  <c r="C65" i="16"/>
  <c r="B65" i="16"/>
  <c r="J64" i="16"/>
  <c r="I64" i="16"/>
  <c r="F64" i="16"/>
  <c r="D64" i="16"/>
  <c r="C64" i="16"/>
  <c r="B64" i="16"/>
  <c r="I63" i="16"/>
  <c r="J63" i="16" s="1"/>
  <c r="F63" i="16"/>
  <c r="D63" i="16"/>
  <c r="C63" i="16"/>
  <c r="B63" i="16"/>
  <c r="I62" i="16"/>
  <c r="J62" i="16" s="1"/>
  <c r="F62" i="16"/>
  <c r="D62" i="16"/>
  <c r="C62" i="16"/>
  <c r="B62" i="16"/>
  <c r="J61" i="16"/>
  <c r="I61" i="16"/>
  <c r="F61" i="16"/>
  <c r="D61" i="16"/>
  <c r="C61" i="16"/>
  <c r="B61" i="16"/>
  <c r="J60" i="16"/>
  <c r="I60" i="16"/>
  <c r="F60" i="16"/>
  <c r="D60" i="16"/>
  <c r="C60" i="16"/>
  <c r="B60" i="16"/>
  <c r="I59" i="16"/>
  <c r="J59" i="16" s="1"/>
  <c r="F59" i="16"/>
  <c r="D59" i="16"/>
  <c r="C59" i="16"/>
  <c r="B59" i="16"/>
  <c r="I58" i="16"/>
  <c r="J58" i="16" s="1"/>
  <c r="F58" i="16"/>
  <c r="D58" i="16"/>
  <c r="C58" i="16"/>
  <c r="B58" i="16"/>
  <c r="J57" i="16"/>
  <c r="I57" i="16"/>
  <c r="F57" i="16"/>
  <c r="D57" i="16"/>
  <c r="C57" i="16"/>
  <c r="B57" i="16"/>
  <c r="J56" i="16"/>
  <c r="I56" i="16"/>
  <c r="F56" i="16"/>
  <c r="D56" i="16"/>
  <c r="C56" i="16"/>
  <c r="B56" i="16"/>
  <c r="I55" i="16"/>
  <c r="J55" i="16" s="1"/>
  <c r="F55" i="16"/>
  <c r="D55" i="16"/>
  <c r="C55" i="16"/>
  <c r="B55" i="16"/>
  <c r="I54" i="16"/>
  <c r="J54" i="16" s="1"/>
  <c r="F54" i="16"/>
  <c r="D54" i="16"/>
  <c r="C54" i="16"/>
  <c r="B54" i="16"/>
  <c r="J53" i="16"/>
  <c r="I53" i="16"/>
  <c r="F53" i="16"/>
  <c r="D53" i="16"/>
  <c r="C53" i="16"/>
  <c r="B53" i="16"/>
  <c r="J52" i="16"/>
  <c r="I52" i="16"/>
  <c r="F52" i="16"/>
  <c r="D52" i="16"/>
  <c r="C52" i="16"/>
  <c r="B52" i="16"/>
  <c r="I51" i="16"/>
  <c r="J51" i="16" s="1"/>
  <c r="F51" i="16"/>
  <c r="D51" i="16"/>
  <c r="C51" i="16"/>
  <c r="B51" i="16"/>
  <c r="I50" i="16"/>
  <c r="J50" i="16" s="1"/>
  <c r="F50" i="16"/>
  <c r="D50" i="16"/>
  <c r="C50" i="16"/>
  <c r="B50" i="16"/>
  <c r="J49" i="16"/>
  <c r="I49" i="16"/>
  <c r="F49" i="16"/>
  <c r="D49" i="16"/>
  <c r="C49" i="16"/>
  <c r="B49" i="16"/>
  <c r="J48" i="16"/>
  <c r="I48" i="16"/>
  <c r="F48" i="16"/>
  <c r="D48" i="16"/>
  <c r="C48" i="16"/>
  <c r="B48" i="16"/>
  <c r="I47" i="16"/>
  <c r="J47" i="16" s="1"/>
  <c r="F47" i="16"/>
  <c r="D47" i="16"/>
  <c r="C47" i="16"/>
  <c r="B47" i="16"/>
  <c r="I46" i="16"/>
  <c r="J46" i="16" s="1"/>
  <c r="F46" i="16"/>
  <c r="D46" i="16"/>
  <c r="C46" i="16"/>
  <c r="B46" i="16"/>
  <c r="J45" i="16"/>
  <c r="I45" i="16"/>
  <c r="F45" i="16"/>
  <c r="D45" i="16"/>
  <c r="C45" i="16"/>
  <c r="B45" i="16"/>
  <c r="J44" i="16"/>
  <c r="I44" i="16"/>
  <c r="F44" i="16"/>
  <c r="D44" i="16"/>
  <c r="C44" i="16"/>
  <c r="B44" i="16"/>
  <c r="I43" i="16"/>
  <c r="J43" i="16" s="1"/>
  <c r="F43" i="16"/>
  <c r="D43" i="16"/>
  <c r="C43" i="16"/>
  <c r="B43" i="16"/>
  <c r="I42" i="16"/>
  <c r="J42" i="16" s="1"/>
  <c r="F42" i="16"/>
  <c r="D42" i="16"/>
  <c r="C42" i="16"/>
  <c r="B42" i="16"/>
  <c r="J41" i="16"/>
  <c r="I41" i="16"/>
  <c r="F41" i="16"/>
  <c r="D41" i="16"/>
  <c r="C41" i="16"/>
  <c r="B41" i="16"/>
  <c r="J40" i="16"/>
  <c r="I40" i="16"/>
  <c r="F40" i="16"/>
  <c r="D40" i="16"/>
  <c r="C40" i="16"/>
  <c r="B40" i="16"/>
  <c r="I39" i="16"/>
  <c r="J39" i="16" s="1"/>
  <c r="F39" i="16"/>
  <c r="D39" i="16"/>
  <c r="C39" i="16"/>
  <c r="B39" i="16"/>
  <c r="I38" i="16"/>
  <c r="J38" i="16" s="1"/>
  <c r="F38" i="16"/>
  <c r="D38" i="16"/>
  <c r="C38" i="16"/>
  <c r="B38" i="16"/>
  <c r="J37" i="16"/>
  <c r="I37" i="16"/>
  <c r="F37" i="16"/>
  <c r="D37" i="16"/>
  <c r="C37" i="16"/>
  <c r="B37" i="16"/>
  <c r="J36" i="16"/>
  <c r="I36" i="16"/>
  <c r="F36" i="16"/>
  <c r="D36" i="16"/>
  <c r="C36" i="16"/>
  <c r="B36" i="16"/>
  <c r="I35" i="16"/>
  <c r="J35" i="16" s="1"/>
  <c r="F35" i="16"/>
  <c r="D35" i="16"/>
  <c r="C35" i="16"/>
  <c r="B35" i="16"/>
  <c r="I34" i="16"/>
  <c r="J34" i="16" s="1"/>
  <c r="F34" i="16"/>
  <c r="D34" i="16"/>
  <c r="C34" i="16"/>
  <c r="B34" i="16"/>
  <c r="J33" i="16"/>
  <c r="I33" i="16"/>
  <c r="F33" i="16"/>
  <c r="D33" i="16"/>
  <c r="C33" i="16"/>
  <c r="B33" i="16"/>
  <c r="J32" i="16"/>
  <c r="I32" i="16"/>
  <c r="F32" i="16"/>
  <c r="D32" i="16"/>
  <c r="C32" i="16"/>
  <c r="B32" i="16"/>
  <c r="I31" i="16"/>
  <c r="J31" i="16" s="1"/>
  <c r="F31" i="16"/>
  <c r="D31" i="16"/>
  <c r="C31" i="16"/>
  <c r="B31" i="16"/>
  <c r="I30" i="16"/>
  <c r="J30" i="16" s="1"/>
  <c r="F30" i="16"/>
  <c r="D30" i="16"/>
  <c r="C30" i="16"/>
  <c r="B30" i="16"/>
  <c r="J29" i="16"/>
  <c r="I29" i="16"/>
  <c r="F29" i="16"/>
  <c r="D29" i="16"/>
  <c r="C29" i="16"/>
  <c r="B29" i="16"/>
  <c r="J28" i="16"/>
  <c r="I28" i="16"/>
  <c r="F28" i="16"/>
  <c r="D28" i="16"/>
  <c r="C28" i="16"/>
  <c r="B28" i="16"/>
  <c r="I27" i="16"/>
  <c r="J27" i="16" s="1"/>
  <c r="F27" i="16"/>
  <c r="D27" i="16"/>
  <c r="C27" i="16"/>
  <c r="B27" i="16"/>
  <c r="I26" i="16"/>
  <c r="J26" i="16" s="1"/>
  <c r="F26" i="16"/>
  <c r="D26" i="16"/>
  <c r="C26" i="16"/>
  <c r="B26" i="16"/>
  <c r="J25" i="16"/>
  <c r="I25" i="16"/>
  <c r="F25" i="16"/>
  <c r="D25" i="16"/>
  <c r="C25" i="16"/>
  <c r="B25" i="16"/>
  <c r="J24" i="16"/>
  <c r="I24" i="16"/>
  <c r="F24" i="16"/>
  <c r="D24" i="16"/>
  <c r="C24" i="16"/>
  <c r="B24" i="16"/>
  <c r="I23" i="16"/>
  <c r="J23" i="16" s="1"/>
  <c r="F23" i="16"/>
  <c r="D23" i="16"/>
  <c r="C23" i="16"/>
  <c r="B23" i="16"/>
  <c r="I22" i="16"/>
  <c r="J22" i="16" s="1"/>
  <c r="F22" i="16"/>
  <c r="D22" i="16"/>
  <c r="C22" i="16"/>
  <c r="B22" i="16"/>
  <c r="J21" i="16"/>
  <c r="I21" i="16"/>
  <c r="F21" i="16"/>
  <c r="D21" i="16"/>
  <c r="C21" i="16"/>
  <c r="B21" i="16"/>
  <c r="J20" i="16"/>
  <c r="I20" i="16"/>
  <c r="F20" i="16"/>
  <c r="D20" i="16"/>
  <c r="C20" i="16"/>
  <c r="B20" i="16"/>
  <c r="I19" i="16"/>
  <c r="J19" i="16" s="1"/>
  <c r="F19" i="16"/>
  <c r="D19" i="16"/>
  <c r="C19" i="16"/>
  <c r="B19" i="16"/>
  <c r="I18" i="16"/>
  <c r="J18" i="16" s="1"/>
  <c r="F18" i="16"/>
  <c r="D18" i="16"/>
  <c r="C18" i="16"/>
  <c r="B18" i="16"/>
  <c r="J17" i="16"/>
  <c r="I17" i="16"/>
  <c r="F17" i="16"/>
  <c r="D17" i="16"/>
  <c r="C17" i="16"/>
  <c r="B17" i="16"/>
  <c r="J16" i="16"/>
  <c r="I16" i="16"/>
  <c r="F16" i="16"/>
  <c r="D16" i="16"/>
  <c r="C16" i="16"/>
  <c r="B16" i="16"/>
  <c r="I15" i="16"/>
  <c r="J15" i="16" s="1"/>
  <c r="F15" i="16"/>
  <c r="D15" i="16"/>
  <c r="C15" i="16"/>
  <c r="B15" i="16"/>
  <c r="I14" i="16"/>
  <c r="J14" i="16" s="1"/>
  <c r="F14" i="16"/>
  <c r="D14" i="16"/>
  <c r="C14" i="16"/>
  <c r="B14" i="16"/>
  <c r="J13" i="16"/>
  <c r="I13" i="16"/>
  <c r="F13" i="16"/>
  <c r="D13" i="16"/>
  <c r="C13" i="16"/>
  <c r="B13" i="16"/>
  <c r="J12" i="16"/>
  <c r="I12" i="16"/>
  <c r="F12" i="16"/>
  <c r="D12" i="16"/>
  <c r="C12" i="16"/>
  <c r="B12" i="16"/>
  <c r="I11" i="16"/>
  <c r="J11" i="16" s="1"/>
  <c r="F11" i="16"/>
  <c r="D11" i="16"/>
  <c r="C11" i="16"/>
  <c r="B11" i="16"/>
  <c r="I10" i="16"/>
  <c r="J10" i="16" s="1"/>
  <c r="F10" i="16"/>
  <c r="D10" i="16"/>
  <c r="C10" i="16"/>
  <c r="B10" i="16"/>
  <c r="J9" i="16"/>
  <c r="I9" i="16"/>
  <c r="F9" i="16"/>
  <c r="D9" i="16"/>
  <c r="C9" i="16"/>
  <c r="B9" i="16"/>
  <c r="A5" i="16"/>
  <c r="G4" i="16"/>
  <c r="D4" i="16"/>
  <c r="A4" i="16"/>
  <c r="K213" i="15"/>
  <c r="J213" i="15"/>
  <c r="I213" i="15"/>
  <c r="D213" i="15"/>
  <c r="C213" i="15"/>
  <c r="A213" i="15"/>
  <c r="K212" i="15"/>
  <c r="J212" i="15"/>
  <c r="I212" i="15"/>
  <c r="D212" i="15"/>
  <c r="C212" i="15"/>
  <c r="A212" i="15"/>
  <c r="K211" i="15"/>
  <c r="I211" i="15"/>
  <c r="J211" i="15" s="1"/>
  <c r="D211" i="15"/>
  <c r="C211" i="15"/>
  <c r="A211" i="15"/>
  <c r="K210" i="15"/>
  <c r="J210" i="15"/>
  <c r="I210" i="15"/>
  <c r="D210" i="15"/>
  <c r="C210" i="15"/>
  <c r="A210" i="15"/>
  <c r="K209" i="15"/>
  <c r="J209" i="15"/>
  <c r="I209" i="15"/>
  <c r="D209" i="15"/>
  <c r="C209" i="15"/>
  <c r="A209" i="15"/>
  <c r="K208" i="15"/>
  <c r="J208" i="15"/>
  <c r="I208" i="15"/>
  <c r="D208" i="15"/>
  <c r="C208" i="15"/>
  <c r="A208" i="15"/>
  <c r="K207" i="15"/>
  <c r="I207" i="15"/>
  <c r="J207" i="15" s="1"/>
  <c r="D207" i="15"/>
  <c r="C207" i="15"/>
  <c r="A207" i="15"/>
  <c r="K206" i="15"/>
  <c r="J206" i="15"/>
  <c r="I206" i="15"/>
  <c r="D206" i="15"/>
  <c r="C206" i="15"/>
  <c r="A206" i="15"/>
  <c r="K205" i="15"/>
  <c r="J205" i="15"/>
  <c r="I205" i="15"/>
  <c r="D205" i="15"/>
  <c r="C205" i="15"/>
  <c r="A205" i="15"/>
  <c r="K204" i="15"/>
  <c r="J204" i="15"/>
  <c r="I204" i="15"/>
  <c r="D204" i="15"/>
  <c r="C204" i="15"/>
  <c r="A204" i="15"/>
  <c r="K203" i="15"/>
  <c r="I203" i="15"/>
  <c r="J203" i="15" s="1"/>
  <c r="D203" i="15"/>
  <c r="C203" i="15"/>
  <c r="A203" i="15"/>
  <c r="K202" i="15"/>
  <c r="J202" i="15"/>
  <c r="I202" i="15"/>
  <c r="D202" i="15"/>
  <c r="C202" i="15"/>
  <c r="A202" i="15"/>
  <c r="K201" i="15"/>
  <c r="J201" i="15"/>
  <c r="I201" i="15"/>
  <c r="D201" i="15"/>
  <c r="C201" i="15"/>
  <c r="A201" i="15"/>
  <c r="K200" i="15"/>
  <c r="J200" i="15"/>
  <c r="I200" i="15"/>
  <c r="D200" i="15"/>
  <c r="C200" i="15"/>
  <c r="A200" i="15"/>
  <c r="K199" i="15"/>
  <c r="I199" i="15"/>
  <c r="J199" i="15" s="1"/>
  <c r="D199" i="15"/>
  <c r="C199" i="15"/>
  <c r="A199" i="15"/>
  <c r="K198" i="15"/>
  <c r="J198" i="15"/>
  <c r="I198" i="15"/>
  <c r="D198" i="15"/>
  <c r="C198" i="15"/>
  <c r="A198" i="15"/>
  <c r="K197" i="15"/>
  <c r="J197" i="15"/>
  <c r="I197" i="15"/>
  <c r="D197" i="15"/>
  <c r="C197" i="15"/>
  <c r="A197" i="15"/>
  <c r="K196" i="15"/>
  <c r="J196" i="15"/>
  <c r="I196" i="15"/>
  <c r="D196" i="15"/>
  <c r="C196" i="15"/>
  <c r="A196" i="15"/>
  <c r="K195" i="15"/>
  <c r="I195" i="15"/>
  <c r="J195" i="15" s="1"/>
  <c r="D195" i="15"/>
  <c r="C195" i="15"/>
  <c r="A195" i="15"/>
  <c r="K194" i="15"/>
  <c r="J194" i="15"/>
  <c r="I194" i="15"/>
  <c r="D194" i="15"/>
  <c r="C194" i="15"/>
  <c r="A194" i="15"/>
  <c r="K193" i="15"/>
  <c r="J193" i="15"/>
  <c r="I193" i="15"/>
  <c r="D193" i="15"/>
  <c r="C193" i="15"/>
  <c r="A193" i="15"/>
  <c r="K192" i="15"/>
  <c r="J192" i="15"/>
  <c r="I192" i="15"/>
  <c r="D192" i="15"/>
  <c r="C192" i="15"/>
  <c r="A192" i="15"/>
  <c r="K191" i="15"/>
  <c r="I191" i="15"/>
  <c r="J191" i="15" s="1"/>
  <c r="D191" i="15"/>
  <c r="C191" i="15"/>
  <c r="A191" i="15"/>
  <c r="K190" i="15"/>
  <c r="J190" i="15"/>
  <c r="I190" i="15"/>
  <c r="D190" i="15"/>
  <c r="C190" i="15"/>
  <c r="A190" i="15"/>
  <c r="K189" i="15"/>
  <c r="J189" i="15"/>
  <c r="I189" i="15"/>
  <c r="D189" i="15"/>
  <c r="C189" i="15"/>
  <c r="A189" i="15"/>
  <c r="K188" i="15"/>
  <c r="J188" i="15"/>
  <c r="I188" i="15"/>
  <c r="D188" i="15"/>
  <c r="C188" i="15"/>
  <c r="A188" i="15"/>
  <c r="K187" i="15"/>
  <c r="I187" i="15"/>
  <c r="J187" i="15" s="1"/>
  <c r="D187" i="15"/>
  <c r="C187" i="15"/>
  <c r="A187" i="15"/>
  <c r="K186" i="15"/>
  <c r="J186" i="15"/>
  <c r="I186" i="15"/>
  <c r="D186" i="15"/>
  <c r="C186" i="15"/>
  <c r="A186" i="15"/>
  <c r="K185" i="15"/>
  <c r="J185" i="15"/>
  <c r="I185" i="15"/>
  <c r="D185" i="15"/>
  <c r="C185" i="15"/>
  <c r="A185" i="15"/>
  <c r="K184" i="15"/>
  <c r="J184" i="15"/>
  <c r="I184" i="15"/>
  <c r="D184" i="15"/>
  <c r="C184" i="15"/>
  <c r="A184" i="15"/>
  <c r="K183" i="15"/>
  <c r="I183" i="15"/>
  <c r="J183" i="15" s="1"/>
  <c r="D183" i="15"/>
  <c r="C183" i="15"/>
  <c r="A183" i="15"/>
  <c r="K182" i="15"/>
  <c r="J182" i="15"/>
  <c r="I182" i="15"/>
  <c r="D182" i="15"/>
  <c r="C182" i="15"/>
  <c r="A182" i="15"/>
  <c r="K181" i="15"/>
  <c r="J181" i="15"/>
  <c r="I181" i="15"/>
  <c r="D181" i="15"/>
  <c r="C181" i="15"/>
  <c r="A181" i="15"/>
  <c r="K180" i="15"/>
  <c r="J180" i="15"/>
  <c r="I180" i="15"/>
  <c r="D180" i="15"/>
  <c r="C180" i="15"/>
  <c r="A180" i="15"/>
  <c r="K179" i="15"/>
  <c r="I179" i="15"/>
  <c r="J179" i="15" s="1"/>
  <c r="D179" i="15"/>
  <c r="C179" i="15"/>
  <c r="A179" i="15"/>
  <c r="K178" i="15"/>
  <c r="J178" i="15"/>
  <c r="I178" i="15"/>
  <c r="D178" i="15"/>
  <c r="C178" i="15"/>
  <c r="A178" i="15"/>
  <c r="K177" i="15"/>
  <c r="J177" i="15"/>
  <c r="I177" i="15"/>
  <c r="D177" i="15"/>
  <c r="C177" i="15"/>
  <c r="A177" i="15"/>
  <c r="K176" i="15"/>
  <c r="J176" i="15"/>
  <c r="I176" i="15"/>
  <c r="D176" i="15"/>
  <c r="C176" i="15"/>
  <c r="A176" i="15"/>
  <c r="K175" i="15"/>
  <c r="I175" i="15"/>
  <c r="J175" i="15" s="1"/>
  <c r="D175" i="15"/>
  <c r="C175" i="15"/>
  <c r="A175" i="15"/>
  <c r="K174" i="15"/>
  <c r="J174" i="15"/>
  <c r="I174" i="15"/>
  <c r="D174" i="15"/>
  <c r="C174" i="15"/>
  <c r="A174" i="15"/>
  <c r="K173" i="15"/>
  <c r="J173" i="15"/>
  <c r="I173" i="15"/>
  <c r="D173" i="15"/>
  <c r="C173" i="15"/>
  <c r="A173" i="15"/>
  <c r="K172" i="15"/>
  <c r="J172" i="15"/>
  <c r="I172" i="15"/>
  <c r="D172" i="15"/>
  <c r="C172" i="15"/>
  <c r="A172" i="15"/>
  <c r="K171" i="15"/>
  <c r="I171" i="15"/>
  <c r="J171" i="15" s="1"/>
  <c r="D171" i="15"/>
  <c r="C171" i="15"/>
  <c r="A171" i="15"/>
  <c r="K170" i="15"/>
  <c r="J170" i="15"/>
  <c r="I170" i="15"/>
  <c r="D170" i="15"/>
  <c r="C170" i="15"/>
  <c r="A170" i="15"/>
  <c r="K169" i="15"/>
  <c r="J169" i="15"/>
  <c r="I169" i="15"/>
  <c r="D169" i="15"/>
  <c r="C169" i="15"/>
  <c r="A169" i="15"/>
  <c r="K168" i="15"/>
  <c r="J168" i="15"/>
  <c r="I168" i="15"/>
  <c r="D168" i="15"/>
  <c r="C168" i="15"/>
  <c r="A168" i="15"/>
  <c r="K167" i="15"/>
  <c r="I167" i="15"/>
  <c r="J167" i="15" s="1"/>
  <c r="D167" i="15"/>
  <c r="C167" i="15"/>
  <c r="A167" i="15"/>
  <c r="K166" i="15"/>
  <c r="J166" i="15"/>
  <c r="I166" i="15"/>
  <c r="D166" i="15"/>
  <c r="C166" i="15"/>
  <c r="A166" i="15"/>
  <c r="K165" i="15"/>
  <c r="J165" i="15"/>
  <c r="I165" i="15"/>
  <c r="D165" i="15"/>
  <c r="C165" i="15"/>
  <c r="A165" i="15"/>
  <c r="K164" i="15"/>
  <c r="J164" i="15"/>
  <c r="I164" i="15"/>
  <c r="D164" i="15"/>
  <c r="C164" i="15"/>
  <c r="A164" i="15"/>
  <c r="K163" i="15"/>
  <c r="I163" i="15"/>
  <c r="J163" i="15" s="1"/>
  <c r="D163" i="15"/>
  <c r="C163" i="15"/>
  <c r="A163" i="15"/>
  <c r="K162" i="15"/>
  <c r="J162" i="15"/>
  <c r="I162" i="15"/>
  <c r="D162" i="15"/>
  <c r="C162" i="15"/>
  <c r="A162" i="15"/>
  <c r="K161" i="15"/>
  <c r="J161" i="15"/>
  <c r="I161" i="15"/>
  <c r="D161" i="15"/>
  <c r="C161" i="15"/>
  <c r="A161" i="15"/>
  <c r="K160" i="15"/>
  <c r="J160" i="15"/>
  <c r="I160" i="15"/>
  <c r="D160" i="15"/>
  <c r="C160" i="15"/>
  <c r="A160" i="15"/>
  <c r="K159" i="15"/>
  <c r="I159" i="15"/>
  <c r="J159" i="15" s="1"/>
  <c r="D159" i="15"/>
  <c r="C159" i="15"/>
  <c r="A159" i="15"/>
  <c r="K158" i="15"/>
  <c r="J158" i="15"/>
  <c r="I158" i="15"/>
  <c r="D158" i="15"/>
  <c r="C158" i="15"/>
  <c r="A158" i="15"/>
  <c r="K157" i="15"/>
  <c r="J157" i="15"/>
  <c r="I157" i="15"/>
  <c r="D157" i="15"/>
  <c r="C157" i="15"/>
  <c r="A157" i="15"/>
  <c r="K156" i="15"/>
  <c r="J156" i="15"/>
  <c r="I156" i="15"/>
  <c r="D156" i="15"/>
  <c r="C156" i="15"/>
  <c r="A156" i="15"/>
  <c r="K155" i="15"/>
  <c r="I155" i="15"/>
  <c r="J155" i="15" s="1"/>
  <c r="D155" i="15"/>
  <c r="C155" i="15"/>
  <c r="A155" i="15"/>
  <c r="K154" i="15"/>
  <c r="J154" i="15"/>
  <c r="I154" i="15"/>
  <c r="D154" i="15"/>
  <c r="C154" i="15"/>
  <c r="A154" i="15"/>
  <c r="K153" i="15"/>
  <c r="J153" i="15"/>
  <c r="I153" i="15"/>
  <c r="D153" i="15"/>
  <c r="C153" i="15"/>
  <c r="A153" i="15"/>
  <c r="K152" i="15"/>
  <c r="J152" i="15"/>
  <c r="I152" i="15"/>
  <c r="D152" i="15"/>
  <c r="C152" i="15"/>
  <c r="A152" i="15"/>
  <c r="K151" i="15"/>
  <c r="I151" i="15"/>
  <c r="J151" i="15" s="1"/>
  <c r="D151" i="15"/>
  <c r="C151" i="15"/>
  <c r="A151" i="15"/>
  <c r="K150" i="15"/>
  <c r="J150" i="15"/>
  <c r="I150" i="15"/>
  <c r="D150" i="15"/>
  <c r="C150" i="15"/>
  <c r="A150" i="15"/>
  <c r="K149" i="15"/>
  <c r="J149" i="15"/>
  <c r="I149" i="15"/>
  <c r="D149" i="15"/>
  <c r="C149" i="15"/>
  <c r="A149" i="15"/>
  <c r="K148" i="15"/>
  <c r="J148" i="15"/>
  <c r="I148" i="15"/>
  <c r="D148" i="15"/>
  <c r="C148" i="15"/>
  <c r="A148" i="15"/>
  <c r="K147" i="15"/>
  <c r="I147" i="15"/>
  <c r="J147" i="15" s="1"/>
  <c r="D147" i="15"/>
  <c r="C147" i="15"/>
  <c r="A147" i="15"/>
  <c r="K146" i="15"/>
  <c r="J146" i="15"/>
  <c r="I146" i="15"/>
  <c r="D146" i="15"/>
  <c r="C146" i="15"/>
  <c r="A146" i="15"/>
  <c r="K145" i="15"/>
  <c r="J145" i="15"/>
  <c r="I145" i="15"/>
  <c r="D145" i="15"/>
  <c r="C145" i="15"/>
  <c r="A145" i="15"/>
  <c r="K144" i="15"/>
  <c r="J144" i="15"/>
  <c r="I144" i="15"/>
  <c r="D144" i="15"/>
  <c r="C144" i="15"/>
  <c r="A144" i="15"/>
  <c r="K143" i="15"/>
  <c r="I143" i="15"/>
  <c r="J143" i="15" s="1"/>
  <c r="D143" i="15"/>
  <c r="C143" i="15"/>
  <c r="A143" i="15"/>
  <c r="K142" i="15"/>
  <c r="J142" i="15"/>
  <c r="I142" i="15"/>
  <c r="D142" i="15"/>
  <c r="C142" i="15"/>
  <c r="A142" i="15"/>
  <c r="K141" i="15"/>
  <c r="J141" i="15"/>
  <c r="I141" i="15"/>
  <c r="D141" i="15"/>
  <c r="C141" i="15"/>
  <c r="A141" i="15"/>
  <c r="K140" i="15"/>
  <c r="J140" i="15"/>
  <c r="I140" i="15"/>
  <c r="D140" i="15"/>
  <c r="C140" i="15"/>
  <c r="A140" i="15"/>
  <c r="K139" i="15"/>
  <c r="I139" i="15"/>
  <c r="J139" i="15" s="1"/>
  <c r="D139" i="15"/>
  <c r="C139" i="15"/>
  <c r="A139" i="15"/>
  <c r="K138" i="15"/>
  <c r="J138" i="15"/>
  <c r="I138" i="15"/>
  <c r="D138" i="15"/>
  <c r="C138" i="15"/>
  <c r="A138" i="15"/>
  <c r="K137" i="15"/>
  <c r="J137" i="15"/>
  <c r="I137" i="15"/>
  <c r="D137" i="15"/>
  <c r="C137" i="15"/>
  <c r="A137" i="15"/>
  <c r="K136" i="15"/>
  <c r="J136" i="15"/>
  <c r="I136" i="15"/>
  <c r="D136" i="15"/>
  <c r="C136" i="15"/>
  <c r="A136" i="15"/>
  <c r="K135" i="15"/>
  <c r="I135" i="15"/>
  <c r="J135" i="15" s="1"/>
  <c r="D135" i="15"/>
  <c r="C135" i="15"/>
  <c r="A135" i="15"/>
  <c r="K134" i="15"/>
  <c r="J134" i="15"/>
  <c r="I134" i="15"/>
  <c r="D134" i="15"/>
  <c r="C134" i="15"/>
  <c r="A134" i="15"/>
  <c r="K133" i="15"/>
  <c r="J133" i="15"/>
  <c r="I133" i="15"/>
  <c r="D133" i="15"/>
  <c r="C133" i="15"/>
  <c r="A133" i="15"/>
  <c r="K132" i="15"/>
  <c r="J132" i="15"/>
  <c r="I132" i="15"/>
  <c r="D132" i="15"/>
  <c r="C132" i="15"/>
  <c r="A132" i="15"/>
  <c r="K131" i="15"/>
  <c r="I131" i="15"/>
  <c r="J131" i="15" s="1"/>
  <c r="D131" i="15"/>
  <c r="C131" i="15"/>
  <c r="A131" i="15"/>
  <c r="K130" i="15"/>
  <c r="J130" i="15"/>
  <c r="I130" i="15"/>
  <c r="D130" i="15"/>
  <c r="C130" i="15"/>
  <c r="A130" i="15"/>
  <c r="K129" i="15"/>
  <c r="J129" i="15"/>
  <c r="I129" i="15"/>
  <c r="D129" i="15"/>
  <c r="C129" i="15"/>
  <c r="A129" i="15"/>
  <c r="K128" i="15"/>
  <c r="J128" i="15"/>
  <c r="I128" i="15"/>
  <c r="D128" i="15"/>
  <c r="C128" i="15"/>
  <c r="A128" i="15"/>
  <c r="K127" i="15"/>
  <c r="I127" i="15"/>
  <c r="J127" i="15" s="1"/>
  <c r="D127" i="15"/>
  <c r="C127" i="15"/>
  <c r="A127" i="15"/>
  <c r="K126" i="15"/>
  <c r="J126" i="15"/>
  <c r="I126" i="15"/>
  <c r="D126" i="15"/>
  <c r="C126" i="15"/>
  <c r="A126" i="15"/>
  <c r="K125" i="15"/>
  <c r="J125" i="15"/>
  <c r="I125" i="15"/>
  <c r="D125" i="15"/>
  <c r="C125" i="15"/>
  <c r="A125" i="15"/>
  <c r="K124" i="15"/>
  <c r="J124" i="15"/>
  <c r="I124" i="15"/>
  <c r="D124" i="15"/>
  <c r="C124" i="15"/>
  <c r="A124" i="15"/>
  <c r="K123" i="15"/>
  <c r="I123" i="15"/>
  <c r="J123" i="15" s="1"/>
  <c r="D123" i="15"/>
  <c r="C123" i="15"/>
  <c r="A123" i="15"/>
  <c r="K122" i="15"/>
  <c r="J122" i="15"/>
  <c r="I122" i="15"/>
  <c r="D122" i="15"/>
  <c r="C122" i="15"/>
  <c r="A122" i="15"/>
  <c r="K121" i="15"/>
  <c r="J121" i="15"/>
  <c r="I121" i="15"/>
  <c r="D121" i="15"/>
  <c r="C121" i="15"/>
  <c r="A121" i="15"/>
  <c r="K120" i="15"/>
  <c r="J120" i="15"/>
  <c r="I120" i="15"/>
  <c r="D120" i="15"/>
  <c r="C120" i="15"/>
  <c r="A120" i="15"/>
  <c r="K119" i="15"/>
  <c r="I119" i="15"/>
  <c r="J119" i="15" s="1"/>
  <c r="D119" i="15"/>
  <c r="C119" i="15"/>
  <c r="A119" i="15"/>
  <c r="K118" i="15"/>
  <c r="J118" i="15"/>
  <c r="I118" i="15"/>
  <c r="D118" i="15"/>
  <c r="C118" i="15"/>
  <c r="A118" i="15"/>
  <c r="K117" i="15"/>
  <c r="J117" i="15"/>
  <c r="I117" i="15"/>
  <c r="D117" i="15"/>
  <c r="C117" i="15"/>
  <c r="A117" i="15"/>
  <c r="K116" i="15"/>
  <c r="J116" i="15"/>
  <c r="I116" i="15"/>
  <c r="D116" i="15"/>
  <c r="C116" i="15"/>
  <c r="A116" i="15"/>
  <c r="K115" i="15"/>
  <c r="I115" i="15"/>
  <c r="J115" i="15" s="1"/>
  <c r="D115" i="15"/>
  <c r="C115" i="15"/>
  <c r="A115" i="15"/>
  <c r="K114" i="15"/>
  <c r="J114" i="15"/>
  <c r="I114" i="15"/>
  <c r="D114" i="15"/>
  <c r="C114" i="15"/>
  <c r="A114" i="15"/>
  <c r="K113" i="15"/>
  <c r="J113" i="15"/>
  <c r="I113" i="15"/>
  <c r="D113" i="15"/>
  <c r="C113" i="15"/>
  <c r="A113" i="15"/>
  <c r="K112" i="15"/>
  <c r="J112" i="15"/>
  <c r="I112" i="15"/>
  <c r="D112" i="15"/>
  <c r="C112" i="15"/>
  <c r="A112" i="15"/>
  <c r="K111" i="15"/>
  <c r="I111" i="15"/>
  <c r="J111" i="15" s="1"/>
  <c r="D111" i="15"/>
  <c r="C111" i="15"/>
  <c r="A111" i="15"/>
  <c r="K110" i="15"/>
  <c r="J110" i="15"/>
  <c r="I110" i="15"/>
  <c r="D110" i="15"/>
  <c r="C110" i="15"/>
  <c r="A110" i="15"/>
  <c r="K109" i="15"/>
  <c r="J109" i="15"/>
  <c r="I109" i="15"/>
  <c r="D109" i="15"/>
  <c r="C109" i="15"/>
  <c r="A109" i="15"/>
  <c r="K108" i="15"/>
  <c r="J108" i="15"/>
  <c r="I108" i="15"/>
  <c r="D108" i="15"/>
  <c r="C108" i="15"/>
  <c r="A108" i="15"/>
  <c r="K107" i="15"/>
  <c r="I107" i="15"/>
  <c r="J107" i="15" s="1"/>
  <c r="D107" i="15"/>
  <c r="C107" i="15"/>
  <c r="A107" i="15"/>
  <c r="K106" i="15"/>
  <c r="J106" i="15"/>
  <c r="I106" i="15"/>
  <c r="D106" i="15"/>
  <c r="C106" i="15"/>
  <c r="A106" i="15"/>
  <c r="K105" i="15"/>
  <c r="J105" i="15"/>
  <c r="I105" i="15"/>
  <c r="D105" i="15"/>
  <c r="C105" i="15"/>
  <c r="A105" i="15"/>
  <c r="K104" i="15"/>
  <c r="J104" i="15"/>
  <c r="I104" i="15"/>
  <c r="D104" i="15"/>
  <c r="C104" i="15"/>
  <c r="A104" i="15"/>
  <c r="K103" i="15"/>
  <c r="I103" i="15"/>
  <c r="J103" i="15" s="1"/>
  <c r="D103" i="15"/>
  <c r="C103" i="15"/>
  <c r="A103" i="15"/>
  <c r="K102" i="15"/>
  <c r="J102" i="15"/>
  <c r="I102" i="15"/>
  <c r="D102" i="15"/>
  <c r="C102" i="15"/>
  <c r="A102" i="15"/>
  <c r="K101" i="15"/>
  <c r="J101" i="15"/>
  <c r="I101" i="15"/>
  <c r="D101" i="15"/>
  <c r="C101" i="15"/>
  <c r="A101" i="15"/>
  <c r="K100" i="15"/>
  <c r="J100" i="15"/>
  <c r="I100" i="15"/>
  <c r="D100" i="15"/>
  <c r="C100" i="15"/>
  <c r="A100" i="15"/>
  <c r="K99" i="15"/>
  <c r="I99" i="15"/>
  <c r="J99" i="15" s="1"/>
  <c r="D99" i="15"/>
  <c r="C99" i="15"/>
  <c r="A99" i="15"/>
  <c r="K98" i="15"/>
  <c r="J98" i="15"/>
  <c r="I98" i="15"/>
  <c r="D98" i="15"/>
  <c r="C98" i="15"/>
  <c r="A98" i="15"/>
  <c r="K97" i="15"/>
  <c r="J97" i="15"/>
  <c r="I97" i="15"/>
  <c r="D97" i="15"/>
  <c r="C97" i="15"/>
  <c r="A97" i="15"/>
  <c r="K96" i="15"/>
  <c r="J96" i="15"/>
  <c r="I96" i="15"/>
  <c r="D96" i="15"/>
  <c r="C96" i="15"/>
  <c r="A96" i="15"/>
  <c r="K95" i="15"/>
  <c r="I95" i="15"/>
  <c r="J95" i="15" s="1"/>
  <c r="D95" i="15"/>
  <c r="C95" i="15"/>
  <c r="A95" i="15"/>
  <c r="K94" i="15"/>
  <c r="J94" i="15"/>
  <c r="I94" i="15"/>
  <c r="D94" i="15"/>
  <c r="C94" i="15"/>
  <c r="A94" i="15"/>
  <c r="K93" i="15"/>
  <c r="J93" i="15"/>
  <c r="I93" i="15"/>
  <c r="D93" i="15"/>
  <c r="C93" i="15"/>
  <c r="A93" i="15"/>
  <c r="K92" i="15"/>
  <c r="J92" i="15"/>
  <c r="I92" i="15"/>
  <c r="D92" i="15"/>
  <c r="C92" i="15"/>
  <c r="A92" i="15"/>
  <c r="K91" i="15"/>
  <c r="I91" i="15"/>
  <c r="J91" i="15" s="1"/>
  <c r="D91" i="15"/>
  <c r="C91" i="15"/>
  <c r="A91" i="15"/>
  <c r="K90" i="15"/>
  <c r="J90" i="15"/>
  <c r="I90" i="15"/>
  <c r="D90" i="15"/>
  <c r="C90" i="15"/>
  <c r="A90" i="15"/>
  <c r="K89" i="15"/>
  <c r="J89" i="15"/>
  <c r="I89" i="15"/>
  <c r="D89" i="15"/>
  <c r="C89" i="15"/>
  <c r="A89" i="15"/>
  <c r="K88" i="15"/>
  <c r="J88" i="15"/>
  <c r="I88" i="15"/>
  <c r="D88" i="15"/>
  <c r="C88" i="15"/>
  <c r="A88" i="15"/>
  <c r="K87" i="15"/>
  <c r="I87" i="15"/>
  <c r="J87" i="15" s="1"/>
  <c r="D87" i="15"/>
  <c r="C87" i="15"/>
  <c r="A87" i="15"/>
  <c r="K86" i="15"/>
  <c r="J86" i="15"/>
  <c r="I86" i="15"/>
  <c r="D86" i="15"/>
  <c r="C86" i="15"/>
  <c r="A86" i="15"/>
  <c r="K85" i="15"/>
  <c r="J85" i="15"/>
  <c r="I85" i="15"/>
  <c r="D85" i="15"/>
  <c r="C85" i="15"/>
  <c r="A85" i="15"/>
  <c r="K84" i="15"/>
  <c r="J84" i="15"/>
  <c r="I84" i="15"/>
  <c r="D84" i="15"/>
  <c r="C84" i="15"/>
  <c r="A84" i="15"/>
  <c r="K83" i="15"/>
  <c r="I83" i="15"/>
  <c r="J83" i="15" s="1"/>
  <c r="D83" i="15"/>
  <c r="C83" i="15"/>
  <c r="A83" i="15"/>
  <c r="K82" i="15"/>
  <c r="J82" i="15"/>
  <c r="I82" i="15"/>
  <c r="D82" i="15"/>
  <c r="C82" i="15"/>
  <c r="A82" i="15"/>
  <c r="K81" i="15"/>
  <c r="J81" i="15"/>
  <c r="I81" i="15"/>
  <c r="D81" i="15"/>
  <c r="C81" i="15"/>
  <c r="A81" i="15"/>
  <c r="K80" i="15"/>
  <c r="J80" i="15"/>
  <c r="I80" i="15"/>
  <c r="D80" i="15"/>
  <c r="C80" i="15"/>
  <c r="A80" i="15"/>
  <c r="K79" i="15"/>
  <c r="I79" i="15"/>
  <c r="J79" i="15" s="1"/>
  <c r="D79" i="15"/>
  <c r="C79" i="15"/>
  <c r="A79" i="15"/>
  <c r="K78" i="15"/>
  <c r="J78" i="15"/>
  <c r="I78" i="15"/>
  <c r="D78" i="15"/>
  <c r="C78" i="15"/>
  <c r="A78" i="15"/>
  <c r="K77" i="15"/>
  <c r="J77" i="15"/>
  <c r="I77" i="15"/>
  <c r="D77" i="15"/>
  <c r="C77" i="15"/>
  <c r="A77" i="15"/>
  <c r="K76" i="15"/>
  <c r="J76" i="15"/>
  <c r="I76" i="15"/>
  <c r="D76" i="15"/>
  <c r="C76" i="15"/>
  <c r="A76" i="15"/>
  <c r="K75" i="15"/>
  <c r="I75" i="15"/>
  <c r="J75" i="15" s="1"/>
  <c r="D75" i="15"/>
  <c r="C75" i="15"/>
  <c r="A75" i="15"/>
  <c r="K74" i="15"/>
  <c r="J74" i="15"/>
  <c r="I74" i="15"/>
  <c r="D74" i="15"/>
  <c r="C74" i="15"/>
  <c r="A74" i="15"/>
  <c r="K73" i="15"/>
  <c r="J73" i="15"/>
  <c r="I73" i="15"/>
  <c r="D73" i="15"/>
  <c r="C73" i="15"/>
  <c r="A73" i="15"/>
  <c r="K72" i="15"/>
  <c r="J72" i="15"/>
  <c r="I72" i="15"/>
  <c r="D72" i="15"/>
  <c r="C72" i="15"/>
  <c r="A72" i="15"/>
  <c r="K71" i="15"/>
  <c r="I71" i="15"/>
  <c r="J71" i="15" s="1"/>
  <c r="D71" i="15"/>
  <c r="C71" i="15"/>
  <c r="A71" i="15"/>
  <c r="K70" i="15"/>
  <c r="J70" i="15"/>
  <c r="I70" i="15"/>
  <c r="D70" i="15"/>
  <c r="C70" i="15"/>
  <c r="A70" i="15"/>
  <c r="K69" i="15"/>
  <c r="J69" i="15"/>
  <c r="I69" i="15"/>
  <c r="D69" i="15"/>
  <c r="C69" i="15"/>
  <c r="A69" i="15"/>
  <c r="K68" i="15"/>
  <c r="J68" i="15"/>
  <c r="I68" i="15"/>
  <c r="D68" i="15"/>
  <c r="C68" i="15"/>
  <c r="A68" i="15"/>
  <c r="K67" i="15"/>
  <c r="I67" i="15"/>
  <c r="J67" i="15" s="1"/>
  <c r="D67" i="15"/>
  <c r="C67" i="15"/>
  <c r="A67" i="15"/>
  <c r="K66" i="15"/>
  <c r="J66" i="15"/>
  <c r="I66" i="15"/>
  <c r="D66" i="15"/>
  <c r="C66" i="15"/>
  <c r="A66" i="15"/>
  <c r="K65" i="15"/>
  <c r="J65" i="15"/>
  <c r="I65" i="15"/>
  <c r="D65" i="15"/>
  <c r="C65" i="15"/>
  <c r="A65" i="15"/>
  <c r="K64" i="15"/>
  <c r="J64" i="15"/>
  <c r="I64" i="15"/>
  <c r="D64" i="15"/>
  <c r="C64" i="15"/>
  <c r="A64" i="15"/>
  <c r="K63" i="15"/>
  <c r="I63" i="15"/>
  <c r="J63" i="15" s="1"/>
  <c r="D63" i="15"/>
  <c r="C63" i="15"/>
  <c r="A63" i="15"/>
  <c r="K62" i="15"/>
  <c r="J62" i="15"/>
  <c r="I62" i="15"/>
  <c r="D62" i="15"/>
  <c r="C62" i="15"/>
  <c r="A62" i="15"/>
  <c r="K61" i="15"/>
  <c r="J61" i="15"/>
  <c r="I61" i="15"/>
  <c r="D61" i="15"/>
  <c r="C61" i="15"/>
  <c r="A61" i="15"/>
  <c r="K60" i="15"/>
  <c r="J60" i="15"/>
  <c r="I60" i="15"/>
  <c r="D60" i="15"/>
  <c r="C60" i="15"/>
  <c r="A60" i="15"/>
  <c r="K59" i="15"/>
  <c r="I59" i="15"/>
  <c r="J59" i="15" s="1"/>
  <c r="D59" i="15"/>
  <c r="C59" i="15"/>
  <c r="A59" i="15"/>
  <c r="K58" i="15"/>
  <c r="J58" i="15"/>
  <c r="I58" i="15"/>
  <c r="D58" i="15"/>
  <c r="C58" i="15"/>
  <c r="A58" i="15"/>
  <c r="K57" i="15"/>
  <c r="J57" i="15"/>
  <c r="I57" i="15"/>
  <c r="D57" i="15"/>
  <c r="C57" i="15"/>
  <c r="A57" i="15"/>
  <c r="K56" i="15"/>
  <c r="J56" i="15"/>
  <c r="I56" i="15"/>
  <c r="D56" i="15"/>
  <c r="C56" i="15"/>
  <c r="A56" i="15"/>
  <c r="K55" i="15"/>
  <c r="I55" i="15"/>
  <c r="J55" i="15" s="1"/>
  <c r="D55" i="15"/>
  <c r="C55" i="15"/>
  <c r="A55" i="15"/>
  <c r="K54" i="15"/>
  <c r="J54" i="15"/>
  <c r="I54" i="15"/>
  <c r="D54" i="15"/>
  <c r="C54" i="15"/>
  <c r="A54" i="15"/>
  <c r="K53" i="15"/>
  <c r="J53" i="15"/>
  <c r="I53" i="15"/>
  <c r="D53" i="15"/>
  <c r="C53" i="15"/>
  <c r="A53" i="15"/>
  <c r="K52" i="15"/>
  <c r="J52" i="15"/>
  <c r="I52" i="15"/>
  <c r="D52" i="15"/>
  <c r="C52" i="15"/>
  <c r="A52" i="15"/>
  <c r="K51" i="15"/>
  <c r="I51" i="15"/>
  <c r="J51" i="15" s="1"/>
  <c r="D51" i="15"/>
  <c r="C51" i="15"/>
  <c r="A51" i="15"/>
  <c r="K50" i="15"/>
  <c r="J50" i="15"/>
  <c r="I50" i="15"/>
  <c r="D50" i="15"/>
  <c r="C50" i="15"/>
  <c r="A50" i="15"/>
  <c r="K49" i="15"/>
  <c r="J49" i="15"/>
  <c r="I49" i="15"/>
  <c r="D49" i="15"/>
  <c r="C49" i="15"/>
  <c r="A49" i="15"/>
  <c r="K48" i="15"/>
  <c r="J48" i="15"/>
  <c r="I48" i="15"/>
  <c r="D48" i="15"/>
  <c r="C48" i="15"/>
  <c r="A48" i="15"/>
  <c r="K47" i="15"/>
  <c r="I47" i="15"/>
  <c r="J47" i="15" s="1"/>
  <c r="D47" i="15"/>
  <c r="C47" i="15"/>
  <c r="A47" i="15"/>
  <c r="K46" i="15"/>
  <c r="J46" i="15"/>
  <c r="I46" i="15"/>
  <c r="D46" i="15"/>
  <c r="C46" i="15"/>
  <c r="A46" i="15"/>
  <c r="K45" i="15"/>
  <c r="J45" i="15"/>
  <c r="I45" i="15"/>
  <c r="D45" i="15"/>
  <c r="C45" i="15"/>
  <c r="A45" i="15"/>
  <c r="K44" i="15"/>
  <c r="J44" i="15"/>
  <c r="I44" i="15"/>
  <c r="D44" i="15"/>
  <c r="C44" i="15"/>
  <c r="A44" i="15"/>
  <c r="K43" i="15"/>
  <c r="I43" i="15"/>
  <c r="J43" i="15" s="1"/>
  <c r="D43" i="15"/>
  <c r="C43" i="15"/>
  <c r="A43" i="15"/>
  <c r="K42" i="15"/>
  <c r="J42" i="15"/>
  <c r="I42" i="15"/>
  <c r="D42" i="15"/>
  <c r="C42" i="15"/>
  <c r="A42" i="15"/>
  <c r="K41" i="15"/>
  <c r="J41" i="15"/>
  <c r="I41" i="15"/>
  <c r="D41" i="15"/>
  <c r="C41" i="15"/>
  <c r="A41" i="15"/>
  <c r="K40" i="15"/>
  <c r="J40" i="15"/>
  <c r="I40" i="15"/>
  <c r="D40" i="15"/>
  <c r="C40" i="15"/>
  <c r="A40" i="15"/>
  <c r="K39" i="15"/>
  <c r="I39" i="15"/>
  <c r="J39" i="15" s="1"/>
  <c r="D39" i="15"/>
  <c r="C39" i="15"/>
  <c r="A39" i="15"/>
  <c r="K38" i="15"/>
  <c r="J38" i="15"/>
  <c r="I38" i="15"/>
  <c r="D38" i="15"/>
  <c r="C38" i="15"/>
  <c r="A38" i="15"/>
  <c r="K37" i="15"/>
  <c r="J37" i="15"/>
  <c r="I37" i="15"/>
  <c r="D37" i="15"/>
  <c r="C37" i="15"/>
  <c r="A37" i="15"/>
  <c r="K36" i="15"/>
  <c r="J36" i="15"/>
  <c r="I36" i="15"/>
  <c r="D36" i="15"/>
  <c r="C36" i="15"/>
  <c r="A36" i="15"/>
  <c r="K35" i="15"/>
  <c r="I35" i="15"/>
  <c r="J35" i="15" s="1"/>
  <c r="D35" i="15"/>
  <c r="C35" i="15"/>
  <c r="A35" i="15"/>
  <c r="K34" i="15"/>
  <c r="J34" i="15"/>
  <c r="I34" i="15"/>
  <c r="D34" i="15"/>
  <c r="C34" i="15"/>
  <c r="A34" i="15"/>
  <c r="K33" i="15"/>
  <c r="J33" i="15"/>
  <c r="I33" i="15"/>
  <c r="D33" i="15"/>
  <c r="C33" i="15"/>
  <c r="A33" i="15"/>
  <c r="K32" i="15"/>
  <c r="J32" i="15"/>
  <c r="I32" i="15"/>
  <c r="D32" i="15"/>
  <c r="C32" i="15"/>
  <c r="A32" i="15"/>
  <c r="K31" i="15"/>
  <c r="I31" i="15"/>
  <c r="J31" i="15" s="1"/>
  <c r="D31" i="15"/>
  <c r="C31" i="15"/>
  <c r="A31" i="15"/>
  <c r="K30" i="15"/>
  <c r="J30" i="15"/>
  <c r="I30" i="15"/>
  <c r="D30" i="15"/>
  <c r="C30" i="15"/>
  <c r="A30" i="15"/>
  <c r="K29" i="15"/>
  <c r="J29" i="15"/>
  <c r="I29" i="15"/>
  <c r="D29" i="15"/>
  <c r="C29" i="15"/>
  <c r="A29" i="15"/>
  <c r="K28" i="15"/>
  <c r="J28" i="15"/>
  <c r="I28" i="15"/>
  <c r="D28" i="15"/>
  <c r="C28" i="15"/>
  <c r="A28" i="15"/>
  <c r="K27" i="15"/>
  <c r="I27" i="15"/>
  <c r="J27" i="15" s="1"/>
  <c r="D27" i="15"/>
  <c r="C27" i="15"/>
  <c r="A27" i="15"/>
  <c r="K26" i="15"/>
  <c r="J26" i="15"/>
  <c r="I26" i="15"/>
  <c r="D26" i="15"/>
  <c r="C26" i="15"/>
  <c r="A26" i="15"/>
  <c r="K25" i="15"/>
  <c r="J25" i="15"/>
  <c r="I25" i="15"/>
  <c r="D25" i="15"/>
  <c r="C25" i="15"/>
  <c r="A25" i="15"/>
  <c r="K24" i="15"/>
  <c r="J24" i="15"/>
  <c r="I24" i="15"/>
  <c r="D24" i="15"/>
  <c r="C24" i="15"/>
  <c r="A24" i="15"/>
  <c r="K23" i="15"/>
  <c r="I23" i="15"/>
  <c r="J23" i="15" s="1"/>
  <c r="D23" i="15"/>
  <c r="C23" i="15"/>
  <c r="A23" i="15"/>
  <c r="K22" i="15"/>
  <c r="J22" i="15"/>
  <c r="I22" i="15"/>
  <c r="D22" i="15"/>
  <c r="C22" i="15"/>
  <c r="A22" i="15"/>
  <c r="K21" i="15"/>
  <c r="J21" i="15"/>
  <c r="I21" i="15"/>
  <c r="D21" i="15"/>
  <c r="C21" i="15"/>
  <c r="A21" i="15"/>
  <c r="K20" i="15"/>
  <c r="J20" i="15"/>
  <c r="I20" i="15"/>
  <c r="D20" i="15"/>
  <c r="C20" i="15"/>
  <c r="A20" i="15"/>
  <c r="K19" i="15"/>
  <c r="I19" i="15"/>
  <c r="J19" i="15" s="1"/>
  <c r="D19" i="15"/>
  <c r="C19" i="15"/>
  <c r="A19" i="15"/>
  <c r="K18" i="15"/>
  <c r="J18" i="15"/>
  <c r="I18" i="15"/>
  <c r="D18" i="15"/>
  <c r="C18" i="15"/>
  <c r="A18" i="15"/>
  <c r="K17" i="15"/>
  <c r="J17" i="15"/>
  <c r="I17" i="15"/>
  <c r="D17" i="15"/>
  <c r="C17" i="15"/>
  <c r="A17" i="15"/>
  <c r="K16" i="15"/>
  <c r="J16" i="15"/>
  <c r="I16" i="15"/>
  <c r="D16" i="15"/>
  <c r="C16" i="15"/>
  <c r="A16" i="15"/>
  <c r="K15" i="15"/>
  <c r="I15" i="15"/>
  <c r="J15" i="15" s="1"/>
  <c r="D15" i="15"/>
  <c r="C15" i="15"/>
  <c r="A15" i="15"/>
  <c r="K14" i="15"/>
  <c r="J14" i="15"/>
  <c r="I14" i="15"/>
  <c r="D14" i="15"/>
  <c r="C14" i="15"/>
  <c r="A14" i="15"/>
  <c r="B9" i="15"/>
  <c r="B10" i="15" s="1"/>
  <c r="B8" i="15"/>
  <c r="K208" i="14"/>
  <c r="J208" i="14"/>
  <c r="G208" i="14"/>
  <c r="D208" i="14"/>
  <c r="C208" i="14"/>
  <c r="B208" i="14"/>
  <c r="K207" i="14"/>
  <c r="J207" i="14"/>
  <c r="G207" i="14"/>
  <c r="D207" i="14"/>
  <c r="C207" i="14"/>
  <c r="B207" i="14"/>
  <c r="K206" i="14"/>
  <c r="J206" i="14"/>
  <c r="G206" i="14"/>
  <c r="D206" i="14"/>
  <c r="C206" i="14"/>
  <c r="B206" i="14"/>
  <c r="J205" i="14"/>
  <c r="K205" i="14" s="1"/>
  <c r="G205" i="14"/>
  <c r="D205" i="14"/>
  <c r="C205" i="14"/>
  <c r="B205" i="14"/>
  <c r="K204" i="14"/>
  <c r="J204" i="14"/>
  <c r="G204" i="14"/>
  <c r="D204" i="14"/>
  <c r="C204" i="14"/>
  <c r="B204" i="14"/>
  <c r="K203" i="14"/>
  <c r="J203" i="14"/>
  <c r="G203" i="14"/>
  <c r="D203" i="14"/>
  <c r="C203" i="14"/>
  <c r="B203" i="14"/>
  <c r="K202" i="14"/>
  <c r="J202" i="14"/>
  <c r="G202" i="14"/>
  <c r="D202" i="14"/>
  <c r="C202" i="14"/>
  <c r="B202" i="14"/>
  <c r="J201" i="14"/>
  <c r="K201" i="14" s="1"/>
  <c r="G201" i="14"/>
  <c r="D201" i="14"/>
  <c r="C201" i="14"/>
  <c r="B201" i="14"/>
  <c r="K200" i="14"/>
  <c r="J200" i="14"/>
  <c r="G200" i="14"/>
  <c r="D200" i="14"/>
  <c r="C200" i="14"/>
  <c r="B200" i="14"/>
  <c r="K199" i="14"/>
  <c r="J199" i="14"/>
  <c r="G199" i="14"/>
  <c r="D199" i="14"/>
  <c r="C199" i="14"/>
  <c r="B199" i="14"/>
  <c r="K198" i="14"/>
  <c r="J198" i="14"/>
  <c r="G198" i="14"/>
  <c r="D198" i="14"/>
  <c r="C198" i="14"/>
  <c r="B198" i="14"/>
  <c r="J197" i="14"/>
  <c r="K197" i="14" s="1"/>
  <c r="G197" i="14"/>
  <c r="D197" i="14"/>
  <c r="C197" i="14"/>
  <c r="B197" i="14"/>
  <c r="K196" i="14"/>
  <c r="J196" i="14"/>
  <c r="G196" i="14"/>
  <c r="D196" i="14"/>
  <c r="C196" i="14"/>
  <c r="B196" i="14"/>
  <c r="K195" i="14"/>
  <c r="J195" i="14"/>
  <c r="G195" i="14"/>
  <c r="D195" i="14"/>
  <c r="C195" i="14"/>
  <c r="B195" i="14"/>
  <c r="K194" i="14"/>
  <c r="J194" i="14"/>
  <c r="G194" i="14"/>
  <c r="D194" i="14"/>
  <c r="C194" i="14"/>
  <c r="B194" i="14"/>
  <c r="J193" i="14"/>
  <c r="K193" i="14" s="1"/>
  <c r="G193" i="14"/>
  <c r="D193" i="14"/>
  <c r="C193" i="14"/>
  <c r="B193" i="14"/>
  <c r="K192" i="14"/>
  <c r="J192" i="14"/>
  <c r="G192" i="14"/>
  <c r="D192" i="14"/>
  <c r="C192" i="14"/>
  <c r="B192" i="14"/>
  <c r="K191" i="14"/>
  <c r="J191" i="14"/>
  <c r="G191" i="14"/>
  <c r="D191" i="14"/>
  <c r="C191" i="14"/>
  <c r="B191" i="14"/>
  <c r="K190" i="14"/>
  <c r="J190" i="14"/>
  <c r="G190" i="14"/>
  <c r="D190" i="14"/>
  <c r="C190" i="14"/>
  <c r="B190" i="14"/>
  <c r="J189" i="14"/>
  <c r="K189" i="14" s="1"/>
  <c r="G189" i="14"/>
  <c r="D189" i="14"/>
  <c r="C189" i="14"/>
  <c r="B189" i="14"/>
  <c r="K188" i="14"/>
  <c r="J188" i="14"/>
  <c r="G188" i="14"/>
  <c r="D188" i="14"/>
  <c r="C188" i="14"/>
  <c r="B188" i="14"/>
  <c r="K187" i="14"/>
  <c r="J187" i="14"/>
  <c r="G187" i="14"/>
  <c r="D187" i="14"/>
  <c r="C187" i="14"/>
  <c r="B187" i="14"/>
  <c r="K186" i="14"/>
  <c r="J186" i="14"/>
  <c r="G186" i="14"/>
  <c r="D186" i="14"/>
  <c r="C186" i="14"/>
  <c r="B186" i="14"/>
  <c r="J185" i="14"/>
  <c r="K185" i="14" s="1"/>
  <c r="G185" i="14"/>
  <c r="D185" i="14"/>
  <c r="C185" i="14"/>
  <c r="B185" i="14"/>
  <c r="K184" i="14"/>
  <c r="J184" i="14"/>
  <c r="G184" i="14"/>
  <c r="D184" i="14"/>
  <c r="C184" i="14"/>
  <c r="B184" i="14"/>
  <c r="K183" i="14"/>
  <c r="J183" i="14"/>
  <c r="G183" i="14"/>
  <c r="D183" i="14"/>
  <c r="C183" i="14"/>
  <c r="B183" i="14"/>
  <c r="K182" i="14"/>
  <c r="J182" i="14"/>
  <c r="G182" i="14"/>
  <c r="D182" i="14"/>
  <c r="C182" i="14"/>
  <c r="B182" i="14"/>
  <c r="J181" i="14"/>
  <c r="K181" i="14" s="1"/>
  <c r="G181" i="14"/>
  <c r="D181" i="14"/>
  <c r="C181" i="14"/>
  <c r="B181" i="14"/>
  <c r="K180" i="14"/>
  <c r="J180" i="14"/>
  <c r="G180" i="14"/>
  <c r="D180" i="14"/>
  <c r="C180" i="14"/>
  <c r="B180" i="14"/>
  <c r="K179" i="14"/>
  <c r="J179" i="14"/>
  <c r="G179" i="14"/>
  <c r="D179" i="14"/>
  <c r="C179" i="14"/>
  <c r="B179" i="14"/>
  <c r="K178" i="14"/>
  <c r="J178" i="14"/>
  <c r="G178" i="14"/>
  <c r="D178" i="14"/>
  <c r="C178" i="14"/>
  <c r="B178" i="14"/>
  <c r="J177" i="14"/>
  <c r="K177" i="14" s="1"/>
  <c r="G177" i="14"/>
  <c r="D177" i="14"/>
  <c r="C177" i="14"/>
  <c r="B177" i="14"/>
  <c r="K176" i="14"/>
  <c r="J176" i="14"/>
  <c r="G176" i="14"/>
  <c r="D176" i="14"/>
  <c r="C176" i="14"/>
  <c r="B176" i="14"/>
  <c r="K175" i="14"/>
  <c r="J175" i="14"/>
  <c r="G175" i="14"/>
  <c r="D175" i="14"/>
  <c r="C175" i="14"/>
  <c r="B175" i="14"/>
  <c r="K174" i="14"/>
  <c r="J174" i="14"/>
  <c r="G174" i="14"/>
  <c r="D174" i="14"/>
  <c r="C174" i="14"/>
  <c r="B174" i="14"/>
  <c r="J173" i="14"/>
  <c r="K173" i="14" s="1"/>
  <c r="G173" i="14"/>
  <c r="D173" i="14"/>
  <c r="C173" i="14"/>
  <c r="B173" i="14"/>
  <c r="K172" i="14"/>
  <c r="J172" i="14"/>
  <c r="G172" i="14"/>
  <c r="D172" i="14"/>
  <c r="C172" i="14"/>
  <c r="B172" i="14"/>
  <c r="K171" i="14"/>
  <c r="J171" i="14"/>
  <c r="G171" i="14"/>
  <c r="D171" i="14"/>
  <c r="C171" i="14"/>
  <c r="B171" i="14"/>
  <c r="K170" i="14"/>
  <c r="J170" i="14"/>
  <c r="G170" i="14"/>
  <c r="D170" i="14"/>
  <c r="C170" i="14"/>
  <c r="B170" i="14"/>
  <c r="J169" i="14"/>
  <c r="K169" i="14" s="1"/>
  <c r="G169" i="14"/>
  <c r="D169" i="14"/>
  <c r="C169" i="14"/>
  <c r="B169" i="14"/>
  <c r="K168" i="14"/>
  <c r="J168" i="14"/>
  <c r="G168" i="14"/>
  <c r="D168" i="14"/>
  <c r="C168" i="14"/>
  <c r="B168" i="14"/>
  <c r="K167" i="14"/>
  <c r="J167" i="14"/>
  <c r="G167" i="14"/>
  <c r="D167" i="14"/>
  <c r="C167" i="14"/>
  <c r="B167" i="14"/>
  <c r="K166" i="14"/>
  <c r="J166" i="14"/>
  <c r="G166" i="14"/>
  <c r="D166" i="14"/>
  <c r="C166" i="14"/>
  <c r="B166" i="14"/>
  <c r="J165" i="14"/>
  <c r="K165" i="14" s="1"/>
  <c r="G165" i="14"/>
  <c r="D165" i="14"/>
  <c r="C165" i="14"/>
  <c r="B165" i="14"/>
  <c r="K164" i="14"/>
  <c r="J164" i="14"/>
  <c r="G164" i="14"/>
  <c r="D164" i="14"/>
  <c r="C164" i="14"/>
  <c r="B164" i="14"/>
  <c r="K163" i="14"/>
  <c r="J163" i="14"/>
  <c r="G163" i="14"/>
  <c r="D163" i="14"/>
  <c r="C163" i="14"/>
  <c r="B163" i="14"/>
  <c r="K162" i="14"/>
  <c r="J162" i="14"/>
  <c r="G162" i="14"/>
  <c r="D162" i="14"/>
  <c r="C162" i="14"/>
  <c r="B162" i="14"/>
  <c r="J161" i="14"/>
  <c r="K161" i="14" s="1"/>
  <c r="G161" i="14"/>
  <c r="D161" i="14"/>
  <c r="C161" i="14"/>
  <c r="B161" i="14"/>
  <c r="K160" i="14"/>
  <c r="J160" i="14"/>
  <c r="G160" i="14"/>
  <c r="D160" i="14"/>
  <c r="C160" i="14"/>
  <c r="B160" i="14"/>
  <c r="K159" i="14"/>
  <c r="J159" i="14"/>
  <c r="G159" i="14"/>
  <c r="D159" i="14"/>
  <c r="C159" i="14"/>
  <c r="B159" i="14"/>
  <c r="K158" i="14"/>
  <c r="J158" i="14"/>
  <c r="G158" i="14"/>
  <c r="D158" i="14"/>
  <c r="C158" i="14"/>
  <c r="B158" i="14"/>
  <c r="J157" i="14"/>
  <c r="K157" i="14" s="1"/>
  <c r="G157" i="14"/>
  <c r="D157" i="14"/>
  <c r="C157" i="14"/>
  <c r="B157" i="14"/>
  <c r="K156" i="14"/>
  <c r="J156" i="14"/>
  <c r="G156" i="14"/>
  <c r="D156" i="14"/>
  <c r="C156" i="14"/>
  <c r="B156" i="14"/>
  <c r="K155" i="14"/>
  <c r="J155" i="14"/>
  <c r="G155" i="14"/>
  <c r="D155" i="14"/>
  <c r="C155" i="14"/>
  <c r="B155" i="14"/>
  <c r="K154" i="14"/>
  <c r="J154" i="14"/>
  <c r="G154" i="14"/>
  <c r="D154" i="14"/>
  <c r="C154" i="14"/>
  <c r="B154" i="14"/>
  <c r="J153" i="14"/>
  <c r="K153" i="14" s="1"/>
  <c r="G153" i="14"/>
  <c r="D153" i="14"/>
  <c r="C153" i="14"/>
  <c r="B153" i="14"/>
  <c r="K152" i="14"/>
  <c r="J152" i="14"/>
  <c r="G152" i="14"/>
  <c r="D152" i="14"/>
  <c r="C152" i="14"/>
  <c r="B152" i="14"/>
  <c r="K151" i="14"/>
  <c r="J151" i="14"/>
  <c r="G151" i="14"/>
  <c r="D151" i="14"/>
  <c r="C151" i="14"/>
  <c r="B151" i="14"/>
  <c r="K150" i="14"/>
  <c r="J150" i="14"/>
  <c r="G150" i="14"/>
  <c r="D150" i="14"/>
  <c r="C150" i="14"/>
  <c r="B150" i="14"/>
  <c r="J149" i="14"/>
  <c r="K149" i="14" s="1"/>
  <c r="G149" i="14"/>
  <c r="D149" i="14"/>
  <c r="C149" i="14"/>
  <c r="B149" i="14"/>
  <c r="K148" i="14"/>
  <c r="J148" i="14"/>
  <c r="G148" i="14"/>
  <c r="D148" i="14"/>
  <c r="C148" i="14"/>
  <c r="B148" i="14"/>
  <c r="K147" i="14"/>
  <c r="J147" i="14"/>
  <c r="G147" i="14"/>
  <c r="D147" i="14"/>
  <c r="C147" i="14"/>
  <c r="B147" i="14"/>
  <c r="K146" i="14"/>
  <c r="J146" i="14"/>
  <c r="G146" i="14"/>
  <c r="D146" i="14"/>
  <c r="C146" i="14"/>
  <c r="B146" i="14"/>
  <c r="J145" i="14"/>
  <c r="K145" i="14" s="1"/>
  <c r="G145" i="14"/>
  <c r="D145" i="14"/>
  <c r="C145" i="14"/>
  <c r="B145" i="14"/>
  <c r="K144" i="14"/>
  <c r="J144" i="14"/>
  <c r="G144" i="14"/>
  <c r="D144" i="14"/>
  <c r="C144" i="14"/>
  <c r="B144" i="14"/>
  <c r="K143" i="14"/>
  <c r="J143" i="14"/>
  <c r="G143" i="14"/>
  <c r="D143" i="14"/>
  <c r="C143" i="14"/>
  <c r="B143" i="14"/>
  <c r="J142" i="14"/>
  <c r="K142" i="14" s="1"/>
  <c r="G142" i="14"/>
  <c r="D142" i="14"/>
  <c r="C142" i="14"/>
  <c r="B142" i="14"/>
  <c r="J141" i="14"/>
  <c r="K141" i="14" s="1"/>
  <c r="G141" i="14"/>
  <c r="D141" i="14"/>
  <c r="C141" i="14"/>
  <c r="B141" i="14"/>
  <c r="K140" i="14"/>
  <c r="J140" i="14"/>
  <c r="G140" i="14"/>
  <c r="D140" i="14"/>
  <c r="C140" i="14"/>
  <c r="B140" i="14"/>
  <c r="K139" i="14"/>
  <c r="J139" i="14"/>
  <c r="G139" i="14"/>
  <c r="D139" i="14"/>
  <c r="C139" i="14"/>
  <c r="B139" i="14"/>
  <c r="J138" i="14"/>
  <c r="K138" i="14" s="1"/>
  <c r="G138" i="14"/>
  <c r="D138" i="14"/>
  <c r="C138" i="14"/>
  <c r="B138" i="14"/>
  <c r="J137" i="14"/>
  <c r="K137" i="14" s="1"/>
  <c r="G137" i="14"/>
  <c r="D137" i="14"/>
  <c r="C137" i="14"/>
  <c r="B137" i="14"/>
  <c r="K136" i="14"/>
  <c r="J136" i="14"/>
  <c r="G136" i="14"/>
  <c r="D136" i="14"/>
  <c r="C136" i="14"/>
  <c r="B136" i="14"/>
  <c r="K135" i="14"/>
  <c r="J135" i="14"/>
  <c r="G135" i="14"/>
  <c r="D135" i="14"/>
  <c r="C135" i="14"/>
  <c r="B135" i="14"/>
  <c r="J134" i="14"/>
  <c r="K134" i="14" s="1"/>
  <c r="G134" i="14"/>
  <c r="D134" i="14"/>
  <c r="C134" i="14"/>
  <c r="B134" i="14"/>
  <c r="J133" i="14"/>
  <c r="K133" i="14" s="1"/>
  <c r="G133" i="14"/>
  <c r="D133" i="14"/>
  <c r="C133" i="14"/>
  <c r="B133" i="14"/>
  <c r="K132" i="14"/>
  <c r="J132" i="14"/>
  <c r="G132" i="14"/>
  <c r="D132" i="14"/>
  <c r="C132" i="14"/>
  <c r="B132" i="14"/>
  <c r="K131" i="14"/>
  <c r="J131" i="14"/>
  <c r="G131" i="14"/>
  <c r="D131" i="14"/>
  <c r="C131" i="14"/>
  <c r="B131" i="14"/>
  <c r="J130" i="14"/>
  <c r="K130" i="14" s="1"/>
  <c r="G130" i="14"/>
  <c r="D130" i="14"/>
  <c r="C130" i="14"/>
  <c r="B130" i="14"/>
  <c r="J129" i="14"/>
  <c r="K129" i="14" s="1"/>
  <c r="G129" i="14"/>
  <c r="D129" i="14"/>
  <c r="C129" i="14"/>
  <c r="B129" i="14"/>
  <c r="K128" i="14"/>
  <c r="J128" i="14"/>
  <c r="G128" i="14"/>
  <c r="D128" i="14"/>
  <c r="C128" i="14"/>
  <c r="B128" i="14"/>
  <c r="K127" i="14"/>
  <c r="J127" i="14"/>
  <c r="G127" i="14"/>
  <c r="D127" i="14"/>
  <c r="C127" i="14"/>
  <c r="B127" i="14"/>
  <c r="J126" i="14"/>
  <c r="K126" i="14" s="1"/>
  <c r="G126" i="14"/>
  <c r="D126" i="14"/>
  <c r="C126" i="14"/>
  <c r="B126" i="14"/>
  <c r="J125" i="14"/>
  <c r="K125" i="14" s="1"/>
  <c r="G125" i="14"/>
  <c r="D125" i="14"/>
  <c r="C125" i="14"/>
  <c r="B125" i="14"/>
  <c r="K124" i="14"/>
  <c r="J124" i="14"/>
  <c r="G124" i="14"/>
  <c r="D124" i="14"/>
  <c r="C124" i="14"/>
  <c r="B124" i="14"/>
  <c r="K123" i="14"/>
  <c r="J123" i="14"/>
  <c r="G123" i="14"/>
  <c r="D123" i="14"/>
  <c r="C123" i="14"/>
  <c r="B123" i="14"/>
  <c r="J122" i="14"/>
  <c r="K122" i="14" s="1"/>
  <c r="G122" i="14"/>
  <c r="D122" i="14"/>
  <c r="C122" i="14"/>
  <c r="B122" i="14"/>
  <c r="J121" i="14"/>
  <c r="K121" i="14" s="1"/>
  <c r="G121" i="14"/>
  <c r="D121" i="14"/>
  <c r="C121" i="14"/>
  <c r="B121" i="14"/>
  <c r="K120" i="14"/>
  <c r="J120" i="14"/>
  <c r="G120" i="14"/>
  <c r="D120" i="14"/>
  <c r="C120" i="14"/>
  <c r="B120" i="14"/>
  <c r="K119" i="14"/>
  <c r="J119" i="14"/>
  <c r="G119" i="14"/>
  <c r="D119" i="14"/>
  <c r="C119" i="14"/>
  <c r="B119" i="14"/>
  <c r="J118" i="14"/>
  <c r="K118" i="14" s="1"/>
  <c r="G118" i="14"/>
  <c r="D118" i="14"/>
  <c r="C118" i="14"/>
  <c r="B118" i="14"/>
  <c r="J117" i="14"/>
  <c r="K117" i="14" s="1"/>
  <c r="G117" i="14"/>
  <c r="D117" i="14"/>
  <c r="C117" i="14"/>
  <c r="B117" i="14"/>
  <c r="K116" i="14"/>
  <c r="J116" i="14"/>
  <c r="G116" i="14"/>
  <c r="D116" i="14"/>
  <c r="C116" i="14"/>
  <c r="B116" i="14"/>
  <c r="K115" i="14"/>
  <c r="J115" i="14"/>
  <c r="G115" i="14"/>
  <c r="D115" i="14"/>
  <c r="C115" i="14"/>
  <c r="B115" i="14"/>
  <c r="J114" i="14"/>
  <c r="K114" i="14" s="1"/>
  <c r="G114" i="14"/>
  <c r="D114" i="14"/>
  <c r="C114" i="14"/>
  <c r="B114" i="14"/>
  <c r="J113" i="14"/>
  <c r="K113" i="14" s="1"/>
  <c r="G113" i="14"/>
  <c r="D113" i="14"/>
  <c r="C113" i="14"/>
  <c r="B113" i="14"/>
  <c r="K112" i="14"/>
  <c r="J112" i="14"/>
  <c r="G112" i="14"/>
  <c r="D112" i="14"/>
  <c r="C112" i="14"/>
  <c r="B112" i="14"/>
  <c r="K111" i="14"/>
  <c r="J111" i="14"/>
  <c r="G111" i="14"/>
  <c r="D111" i="14"/>
  <c r="C111" i="14"/>
  <c r="B111" i="14"/>
  <c r="J110" i="14"/>
  <c r="K110" i="14" s="1"/>
  <c r="G110" i="14"/>
  <c r="D110" i="14"/>
  <c r="C110" i="14"/>
  <c r="B110" i="14"/>
  <c r="J109" i="14"/>
  <c r="K109" i="14" s="1"/>
  <c r="G109" i="14"/>
  <c r="D109" i="14"/>
  <c r="C109" i="14"/>
  <c r="B109" i="14"/>
  <c r="K108" i="14"/>
  <c r="J108" i="14"/>
  <c r="G108" i="14"/>
  <c r="D108" i="14"/>
  <c r="C108" i="14"/>
  <c r="B108" i="14"/>
  <c r="K107" i="14"/>
  <c r="J107" i="14"/>
  <c r="G107" i="14"/>
  <c r="D107" i="14"/>
  <c r="C107" i="14"/>
  <c r="B107" i="14"/>
  <c r="J106" i="14"/>
  <c r="K106" i="14" s="1"/>
  <c r="G106" i="14"/>
  <c r="D106" i="14"/>
  <c r="C106" i="14"/>
  <c r="B106" i="14"/>
  <c r="J105" i="14"/>
  <c r="K105" i="14" s="1"/>
  <c r="G105" i="14"/>
  <c r="D105" i="14"/>
  <c r="C105" i="14"/>
  <c r="B105" i="14"/>
  <c r="K104" i="14"/>
  <c r="J104" i="14"/>
  <c r="G104" i="14"/>
  <c r="D104" i="14"/>
  <c r="C104" i="14"/>
  <c r="B104" i="14"/>
  <c r="K103" i="14"/>
  <c r="J103" i="14"/>
  <c r="G103" i="14"/>
  <c r="D103" i="14"/>
  <c r="C103" i="14"/>
  <c r="B103" i="14"/>
  <c r="J102" i="14"/>
  <c r="K102" i="14" s="1"/>
  <c r="G102" i="14"/>
  <c r="D102" i="14"/>
  <c r="C102" i="14"/>
  <c r="B102" i="14"/>
  <c r="J101" i="14"/>
  <c r="K101" i="14" s="1"/>
  <c r="G101" i="14"/>
  <c r="D101" i="14"/>
  <c r="C101" i="14"/>
  <c r="B101" i="14"/>
  <c r="K100" i="14"/>
  <c r="J100" i="14"/>
  <c r="G100" i="14"/>
  <c r="D100" i="14"/>
  <c r="C100" i="14"/>
  <c r="B100" i="14"/>
  <c r="K99" i="14"/>
  <c r="J99" i="14"/>
  <c r="G99" i="14"/>
  <c r="D99" i="14"/>
  <c r="C99" i="14"/>
  <c r="B99" i="14"/>
  <c r="J98" i="14"/>
  <c r="K98" i="14" s="1"/>
  <c r="G98" i="14"/>
  <c r="D98" i="14"/>
  <c r="C98" i="14"/>
  <c r="B98" i="14"/>
  <c r="J97" i="14"/>
  <c r="K97" i="14" s="1"/>
  <c r="G97" i="14"/>
  <c r="D97" i="14"/>
  <c r="C97" i="14"/>
  <c r="B97" i="14"/>
  <c r="K96" i="14"/>
  <c r="J96" i="14"/>
  <c r="G96" i="14"/>
  <c r="D96" i="14"/>
  <c r="C96" i="14"/>
  <c r="B96" i="14"/>
  <c r="K95" i="14"/>
  <c r="J95" i="14"/>
  <c r="G95" i="14"/>
  <c r="D95" i="14"/>
  <c r="C95" i="14"/>
  <c r="B95" i="14"/>
  <c r="J94" i="14"/>
  <c r="K94" i="14" s="1"/>
  <c r="G94" i="14"/>
  <c r="D94" i="14"/>
  <c r="C94" i="14"/>
  <c r="B94" i="14"/>
  <c r="J93" i="14"/>
  <c r="K93" i="14" s="1"/>
  <c r="G93" i="14"/>
  <c r="D93" i="14"/>
  <c r="C93" i="14"/>
  <c r="B93" i="14"/>
  <c r="K92" i="14"/>
  <c r="J92" i="14"/>
  <c r="G92" i="14"/>
  <c r="D92" i="14"/>
  <c r="C92" i="14"/>
  <c r="B92" i="14"/>
  <c r="K91" i="14"/>
  <c r="J91" i="14"/>
  <c r="G91" i="14"/>
  <c r="D91" i="14"/>
  <c r="C91" i="14"/>
  <c r="B91" i="14"/>
  <c r="J90" i="14"/>
  <c r="K90" i="14" s="1"/>
  <c r="G90" i="14"/>
  <c r="D90" i="14"/>
  <c r="C90" i="14"/>
  <c r="B90" i="14"/>
  <c r="J89" i="14"/>
  <c r="K89" i="14" s="1"/>
  <c r="G89" i="14"/>
  <c r="D89" i="14"/>
  <c r="C89" i="14"/>
  <c r="B89" i="14"/>
  <c r="K88" i="14"/>
  <c r="J88" i="14"/>
  <c r="G88" i="14"/>
  <c r="D88" i="14"/>
  <c r="C88" i="14"/>
  <c r="B88" i="14"/>
  <c r="K87" i="14"/>
  <c r="J87" i="14"/>
  <c r="G87" i="14"/>
  <c r="D87" i="14"/>
  <c r="C87" i="14"/>
  <c r="B87" i="14"/>
  <c r="J86" i="14"/>
  <c r="K86" i="14" s="1"/>
  <c r="G86" i="14"/>
  <c r="D86" i="14"/>
  <c r="C86" i="14"/>
  <c r="B86" i="14"/>
  <c r="J85" i="14"/>
  <c r="K85" i="14" s="1"/>
  <c r="G85" i="14"/>
  <c r="D85" i="14"/>
  <c r="C85" i="14"/>
  <c r="B85" i="14"/>
  <c r="K84" i="14"/>
  <c r="J84" i="14"/>
  <c r="G84" i="14"/>
  <c r="D84" i="14"/>
  <c r="C84" i="14"/>
  <c r="B84" i="14"/>
  <c r="K83" i="14"/>
  <c r="J83" i="14"/>
  <c r="G83" i="14"/>
  <c r="D83" i="14"/>
  <c r="C83" i="14"/>
  <c r="B83" i="14"/>
  <c r="J82" i="14"/>
  <c r="K82" i="14" s="1"/>
  <c r="G82" i="14"/>
  <c r="D82" i="14"/>
  <c r="C82" i="14"/>
  <c r="B82" i="14"/>
  <c r="J81" i="14"/>
  <c r="K81" i="14" s="1"/>
  <c r="G81" i="14"/>
  <c r="D81" i="14"/>
  <c r="C81" i="14"/>
  <c r="B81" i="14"/>
  <c r="K80" i="14"/>
  <c r="J80" i="14"/>
  <c r="G80" i="14"/>
  <c r="D80" i="14"/>
  <c r="C80" i="14"/>
  <c r="B80" i="14"/>
  <c r="K79" i="14"/>
  <c r="J79" i="14"/>
  <c r="G79" i="14"/>
  <c r="D79" i="14"/>
  <c r="C79" i="14"/>
  <c r="B79" i="14"/>
  <c r="J78" i="14"/>
  <c r="K78" i="14" s="1"/>
  <c r="G78" i="14"/>
  <c r="D78" i="14"/>
  <c r="C78" i="14"/>
  <c r="B78" i="14"/>
  <c r="J77" i="14"/>
  <c r="K77" i="14" s="1"/>
  <c r="G77" i="14"/>
  <c r="D77" i="14"/>
  <c r="C77" i="14"/>
  <c r="B77" i="14"/>
  <c r="K76" i="14"/>
  <c r="J76" i="14"/>
  <c r="G76" i="14"/>
  <c r="D76" i="14"/>
  <c r="C76" i="14"/>
  <c r="B76" i="14"/>
  <c r="K75" i="14"/>
  <c r="J75" i="14"/>
  <c r="G75" i="14"/>
  <c r="D75" i="14"/>
  <c r="C75" i="14"/>
  <c r="B75" i="14"/>
  <c r="J74" i="14"/>
  <c r="K74" i="14" s="1"/>
  <c r="G74" i="14"/>
  <c r="D74" i="14"/>
  <c r="C74" i="14"/>
  <c r="B74" i="14"/>
  <c r="J73" i="14"/>
  <c r="K73" i="14" s="1"/>
  <c r="G73" i="14"/>
  <c r="D73" i="14"/>
  <c r="C73" i="14"/>
  <c r="B73" i="14"/>
  <c r="K72" i="14"/>
  <c r="J72" i="14"/>
  <c r="G72" i="14"/>
  <c r="D72" i="14"/>
  <c r="C72" i="14"/>
  <c r="B72" i="14"/>
  <c r="K71" i="14"/>
  <c r="J71" i="14"/>
  <c r="G71" i="14"/>
  <c r="D71" i="14"/>
  <c r="C71" i="14"/>
  <c r="B71" i="14"/>
  <c r="J70" i="14"/>
  <c r="K70" i="14" s="1"/>
  <c r="G70" i="14"/>
  <c r="D70" i="14"/>
  <c r="C70" i="14"/>
  <c r="B70" i="14"/>
  <c r="J69" i="14"/>
  <c r="K69" i="14" s="1"/>
  <c r="G69" i="14"/>
  <c r="D69" i="14"/>
  <c r="C69" i="14"/>
  <c r="B69" i="14"/>
  <c r="K68" i="14"/>
  <c r="J68" i="14"/>
  <c r="G68" i="14"/>
  <c r="D68" i="14"/>
  <c r="C68" i="14"/>
  <c r="B68" i="14"/>
  <c r="K67" i="14"/>
  <c r="J67" i="14"/>
  <c r="G67" i="14"/>
  <c r="D67" i="14"/>
  <c r="C67" i="14"/>
  <c r="B67" i="14"/>
  <c r="J66" i="14"/>
  <c r="K66" i="14" s="1"/>
  <c r="G66" i="14"/>
  <c r="D66" i="14"/>
  <c r="C66" i="14"/>
  <c r="B66" i="14"/>
  <c r="J65" i="14"/>
  <c r="K65" i="14" s="1"/>
  <c r="G65" i="14"/>
  <c r="D65" i="14"/>
  <c r="C65" i="14"/>
  <c r="B65" i="14"/>
  <c r="K64" i="14"/>
  <c r="J64" i="14"/>
  <c r="G64" i="14"/>
  <c r="D64" i="14"/>
  <c r="C64" i="14"/>
  <c r="B64" i="14"/>
  <c r="K63" i="14"/>
  <c r="J63" i="14"/>
  <c r="G63" i="14"/>
  <c r="D63" i="14"/>
  <c r="C63" i="14"/>
  <c r="B63" i="14"/>
  <c r="J62" i="14"/>
  <c r="K62" i="14" s="1"/>
  <c r="G62" i="14"/>
  <c r="D62" i="14"/>
  <c r="C62" i="14"/>
  <c r="B62" i="14"/>
  <c r="J61" i="14"/>
  <c r="K61" i="14" s="1"/>
  <c r="G61" i="14"/>
  <c r="D61" i="14"/>
  <c r="C61" i="14"/>
  <c r="B61" i="14"/>
  <c r="K60" i="14"/>
  <c r="J60" i="14"/>
  <c r="G60" i="14"/>
  <c r="D60" i="14"/>
  <c r="C60" i="14"/>
  <c r="B60" i="14"/>
  <c r="K59" i="14"/>
  <c r="J59" i="14"/>
  <c r="G59" i="14"/>
  <c r="D59" i="14"/>
  <c r="C59" i="14"/>
  <c r="B59" i="14"/>
  <c r="J58" i="14"/>
  <c r="K58" i="14" s="1"/>
  <c r="G58" i="14"/>
  <c r="D58" i="14"/>
  <c r="C58" i="14"/>
  <c r="B58" i="14"/>
  <c r="J57" i="14"/>
  <c r="K57" i="14" s="1"/>
  <c r="G57" i="14"/>
  <c r="D57" i="14"/>
  <c r="C57" i="14"/>
  <c r="B57" i="14"/>
  <c r="K56" i="14"/>
  <c r="J56" i="14"/>
  <c r="G56" i="14"/>
  <c r="D56" i="14"/>
  <c r="C56" i="14"/>
  <c r="B56" i="14"/>
  <c r="K55" i="14"/>
  <c r="J55" i="14"/>
  <c r="G55" i="14"/>
  <c r="D55" i="14"/>
  <c r="C55" i="14"/>
  <c r="B55" i="14"/>
  <c r="J54" i="14"/>
  <c r="K54" i="14" s="1"/>
  <c r="G54" i="14"/>
  <c r="D54" i="14"/>
  <c r="C54" i="14"/>
  <c r="B54" i="14"/>
  <c r="J53" i="14"/>
  <c r="K53" i="14" s="1"/>
  <c r="G53" i="14"/>
  <c r="D53" i="14"/>
  <c r="C53" i="14"/>
  <c r="B53" i="14"/>
  <c r="K52" i="14"/>
  <c r="J52" i="14"/>
  <c r="G52" i="14"/>
  <c r="D52" i="14"/>
  <c r="C52" i="14"/>
  <c r="B52" i="14"/>
  <c r="K51" i="14"/>
  <c r="J51" i="14"/>
  <c r="G51" i="14"/>
  <c r="D51" i="14"/>
  <c r="C51" i="14"/>
  <c r="B51" i="14"/>
  <c r="J50" i="14"/>
  <c r="K50" i="14" s="1"/>
  <c r="G50" i="14"/>
  <c r="D50" i="14"/>
  <c r="C50" i="14"/>
  <c r="B50" i="14"/>
  <c r="J49" i="14"/>
  <c r="K49" i="14" s="1"/>
  <c r="G49" i="14"/>
  <c r="D49" i="14"/>
  <c r="C49" i="14"/>
  <c r="B49" i="14"/>
  <c r="K48" i="14"/>
  <c r="J48" i="14"/>
  <c r="G48" i="14"/>
  <c r="D48" i="14"/>
  <c r="C48" i="14"/>
  <c r="B48" i="14"/>
  <c r="K47" i="14"/>
  <c r="J47" i="14"/>
  <c r="G47" i="14"/>
  <c r="D47" i="14"/>
  <c r="C47" i="14"/>
  <c r="B47" i="14"/>
  <c r="J46" i="14"/>
  <c r="K46" i="14" s="1"/>
  <c r="G46" i="14"/>
  <c r="D46" i="14"/>
  <c r="C46" i="14"/>
  <c r="B46" i="14"/>
  <c r="J45" i="14"/>
  <c r="K45" i="14" s="1"/>
  <c r="G45" i="14"/>
  <c r="D45" i="14"/>
  <c r="C45" i="14"/>
  <c r="B45" i="14"/>
  <c r="K44" i="14"/>
  <c r="J44" i="14"/>
  <c r="G44" i="14"/>
  <c r="D44" i="14"/>
  <c r="C44" i="14"/>
  <c r="B44" i="14"/>
  <c r="K43" i="14"/>
  <c r="J43" i="14"/>
  <c r="G43" i="14"/>
  <c r="D43" i="14"/>
  <c r="C43" i="14"/>
  <c r="B43" i="14"/>
  <c r="J42" i="14"/>
  <c r="K42" i="14" s="1"/>
  <c r="G42" i="14"/>
  <c r="D42" i="14"/>
  <c r="C42" i="14"/>
  <c r="B42" i="14"/>
  <c r="J41" i="14"/>
  <c r="K41" i="14" s="1"/>
  <c r="G41" i="14"/>
  <c r="D41" i="14"/>
  <c r="C41" i="14"/>
  <c r="B41" i="14"/>
  <c r="K40" i="14"/>
  <c r="J40" i="14"/>
  <c r="G40" i="14"/>
  <c r="D40" i="14"/>
  <c r="C40" i="14"/>
  <c r="B40" i="14"/>
  <c r="K39" i="14"/>
  <c r="J39" i="14"/>
  <c r="G39" i="14"/>
  <c r="D39" i="14"/>
  <c r="C39" i="14"/>
  <c r="B39" i="14"/>
  <c r="J38" i="14"/>
  <c r="K38" i="14" s="1"/>
  <c r="G38" i="14"/>
  <c r="D38" i="14"/>
  <c r="C38" i="14"/>
  <c r="B38" i="14"/>
  <c r="J37" i="14"/>
  <c r="K37" i="14" s="1"/>
  <c r="G37" i="14"/>
  <c r="D37" i="14"/>
  <c r="C37" i="14"/>
  <c r="B37" i="14"/>
  <c r="K36" i="14"/>
  <c r="J36" i="14"/>
  <c r="G36" i="14"/>
  <c r="D36" i="14"/>
  <c r="C36" i="14"/>
  <c r="B36" i="14"/>
  <c r="K35" i="14"/>
  <c r="J35" i="14"/>
  <c r="G35" i="14"/>
  <c r="D35" i="14"/>
  <c r="C35" i="14"/>
  <c r="B35" i="14"/>
  <c r="J34" i="14"/>
  <c r="K34" i="14" s="1"/>
  <c r="G34" i="14"/>
  <c r="D34" i="14"/>
  <c r="C34" i="14"/>
  <c r="B34" i="14"/>
  <c r="J33" i="14"/>
  <c r="K33" i="14" s="1"/>
  <c r="G33" i="14"/>
  <c r="D33" i="14"/>
  <c r="C33" i="14"/>
  <c r="B33" i="14"/>
  <c r="K32" i="14"/>
  <c r="J32" i="14"/>
  <c r="G32" i="14"/>
  <c r="D32" i="14"/>
  <c r="C32" i="14"/>
  <c r="B32" i="14"/>
  <c r="K31" i="14"/>
  <c r="J31" i="14"/>
  <c r="G31" i="14"/>
  <c r="D31" i="14"/>
  <c r="C31" i="14"/>
  <c r="B31" i="14"/>
  <c r="J30" i="14"/>
  <c r="K30" i="14" s="1"/>
  <c r="G30" i="14"/>
  <c r="D30" i="14"/>
  <c r="C30" i="14"/>
  <c r="B30" i="14"/>
  <c r="J29" i="14"/>
  <c r="K29" i="14" s="1"/>
  <c r="G29" i="14"/>
  <c r="D29" i="14"/>
  <c r="C29" i="14"/>
  <c r="B29" i="14"/>
  <c r="K28" i="14"/>
  <c r="J28" i="14"/>
  <c r="G28" i="14"/>
  <c r="D28" i="14"/>
  <c r="C28" i="14"/>
  <c r="B28" i="14"/>
  <c r="K27" i="14"/>
  <c r="J27" i="14"/>
  <c r="G27" i="14"/>
  <c r="D27" i="14"/>
  <c r="C27" i="14"/>
  <c r="B27" i="14"/>
  <c r="J26" i="14"/>
  <c r="K26" i="14" s="1"/>
  <c r="G26" i="14"/>
  <c r="D26" i="14"/>
  <c r="C26" i="14"/>
  <c r="B26" i="14"/>
  <c r="J25" i="14"/>
  <c r="K25" i="14" s="1"/>
  <c r="G25" i="14"/>
  <c r="D25" i="14"/>
  <c r="C25" i="14"/>
  <c r="B25" i="14"/>
  <c r="K24" i="14"/>
  <c r="J24" i="14"/>
  <c r="G24" i="14"/>
  <c r="D24" i="14"/>
  <c r="C24" i="14"/>
  <c r="B24" i="14"/>
  <c r="K23" i="14"/>
  <c r="J23" i="14"/>
  <c r="G23" i="14"/>
  <c r="D23" i="14"/>
  <c r="C23" i="14"/>
  <c r="B23" i="14"/>
  <c r="J22" i="14"/>
  <c r="K22" i="14" s="1"/>
  <c r="G22" i="14"/>
  <c r="D22" i="14"/>
  <c r="C22" i="14"/>
  <c r="B22" i="14"/>
  <c r="J21" i="14"/>
  <c r="K21" i="14" s="1"/>
  <c r="G21" i="14"/>
  <c r="D21" i="14"/>
  <c r="C21" i="14"/>
  <c r="B21" i="14"/>
  <c r="K20" i="14"/>
  <c r="J20" i="14"/>
  <c r="G20" i="14"/>
  <c r="D20" i="14"/>
  <c r="C20" i="14"/>
  <c r="B20" i="14"/>
  <c r="K19" i="14"/>
  <c r="J19" i="14"/>
  <c r="G19" i="14"/>
  <c r="D19" i="14"/>
  <c r="C19" i="14"/>
  <c r="B19" i="14"/>
  <c r="J18" i="14"/>
  <c r="K18" i="14" s="1"/>
  <c r="G18" i="14"/>
  <c r="D18" i="14"/>
  <c r="C18" i="14"/>
  <c r="B18" i="14"/>
  <c r="J17" i="14"/>
  <c r="K17" i="14" s="1"/>
  <c r="G17" i="14"/>
  <c r="D17" i="14"/>
  <c r="C17" i="14"/>
  <c r="B17" i="14"/>
  <c r="J16" i="14"/>
  <c r="K16" i="14" s="1"/>
  <c r="G16" i="14"/>
  <c r="D16" i="14"/>
  <c r="C16" i="14"/>
  <c r="B16" i="14"/>
  <c r="K15" i="14"/>
  <c r="J15" i="14"/>
  <c r="G15" i="14"/>
  <c r="D15" i="14"/>
  <c r="C15" i="14"/>
  <c r="B15" i="14"/>
  <c r="J14" i="14"/>
  <c r="K14" i="14" s="1"/>
  <c r="G14" i="14"/>
  <c r="D14" i="14"/>
  <c r="C14" i="14"/>
  <c r="B14" i="14"/>
  <c r="J13" i="14"/>
  <c r="K13" i="14" s="1"/>
  <c r="G13" i="14"/>
  <c r="D13" i="14"/>
  <c r="C13" i="14"/>
  <c r="B13" i="14"/>
  <c r="J12" i="14"/>
  <c r="K12" i="14" s="1"/>
  <c r="G12" i="14"/>
  <c r="D12" i="14"/>
  <c r="C12" i="14"/>
  <c r="B12" i="14"/>
  <c r="K11" i="14"/>
  <c r="J11" i="14"/>
  <c r="G11" i="14"/>
  <c r="D11" i="14"/>
  <c r="C11" i="14"/>
  <c r="B11" i="14"/>
  <c r="J10" i="14"/>
  <c r="K10" i="14" s="1"/>
  <c r="G10" i="14"/>
  <c r="D10" i="14"/>
  <c r="C10" i="14"/>
  <c r="B10" i="14"/>
  <c r="J9" i="14"/>
  <c r="K9" i="14" s="1"/>
  <c r="G9" i="14"/>
  <c r="D9" i="14"/>
  <c r="C9" i="14"/>
  <c r="B9" i="14"/>
  <c r="K4" i="14"/>
  <c r="G4" i="14"/>
  <c r="D4" i="14"/>
  <c r="A4" i="14"/>
  <c r="I208" i="13"/>
  <c r="J208" i="13" s="1"/>
  <c r="F208" i="13"/>
  <c r="D208" i="13"/>
  <c r="C208" i="13"/>
  <c r="B208" i="13"/>
  <c r="I207" i="13"/>
  <c r="J207" i="13" s="1"/>
  <c r="F207" i="13"/>
  <c r="D207" i="13"/>
  <c r="C207" i="13"/>
  <c r="B207" i="13"/>
  <c r="J206" i="13"/>
  <c r="I206" i="13"/>
  <c r="F206" i="13"/>
  <c r="D206" i="13"/>
  <c r="C206" i="13"/>
  <c r="B206" i="13"/>
  <c r="J205" i="13"/>
  <c r="I205" i="13"/>
  <c r="F205" i="13"/>
  <c r="D205" i="13"/>
  <c r="C205" i="13"/>
  <c r="B205" i="13"/>
  <c r="I204" i="13"/>
  <c r="J204" i="13" s="1"/>
  <c r="F204" i="13"/>
  <c r="D204" i="13"/>
  <c r="C204" i="13"/>
  <c r="B204" i="13"/>
  <c r="I203" i="13"/>
  <c r="J203" i="13" s="1"/>
  <c r="F203" i="13"/>
  <c r="D203" i="13"/>
  <c r="C203" i="13"/>
  <c r="B203" i="13"/>
  <c r="I202" i="13"/>
  <c r="J202" i="13" s="1"/>
  <c r="F202" i="13"/>
  <c r="D202" i="13"/>
  <c r="C202" i="13"/>
  <c r="B202" i="13"/>
  <c r="J201" i="13"/>
  <c r="I201" i="13"/>
  <c r="F201" i="13"/>
  <c r="D201" i="13"/>
  <c r="C201" i="13"/>
  <c r="B201" i="13"/>
  <c r="I200" i="13"/>
  <c r="J200" i="13" s="1"/>
  <c r="F200" i="13"/>
  <c r="D200" i="13"/>
  <c r="C200" i="13"/>
  <c r="B200" i="13"/>
  <c r="I199" i="13"/>
  <c r="J199" i="13" s="1"/>
  <c r="F199" i="13"/>
  <c r="D199" i="13"/>
  <c r="C199" i="13"/>
  <c r="B199" i="13"/>
  <c r="I198" i="13"/>
  <c r="J198" i="13" s="1"/>
  <c r="F198" i="13"/>
  <c r="D198" i="13"/>
  <c r="C198" i="13"/>
  <c r="B198" i="13"/>
  <c r="J197" i="13"/>
  <c r="I197" i="13"/>
  <c r="F197" i="13"/>
  <c r="D197" i="13"/>
  <c r="C197" i="13"/>
  <c r="B197" i="13"/>
  <c r="I196" i="13"/>
  <c r="J196" i="13" s="1"/>
  <c r="F196" i="13"/>
  <c r="D196" i="13"/>
  <c r="C196" i="13"/>
  <c r="B196" i="13"/>
  <c r="I195" i="13"/>
  <c r="J195" i="13" s="1"/>
  <c r="F195" i="13"/>
  <c r="D195" i="13"/>
  <c r="C195" i="13"/>
  <c r="B195" i="13"/>
  <c r="I194" i="13"/>
  <c r="J194" i="13" s="1"/>
  <c r="F194" i="13"/>
  <c r="D194" i="13"/>
  <c r="C194" i="13"/>
  <c r="B194" i="13"/>
  <c r="J193" i="13"/>
  <c r="I193" i="13"/>
  <c r="F193" i="13"/>
  <c r="D193" i="13"/>
  <c r="C193" i="13"/>
  <c r="B193" i="13"/>
  <c r="I192" i="13"/>
  <c r="J192" i="13" s="1"/>
  <c r="F192" i="13"/>
  <c r="D192" i="13"/>
  <c r="C192" i="13"/>
  <c r="B192" i="13"/>
  <c r="I191" i="13"/>
  <c r="J191" i="13" s="1"/>
  <c r="F191" i="13"/>
  <c r="D191" i="13"/>
  <c r="C191" i="13"/>
  <c r="B191" i="13"/>
  <c r="J190" i="13"/>
  <c r="I190" i="13"/>
  <c r="F190" i="13"/>
  <c r="D190" i="13"/>
  <c r="C190" i="13"/>
  <c r="B190" i="13"/>
  <c r="J189" i="13"/>
  <c r="I189" i="13"/>
  <c r="F189" i="13"/>
  <c r="D189" i="13"/>
  <c r="C189" i="13"/>
  <c r="B189" i="13"/>
  <c r="I188" i="13"/>
  <c r="J188" i="13" s="1"/>
  <c r="F188" i="13"/>
  <c r="D188" i="13"/>
  <c r="C188" i="13"/>
  <c r="B188" i="13"/>
  <c r="I187" i="13"/>
  <c r="J187" i="13" s="1"/>
  <c r="F187" i="13"/>
  <c r="D187" i="13"/>
  <c r="C187" i="13"/>
  <c r="B187" i="13"/>
  <c r="I186" i="13"/>
  <c r="J186" i="13" s="1"/>
  <c r="F186" i="13"/>
  <c r="D186" i="13"/>
  <c r="C186" i="13"/>
  <c r="B186" i="13"/>
  <c r="J185" i="13"/>
  <c r="I185" i="13"/>
  <c r="F185" i="13"/>
  <c r="D185" i="13"/>
  <c r="C185" i="13"/>
  <c r="B185" i="13"/>
  <c r="I184" i="13"/>
  <c r="J184" i="13" s="1"/>
  <c r="F184" i="13"/>
  <c r="D184" i="13"/>
  <c r="C184" i="13"/>
  <c r="B184" i="13"/>
  <c r="I183" i="13"/>
  <c r="J183" i="13" s="1"/>
  <c r="F183" i="13"/>
  <c r="D183" i="13"/>
  <c r="C183" i="13"/>
  <c r="B183" i="13"/>
  <c r="I182" i="13"/>
  <c r="J182" i="13" s="1"/>
  <c r="F182" i="13"/>
  <c r="D182" i="13"/>
  <c r="C182" i="13"/>
  <c r="B182" i="13"/>
  <c r="J181" i="13"/>
  <c r="I181" i="13"/>
  <c r="F181" i="13"/>
  <c r="D181" i="13"/>
  <c r="C181" i="13"/>
  <c r="B181" i="13"/>
  <c r="I180" i="13"/>
  <c r="J180" i="13" s="1"/>
  <c r="F180" i="13"/>
  <c r="D180" i="13"/>
  <c r="C180" i="13"/>
  <c r="B180" i="13"/>
  <c r="I179" i="13"/>
  <c r="J179" i="13" s="1"/>
  <c r="F179" i="13"/>
  <c r="D179" i="13"/>
  <c r="C179" i="13"/>
  <c r="B179" i="13"/>
  <c r="I178" i="13"/>
  <c r="J178" i="13" s="1"/>
  <c r="F178" i="13"/>
  <c r="D178" i="13"/>
  <c r="C178" i="13"/>
  <c r="B178" i="13"/>
  <c r="J177" i="13"/>
  <c r="I177" i="13"/>
  <c r="F177" i="13"/>
  <c r="D177" i="13"/>
  <c r="C177" i="13"/>
  <c r="B177" i="13"/>
  <c r="I176" i="13"/>
  <c r="J176" i="13" s="1"/>
  <c r="F176" i="13"/>
  <c r="D176" i="13"/>
  <c r="C176" i="13"/>
  <c r="B176" i="13"/>
  <c r="I175" i="13"/>
  <c r="J175" i="13" s="1"/>
  <c r="F175" i="13"/>
  <c r="D175" i="13"/>
  <c r="C175" i="13"/>
  <c r="B175" i="13"/>
  <c r="J174" i="13"/>
  <c r="I174" i="13"/>
  <c r="F174" i="13"/>
  <c r="D174" i="13"/>
  <c r="C174" i="13"/>
  <c r="B174" i="13"/>
  <c r="J173" i="13"/>
  <c r="I173" i="13"/>
  <c r="F173" i="13"/>
  <c r="D173" i="13"/>
  <c r="C173" i="13"/>
  <c r="B173" i="13"/>
  <c r="I172" i="13"/>
  <c r="J172" i="13" s="1"/>
  <c r="F172" i="13"/>
  <c r="D172" i="13"/>
  <c r="C172" i="13"/>
  <c r="B172" i="13"/>
  <c r="I171" i="13"/>
  <c r="J171" i="13" s="1"/>
  <c r="F171" i="13"/>
  <c r="D171" i="13"/>
  <c r="C171" i="13"/>
  <c r="B171" i="13"/>
  <c r="I170" i="13"/>
  <c r="J170" i="13" s="1"/>
  <c r="F170" i="13"/>
  <c r="D170" i="13"/>
  <c r="C170" i="13"/>
  <c r="B170" i="13"/>
  <c r="J169" i="13"/>
  <c r="I169" i="13"/>
  <c r="F169" i="13"/>
  <c r="D169" i="13"/>
  <c r="C169" i="13"/>
  <c r="B169" i="13"/>
  <c r="I168" i="13"/>
  <c r="J168" i="13" s="1"/>
  <c r="F168" i="13"/>
  <c r="D168" i="13"/>
  <c r="C168" i="13"/>
  <c r="B168" i="13"/>
  <c r="I167" i="13"/>
  <c r="J167" i="13" s="1"/>
  <c r="F167" i="13"/>
  <c r="D167" i="13"/>
  <c r="C167" i="13"/>
  <c r="B167" i="13"/>
  <c r="I166" i="13"/>
  <c r="J166" i="13" s="1"/>
  <c r="F166" i="13"/>
  <c r="D166" i="13"/>
  <c r="C166" i="13"/>
  <c r="B166" i="13"/>
  <c r="J165" i="13"/>
  <c r="I165" i="13"/>
  <c r="F165" i="13"/>
  <c r="D165" i="13"/>
  <c r="C165" i="13"/>
  <c r="B165" i="13"/>
  <c r="I164" i="13"/>
  <c r="J164" i="13" s="1"/>
  <c r="F164" i="13"/>
  <c r="D164" i="13"/>
  <c r="C164" i="13"/>
  <c r="B164" i="13"/>
  <c r="I163" i="13"/>
  <c r="J163" i="13" s="1"/>
  <c r="F163" i="13"/>
  <c r="D163" i="13"/>
  <c r="C163" i="13"/>
  <c r="B163" i="13"/>
  <c r="I162" i="13"/>
  <c r="J162" i="13" s="1"/>
  <c r="F162" i="13"/>
  <c r="D162" i="13"/>
  <c r="C162" i="13"/>
  <c r="B162" i="13"/>
  <c r="J161" i="13"/>
  <c r="I161" i="13"/>
  <c r="F161" i="13"/>
  <c r="D161" i="13"/>
  <c r="C161" i="13"/>
  <c r="B161" i="13"/>
  <c r="I160" i="13"/>
  <c r="J160" i="13" s="1"/>
  <c r="F160" i="13"/>
  <c r="D160" i="13"/>
  <c r="C160" i="13"/>
  <c r="B160" i="13"/>
  <c r="I159" i="13"/>
  <c r="J159" i="13" s="1"/>
  <c r="F159" i="13"/>
  <c r="D159" i="13"/>
  <c r="C159" i="13"/>
  <c r="B159" i="13"/>
  <c r="J158" i="13"/>
  <c r="I158" i="13"/>
  <c r="F158" i="13"/>
  <c r="D158" i="13"/>
  <c r="C158" i="13"/>
  <c r="B158" i="13"/>
  <c r="J157" i="13"/>
  <c r="I157" i="13"/>
  <c r="F157" i="13"/>
  <c r="D157" i="13"/>
  <c r="C157" i="13"/>
  <c r="B157" i="13"/>
  <c r="I156" i="13"/>
  <c r="J156" i="13" s="1"/>
  <c r="F156" i="13"/>
  <c r="D156" i="13"/>
  <c r="C156" i="13"/>
  <c r="B156" i="13"/>
  <c r="J155" i="13"/>
  <c r="I155" i="13"/>
  <c r="F155" i="13"/>
  <c r="D155" i="13"/>
  <c r="C155" i="13"/>
  <c r="B155" i="13"/>
  <c r="I154" i="13"/>
  <c r="J154" i="13" s="1"/>
  <c r="F154" i="13"/>
  <c r="D154" i="13"/>
  <c r="C154" i="13"/>
  <c r="B154" i="13"/>
  <c r="J153" i="13"/>
  <c r="I153" i="13"/>
  <c r="F153" i="13"/>
  <c r="D153" i="13"/>
  <c r="C153" i="13"/>
  <c r="B153" i="13"/>
  <c r="I152" i="13"/>
  <c r="J152" i="13" s="1"/>
  <c r="F152" i="13"/>
  <c r="D152" i="13"/>
  <c r="C152" i="13"/>
  <c r="B152" i="13"/>
  <c r="J151" i="13"/>
  <c r="I151" i="13"/>
  <c r="F151" i="13"/>
  <c r="D151" i="13"/>
  <c r="C151" i="13"/>
  <c r="B151" i="13"/>
  <c r="I150" i="13"/>
  <c r="J150" i="13" s="1"/>
  <c r="F150" i="13"/>
  <c r="D150" i="13"/>
  <c r="C150" i="13"/>
  <c r="B150" i="13"/>
  <c r="J149" i="13"/>
  <c r="I149" i="13"/>
  <c r="F149" i="13"/>
  <c r="D149" i="13"/>
  <c r="C149" i="13"/>
  <c r="B149" i="13"/>
  <c r="I148" i="13"/>
  <c r="J148" i="13" s="1"/>
  <c r="F148" i="13"/>
  <c r="D148" i="13"/>
  <c r="C148" i="13"/>
  <c r="B148" i="13"/>
  <c r="I147" i="13"/>
  <c r="J147" i="13" s="1"/>
  <c r="F147" i="13"/>
  <c r="D147" i="13"/>
  <c r="C147" i="13"/>
  <c r="B147" i="13"/>
  <c r="J146" i="13"/>
  <c r="I146" i="13"/>
  <c r="F146" i="13"/>
  <c r="D146" i="13"/>
  <c r="C146" i="13"/>
  <c r="B146" i="13"/>
  <c r="J145" i="13"/>
  <c r="I145" i="13"/>
  <c r="F145" i="13"/>
  <c r="D145" i="13"/>
  <c r="C145" i="13"/>
  <c r="B145" i="13"/>
  <c r="I144" i="13"/>
  <c r="J144" i="13" s="1"/>
  <c r="F144" i="13"/>
  <c r="D144" i="13"/>
  <c r="C144" i="13"/>
  <c r="B144" i="13"/>
  <c r="I143" i="13"/>
  <c r="J143" i="13" s="1"/>
  <c r="F143" i="13"/>
  <c r="D143" i="13"/>
  <c r="C143" i="13"/>
  <c r="B143" i="13"/>
  <c r="I142" i="13"/>
  <c r="J142" i="13" s="1"/>
  <c r="F142" i="13"/>
  <c r="D142" i="13"/>
  <c r="C142" i="13"/>
  <c r="B142" i="13"/>
  <c r="J141" i="13"/>
  <c r="I141" i="13"/>
  <c r="F141" i="13"/>
  <c r="D141" i="13"/>
  <c r="C141" i="13"/>
  <c r="B141" i="13"/>
  <c r="I140" i="13"/>
  <c r="J140" i="13" s="1"/>
  <c r="F140" i="13"/>
  <c r="D140" i="13"/>
  <c r="C140" i="13"/>
  <c r="B140" i="13"/>
  <c r="J139" i="13"/>
  <c r="I139" i="13"/>
  <c r="F139" i="13"/>
  <c r="D139" i="13"/>
  <c r="C139" i="13"/>
  <c r="B139" i="13"/>
  <c r="J138" i="13"/>
  <c r="I138" i="13"/>
  <c r="F138" i="13"/>
  <c r="D138" i="13"/>
  <c r="C138" i="13"/>
  <c r="B138" i="13"/>
  <c r="J137" i="13"/>
  <c r="I137" i="13"/>
  <c r="F137" i="13"/>
  <c r="D137" i="13"/>
  <c r="C137" i="13"/>
  <c r="B137" i="13"/>
  <c r="I136" i="13"/>
  <c r="J136" i="13" s="1"/>
  <c r="F136" i="13"/>
  <c r="D136" i="13"/>
  <c r="C136" i="13"/>
  <c r="B136" i="13"/>
  <c r="J135" i="13"/>
  <c r="I135" i="13"/>
  <c r="F135" i="13"/>
  <c r="D135" i="13"/>
  <c r="C135" i="13"/>
  <c r="B135" i="13"/>
  <c r="J134" i="13"/>
  <c r="I134" i="13"/>
  <c r="F134" i="13"/>
  <c r="D134" i="13"/>
  <c r="C134" i="13"/>
  <c r="B134" i="13"/>
  <c r="J133" i="13"/>
  <c r="I133" i="13"/>
  <c r="F133" i="13"/>
  <c r="D133" i="13"/>
  <c r="C133" i="13"/>
  <c r="B133" i="13"/>
  <c r="I132" i="13"/>
  <c r="J132" i="13" s="1"/>
  <c r="F132" i="13"/>
  <c r="D132" i="13"/>
  <c r="C132" i="13"/>
  <c r="B132" i="13"/>
  <c r="J131" i="13"/>
  <c r="I131" i="13"/>
  <c r="F131" i="13"/>
  <c r="D131" i="13"/>
  <c r="C131" i="13"/>
  <c r="B131" i="13"/>
  <c r="J130" i="13"/>
  <c r="I130" i="13"/>
  <c r="F130" i="13"/>
  <c r="D130" i="13"/>
  <c r="C130" i="13"/>
  <c r="B130" i="13"/>
  <c r="J129" i="13"/>
  <c r="I129" i="13"/>
  <c r="F129" i="13"/>
  <c r="D129" i="13"/>
  <c r="C129" i="13"/>
  <c r="B129" i="13"/>
  <c r="I128" i="13"/>
  <c r="J128" i="13" s="1"/>
  <c r="F128" i="13"/>
  <c r="D128" i="13"/>
  <c r="C128" i="13"/>
  <c r="B128" i="13"/>
  <c r="J127" i="13"/>
  <c r="I127" i="13"/>
  <c r="F127" i="13"/>
  <c r="D127" i="13"/>
  <c r="C127" i="13"/>
  <c r="B127" i="13"/>
  <c r="J126" i="13"/>
  <c r="I126" i="13"/>
  <c r="F126" i="13"/>
  <c r="D126" i="13"/>
  <c r="C126" i="13"/>
  <c r="B126" i="13"/>
  <c r="J125" i="13"/>
  <c r="I125" i="13"/>
  <c r="F125" i="13"/>
  <c r="D125" i="13"/>
  <c r="C125" i="13"/>
  <c r="B125" i="13"/>
  <c r="I124" i="13"/>
  <c r="J124" i="13" s="1"/>
  <c r="F124" i="13"/>
  <c r="D124" i="13"/>
  <c r="C124" i="13"/>
  <c r="B124" i="13"/>
  <c r="J123" i="13"/>
  <c r="I123" i="13"/>
  <c r="F123" i="13"/>
  <c r="D123" i="13"/>
  <c r="C123" i="13"/>
  <c r="B123" i="13"/>
  <c r="J122" i="13"/>
  <c r="I122" i="13"/>
  <c r="F122" i="13"/>
  <c r="D122" i="13"/>
  <c r="C122" i="13"/>
  <c r="B122" i="13"/>
  <c r="J121" i="13"/>
  <c r="I121" i="13"/>
  <c r="F121" i="13"/>
  <c r="D121" i="13"/>
  <c r="C121" i="13"/>
  <c r="B121" i="13"/>
  <c r="I120" i="13"/>
  <c r="J120" i="13" s="1"/>
  <c r="F120" i="13"/>
  <c r="D120" i="13"/>
  <c r="C120" i="13"/>
  <c r="B120" i="13"/>
  <c r="J119" i="13"/>
  <c r="I119" i="13"/>
  <c r="F119" i="13"/>
  <c r="D119" i="13"/>
  <c r="C119" i="13"/>
  <c r="B119" i="13"/>
  <c r="J118" i="13"/>
  <c r="I118" i="13"/>
  <c r="F118" i="13"/>
  <c r="D118" i="13"/>
  <c r="C118" i="13"/>
  <c r="B118" i="13"/>
  <c r="J117" i="13"/>
  <c r="I117" i="13"/>
  <c r="F117" i="13"/>
  <c r="D117" i="13"/>
  <c r="C117" i="13"/>
  <c r="B117" i="13"/>
  <c r="I116" i="13"/>
  <c r="J116" i="13" s="1"/>
  <c r="F116" i="13"/>
  <c r="D116" i="13"/>
  <c r="C116" i="13"/>
  <c r="B116" i="13"/>
  <c r="J115" i="13"/>
  <c r="I115" i="13"/>
  <c r="F115" i="13"/>
  <c r="D115" i="13"/>
  <c r="C115" i="13"/>
  <c r="B115" i="13"/>
  <c r="J114" i="13"/>
  <c r="I114" i="13"/>
  <c r="F114" i="13"/>
  <c r="D114" i="13"/>
  <c r="C114" i="13"/>
  <c r="B114" i="13"/>
  <c r="J113" i="13"/>
  <c r="I113" i="13"/>
  <c r="F113" i="13"/>
  <c r="D113" i="13"/>
  <c r="C113" i="13"/>
  <c r="B113" i="13"/>
  <c r="I112" i="13"/>
  <c r="J112" i="13" s="1"/>
  <c r="F112" i="13"/>
  <c r="D112" i="13"/>
  <c r="C112" i="13"/>
  <c r="B112" i="13"/>
  <c r="J111" i="13"/>
  <c r="I111" i="13"/>
  <c r="F111" i="13"/>
  <c r="D111" i="13"/>
  <c r="C111" i="13"/>
  <c r="B111" i="13"/>
  <c r="J110" i="13"/>
  <c r="I110" i="13"/>
  <c r="F110" i="13"/>
  <c r="D110" i="13"/>
  <c r="C110" i="13"/>
  <c r="B110" i="13"/>
  <c r="J109" i="13"/>
  <c r="I109" i="13"/>
  <c r="F109" i="13"/>
  <c r="D109" i="13"/>
  <c r="C109" i="13"/>
  <c r="B109" i="13"/>
  <c r="I108" i="13"/>
  <c r="J108" i="13" s="1"/>
  <c r="F108" i="13"/>
  <c r="D108" i="13"/>
  <c r="C108" i="13"/>
  <c r="B108" i="13"/>
  <c r="J107" i="13"/>
  <c r="I107" i="13"/>
  <c r="F107" i="13"/>
  <c r="D107" i="13"/>
  <c r="C107" i="13"/>
  <c r="B107" i="13"/>
  <c r="J106" i="13"/>
  <c r="I106" i="13"/>
  <c r="F106" i="13"/>
  <c r="D106" i="13"/>
  <c r="C106" i="13"/>
  <c r="B106" i="13"/>
  <c r="J105" i="13"/>
  <c r="I105" i="13"/>
  <c r="F105" i="13"/>
  <c r="D105" i="13"/>
  <c r="C105" i="13"/>
  <c r="B105" i="13"/>
  <c r="I104" i="13"/>
  <c r="J104" i="13" s="1"/>
  <c r="F104" i="13"/>
  <c r="D104" i="13"/>
  <c r="C104" i="13"/>
  <c r="B104" i="13"/>
  <c r="J103" i="13"/>
  <c r="I103" i="13"/>
  <c r="F103" i="13"/>
  <c r="D103" i="13"/>
  <c r="C103" i="13"/>
  <c r="B103" i="13"/>
  <c r="J102" i="13"/>
  <c r="I102" i="13"/>
  <c r="F102" i="13"/>
  <c r="D102" i="13"/>
  <c r="C102" i="13"/>
  <c r="B102" i="13"/>
  <c r="J101" i="13"/>
  <c r="I101" i="13"/>
  <c r="F101" i="13"/>
  <c r="D101" i="13"/>
  <c r="C101" i="13"/>
  <c r="B101" i="13"/>
  <c r="I100" i="13"/>
  <c r="J100" i="13" s="1"/>
  <c r="F100" i="13"/>
  <c r="D100" i="13"/>
  <c r="C100" i="13"/>
  <c r="B100" i="13"/>
  <c r="J99" i="13"/>
  <c r="I99" i="13"/>
  <c r="F99" i="13"/>
  <c r="D99" i="13"/>
  <c r="C99" i="13"/>
  <c r="B99" i="13"/>
  <c r="J98" i="13"/>
  <c r="I98" i="13"/>
  <c r="F98" i="13"/>
  <c r="D98" i="13"/>
  <c r="C98" i="13"/>
  <c r="B98" i="13"/>
  <c r="J97" i="13"/>
  <c r="I97" i="13"/>
  <c r="F97" i="13"/>
  <c r="D97" i="13"/>
  <c r="C97" i="13"/>
  <c r="B97" i="13"/>
  <c r="I96" i="13"/>
  <c r="J96" i="13" s="1"/>
  <c r="F96" i="13"/>
  <c r="D96" i="13"/>
  <c r="C96" i="13"/>
  <c r="B96" i="13"/>
  <c r="J95" i="13"/>
  <c r="I95" i="13"/>
  <c r="F95" i="13"/>
  <c r="D95" i="13"/>
  <c r="C95" i="13"/>
  <c r="B95" i="13"/>
  <c r="J94" i="13"/>
  <c r="I94" i="13"/>
  <c r="F94" i="13"/>
  <c r="D94" i="13"/>
  <c r="C94" i="13"/>
  <c r="B94" i="13"/>
  <c r="J93" i="13"/>
  <c r="I93" i="13"/>
  <c r="F93" i="13"/>
  <c r="D93" i="13"/>
  <c r="C93" i="13"/>
  <c r="B93" i="13"/>
  <c r="I92" i="13"/>
  <c r="J92" i="13" s="1"/>
  <c r="F92" i="13"/>
  <c r="D92" i="13"/>
  <c r="C92" i="13"/>
  <c r="B92" i="13"/>
  <c r="J91" i="13"/>
  <c r="I91" i="13"/>
  <c r="F91" i="13"/>
  <c r="D91" i="13"/>
  <c r="C91" i="13"/>
  <c r="B91" i="13"/>
  <c r="J90" i="13"/>
  <c r="I90" i="13"/>
  <c r="F90" i="13"/>
  <c r="D90" i="13"/>
  <c r="C90" i="13"/>
  <c r="B90" i="13"/>
  <c r="J89" i="13"/>
  <c r="I89" i="13"/>
  <c r="F89" i="13"/>
  <c r="D89" i="13"/>
  <c r="C89" i="13"/>
  <c r="B89" i="13"/>
  <c r="I88" i="13"/>
  <c r="J88" i="13" s="1"/>
  <c r="F88" i="13"/>
  <c r="D88" i="13"/>
  <c r="C88" i="13"/>
  <c r="B88" i="13"/>
  <c r="J87" i="13"/>
  <c r="I87" i="13"/>
  <c r="F87" i="13"/>
  <c r="D87" i="13"/>
  <c r="C87" i="13"/>
  <c r="B87" i="13"/>
  <c r="J86" i="13"/>
  <c r="I86" i="13"/>
  <c r="F86" i="13"/>
  <c r="D86" i="13"/>
  <c r="C86" i="13"/>
  <c r="B86" i="13"/>
  <c r="J85" i="13"/>
  <c r="I85" i="13"/>
  <c r="F85" i="13"/>
  <c r="D85" i="13"/>
  <c r="C85" i="13"/>
  <c r="B85" i="13"/>
  <c r="I84" i="13"/>
  <c r="J84" i="13" s="1"/>
  <c r="F84" i="13"/>
  <c r="D84" i="13"/>
  <c r="C84" i="13"/>
  <c r="B84" i="13"/>
  <c r="J83" i="13"/>
  <c r="I83" i="13"/>
  <c r="F83" i="13"/>
  <c r="D83" i="13"/>
  <c r="C83" i="13"/>
  <c r="B83" i="13"/>
  <c r="J82" i="13"/>
  <c r="I82" i="13"/>
  <c r="F82" i="13"/>
  <c r="D82" i="13"/>
  <c r="C82" i="13"/>
  <c r="B82" i="13"/>
  <c r="J81" i="13"/>
  <c r="I81" i="13"/>
  <c r="F81" i="13"/>
  <c r="D81" i="13"/>
  <c r="C81" i="13"/>
  <c r="B81" i="13"/>
  <c r="I80" i="13"/>
  <c r="J80" i="13" s="1"/>
  <c r="F80" i="13"/>
  <c r="D80" i="13"/>
  <c r="C80" i="13"/>
  <c r="B80" i="13"/>
  <c r="J79" i="13"/>
  <c r="I79" i="13"/>
  <c r="F79" i="13"/>
  <c r="D79" i="13"/>
  <c r="C79" i="13"/>
  <c r="B79" i="13"/>
  <c r="J78" i="13"/>
  <c r="I78" i="13"/>
  <c r="F78" i="13"/>
  <c r="D78" i="13"/>
  <c r="C78" i="13"/>
  <c r="B78" i="13"/>
  <c r="J77" i="13"/>
  <c r="I77" i="13"/>
  <c r="F77" i="13"/>
  <c r="D77" i="13"/>
  <c r="C77" i="13"/>
  <c r="B77" i="13"/>
  <c r="I76" i="13"/>
  <c r="J76" i="13" s="1"/>
  <c r="F76" i="13"/>
  <c r="D76" i="13"/>
  <c r="C76" i="13"/>
  <c r="B76" i="13"/>
  <c r="J75" i="13"/>
  <c r="I75" i="13"/>
  <c r="F75" i="13"/>
  <c r="D75" i="13"/>
  <c r="C75" i="13"/>
  <c r="B75" i="13"/>
  <c r="J74" i="13"/>
  <c r="I74" i="13"/>
  <c r="F74" i="13"/>
  <c r="D74" i="13"/>
  <c r="C74" i="13"/>
  <c r="B74" i="13"/>
  <c r="J73" i="13"/>
  <c r="I73" i="13"/>
  <c r="F73" i="13"/>
  <c r="D73" i="13"/>
  <c r="C73" i="13"/>
  <c r="B73" i="13"/>
  <c r="I72" i="13"/>
  <c r="J72" i="13" s="1"/>
  <c r="F72" i="13"/>
  <c r="D72" i="13"/>
  <c r="C72" i="13"/>
  <c r="B72" i="13"/>
  <c r="J71" i="13"/>
  <c r="I71" i="13"/>
  <c r="F71" i="13"/>
  <c r="D71" i="13"/>
  <c r="C71" i="13"/>
  <c r="B71" i="13"/>
  <c r="J70" i="13"/>
  <c r="I70" i="13"/>
  <c r="F70" i="13"/>
  <c r="D70" i="13"/>
  <c r="C70" i="13"/>
  <c r="B70" i="13"/>
  <c r="J69" i="13"/>
  <c r="I69" i="13"/>
  <c r="F69" i="13"/>
  <c r="D69" i="13"/>
  <c r="C69" i="13"/>
  <c r="B69" i="13"/>
  <c r="I68" i="13"/>
  <c r="J68" i="13" s="1"/>
  <c r="F68" i="13"/>
  <c r="D68" i="13"/>
  <c r="C68" i="13"/>
  <c r="B68" i="13"/>
  <c r="J67" i="13"/>
  <c r="I67" i="13"/>
  <c r="F67" i="13"/>
  <c r="D67" i="13"/>
  <c r="C67" i="13"/>
  <c r="B67" i="13"/>
  <c r="J66" i="13"/>
  <c r="I66" i="13"/>
  <c r="F66" i="13"/>
  <c r="D66" i="13"/>
  <c r="C66" i="13"/>
  <c r="B66" i="13"/>
  <c r="J65" i="13"/>
  <c r="I65" i="13"/>
  <c r="F65" i="13"/>
  <c r="D65" i="13"/>
  <c r="C65" i="13"/>
  <c r="B65" i="13"/>
  <c r="I64" i="13"/>
  <c r="J64" i="13" s="1"/>
  <c r="F64" i="13"/>
  <c r="D64" i="13"/>
  <c r="C64" i="13"/>
  <c r="B64" i="13"/>
  <c r="J63" i="13"/>
  <c r="I63" i="13"/>
  <c r="F63" i="13"/>
  <c r="D63" i="13"/>
  <c r="C63" i="13"/>
  <c r="B63" i="13"/>
  <c r="J62" i="13"/>
  <c r="I62" i="13"/>
  <c r="F62" i="13"/>
  <c r="D62" i="13"/>
  <c r="C62" i="13"/>
  <c r="B62" i="13"/>
  <c r="J61" i="13"/>
  <c r="I61" i="13"/>
  <c r="F61" i="13"/>
  <c r="D61" i="13"/>
  <c r="C61" i="13"/>
  <c r="B61" i="13"/>
  <c r="I60" i="13"/>
  <c r="J60" i="13" s="1"/>
  <c r="F60" i="13"/>
  <c r="D60" i="13"/>
  <c r="C60" i="13"/>
  <c r="B60" i="13"/>
  <c r="J59" i="13"/>
  <c r="I59" i="13"/>
  <c r="F59" i="13"/>
  <c r="D59" i="13"/>
  <c r="C59" i="13"/>
  <c r="B59" i="13"/>
  <c r="J58" i="13"/>
  <c r="I58" i="13"/>
  <c r="F58" i="13"/>
  <c r="D58" i="13"/>
  <c r="C58" i="13"/>
  <c r="B58" i="13"/>
  <c r="J57" i="13"/>
  <c r="I57" i="13"/>
  <c r="F57" i="13"/>
  <c r="D57" i="13"/>
  <c r="C57" i="13"/>
  <c r="B57" i="13"/>
  <c r="I56" i="13"/>
  <c r="J56" i="13" s="1"/>
  <c r="F56" i="13"/>
  <c r="D56" i="13"/>
  <c r="C56" i="13"/>
  <c r="B56" i="13"/>
  <c r="J55" i="13"/>
  <c r="I55" i="13"/>
  <c r="F55" i="13"/>
  <c r="D55" i="13"/>
  <c r="C55" i="13"/>
  <c r="B55" i="13"/>
  <c r="J54" i="13"/>
  <c r="I54" i="13"/>
  <c r="F54" i="13"/>
  <c r="D54" i="13"/>
  <c r="C54" i="13"/>
  <c r="B54" i="13"/>
  <c r="J53" i="13"/>
  <c r="I53" i="13"/>
  <c r="F53" i="13"/>
  <c r="D53" i="13"/>
  <c r="C53" i="13"/>
  <c r="B53" i="13"/>
  <c r="I52" i="13"/>
  <c r="J52" i="13" s="1"/>
  <c r="F52" i="13"/>
  <c r="D52" i="13"/>
  <c r="C52" i="13"/>
  <c r="B52" i="13"/>
  <c r="J51" i="13"/>
  <c r="I51" i="13"/>
  <c r="F51" i="13"/>
  <c r="D51" i="13"/>
  <c r="C51" i="13"/>
  <c r="B51" i="13"/>
  <c r="J50" i="13"/>
  <c r="I50" i="13"/>
  <c r="F50" i="13"/>
  <c r="D50" i="13"/>
  <c r="C50" i="13"/>
  <c r="B50" i="13"/>
  <c r="J49" i="13"/>
  <c r="I49" i="13"/>
  <c r="F49" i="13"/>
  <c r="D49" i="13"/>
  <c r="C49" i="13"/>
  <c r="B49" i="13"/>
  <c r="J48" i="13"/>
  <c r="I48" i="13"/>
  <c r="F48" i="13"/>
  <c r="D48" i="13"/>
  <c r="C48" i="13"/>
  <c r="B48" i="13"/>
  <c r="J47" i="13"/>
  <c r="I47" i="13"/>
  <c r="F47" i="13"/>
  <c r="D47" i="13"/>
  <c r="C47" i="13"/>
  <c r="B47" i="13"/>
  <c r="J46" i="13"/>
  <c r="I46" i="13"/>
  <c r="F46" i="13"/>
  <c r="D46" i="13"/>
  <c r="C46" i="13"/>
  <c r="B46" i="13"/>
  <c r="J45" i="13"/>
  <c r="I45" i="13"/>
  <c r="F45" i="13"/>
  <c r="D45" i="13"/>
  <c r="C45" i="13"/>
  <c r="B45" i="13"/>
  <c r="I44" i="13"/>
  <c r="J44" i="13" s="1"/>
  <c r="F44" i="13"/>
  <c r="D44" i="13"/>
  <c r="C44" i="13"/>
  <c r="B44" i="13"/>
  <c r="J43" i="13"/>
  <c r="I43" i="13"/>
  <c r="F43" i="13"/>
  <c r="D43" i="13"/>
  <c r="C43" i="13"/>
  <c r="B43" i="13"/>
  <c r="J42" i="13"/>
  <c r="I42" i="13"/>
  <c r="F42" i="13"/>
  <c r="D42" i="13"/>
  <c r="C42" i="13"/>
  <c r="B42" i="13"/>
  <c r="J41" i="13"/>
  <c r="I41" i="13"/>
  <c r="F41" i="13"/>
  <c r="D41" i="13"/>
  <c r="C41" i="13"/>
  <c r="B41" i="13"/>
  <c r="I40" i="13"/>
  <c r="J40" i="13" s="1"/>
  <c r="F40" i="13"/>
  <c r="D40" i="13"/>
  <c r="C40" i="13"/>
  <c r="B40" i="13"/>
  <c r="J39" i="13"/>
  <c r="I39" i="13"/>
  <c r="F39" i="13"/>
  <c r="D39" i="13"/>
  <c r="C39" i="13"/>
  <c r="B39" i="13"/>
  <c r="J38" i="13"/>
  <c r="I38" i="13"/>
  <c r="F38" i="13"/>
  <c r="D38" i="13"/>
  <c r="C38" i="13"/>
  <c r="B38" i="13"/>
  <c r="J37" i="13"/>
  <c r="I37" i="13"/>
  <c r="F37" i="13"/>
  <c r="D37" i="13"/>
  <c r="C37" i="13"/>
  <c r="B37" i="13"/>
  <c r="I36" i="13"/>
  <c r="J36" i="13" s="1"/>
  <c r="F36" i="13"/>
  <c r="D36" i="13"/>
  <c r="C36" i="13"/>
  <c r="B36" i="13"/>
  <c r="J35" i="13"/>
  <c r="I35" i="13"/>
  <c r="F35" i="13"/>
  <c r="D35" i="13"/>
  <c r="C35" i="13"/>
  <c r="B35" i="13"/>
  <c r="J34" i="13"/>
  <c r="I34" i="13"/>
  <c r="F34" i="13"/>
  <c r="D34" i="13"/>
  <c r="C34" i="13"/>
  <c r="B34" i="13"/>
  <c r="J33" i="13"/>
  <c r="I33" i="13"/>
  <c r="F33" i="13"/>
  <c r="D33" i="13"/>
  <c r="C33" i="13"/>
  <c r="B33" i="13"/>
  <c r="I32" i="13"/>
  <c r="J32" i="13" s="1"/>
  <c r="F32" i="13"/>
  <c r="D32" i="13"/>
  <c r="C32" i="13"/>
  <c r="B32" i="13"/>
  <c r="J31" i="13"/>
  <c r="I31" i="13"/>
  <c r="F31" i="13"/>
  <c r="D31" i="13"/>
  <c r="C31" i="13"/>
  <c r="B31" i="13"/>
  <c r="J30" i="13"/>
  <c r="I30" i="13"/>
  <c r="F30" i="13"/>
  <c r="D30" i="13"/>
  <c r="C30" i="13"/>
  <c r="B30" i="13"/>
  <c r="J29" i="13"/>
  <c r="I29" i="13"/>
  <c r="F29" i="13"/>
  <c r="D29" i="13"/>
  <c r="C29" i="13"/>
  <c r="B29" i="13"/>
  <c r="I28" i="13"/>
  <c r="J28" i="13" s="1"/>
  <c r="F28" i="13"/>
  <c r="D28" i="13"/>
  <c r="C28" i="13"/>
  <c r="B28" i="13"/>
  <c r="J27" i="13"/>
  <c r="I27" i="13"/>
  <c r="F27" i="13"/>
  <c r="D27" i="13"/>
  <c r="C27" i="13"/>
  <c r="B27" i="13"/>
  <c r="J26" i="13"/>
  <c r="I26" i="13"/>
  <c r="F26" i="13"/>
  <c r="D26" i="13"/>
  <c r="C26" i="13"/>
  <c r="B26" i="13"/>
  <c r="J25" i="13"/>
  <c r="I25" i="13"/>
  <c r="F25" i="13"/>
  <c r="D25" i="13"/>
  <c r="C25" i="13"/>
  <c r="B25" i="13"/>
  <c r="I24" i="13"/>
  <c r="J24" i="13" s="1"/>
  <c r="F24" i="13"/>
  <c r="D24" i="13"/>
  <c r="C24" i="13"/>
  <c r="B24" i="13"/>
  <c r="J23" i="13"/>
  <c r="I23" i="13"/>
  <c r="F23" i="13"/>
  <c r="D23" i="13"/>
  <c r="C23" i="13"/>
  <c r="B23" i="13"/>
  <c r="J22" i="13"/>
  <c r="I22" i="13"/>
  <c r="F22" i="13"/>
  <c r="D22" i="13"/>
  <c r="C22" i="13"/>
  <c r="B22" i="13"/>
  <c r="J21" i="13"/>
  <c r="I21" i="13"/>
  <c r="F21" i="13"/>
  <c r="D21" i="13"/>
  <c r="C21" i="13"/>
  <c r="B21" i="13"/>
  <c r="I20" i="13"/>
  <c r="J20" i="13" s="1"/>
  <c r="F20" i="13"/>
  <c r="D20" i="13"/>
  <c r="C20" i="13"/>
  <c r="B20" i="13"/>
  <c r="J19" i="13"/>
  <c r="I19" i="13"/>
  <c r="F19" i="13"/>
  <c r="D19" i="13"/>
  <c r="C19" i="13"/>
  <c r="B19" i="13"/>
  <c r="J18" i="13"/>
  <c r="I18" i="13"/>
  <c r="F18" i="13"/>
  <c r="D18" i="13"/>
  <c r="C18" i="13"/>
  <c r="B18" i="13"/>
  <c r="J17" i="13"/>
  <c r="I17" i="13"/>
  <c r="F17" i="13"/>
  <c r="D17" i="13"/>
  <c r="C17" i="13"/>
  <c r="B17" i="13"/>
  <c r="I16" i="13"/>
  <c r="J16" i="13" s="1"/>
  <c r="F16" i="13"/>
  <c r="D16" i="13"/>
  <c r="C16" i="13"/>
  <c r="B16" i="13"/>
  <c r="J15" i="13"/>
  <c r="I15" i="13"/>
  <c r="F15" i="13"/>
  <c r="D15" i="13"/>
  <c r="C15" i="13"/>
  <c r="B15" i="13"/>
  <c r="J14" i="13"/>
  <c r="I14" i="13"/>
  <c r="F14" i="13"/>
  <c r="D14" i="13"/>
  <c r="C14" i="13"/>
  <c r="B14" i="13"/>
  <c r="J13" i="13"/>
  <c r="I13" i="13"/>
  <c r="F13" i="13"/>
  <c r="D13" i="13"/>
  <c r="C13" i="13"/>
  <c r="B13" i="13"/>
  <c r="I12" i="13"/>
  <c r="J12" i="13" s="1"/>
  <c r="F12" i="13"/>
  <c r="D12" i="13"/>
  <c r="C12" i="13"/>
  <c r="B12" i="13"/>
  <c r="J11" i="13"/>
  <c r="I11" i="13"/>
  <c r="F11" i="13"/>
  <c r="D11" i="13"/>
  <c r="C11" i="13"/>
  <c r="B11" i="13"/>
  <c r="J10" i="13"/>
  <c r="I10" i="13"/>
  <c r="F10" i="13"/>
  <c r="D10" i="13"/>
  <c r="C10" i="13"/>
  <c r="B10" i="13"/>
  <c r="J9" i="13"/>
  <c r="I9" i="13"/>
  <c r="F9" i="13"/>
  <c r="D9" i="13"/>
  <c r="C9" i="13"/>
  <c r="B9" i="13"/>
  <c r="A5" i="13"/>
  <c r="G4" i="13"/>
  <c r="D4" i="13"/>
  <c r="A4" i="13"/>
  <c r="K213" i="12"/>
  <c r="I213" i="12"/>
  <c r="J213" i="12" s="1"/>
  <c r="D213" i="12"/>
  <c r="C213" i="12"/>
  <c r="A213" i="12"/>
  <c r="K212" i="12"/>
  <c r="I212" i="12"/>
  <c r="J212" i="12" s="1"/>
  <c r="D212" i="12"/>
  <c r="C212" i="12"/>
  <c r="A212" i="12"/>
  <c r="K211" i="12"/>
  <c r="J211" i="12"/>
  <c r="I211" i="12"/>
  <c r="D211" i="12"/>
  <c r="C211" i="12"/>
  <c r="A211" i="12"/>
  <c r="K210" i="12"/>
  <c r="I210" i="12"/>
  <c r="J210" i="12" s="1"/>
  <c r="D210" i="12"/>
  <c r="C210" i="12"/>
  <c r="A210" i="12"/>
  <c r="K209" i="12"/>
  <c r="I209" i="12"/>
  <c r="J209" i="12" s="1"/>
  <c r="D209" i="12"/>
  <c r="C209" i="12"/>
  <c r="A209" i="12"/>
  <c r="K208" i="12"/>
  <c r="I208" i="12"/>
  <c r="J208" i="12" s="1"/>
  <c r="D208" i="12"/>
  <c r="C208" i="12"/>
  <c r="A208" i="12"/>
  <c r="K207" i="12"/>
  <c r="J207" i="12"/>
  <c r="I207" i="12"/>
  <c r="D207" i="12"/>
  <c r="C207" i="12"/>
  <c r="A207" i="12"/>
  <c r="K206" i="12"/>
  <c r="I206" i="12"/>
  <c r="J206" i="12" s="1"/>
  <c r="D206" i="12"/>
  <c r="C206" i="12"/>
  <c r="A206" i="12"/>
  <c r="K205" i="12"/>
  <c r="I205" i="12"/>
  <c r="J205" i="12" s="1"/>
  <c r="D205" i="12"/>
  <c r="C205" i="12"/>
  <c r="A205" i="12"/>
  <c r="K204" i="12"/>
  <c r="I204" i="12"/>
  <c r="J204" i="12" s="1"/>
  <c r="D204" i="12"/>
  <c r="C204" i="12"/>
  <c r="A204" i="12"/>
  <c r="K203" i="12"/>
  <c r="J203" i="12"/>
  <c r="I203" i="12"/>
  <c r="D203" i="12"/>
  <c r="C203" i="12"/>
  <c r="A203" i="12"/>
  <c r="K202" i="12"/>
  <c r="I202" i="12"/>
  <c r="J202" i="12" s="1"/>
  <c r="D202" i="12"/>
  <c r="C202" i="12"/>
  <c r="A202" i="12"/>
  <c r="K201" i="12"/>
  <c r="I201" i="12"/>
  <c r="J201" i="12" s="1"/>
  <c r="D201" i="12"/>
  <c r="C201" i="12"/>
  <c r="A201" i="12"/>
  <c r="K200" i="12"/>
  <c r="I200" i="12"/>
  <c r="J200" i="12" s="1"/>
  <c r="D200" i="12"/>
  <c r="C200" i="12"/>
  <c r="A200" i="12"/>
  <c r="K199" i="12"/>
  <c r="J199" i="12"/>
  <c r="I199" i="12"/>
  <c r="D199" i="12"/>
  <c r="C199" i="12"/>
  <c r="A199" i="12"/>
  <c r="K198" i="12"/>
  <c r="I198" i="12"/>
  <c r="J198" i="12" s="1"/>
  <c r="D198" i="12"/>
  <c r="C198" i="12"/>
  <c r="A198" i="12"/>
  <c r="K197" i="12"/>
  <c r="I197" i="12"/>
  <c r="J197" i="12" s="1"/>
  <c r="D197" i="12"/>
  <c r="C197" i="12"/>
  <c r="A197" i="12"/>
  <c r="K196" i="12"/>
  <c r="I196" i="12"/>
  <c r="J196" i="12" s="1"/>
  <c r="D196" i="12"/>
  <c r="C196" i="12"/>
  <c r="A196" i="12"/>
  <c r="K195" i="12"/>
  <c r="J195" i="12"/>
  <c r="I195" i="12"/>
  <c r="D195" i="12"/>
  <c r="C195" i="12"/>
  <c r="A195" i="12"/>
  <c r="K194" i="12"/>
  <c r="I194" i="12"/>
  <c r="J194" i="12" s="1"/>
  <c r="D194" i="12"/>
  <c r="C194" i="12"/>
  <c r="A194" i="12"/>
  <c r="K193" i="12"/>
  <c r="I193" i="12"/>
  <c r="J193" i="12" s="1"/>
  <c r="D193" i="12"/>
  <c r="C193" i="12"/>
  <c r="A193" i="12"/>
  <c r="K192" i="12"/>
  <c r="I192" i="12"/>
  <c r="J192" i="12" s="1"/>
  <c r="D192" i="12"/>
  <c r="C192" i="12"/>
  <c r="A192" i="12"/>
  <c r="K191" i="12"/>
  <c r="J191" i="12"/>
  <c r="I191" i="12"/>
  <c r="D191" i="12"/>
  <c r="C191" i="12"/>
  <c r="A191" i="12"/>
  <c r="K190" i="12"/>
  <c r="I190" i="12"/>
  <c r="J190" i="12" s="1"/>
  <c r="D190" i="12"/>
  <c r="C190" i="12"/>
  <c r="A190" i="12"/>
  <c r="K189" i="12"/>
  <c r="I189" i="12"/>
  <c r="J189" i="12" s="1"/>
  <c r="D189" i="12"/>
  <c r="C189" i="12"/>
  <c r="A189" i="12"/>
  <c r="K188" i="12"/>
  <c r="I188" i="12"/>
  <c r="J188" i="12" s="1"/>
  <c r="D188" i="12"/>
  <c r="C188" i="12"/>
  <c r="A188" i="12"/>
  <c r="K187" i="12"/>
  <c r="J187" i="12"/>
  <c r="I187" i="12"/>
  <c r="D187" i="12"/>
  <c r="C187" i="12"/>
  <c r="A187" i="12"/>
  <c r="K186" i="12"/>
  <c r="I186" i="12"/>
  <c r="J186" i="12" s="1"/>
  <c r="D186" i="12"/>
  <c r="C186" i="12"/>
  <c r="A186" i="12"/>
  <c r="K185" i="12"/>
  <c r="I185" i="12"/>
  <c r="J185" i="12" s="1"/>
  <c r="D185" i="12"/>
  <c r="C185" i="12"/>
  <c r="A185" i="12"/>
  <c r="K184" i="12"/>
  <c r="I184" i="12"/>
  <c r="J184" i="12" s="1"/>
  <c r="D184" i="12"/>
  <c r="C184" i="12"/>
  <c r="A184" i="12"/>
  <c r="K183" i="12"/>
  <c r="J183" i="12"/>
  <c r="I183" i="12"/>
  <c r="D183" i="12"/>
  <c r="C183" i="12"/>
  <c r="A183" i="12"/>
  <c r="K182" i="12"/>
  <c r="I182" i="12"/>
  <c r="J182" i="12" s="1"/>
  <c r="D182" i="12"/>
  <c r="C182" i="12"/>
  <c r="A182" i="12"/>
  <c r="K181" i="12"/>
  <c r="I181" i="12"/>
  <c r="J181" i="12" s="1"/>
  <c r="D181" i="12"/>
  <c r="C181" i="12"/>
  <c r="A181" i="12"/>
  <c r="K180" i="12"/>
  <c r="I180" i="12"/>
  <c r="J180" i="12" s="1"/>
  <c r="D180" i="12"/>
  <c r="C180" i="12"/>
  <c r="A180" i="12"/>
  <c r="K179" i="12"/>
  <c r="J179" i="12"/>
  <c r="I179" i="12"/>
  <c r="D179" i="12"/>
  <c r="C179" i="12"/>
  <c r="A179" i="12"/>
  <c r="K178" i="12"/>
  <c r="I178" i="12"/>
  <c r="J178" i="12" s="1"/>
  <c r="D178" i="12"/>
  <c r="C178" i="12"/>
  <c r="A178" i="12"/>
  <c r="K177" i="12"/>
  <c r="I177" i="12"/>
  <c r="J177" i="12" s="1"/>
  <c r="D177" i="12"/>
  <c r="C177" i="12"/>
  <c r="A177" i="12"/>
  <c r="K176" i="12"/>
  <c r="I176" i="12"/>
  <c r="J176" i="12" s="1"/>
  <c r="D176" i="12"/>
  <c r="C176" i="12"/>
  <c r="A176" i="12"/>
  <c r="K175" i="12"/>
  <c r="J175" i="12"/>
  <c r="I175" i="12"/>
  <c r="D175" i="12"/>
  <c r="C175" i="12"/>
  <c r="A175" i="12"/>
  <c r="K174" i="12"/>
  <c r="I174" i="12"/>
  <c r="J174" i="12" s="1"/>
  <c r="D174" i="12"/>
  <c r="C174" i="12"/>
  <c r="A174" i="12"/>
  <c r="K173" i="12"/>
  <c r="I173" i="12"/>
  <c r="J173" i="12" s="1"/>
  <c r="D173" i="12"/>
  <c r="C173" i="12"/>
  <c r="A173" i="12"/>
  <c r="K172" i="12"/>
  <c r="I172" i="12"/>
  <c r="J172" i="12" s="1"/>
  <c r="D172" i="12"/>
  <c r="C172" i="12"/>
  <c r="A172" i="12"/>
  <c r="K171" i="12"/>
  <c r="J171" i="12"/>
  <c r="I171" i="12"/>
  <c r="D171" i="12"/>
  <c r="C171" i="12"/>
  <c r="A171" i="12"/>
  <c r="K170" i="12"/>
  <c r="I170" i="12"/>
  <c r="J170" i="12" s="1"/>
  <c r="D170" i="12"/>
  <c r="C170" i="12"/>
  <c r="A170" i="12"/>
  <c r="K169" i="12"/>
  <c r="I169" i="12"/>
  <c r="J169" i="12" s="1"/>
  <c r="D169" i="12"/>
  <c r="C169" i="12"/>
  <c r="A169" i="12"/>
  <c r="K168" i="12"/>
  <c r="I168" i="12"/>
  <c r="J168" i="12" s="1"/>
  <c r="D168" i="12"/>
  <c r="C168" i="12"/>
  <c r="A168" i="12"/>
  <c r="K167" i="12"/>
  <c r="J167" i="12"/>
  <c r="I167" i="12"/>
  <c r="D167" i="12"/>
  <c r="C167" i="12"/>
  <c r="A167" i="12"/>
  <c r="K166" i="12"/>
  <c r="I166" i="12"/>
  <c r="J166" i="12" s="1"/>
  <c r="D166" i="12"/>
  <c r="C166" i="12"/>
  <c r="A166" i="12"/>
  <c r="K165" i="12"/>
  <c r="I165" i="12"/>
  <c r="J165" i="12" s="1"/>
  <c r="D165" i="12"/>
  <c r="C165" i="12"/>
  <c r="A165" i="12"/>
  <c r="K164" i="12"/>
  <c r="I164" i="12"/>
  <c r="J164" i="12" s="1"/>
  <c r="D164" i="12"/>
  <c r="C164" i="12"/>
  <c r="A164" i="12"/>
  <c r="K163" i="12"/>
  <c r="J163" i="12"/>
  <c r="I163" i="12"/>
  <c r="D163" i="12"/>
  <c r="C163" i="12"/>
  <c r="A163" i="12"/>
  <c r="K162" i="12"/>
  <c r="I162" i="12"/>
  <c r="J162" i="12" s="1"/>
  <c r="D162" i="12"/>
  <c r="C162" i="12"/>
  <c r="A162" i="12"/>
  <c r="K161" i="12"/>
  <c r="I161" i="12"/>
  <c r="J161" i="12" s="1"/>
  <c r="D161" i="12"/>
  <c r="C161" i="12"/>
  <c r="A161" i="12"/>
  <c r="K160" i="12"/>
  <c r="I160" i="12"/>
  <c r="J160" i="12" s="1"/>
  <c r="D160" i="12"/>
  <c r="C160" i="12"/>
  <c r="A160" i="12"/>
  <c r="K159" i="12"/>
  <c r="J159" i="12"/>
  <c r="I159" i="12"/>
  <c r="D159" i="12"/>
  <c r="C159" i="12"/>
  <c r="A159" i="12"/>
  <c r="K158" i="12"/>
  <c r="I158" i="12"/>
  <c r="J158" i="12" s="1"/>
  <c r="D158" i="12"/>
  <c r="C158" i="12"/>
  <c r="A158" i="12"/>
  <c r="K157" i="12"/>
  <c r="I157" i="12"/>
  <c r="J157" i="12" s="1"/>
  <c r="D157" i="12"/>
  <c r="C157" i="12"/>
  <c r="A157" i="12"/>
  <c r="K156" i="12"/>
  <c r="I156" i="12"/>
  <c r="J156" i="12" s="1"/>
  <c r="D156" i="12"/>
  <c r="C156" i="12"/>
  <c r="A156" i="12"/>
  <c r="K155" i="12"/>
  <c r="J155" i="12"/>
  <c r="I155" i="12"/>
  <c r="D155" i="12"/>
  <c r="C155" i="12"/>
  <c r="A155" i="12"/>
  <c r="K154" i="12"/>
  <c r="I154" i="12"/>
  <c r="J154" i="12" s="1"/>
  <c r="D154" i="12"/>
  <c r="C154" i="12"/>
  <c r="A154" i="12"/>
  <c r="K153" i="12"/>
  <c r="I153" i="12"/>
  <c r="J153" i="12" s="1"/>
  <c r="D153" i="12"/>
  <c r="C153" i="12"/>
  <c r="A153" i="12"/>
  <c r="K152" i="12"/>
  <c r="I152" i="12"/>
  <c r="J152" i="12" s="1"/>
  <c r="D152" i="12"/>
  <c r="C152" i="12"/>
  <c r="A152" i="12"/>
  <c r="K151" i="12"/>
  <c r="J151" i="12"/>
  <c r="I151" i="12"/>
  <c r="D151" i="12"/>
  <c r="C151" i="12"/>
  <c r="A151" i="12"/>
  <c r="K150" i="12"/>
  <c r="I150" i="12"/>
  <c r="J150" i="12" s="1"/>
  <c r="D150" i="12"/>
  <c r="C150" i="12"/>
  <c r="A150" i="12"/>
  <c r="K149" i="12"/>
  <c r="I149" i="12"/>
  <c r="J149" i="12" s="1"/>
  <c r="D149" i="12"/>
  <c r="C149" i="12"/>
  <c r="A149" i="12"/>
  <c r="K148" i="12"/>
  <c r="I148" i="12"/>
  <c r="J148" i="12" s="1"/>
  <c r="D148" i="12"/>
  <c r="C148" i="12"/>
  <c r="A148" i="12"/>
  <c r="K147" i="12"/>
  <c r="J147" i="12"/>
  <c r="I147" i="12"/>
  <c r="D147" i="12"/>
  <c r="C147" i="12"/>
  <c r="A147" i="12"/>
  <c r="K146" i="12"/>
  <c r="I146" i="12"/>
  <c r="J146" i="12" s="1"/>
  <c r="D146" i="12"/>
  <c r="C146" i="12"/>
  <c r="A146" i="12"/>
  <c r="K145" i="12"/>
  <c r="I145" i="12"/>
  <c r="J145" i="12" s="1"/>
  <c r="D145" i="12"/>
  <c r="C145" i="12"/>
  <c r="A145" i="12"/>
  <c r="K144" i="12"/>
  <c r="I144" i="12"/>
  <c r="J144" i="12" s="1"/>
  <c r="D144" i="12"/>
  <c r="C144" i="12"/>
  <c r="A144" i="12"/>
  <c r="K143" i="12"/>
  <c r="J143" i="12"/>
  <c r="I143" i="12"/>
  <c r="D143" i="12"/>
  <c r="C143" i="12"/>
  <c r="A143" i="12"/>
  <c r="K142" i="12"/>
  <c r="I142" i="12"/>
  <c r="J142" i="12" s="1"/>
  <c r="D142" i="12"/>
  <c r="C142" i="12"/>
  <c r="A142" i="12"/>
  <c r="K141" i="12"/>
  <c r="I141" i="12"/>
  <c r="J141" i="12" s="1"/>
  <c r="D141" i="12"/>
  <c r="C141" i="12"/>
  <c r="A141" i="12"/>
  <c r="K140" i="12"/>
  <c r="I140" i="12"/>
  <c r="J140" i="12" s="1"/>
  <c r="D140" i="12"/>
  <c r="C140" i="12"/>
  <c r="A140" i="12"/>
  <c r="K139" i="12"/>
  <c r="J139" i="12"/>
  <c r="I139" i="12"/>
  <c r="D139" i="12"/>
  <c r="C139" i="12"/>
  <c r="A139" i="12"/>
  <c r="K138" i="12"/>
  <c r="I138" i="12"/>
  <c r="J138" i="12" s="1"/>
  <c r="D138" i="12"/>
  <c r="C138" i="12"/>
  <c r="A138" i="12"/>
  <c r="K137" i="12"/>
  <c r="I137" i="12"/>
  <c r="J137" i="12" s="1"/>
  <c r="D137" i="12"/>
  <c r="C137" i="12"/>
  <c r="A137" i="12"/>
  <c r="K136" i="12"/>
  <c r="I136" i="12"/>
  <c r="J136" i="12" s="1"/>
  <c r="D136" i="12"/>
  <c r="C136" i="12"/>
  <c r="A136" i="12"/>
  <c r="K135" i="12"/>
  <c r="J135" i="12"/>
  <c r="I135" i="12"/>
  <c r="D135" i="12"/>
  <c r="C135" i="12"/>
  <c r="A135" i="12"/>
  <c r="K134" i="12"/>
  <c r="I134" i="12"/>
  <c r="J134" i="12" s="1"/>
  <c r="D134" i="12"/>
  <c r="C134" i="12"/>
  <c r="A134" i="12"/>
  <c r="K133" i="12"/>
  <c r="I133" i="12"/>
  <c r="J133" i="12" s="1"/>
  <c r="D133" i="12"/>
  <c r="C133" i="12"/>
  <c r="A133" i="12"/>
  <c r="K132" i="12"/>
  <c r="I132" i="12"/>
  <c r="J132" i="12" s="1"/>
  <c r="D132" i="12"/>
  <c r="C132" i="12"/>
  <c r="A132" i="12"/>
  <c r="K131" i="12"/>
  <c r="J131" i="12"/>
  <c r="I131" i="12"/>
  <c r="D131" i="12"/>
  <c r="C131" i="12"/>
  <c r="A131" i="12"/>
  <c r="K130" i="12"/>
  <c r="J130" i="12"/>
  <c r="I130" i="12"/>
  <c r="D130" i="12"/>
  <c r="C130" i="12"/>
  <c r="A130" i="12"/>
  <c r="K129" i="12"/>
  <c r="I129" i="12"/>
  <c r="J129" i="12" s="1"/>
  <c r="D129" i="12"/>
  <c r="C129" i="12"/>
  <c r="A129" i="12"/>
  <c r="K128" i="12"/>
  <c r="I128" i="12"/>
  <c r="J128" i="12" s="1"/>
  <c r="D128" i="12"/>
  <c r="C128" i="12"/>
  <c r="A128" i="12"/>
  <c r="K127" i="12"/>
  <c r="J127" i="12"/>
  <c r="I127" i="12"/>
  <c r="D127" i="12"/>
  <c r="C127" i="12"/>
  <c r="A127" i="12"/>
  <c r="K126" i="12"/>
  <c r="J126" i="12"/>
  <c r="I126" i="12"/>
  <c r="D126" i="12"/>
  <c r="C126" i="12"/>
  <c r="A126" i="12"/>
  <c r="K125" i="12"/>
  <c r="I125" i="12"/>
  <c r="J125" i="12" s="1"/>
  <c r="D125" i="12"/>
  <c r="C125" i="12"/>
  <c r="A125" i="12"/>
  <c r="K124" i="12"/>
  <c r="I124" i="12"/>
  <c r="J124" i="12" s="1"/>
  <c r="D124" i="12"/>
  <c r="C124" i="12"/>
  <c r="A124" i="12"/>
  <c r="K123" i="12"/>
  <c r="J123" i="12"/>
  <c r="I123" i="12"/>
  <c r="D123" i="12"/>
  <c r="C123" i="12"/>
  <c r="A123" i="12"/>
  <c r="K122" i="12"/>
  <c r="I122" i="12"/>
  <c r="J122" i="12" s="1"/>
  <c r="D122" i="12"/>
  <c r="C122" i="12"/>
  <c r="A122" i="12"/>
  <c r="K121" i="12"/>
  <c r="I121" i="12"/>
  <c r="J121" i="12" s="1"/>
  <c r="D121" i="12"/>
  <c r="C121" i="12"/>
  <c r="A121" i="12"/>
  <c r="K120" i="12"/>
  <c r="I120" i="12"/>
  <c r="J120" i="12" s="1"/>
  <c r="D120" i="12"/>
  <c r="C120" i="12"/>
  <c r="A120" i="12"/>
  <c r="K119" i="12"/>
  <c r="J119" i="12"/>
  <c r="I119" i="12"/>
  <c r="D119" i="12"/>
  <c r="C119" i="12"/>
  <c r="A119" i="12"/>
  <c r="K118" i="12"/>
  <c r="I118" i="12"/>
  <c r="J118" i="12" s="1"/>
  <c r="D118" i="12"/>
  <c r="C118" i="12"/>
  <c r="A118" i="12"/>
  <c r="K117" i="12"/>
  <c r="I117" i="12"/>
  <c r="J117" i="12" s="1"/>
  <c r="D117" i="12"/>
  <c r="C117" i="12"/>
  <c r="A117" i="12"/>
  <c r="K116" i="12"/>
  <c r="I116" i="12"/>
  <c r="J116" i="12" s="1"/>
  <c r="D116" i="12"/>
  <c r="C116" i="12"/>
  <c r="A116" i="12"/>
  <c r="K115" i="12"/>
  <c r="J115" i="12"/>
  <c r="I115" i="12"/>
  <c r="D115" i="12"/>
  <c r="C115" i="12"/>
  <c r="A115" i="12"/>
  <c r="K114" i="12"/>
  <c r="J114" i="12"/>
  <c r="I114" i="12"/>
  <c r="D114" i="12"/>
  <c r="C114" i="12"/>
  <c r="A114" i="12"/>
  <c r="K113" i="12"/>
  <c r="I113" i="12"/>
  <c r="J113" i="12" s="1"/>
  <c r="D113" i="12"/>
  <c r="C113" i="12"/>
  <c r="A113" i="12"/>
  <c r="K112" i="12"/>
  <c r="I112" i="12"/>
  <c r="J112" i="12" s="1"/>
  <c r="D112" i="12"/>
  <c r="C112" i="12"/>
  <c r="A112" i="12"/>
  <c r="K111" i="12"/>
  <c r="J111" i="12"/>
  <c r="I111" i="12"/>
  <c r="D111" i="12"/>
  <c r="C111" i="12"/>
  <c r="A111" i="12"/>
  <c r="K110" i="12"/>
  <c r="J110" i="12"/>
  <c r="I110" i="12"/>
  <c r="D110" i="12"/>
  <c r="C110" i="12"/>
  <c r="A110" i="12"/>
  <c r="K109" i="12"/>
  <c r="I109" i="12"/>
  <c r="J109" i="12" s="1"/>
  <c r="D109" i="12"/>
  <c r="C109" i="12"/>
  <c r="A109" i="12"/>
  <c r="K108" i="12"/>
  <c r="I108" i="12"/>
  <c r="J108" i="12" s="1"/>
  <c r="D108" i="12"/>
  <c r="C108" i="12"/>
  <c r="A108" i="12"/>
  <c r="K107" i="12"/>
  <c r="J107" i="12"/>
  <c r="I107" i="12"/>
  <c r="D107" i="12"/>
  <c r="C107" i="12"/>
  <c r="A107" i="12"/>
  <c r="K106" i="12"/>
  <c r="I106" i="12"/>
  <c r="J106" i="12" s="1"/>
  <c r="D106" i="12"/>
  <c r="C106" i="12"/>
  <c r="A106" i="12"/>
  <c r="K105" i="12"/>
  <c r="I105" i="12"/>
  <c r="J105" i="12" s="1"/>
  <c r="D105" i="12"/>
  <c r="C105" i="12"/>
  <c r="A105" i="12"/>
  <c r="K104" i="12"/>
  <c r="I104" i="12"/>
  <c r="J104" i="12" s="1"/>
  <c r="D104" i="12"/>
  <c r="C104" i="12"/>
  <c r="A104" i="12"/>
  <c r="K103" i="12"/>
  <c r="J103" i="12"/>
  <c r="I103" i="12"/>
  <c r="D103" i="12"/>
  <c r="C103" i="12"/>
  <c r="A103" i="12"/>
  <c r="K102" i="12"/>
  <c r="I102" i="12"/>
  <c r="J102" i="12" s="1"/>
  <c r="D102" i="12"/>
  <c r="C102" i="12"/>
  <c r="A102" i="12"/>
  <c r="K101" i="12"/>
  <c r="I101" i="12"/>
  <c r="J101" i="12" s="1"/>
  <c r="D101" i="12"/>
  <c r="C101" i="12"/>
  <c r="A101" i="12"/>
  <c r="K100" i="12"/>
  <c r="I100" i="12"/>
  <c r="J100" i="12" s="1"/>
  <c r="D100" i="12"/>
  <c r="C100" i="12"/>
  <c r="A100" i="12"/>
  <c r="K99" i="12"/>
  <c r="J99" i="12"/>
  <c r="I99" i="12"/>
  <c r="D99" i="12"/>
  <c r="C99" i="12"/>
  <c r="A99" i="12"/>
  <c r="K98" i="12"/>
  <c r="J98" i="12"/>
  <c r="I98" i="12"/>
  <c r="D98" i="12"/>
  <c r="C98" i="12"/>
  <c r="A98" i="12"/>
  <c r="K97" i="12"/>
  <c r="I97" i="12"/>
  <c r="J97" i="12" s="1"/>
  <c r="D97" i="12"/>
  <c r="C97" i="12"/>
  <c r="A97" i="12"/>
  <c r="K96" i="12"/>
  <c r="I96" i="12"/>
  <c r="J96" i="12" s="1"/>
  <c r="D96" i="12"/>
  <c r="C96" i="12"/>
  <c r="A96" i="12"/>
  <c r="K95" i="12"/>
  <c r="J95" i="12"/>
  <c r="I95" i="12"/>
  <c r="D95" i="12"/>
  <c r="C95" i="12"/>
  <c r="A95" i="12"/>
  <c r="K94" i="12"/>
  <c r="J94" i="12"/>
  <c r="I94" i="12"/>
  <c r="D94" i="12"/>
  <c r="C94" i="12"/>
  <c r="A94" i="12"/>
  <c r="K93" i="12"/>
  <c r="I93" i="12"/>
  <c r="J93" i="12" s="1"/>
  <c r="D93" i="12"/>
  <c r="C93" i="12"/>
  <c r="A93" i="12"/>
  <c r="K92" i="12"/>
  <c r="I92" i="12"/>
  <c r="J92" i="12" s="1"/>
  <c r="D92" i="12"/>
  <c r="C92" i="12"/>
  <c r="A92" i="12"/>
  <c r="K91" i="12"/>
  <c r="J91" i="12"/>
  <c r="I91" i="12"/>
  <c r="D91" i="12"/>
  <c r="C91" i="12"/>
  <c r="A91" i="12"/>
  <c r="K90" i="12"/>
  <c r="I90" i="12"/>
  <c r="J90" i="12" s="1"/>
  <c r="D90" i="12"/>
  <c r="C90" i="12"/>
  <c r="A90" i="12"/>
  <c r="K89" i="12"/>
  <c r="I89" i="12"/>
  <c r="J89" i="12" s="1"/>
  <c r="D89" i="12"/>
  <c r="C89" i="12"/>
  <c r="A89" i="12"/>
  <c r="K88" i="12"/>
  <c r="I88" i="12"/>
  <c r="J88" i="12" s="1"/>
  <c r="D88" i="12"/>
  <c r="C88" i="12"/>
  <c r="A88" i="12"/>
  <c r="K87" i="12"/>
  <c r="J87" i="12"/>
  <c r="I87" i="12"/>
  <c r="D87" i="12"/>
  <c r="C87" i="12"/>
  <c r="A87" i="12"/>
  <c r="K86" i="12"/>
  <c r="J86" i="12"/>
  <c r="I86" i="12"/>
  <c r="D86" i="12"/>
  <c r="C86" i="12"/>
  <c r="A86" i="12"/>
  <c r="K85" i="12"/>
  <c r="I85" i="12"/>
  <c r="J85" i="12" s="1"/>
  <c r="D85" i="12"/>
  <c r="C85" i="12"/>
  <c r="A85" i="12"/>
  <c r="K84" i="12"/>
  <c r="I84" i="12"/>
  <c r="J84" i="12" s="1"/>
  <c r="D84" i="12"/>
  <c r="C84" i="12"/>
  <c r="A84" i="12"/>
  <c r="K83" i="12"/>
  <c r="J83" i="12"/>
  <c r="I83" i="12"/>
  <c r="D83" i="12"/>
  <c r="C83" i="12"/>
  <c r="A83" i="12"/>
  <c r="K82" i="12"/>
  <c r="J82" i="12"/>
  <c r="I82" i="12"/>
  <c r="D82" i="12"/>
  <c r="C82" i="12"/>
  <c r="A82" i="12"/>
  <c r="K81" i="12"/>
  <c r="I81" i="12"/>
  <c r="J81" i="12" s="1"/>
  <c r="D81" i="12"/>
  <c r="C81" i="12"/>
  <c r="A81" i="12"/>
  <c r="K80" i="12"/>
  <c r="I80" i="12"/>
  <c r="J80" i="12" s="1"/>
  <c r="D80" i="12"/>
  <c r="C80" i="12"/>
  <c r="A80" i="12"/>
  <c r="K79" i="12"/>
  <c r="J79" i="12"/>
  <c r="I79" i="12"/>
  <c r="D79" i="12"/>
  <c r="C79" i="12"/>
  <c r="A79" i="12"/>
  <c r="K78" i="12"/>
  <c r="J78" i="12"/>
  <c r="I78" i="12"/>
  <c r="D78" i="12"/>
  <c r="C78" i="12"/>
  <c r="A78" i="12"/>
  <c r="K77" i="12"/>
  <c r="I77" i="12"/>
  <c r="J77" i="12" s="1"/>
  <c r="D77" i="12"/>
  <c r="C77" i="12"/>
  <c r="A77" i="12"/>
  <c r="K76" i="12"/>
  <c r="I76" i="12"/>
  <c r="J76" i="12" s="1"/>
  <c r="D76" i="12"/>
  <c r="C76" i="12"/>
  <c r="A76" i="12"/>
  <c r="K75" i="12"/>
  <c r="J75" i="12"/>
  <c r="I75" i="12"/>
  <c r="D75" i="12"/>
  <c r="C75" i="12"/>
  <c r="A75" i="12"/>
  <c r="K74" i="12"/>
  <c r="I74" i="12"/>
  <c r="J74" i="12" s="1"/>
  <c r="D74" i="12"/>
  <c r="C74" i="12"/>
  <c r="A74" i="12"/>
  <c r="K73" i="12"/>
  <c r="I73" i="12"/>
  <c r="J73" i="12" s="1"/>
  <c r="D73" i="12"/>
  <c r="C73" i="12"/>
  <c r="A73" i="12"/>
  <c r="K72" i="12"/>
  <c r="I72" i="12"/>
  <c r="J72" i="12" s="1"/>
  <c r="D72" i="12"/>
  <c r="C72" i="12"/>
  <c r="A72" i="12"/>
  <c r="K71" i="12"/>
  <c r="J71" i="12"/>
  <c r="I71" i="12"/>
  <c r="D71" i="12"/>
  <c r="C71" i="12"/>
  <c r="A71" i="12"/>
  <c r="K70" i="12"/>
  <c r="J70" i="12"/>
  <c r="I70" i="12"/>
  <c r="D70" i="12"/>
  <c r="C70" i="12"/>
  <c r="A70" i="12"/>
  <c r="K69" i="12"/>
  <c r="I69" i="12"/>
  <c r="J69" i="12" s="1"/>
  <c r="D69" i="12"/>
  <c r="C69" i="12"/>
  <c r="A69" i="12"/>
  <c r="K68" i="12"/>
  <c r="I68" i="12"/>
  <c r="J68" i="12" s="1"/>
  <c r="D68" i="12"/>
  <c r="C68" i="12"/>
  <c r="A68" i="12"/>
  <c r="K67" i="12"/>
  <c r="J67" i="12"/>
  <c r="I67" i="12"/>
  <c r="D67" i="12"/>
  <c r="C67" i="12"/>
  <c r="A67" i="12"/>
  <c r="K66" i="12"/>
  <c r="J66" i="12"/>
  <c r="I66" i="12"/>
  <c r="D66" i="12"/>
  <c r="C66" i="12"/>
  <c r="A66" i="12"/>
  <c r="K65" i="12"/>
  <c r="I65" i="12"/>
  <c r="J65" i="12" s="1"/>
  <c r="D65" i="12"/>
  <c r="C65" i="12"/>
  <c r="A65" i="12"/>
  <c r="K64" i="12"/>
  <c r="I64" i="12"/>
  <c r="J64" i="12" s="1"/>
  <c r="D64" i="12"/>
  <c r="C64" i="12"/>
  <c r="A64" i="12"/>
  <c r="K63" i="12"/>
  <c r="J63" i="12"/>
  <c r="I63" i="12"/>
  <c r="D63" i="12"/>
  <c r="C63" i="12"/>
  <c r="A63" i="12"/>
  <c r="K62" i="12"/>
  <c r="J62" i="12"/>
  <c r="I62" i="12"/>
  <c r="D62" i="12"/>
  <c r="C62" i="12"/>
  <c r="A62" i="12"/>
  <c r="K61" i="12"/>
  <c r="I61" i="12"/>
  <c r="J61" i="12" s="1"/>
  <c r="D61" i="12"/>
  <c r="C61" i="12"/>
  <c r="A61" i="12"/>
  <c r="K60" i="12"/>
  <c r="I60" i="12"/>
  <c r="J60" i="12" s="1"/>
  <c r="D60" i="12"/>
  <c r="C60" i="12"/>
  <c r="A60" i="12"/>
  <c r="K59" i="12"/>
  <c r="J59" i="12"/>
  <c r="I59" i="12"/>
  <c r="D59" i="12"/>
  <c r="C59" i="12"/>
  <c r="A59" i="12"/>
  <c r="K58" i="12"/>
  <c r="I58" i="12"/>
  <c r="J58" i="12" s="1"/>
  <c r="D58" i="12"/>
  <c r="C58" i="12"/>
  <c r="A58" i="12"/>
  <c r="K57" i="12"/>
  <c r="I57" i="12"/>
  <c r="J57" i="12" s="1"/>
  <c r="D57" i="12"/>
  <c r="C57" i="12"/>
  <c r="A57" i="12"/>
  <c r="K56" i="12"/>
  <c r="I56" i="12"/>
  <c r="J56" i="12" s="1"/>
  <c r="D56" i="12"/>
  <c r="C56" i="12"/>
  <c r="A56" i="12"/>
  <c r="K55" i="12"/>
  <c r="J55" i="12"/>
  <c r="I55" i="12"/>
  <c r="D55" i="12"/>
  <c r="C55" i="12"/>
  <c r="A55" i="12"/>
  <c r="K54" i="12"/>
  <c r="J54" i="12"/>
  <c r="I54" i="12"/>
  <c r="D54" i="12"/>
  <c r="C54" i="12"/>
  <c r="A54" i="12"/>
  <c r="K53" i="12"/>
  <c r="I53" i="12"/>
  <c r="J53" i="12" s="1"/>
  <c r="D53" i="12"/>
  <c r="C53" i="12"/>
  <c r="A53" i="12"/>
  <c r="K52" i="12"/>
  <c r="I52" i="12"/>
  <c r="J52" i="12" s="1"/>
  <c r="D52" i="12"/>
  <c r="C52" i="12"/>
  <c r="A52" i="12"/>
  <c r="K51" i="12"/>
  <c r="J51" i="12"/>
  <c r="I51" i="12"/>
  <c r="D51" i="12"/>
  <c r="C51" i="12"/>
  <c r="A51" i="12"/>
  <c r="K50" i="12"/>
  <c r="J50" i="12"/>
  <c r="I50" i="12"/>
  <c r="D50" i="12"/>
  <c r="C50" i="12"/>
  <c r="A50" i="12"/>
  <c r="K49" i="12"/>
  <c r="I49" i="12"/>
  <c r="J49" i="12" s="1"/>
  <c r="D49" i="12"/>
  <c r="C49" i="12"/>
  <c r="A49" i="12"/>
  <c r="K48" i="12"/>
  <c r="I48" i="12"/>
  <c r="J48" i="12" s="1"/>
  <c r="D48" i="12"/>
  <c r="C48" i="12"/>
  <c r="A48" i="12"/>
  <c r="K47" i="12"/>
  <c r="J47" i="12"/>
  <c r="I47" i="12"/>
  <c r="D47" i="12"/>
  <c r="C47" i="12"/>
  <c r="A47" i="12"/>
  <c r="K46" i="12"/>
  <c r="J46" i="12"/>
  <c r="I46" i="12"/>
  <c r="D46" i="12"/>
  <c r="C46" i="12"/>
  <c r="A46" i="12"/>
  <c r="K45" i="12"/>
  <c r="I45" i="12"/>
  <c r="J45" i="12" s="1"/>
  <c r="D45" i="12"/>
  <c r="C45" i="12"/>
  <c r="A45" i="12"/>
  <c r="K44" i="12"/>
  <c r="I44" i="12"/>
  <c r="J44" i="12" s="1"/>
  <c r="D44" i="12"/>
  <c r="C44" i="12"/>
  <c r="A44" i="12"/>
  <c r="K43" i="12"/>
  <c r="J43" i="12"/>
  <c r="I43" i="12"/>
  <c r="D43" i="12"/>
  <c r="C43" i="12"/>
  <c r="A43" i="12"/>
  <c r="K42" i="12"/>
  <c r="I42" i="12"/>
  <c r="J42" i="12" s="1"/>
  <c r="D42" i="12"/>
  <c r="C42" i="12"/>
  <c r="A42" i="12"/>
  <c r="K41" i="12"/>
  <c r="I41" i="12"/>
  <c r="J41" i="12" s="1"/>
  <c r="D41" i="12"/>
  <c r="C41" i="12"/>
  <c r="A41" i="12"/>
  <c r="K40" i="12"/>
  <c r="I40" i="12"/>
  <c r="J40" i="12" s="1"/>
  <c r="D40" i="12"/>
  <c r="C40" i="12"/>
  <c r="A40" i="12"/>
  <c r="K39" i="12"/>
  <c r="J39" i="12"/>
  <c r="I39" i="12"/>
  <c r="D39" i="12"/>
  <c r="C39" i="12"/>
  <c r="A39" i="12"/>
  <c r="K38" i="12"/>
  <c r="J38" i="12"/>
  <c r="I38" i="12"/>
  <c r="D38" i="12"/>
  <c r="C38" i="12"/>
  <c r="A38" i="12"/>
  <c r="K37" i="12"/>
  <c r="I37" i="12"/>
  <c r="J37" i="12" s="1"/>
  <c r="D37" i="12"/>
  <c r="C37" i="12"/>
  <c r="A37" i="12"/>
  <c r="K36" i="12"/>
  <c r="I36" i="12"/>
  <c r="J36" i="12" s="1"/>
  <c r="D36" i="12"/>
  <c r="C36" i="12"/>
  <c r="A36" i="12"/>
  <c r="K35" i="12"/>
  <c r="J35" i="12"/>
  <c r="I35" i="12"/>
  <c r="D35" i="12"/>
  <c r="C35" i="12"/>
  <c r="A35" i="12"/>
  <c r="K34" i="12"/>
  <c r="J34" i="12"/>
  <c r="I34" i="12"/>
  <c r="D34" i="12"/>
  <c r="C34" i="12"/>
  <c r="A34" i="12"/>
  <c r="K33" i="12"/>
  <c r="I33" i="12"/>
  <c r="J33" i="12" s="1"/>
  <c r="D33" i="12"/>
  <c r="C33" i="12"/>
  <c r="A33" i="12"/>
  <c r="K32" i="12"/>
  <c r="I32" i="12"/>
  <c r="J32" i="12" s="1"/>
  <c r="D32" i="12"/>
  <c r="C32" i="12"/>
  <c r="A32" i="12"/>
  <c r="K31" i="12"/>
  <c r="J31" i="12"/>
  <c r="I31" i="12"/>
  <c r="D31" i="12"/>
  <c r="C31" i="12"/>
  <c r="A31" i="12"/>
  <c r="K30" i="12"/>
  <c r="J30" i="12"/>
  <c r="I30" i="12"/>
  <c r="D30" i="12"/>
  <c r="C30" i="12"/>
  <c r="A30" i="12"/>
  <c r="K29" i="12"/>
  <c r="I29" i="12"/>
  <c r="J29" i="12" s="1"/>
  <c r="D29" i="12"/>
  <c r="C29" i="12"/>
  <c r="A29" i="12"/>
  <c r="K28" i="12"/>
  <c r="I28" i="12"/>
  <c r="J28" i="12" s="1"/>
  <c r="D28" i="12"/>
  <c r="C28" i="12"/>
  <c r="A28" i="12"/>
  <c r="K27" i="12"/>
  <c r="J27" i="12"/>
  <c r="I27" i="12"/>
  <c r="D27" i="12"/>
  <c r="C27" i="12"/>
  <c r="A27" i="12"/>
  <c r="K26" i="12"/>
  <c r="I26" i="12"/>
  <c r="J26" i="12" s="1"/>
  <c r="D26" i="12"/>
  <c r="C26" i="12"/>
  <c r="A26" i="12"/>
  <c r="K25" i="12"/>
  <c r="I25" i="12"/>
  <c r="J25" i="12" s="1"/>
  <c r="D25" i="12"/>
  <c r="C25" i="12"/>
  <c r="A25" i="12"/>
  <c r="K24" i="12"/>
  <c r="I24" i="12"/>
  <c r="J24" i="12" s="1"/>
  <c r="D24" i="12"/>
  <c r="C24" i="12"/>
  <c r="A24" i="12"/>
  <c r="K23" i="12"/>
  <c r="J23" i="12"/>
  <c r="I23" i="12"/>
  <c r="D23" i="12"/>
  <c r="C23" i="12"/>
  <c r="A23" i="12"/>
  <c r="K22" i="12"/>
  <c r="J22" i="12"/>
  <c r="I22" i="12"/>
  <c r="D22" i="12"/>
  <c r="C22" i="12"/>
  <c r="A22" i="12"/>
  <c r="K21" i="12"/>
  <c r="I21" i="12"/>
  <c r="J21" i="12" s="1"/>
  <c r="D21" i="12"/>
  <c r="C21" i="12"/>
  <c r="A21" i="12"/>
  <c r="K20" i="12"/>
  <c r="I20" i="12"/>
  <c r="J20" i="12" s="1"/>
  <c r="D20" i="12"/>
  <c r="C20" i="12"/>
  <c r="A20" i="12"/>
  <c r="K19" i="12"/>
  <c r="J19" i="12"/>
  <c r="I19" i="12"/>
  <c r="D19" i="12"/>
  <c r="C19" i="12"/>
  <c r="A19" i="12"/>
  <c r="K18" i="12"/>
  <c r="J18" i="12"/>
  <c r="I18" i="12"/>
  <c r="D18" i="12"/>
  <c r="C18" i="12"/>
  <c r="A18" i="12"/>
  <c r="K17" i="12"/>
  <c r="I17" i="12"/>
  <c r="J17" i="12" s="1"/>
  <c r="D17" i="12"/>
  <c r="C17" i="12"/>
  <c r="A17" i="12"/>
  <c r="K16" i="12"/>
  <c r="I16" i="12"/>
  <c r="J16" i="12" s="1"/>
  <c r="D16" i="12"/>
  <c r="C16" i="12"/>
  <c r="A16" i="12"/>
  <c r="K15" i="12"/>
  <c r="J15" i="12"/>
  <c r="I15" i="12"/>
  <c r="D15" i="12"/>
  <c r="C15" i="12"/>
  <c r="A15" i="12"/>
  <c r="K14" i="12"/>
  <c r="J14" i="12"/>
  <c r="I14" i="12"/>
  <c r="D14" i="12"/>
  <c r="C14" i="12"/>
  <c r="A14" i="12"/>
  <c r="B10" i="12"/>
  <c r="B9" i="12"/>
  <c r="B8" i="12"/>
  <c r="K208" i="11"/>
  <c r="J208" i="11"/>
  <c r="G208" i="11"/>
  <c r="D208" i="11"/>
  <c r="C208" i="11"/>
  <c r="B208" i="11"/>
  <c r="J207" i="11"/>
  <c r="K207" i="11" s="1"/>
  <c r="G207" i="11"/>
  <c r="D207" i="11"/>
  <c r="C207" i="11"/>
  <c r="B207" i="11"/>
  <c r="J206" i="11"/>
  <c r="K206" i="11" s="1"/>
  <c r="G206" i="11"/>
  <c r="D206" i="11"/>
  <c r="C206" i="11"/>
  <c r="B206" i="11"/>
  <c r="K205" i="11"/>
  <c r="J205" i="11"/>
  <c r="G205" i="11"/>
  <c r="D205" i="11"/>
  <c r="C205" i="11"/>
  <c r="B205" i="11"/>
  <c r="J204" i="11"/>
  <c r="K204" i="11" s="1"/>
  <c r="G204" i="11"/>
  <c r="D204" i="11"/>
  <c r="C204" i="11"/>
  <c r="B204" i="11"/>
  <c r="J203" i="11"/>
  <c r="K203" i="11" s="1"/>
  <c r="G203" i="11"/>
  <c r="D203" i="11"/>
  <c r="C203" i="11"/>
  <c r="B203" i="11"/>
  <c r="J202" i="11"/>
  <c r="K202" i="11" s="1"/>
  <c r="G202" i="11"/>
  <c r="D202" i="11"/>
  <c r="C202" i="11"/>
  <c r="B202" i="11"/>
  <c r="K201" i="11"/>
  <c r="J201" i="11"/>
  <c r="G201" i="11"/>
  <c r="D201" i="11"/>
  <c r="C201" i="11"/>
  <c r="B201" i="11"/>
  <c r="K200" i="11"/>
  <c r="J200" i="11"/>
  <c r="G200" i="11"/>
  <c r="D200" i="11"/>
  <c r="C200" i="11"/>
  <c r="B200" i="11"/>
  <c r="J199" i="11"/>
  <c r="K199" i="11" s="1"/>
  <c r="G199" i="11"/>
  <c r="D199" i="11"/>
  <c r="C199" i="11"/>
  <c r="B199" i="11"/>
  <c r="J198" i="11"/>
  <c r="K198" i="11" s="1"/>
  <c r="G198" i="11"/>
  <c r="D198" i="11"/>
  <c r="C198" i="11"/>
  <c r="B198" i="11"/>
  <c r="K197" i="11"/>
  <c r="J197" i="11"/>
  <c r="G197" i="11"/>
  <c r="D197" i="11"/>
  <c r="C197" i="11"/>
  <c r="B197" i="11"/>
  <c r="K196" i="11"/>
  <c r="J196" i="11"/>
  <c r="G196" i="11"/>
  <c r="D196" i="11"/>
  <c r="C196" i="11"/>
  <c r="B196" i="11"/>
  <c r="J195" i="11"/>
  <c r="K195" i="11" s="1"/>
  <c r="G195" i="11"/>
  <c r="D195" i="11"/>
  <c r="C195" i="11"/>
  <c r="B195" i="11"/>
  <c r="J194" i="11"/>
  <c r="K194" i="11" s="1"/>
  <c r="G194" i="11"/>
  <c r="D194" i="11"/>
  <c r="C194" i="11"/>
  <c r="B194" i="11"/>
  <c r="K193" i="11"/>
  <c r="J193" i="11"/>
  <c r="G193" i="11"/>
  <c r="D193" i="11"/>
  <c r="C193" i="11"/>
  <c r="B193" i="11"/>
  <c r="K192" i="11"/>
  <c r="J192" i="11"/>
  <c r="G192" i="11"/>
  <c r="D192" i="11"/>
  <c r="C192" i="11"/>
  <c r="B192" i="11"/>
  <c r="J191" i="11"/>
  <c r="K191" i="11" s="1"/>
  <c r="G191" i="11"/>
  <c r="D191" i="11"/>
  <c r="C191" i="11"/>
  <c r="B191" i="11"/>
  <c r="J190" i="11"/>
  <c r="K190" i="11" s="1"/>
  <c r="G190" i="11"/>
  <c r="D190" i="11"/>
  <c r="C190" i="11"/>
  <c r="B190" i="11"/>
  <c r="K189" i="11"/>
  <c r="J189" i="11"/>
  <c r="G189" i="11"/>
  <c r="D189" i="11"/>
  <c r="C189" i="11"/>
  <c r="B189" i="11"/>
  <c r="J188" i="11"/>
  <c r="K188" i="11" s="1"/>
  <c r="G188" i="11"/>
  <c r="D188" i="11"/>
  <c r="C188" i="11"/>
  <c r="B188" i="11"/>
  <c r="J187" i="11"/>
  <c r="K187" i="11" s="1"/>
  <c r="G187" i="11"/>
  <c r="D187" i="11"/>
  <c r="C187" i="11"/>
  <c r="B187" i="11"/>
  <c r="J186" i="11"/>
  <c r="K186" i="11" s="1"/>
  <c r="G186" i="11"/>
  <c r="D186" i="11"/>
  <c r="C186" i="11"/>
  <c r="B186" i="11"/>
  <c r="K185" i="11"/>
  <c r="J185" i="11"/>
  <c r="G185" i="11"/>
  <c r="D185" i="11"/>
  <c r="C185" i="11"/>
  <c r="B185" i="11"/>
  <c r="K184" i="11"/>
  <c r="J184" i="11"/>
  <c r="G184" i="11"/>
  <c r="D184" i="11"/>
  <c r="C184" i="11"/>
  <c r="B184" i="11"/>
  <c r="J183" i="11"/>
  <c r="K183" i="11" s="1"/>
  <c r="G183" i="11"/>
  <c r="D183" i="11"/>
  <c r="C183" i="11"/>
  <c r="B183" i="11"/>
  <c r="J182" i="11"/>
  <c r="K182" i="11" s="1"/>
  <c r="G182" i="11"/>
  <c r="D182" i="11"/>
  <c r="C182" i="11"/>
  <c r="B182" i="11"/>
  <c r="K181" i="11"/>
  <c r="J181" i="11"/>
  <c r="G181" i="11"/>
  <c r="D181" i="11"/>
  <c r="C181" i="11"/>
  <c r="B181" i="11"/>
  <c r="K180" i="11"/>
  <c r="J180" i="11"/>
  <c r="G180" i="11"/>
  <c r="D180" i="11"/>
  <c r="C180" i="11"/>
  <c r="B180" i="11"/>
  <c r="J179" i="11"/>
  <c r="K179" i="11" s="1"/>
  <c r="G179" i="11"/>
  <c r="D179" i="11"/>
  <c r="C179" i="11"/>
  <c r="B179" i="11"/>
  <c r="J178" i="11"/>
  <c r="K178" i="11" s="1"/>
  <c r="G178" i="11"/>
  <c r="D178" i="11"/>
  <c r="C178" i="11"/>
  <c r="B178" i="11"/>
  <c r="K177" i="11"/>
  <c r="J177" i="11"/>
  <c r="G177" i="11"/>
  <c r="D177" i="11"/>
  <c r="C177" i="11"/>
  <c r="B177" i="11"/>
  <c r="K176" i="11"/>
  <c r="J176" i="11"/>
  <c r="G176" i="11"/>
  <c r="D176" i="11"/>
  <c r="C176" i="11"/>
  <c r="B176" i="11"/>
  <c r="J175" i="11"/>
  <c r="K175" i="11" s="1"/>
  <c r="G175" i="11"/>
  <c r="D175" i="11"/>
  <c r="C175" i="11"/>
  <c r="B175" i="11"/>
  <c r="J174" i="11"/>
  <c r="K174" i="11" s="1"/>
  <c r="G174" i="11"/>
  <c r="D174" i="11"/>
  <c r="C174" i="11"/>
  <c r="B174" i="11"/>
  <c r="K173" i="11"/>
  <c r="J173" i="11"/>
  <c r="G173" i="11"/>
  <c r="D173" i="11"/>
  <c r="C173" i="11"/>
  <c r="B173" i="11"/>
  <c r="J172" i="11"/>
  <c r="K172" i="11" s="1"/>
  <c r="G172" i="11"/>
  <c r="D172" i="11"/>
  <c r="C172" i="11"/>
  <c r="B172" i="11"/>
  <c r="J171" i="11"/>
  <c r="K171" i="11" s="1"/>
  <c r="G171" i="11"/>
  <c r="D171" i="11"/>
  <c r="C171" i="11"/>
  <c r="B171" i="11"/>
  <c r="J170" i="11"/>
  <c r="K170" i="11" s="1"/>
  <c r="G170" i="11"/>
  <c r="D170" i="11"/>
  <c r="C170" i="11"/>
  <c r="B170" i="11"/>
  <c r="K169" i="11"/>
  <c r="J169" i="11"/>
  <c r="G169" i="11"/>
  <c r="D169" i="11"/>
  <c r="C169" i="11"/>
  <c r="B169" i="11"/>
  <c r="K168" i="11"/>
  <c r="J168" i="11"/>
  <c r="G168" i="11"/>
  <c r="D168" i="11"/>
  <c r="C168" i="11"/>
  <c r="B168" i="11"/>
  <c r="J167" i="11"/>
  <c r="K167" i="11" s="1"/>
  <c r="G167" i="11"/>
  <c r="D167" i="11"/>
  <c r="C167" i="11"/>
  <c r="B167" i="11"/>
  <c r="J166" i="11"/>
  <c r="K166" i="11" s="1"/>
  <c r="G166" i="11"/>
  <c r="D166" i="11"/>
  <c r="C166" i="11"/>
  <c r="B166" i="11"/>
  <c r="K165" i="11"/>
  <c r="J165" i="11"/>
  <c r="G165" i="11"/>
  <c r="D165" i="11"/>
  <c r="C165" i="11"/>
  <c r="B165" i="11"/>
  <c r="K164" i="11"/>
  <c r="J164" i="11"/>
  <c r="G164" i="11"/>
  <c r="D164" i="11"/>
  <c r="C164" i="11"/>
  <c r="B164" i="11"/>
  <c r="J163" i="11"/>
  <c r="K163" i="11" s="1"/>
  <c r="G163" i="11"/>
  <c r="D163" i="11"/>
  <c r="C163" i="11"/>
  <c r="B163" i="11"/>
  <c r="J162" i="11"/>
  <c r="K162" i="11" s="1"/>
  <c r="G162" i="11"/>
  <c r="D162" i="11"/>
  <c r="C162" i="11"/>
  <c r="B162" i="11"/>
  <c r="K161" i="11"/>
  <c r="J161" i="11"/>
  <c r="G161" i="11"/>
  <c r="D161" i="11"/>
  <c r="C161" i="11"/>
  <c r="B161" i="11"/>
  <c r="K160" i="11"/>
  <c r="J160" i="11"/>
  <c r="G160" i="11"/>
  <c r="D160" i="11"/>
  <c r="C160" i="11"/>
  <c r="B160" i="11"/>
  <c r="J159" i="11"/>
  <c r="K159" i="11" s="1"/>
  <c r="G159" i="11"/>
  <c r="D159" i="11"/>
  <c r="C159" i="11"/>
  <c r="B159" i="11"/>
  <c r="J158" i="11"/>
  <c r="K158" i="11" s="1"/>
  <c r="G158" i="11"/>
  <c r="D158" i="11"/>
  <c r="C158" i="11"/>
  <c r="B158" i="11"/>
  <c r="K157" i="11"/>
  <c r="J157" i="11"/>
  <c r="G157" i="11"/>
  <c r="D157" i="11"/>
  <c r="C157" i="11"/>
  <c r="B157" i="11"/>
  <c r="J156" i="11"/>
  <c r="K156" i="11" s="1"/>
  <c r="G156" i="11"/>
  <c r="D156" i="11"/>
  <c r="C156" i="11"/>
  <c r="B156" i="11"/>
  <c r="J155" i="11"/>
  <c r="K155" i="11" s="1"/>
  <c r="G155" i="11"/>
  <c r="D155" i="11"/>
  <c r="C155" i="11"/>
  <c r="B155" i="11"/>
  <c r="J154" i="11"/>
  <c r="K154" i="11" s="1"/>
  <c r="G154" i="11"/>
  <c r="D154" i="11"/>
  <c r="C154" i="11"/>
  <c r="B154" i="11"/>
  <c r="K153" i="11"/>
  <c r="J153" i="11"/>
  <c r="G153" i="11"/>
  <c r="D153" i="11"/>
  <c r="C153" i="11"/>
  <c r="B153" i="11"/>
  <c r="K152" i="11"/>
  <c r="J152" i="11"/>
  <c r="G152" i="11"/>
  <c r="D152" i="11"/>
  <c r="C152" i="11"/>
  <c r="B152" i="11"/>
  <c r="J151" i="11"/>
  <c r="K151" i="11" s="1"/>
  <c r="G151" i="11"/>
  <c r="D151" i="11"/>
  <c r="C151" i="11"/>
  <c r="B151" i="11"/>
  <c r="J150" i="11"/>
  <c r="K150" i="11" s="1"/>
  <c r="G150" i="11"/>
  <c r="D150" i="11"/>
  <c r="C150" i="11"/>
  <c r="B150" i="11"/>
  <c r="K149" i="11"/>
  <c r="J149" i="11"/>
  <c r="G149" i="11"/>
  <c r="D149" i="11"/>
  <c r="C149" i="11"/>
  <c r="B149" i="11"/>
  <c r="K148" i="11"/>
  <c r="J148" i="11"/>
  <c r="G148" i="11"/>
  <c r="D148" i="11"/>
  <c r="C148" i="11"/>
  <c r="B148" i="11"/>
  <c r="J147" i="11"/>
  <c r="K147" i="11" s="1"/>
  <c r="G147" i="11"/>
  <c r="D147" i="11"/>
  <c r="C147" i="11"/>
  <c r="B147" i="11"/>
  <c r="J146" i="11"/>
  <c r="K146" i="11" s="1"/>
  <c r="G146" i="11"/>
  <c r="D146" i="11"/>
  <c r="C146" i="11"/>
  <c r="B146" i="11"/>
  <c r="K145" i="11"/>
  <c r="J145" i="11"/>
  <c r="G145" i="11"/>
  <c r="D145" i="11"/>
  <c r="C145" i="11"/>
  <c r="B145" i="11"/>
  <c r="K144" i="11"/>
  <c r="J144" i="11"/>
  <c r="G144" i="11"/>
  <c r="D144" i="11"/>
  <c r="C144" i="11"/>
  <c r="B144" i="11"/>
  <c r="J143" i="11"/>
  <c r="K143" i="11" s="1"/>
  <c r="G143" i="11"/>
  <c r="D143" i="11"/>
  <c r="C143" i="11"/>
  <c r="B143" i="11"/>
  <c r="J142" i="11"/>
  <c r="K142" i="11" s="1"/>
  <c r="G142" i="11"/>
  <c r="D142" i="11"/>
  <c r="C142" i="11"/>
  <c r="B142" i="11"/>
  <c r="K141" i="11"/>
  <c r="J141" i="11"/>
  <c r="G141" i="11"/>
  <c r="D141" i="11"/>
  <c r="C141" i="11"/>
  <c r="B141" i="11"/>
  <c r="J140" i="11"/>
  <c r="K140" i="11" s="1"/>
  <c r="G140" i="11"/>
  <c r="D140" i="11"/>
  <c r="C140" i="11"/>
  <c r="B140" i="11"/>
  <c r="J139" i="11"/>
  <c r="K139" i="11" s="1"/>
  <c r="G139" i="11"/>
  <c r="D139" i="11"/>
  <c r="C139" i="11"/>
  <c r="B139" i="11"/>
  <c r="J138" i="11"/>
  <c r="K138" i="11" s="1"/>
  <c r="G138" i="11"/>
  <c r="D138" i="11"/>
  <c r="C138" i="11"/>
  <c r="B138" i="11"/>
  <c r="K137" i="11"/>
  <c r="J137" i="11"/>
  <c r="G137" i="11"/>
  <c r="D137" i="11"/>
  <c r="C137" i="11"/>
  <c r="B137" i="11"/>
  <c r="K136" i="11"/>
  <c r="J136" i="11"/>
  <c r="G136" i="11"/>
  <c r="D136" i="11"/>
  <c r="C136" i="11"/>
  <c r="B136" i="11"/>
  <c r="J135" i="11"/>
  <c r="K135" i="11" s="1"/>
  <c r="G135" i="11"/>
  <c r="D135" i="11"/>
  <c r="C135" i="11"/>
  <c r="B135" i="11"/>
  <c r="J134" i="11"/>
  <c r="K134" i="11" s="1"/>
  <c r="G134" i="11"/>
  <c r="D134" i="11"/>
  <c r="C134" i="11"/>
  <c r="B134" i="11"/>
  <c r="K133" i="11"/>
  <c r="J133" i="11"/>
  <c r="G133" i="11"/>
  <c r="D133" i="11"/>
  <c r="C133" i="11"/>
  <c r="B133" i="11"/>
  <c r="K132" i="11"/>
  <c r="J132" i="11"/>
  <c r="G132" i="11"/>
  <c r="D132" i="11"/>
  <c r="C132" i="11"/>
  <c r="B132" i="11"/>
  <c r="J131" i="11"/>
  <c r="K131" i="11" s="1"/>
  <c r="G131" i="11"/>
  <c r="D131" i="11"/>
  <c r="C131" i="11"/>
  <c r="B131" i="11"/>
  <c r="J130" i="11"/>
  <c r="K130" i="11" s="1"/>
  <c r="G130" i="11"/>
  <c r="D130" i="11"/>
  <c r="C130" i="11"/>
  <c r="B130" i="11"/>
  <c r="K129" i="11"/>
  <c r="J129" i="11"/>
  <c r="G129" i="11"/>
  <c r="D129" i="11"/>
  <c r="C129" i="11"/>
  <c r="B129" i="11"/>
  <c r="K128" i="11"/>
  <c r="J128" i="11"/>
  <c r="G128" i="11"/>
  <c r="D128" i="11"/>
  <c r="C128" i="11"/>
  <c r="B128" i="11"/>
  <c r="J127" i="11"/>
  <c r="K127" i="11" s="1"/>
  <c r="G127" i="11"/>
  <c r="D127" i="11"/>
  <c r="C127" i="11"/>
  <c r="B127" i="11"/>
  <c r="J126" i="11"/>
  <c r="K126" i="11" s="1"/>
  <c r="G126" i="11"/>
  <c r="D126" i="11"/>
  <c r="C126" i="11"/>
  <c r="B126" i="11"/>
  <c r="K125" i="11"/>
  <c r="J125" i="11"/>
  <c r="G125" i="11"/>
  <c r="D125" i="11"/>
  <c r="C125" i="11"/>
  <c r="B125" i="11"/>
  <c r="J124" i="11"/>
  <c r="K124" i="11" s="1"/>
  <c r="G124" i="11"/>
  <c r="D124" i="11"/>
  <c r="C124" i="11"/>
  <c r="B124" i="11"/>
  <c r="J123" i="11"/>
  <c r="K123" i="11" s="1"/>
  <c r="G123" i="11"/>
  <c r="D123" i="11"/>
  <c r="C123" i="11"/>
  <c r="B123" i="11"/>
  <c r="J122" i="11"/>
  <c r="K122" i="11" s="1"/>
  <c r="G122" i="11"/>
  <c r="D122" i="11"/>
  <c r="C122" i="11"/>
  <c r="B122" i="11"/>
  <c r="K121" i="11"/>
  <c r="J121" i="11"/>
  <c r="G121" i="11"/>
  <c r="D121" i="11"/>
  <c r="C121" i="11"/>
  <c r="B121" i="11"/>
  <c r="K120" i="11"/>
  <c r="J120" i="11"/>
  <c r="G120" i="11"/>
  <c r="D120" i="11"/>
  <c r="C120" i="11"/>
  <c r="B120" i="11"/>
  <c r="J119" i="11"/>
  <c r="K119" i="11" s="1"/>
  <c r="G119" i="11"/>
  <c r="D119" i="11"/>
  <c r="C119" i="11"/>
  <c r="B119" i="11"/>
  <c r="J118" i="11"/>
  <c r="K118" i="11" s="1"/>
  <c r="G118" i="11"/>
  <c r="D118" i="11"/>
  <c r="C118" i="11"/>
  <c r="B118" i="11"/>
  <c r="K117" i="11"/>
  <c r="J117" i="11"/>
  <c r="G117" i="11"/>
  <c r="D117" i="11"/>
  <c r="C117" i="11"/>
  <c r="B117" i="11"/>
  <c r="K116" i="11"/>
  <c r="J116" i="11"/>
  <c r="G116" i="11"/>
  <c r="D116" i="11"/>
  <c r="C116" i="11"/>
  <c r="B116" i="11"/>
  <c r="J115" i="11"/>
  <c r="K115" i="11" s="1"/>
  <c r="G115" i="11"/>
  <c r="D115" i="11"/>
  <c r="C115" i="11"/>
  <c r="B115" i="11"/>
  <c r="J114" i="11"/>
  <c r="K114" i="11" s="1"/>
  <c r="G114" i="11"/>
  <c r="D114" i="11"/>
  <c r="C114" i="11"/>
  <c r="B114" i="11"/>
  <c r="K113" i="11"/>
  <c r="J113" i="11"/>
  <c r="G113" i="11"/>
  <c r="D113" i="11"/>
  <c r="C113" i="11"/>
  <c r="B113" i="11"/>
  <c r="K112" i="11"/>
  <c r="J112" i="11"/>
  <c r="G112" i="11"/>
  <c r="D112" i="11"/>
  <c r="C112" i="11"/>
  <c r="B112" i="11"/>
  <c r="J111" i="11"/>
  <c r="K111" i="11" s="1"/>
  <c r="G111" i="11"/>
  <c r="D111" i="11"/>
  <c r="C111" i="11"/>
  <c r="B111" i="11"/>
  <c r="J110" i="11"/>
  <c r="K110" i="11" s="1"/>
  <c r="G110" i="11"/>
  <c r="D110" i="11"/>
  <c r="C110" i="11"/>
  <c r="B110" i="11"/>
  <c r="K109" i="11"/>
  <c r="J109" i="11"/>
  <c r="G109" i="11"/>
  <c r="D109" i="11"/>
  <c r="C109" i="11"/>
  <c r="B109" i="11"/>
  <c r="J108" i="11"/>
  <c r="K108" i="11" s="1"/>
  <c r="G108" i="11"/>
  <c r="D108" i="11"/>
  <c r="C108" i="11"/>
  <c r="B108" i="11"/>
  <c r="J107" i="11"/>
  <c r="K107" i="11" s="1"/>
  <c r="G107" i="11"/>
  <c r="D107" i="11"/>
  <c r="C107" i="11"/>
  <c r="B107" i="11"/>
  <c r="J106" i="11"/>
  <c r="K106" i="11" s="1"/>
  <c r="G106" i="11"/>
  <c r="D106" i="11"/>
  <c r="C106" i="11"/>
  <c r="B106" i="11"/>
  <c r="K105" i="11"/>
  <c r="J105" i="11"/>
  <c r="G105" i="11"/>
  <c r="D105" i="11"/>
  <c r="C105" i="11"/>
  <c r="B105" i="11"/>
  <c r="K104" i="11"/>
  <c r="J104" i="11"/>
  <c r="G104" i="11"/>
  <c r="D104" i="11"/>
  <c r="C104" i="11"/>
  <c r="B104" i="11"/>
  <c r="J103" i="11"/>
  <c r="K103" i="11" s="1"/>
  <c r="G103" i="11"/>
  <c r="D103" i="11"/>
  <c r="C103" i="11"/>
  <c r="B103" i="11"/>
  <c r="J102" i="11"/>
  <c r="K102" i="11" s="1"/>
  <c r="G102" i="11"/>
  <c r="D102" i="11"/>
  <c r="C102" i="11"/>
  <c r="B102" i="11"/>
  <c r="K101" i="11"/>
  <c r="J101" i="11"/>
  <c r="G101" i="11"/>
  <c r="D101" i="11"/>
  <c r="C101" i="11"/>
  <c r="B101" i="11"/>
  <c r="K100" i="11"/>
  <c r="J100" i="11"/>
  <c r="G100" i="11"/>
  <c r="D100" i="11"/>
  <c r="C100" i="11"/>
  <c r="B100" i="11"/>
  <c r="J99" i="11"/>
  <c r="K99" i="11" s="1"/>
  <c r="G99" i="11"/>
  <c r="D99" i="11"/>
  <c r="C99" i="11"/>
  <c r="B99" i="11"/>
  <c r="J98" i="11"/>
  <c r="K98" i="11" s="1"/>
  <c r="G98" i="11"/>
  <c r="D98" i="11"/>
  <c r="C98" i="11"/>
  <c r="B98" i="11"/>
  <c r="K97" i="11"/>
  <c r="J97" i="11"/>
  <c r="G97" i="11"/>
  <c r="D97" i="11"/>
  <c r="C97" i="11"/>
  <c r="B97" i="11"/>
  <c r="K96" i="11"/>
  <c r="J96" i="11"/>
  <c r="G96" i="11"/>
  <c r="D96" i="11"/>
  <c r="C96" i="11"/>
  <c r="B96" i="11"/>
  <c r="J95" i="11"/>
  <c r="K95" i="11" s="1"/>
  <c r="G95" i="11"/>
  <c r="D95" i="11"/>
  <c r="C95" i="11"/>
  <c r="B95" i="11"/>
  <c r="J94" i="11"/>
  <c r="K94" i="11" s="1"/>
  <c r="G94" i="11"/>
  <c r="D94" i="11"/>
  <c r="C94" i="11"/>
  <c r="B94" i="11"/>
  <c r="K93" i="11"/>
  <c r="J93" i="11"/>
  <c r="G93" i="11"/>
  <c r="D93" i="11"/>
  <c r="C93" i="11"/>
  <c r="B93" i="11"/>
  <c r="J92" i="11"/>
  <c r="K92" i="11" s="1"/>
  <c r="G92" i="11"/>
  <c r="D92" i="11"/>
  <c r="C92" i="11"/>
  <c r="B92" i="11"/>
  <c r="J91" i="11"/>
  <c r="K91" i="11" s="1"/>
  <c r="G91" i="11"/>
  <c r="D91" i="11"/>
  <c r="C91" i="11"/>
  <c r="B91" i="11"/>
  <c r="J90" i="11"/>
  <c r="K90" i="11" s="1"/>
  <c r="G90" i="11"/>
  <c r="D90" i="11"/>
  <c r="C90" i="11"/>
  <c r="B90" i="11"/>
  <c r="K89" i="11"/>
  <c r="J89" i="11"/>
  <c r="G89" i="11"/>
  <c r="D89" i="11"/>
  <c r="C89" i="11"/>
  <c r="B89" i="11"/>
  <c r="K88" i="11"/>
  <c r="J88" i="11"/>
  <c r="G88" i="11"/>
  <c r="D88" i="11"/>
  <c r="C88" i="11"/>
  <c r="B88" i="11"/>
  <c r="J87" i="11"/>
  <c r="K87" i="11" s="1"/>
  <c r="G87" i="11"/>
  <c r="D87" i="11"/>
  <c r="C87" i="11"/>
  <c r="B87" i="11"/>
  <c r="J86" i="11"/>
  <c r="K86" i="11" s="1"/>
  <c r="G86" i="11"/>
  <c r="D86" i="11"/>
  <c r="C86" i="11"/>
  <c r="B86" i="11"/>
  <c r="K85" i="11"/>
  <c r="J85" i="11"/>
  <c r="G85" i="11"/>
  <c r="D85" i="11"/>
  <c r="C85" i="11"/>
  <c r="B85" i="11"/>
  <c r="K84" i="11"/>
  <c r="J84" i="11"/>
  <c r="G84" i="11"/>
  <c r="D84" i="11"/>
  <c r="C84" i="11"/>
  <c r="B84" i="11"/>
  <c r="J83" i="11"/>
  <c r="K83" i="11" s="1"/>
  <c r="G83" i="11"/>
  <c r="D83" i="11"/>
  <c r="C83" i="11"/>
  <c r="B83" i="11"/>
  <c r="J82" i="11"/>
  <c r="K82" i="11" s="1"/>
  <c r="G82" i="11"/>
  <c r="D82" i="11"/>
  <c r="C82" i="11"/>
  <c r="B82" i="11"/>
  <c r="K81" i="11"/>
  <c r="J81" i="11"/>
  <c r="G81" i="11"/>
  <c r="D81" i="11"/>
  <c r="C81" i="11"/>
  <c r="B81" i="11"/>
  <c r="K80" i="11"/>
  <c r="J80" i="11"/>
  <c r="G80" i="11"/>
  <c r="D80" i="11"/>
  <c r="C80" i="11"/>
  <c r="B80" i="11"/>
  <c r="J79" i="11"/>
  <c r="K79" i="11" s="1"/>
  <c r="G79" i="11"/>
  <c r="D79" i="11"/>
  <c r="C79" i="11"/>
  <c r="B79" i="11"/>
  <c r="J78" i="11"/>
  <c r="K78" i="11" s="1"/>
  <c r="G78" i="11"/>
  <c r="D78" i="11"/>
  <c r="C78" i="11"/>
  <c r="B78" i="11"/>
  <c r="K77" i="11"/>
  <c r="J77" i="11"/>
  <c r="G77" i="11"/>
  <c r="D77" i="11"/>
  <c r="C77" i="11"/>
  <c r="B77" i="11"/>
  <c r="J76" i="11"/>
  <c r="K76" i="11" s="1"/>
  <c r="G76" i="11"/>
  <c r="D76" i="11"/>
  <c r="C76" i="11"/>
  <c r="B76" i="11"/>
  <c r="J75" i="11"/>
  <c r="K75" i="11" s="1"/>
  <c r="G75" i="11"/>
  <c r="D75" i="11"/>
  <c r="C75" i="11"/>
  <c r="B75" i="11"/>
  <c r="J74" i="11"/>
  <c r="K74" i="11" s="1"/>
  <c r="G74" i="11"/>
  <c r="D74" i="11"/>
  <c r="C74" i="11"/>
  <c r="B74" i="11"/>
  <c r="K73" i="11"/>
  <c r="J73" i="11"/>
  <c r="G73" i="11"/>
  <c r="D73" i="11"/>
  <c r="C73" i="11"/>
  <c r="B73" i="11"/>
  <c r="K72" i="11"/>
  <c r="J72" i="11"/>
  <c r="G72" i="11"/>
  <c r="D72" i="11"/>
  <c r="C72" i="11"/>
  <c r="B72" i="11"/>
  <c r="J71" i="11"/>
  <c r="K71" i="11" s="1"/>
  <c r="G71" i="11"/>
  <c r="D71" i="11"/>
  <c r="C71" i="11"/>
  <c r="B71" i="11"/>
  <c r="J70" i="11"/>
  <c r="K70" i="11" s="1"/>
  <c r="G70" i="11"/>
  <c r="D70" i="11"/>
  <c r="C70" i="11"/>
  <c r="B70" i="11"/>
  <c r="K69" i="11"/>
  <c r="J69" i="11"/>
  <c r="G69" i="11"/>
  <c r="D69" i="11"/>
  <c r="C69" i="11"/>
  <c r="B69" i="11"/>
  <c r="K68" i="11"/>
  <c r="J68" i="11"/>
  <c r="G68" i="11"/>
  <c r="D68" i="11"/>
  <c r="C68" i="11"/>
  <c r="B68" i="11"/>
  <c r="J67" i="11"/>
  <c r="K67" i="11" s="1"/>
  <c r="G67" i="11"/>
  <c r="D67" i="11"/>
  <c r="C67" i="11"/>
  <c r="B67" i="11"/>
  <c r="J66" i="11"/>
  <c r="K66" i="11" s="1"/>
  <c r="G66" i="11"/>
  <c r="D66" i="11"/>
  <c r="C66" i="11"/>
  <c r="B66" i="11"/>
  <c r="K65" i="11"/>
  <c r="J65" i="11"/>
  <c r="G65" i="11"/>
  <c r="D65" i="11"/>
  <c r="C65" i="11"/>
  <c r="B65" i="11"/>
  <c r="K64" i="11"/>
  <c r="J64" i="11"/>
  <c r="G64" i="11"/>
  <c r="D64" i="11"/>
  <c r="C64" i="11"/>
  <c r="B64" i="11"/>
  <c r="J63" i="11"/>
  <c r="K63" i="11" s="1"/>
  <c r="G63" i="11"/>
  <c r="D63" i="11"/>
  <c r="C63" i="11"/>
  <c r="B63" i="11"/>
  <c r="J62" i="11"/>
  <c r="K62" i="11" s="1"/>
  <c r="G62" i="11"/>
  <c r="D62" i="11"/>
  <c r="C62" i="11"/>
  <c r="B62" i="11"/>
  <c r="K61" i="11"/>
  <c r="J61" i="11"/>
  <c r="G61" i="11"/>
  <c r="D61" i="11"/>
  <c r="C61" i="11"/>
  <c r="B61" i="11"/>
  <c r="J60" i="11"/>
  <c r="K60" i="11" s="1"/>
  <c r="G60" i="11"/>
  <c r="D60" i="11"/>
  <c r="C60" i="11"/>
  <c r="B60" i="11"/>
  <c r="J59" i="11"/>
  <c r="K59" i="11" s="1"/>
  <c r="G59" i="11"/>
  <c r="D59" i="11"/>
  <c r="C59" i="11"/>
  <c r="B59" i="11"/>
  <c r="J58" i="11"/>
  <c r="K58" i="11" s="1"/>
  <c r="G58" i="11"/>
  <c r="D58" i="11"/>
  <c r="C58" i="11"/>
  <c r="B58" i="11"/>
  <c r="K57" i="11"/>
  <c r="J57" i="11"/>
  <c r="G57" i="11"/>
  <c r="D57" i="11"/>
  <c r="C57" i="11"/>
  <c r="B57" i="11"/>
  <c r="K56" i="11"/>
  <c r="J56" i="11"/>
  <c r="G56" i="11"/>
  <c r="D56" i="11"/>
  <c r="C56" i="11"/>
  <c r="B56" i="11"/>
  <c r="J55" i="11"/>
  <c r="K55" i="11" s="1"/>
  <c r="G55" i="11"/>
  <c r="D55" i="11"/>
  <c r="C55" i="11"/>
  <c r="B55" i="11"/>
  <c r="J54" i="11"/>
  <c r="K54" i="11" s="1"/>
  <c r="G54" i="11"/>
  <c r="D54" i="11"/>
  <c r="C54" i="11"/>
  <c r="B54" i="11"/>
  <c r="K53" i="11"/>
  <c r="J53" i="11"/>
  <c r="G53" i="11"/>
  <c r="D53" i="11"/>
  <c r="C53" i="11"/>
  <c r="B53" i="11"/>
  <c r="K52" i="11"/>
  <c r="J52" i="11"/>
  <c r="G52" i="11"/>
  <c r="D52" i="11"/>
  <c r="C52" i="11"/>
  <c r="B52" i="11"/>
  <c r="J51" i="11"/>
  <c r="K51" i="11" s="1"/>
  <c r="G51" i="11"/>
  <c r="D51" i="11"/>
  <c r="C51" i="11"/>
  <c r="B51" i="11"/>
  <c r="J50" i="11"/>
  <c r="K50" i="11" s="1"/>
  <c r="G50" i="11"/>
  <c r="D50" i="11"/>
  <c r="C50" i="11"/>
  <c r="B50" i="11"/>
  <c r="K49" i="11"/>
  <c r="J49" i="11"/>
  <c r="G49" i="11"/>
  <c r="D49" i="11"/>
  <c r="C49" i="11"/>
  <c r="B49" i="11"/>
  <c r="K48" i="11"/>
  <c r="J48" i="11"/>
  <c r="G48" i="11"/>
  <c r="D48" i="11"/>
  <c r="C48" i="11"/>
  <c r="B48" i="11"/>
  <c r="J47" i="11"/>
  <c r="K47" i="11" s="1"/>
  <c r="G47" i="11"/>
  <c r="D47" i="11"/>
  <c r="C47" i="11"/>
  <c r="B47" i="11"/>
  <c r="J46" i="11"/>
  <c r="K46" i="11" s="1"/>
  <c r="G46" i="11"/>
  <c r="D46" i="11"/>
  <c r="C46" i="11"/>
  <c r="B46" i="11"/>
  <c r="K45" i="11"/>
  <c r="J45" i="11"/>
  <c r="G45" i="11"/>
  <c r="D45" i="11"/>
  <c r="C45" i="11"/>
  <c r="B45" i="11"/>
  <c r="J44" i="11"/>
  <c r="K44" i="11" s="1"/>
  <c r="G44" i="11"/>
  <c r="D44" i="11"/>
  <c r="C44" i="11"/>
  <c r="B44" i="11"/>
  <c r="J43" i="11"/>
  <c r="K43" i="11" s="1"/>
  <c r="G43" i="11"/>
  <c r="D43" i="11"/>
  <c r="C43" i="11"/>
  <c r="B43" i="11"/>
  <c r="J42" i="11"/>
  <c r="K42" i="11" s="1"/>
  <c r="G42" i="11"/>
  <c r="D42" i="11"/>
  <c r="C42" i="11"/>
  <c r="B42" i="11"/>
  <c r="K41" i="11"/>
  <c r="J41" i="11"/>
  <c r="G41" i="11"/>
  <c r="D41" i="11"/>
  <c r="C41" i="11"/>
  <c r="B41" i="11"/>
  <c r="K40" i="11"/>
  <c r="J40" i="11"/>
  <c r="G40" i="11"/>
  <c r="D40" i="11"/>
  <c r="C40" i="11"/>
  <c r="B40" i="11"/>
  <c r="J39" i="11"/>
  <c r="K39" i="11" s="1"/>
  <c r="G39" i="11"/>
  <c r="D39" i="11"/>
  <c r="C39" i="11"/>
  <c r="B39" i="11"/>
  <c r="J38" i="11"/>
  <c r="K38" i="11" s="1"/>
  <c r="G38" i="11"/>
  <c r="D38" i="11"/>
  <c r="C38" i="11"/>
  <c r="B38" i="11"/>
  <c r="K37" i="11"/>
  <c r="J37" i="11"/>
  <c r="G37" i="11"/>
  <c r="D37" i="11"/>
  <c r="C37" i="11"/>
  <c r="B37" i="11"/>
  <c r="K36" i="11"/>
  <c r="J36" i="11"/>
  <c r="G36" i="11"/>
  <c r="D36" i="11"/>
  <c r="C36" i="11"/>
  <c r="B36" i="11"/>
  <c r="J35" i="11"/>
  <c r="K35" i="11" s="1"/>
  <c r="G35" i="11"/>
  <c r="D35" i="11"/>
  <c r="C35" i="11"/>
  <c r="B35" i="11"/>
  <c r="J34" i="11"/>
  <c r="K34" i="11" s="1"/>
  <c r="G34" i="11"/>
  <c r="D34" i="11"/>
  <c r="C34" i="11"/>
  <c r="B34" i="11"/>
  <c r="K33" i="11"/>
  <c r="J33" i="11"/>
  <c r="G33" i="11"/>
  <c r="D33" i="11"/>
  <c r="C33" i="11"/>
  <c r="B33" i="11"/>
  <c r="K32" i="11"/>
  <c r="J32" i="11"/>
  <c r="G32" i="11"/>
  <c r="D32" i="11"/>
  <c r="C32" i="11"/>
  <c r="B32" i="11"/>
  <c r="J31" i="11"/>
  <c r="K31" i="11" s="1"/>
  <c r="G31" i="11"/>
  <c r="D31" i="11"/>
  <c r="C31" i="11"/>
  <c r="B31" i="11"/>
  <c r="J30" i="11"/>
  <c r="K30" i="11" s="1"/>
  <c r="G30" i="11"/>
  <c r="D30" i="11"/>
  <c r="C30" i="11"/>
  <c r="B30" i="11"/>
  <c r="K29" i="11"/>
  <c r="J29" i="11"/>
  <c r="G29" i="11"/>
  <c r="D29" i="11"/>
  <c r="C29" i="11"/>
  <c r="B29" i="11"/>
  <c r="J28" i="11"/>
  <c r="K28" i="11" s="1"/>
  <c r="G28" i="11"/>
  <c r="D28" i="11"/>
  <c r="C28" i="11"/>
  <c r="B28" i="11"/>
  <c r="J27" i="11"/>
  <c r="K27" i="11" s="1"/>
  <c r="G27" i="11"/>
  <c r="D27" i="11"/>
  <c r="C27" i="11"/>
  <c r="B27" i="11"/>
  <c r="J26" i="11"/>
  <c r="K26" i="11" s="1"/>
  <c r="G26" i="11"/>
  <c r="D26" i="11"/>
  <c r="C26" i="11"/>
  <c r="B26" i="11"/>
  <c r="K25" i="11"/>
  <c r="J25" i="11"/>
  <c r="G25" i="11"/>
  <c r="D25" i="11"/>
  <c r="C25" i="11"/>
  <c r="B25" i="11"/>
  <c r="K24" i="11"/>
  <c r="J24" i="11"/>
  <c r="G24" i="11"/>
  <c r="D24" i="11"/>
  <c r="C24" i="11"/>
  <c r="B24" i="11"/>
  <c r="J23" i="11"/>
  <c r="K23" i="11" s="1"/>
  <c r="G23" i="11"/>
  <c r="D23" i="11"/>
  <c r="C23" i="11"/>
  <c r="B23" i="11"/>
  <c r="J22" i="11"/>
  <c r="K22" i="11" s="1"/>
  <c r="G22" i="11"/>
  <c r="D22" i="11"/>
  <c r="C22" i="11"/>
  <c r="B22" i="11"/>
  <c r="K21" i="11"/>
  <c r="J21" i="11"/>
  <c r="G21" i="11"/>
  <c r="D21" i="11"/>
  <c r="C21" i="11"/>
  <c r="B21" i="11"/>
  <c r="K20" i="11"/>
  <c r="J20" i="11"/>
  <c r="G20" i="11"/>
  <c r="D20" i="11"/>
  <c r="C20" i="11"/>
  <c r="B20" i="11"/>
  <c r="J19" i="11"/>
  <c r="K19" i="11" s="1"/>
  <c r="G19" i="11"/>
  <c r="D19" i="11"/>
  <c r="C19" i="11"/>
  <c r="B19" i="11"/>
  <c r="J18" i="11"/>
  <c r="K18" i="11" s="1"/>
  <c r="G18" i="11"/>
  <c r="D18" i="11"/>
  <c r="C18" i="11"/>
  <c r="B18" i="11"/>
  <c r="K17" i="11"/>
  <c r="J17" i="11"/>
  <c r="G17" i="11"/>
  <c r="D17" i="11"/>
  <c r="C17" i="11"/>
  <c r="B17" i="11"/>
  <c r="K16" i="11"/>
  <c r="J16" i="11"/>
  <c r="G16" i="11"/>
  <c r="D16" i="11"/>
  <c r="C16" i="11"/>
  <c r="B16" i="11"/>
  <c r="J15" i="11"/>
  <c r="K15" i="11" s="1"/>
  <c r="G15" i="11"/>
  <c r="D15" i="11"/>
  <c r="C15" i="11"/>
  <c r="B15" i="11"/>
  <c r="J14" i="11"/>
  <c r="K14" i="11" s="1"/>
  <c r="G14" i="11"/>
  <c r="D14" i="11"/>
  <c r="C14" i="11"/>
  <c r="B14" i="11"/>
  <c r="K13" i="11"/>
  <c r="J13" i="11"/>
  <c r="G13" i="11"/>
  <c r="D13" i="11"/>
  <c r="C13" i="11"/>
  <c r="B13" i="11"/>
  <c r="J12" i="11"/>
  <c r="K12" i="11" s="1"/>
  <c r="G12" i="11"/>
  <c r="D12" i="11"/>
  <c r="C12" i="11"/>
  <c r="B12" i="11"/>
  <c r="J11" i="11"/>
  <c r="K11" i="11" s="1"/>
  <c r="G11" i="11"/>
  <c r="D11" i="11"/>
  <c r="C11" i="11"/>
  <c r="B11" i="11"/>
  <c r="J10" i="11"/>
  <c r="K10" i="11" s="1"/>
  <c r="G10" i="11"/>
  <c r="D10" i="11"/>
  <c r="C10" i="11"/>
  <c r="B10" i="11"/>
  <c r="K9" i="11"/>
  <c r="J9" i="11"/>
  <c r="G9" i="11"/>
  <c r="D9" i="11"/>
  <c r="C9" i="11"/>
  <c r="B9" i="11"/>
  <c r="K4" i="11"/>
  <c r="G4" i="11"/>
  <c r="D4" i="11"/>
  <c r="A4" i="11"/>
  <c r="I208" i="10"/>
  <c r="J208" i="10" s="1"/>
  <c r="F208" i="10"/>
  <c r="D208" i="10"/>
  <c r="C208" i="10"/>
  <c r="B208" i="10"/>
  <c r="J207" i="10"/>
  <c r="I207" i="10"/>
  <c r="F207" i="10"/>
  <c r="D207" i="10"/>
  <c r="C207" i="10"/>
  <c r="B207" i="10"/>
  <c r="J206" i="10"/>
  <c r="I206" i="10"/>
  <c r="F206" i="10"/>
  <c r="D206" i="10"/>
  <c r="C206" i="10"/>
  <c r="B206" i="10"/>
  <c r="I205" i="10"/>
  <c r="J205" i="10" s="1"/>
  <c r="F205" i="10"/>
  <c r="D205" i="10"/>
  <c r="C205" i="10"/>
  <c r="B205" i="10"/>
  <c r="I204" i="10"/>
  <c r="J204" i="10" s="1"/>
  <c r="F204" i="10"/>
  <c r="D204" i="10"/>
  <c r="C204" i="10"/>
  <c r="B204" i="10"/>
  <c r="J203" i="10"/>
  <c r="I203" i="10"/>
  <c r="F203" i="10"/>
  <c r="D203" i="10"/>
  <c r="C203" i="10"/>
  <c r="B203" i="10"/>
  <c r="I202" i="10"/>
  <c r="J202" i="10" s="1"/>
  <c r="F202" i="10"/>
  <c r="D202" i="10"/>
  <c r="C202" i="10"/>
  <c r="B202" i="10"/>
  <c r="I201" i="10"/>
  <c r="J201" i="10" s="1"/>
  <c r="F201" i="10"/>
  <c r="D201" i="10"/>
  <c r="C201" i="10"/>
  <c r="B201" i="10"/>
  <c r="I200" i="10"/>
  <c r="J200" i="10" s="1"/>
  <c r="F200" i="10"/>
  <c r="D200" i="10"/>
  <c r="C200" i="10"/>
  <c r="B200" i="10"/>
  <c r="J199" i="10"/>
  <c r="I199" i="10"/>
  <c r="F199" i="10"/>
  <c r="D199" i="10"/>
  <c r="C199" i="10"/>
  <c r="B199" i="10"/>
  <c r="I198" i="10"/>
  <c r="J198" i="10" s="1"/>
  <c r="F198" i="10"/>
  <c r="D198" i="10"/>
  <c r="C198" i="10"/>
  <c r="B198" i="10"/>
  <c r="I197" i="10"/>
  <c r="J197" i="10" s="1"/>
  <c r="F197" i="10"/>
  <c r="D197" i="10"/>
  <c r="C197" i="10"/>
  <c r="B197" i="10"/>
  <c r="I196" i="10"/>
  <c r="J196" i="10" s="1"/>
  <c r="F196" i="10"/>
  <c r="D196" i="10"/>
  <c r="C196" i="10"/>
  <c r="B196" i="10"/>
  <c r="J195" i="10"/>
  <c r="I195" i="10"/>
  <c r="F195" i="10"/>
  <c r="D195" i="10"/>
  <c r="C195" i="10"/>
  <c r="B195" i="10"/>
  <c r="I194" i="10"/>
  <c r="J194" i="10" s="1"/>
  <c r="F194" i="10"/>
  <c r="D194" i="10"/>
  <c r="C194" i="10"/>
  <c r="B194" i="10"/>
  <c r="I193" i="10"/>
  <c r="J193" i="10" s="1"/>
  <c r="F193" i="10"/>
  <c r="D193" i="10"/>
  <c r="C193" i="10"/>
  <c r="B193" i="10"/>
  <c r="I192" i="10"/>
  <c r="J192" i="10" s="1"/>
  <c r="F192" i="10"/>
  <c r="D192" i="10"/>
  <c r="C192" i="10"/>
  <c r="B192" i="10"/>
  <c r="J191" i="10"/>
  <c r="I191" i="10"/>
  <c r="F191" i="10"/>
  <c r="D191" i="10"/>
  <c r="C191" i="10"/>
  <c r="B191" i="10"/>
  <c r="J190" i="10"/>
  <c r="I190" i="10"/>
  <c r="F190" i="10"/>
  <c r="D190" i="10"/>
  <c r="C190" i="10"/>
  <c r="B190" i="10"/>
  <c r="I189" i="10"/>
  <c r="J189" i="10" s="1"/>
  <c r="F189" i="10"/>
  <c r="D189" i="10"/>
  <c r="C189" i="10"/>
  <c r="B189" i="10"/>
  <c r="I188" i="10"/>
  <c r="J188" i="10" s="1"/>
  <c r="F188" i="10"/>
  <c r="D188" i="10"/>
  <c r="C188" i="10"/>
  <c r="B188" i="10"/>
  <c r="J187" i="10"/>
  <c r="I187" i="10"/>
  <c r="F187" i="10"/>
  <c r="D187" i="10"/>
  <c r="C187" i="10"/>
  <c r="B187" i="10"/>
  <c r="I186" i="10"/>
  <c r="J186" i="10" s="1"/>
  <c r="F186" i="10"/>
  <c r="D186" i="10"/>
  <c r="C186" i="10"/>
  <c r="B186" i="10"/>
  <c r="I185" i="10"/>
  <c r="J185" i="10" s="1"/>
  <c r="F185" i="10"/>
  <c r="D185" i="10"/>
  <c r="C185" i="10"/>
  <c r="B185" i="10"/>
  <c r="I184" i="10"/>
  <c r="J184" i="10" s="1"/>
  <c r="F184" i="10"/>
  <c r="D184" i="10"/>
  <c r="C184" i="10"/>
  <c r="B184" i="10"/>
  <c r="J183" i="10"/>
  <c r="I183" i="10"/>
  <c r="F183" i="10"/>
  <c r="D183" i="10"/>
  <c r="C183" i="10"/>
  <c r="B183" i="10"/>
  <c r="I182" i="10"/>
  <c r="J182" i="10" s="1"/>
  <c r="F182" i="10"/>
  <c r="D182" i="10"/>
  <c r="C182" i="10"/>
  <c r="B182" i="10"/>
  <c r="I181" i="10"/>
  <c r="J181" i="10" s="1"/>
  <c r="F181" i="10"/>
  <c r="D181" i="10"/>
  <c r="C181" i="10"/>
  <c r="B181" i="10"/>
  <c r="I180" i="10"/>
  <c r="J180" i="10" s="1"/>
  <c r="F180" i="10"/>
  <c r="D180" i="10"/>
  <c r="C180" i="10"/>
  <c r="B180" i="10"/>
  <c r="J179" i="10"/>
  <c r="I179" i="10"/>
  <c r="F179" i="10"/>
  <c r="D179" i="10"/>
  <c r="C179" i="10"/>
  <c r="B179" i="10"/>
  <c r="I178" i="10"/>
  <c r="J178" i="10" s="1"/>
  <c r="F178" i="10"/>
  <c r="D178" i="10"/>
  <c r="C178" i="10"/>
  <c r="B178" i="10"/>
  <c r="I177" i="10"/>
  <c r="J177" i="10" s="1"/>
  <c r="F177" i="10"/>
  <c r="D177" i="10"/>
  <c r="C177" i="10"/>
  <c r="B177" i="10"/>
  <c r="I176" i="10"/>
  <c r="J176" i="10" s="1"/>
  <c r="F176" i="10"/>
  <c r="D176" i="10"/>
  <c r="C176" i="10"/>
  <c r="B176" i="10"/>
  <c r="J175" i="10"/>
  <c r="I175" i="10"/>
  <c r="F175" i="10"/>
  <c r="D175" i="10"/>
  <c r="C175" i="10"/>
  <c r="B175" i="10"/>
  <c r="J174" i="10"/>
  <c r="I174" i="10"/>
  <c r="F174" i="10"/>
  <c r="D174" i="10"/>
  <c r="C174" i="10"/>
  <c r="B174" i="10"/>
  <c r="I173" i="10"/>
  <c r="J173" i="10" s="1"/>
  <c r="F173" i="10"/>
  <c r="D173" i="10"/>
  <c r="C173" i="10"/>
  <c r="B173" i="10"/>
  <c r="I172" i="10"/>
  <c r="J172" i="10" s="1"/>
  <c r="F172" i="10"/>
  <c r="D172" i="10"/>
  <c r="C172" i="10"/>
  <c r="B172" i="10"/>
  <c r="J171" i="10"/>
  <c r="I171" i="10"/>
  <c r="F171" i="10"/>
  <c r="D171" i="10"/>
  <c r="C171" i="10"/>
  <c r="B171" i="10"/>
  <c r="I170" i="10"/>
  <c r="J170" i="10" s="1"/>
  <c r="F170" i="10"/>
  <c r="D170" i="10"/>
  <c r="C170" i="10"/>
  <c r="B170" i="10"/>
  <c r="I169" i="10"/>
  <c r="J169" i="10" s="1"/>
  <c r="F169" i="10"/>
  <c r="D169" i="10"/>
  <c r="C169" i="10"/>
  <c r="B169" i="10"/>
  <c r="I168" i="10"/>
  <c r="J168" i="10" s="1"/>
  <c r="F168" i="10"/>
  <c r="D168" i="10"/>
  <c r="C168" i="10"/>
  <c r="B168" i="10"/>
  <c r="J167" i="10"/>
  <c r="I167" i="10"/>
  <c r="F167" i="10"/>
  <c r="D167" i="10"/>
  <c r="C167" i="10"/>
  <c r="B167" i="10"/>
  <c r="I166" i="10"/>
  <c r="J166" i="10" s="1"/>
  <c r="F166" i="10"/>
  <c r="D166" i="10"/>
  <c r="C166" i="10"/>
  <c r="B166" i="10"/>
  <c r="I165" i="10"/>
  <c r="J165" i="10" s="1"/>
  <c r="F165" i="10"/>
  <c r="D165" i="10"/>
  <c r="C165" i="10"/>
  <c r="B165" i="10"/>
  <c r="I164" i="10"/>
  <c r="J164" i="10" s="1"/>
  <c r="F164" i="10"/>
  <c r="D164" i="10"/>
  <c r="C164" i="10"/>
  <c r="B164" i="10"/>
  <c r="J163" i="10"/>
  <c r="I163" i="10"/>
  <c r="F163" i="10"/>
  <c r="D163" i="10"/>
  <c r="C163" i="10"/>
  <c r="B163" i="10"/>
  <c r="J162" i="10"/>
  <c r="I162" i="10"/>
  <c r="F162" i="10"/>
  <c r="D162" i="10"/>
  <c r="C162" i="10"/>
  <c r="B162" i="10"/>
  <c r="I161" i="10"/>
  <c r="J161" i="10" s="1"/>
  <c r="F161" i="10"/>
  <c r="D161" i="10"/>
  <c r="C161" i="10"/>
  <c r="B161" i="10"/>
  <c r="I160" i="10"/>
  <c r="J160" i="10" s="1"/>
  <c r="F160" i="10"/>
  <c r="D160" i="10"/>
  <c r="C160" i="10"/>
  <c r="B160" i="10"/>
  <c r="J159" i="10"/>
  <c r="I159" i="10"/>
  <c r="F159" i="10"/>
  <c r="D159" i="10"/>
  <c r="C159" i="10"/>
  <c r="B159" i="10"/>
  <c r="J158" i="10"/>
  <c r="I158" i="10"/>
  <c r="F158" i="10"/>
  <c r="D158" i="10"/>
  <c r="C158" i="10"/>
  <c r="B158" i="10"/>
  <c r="I157" i="10"/>
  <c r="J157" i="10" s="1"/>
  <c r="F157" i="10"/>
  <c r="D157" i="10"/>
  <c r="C157" i="10"/>
  <c r="B157" i="10"/>
  <c r="I156" i="10"/>
  <c r="J156" i="10" s="1"/>
  <c r="F156" i="10"/>
  <c r="D156" i="10"/>
  <c r="C156" i="10"/>
  <c r="B156" i="10"/>
  <c r="J155" i="10"/>
  <c r="I155" i="10"/>
  <c r="F155" i="10"/>
  <c r="D155" i="10"/>
  <c r="C155" i="10"/>
  <c r="B155" i="10"/>
  <c r="I154" i="10"/>
  <c r="J154" i="10" s="1"/>
  <c r="F154" i="10"/>
  <c r="D154" i="10"/>
  <c r="C154" i="10"/>
  <c r="B154" i="10"/>
  <c r="I153" i="10"/>
  <c r="J153" i="10" s="1"/>
  <c r="F153" i="10"/>
  <c r="D153" i="10"/>
  <c r="C153" i="10"/>
  <c r="B153" i="10"/>
  <c r="I152" i="10"/>
  <c r="J152" i="10" s="1"/>
  <c r="F152" i="10"/>
  <c r="D152" i="10"/>
  <c r="C152" i="10"/>
  <c r="B152" i="10"/>
  <c r="J151" i="10"/>
  <c r="I151" i="10"/>
  <c r="F151" i="10"/>
  <c r="D151" i="10"/>
  <c r="C151" i="10"/>
  <c r="B151" i="10"/>
  <c r="I150" i="10"/>
  <c r="J150" i="10" s="1"/>
  <c r="F150" i="10"/>
  <c r="D150" i="10"/>
  <c r="C150" i="10"/>
  <c r="B150" i="10"/>
  <c r="I149" i="10"/>
  <c r="J149" i="10" s="1"/>
  <c r="F149" i="10"/>
  <c r="D149" i="10"/>
  <c r="C149" i="10"/>
  <c r="B149" i="10"/>
  <c r="I148" i="10"/>
  <c r="J148" i="10" s="1"/>
  <c r="F148" i="10"/>
  <c r="D148" i="10"/>
  <c r="C148" i="10"/>
  <c r="B148" i="10"/>
  <c r="J147" i="10"/>
  <c r="I147" i="10"/>
  <c r="F147" i="10"/>
  <c r="D147" i="10"/>
  <c r="C147" i="10"/>
  <c r="B147" i="10"/>
  <c r="I146" i="10"/>
  <c r="J146" i="10" s="1"/>
  <c r="F146" i="10"/>
  <c r="D146" i="10"/>
  <c r="C146" i="10"/>
  <c r="B146" i="10"/>
  <c r="I145" i="10"/>
  <c r="J145" i="10" s="1"/>
  <c r="F145" i="10"/>
  <c r="D145" i="10"/>
  <c r="C145" i="10"/>
  <c r="B145" i="10"/>
  <c r="I144" i="10"/>
  <c r="J144" i="10" s="1"/>
  <c r="F144" i="10"/>
  <c r="D144" i="10"/>
  <c r="C144" i="10"/>
  <c r="B144" i="10"/>
  <c r="J143" i="10"/>
  <c r="I143" i="10"/>
  <c r="F143" i="10"/>
  <c r="D143" i="10"/>
  <c r="C143" i="10"/>
  <c r="B143" i="10"/>
  <c r="J142" i="10"/>
  <c r="I142" i="10"/>
  <c r="F142" i="10"/>
  <c r="D142" i="10"/>
  <c r="C142" i="10"/>
  <c r="B142" i="10"/>
  <c r="I141" i="10"/>
  <c r="J141" i="10" s="1"/>
  <c r="F141" i="10"/>
  <c r="D141" i="10"/>
  <c r="C141" i="10"/>
  <c r="B141" i="10"/>
  <c r="I140" i="10"/>
  <c r="J140" i="10" s="1"/>
  <c r="F140" i="10"/>
  <c r="D140" i="10"/>
  <c r="C140" i="10"/>
  <c r="B140" i="10"/>
  <c r="J139" i="10"/>
  <c r="I139" i="10"/>
  <c r="F139" i="10"/>
  <c r="D139" i="10"/>
  <c r="C139" i="10"/>
  <c r="B139" i="10"/>
  <c r="I138" i="10"/>
  <c r="J138" i="10" s="1"/>
  <c r="F138" i="10"/>
  <c r="D138" i="10"/>
  <c r="C138" i="10"/>
  <c r="B138" i="10"/>
  <c r="I137" i="10"/>
  <c r="J137" i="10" s="1"/>
  <c r="F137" i="10"/>
  <c r="D137" i="10"/>
  <c r="C137" i="10"/>
  <c r="B137" i="10"/>
  <c r="I136" i="10"/>
  <c r="J136" i="10" s="1"/>
  <c r="F136" i="10"/>
  <c r="D136" i="10"/>
  <c r="C136" i="10"/>
  <c r="B136" i="10"/>
  <c r="J135" i="10"/>
  <c r="I135" i="10"/>
  <c r="F135" i="10"/>
  <c r="D135" i="10"/>
  <c r="C135" i="10"/>
  <c r="B135" i="10"/>
  <c r="I134" i="10"/>
  <c r="J134" i="10" s="1"/>
  <c r="F134" i="10"/>
  <c r="D134" i="10"/>
  <c r="C134" i="10"/>
  <c r="B134" i="10"/>
  <c r="I133" i="10"/>
  <c r="J133" i="10" s="1"/>
  <c r="F133" i="10"/>
  <c r="D133" i="10"/>
  <c r="C133" i="10"/>
  <c r="B133" i="10"/>
  <c r="I132" i="10"/>
  <c r="J132" i="10" s="1"/>
  <c r="F132" i="10"/>
  <c r="D132" i="10"/>
  <c r="C132" i="10"/>
  <c r="B132" i="10"/>
  <c r="J131" i="10"/>
  <c r="I131" i="10"/>
  <c r="F131" i="10"/>
  <c r="D131" i="10"/>
  <c r="C131" i="10"/>
  <c r="B131" i="10"/>
  <c r="I130" i="10"/>
  <c r="J130" i="10" s="1"/>
  <c r="F130" i="10"/>
  <c r="D130" i="10"/>
  <c r="C130" i="10"/>
  <c r="B130" i="10"/>
  <c r="I129" i="10"/>
  <c r="J129" i="10" s="1"/>
  <c r="F129" i="10"/>
  <c r="D129" i="10"/>
  <c r="C129" i="10"/>
  <c r="B129" i="10"/>
  <c r="I128" i="10"/>
  <c r="J128" i="10" s="1"/>
  <c r="F128" i="10"/>
  <c r="D128" i="10"/>
  <c r="C128" i="10"/>
  <c r="B128" i="10"/>
  <c r="J127" i="10"/>
  <c r="I127" i="10"/>
  <c r="F127" i="10"/>
  <c r="D127" i="10"/>
  <c r="C127" i="10"/>
  <c r="B127" i="10"/>
  <c r="J126" i="10"/>
  <c r="I126" i="10"/>
  <c r="F126" i="10"/>
  <c r="D126" i="10"/>
  <c r="C126" i="10"/>
  <c r="B126" i="10"/>
  <c r="I125" i="10"/>
  <c r="J125" i="10" s="1"/>
  <c r="F125" i="10"/>
  <c r="D125" i="10"/>
  <c r="C125" i="10"/>
  <c r="B125" i="10"/>
  <c r="I124" i="10"/>
  <c r="J124" i="10" s="1"/>
  <c r="F124" i="10"/>
  <c r="D124" i="10"/>
  <c r="C124" i="10"/>
  <c r="B124" i="10"/>
  <c r="J123" i="10"/>
  <c r="I123" i="10"/>
  <c r="F123" i="10"/>
  <c r="D123" i="10"/>
  <c r="C123" i="10"/>
  <c r="B123" i="10"/>
  <c r="I122" i="10"/>
  <c r="J122" i="10" s="1"/>
  <c r="F122" i="10"/>
  <c r="D122" i="10"/>
  <c r="C122" i="10"/>
  <c r="B122" i="10"/>
  <c r="I121" i="10"/>
  <c r="J121" i="10" s="1"/>
  <c r="F121" i="10"/>
  <c r="D121" i="10"/>
  <c r="C121" i="10"/>
  <c r="B121" i="10"/>
  <c r="I120" i="10"/>
  <c r="J120" i="10" s="1"/>
  <c r="F120" i="10"/>
  <c r="D120" i="10"/>
  <c r="C120" i="10"/>
  <c r="B120" i="10"/>
  <c r="J119" i="10"/>
  <c r="I119" i="10"/>
  <c r="F119" i="10"/>
  <c r="D119" i="10"/>
  <c r="C119" i="10"/>
  <c r="B119" i="10"/>
  <c r="I118" i="10"/>
  <c r="J118" i="10" s="1"/>
  <c r="F118" i="10"/>
  <c r="D118" i="10"/>
  <c r="C118" i="10"/>
  <c r="B118" i="10"/>
  <c r="I117" i="10"/>
  <c r="J117" i="10" s="1"/>
  <c r="F117" i="10"/>
  <c r="D117" i="10"/>
  <c r="C117" i="10"/>
  <c r="B117" i="10"/>
  <c r="I116" i="10"/>
  <c r="J116" i="10" s="1"/>
  <c r="F116" i="10"/>
  <c r="D116" i="10"/>
  <c r="C116" i="10"/>
  <c r="B116" i="10"/>
  <c r="J115" i="10"/>
  <c r="I115" i="10"/>
  <c r="F115" i="10"/>
  <c r="D115" i="10"/>
  <c r="C115" i="10"/>
  <c r="B115" i="10"/>
  <c r="I114" i="10"/>
  <c r="J114" i="10" s="1"/>
  <c r="F114" i="10"/>
  <c r="D114" i="10"/>
  <c r="C114" i="10"/>
  <c r="B114" i="10"/>
  <c r="I113" i="10"/>
  <c r="J113" i="10" s="1"/>
  <c r="F113" i="10"/>
  <c r="D113" i="10"/>
  <c r="C113" i="10"/>
  <c r="B113" i="10"/>
  <c r="I112" i="10"/>
  <c r="J112" i="10" s="1"/>
  <c r="F112" i="10"/>
  <c r="D112" i="10"/>
  <c r="C112" i="10"/>
  <c r="B112" i="10"/>
  <c r="J111" i="10"/>
  <c r="I111" i="10"/>
  <c r="F111" i="10"/>
  <c r="D111" i="10"/>
  <c r="C111" i="10"/>
  <c r="B111" i="10"/>
  <c r="J110" i="10"/>
  <c r="I110" i="10"/>
  <c r="F110" i="10"/>
  <c r="D110" i="10"/>
  <c r="C110" i="10"/>
  <c r="B110" i="10"/>
  <c r="I109" i="10"/>
  <c r="J109" i="10" s="1"/>
  <c r="F109" i="10"/>
  <c r="D109" i="10"/>
  <c r="C109" i="10"/>
  <c r="B109" i="10"/>
  <c r="I108" i="10"/>
  <c r="J108" i="10" s="1"/>
  <c r="F108" i="10"/>
  <c r="D108" i="10"/>
  <c r="C108" i="10"/>
  <c r="B108" i="10"/>
  <c r="J107" i="10"/>
  <c r="I107" i="10"/>
  <c r="F107" i="10"/>
  <c r="D107" i="10"/>
  <c r="C107" i="10"/>
  <c r="B107" i="10"/>
  <c r="I106" i="10"/>
  <c r="J106" i="10" s="1"/>
  <c r="F106" i="10"/>
  <c r="D106" i="10"/>
  <c r="C106" i="10"/>
  <c r="B106" i="10"/>
  <c r="I105" i="10"/>
  <c r="J105" i="10" s="1"/>
  <c r="F105" i="10"/>
  <c r="D105" i="10"/>
  <c r="C105" i="10"/>
  <c r="B105" i="10"/>
  <c r="I104" i="10"/>
  <c r="J104" i="10" s="1"/>
  <c r="F104" i="10"/>
  <c r="D104" i="10"/>
  <c r="C104" i="10"/>
  <c r="B104" i="10"/>
  <c r="J103" i="10"/>
  <c r="I103" i="10"/>
  <c r="F103" i="10"/>
  <c r="D103" i="10"/>
  <c r="C103" i="10"/>
  <c r="B103" i="10"/>
  <c r="I102" i="10"/>
  <c r="J102" i="10" s="1"/>
  <c r="F102" i="10"/>
  <c r="D102" i="10"/>
  <c r="C102" i="10"/>
  <c r="B102" i="10"/>
  <c r="I101" i="10"/>
  <c r="J101" i="10" s="1"/>
  <c r="F101" i="10"/>
  <c r="D101" i="10"/>
  <c r="C101" i="10"/>
  <c r="B101" i="10"/>
  <c r="I100" i="10"/>
  <c r="J100" i="10" s="1"/>
  <c r="F100" i="10"/>
  <c r="D100" i="10"/>
  <c r="C100" i="10"/>
  <c r="B100" i="10"/>
  <c r="J99" i="10"/>
  <c r="I99" i="10"/>
  <c r="F99" i="10"/>
  <c r="D99" i="10"/>
  <c r="C99" i="10"/>
  <c r="B99" i="10"/>
  <c r="I98" i="10"/>
  <c r="J98" i="10" s="1"/>
  <c r="F98" i="10"/>
  <c r="D98" i="10"/>
  <c r="C98" i="10"/>
  <c r="B98" i="10"/>
  <c r="I97" i="10"/>
  <c r="J97" i="10" s="1"/>
  <c r="F97" i="10"/>
  <c r="D97" i="10"/>
  <c r="C97" i="10"/>
  <c r="B97" i="10"/>
  <c r="I96" i="10"/>
  <c r="J96" i="10" s="1"/>
  <c r="F96" i="10"/>
  <c r="D96" i="10"/>
  <c r="C96" i="10"/>
  <c r="B96" i="10"/>
  <c r="J95" i="10"/>
  <c r="I95" i="10"/>
  <c r="F95" i="10"/>
  <c r="D95" i="10"/>
  <c r="C95" i="10"/>
  <c r="B95" i="10"/>
  <c r="J94" i="10"/>
  <c r="I94" i="10"/>
  <c r="F94" i="10"/>
  <c r="D94" i="10"/>
  <c r="C94" i="10"/>
  <c r="B94" i="10"/>
  <c r="I93" i="10"/>
  <c r="J93" i="10" s="1"/>
  <c r="F93" i="10"/>
  <c r="D93" i="10"/>
  <c r="C93" i="10"/>
  <c r="B93" i="10"/>
  <c r="I92" i="10"/>
  <c r="J92" i="10" s="1"/>
  <c r="F92" i="10"/>
  <c r="D92" i="10"/>
  <c r="C92" i="10"/>
  <c r="B92" i="10"/>
  <c r="J91" i="10"/>
  <c r="I91" i="10"/>
  <c r="F91" i="10"/>
  <c r="D91" i="10"/>
  <c r="C91" i="10"/>
  <c r="B91" i="10"/>
  <c r="I90" i="10"/>
  <c r="J90" i="10" s="1"/>
  <c r="F90" i="10"/>
  <c r="D90" i="10"/>
  <c r="C90" i="10"/>
  <c r="B90" i="10"/>
  <c r="I89" i="10"/>
  <c r="J89" i="10" s="1"/>
  <c r="F89" i="10"/>
  <c r="D89" i="10"/>
  <c r="C89" i="10"/>
  <c r="B89" i="10"/>
  <c r="I88" i="10"/>
  <c r="J88" i="10" s="1"/>
  <c r="F88" i="10"/>
  <c r="D88" i="10"/>
  <c r="C88" i="10"/>
  <c r="B88" i="10"/>
  <c r="J87" i="10"/>
  <c r="I87" i="10"/>
  <c r="F87" i="10"/>
  <c r="D87" i="10"/>
  <c r="C87" i="10"/>
  <c r="B87" i="10"/>
  <c r="I86" i="10"/>
  <c r="J86" i="10" s="1"/>
  <c r="F86" i="10"/>
  <c r="D86" i="10"/>
  <c r="C86" i="10"/>
  <c r="B86" i="10"/>
  <c r="I85" i="10"/>
  <c r="J85" i="10" s="1"/>
  <c r="F85" i="10"/>
  <c r="D85" i="10"/>
  <c r="C85" i="10"/>
  <c r="B85" i="10"/>
  <c r="I84" i="10"/>
  <c r="J84" i="10" s="1"/>
  <c r="F84" i="10"/>
  <c r="D84" i="10"/>
  <c r="C84" i="10"/>
  <c r="B84" i="10"/>
  <c r="J83" i="10"/>
  <c r="I83" i="10"/>
  <c r="F83" i="10"/>
  <c r="D83" i="10"/>
  <c r="C83" i="10"/>
  <c r="B83" i="10"/>
  <c r="I82" i="10"/>
  <c r="J82" i="10" s="1"/>
  <c r="F82" i="10"/>
  <c r="D82" i="10"/>
  <c r="C82" i="10"/>
  <c r="B82" i="10"/>
  <c r="I81" i="10"/>
  <c r="J81" i="10" s="1"/>
  <c r="F81" i="10"/>
  <c r="D81" i="10"/>
  <c r="C81" i="10"/>
  <c r="B81" i="10"/>
  <c r="I80" i="10"/>
  <c r="J80" i="10" s="1"/>
  <c r="F80" i="10"/>
  <c r="D80" i="10"/>
  <c r="C80" i="10"/>
  <c r="B80" i="10"/>
  <c r="J79" i="10"/>
  <c r="I79" i="10"/>
  <c r="F79" i="10"/>
  <c r="D79" i="10"/>
  <c r="C79" i="10"/>
  <c r="B79" i="10"/>
  <c r="J78" i="10"/>
  <c r="I78" i="10"/>
  <c r="F78" i="10"/>
  <c r="D78" i="10"/>
  <c r="C78" i="10"/>
  <c r="B78" i="10"/>
  <c r="I77" i="10"/>
  <c r="J77" i="10" s="1"/>
  <c r="F77" i="10"/>
  <c r="D77" i="10"/>
  <c r="C77" i="10"/>
  <c r="B77" i="10"/>
  <c r="I76" i="10"/>
  <c r="J76" i="10" s="1"/>
  <c r="F76" i="10"/>
  <c r="D76" i="10"/>
  <c r="C76" i="10"/>
  <c r="B76" i="10"/>
  <c r="J75" i="10"/>
  <c r="I75" i="10"/>
  <c r="F75" i="10"/>
  <c r="D75" i="10"/>
  <c r="C75" i="10"/>
  <c r="B75" i="10"/>
  <c r="I74" i="10"/>
  <c r="J74" i="10" s="1"/>
  <c r="F74" i="10"/>
  <c r="D74" i="10"/>
  <c r="C74" i="10"/>
  <c r="B74" i="10"/>
  <c r="I73" i="10"/>
  <c r="J73" i="10" s="1"/>
  <c r="F73" i="10"/>
  <c r="D73" i="10"/>
  <c r="C73" i="10"/>
  <c r="B73" i="10"/>
  <c r="I72" i="10"/>
  <c r="J72" i="10" s="1"/>
  <c r="F72" i="10"/>
  <c r="D72" i="10"/>
  <c r="C72" i="10"/>
  <c r="B72" i="10"/>
  <c r="J71" i="10"/>
  <c r="I71" i="10"/>
  <c r="F71" i="10"/>
  <c r="D71" i="10"/>
  <c r="C71" i="10"/>
  <c r="B71" i="10"/>
  <c r="I70" i="10"/>
  <c r="J70" i="10" s="1"/>
  <c r="F70" i="10"/>
  <c r="D70" i="10"/>
  <c r="C70" i="10"/>
  <c r="B70" i="10"/>
  <c r="I69" i="10"/>
  <c r="J69" i="10" s="1"/>
  <c r="F69" i="10"/>
  <c r="D69" i="10"/>
  <c r="C69" i="10"/>
  <c r="B69" i="10"/>
  <c r="I68" i="10"/>
  <c r="J68" i="10" s="1"/>
  <c r="F68" i="10"/>
  <c r="D68" i="10"/>
  <c r="C68" i="10"/>
  <c r="B68" i="10"/>
  <c r="J67" i="10"/>
  <c r="I67" i="10"/>
  <c r="F67" i="10"/>
  <c r="D67" i="10"/>
  <c r="C67" i="10"/>
  <c r="B67" i="10"/>
  <c r="I66" i="10"/>
  <c r="J66" i="10" s="1"/>
  <c r="F66" i="10"/>
  <c r="D66" i="10"/>
  <c r="C66" i="10"/>
  <c r="B66" i="10"/>
  <c r="I65" i="10"/>
  <c r="J65" i="10" s="1"/>
  <c r="F65" i="10"/>
  <c r="D65" i="10"/>
  <c r="C65" i="10"/>
  <c r="B65" i="10"/>
  <c r="I64" i="10"/>
  <c r="J64" i="10" s="1"/>
  <c r="F64" i="10"/>
  <c r="D64" i="10"/>
  <c r="C64" i="10"/>
  <c r="B64" i="10"/>
  <c r="J63" i="10"/>
  <c r="I63" i="10"/>
  <c r="F63" i="10"/>
  <c r="D63" i="10"/>
  <c r="C63" i="10"/>
  <c r="B63" i="10"/>
  <c r="J62" i="10"/>
  <c r="I62" i="10"/>
  <c r="F62" i="10"/>
  <c r="D62" i="10"/>
  <c r="C62" i="10"/>
  <c r="B62" i="10"/>
  <c r="I61" i="10"/>
  <c r="J61" i="10" s="1"/>
  <c r="F61" i="10"/>
  <c r="D61" i="10"/>
  <c r="C61" i="10"/>
  <c r="B61" i="10"/>
  <c r="I60" i="10"/>
  <c r="J60" i="10" s="1"/>
  <c r="F60" i="10"/>
  <c r="D60" i="10"/>
  <c r="C60" i="10"/>
  <c r="B60" i="10"/>
  <c r="J59" i="10"/>
  <c r="I59" i="10"/>
  <c r="F59" i="10"/>
  <c r="D59" i="10"/>
  <c r="C59" i="10"/>
  <c r="B59" i="10"/>
  <c r="I58" i="10"/>
  <c r="J58" i="10" s="1"/>
  <c r="F58" i="10"/>
  <c r="D58" i="10"/>
  <c r="C58" i="10"/>
  <c r="B58" i="10"/>
  <c r="I57" i="10"/>
  <c r="J57" i="10" s="1"/>
  <c r="F57" i="10"/>
  <c r="D57" i="10"/>
  <c r="C57" i="10"/>
  <c r="B57" i="10"/>
  <c r="I56" i="10"/>
  <c r="J56" i="10" s="1"/>
  <c r="F56" i="10"/>
  <c r="D56" i="10"/>
  <c r="C56" i="10"/>
  <c r="B56" i="10"/>
  <c r="J55" i="10"/>
  <c r="I55" i="10"/>
  <c r="F55" i="10"/>
  <c r="D55" i="10"/>
  <c r="C55" i="10"/>
  <c r="B55" i="10"/>
  <c r="I54" i="10"/>
  <c r="J54" i="10" s="1"/>
  <c r="F54" i="10"/>
  <c r="D54" i="10"/>
  <c r="C54" i="10"/>
  <c r="B54" i="10"/>
  <c r="I53" i="10"/>
  <c r="J53" i="10" s="1"/>
  <c r="F53" i="10"/>
  <c r="D53" i="10"/>
  <c r="C53" i="10"/>
  <c r="B53" i="10"/>
  <c r="I52" i="10"/>
  <c r="J52" i="10" s="1"/>
  <c r="F52" i="10"/>
  <c r="D52" i="10"/>
  <c r="C52" i="10"/>
  <c r="B52" i="10"/>
  <c r="J51" i="10"/>
  <c r="I51" i="10"/>
  <c r="F51" i="10"/>
  <c r="D51" i="10"/>
  <c r="C51" i="10"/>
  <c r="B51" i="10"/>
  <c r="I50" i="10"/>
  <c r="J50" i="10" s="1"/>
  <c r="F50" i="10"/>
  <c r="D50" i="10"/>
  <c r="C50" i="10"/>
  <c r="B50" i="10"/>
  <c r="I49" i="10"/>
  <c r="J49" i="10" s="1"/>
  <c r="F49" i="10"/>
  <c r="D49" i="10"/>
  <c r="C49" i="10"/>
  <c r="B49" i="10"/>
  <c r="I48" i="10"/>
  <c r="J48" i="10" s="1"/>
  <c r="F48" i="10"/>
  <c r="D48" i="10"/>
  <c r="C48" i="10"/>
  <c r="B48" i="10"/>
  <c r="J47" i="10"/>
  <c r="I47" i="10"/>
  <c r="F47" i="10"/>
  <c r="D47" i="10"/>
  <c r="C47" i="10"/>
  <c r="B47" i="10"/>
  <c r="J46" i="10"/>
  <c r="I46" i="10"/>
  <c r="F46" i="10"/>
  <c r="D46" i="10"/>
  <c r="C46" i="10"/>
  <c r="B46" i="10"/>
  <c r="I45" i="10"/>
  <c r="J45" i="10" s="1"/>
  <c r="F45" i="10"/>
  <c r="D45" i="10"/>
  <c r="C45" i="10"/>
  <c r="B45" i="10"/>
  <c r="I44" i="10"/>
  <c r="J44" i="10" s="1"/>
  <c r="F44" i="10"/>
  <c r="D44" i="10"/>
  <c r="C44" i="10"/>
  <c r="B44" i="10"/>
  <c r="J43" i="10"/>
  <c r="I43" i="10"/>
  <c r="F43" i="10"/>
  <c r="D43" i="10"/>
  <c r="C43" i="10"/>
  <c r="B43" i="10"/>
  <c r="I42" i="10"/>
  <c r="J42" i="10" s="1"/>
  <c r="F42" i="10"/>
  <c r="D42" i="10"/>
  <c r="C42" i="10"/>
  <c r="B42" i="10"/>
  <c r="I41" i="10"/>
  <c r="J41" i="10" s="1"/>
  <c r="F41" i="10"/>
  <c r="D41" i="10"/>
  <c r="C41" i="10"/>
  <c r="B41" i="10"/>
  <c r="I40" i="10"/>
  <c r="J40" i="10" s="1"/>
  <c r="F40" i="10"/>
  <c r="D40" i="10"/>
  <c r="C40" i="10"/>
  <c r="B40" i="10"/>
  <c r="J39" i="10"/>
  <c r="I39" i="10"/>
  <c r="F39" i="10"/>
  <c r="D39" i="10"/>
  <c r="C39" i="10"/>
  <c r="B39" i="10"/>
  <c r="I38" i="10"/>
  <c r="J38" i="10" s="1"/>
  <c r="F38" i="10"/>
  <c r="D38" i="10"/>
  <c r="C38" i="10"/>
  <c r="B38" i="10"/>
  <c r="I37" i="10"/>
  <c r="J37" i="10" s="1"/>
  <c r="F37" i="10"/>
  <c r="D37" i="10"/>
  <c r="C37" i="10"/>
  <c r="B37" i="10"/>
  <c r="I36" i="10"/>
  <c r="J36" i="10" s="1"/>
  <c r="F36" i="10"/>
  <c r="D36" i="10"/>
  <c r="C36" i="10"/>
  <c r="B36" i="10"/>
  <c r="J35" i="10"/>
  <c r="I35" i="10"/>
  <c r="F35" i="10"/>
  <c r="D35" i="10"/>
  <c r="C35" i="10"/>
  <c r="B35" i="10"/>
  <c r="I34" i="10"/>
  <c r="J34" i="10" s="1"/>
  <c r="F34" i="10"/>
  <c r="D34" i="10"/>
  <c r="C34" i="10"/>
  <c r="B34" i="10"/>
  <c r="I33" i="10"/>
  <c r="J33" i="10" s="1"/>
  <c r="F33" i="10"/>
  <c r="D33" i="10"/>
  <c r="C33" i="10"/>
  <c r="B33" i="10"/>
  <c r="I32" i="10"/>
  <c r="J32" i="10" s="1"/>
  <c r="F32" i="10"/>
  <c r="D32" i="10"/>
  <c r="C32" i="10"/>
  <c r="B32" i="10"/>
  <c r="J31" i="10"/>
  <c r="I31" i="10"/>
  <c r="F31" i="10"/>
  <c r="D31" i="10"/>
  <c r="C31" i="10"/>
  <c r="B31" i="10"/>
  <c r="J30" i="10"/>
  <c r="I30" i="10"/>
  <c r="F30" i="10"/>
  <c r="D30" i="10"/>
  <c r="C30" i="10"/>
  <c r="B30" i="10"/>
  <c r="I29" i="10"/>
  <c r="J29" i="10" s="1"/>
  <c r="F29" i="10"/>
  <c r="D29" i="10"/>
  <c r="C29" i="10"/>
  <c r="B29" i="10"/>
  <c r="I28" i="10"/>
  <c r="J28" i="10" s="1"/>
  <c r="F28" i="10"/>
  <c r="D28" i="10"/>
  <c r="C28" i="10"/>
  <c r="B28" i="10"/>
  <c r="J27" i="10"/>
  <c r="I27" i="10"/>
  <c r="F27" i="10"/>
  <c r="D27" i="10"/>
  <c r="C27" i="10"/>
  <c r="B27" i="10"/>
  <c r="I26" i="10"/>
  <c r="J26" i="10" s="1"/>
  <c r="F26" i="10"/>
  <c r="D26" i="10"/>
  <c r="C26" i="10"/>
  <c r="B26" i="10"/>
  <c r="I25" i="10"/>
  <c r="J25" i="10" s="1"/>
  <c r="F25" i="10"/>
  <c r="D25" i="10"/>
  <c r="C25" i="10"/>
  <c r="B25" i="10"/>
  <c r="I24" i="10"/>
  <c r="J24" i="10" s="1"/>
  <c r="F24" i="10"/>
  <c r="D24" i="10"/>
  <c r="C24" i="10"/>
  <c r="B24" i="10"/>
  <c r="J23" i="10"/>
  <c r="I23" i="10"/>
  <c r="F23" i="10"/>
  <c r="D23" i="10"/>
  <c r="C23" i="10"/>
  <c r="B23" i="10"/>
  <c r="I22" i="10"/>
  <c r="J22" i="10" s="1"/>
  <c r="F22" i="10"/>
  <c r="D22" i="10"/>
  <c r="C22" i="10"/>
  <c r="B22" i="10"/>
  <c r="I21" i="10"/>
  <c r="J21" i="10" s="1"/>
  <c r="F21" i="10"/>
  <c r="D21" i="10"/>
  <c r="C21" i="10"/>
  <c r="B21" i="10"/>
  <c r="I20" i="10"/>
  <c r="J20" i="10" s="1"/>
  <c r="F20" i="10"/>
  <c r="D20" i="10"/>
  <c r="C20" i="10"/>
  <c r="B20" i="10"/>
  <c r="J19" i="10"/>
  <c r="I19" i="10"/>
  <c r="F19" i="10"/>
  <c r="D19" i="10"/>
  <c r="C19" i="10"/>
  <c r="B19" i="10"/>
  <c r="I18" i="10"/>
  <c r="J18" i="10" s="1"/>
  <c r="F18" i="10"/>
  <c r="D18" i="10"/>
  <c r="C18" i="10"/>
  <c r="B18" i="10"/>
  <c r="I17" i="10"/>
  <c r="J17" i="10" s="1"/>
  <c r="F17" i="10"/>
  <c r="D17" i="10"/>
  <c r="C17" i="10"/>
  <c r="B17" i="10"/>
  <c r="I16" i="10"/>
  <c r="J16" i="10" s="1"/>
  <c r="F16" i="10"/>
  <c r="D16" i="10"/>
  <c r="C16" i="10"/>
  <c r="B16" i="10"/>
  <c r="J15" i="10"/>
  <c r="I15" i="10"/>
  <c r="F15" i="10"/>
  <c r="D15" i="10"/>
  <c r="C15" i="10"/>
  <c r="B15" i="10"/>
  <c r="J14" i="10"/>
  <c r="I14" i="10"/>
  <c r="F14" i="10"/>
  <c r="D14" i="10"/>
  <c r="C14" i="10"/>
  <c r="B14" i="10"/>
  <c r="I13" i="10"/>
  <c r="J13" i="10" s="1"/>
  <c r="F13" i="10"/>
  <c r="D13" i="10"/>
  <c r="C13" i="10"/>
  <c r="B13" i="10"/>
  <c r="I12" i="10"/>
  <c r="J12" i="10" s="1"/>
  <c r="F12" i="10"/>
  <c r="D12" i="10"/>
  <c r="C12" i="10"/>
  <c r="B12" i="10"/>
  <c r="J11" i="10"/>
  <c r="I11" i="10"/>
  <c r="F11" i="10"/>
  <c r="D11" i="10"/>
  <c r="C11" i="10"/>
  <c r="B11" i="10"/>
  <c r="I10" i="10"/>
  <c r="J10" i="10" s="1"/>
  <c r="F10" i="10"/>
  <c r="D10" i="10"/>
  <c r="C10" i="10"/>
  <c r="B10" i="10"/>
  <c r="I9" i="10"/>
  <c r="J9" i="10" s="1"/>
  <c r="F9" i="10"/>
  <c r="D9" i="10"/>
  <c r="C9" i="10"/>
  <c r="B9" i="10"/>
  <c r="A5" i="10"/>
  <c r="G4" i="10"/>
  <c r="D4" i="10"/>
  <c r="N509" i="9"/>
  <c r="M509" i="9"/>
  <c r="L509" i="9"/>
  <c r="K509" i="9"/>
  <c r="J509" i="9"/>
  <c r="I509" i="9"/>
  <c r="H509" i="9"/>
  <c r="G509" i="9"/>
  <c r="F509" i="9"/>
  <c r="E509" i="9"/>
  <c r="D509" i="9"/>
  <c r="C509" i="9"/>
  <c r="B509" i="9"/>
  <c r="A509" i="9"/>
  <c r="N508" i="9"/>
  <c r="M508" i="9"/>
  <c r="L508" i="9"/>
  <c r="K508" i="9"/>
  <c r="J508" i="9"/>
  <c r="I508" i="9"/>
  <c r="H508" i="9"/>
  <c r="G508" i="9"/>
  <c r="F508" i="9"/>
  <c r="E508" i="9"/>
  <c r="D508" i="9"/>
  <c r="C508" i="9"/>
  <c r="B508" i="9"/>
  <c r="A508" i="9"/>
  <c r="N507" i="9"/>
  <c r="M507" i="9"/>
  <c r="L507" i="9"/>
  <c r="K507" i="9"/>
  <c r="J507" i="9"/>
  <c r="I507" i="9"/>
  <c r="H507" i="9"/>
  <c r="G507" i="9"/>
  <c r="F507" i="9"/>
  <c r="E507" i="9"/>
  <c r="D507" i="9"/>
  <c r="C507" i="9"/>
  <c r="B507" i="9"/>
  <c r="A507" i="9"/>
  <c r="N506" i="9"/>
  <c r="M506" i="9"/>
  <c r="L506" i="9"/>
  <c r="K506" i="9"/>
  <c r="J506" i="9"/>
  <c r="I506" i="9"/>
  <c r="H506" i="9"/>
  <c r="G506" i="9"/>
  <c r="F506" i="9"/>
  <c r="E506" i="9"/>
  <c r="D506" i="9"/>
  <c r="C506" i="9"/>
  <c r="B506" i="9"/>
  <c r="A506" i="9"/>
  <c r="N505" i="9"/>
  <c r="M505" i="9"/>
  <c r="L505" i="9"/>
  <c r="K505" i="9"/>
  <c r="J505" i="9"/>
  <c r="I505" i="9"/>
  <c r="H505" i="9"/>
  <c r="G505" i="9"/>
  <c r="F505" i="9"/>
  <c r="E505" i="9"/>
  <c r="D505" i="9"/>
  <c r="C505" i="9"/>
  <c r="B505" i="9"/>
  <c r="A505" i="9"/>
  <c r="N504" i="9"/>
  <c r="M504" i="9"/>
  <c r="L504" i="9"/>
  <c r="K504" i="9"/>
  <c r="J504" i="9"/>
  <c r="I504" i="9"/>
  <c r="H504" i="9"/>
  <c r="G504" i="9"/>
  <c r="F504" i="9"/>
  <c r="E504" i="9"/>
  <c r="D504" i="9"/>
  <c r="C504" i="9"/>
  <c r="B504" i="9"/>
  <c r="A504" i="9"/>
  <c r="N503" i="9"/>
  <c r="M503" i="9"/>
  <c r="L503" i="9"/>
  <c r="K503" i="9"/>
  <c r="J503" i="9"/>
  <c r="I503" i="9"/>
  <c r="H503" i="9"/>
  <c r="G503" i="9"/>
  <c r="F503" i="9"/>
  <c r="E503" i="9"/>
  <c r="D503" i="9"/>
  <c r="C503" i="9"/>
  <c r="B503" i="9"/>
  <c r="A503" i="9"/>
  <c r="N502" i="9"/>
  <c r="M502" i="9"/>
  <c r="L502" i="9"/>
  <c r="K502" i="9"/>
  <c r="J502" i="9"/>
  <c r="I502" i="9"/>
  <c r="H502" i="9"/>
  <c r="G502" i="9"/>
  <c r="F502" i="9"/>
  <c r="E502" i="9"/>
  <c r="D502" i="9"/>
  <c r="C502" i="9"/>
  <c r="B502" i="9"/>
  <c r="A502" i="9"/>
  <c r="N501" i="9"/>
  <c r="M501" i="9"/>
  <c r="L501" i="9"/>
  <c r="K501" i="9"/>
  <c r="J501" i="9"/>
  <c r="I501" i="9"/>
  <c r="H501" i="9"/>
  <c r="G501" i="9"/>
  <c r="F501" i="9"/>
  <c r="E501" i="9"/>
  <c r="D501" i="9"/>
  <c r="C501" i="9"/>
  <c r="B501" i="9"/>
  <c r="A501" i="9"/>
  <c r="N500" i="9"/>
  <c r="M500" i="9"/>
  <c r="L500" i="9"/>
  <c r="K500" i="9"/>
  <c r="J500" i="9"/>
  <c r="I500" i="9"/>
  <c r="H500" i="9"/>
  <c r="G500" i="9"/>
  <c r="F500" i="9"/>
  <c r="E500" i="9"/>
  <c r="D500" i="9"/>
  <c r="C500" i="9"/>
  <c r="B500" i="9"/>
  <c r="A500" i="9"/>
  <c r="N499" i="9"/>
  <c r="M499" i="9"/>
  <c r="L499" i="9"/>
  <c r="K499" i="9"/>
  <c r="J499" i="9"/>
  <c r="I499" i="9"/>
  <c r="H499" i="9"/>
  <c r="G499" i="9"/>
  <c r="F499" i="9"/>
  <c r="E499" i="9"/>
  <c r="D499" i="9"/>
  <c r="C499" i="9"/>
  <c r="B499" i="9"/>
  <c r="A499" i="9"/>
  <c r="N498" i="9"/>
  <c r="M498" i="9"/>
  <c r="L498" i="9"/>
  <c r="K498" i="9"/>
  <c r="J498" i="9"/>
  <c r="I498" i="9"/>
  <c r="H498" i="9"/>
  <c r="G498" i="9"/>
  <c r="F498" i="9"/>
  <c r="E498" i="9"/>
  <c r="D498" i="9"/>
  <c r="C498" i="9"/>
  <c r="B498" i="9"/>
  <c r="A498" i="9"/>
  <c r="N497" i="9"/>
  <c r="M497" i="9"/>
  <c r="L497" i="9"/>
  <c r="K497" i="9"/>
  <c r="J497" i="9"/>
  <c r="I497" i="9"/>
  <c r="H497" i="9"/>
  <c r="G497" i="9"/>
  <c r="F497" i="9"/>
  <c r="E497" i="9"/>
  <c r="D497" i="9"/>
  <c r="C497" i="9"/>
  <c r="B497" i="9"/>
  <c r="A497" i="9"/>
  <c r="N496" i="9"/>
  <c r="M496" i="9"/>
  <c r="L496" i="9"/>
  <c r="K496" i="9"/>
  <c r="J496" i="9"/>
  <c r="I496" i="9"/>
  <c r="H496" i="9"/>
  <c r="G496" i="9"/>
  <c r="F496" i="9"/>
  <c r="E496" i="9"/>
  <c r="D496" i="9"/>
  <c r="C496" i="9"/>
  <c r="B496" i="9"/>
  <c r="A496" i="9"/>
  <c r="N495" i="9"/>
  <c r="M495" i="9"/>
  <c r="L495" i="9"/>
  <c r="K495" i="9"/>
  <c r="J495" i="9"/>
  <c r="I495" i="9"/>
  <c r="H495" i="9"/>
  <c r="G495" i="9"/>
  <c r="F495" i="9"/>
  <c r="E495" i="9"/>
  <c r="D495" i="9"/>
  <c r="C495" i="9"/>
  <c r="B495" i="9"/>
  <c r="A495" i="9"/>
  <c r="N494" i="9"/>
  <c r="M494" i="9"/>
  <c r="L494" i="9"/>
  <c r="K494" i="9"/>
  <c r="J494" i="9"/>
  <c r="I494" i="9"/>
  <c r="H494" i="9"/>
  <c r="G494" i="9"/>
  <c r="F494" i="9"/>
  <c r="E494" i="9"/>
  <c r="D494" i="9"/>
  <c r="C494" i="9"/>
  <c r="B494" i="9"/>
  <c r="A494" i="9"/>
  <c r="N493" i="9"/>
  <c r="M493" i="9"/>
  <c r="L493" i="9"/>
  <c r="K493" i="9"/>
  <c r="J493" i="9"/>
  <c r="I493" i="9"/>
  <c r="H493" i="9"/>
  <c r="G493" i="9"/>
  <c r="F493" i="9"/>
  <c r="E493" i="9"/>
  <c r="D493" i="9"/>
  <c r="C493" i="9"/>
  <c r="B493" i="9"/>
  <c r="A493" i="9"/>
  <c r="N492" i="9"/>
  <c r="M492" i="9"/>
  <c r="L492" i="9"/>
  <c r="K492" i="9"/>
  <c r="J492" i="9"/>
  <c r="I492" i="9"/>
  <c r="H492" i="9"/>
  <c r="G492" i="9"/>
  <c r="F492" i="9"/>
  <c r="E492" i="9"/>
  <c r="D492" i="9"/>
  <c r="C492" i="9"/>
  <c r="B492" i="9"/>
  <c r="A492" i="9"/>
  <c r="N491" i="9"/>
  <c r="M491" i="9"/>
  <c r="L491" i="9"/>
  <c r="K491" i="9"/>
  <c r="J491" i="9"/>
  <c r="I491" i="9"/>
  <c r="H491" i="9"/>
  <c r="G491" i="9"/>
  <c r="F491" i="9"/>
  <c r="E491" i="9"/>
  <c r="D491" i="9"/>
  <c r="C491" i="9"/>
  <c r="B491" i="9"/>
  <c r="A491" i="9"/>
  <c r="N490" i="9"/>
  <c r="M490" i="9"/>
  <c r="L490" i="9"/>
  <c r="K490" i="9"/>
  <c r="J490" i="9"/>
  <c r="I490" i="9"/>
  <c r="H490" i="9"/>
  <c r="G490" i="9"/>
  <c r="F490" i="9"/>
  <c r="E490" i="9"/>
  <c r="D490" i="9"/>
  <c r="C490" i="9"/>
  <c r="B490" i="9"/>
  <c r="A490" i="9"/>
  <c r="N489" i="9"/>
  <c r="M489" i="9"/>
  <c r="L489" i="9"/>
  <c r="K489" i="9"/>
  <c r="J489" i="9"/>
  <c r="I489" i="9"/>
  <c r="H489" i="9"/>
  <c r="G489" i="9"/>
  <c r="F489" i="9"/>
  <c r="E489" i="9"/>
  <c r="D489" i="9"/>
  <c r="C489" i="9"/>
  <c r="B489" i="9"/>
  <c r="A489" i="9"/>
  <c r="N488" i="9"/>
  <c r="M488" i="9"/>
  <c r="L488" i="9"/>
  <c r="K488" i="9"/>
  <c r="J488" i="9"/>
  <c r="I488" i="9"/>
  <c r="H488" i="9"/>
  <c r="G488" i="9"/>
  <c r="F488" i="9"/>
  <c r="E488" i="9"/>
  <c r="D488" i="9"/>
  <c r="C488" i="9"/>
  <c r="B488" i="9"/>
  <c r="A488" i="9"/>
  <c r="N487" i="9"/>
  <c r="M487" i="9"/>
  <c r="L487" i="9"/>
  <c r="K487" i="9"/>
  <c r="J487" i="9"/>
  <c r="I487" i="9"/>
  <c r="H487" i="9"/>
  <c r="G487" i="9"/>
  <c r="F487" i="9"/>
  <c r="E487" i="9"/>
  <c r="D487" i="9"/>
  <c r="C487" i="9"/>
  <c r="B487" i="9"/>
  <c r="A487" i="9"/>
  <c r="N486" i="9"/>
  <c r="M486" i="9"/>
  <c r="L486" i="9"/>
  <c r="K486" i="9"/>
  <c r="J486" i="9"/>
  <c r="I486" i="9"/>
  <c r="H486" i="9"/>
  <c r="G486" i="9"/>
  <c r="F486" i="9"/>
  <c r="E486" i="9"/>
  <c r="D486" i="9"/>
  <c r="C486" i="9"/>
  <c r="B486" i="9"/>
  <c r="A486" i="9"/>
  <c r="N485" i="9"/>
  <c r="M485" i="9"/>
  <c r="L485" i="9"/>
  <c r="K485" i="9"/>
  <c r="J485" i="9"/>
  <c r="I485" i="9"/>
  <c r="H485" i="9"/>
  <c r="G485" i="9"/>
  <c r="F485" i="9"/>
  <c r="E485" i="9"/>
  <c r="D485" i="9"/>
  <c r="C485" i="9"/>
  <c r="B485" i="9"/>
  <c r="A485" i="9"/>
  <c r="N484" i="9"/>
  <c r="M484" i="9"/>
  <c r="L484" i="9"/>
  <c r="K484" i="9"/>
  <c r="J484" i="9"/>
  <c r="I484" i="9"/>
  <c r="H484" i="9"/>
  <c r="G484" i="9"/>
  <c r="F484" i="9"/>
  <c r="E484" i="9"/>
  <c r="D484" i="9"/>
  <c r="C484" i="9"/>
  <c r="B484" i="9"/>
  <c r="A484" i="9"/>
  <c r="N483" i="9"/>
  <c r="M483" i="9"/>
  <c r="L483" i="9"/>
  <c r="K483" i="9"/>
  <c r="J483" i="9"/>
  <c r="I483" i="9"/>
  <c r="H483" i="9"/>
  <c r="G483" i="9"/>
  <c r="F483" i="9"/>
  <c r="E483" i="9"/>
  <c r="D483" i="9"/>
  <c r="C483" i="9"/>
  <c r="B483" i="9"/>
  <c r="A483" i="9"/>
  <c r="N482" i="9"/>
  <c r="M482" i="9"/>
  <c r="L482" i="9"/>
  <c r="K482" i="9"/>
  <c r="J482" i="9"/>
  <c r="I482" i="9"/>
  <c r="H482" i="9"/>
  <c r="G482" i="9"/>
  <c r="F482" i="9"/>
  <c r="E482" i="9"/>
  <c r="D482" i="9"/>
  <c r="C482" i="9"/>
  <c r="B482" i="9"/>
  <c r="A482" i="9"/>
  <c r="N481" i="9"/>
  <c r="M481" i="9"/>
  <c r="L481" i="9"/>
  <c r="K481" i="9"/>
  <c r="J481" i="9"/>
  <c r="I481" i="9"/>
  <c r="H481" i="9"/>
  <c r="G481" i="9"/>
  <c r="F481" i="9"/>
  <c r="E481" i="9"/>
  <c r="D481" i="9"/>
  <c r="C481" i="9"/>
  <c r="B481" i="9"/>
  <c r="A481" i="9"/>
  <c r="N480" i="9"/>
  <c r="M480" i="9"/>
  <c r="L480" i="9"/>
  <c r="K480" i="9"/>
  <c r="J480" i="9"/>
  <c r="I480" i="9"/>
  <c r="H480" i="9"/>
  <c r="G480" i="9"/>
  <c r="F480" i="9"/>
  <c r="E480" i="9"/>
  <c r="D480" i="9"/>
  <c r="C480" i="9"/>
  <c r="B480" i="9"/>
  <c r="A480" i="9"/>
  <c r="N479" i="9"/>
  <c r="M479" i="9"/>
  <c r="L479" i="9"/>
  <c r="K479" i="9"/>
  <c r="J479" i="9"/>
  <c r="I479" i="9"/>
  <c r="H479" i="9"/>
  <c r="G479" i="9"/>
  <c r="F479" i="9"/>
  <c r="E479" i="9"/>
  <c r="D479" i="9"/>
  <c r="C479" i="9"/>
  <c r="B479" i="9"/>
  <c r="A479" i="9"/>
  <c r="N478" i="9"/>
  <c r="M478" i="9"/>
  <c r="L478" i="9"/>
  <c r="K478" i="9"/>
  <c r="J478" i="9"/>
  <c r="I478" i="9"/>
  <c r="H478" i="9"/>
  <c r="G478" i="9"/>
  <c r="F478" i="9"/>
  <c r="E478" i="9"/>
  <c r="D478" i="9"/>
  <c r="C478" i="9"/>
  <c r="B478" i="9"/>
  <c r="A478" i="9"/>
  <c r="N477" i="9"/>
  <c r="M477" i="9"/>
  <c r="L477" i="9"/>
  <c r="K477" i="9"/>
  <c r="J477" i="9"/>
  <c r="I477" i="9"/>
  <c r="H477" i="9"/>
  <c r="G477" i="9"/>
  <c r="F477" i="9"/>
  <c r="E477" i="9"/>
  <c r="D477" i="9"/>
  <c r="C477" i="9"/>
  <c r="B477" i="9"/>
  <c r="A477" i="9"/>
  <c r="N476" i="9"/>
  <c r="M476" i="9"/>
  <c r="L476" i="9"/>
  <c r="K476" i="9"/>
  <c r="J476" i="9"/>
  <c r="I476" i="9"/>
  <c r="H476" i="9"/>
  <c r="G476" i="9"/>
  <c r="F476" i="9"/>
  <c r="E476" i="9"/>
  <c r="D476" i="9"/>
  <c r="C476" i="9"/>
  <c r="B476" i="9"/>
  <c r="A476" i="9"/>
  <c r="N475" i="9"/>
  <c r="M475" i="9"/>
  <c r="L475" i="9"/>
  <c r="K475" i="9"/>
  <c r="J475" i="9"/>
  <c r="I475" i="9"/>
  <c r="H475" i="9"/>
  <c r="G475" i="9"/>
  <c r="F475" i="9"/>
  <c r="E475" i="9"/>
  <c r="D475" i="9"/>
  <c r="C475" i="9"/>
  <c r="B475" i="9"/>
  <c r="A475" i="9"/>
  <c r="N474" i="9"/>
  <c r="M474" i="9"/>
  <c r="L474" i="9"/>
  <c r="K474" i="9"/>
  <c r="J474" i="9"/>
  <c r="I474" i="9"/>
  <c r="H474" i="9"/>
  <c r="G474" i="9"/>
  <c r="F474" i="9"/>
  <c r="E474" i="9"/>
  <c r="D474" i="9"/>
  <c r="C474" i="9"/>
  <c r="B474" i="9"/>
  <c r="A474" i="9"/>
  <c r="N473" i="9"/>
  <c r="M473" i="9"/>
  <c r="L473" i="9"/>
  <c r="K473" i="9"/>
  <c r="J473" i="9"/>
  <c r="I473" i="9"/>
  <c r="H473" i="9"/>
  <c r="G473" i="9"/>
  <c r="F473" i="9"/>
  <c r="E473" i="9"/>
  <c r="D473" i="9"/>
  <c r="C473" i="9"/>
  <c r="B473" i="9"/>
  <c r="A473" i="9"/>
  <c r="N472" i="9"/>
  <c r="M472" i="9"/>
  <c r="L472" i="9"/>
  <c r="K472" i="9"/>
  <c r="J472" i="9"/>
  <c r="I472" i="9"/>
  <c r="H472" i="9"/>
  <c r="G472" i="9"/>
  <c r="F472" i="9"/>
  <c r="E472" i="9"/>
  <c r="D472" i="9"/>
  <c r="C472" i="9"/>
  <c r="B472" i="9"/>
  <c r="A472" i="9"/>
  <c r="N471" i="9"/>
  <c r="M471" i="9"/>
  <c r="L471" i="9"/>
  <c r="K471" i="9"/>
  <c r="J471" i="9"/>
  <c r="I471" i="9"/>
  <c r="H471" i="9"/>
  <c r="G471" i="9"/>
  <c r="F471" i="9"/>
  <c r="E471" i="9"/>
  <c r="D471" i="9"/>
  <c r="C471" i="9"/>
  <c r="B471" i="9"/>
  <c r="A471" i="9"/>
  <c r="N470" i="9"/>
  <c r="M470" i="9"/>
  <c r="L470" i="9"/>
  <c r="K470" i="9"/>
  <c r="J470" i="9"/>
  <c r="I470" i="9"/>
  <c r="H470" i="9"/>
  <c r="G470" i="9"/>
  <c r="F470" i="9"/>
  <c r="E470" i="9"/>
  <c r="D470" i="9"/>
  <c r="C470" i="9"/>
  <c r="B470" i="9"/>
  <c r="A470" i="9"/>
  <c r="N469" i="9"/>
  <c r="M469" i="9"/>
  <c r="L469" i="9"/>
  <c r="K469" i="9"/>
  <c r="J469" i="9"/>
  <c r="I469" i="9"/>
  <c r="H469" i="9"/>
  <c r="G469" i="9"/>
  <c r="F469" i="9"/>
  <c r="E469" i="9"/>
  <c r="D469" i="9"/>
  <c r="C469" i="9"/>
  <c r="B469" i="9"/>
  <c r="A469" i="9"/>
  <c r="N468" i="9"/>
  <c r="M468" i="9"/>
  <c r="L468" i="9"/>
  <c r="K468" i="9"/>
  <c r="J468" i="9"/>
  <c r="I468" i="9"/>
  <c r="H468" i="9"/>
  <c r="G468" i="9"/>
  <c r="F468" i="9"/>
  <c r="E468" i="9"/>
  <c r="D468" i="9"/>
  <c r="C468" i="9"/>
  <c r="B468" i="9"/>
  <c r="A468" i="9"/>
  <c r="N467" i="9"/>
  <c r="M467" i="9"/>
  <c r="L467" i="9"/>
  <c r="K467" i="9"/>
  <c r="J467" i="9"/>
  <c r="I467" i="9"/>
  <c r="H467" i="9"/>
  <c r="G467" i="9"/>
  <c r="F467" i="9"/>
  <c r="E467" i="9"/>
  <c r="D467" i="9"/>
  <c r="C467" i="9"/>
  <c r="B467" i="9"/>
  <c r="A467" i="9"/>
  <c r="N466" i="9"/>
  <c r="M466" i="9"/>
  <c r="L466" i="9"/>
  <c r="K466" i="9"/>
  <c r="J466" i="9"/>
  <c r="I466" i="9"/>
  <c r="H466" i="9"/>
  <c r="G466" i="9"/>
  <c r="F466" i="9"/>
  <c r="E466" i="9"/>
  <c r="D466" i="9"/>
  <c r="C466" i="9"/>
  <c r="B466" i="9"/>
  <c r="A466" i="9"/>
  <c r="N465" i="9"/>
  <c r="M465" i="9"/>
  <c r="L465" i="9"/>
  <c r="K465" i="9"/>
  <c r="J465" i="9"/>
  <c r="I465" i="9"/>
  <c r="H465" i="9"/>
  <c r="G465" i="9"/>
  <c r="F465" i="9"/>
  <c r="E465" i="9"/>
  <c r="D465" i="9"/>
  <c r="C465" i="9"/>
  <c r="B465" i="9"/>
  <c r="A465" i="9"/>
  <c r="N464" i="9"/>
  <c r="M464" i="9"/>
  <c r="L464" i="9"/>
  <c r="K464" i="9"/>
  <c r="J464" i="9"/>
  <c r="I464" i="9"/>
  <c r="H464" i="9"/>
  <c r="G464" i="9"/>
  <c r="F464" i="9"/>
  <c r="E464" i="9"/>
  <c r="D464" i="9"/>
  <c r="C464" i="9"/>
  <c r="B464" i="9"/>
  <c r="A464" i="9"/>
  <c r="N463" i="9"/>
  <c r="M463" i="9"/>
  <c r="L463" i="9"/>
  <c r="K463" i="9"/>
  <c r="J463" i="9"/>
  <c r="I463" i="9"/>
  <c r="H463" i="9"/>
  <c r="G463" i="9"/>
  <c r="F463" i="9"/>
  <c r="E463" i="9"/>
  <c r="D463" i="9"/>
  <c r="C463" i="9"/>
  <c r="B463" i="9"/>
  <c r="A463" i="9"/>
  <c r="N462" i="9"/>
  <c r="M462" i="9"/>
  <c r="L462" i="9"/>
  <c r="K462" i="9"/>
  <c r="J462" i="9"/>
  <c r="I462" i="9"/>
  <c r="H462" i="9"/>
  <c r="G462" i="9"/>
  <c r="F462" i="9"/>
  <c r="E462" i="9"/>
  <c r="D462" i="9"/>
  <c r="C462" i="9"/>
  <c r="B462" i="9"/>
  <c r="A462" i="9"/>
  <c r="N461" i="9"/>
  <c r="M461" i="9"/>
  <c r="L461" i="9"/>
  <c r="K461" i="9"/>
  <c r="J461" i="9"/>
  <c r="I461" i="9"/>
  <c r="H461" i="9"/>
  <c r="G461" i="9"/>
  <c r="F461" i="9"/>
  <c r="E461" i="9"/>
  <c r="D461" i="9"/>
  <c r="C461" i="9"/>
  <c r="B461" i="9"/>
  <c r="A461" i="9"/>
  <c r="N460" i="9"/>
  <c r="M460" i="9"/>
  <c r="L460" i="9"/>
  <c r="K460" i="9"/>
  <c r="J460" i="9"/>
  <c r="I460" i="9"/>
  <c r="H460" i="9"/>
  <c r="G460" i="9"/>
  <c r="F460" i="9"/>
  <c r="E460" i="9"/>
  <c r="D460" i="9"/>
  <c r="C460" i="9"/>
  <c r="B460" i="9"/>
  <c r="A460" i="9"/>
  <c r="N459" i="9"/>
  <c r="M459" i="9"/>
  <c r="L459" i="9"/>
  <c r="K459" i="9"/>
  <c r="J459" i="9"/>
  <c r="I459" i="9"/>
  <c r="H459" i="9"/>
  <c r="G459" i="9"/>
  <c r="F459" i="9"/>
  <c r="E459" i="9"/>
  <c r="D459" i="9"/>
  <c r="C459" i="9"/>
  <c r="B459" i="9"/>
  <c r="A459" i="9"/>
  <c r="N458" i="9"/>
  <c r="M458" i="9"/>
  <c r="L458" i="9"/>
  <c r="K458" i="9"/>
  <c r="J458" i="9"/>
  <c r="I458" i="9"/>
  <c r="H458" i="9"/>
  <c r="G458" i="9"/>
  <c r="F458" i="9"/>
  <c r="E458" i="9"/>
  <c r="D458" i="9"/>
  <c r="C458" i="9"/>
  <c r="B458" i="9"/>
  <c r="A458" i="9"/>
  <c r="N457" i="9"/>
  <c r="M457" i="9"/>
  <c r="L457" i="9"/>
  <c r="K457" i="9"/>
  <c r="J457" i="9"/>
  <c r="I457" i="9"/>
  <c r="H457" i="9"/>
  <c r="G457" i="9"/>
  <c r="F457" i="9"/>
  <c r="E457" i="9"/>
  <c r="D457" i="9"/>
  <c r="C457" i="9"/>
  <c r="B457" i="9"/>
  <c r="A457" i="9"/>
  <c r="N456" i="9"/>
  <c r="M456" i="9"/>
  <c r="L456" i="9"/>
  <c r="K456" i="9"/>
  <c r="J456" i="9"/>
  <c r="I456" i="9"/>
  <c r="H456" i="9"/>
  <c r="G456" i="9"/>
  <c r="F456" i="9"/>
  <c r="E456" i="9"/>
  <c r="D456" i="9"/>
  <c r="C456" i="9"/>
  <c r="B456" i="9"/>
  <c r="A456" i="9"/>
  <c r="N455" i="9"/>
  <c r="M455" i="9"/>
  <c r="L455" i="9"/>
  <c r="K455" i="9"/>
  <c r="J455" i="9"/>
  <c r="I455" i="9"/>
  <c r="H455" i="9"/>
  <c r="G455" i="9"/>
  <c r="F455" i="9"/>
  <c r="E455" i="9"/>
  <c r="D455" i="9"/>
  <c r="C455" i="9"/>
  <c r="B455" i="9"/>
  <c r="A455" i="9"/>
  <c r="N454" i="9"/>
  <c r="M454" i="9"/>
  <c r="L454" i="9"/>
  <c r="K454" i="9"/>
  <c r="J454" i="9"/>
  <c r="I454" i="9"/>
  <c r="H454" i="9"/>
  <c r="G454" i="9"/>
  <c r="F454" i="9"/>
  <c r="E454" i="9"/>
  <c r="D454" i="9"/>
  <c r="C454" i="9"/>
  <c r="B454" i="9"/>
  <c r="A454" i="9"/>
  <c r="N453" i="9"/>
  <c r="M453" i="9"/>
  <c r="L453" i="9"/>
  <c r="K453" i="9"/>
  <c r="J453" i="9"/>
  <c r="I453" i="9"/>
  <c r="H453" i="9"/>
  <c r="G453" i="9"/>
  <c r="F453" i="9"/>
  <c r="E453" i="9"/>
  <c r="D453" i="9"/>
  <c r="C453" i="9"/>
  <c r="B453" i="9"/>
  <c r="A453" i="9"/>
  <c r="N452" i="9"/>
  <c r="M452" i="9"/>
  <c r="L452" i="9"/>
  <c r="K452" i="9"/>
  <c r="J452" i="9"/>
  <c r="I452" i="9"/>
  <c r="H452" i="9"/>
  <c r="G452" i="9"/>
  <c r="F452" i="9"/>
  <c r="E452" i="9"/>
  <c r="D452" i="9"/>
  <c r="C452" i="9"/>
  <c r="B452" i="9"/>
  <c r="A452" i="9"/>
  <c r="N451" i="9"/>
  <c r="M451" i="9"/>
  <c r="L451" i="9"/>
  <c r="K451" i="9"/>
  <c r="J451" i="9"/>
  <c r="I451" i="9"/>
  <c r="H451" i="9"/>
  <c r="G451" i="9"/>
  <c r="F451" i="9"/>
  <c r="E451" i="9"/>
  <c r="D451" i="9"/>
  <c r="C451" i="9"/>
  <c r="B451" i="9"/>
  <c r="A451" i="9"/>
  <c r="N450" i="9"/>
  <c r="M450" i="9"/>
  <c r="L450" i="9"/>
  <c r="K450" i="9"/>
  <c r="J450" i="9"/>
  <c r="I450" i="9"/>
  <c r="H450" i="9"/>
  <c r="G450" i="9"/>
  <c r="F450" i="9"/>
  <c r="E450" i="9"/>
  <c r="D450" i="9"/>
  <c r="C450" i="9"/>
  <c r="B450" i="9"/>
  <c r="A450" i="9"/>
  <c r="N449" i="9"/>
  <c r="M449" i="9"/>
  <c r="L449" i="9"/>
  <c r="K449" i="9"/>
  <c r="J449" i="9"/>
  <c r="I449" i="9"/>
  <c r="H449" i="9"/>
  <c r="G449" i="9"/>
  <c r="F449" i="9"/>
  <c r="E449" i="9"/>
  <c r="D449" i="9"/>
  <c r="C449" i="9"/>
  <c r="B449" i="9"/>
  <c r="A449" i="9"/>
  <c r="N448" i="9"/>
  <c r="M448" i="9"/>
  <c r="L448" i="9"/>
  <c r="K448" i="9"/>
  <c r="J448" i="9"/>
  <c r="I448" i="9"/>
  <c r="H448" i="9"/>
  <c r="G448" i="9"/>
  <c r="F448" i="9"/>
  <c r="E448" i="9"/>
  <c r="D448" i="9"/>
  <c r="C448" i="9"/>
  <c r="B448" i="9"/>
  <c r="A448" i="9"/>
  <c r="N447" i="9"/>
  <c r="M447" i="9"/>
  <c r="L447" i="9"/>
  <c r="K447" i="9"/>
  <c r="J447" i="9"/>
  <c r="I447" i="9"/>
  <c r="H447" i="9"/>
  <c r="G447" i="9"/>
  <c r="F447" i="9"/>
  <c r="E447" i="9"/>
  <c r="D447" i="9"/>
  <c r="C447" i="9"/>
  <c r="B447" i="9"/>
  <c r="A447" i="9"/>
  <c r="N446" i="9"/>
  <c r="M446" i="9"/>
  <c r="L446" i="9"/>
  <c r="K446" i="9"/>
  <c r="J446" i="9"/>
  <c r="I446" i="9"/>
  <c r="H446" i="9"/>
  <c r="G446" i="9"/>
  <c r="F446" i="9"/>
  <c r="E446" i="9"/>
  <c r="D446" i="9"/>
  <c r="C446" i="9"/>
  <c r="B446" i="9"/>
  <c r="A446" i="9"/>
  <c r="N445" i="9"/>
  <c r="M445" i="9"/>
  <c r="L445" i="9"/>
  <c r="K445" i="9"/>
  <c r="J445" i="9"/>
  <c r="I445" i="9"/>
  <c r="H445" i="9"/>
  <c r="G445" i="9"/>
  <c r="F445" i="9"/>
  <c r="E445" i="9"/>
  <c r="D445" i="9"/>
  <c r="C445" i="9"/>
  <c r="B445" i="9"/>
  <c r="A445" i="9"/>
  <c r="N444" i="9"/>
  <c r="M444" i="9"/>
  <c r="L444" i="9"/>
  <c r="K444" i="9"/>
  <c r="J444" i="9"/>
  <c r="I444" i="9"/>
  <c r="H444" i="9"/>
  <c r="G444" i="9"/>
  <c r="F444" i="9"/>
  <c r="E444" i="9"/>
  <c r="D444" i="9"/>
  <c r="C444" i="9"/>
  <c r="B444" i="9"/>
  <c r="A444" i="9"/>
  <c r="N443" i="9"/>
  <c r="M443" i="9"/>
  <c r="L443" i="9"/>
  <c r="K443" i="9"/>
  <c r="J443" i="9"/>
  <c r="I443" i="9"/>
  <c r="H443" i="9"/>
  <c r="G443" i="9"/>
  <c r="F443" i="9"/>
  <c r="E443" i="9"/>
  <c r="D443" i="9"/>
  <c r="C443" i="9"/>
  <c r="B443" i="9"/>
  <c r="A443" i="9"/>
  <c r="N442" i="9"/>
  <c r="M442" i="9"/>
  <c r="L442" i="9"/>
  <c r="K442" i="9"/>
  <c r="J442" i="9"/>
  <c r="I442" i="9"/>
  <c r="H442" i="9"/>
  <c r="G442" i="9"/>
  <c r="F442" i="9"/>
  <c r="E442" i="9"/>
  <c r="D442" i="9"/>
  <c r="C442" i="9"/>
  <c r="B442" i="9"/>
  <c r="A442" i="9"/>
  <c r="N441" i="9"/>
  <c r="M441" i="9"/>
  <c r="L441" i="9"/>
  <c r="K441" i="9"/>
  <c r="J441" i="9"/>
  <c r="I441" i="9"/>
  <c r="H441" i="9"/>
  <c r="G441" i="9"/>
  <c r="F441" i="9"/>
  <c r="E441" i="9"/>
  <c r="D441" i="9"/>
  <c r="C441" i="9"/>
  <c r="B441" i="9"/>
  <c r="A441" i="9"/>
  <c r="N440" i="9"/>
  <c r="M440" i="9"/>
  <c r="L440" i="9"/>
  <c r="K440" i="9"/>
  <c r="J440" i="9"/>
  <c r="I440" i="9"/>
  <c r="H440" i="9"/>
  <c r="G440" i="9"/>
  <c r="F440" i="9"/>
  <c r="E440" i="9"/>
  <c r="D440" i="9"/>
  <c r="C440" i="9"/>
  <c r="B440" i="9"/>
  <c r="A440" i="9"/>
  <c r="N439" i="9"/>
  <c r="M439" i="9"/>
  <c r="L439" i="9"/>
  <c r="K439" i="9"/>
  <c r="J439" i="9"/>
  <c r="I439" i="9"/>
  <c r="H439" i="9"/>
  <c r="G439" i="9"/>
  <c r="F439" i="9"/>
  <c r="E439" i="9"/>
  <c r="D439" i="9"/>
  <c r="C439" i="9"/>
  <c r="B439" i="9"/>
  <c r="A439" i="9"/>
  <c r="N438" i="9"/>
  <c r="M438" i="9"/>
  <c r="L438" i="9"/>
  <c r="K438" i="9"/>
  <c r="J438" i="9"/>
  <c r="I438" i="9"/>
  <c r="H438" i="9"/>
  <c r="G438" i="9"/>
  <c r="F438" i="9"/>
  <c r="E438" i="9"/>
  <c r="D438" i="9"/>
  <c r="C438" i="9"/>
  <c r="B438" i="9"/>
  <c r="A438" i="9"/>
  <c r="N437" i="9"/>
  <c r="M437" i="9"/>
  <c r="L437" i="9"/>
  <c r="K437" i="9"/>
  <c r="J437" i="9"/>
  <c r="I437" i="9"/>
  <c r="H437" i="9"/>
  <c r="G437" i="9"/>
  <c r="F437" i="9"/>
  <c r="E437" i="9"/>
  <c r="D437" i="9"/>
  <c r="C437" i="9"/>
  <c r="B437" i="9"/>
  <c r="A437" i="9"/>
  <c r="N436" i="9"/>
  <c r="M436" i="9"/>
  <c r="L436" i="9"/>
  <c r="K436" i="9"/>
  <c r="J436" i="9"/>
  <c r="I436" i="9"/>
  <c r="H436" i="9"/>
  <c r="G436" i="9"/>
  <c r="F436" i="9"/>
  <c r="E436" i="9"/>
  <c r="D436" i="9"/>
  <c r="C436" i="9"/>
  <c r="B436" i="9"/>
  <c r="A436" i="9"/>
  <c r="N435" i="9"/>
  <c r="M435" i="9"/>
  <c r="L435" i="9"/>
  <c r="K435" i="9"/>
  <c r="J435" i="9"/>
  <c r="I435" i="9"/>
  <c r="H435" i="9"/>
  <c r="G435" i="9"/>
  <c r="F435" i="9"/>
  <c r="E435" i="9"/>
  <c r="D435" i="9"/>
  <c r="C435" i="9"/>
  <c r="B435" i="9"/>
  <c r="A435" i="9"/>
  <c r="N434" i="9"/>
  <c r="M434" i="9"/>
  <c r="L434" i="9"/>
  <c r="K434" i="9"/>
  <c r="J434" i="9"/>
  <c r="I434" i="9"/>
  <c r="H434" i="9"/>
  <c r="G434" i="9"/>
  <c r="F434" i="9"/>
  <c r="E434" i="9"/>
  <c r="D434" i="9"/>
  <c r="C434" i="9"/>
  <c r="B434" i="9"/>
  <c r="A434" i="9"/>
  <c r="N433" i="9"/>
  <c r="M433" i="9"/>
  <c r="L433" i="9"/>
  <c r="K433" i="9"/>
  <c r="J433" i="9"/>
  <c r="I433" i="9"/>
  <c r="H433" i="9"/>
  <c r="G433" i="9"/>
  <c r="F433" i="9"/>
  <c r="E433" i="9"/>
  <c r="D433" i="9"/>
  <c r="C433" i="9"/>
  <c r="B433" i="9"/>
  <c r="A433" i="9"/>
  <c r="N432" i="9"/>
  <c r="M432" i="9"/>
  <c r="L432" i="9"/>
  <c r="K432" i="9"/>
  <c r="J432" i="9"/>
  <c r="I432" i="9"/>
  <c r="H432" i="9"/>
  <c r="G432" i="9"/>
  <c r="F432" i="9"/>
  <c r="E432" i="9"/>
  <c r="D432" i="9"/>
  <c r="C432" i="9"/>
  <c r="B432" i="9"/>
  <c r="A432" i="9"/>
  <c r="N431" i="9"/>
  <c r="M431" i="9"/>
  <c r="L431" i="9"/>
  <c r="K431" i="9"/>
  <c r="J431" i="9"/>
  <c r="I431" i="9"/>
  <c r="H431" i="9"/>
  <c r="G431" i="9"/>
  <c r="F431" i="9"/>
  <c r="E431" i="9"/>
  <c r="D431" i="9"/>
  <c r="C431" i="9"/>
  <c r="B431" i="9"/>
  <c r="A431" i="9"/>
  <c r="N430" i="9"/>
  <c r="M430" i="9"/>
  <c r="L430" i="9"/>
  <c r="K430" i="9"/>
  <c r="J430" i="9"/>
  <c r="I430" i="9"/>
  <c r="H430" i="9"/>
  <c r="G430" i="9"/>
  <c r="F430" i="9"/>
  <c r="E430" i="9"/>
  <c r="D430" i="9"/>
  <c r="C430" i="9"/>
  <c r="B430" i="9"/>
  <c r="A430" i="9"/>
  <c r="N429" i="9"/>
  <c r="M429" i="9"/>
  <c r="L429" i="9"/>
  <c r="K429" i="9"/>
  <c r="J429" i="9"/>
  <c r="I429" i="9"/>
  <c r="H429" i="9"/>
  <c r="G429" i="9"/>
  <c r="F429" i="9"/>
  <c r="E429" i="9"/>
  <c r="D429" i="9"/>
  <c r="C429" i="9"/>
  <c r="B429" i="9"/>
  <c r="A429" i="9"/>
  <c r="N428" i="9"/>
  <c r="M428" i="9"/>
  <c r="L428" i="9"/>
  <c r="K428" i="9"/>
  <c r="J428" i="9"/>
  <c r="I428" i="9"/>
  <c r="H428" i="9"/>
  <c r="G428" i="9"/>
  <c r="F428" i="9"/>
  <c r="E428" i="9"/>
  <c r="D428" i="9"/>
  <c r="C428" i="9"/>
  <c r="B428" i="9"/>
  <c r="A428" i="9"/>
  <c r="N427" i="9"/>
  <c r="M427" i="9"/>
  <c r="L427" i="9"/>
  <c r="K427" i="9"/>
  <c r="J427" i="9"/>
  <c r="I427" i="9"/>
  <c r="H427" i="9"/>
  <c r="G427" i="9"/>
  <c r="F427" i="9"/>
  <c r="E427" i="9"/>
  <c r="D427" i="9"/>
  <c r="C427" i="9"/>
  <c r="B427" i="9"/>
  <c r="A427" i="9"/>
  <c r="N426" i="9"/>
  <c r="M426" i="9"/>
  <c r="L426" i="9"/>
  <c r="K426" i="9"/>
  <c r="J426" i="9"/>
  <c r="I426" i="9"/>
  <c r="H426" i="9"/>
  <c r="G426" i="9"/>
  <c r="F426" i="9"/>
  <c r="E426" i="9"/>
  <c r="D426" i="9"/>
  <c r="C426" i="9"/>
  <c r="B426" i="9"/>
  <c r="A426" i="9"/>
  <c r="N425" i="9"/>
  <c r="M425" i="9"/>
  <c r="L425" i="9"/>
  <c r="K425" i="9"/>
  <c r="J425" i="9"/>
  <c r="I425" i="9"/>
  <c r="H425" i="9"/>
  <c r="G425" i="9"/>
  <c r="F425" i="9"/>
  <c r="E425" i="9"/>
  <c r="D425" i="9"/>
  <c r="C425" i="9"/>
  <c r="B425" i="9"/>
  <c r="A425" i="9"/>
  <c r="N424" i="9"/>
  <c r="M424" i="9"/>
  <c r="L424" i="9"/>
  <c r="K424" i="9"/>
  <c r="J424" i="9"/>
  <c r="I424" i="9"/>
  <c r="H424" i="9"/>
  <c r="G424" i="9"/>
  <c r="F424" i="9"/>
  <c r="E424" i="9"/>
  <c r="D424" i="9"/>
  <c r="C424" i="9"/>
  <c r="B424" i="9"/>
  <c r="A424" i="9"/>
  <c r="N423" i="9"/>
  <c r="M423" i="9"/>
  <c r="L423" i="9"/>
  <c r="K423" i="9"/>
  <c r="J423" i="9"/>
  <c r="I423" i="9"/>
  <c r="H423" i="9"/>
  <c r="G423" i="9"/>
  <c r="F423" i="9"/>
  <c r="E423" i="9"/>
  <c r="D423" i="9"/>
  <c r="C423" i="9"/>
  <c r="B423" i="9"/>
  <c r="A423" i="9"/>
  <c r="N422" i="9"/>
  <c r="M422" i="9"/>
  <c r="L422" i="9"/>
  <c r="K422" i="9"/>
  <c r="J422" i="9"/>
  <c r="I422" i="9"/>
  <c r="H422" i="9"/>
  <c r="G422" i="9"/>
  <c r="F422" i="9"/>
  <c r="E422" i="9"/>
  <c r="D422" i="9"/>
  <c r="C422" i="9"/>
  <c r="B422" i="9"/>
  <c r="A422" i="9"/>
  <c r="N421" i="9"/>
  <c r="M421" i="9"/>
  <c r="L421" i="9"/>
  <c r="K421" i="9"/>
  <c r="J421" i="9"/>
  <c r="I421" i="9"/>
  <c r="H421" i="9"/>
  <c r="G421" i="9"/>
  <c r="F421" i="9"/>
  <c r="E421" i="9"/>
  <c r="D421" i="9"/>
  <c r="C421" i="9"/>
  <c r="B421" i="9"/>
  <c r="A421" i="9"/>
  <c r="N420" i="9"/>
  <c r="M420" i="9"/>
  <c r="L420" i="9"/>
  <c r="K420" i="9"/>
  <c r="J420" i="9"/>
  <c r="I420" i="9"/>
  <c r="H420" i="9"/>
  <c r="G420" i="9"/>
  <c r="F420" i="9"/>
  <c r="E420" i="9"/>
  <c r="D420" i="9"/>
  <c r="C420" i="9"/>
  <c r="B420" i="9"/>
  <c r="A420" i="9"/>
  <c r="N419" i="9"/>
  <c r="M419" i="9"/>
  <c r="L419" i="9"/>
  <c r="K419" i="9"/>
  <c r="J419" i="9"/>
  <c r="I419" i="9"/>
  <c r="H419" i="9"/>
  <c r="G419" i="9"/>
  <c r="F419" i="9"/>
  <c r="E419" i="9"/>
  <c r="D419" i="9"/>
  <c r="C419" i="9"/>
  <c r="B419" i="9"/>
  <c r="A419" i="9"/>
  <c r="N418" i="9"/>
  <c r="M418" i="9"/>
  <c r="L418" i="9"/>
  <c r="K418" i="9"/>
  <c r="J418" i="9"/>
  <c r="I418" i="9"/>
  <c r="H418" i="9"/>
  <c r="G418" i="9"/>
  <c r="F418" i="9"/>
  <c r="E418" i="9"/>
  <c r="D418" i="9"/>
  <c r="C418" i="9"/>
  <c r="B418" i="9"/>
  <c r="A418" i="9"/>
  <c r="N417" i="9"/>
  <c r="M417" i="9"/>
  <c r="L417" i="9"/>
  <c r="K417" i="9"/>
  <c r="J417" i="9"/>
  <c r="I417" i="9"/>
  <c r="H417" i="9"/>
  <c r="G417" i="9"/>
  <c r="F417" i="9"/>
  <c r="E417" i="9"/>
  <c r="D417" i="9"/>
  <c r="C417" i="9"/>
  <c r="B417" i="9"/>
  <c r="A417" i="9"/>
  <c r="N416" i="9"/>
  <c r="M416" i="9"/>
  <c r="L416" i="9"/>
  <c r="K416" i="9"/>
  <c r="J416" i="9"/>
  <c r="I416" i="9"/>
  <c r="H416" i="9"/>
  <c r="G416" i="9"/>
  <c r="F416" i="9"/>
  <c r="E416" i="9"/>
  <c r="D416" i="9"/>
  <c r="C416" i="9"/>
  <c r="B416" i="9"/>
  <c r="A416" i="9"/>
  <c r="N415" i="9"/>
  <c r="M415" i="9"/>
  <c r="L415" i="9"/>
  <c r="K415" i="9"/>
  <c r="J415" i="9"/>
  <c r="I415" i="9"/>
  <c r="H415" i="9"/>
  <c r="G415" i="9"/>
  <c r="F415" i="9"/>
  <c r="E415" i="9"/>
  <c r="D415" i="9"/>
  <c r="C415" i="9"/>
  <c r="B415" i="9"/>
  <c r="A415" i="9"/>
  <c r="N414" i="9"/>
  <c r="M414" i="9"/>
  <c r="L414" i="9"/>
  <c r="K414" i="9"/>
  <c r="J414" i="9"/>
  <c r="I414" i="9"/>
  <c r="H414" i="9"/>
  <c r="G414" i="9"/>
  <c r="F414" i="9"/>
  <c r="E414" i="9"/>
  <c r="D414" i="9"/>
  <c r="C414" i="9"/>
  <c r="B414" i="9"/>
  <c r="A414" i="9"/>
  <c r="N413" i="9"/>
  <c r="M413" i="9"/>
  <c r="L413" i="9"/>
  <c r="K413" i="9"/>
  <c r="J413" i="9"/>
  <c r="I413" i="9"/>
  <c r="H413" i="9"/>
  <c r="G413" i="9"/>
  <c r="F413" i="9"/>
  <c r="E413" i="9"/>
  <c r="D413" i="9"/>
  <c r="C413" i="9"/>
  <c r="B413" i="9"/>
  <c r="A413" i="9"/>
  <c r="N412" i="9"/>
  <c r="M412" i="9"/>
  <c r="L412" i="9"/>
  <c r="K412" i="9"/>
  <c r="J412" i="9"/>
  <c r="I412" i="9"/>
  <c r="H412" i="9"/>
  <c r="G412" i="9"/>
  <c r="F412" i="9"/>
  <c r="E412" i="9"/>
  <c r="D412" i="9"/>
  <c r="C412" i="9"/>
  <c r="B412" i="9"/>
  <c r="A412" i="9"/>
  <c r="N411" i="9"/>
  <c r="M411" i="9"/>
  <c r="L411" i="9"/>
  <c r="K411" i="9"/>
  <c r="J411" i="9"/>
  <c r="I411" i="9"/>
  <c r="H411" i="9"/>
  <c r="G411" i="9"/>
  <c r="F411" i="9"/>
  <c r="E411" i="9"/>
  <c r="D411" i="9"/>
  <c r="C411" i="9"/>
  <c r="B411" i="9"/>
  <c r="A411" i="9"/>
  <c r="N410" i="9"/>
  <c r="M410" i="9"/>
  <c r="L410" i="9"/>
  <c r="K410" i="9"/>
  <c r="J410" i="9"/>
  <c r="I410" i="9"/>
  <c r="H410" i="9"/>
  <c r="G410" i="9"/>
  <c r="F410" i="9"/>
  <c r="E410" i="9"/>
  <c r="D410" i="9"/>
  <c r="C410" i="9"/>
  <c r="B410" i="9"/>
  <c r="A410" i="9"/>
  <c r="N409" i="9"/>
  <c r="M409" i="9"/>
  <c r="L409" i="9"/>
  <c r="K409" i="9"/>
  <c r="J409" i="9"/>
  <c r="I409" i="9"/>
  <c r="H409" i="9"/>
  <c r="G409" i="9"/>
  <c r="F409" i="9"/>
  <c r="E409" i="9"/>
  <c r="D409" i="9"/>
  <c r="C409" i="9"/>
  <c r="B409" i="9"/>
  <c r="A409" i="9"/>
  <c r="N408" i="9"/>
  <c r="M408" i="9"/>
  <c r="L408" i="9"/>
  <c r="K408" i="9"/>
  <c r="J408" i="9"/>
  <c r="I408" i="9"/>
  <c r="H408" i="9"/>
  <c r="G408" i="9"/>
  <c r="F408" i="9"/>
  <c r="E408" i="9"/>
  <c r="D408" i="9"/>
  <c r="C408" i="9"/>
  <c r="B408" i="9"/>
  <c r="A408" i="9"/>
  <c r="N407" i="9"/>
  <c r="M407" i="9"/>
  <c r="L407" i="9"/>
  <c r="K407" i="9"/>
  <c r="J407" i="9"/>
  <c r="I407" i="9"/>
  <c r="H407" i="9"/>
  <c r="G407" i="9"/>
  <c r="F407" i="9"/>
  <c r="E407" i="9"/>
  <c r="D407" i="9"/>
  <c r="C407" i="9"/>
  <c r="B407" i="9"/>
  <c r="A407" i="9"/>
  <c r="N406" i="9"/>
  <c r="M406" i="9"/>
  <c r="L406" i="9"/>
  <c r="K406" i="9"/>
  <c r="J406" i="9"/>
  <c r="I406" i="9"/>
  <c r="H406" i="9"/>
  <c r="G406" i="9"/>
  <c r="F406" i="9"/>
  <c r="E406" i="9"/>
  <c r="D406" i="9"/>
  <c r="C406" i="9"/>
  <c r="B406" i="9"/>
  <c r="A406" i="9"/>
  <c r="N405" i="9"/>
  <c r="M405" i="9"/>
  <c r="L405" i="9"/>
  <c r="K405" i="9"/>
  <c r="J405" i="9"/>
  <c r="I405" i="9"/>
  <c r="H405" i="9"/>
  <c r="G405" i="9"/>
  <c r="F405" i="9"/>
  <c r="E405" i="9"/>
  <c r="D405" i="9"/>
  <c r="C405" i="9"/>
  <c r="B405" i="9"/>
  <c r="A405" i="9"/>
  <c r="N404" i="9"/>
  <c r="M404" i="9"/>
  <c r="L404" i="9"/>
  <c r="K404" i="9"/>
  <c r="J404" i="9"/>
  <c r="I404" i="9"/>
  <c r="H404" i="9"/>
  <c r="G404" i="9"/>
  <c r="F404" i="9"/>
  <c r="E404" i="9"/>
  <c r="D404" i="9"/>
  <c r="C404" i="9"/>
  <c r="B404" i="9"/>
  <c r="A404" i="9"/>
  <c r="N403" i="9"/>
  <c r="M403" i="9"/>
  <c r="L403" i="9"/>
  <c r="K403" i="9"/>
  <c r="J403" i="9"/>
  <c r="I403" i="9"/>
  <c r="H403" i="9"/>
  <c r="G403" i="9"/>
  <c r="F403" i="9"/>
  <c r="E403" i="9"/>
  <c r="D403" i="9"/>
  <c r="C403" i="9"/>
  <c r="B403" i="9"/>
  <c r="A403" i="9"/>
  <c r="N402" i="9"/>
  <c r="M402" i="9"/>
  <c r="L402" i="9"/>
  <c r="K402" i="9"/>
  <c r="J402" i="9"/>
  <c r="I402" i="9"/>
  <c r="H402" i="9"/>
  <c r="G402" i="9"/>
  <c r="F402" i="9"/>
  <c r="E402" i="9"/>
  <c r="D402" i="9"/>
  <c r="C402" i="9"/>
  <c r="B402" i="9"/>
  <c r="A402" i="9"/>
  <c r="N401" i="9"/>
  <c r="M401" i="9"/>
  <c r="L401" i="9"/>
  <c r="K401" i="9"/>
  <c r="J401" i="9"/>
  <c r="I401" i="9"/>
  <c r="H401" i="9"/>
  <c r="G401" i="9"/>
  <c r="F401" i="9"/>
  <c r="E401" i="9"/>
  <c r="D401" i="9"/>
  <c r="C401" i="9"/>
  <c r="B401" i="9"/>
  <c r="A401" i="9"/>
  <c r="N400" i="9"/>
  <c r="M400" i="9"/>
  <c r="L400" i="9"/>
  <c r="K400" i="9"/>
  <c r="J400" i="9"/>
  <c r="I400" i="9"/>
  <c r="H400" i="9"/>
  <c r="G400" i="9"/>
  <c r="F400" i="9"/>
  <c r="E400" i="9"/>
  <c r="D400" i="9"/>
  <c r="C400" i="9"/>
  <c r="B400" i="9"/>
  <c r="A400" i="9"/>
  <c r="N399" i="9"/>
  <c r="M399" i="9"/>
  <c r="L399" i="9"/>
  <c r="K399" i="9"/>
  <c r="J399" i="9"/>
  <c r="I399" i="9"/>
  <c r="H399" i="9"/>
  <c r="G399" i="9"/>
  <c r="F399" i="9"/>
  <c r="E399" i="9"/>
  <c r="D399" i="9"/>
  <c r="C399" i="9"/>
  <c r="B399" i="9"/>
  <c r="A399" i="9"/>
  <c r="N398" i="9"/>
  <c r="M398" i="9"/>
  <c r="L398" i="9"/>
  <c r="K398" i="9"/>
  <c r="J398" i="9"/>
  <c r="I398" i="9"/>
  <c r="H398" i="9"/>
  <c r="G398" i="9"/>
  <c r="F398" i="9"/>
  <c r="E398" i="9"/>
  <c r="D398" i="9"/>
  <c r="C398" i="9"/>
  <c r="B398" i="9"/>
  <c r="A398" i="9"/>
  <c r="N397" i="9"/>
  <c r="M397" i="9"/>
  <c r="L397" i="9"/>
  <c r="K397" i="9"/>
  <c r="J397" i="9"/>
  <c r="I397" i="9"/>
  <c r="H397" i="9"/>
  <c r="G397" i="9"/>
  <c r="F397" i="9"/>
  <c r="E397" i="9"/>
  <c r="D397" i="9"/>
  <c r="C397" i="9"/>
  <c r="B397" i="9"/>
  <c r="A397" i="9"/>
  <c r="N396" i="9"/>
  <c r="M396" i="9"/>
  <c r="L396" i="9"/>
  <c r="K396" i="9"/>
  <c r="J396" i="9"/>
  <c r="I396" i="9"/>
  <c r="H396" i="9"/>
  <c r="G396" i="9"/>
  <c r="F396" i="9"/>
  <c r="E396" i="9"/>
  <c r="D396" i="9"/>
  <c r="C396" i="9"/>
  <c r="B396" i="9"/>
  <c r="A396" i="9"/>
  <c r="N395" i="9"/>
  <c r="M395" i="9"/>
  <c r="L395" i="9"/>
  <c r="K395" i="9"/>
  <c r="J395" i="9"/>
  <c r="I395" i="9"/>
  <c r="H395" i="9"/>
  <c r="G395" i="9"/>
  <c r="F395" i="9"/>
  <c r="E395" i="9"/>
  <c r="D395" i="9"/>
  <c r="C395" i="9"/>
  <c r="B395" i="9"/>
  <c r="A395" i="9"/>
  <c r="N394" i="9"/>
  <c r="M394" i="9"/>
  <c r="L394" i="9"/>
  <c r="K394" i="9"/>
  <c r="J394" i="9"/>
  <c r="I394" i="9"/>
  <c r="H394" i="9"/>
  <c r="G394" i="9"/>
  <c r="F394" i="9"/>
  <c r="E394" i="9"/>
  <c r="D394" i="9"/>
  <c r="C394" i="9"/>
  <c r="B394" i="9"/>
  <c r="A394" i="9"/>
  <c r="N393" i="9"/>
  <c r="M393" i="9"/>
  <c r="L393" i="9"/>
  <c r="K393" i="9"/>
  <c r="J393" i="9"/>
  <c r="I393" i="9"/>
  <c r="H393" i="9"/>
  <c r="G393" i="9"/>
  <c r="F393" i="9"/>
  <c r="E393" i="9"/>
  <c r="D393" i="9"/>
  <c r="C393" i="9"/>
  <c r="B393" i="9"/>
  <c r="A393" i="9"/>
  <c r="N392" i="9"/>
  <c r="M392" i="9"/>
  <c r="L392" i="9"/>
  <c r="K392" i="9"/>
  <c r="J392" i="9"/>
  <c r="I392" i="9"/>
  <c r="H392" i="9"/>
  <c r="G392" i="9"/>
  <c r="F392" i="9"/>
  <c r="E392" i="9"/>
  <c r="D392" i="9"/>
  <c r="C392" i="9"/>
  <c r="B392" i="9"/>
  <c r="A392" i="9"/>
  <c r="N391" i="9"/>
  <c r="M391" i="9"/>
  <c r="L391" i="9"/>
  <c r="K391" i="9"/>
  <c r="J391" i="9"/>
  <c r="I391" i="9"/>
  <c r="H391" i="9"/>
  <c r="G391" i="9"/>
  <c r="F391" i="9"/>
  <c r="E391" i="9"/>
  <c r="D391" i="9"/>
  <c r="C391" i="9"/>
  <c r="B391" i="9"/>
  <c r="A391" i="9"/>
  <c r="N390" i="9"/>
  <c r="M390" i="9"/>
  <c r="L390" i="9"/>
  <c r="K390" i="9"/>
  <c r="J390" i="9"/>
  <c r="I390" i="9"/>
  <c r="H390" i="9"/>
  <c r="G390" i="9"/>
  <c r="F390" i="9"/>
  <c r="E390" i="9"/>
  <c r="D390" i="9"/>
  <c r="C390" i="9"/>
  <c r="B390" i="9"/>
  <c r="A390" i="9"/>
  <c r="N389" i="9"/>
  <c r="M389" i="9"/>
  <c r="L389" i="9"/>
  <c r="K389" i="9"/>
  <c r="J389" i="9"/>
  <c r="I389" i="9"/>
  <c r="H389" i="9"/>
  <c r="G389" i="9"/>
  <c r="F389" i="9"/>
  <c r="E389" i="9"/>
  <c r="D389" i="9"/>
  <c r="C389" i="9"/>
  <c r="B389" i="9"/>
  <c r="A389" i="9"/>
  <c r="N388" i="9"/>
  <c r="M388" i="9"/>
  <c r="L388" i="9"/>
  <c r="K388" i="9"/>
  <c r="J388" i="9"/>
  <c r="I388" i="9"/>
  <c r="H388" i="9"/>
  <c r="G388" i="9"/>
  <c r="F388" i="9"/>
  <c r="E388" i="9"/>
  <c r="D388" i="9"/>
  <c r="C388" i="9"/>
  <c r="B388" i="9"/>
  <c r="A388" i="9"/>
  <c r="N387" i="9"/>
  <c r="M387" i="9"/>
  <c r="L387" i="9"/>
  <c r="K387" i="9"/>
  <c r="J387" i="9"/>
  <c r="I387" i="9"/>
  <c r="H387" i="9"/>
  <c r="G387" i="9"/>
  <c r="F387" i="9"/>
  <c r="E387" i="9"/>
  <c r="D387" i="9"/>
  <c r="C387" i="9"/>
  <c r="B387" i="9"/>
  <c r="A387" i="9"/>
  <c r="N386" i="9"/>
  <c r="M386" i="9"/>
  <c r="L386" i="9"/>
  <c r="K386" i="9"/>
  <c r="J386" i="9"/>
  <c r="I386" i="9"/>
  <c r="H386" i="9"/>
  <c r="G386" i="9"/>
  <c r="F386" i="9"/>
  <c r="E386" i="9"/>
  <c r="D386" i="9"/>
  <c r="C386" i="9"/>
  <c r="B386" i="9"/>
  <c r="A386" i="9"/>
  <c r="N385" i="9"/>
  <c r="M385" i="9"/>
  <c r="L385" i="9"/>
  <c r="K385" i="9"/>
  <c r="J385" i="9"/>
  <c r="I385" i="9"/>
  <c r="H385" i="9"/>
  <c r="G385" i="9"/>
  <c r="F385" i="9"/>
  <c r="E385" i="9"/>
  <c r="D385" i="9"/>
  <c r="C385" i="9"/>
  <c r="B385" i="9"/>
  <c r="A385" i="9"/>
  <c r="N384" i="9"/>
  <c r="M384" i="9"/>
  <c r="L384" i="9"/>
  <c r="K384" i="9"/>
  <c r="J384" i="9"/>
  <c r="I384" i="9"/>
  <c r="H384" i="9"/>
  <c r="G384" i="9"/>
  <c r="F384" i="9"/>
  <c r="E384" i="9"/>
  <c r="D384" i="9"/>
  <c r="C384" i="9"/>
  <c r="B384" i="9"/>
  <c r="A384" i="9"/>
  <c r="N383" i="9"/>
  <c r="M383" i="9"/>
  <c r="L383" i="9"/>
  <c r="K383" i="9"/>
  <c r="J383" i="9"/>
  <c r="I383" i="9"/>
  <c r="H383" i="9"/>
  <c r="G383" i="9"/>
  <c r="F383" i="9"/>
  <c r="E383" i="9"/>
  <c r="D383" i="9"/>
  <c r="C383" i="9"/>
  <c r="B383" i="9"/>
  <c r="A383" i="9"/>
  <c r="N382" i="9"/>
  <c r="M382" i="9"/>
  <c r="L382" i="9"/>
  <c r="K382" i="9"/>
  <c r="J382" i="9"/>
  <c r="I382" i="9"/>
  <c r="H382" i="9"/>
  <c r="G382" i="9"/>
  <c r="F382" i="9"/>
  <c r="E382" i="9"/>
  <c r="D382" i="9"/>
  <c r="C382" i="9"/>
  <c r="B382" i="9"/>
  <c r="A382" i="9"/>
  <c r="N381" i="9"/>
  <c r="M381" i="9"/>
  <c r="L381" i="9"/>
  <c r="K381" i="9"/>
  <c r="J381" i="9"/>
  <c r="I381" i="9"/>
  <c r="H381" i="9"/>
  <c r="G381" i="9"/>
  <c r="F381" i="9"/>
  <c r="E381" i="9"/>
  <c r="D381" i="9"/>
  <c r="C381" i="9"/>
  <c r="B381" i="9"/>
  <c r="A381" i="9"/>
  <c r="N380" i="9"/>
  <c r="M380" i="9"/>
  <c r="L380" i="9"/>
  <c r="K380" i="9"/>
  <c r="J380" i="9"/>
  <c r="I380" i="9"/>
  <c r="H380" i="9"/>
  <c r="G380" i="9"/>
  <c r="F380" i="9"/>
  <c r="E380" i="9"/>
  <c r="D380" i="9"/>
  <c r="C380" i="9"/>
  <c r="B380" i="9"/>
  <c r="A380" i="9"/>
  <c r="N379" i="9"/>
  <c r="M379" i="9"/>
  <c r="L379" i="9"/>
  <c r="K379" i="9"/>
  <c r="J379" i="9"/>
  <c r="I379" i="9"/>
  <c r="H379" i="9"/>
  <c r="G379" i="9"/>
  <c r="F379" i="9"/>
  <c r="E379" i="9"/>
  <c r="D379" i="9"/>
  <c r="C379" i="9"/>
  <c r="B379" i="9"/>
  <c r="A379" i="9"/>
  <c r="N378" i="9"/>
  <c r="M378" i="9"/>
  <c r="L378" i="9"/>
  <c r="K378" i="9"/>
  <c r="J378" i="9"/>
  <c r="I378" i="9"/>
  <c r="H378" i="9"/>
  <c r="G378" i="9"/>
  <c r="F378" i="9"/>
  <c r="E378" i="9"/>
  <c r="D378" i="9"/>
  <c r="C378" i="9"/>
  <c r="B378" i="9"/>
  <c r="A378" i="9"/>
  <c r="N377" i="9"/>
  <c r="M377" i="9"/>
  <c r="L377" i="9"/>
  <c r="K377" i="9"/>
  <c r="J377" i="9"/>
  <c r="I377" i="9"/>
  <c r="H377" i="9"/>
  <c r="G377" i="9"/>
  <c r="F377" i="9"/>
  <c r="E377" i="9"/>
  <c r="D377" i="9"/>
  <c r="C377" i="9"/>
  <c r="B377" i="9"/>
  <c r="A377" i="9"/>
  <c r="N376" i="9"/>
  <c r="M376" i="9"/>
  <c r="L376" i="9"/>
  <c r="K376" i="9"/>
  <c r="J376" i="9"/>
  <c r="I376" i="9"/>
  <c r="H376" i="9"/>
  <c r="G376" i="9"/>
  <c r="F376" i="9"/>
  <c r="E376" i="9"/>
  <c r="D376" i="9"/>
  <c r="C376" i="9"/>
  <c r="B376" i="9"/>
  <c r="A376" i="9"/>
  <c r="N375" i="9"/>
  <c r="M375" i="9"/>
  <c r="L375" i="9"/>
  <c r="K375" i="9"/>
  <c r="J375" i="9"/>
  <c r="I375" i="9"/>
  <c r="H375" i="9"/>
  <c r="G375" i="9"/>
  <c r="F375" i="9"/>
  <c r="E375" i="9"/>
  <c r="D375" i="9"/>
  <c r="C375" i="9"/>
  <c r="B375" i="9"/>
  <c r="A375" i="9"/>
  <c r="N374" i="9"/>
  <c r="M374" i="9"/>
  <c r="L374" i="9"/>
  <c r="K374" i="9"/>
  <c r="J374" i="9"/>
  <c r="I374" i="9"/>
  <c r="H374" i="9"/>
  <c r="G374" i="9"/>
  <c r="F374" i="9"/>
  <c r="E374" i="9"/>
  <c r="D374" i="9"/>
  <c r="C374" i="9"/>
  <c r="B374" i="9"/>
  <c r="A374" i="9"/>
  <c r="N373" i="9"/>
  <c r="M373" i="9"/>
  <c r="L373" i="9"/>
  <c r="K373" i="9"/>
  <c r="J373" i="9"/>
  <c r="I373" i="9"/>
  <c r="H373" i="9"/>
  <c r="G373" i="9"/>
  <c r="F373" i="9"/>
  <c r="E373" i="9"/>
  <c r="D373" i="9"/>
  <c r="C373" i="9"/>
  <c r="B373" i="9"/>
  <c r="A373" i="9"/>
  <c r="N372" i="9"/>
  <c r="M372" i="9"/>
  <c r="L372" i="9"/>
  <c r="K372" i="9"/>
  <c r="J372" i="9"/>
  <c r="I372" i="9"/>
  <c r="H372" i="9"/>
  <c r="G372" i="9"/>
  <c r="F372" i="9"/>
  <c r="E372" i="9"/>
  <c r="D372" i="9"/>
  <c r="C372" i="9"/>
  <c r="B372" i="9"/>
  <c r="A372" i="9"/>
  <c r="N371" i="9"/>
  <c r="M371" i="9"/>
  <c r="L371" i="9"/>
  <c r="K371" i="9"/>
  <c r="J371" i="9"/>
  <c r="I371" i="9"/>
  <c r="H371" i="9"/>
  <c r="G371" i="9"/>
  <c r="F371" i="9"/>
  <c r="E371" i="9"/>
  <c r="D371" i="9"/>
  <c r="C371" i="9"/>
  <c r="B371" i="9"/>
  <c r="A371" i="9"/>
  <c r="N370" i="9"/>
  <c r="M370" i="9"/>
  <c r="L370" i="9"/>
  <c r="K370" i="9"/>
  <c r="J370" i="9"/>
  <c r="I370" i="9"/>
  <c r="H370" i="9"/>
  <c r="G370" i="9"/>
  <c r="F370" i="9"/>
  <c r="E370" i="9"/>
  <c r="D370" i="9"/>
  <c r="C370" i="9"/>
  <c r="B370" i="9"/>
  <c r="A370" i="9"/>
  <c r="N369" i="9"/>
  <c r="M369" i="9"/>
  <c r="L369" i="9"/>
  <c r="K369" i="9"/>
  <c r="J369" i="9"/>
  <c r="I369" i="9"/>
  <c r="H369" i="9"/>
  <c r="G369" i="9"/>
  <c r="F369" i="9"/>
  <c r="E369" i="9"/>
  <c r="D369" i="9"/>
  <c r="C369" i="9"/>
  <c r="B369" i="9"/>
  <c r="A369" i="9"/>
  <c r="N368" i="9"/>
  <c r="M368" i="9"/>
  <c r="L368" i="9"/>
  <c r="K368" i="9"/>
  <c r="J368" i="9"/>
  <c r="I368" i="9"/>
  <c r="H368" i="9"/>
  <c r="G368" i="9"/>
  <c r="F368" i="9"/>
  <c r="E368" i="9"/>
  <c r="D368" i="9"/>
  <c r="C368" i="9"/>
  <c r="B368" i="9"/>
  <c r="A368" i="9"/>
  <c r="N367" i="9"/>
  <c r="M367" i="9"/>
  <c r="L367" i="9"/>
  <c r="K367" i="9"/>
  <c r="J367" i="9"/>
  <c r="I367" i="9"/>
  <c r="H367" i="9"/>
  <c r="G367" i="9"/>
  <c r="F367" i="9"/>
  <c r="E367" i="9"/>
  <c r="D367" i="9"/>
  <c r="C367" i="9"/>
  <c r="B367" i="9"/>
  <c r="A367" i="9"/>
  <c r="N366" i="9"/>
  <c r="M366" i="9"/>
  <c r="L366" i="9"/>
  <c r="K366" i="9"/>
  <c r="J366" i="9"/>
  <c r="I366" i="9"/>
  <c r="H366" i="9"/>
  <c r="G366" i="9"/>
  <c r="F366" i="9"/>
  <c r="E366" i="9"/>
  <c r="D366" i="9"/>
  <c r="C366" i="9"/>
  <c r="B366" i="9"/>
  <c r="A366" i="9"/>
  <c r="N365" i="9"/>
  <c r="M365" i="9"/>
  <c r="L365" i="9"/>
  <c r="K365" i="9"/>
  <c r="J365" i="9"/>
  <c r="I365" i="9"/>
  <c r="H365" i="9"/>
  <c r="G365" i="9"/>
  <c r="F365" i="9"/>
  <c r="E365" i="9"/>
  <c r="D365" i="9"/>
  <c r="C365" i="9"/>
  <c r="B365" i="9"/>
  <c r="A365" i="9"/>
  <c r="N364" i="9"/>
  <c r="M364" i="9"/>
  <c r="L364" i="9"/>
  <c r="K364" i="9"/>
  <c r="J364" i="9"/>
  <c r="I364" i="9"/>
  <c r="H364" i="9"/>
  <c r="G364" i="9"/>
  <c r="F364" i="9"/>
  <c r="E364" i="9"/>
  <c r="D364" i="9"/>
  <c r="C364" i="9"/>
  <c r="B364" i="9"/>
  <c r="A364" i="9"/>
  <c r="N363" i="9"/>
  <c r="M363" i="9"/>
  <c r="L363" i="9"/>
  <c r="K363" i="9"/>
  <c r="J363" i="9"/>
  <c r="I363" i="9"/>
  <c r="H363" i="9"/>
  <c r="G363" i="9"/>
  <c r="F363" i="9"/>
  <c r="E363" i="9"/>
  <c r="D363" i="9"/>
  <c r="C363" i="9"/>
  <c r="B363" i="9"/>
  <c r="A363" i="9"/>
  <c r="N362" i="9"/>
  <c r="M362" i="9"/>
  <c r="L362" i="9"/>
  <c r="K362" i="9"/>
  <c r="J362" i="9"/>
  <c r="I362" i="9"/>
  <c r="H362" i="9"/>
  <c r="G362" i="9"/>
  <c r="F362" i="9"/>
  <c r="E362" i="9"/>
  <c r="D362" i="9"/>
  <c r="C362" i="9"/>
  <c r="B362" i="9"/>
  <c r="A362" i="9"/>
  <c r="N361" i="9"/>
  <c r="M361" i="9"/>
  <c r="L361" i="9"/>
  <c r="K361" i="9"/>
  <c r="J361" i="9"/>
  <c r="I361" i="9"/>
  <c r="H361" i="9"/>
  <c r="G361" i="9"/>
  <c r="F361" i="9"/>
  <c r="E361" i="9"/>
  <c r="D361" i="9"/>
  <c r="C361" i="9"/>
  <c r="B361" i="9"/>
  <c r="A361" i="9"/>
  <c r="N360" i="9"/>
  <c r="M360" i="9"/>
  <c r="L360" i="9"/>
  <c r="K360" i="9"/>
  <c r="J360" i="9"/>
  <c r="I360" i="9"/>
  <c r="H360" i="9"/>
  <c r="G360" i="9"/>
  <c r="F360" i="9"/>
  <c r="E360" i="9"/>
  <c r="D360" i="9"/>
  <c r="C360" i="9"/>
  <c r="B360" i="9"/>
  <c r="A360" i="9"/>
  <c r="N359" i="9"/>
  <c r="M359" i="9"/>
  <c r="L359" i="9"/>
  <c r="K359" i="9"/>
  <c r="J359" i="9"/>
  <c r="I359" i="9"/>
  <c r="H359" i="9"/>
  <c r="G359" i="9"/>
  <c r="F359" i="9"/>
  <c r="E359" i="9"/>
  <c r="D359" i="9"/>
  <c r="C359" i="9"/>
  <c r="B359" i="9"/>
  <c r="A359" i="9"/>
  <c r="N358" i="9"/>
  <c r="M358" i="9"/>
  <c r="L358" i="9"/>
  <c r="K358" i="9"/>
  <c r="J358" i="9"/>
  <c r="I358" i="9"/>
  <c r="H358" i="9"/>
  <c r="G358" i="9"/>
  <c r="F358" i="9"/>
  <c r="E358" i="9"/>
  <c r="D358" i="9"/>
  <c r="C358" i="9"/>
  <c r="B358" i="9"/>
  <c r="A358" i="9"/>
  <c r="N357" i="9"/>
  <c r="M357" i="9"/>
  <c r="L357" i="9"/>
  <c r="K357" i="9"/>
  <c r="J357" i="9"/>
  <c r="I357" i="9"/>
  <c r="H357" i="9"/>
  <c r="G357" i="9"/>
  <c r="F357" i="9"/>
  <c r="E357" i="9"/>
  <c r="D357" i="9"/>
  <c r="C357" i="9"/>
  <c r="B357" i="9"/>
  <c r="A357" i="9"/>
  <c r="N356" i="9"/>
  <c r="M356" i="9"/>
  <c r="L356" i="9"/>
  <c r="K356" i="9"/>
  <c r="J356" i="9"/>
  <c r="I356" i="9"/>
  <c r="H356" i="9"/>
  <c r="G356" i="9"/>
  <c r="F356" i="9"/>
  <c r="E356" i="9"/>
  <c r="D356" i="9"/>
  <c r="C356" i="9"/>
  <c r="B356" i="9"/>
  <c r="A356" i="9"/>
  <c r="N355" i="9"/>
  <c r="M355" i="9"/>
  <c r="L355" i="9"/>
  <c r="K355" i="9"/>
  <c r="J355" i="9"/>
  <c r="I355" i="9"/>
  <c r="H355" i="9"/>
  <c r="G355" i="9"/>
  <c r="F355" i="9"/>
  <c r="E355" i="9"/>
  <c r="D355" i="9"/>
  <c r="C355" i="9"/>
  <c r="B355" i="9"/>
  <c r="A355" i="9"/>
  <c r="N354" i="9"/>
  <c r="M354" i="9"/>
  <c r="L354" i="9"/>
  <c r="K354" i="9"/>
  <c r="J354" i="9"/>
  <c r="I354" i="9"/>
  <c r="H354" i="9"/>
  <c r="G354" i="9"/>
  <c r="F354" i="9"/>
  <c r="E354" i="9"/>
  <c r="D354" i="9"/>
  <c r="C354" i="9"/>
  <c r="B354" i="9"/>
  <c r="A354" i="9"/>
  <c r="N353" i="9"/>
  <c r="M353" i="9"/>
  <c r="L353" i="9"/>
  <c r="K353" i="9"/>
  <c r="J353" i="9"/>
  <c r="I353" i="9"/>
  <c r="H353" i="9"/>
  <c r="G353" i="9"/>
  <c r="F353" i="9"/>
  <c r="E353" i="9"/>
  <c r="D353" i="9"/>
  <c r="C353" i="9"/>
  <c r="B353" i="9"/>
  <c r="A353" i="9"/>
  <c r="N352" i="9"/>
  <c r="M352" i="9"/>
  <c r="L352" i="9"/>
  <c r="K352" i="9"/>
  <c r="J352" i="9"/>
  <c r="I352" i="9"/>
  <c r="H352" i="9"/>
  <c r="G352" i="9"/>
  <c r="F352" i="9"/>
  <c r="E352" i="9"/>
  <c r="D352" i="9"/>
  <c r="C352" i="9"/>
  <c r="B352" i="9"/>
  <c r="A352" i="9"/>
  <c r="N351" i="9"/>
  <c r="M351" i="9"/>
  <c r="L351" i="9"/>
  <c r="K351" i="9"/>
  <c r="J351" i="9"/>
  <c r="I351" i="9"/>
  <c r="H351" i="9"/>
  <c r="G351" i="9"/>
  <c r="F351" i="9"/>
  <c r="E351" i="9"/>
  <c r="D351" i="9"/>
  <c r="C351" i="9"/>
  <c r="B351" i="9"/>
  <c r="A351" i="9"/>
  <c r="N350" i="9"/>
  <c r="M350" i="9"/>
  <c r="L350" i="9"/>
  <c r="K350" i="9"/>
  <c r="J350" i="9"/>
  <c r="I350" i="9"/>
  <c r="H350" i="9"/>
  <c r="G350" i="9"/>
  <c r="F350" i="9"/>
  <c r="E350" i="9"/>
  <c r="D350" i="9"/>
  <c r="C350" i="9"/>
  <c r="B350" i="9"/>
  <c r="A350" i="9"/>
  <c r="N349" i="9"/>
  <c r="M349" i="9"/>
  <c r="L349" i="9"/>
  <c r="K349" i="9"/>
  <c r="J349" i="9"/>
  <c r="I349" i="9"/>
  <c r="H349" i="9"/>
  <c r="G349" i="9"/>
  <c r="F349" i="9"/>
  <c r="E349" i="9"/>
  <c r="D349" i="9"/>
  <c r="C349" i="9"/>
  <c r="B349" i="9"/>
  <c r="A349" i="9"/>
  <c r="N348" i="9"/>
  <c r="M348" i="9"/>
  <c r="L348" i="9"/>
  <c r="K348" i="9"/>
  <c r="J348" i="9"/>
  <c r="I348" i="9"/>
  <c r="H348" i="9"/>
  <c r="G348" i="9"/>
  <c r="F348" i="9"/>
  <c r="E348" i="9"/>
  <c r="D348" i="9"/>
  <c r="C348" i="9"/>
  <c r="B348" i="9"/>
  <c r="A348" i="9"/>
  <c r="N347" i="9"/>
  <c r="M347" i="9"/>
  <c r="L347" i="9"/>
  <c r="K347" i="9"/>
  <c r="J347" i="9"/>
  <c r="I347" i="9"/>
  <c r="H347" i="9"/>
  <c r="G347" i="9"/>
  <c r="F347" i="9"/>
  <c r="E347" i="9"/>
  <c r="D347" i="9"/>
  <c r="C347" i="9"/>
  <c r="B347" i="9"/>
  <c r="A347" i="9"/>
  <c r="N346" i="9"/>
  <c r="M346" i="9"/>
  <c r="L346" i="9"/>
  <c r="K346" i="9"/>
  <c r="J346" i="9"/>
  <c r="I346" i="9"/>
  <c r="H346" i="9"/>
  <c r="G346" i="9"/>
  <c r="F346" i="9"/>
  <c r="E346" i="9"/>
  <c r="D346" i="9"/>
  <c r="C346" i="9"/>
  <c r="B346" i="9"/>
  <c r="A346" i="9"/>
  <c r="N345" i="9"/>
  <c r="M345" i="9"/>
  <c r="L345" i="9"/>
  <c r="K345" i="9"/>
  <c r="J345" i="9"/>
  <c r="I345" i="9"/>
  <c r="H345" i="9"/>
  <c r="G345" i="9"/>
  <c r="F345" i="9"/>
  <c r="E345" i="9"/>
  <c r="D345" i="9"/>
  <c r="C345" i="9"/>
  <c r="B345" i="9"/>
  <c r="A345" i="9"/>
  <c r="N344" i="9"/>
  <c r="M344" i="9"/>
  <c r="L344" i="9"/>
  <c r="K344" i="9"/>
  <c r="J344" i="9"/>
  <c r="I344" i="9"/>
  <c r="H344" i="9"/>
  <c r="G344" i="9"/>
  <c r="F344" i="9"/>
  <c r="E344" i="9"/>
  <c r="D344" i="9"/>
  <c r="C344" i="9"/>
  <c r="B344" i="9"/>
  <c r="A344" i="9"/>
  <c r="N343" i="9"/>
  <c r="M343" i="9"/>
  <c r="L343" i="9"/>
  <c r="K343" i="9"/>
  <c r="J343" i="9"/>
  <c r="I343" i="9"/>
  <c r="H343" i="9"/>
  <c r="G343" i="9"/>
  <c r="F343" i="9"/>
  <c r="E343" i="9"/>
  <c r="D343" i="9"/>
  <c r="C343" i="9"/>
  <c r="B343" i="9"/>
  <c r="A343" i="9"/>
  <c r="N342" i="9"/>
  <c r="M342" i="9"/>
  <c r="L342" i="9"/>
  <c r="K342" i="9"/>
  <c r="J342" i="9"/>
  <c r="I342" i="9"/>
  <c r="H342" i="9"/>
  <c r="G342" i="9"/>
  <c r="F342" i="9"/>
  <c r="E342" i="9"/>
  <c r="D342" i="9"/>
  <c r="C342" i="9"/>
  <c r="B342" i="9"/>
  <c r="A342" i="9"/>
  <c r="N341" i="9"/>
  <c r="M341" i="9"/>
  <c r="L341" i="9"/>
  <c r="K341" i="9"/>
  <c r="J341" i="9"/>
  <c r="I341" i="9"/>
  <c r="H341" i="9"/>
  <c r="G341" i="9"/>
  <c r="F341" i="9"/>
  <c r="E341" i="9"/>
  <c r="D341" i="9"/>
  <c r="C341" i="9"/>
  <c r="B341" i="9"/>
  <c r="A341" i="9"/>
  <c r="N340" i="9"/>
  <c r="M340" i="9"/>
  <c r="L340" i="9"/>
  <c r="K340" i="9"/>
  <c r="J340" i="9"/>
  <c r="I340" i="9"/>
  <c r="H340" i="9"/>
  <c r="G340" i="9"/>
  <c r="F340" i="9"/>
  <c r="E340" i="9"/>
  <c r="D340" i="9"/>
  <c r="C340" i="9"/>
  <c r="B340" i="9"/>
  <c r="A340" i="9"/>
  <c r="N339" i="9"/>
  <c r="M339" i="9"/>
  <c r="L339" i="9"/>
  <c r="K339" i="9"/>
  <c r="J339" i="9"/>
  <c r="I339" i="9"/>
  <c r="H339" i="9"/>
  <c r="G339" i="9"/>
  <c r="F339" i="9"/>
  <c r="E339" i="9"/>
  <c r="D339" i="9"/>
  <c r="C339" i="9"/>
  <c r="B339" i="9"/>
  <c r="A339" i="9"/>
  <c r="N338" i="9"/>
  <c r="M338" i="9"/>
  <c r="L338" i="9"/>
  <c r="K338" i="9"/>
  <c r="J338" i="9"/>
  <c r="I338" i="9"/>
  <c r="H338" i="9"/>
  <c r="G338" i="9"/>
  <c r="F338" i="9"/>
  <c r="E338" i="9"/>
  <c r="D338" i="9"/>
  <c r="C338" i="9"/>
  <c r="B338" i="9"/>
  <c r="A338" i="9"/>
  <c r="N337" i="9"/>
  <c r="M337" i="9"/>
  <c r="L337" i="9"/>
  <c r="K337" i="9"/>
  <c r="J337" i="9"/>
  <c r="I337" i="9"/>
  <c r="H337" i="9"/>
  <c r="G337" i="9"/>
  <c r="F337" i="9"/>
  <c r="E337" i="9"/>
  <c r="D337" i="9"/>
  <c r="C337" i="9"/>
  <c r="B337" i="9"/>
  <c r="A337" i="9"/>
  <c r="N336" i="9"/>
  <c r="M336" i="9"/>
  <c r="L336" i="9"/>
  <c r="K336" i="9"/>
  <c r="J336" i="9"/>
  <c r="I336" i="9"/>
  <c r="H336" i="9"/>
  <c r="G336" i="9"/>
  <c r="F336" i="9"/>
  <c r="E336" i="9"/>
  <c r="D336" i="9"/>
  <c r="C336" i="9"/>
  <c r="B336" i="9"/>
  <c r="A336" i="9"/>
  <c r="N335" i="9"/>
  <c r="M335" i="9"/>
  <c r="L335" i="9"/>
  <c r="K335" i="9"/>
  <c r="J335" i="9"/>
  <c r="I335" i="9"/>
  <c r="H335" i="9"/>
  <c r="G335" i="9"/>
  <c r="F335" i="9"/>
  <c r="E335" i="9"/>
  <c r="D335" i="9"/>
  <c r="C335" i="9"/>
  <c r="B335" i="9"/>
  <c r="A335" i="9"/>
  <c r="N334" i="9"/>
  <c r="M334" i="9"/>
  <c r="L334" i="9"/>
  <c r="K334" i="9"/>
  <c r="J334" i="9"/>
  <c r="I334" i="9"/>
  <c r="H334" i="9"/>
  <c r="G334" i="9"/>
  <c r="F334" i="9"/>
  <c r="E334" i="9"/>
  <c r="D334" i="9"/>
  <c r="C334" i="9"/>
  <c r="B334" i="9"/>
  <c r="A334" i="9"/>
  <c r="N333" i="9"/>
  <c r="M333" i="9"/>
  <c r="L333" i="9"/>
  <c r="K333" i="9"/>
  <c r="J333" i="9"/>
  <c r="I333" i="9"/>
  <c r="H333" i="9"/>
  <c r="G333" i="9"/>
  <c r="F333" i="9"/>
  <c r="E333" i="9"/>
  <c r="D333" i="9"/>
  <c r="C333" i="9"/>
  <c r="B333" i="9"/>
  <c r="A333" i="9"/>
  <c r="N332" i="9"/>
  <c r="M332" i="9"/>
  <c r="L332" i="9"/>
  <c r="K332" i="9"/>
  <c r="J332" i="9"/>
  <c r="I332" i="9"/>
  <c r="H332" i="9"/>
  <c r="G332" i="9"/>
  <c r="F332" i="9"/>
  <c r="E332" i="9"/>
  <c r="D332" i="9"/>
  <c r="C332" i="9"/>
  <c r="B332" i="9"/>
  <c r="A332" i="9"/>
  <c r="N331" i="9"/>
  <c r="M331" i="9"/>
  <c r="L331" i="9"/>
  <c r="K331" i="9"/>
  <c r="J331" i="9"/>
  <c r="I331" i="9"/>
  <c r="H331" i="9"/>
  <c r="G331" i="9"/>
  <c r="F331" i="9"/>
  <c r="E331" i="9"/>
  <c r="D331" i="9"/>
  <c r="C331" i="9"/>
  <c r="B331" i="9"/>
  <c r="A331" i="9"/>
  <c r="N330" i="9"/>
  <c r="M330" i="9"/>
  <c r="L330" i="9"/>
  <c r="K330" i="9"/>
  <c r="J330" i="9"/>
  <c r="I330" i="9"/>
  <c r="H330" i="9"/>
  <c r="G330" i="9"/>
  <c r="F330" i="9"/>
  <c r="E330" i="9"/>
  <c r="D330" i="9"/>
  <c r="C330" i="9"/>
  <c r="B330" i="9"/>
  <c r="A330" i="9"/>
  <c r="N329" i="9"/>
  <c r="M329" i="9"/>
  <c r="L329" i="9"/>
  <c r="K329" i="9"/>
  <c r="J329" i="9"/>
  <c r="I329" i="9"/>
  <c r="H329" i="9"/>
  <c r="G329" i="9"/>
  <c r="F329" i="9"/>
  <c r="E329" i="9"/>
  <c r="D329" i="9"/>
  <c r="C329" i="9"/>
  <c r="B329" i="9"/>
  <c r="A329" i="9"/>
  <c r="N328" i="9"/>
  <c r="M328" i="9"/>
  <c r="L328" i="9"/>
  <c r="K328" i="9"/>
  <c r="J328" i="9"/>
  <c r="I328" i="9"/>
  <c r="H328" i="9"/>
  <c r="G328" i="9"/>
  <c r="F328" i="9"/>
  <c r="E328" i="9"/>
  <c r="D328" i="9"/>
  <c r="C328" i="9"/>
  <c r="B328" i="9"/>
  <c r="A328" i="9"/>
  <c r="N327" i="9"/>
  <c r="M327" i="9"/>
  <c r="L327" i="9"/>
  <c r="K327" i="9"/>
  <c r="J327" i="9"/>
  <c r="I327" i="9"/>
  <c r="H327" i="9"/>
  <c r="G327" i="9"/>
  <c r="F327" i="9"/>
  <c r="E327" i="9"/>
  <c r="D327" i="9"/>
  <c r="C327" i="9"/>
  <c r="B327" i="9"/>
  <c r="A327" i="9"/>
  <c r="N326" i="9"/>
  <c r="M326" i="9"/>
  <c r="L326" i="9"/>
  <c r="K326" i="9"/>
  <c r="J326" i="9"/>
  <c r="I326" i="9"/>
  <c r="H326" i="9"/>
  <c r="G326" i="9"/>
  <c r="F326" i="9"/>
  <c r="E326" i="9"/>
  <c r="D326" i="9"/>
  <c r="C326" i="9"/>
  <c r="B326" i="9"/>
  <c r="A326" i="9"/>
  <c r="N325" i="9"/>
  <c r="M325" i="9"/>
  <c r="L325" i="9"/>
  <c r="K325" i="9"/>
  <c r="J325" i="9"/>
  <c r="I325" i="9"/>
  <c r="H325" i="9"/>
  <c r="G325" i="9"/>
  <c r="F325" i="9"/>
  <c r="E325" i="9"/>
  <c r="D325" i="9"/>
  <c r="C325" i="9"/>
  <c r="B325" i="9"/>
  <c r="A325" i="9"/>
  <c r="N324" i="9"/>
  <c r="M324" i="9"/>
  <c r="L324" i="9"/>
  <c r="K324" i="9"/>
  <c r="J324" i="9"/>
  <c r="I324" i="9"/>
  <c r="H324" i="9"/>
  <c r="G324" i="9"/>
  <c r="F324" i="9"/>
  <c r="E324" i="9"/>
  <c r="D324" i="9"/>
  <c r="C324" i="9"/>
  <c r="B324" i="9"/>
  <c r="A324" i="9"/>
  <c r="N323" i="9"/>
  <c r="M323" i="9"/>
  <c r="L323" i="9"/>
  <c r="K323" i="9"/>
  <c r="J323" i="9"/>
  <c r="I323" i="9"/>
  <c r="H323" i="9"/>
  <c r="G323" i="9"/>
  <c r="F323" i="9"/>
  <c r="E323" i="9"/>
  <c r="D323" i="9"/>
  <c r="C323" i="9"/>
  <c r="B323" i="9"/>
  <c r="A323" i="9"/>
  <c r="N322" i="9"/>
  <c r="M322" i="9"/>
  <c r="L322" i="9"/>
  <c r="K322" i="9"/>
  <c r="J322" i="9"/>
  <c r="I322" i="9"/>
  <c r="H322" i="9"/>
  <c r="G322" i="9"/>
  <c r="F322" i="9"/>
  <c r="E322" i="9"/>
  <c r="D322" i="9"/>
  <c r="C322" i="9"/>
  <c r="B322" i="9"/>
  <c r="A322" i="9"/>
  <c r="N321" i="9"/>
  <c r="M321" i="9"/>
  <c r="L321" i="9"/>
  <c r="K321" i="9"/>
  <c r="J321" i="9"/>
  <c r="I321" i="9"/>
  <c r="H321" i="9"/>
  <c r="G321" i="9"/>
  <c r="F321" i="9"/>
  <c r="E321" i="9"/>
  <c r="D321" i="9"/>
  <c r="C321" i="9"/>
  <c r="B321" i="9"/>
  <c r="A321" i="9"/>
  <c r="N320" i="9"/>
  <c r="M320" i="9"/>
  <c r="L320" i="9"/>
  <c r="K320" i="9"/>
  <c r="J320" i="9"/>
  <c r="I320" i="9"/>
  <c r="H320" i="9"/>
  <c r="G320" i="9"/>
  <c r="F320" i="9"/>
  <c r="E320" i="9"/>
  <c r="D320" i="9"/>
  <c r="C320" i="9"/>
  <c r="B320" i="9"/>
  <c r="A320" i="9"/>
  <c r="N319" i="9"/>
  <c r="M319" i="9"/>
  <c r="L319" i="9"/>
  <c r="K319" i="9"/>
  <c r="J319" i="9"/>
  <c r="I319" i="9"/>
  <c r="H319" i="9"/>
  <c r="G319" i="9"/>
  <c r="F319" i="9"/>
  <c r="E319" i="9"/>
  <c r="D319" i="9"/>
  <c r="C319" i="9"/>
  <c r="B319" i="9"/>
  <c r="A319" i="9"/>
  <c r="N318" i="9"/>
  <c r="M318" i="9"/>
  <c r="L318" i="9"/>
  <c r="K318" i="9"/>
  <c r="J318" i="9"/>
  <c r="I318" i="9"/>
  <c r="H318" i="9"/>
  <c r="G318" i="9"/>
  <c r="F318" i="9"/>
  <c r="E318" i="9"/>
  <c r="D318" i="9"/>
  <c r="C318" i="9"/>
  <c r="B318" i="9"/>
  <c r="A318" i="9"/>
  <c r="N317" i="9"/>
  <c r="M317" i="9"/>
  <c r="L317" i="9"/>
  <c r="K317" i="9"/>
  <c r="J317" i="9"/>
  <c r="I317" i="9"/>
  <c r="H317" i="9"/>
  <c r="G317" i="9"/>
  <c r="F317" i="9"/>
  <c r="E317" i="9"/>
  <c r="D317" i="9"/>
  <c r="C317" i="9"/>
  <c r="B317" i="9"/>
  <c r="A317" i="9"/>
  <c r="N316" i="9"/>
  <c r="M316" i="9"/>
  <c r="L316" i="9"/>
  <c r="K316" i="9"/>
  <c r="J316" i="9"/>
  <c r="I316" i="9"/>
  <c r="H316" i="9"/>
  <c r="G316" i="9"/>
  <c r="F316" i="9"/>
  <c r="E316" i="9"/>
  <c r="D316" i="9"/>
  <c r="C316" i="9"/>
  <c r="B316" i="9"/>
  <c r="A316" i="9"/>
  <c r="N315" i="9"/>
  <c r="M315" i="9"/>
  <c r="L315" i="9"/>
  <c r="K315" i="9"/>
  <c r="J315" i="9"/>
  <c r="I315" i="9"/>
  <c r="H315" i="9"/>
  <c r="G315" i="9"/>
  <c r="F315" i="9"/>
  <c r="E315" i="9"/>
  <c r="D315" i="9"/>
  <c r="C315" i="9"/>
  <c r="B315" i="9"/>
  <c r="A315" i="9"/>
  <c r="N314" i="9"/>
  <c r="M314" i="9"/>
  <c r="L314" i="9"/>
  <c r="K314" i="9"/>
  <c r="J314" i="9"/>
  <c r="I314" i="9"/>
  <c r="H314" i="9"/>
  <c r="G314" i="9"/>
  <c r="F314" i="9"/>
  <c r="E314" i="9"/>
  <c r="D314" i="9"/>
  <c r="C314" i="9"/>
  <c r="B314" i="9"/>
  <c r="A314" i="9"/>
  <c r="N313" i="9"/>
  <c r="M313" i="9"/>
  <c r="L313" i="9"/>
  <c r="K313" i="9"/>
  <c r="J313" i="9"/>
  <c r="I313" i="9"/>
  <c r="H313" i="9"/>
  <c r="G313" i="9"/>
  <c r="F313" i="9"/>
  <c r="E313" i="9"/>
  <c r="D313" i="9"/>
  <c r="C313" i="9"/>
  <c r="B313" i="9"/>
  <c r="A313" i="9"/>
  <c r="N312" i="9"/>
  <c r="M312" i="9"/>
  <c r="L312" i="9"/>
  <c r="K312" i="9"/>
  <c r="J312" i="9"/>
  <c r="I312" i="9"/>
  <c r="H312" i="9"/>
  <c r="G312" i="9"/>
  <c r="F312" i="9"/>
  <c r="E312" i="9"/>
  <c r="D312" i="9"/>
  <c r="C312" i="9"/>
  <c r="B312" i="9"/>
  <c r="A312" i="9"/>
  <c r="N311" i="9"/>
  <c r="M311" i="9"/>
  <c r="L311" i="9"/>
  <c r="K311" i="9"/>
  <c r="J311" i="9"/>
  <c r="I311" i="9"/>
  <c r="H311" i="9"/>
  <c r="G311" i="9"/>
  <c r="F311" i="9"/>
  <c r="E311" i="9"/>
  <c r="D311" i="9"/>
  <c r="C311" i="9"/>
  <c r="B311" i="9"/>
  <c r="A311" i="9"/>
  <c r="N310" i="9"/>
  <c r="M310" i="9"/>
  <c r="L310" i="9"/>
  <c r="K310" i="9"/>
  <c r="J310" i="9"/>
  <c r="I310" i="9"/>
  <c r="H310" i="9"/>
  <c r="G310" i="9"/>
  <c r="F310" i="9"/>
  <c r="E310" i="9"/>
  <c r="D310" i="9"/>
  <c r="C310" i="9"/>
  <c r="B310" i="9"/>
  <c r="A310" i="9"/>
  <c r="N309" i="9"/>
  <c r="M309" i="9"/>
  <c r="L309" i="9"/>
  <c r="K309" i="9"/>
  <c r="J309" i="9"/>
  <c r="I309" i="9"/>
  <c r="H309" i="9"/>
  <c r="G309" i="9"/>
  <c r="F309" i="9"/>
  <c r="E309" i="9"/>
  <c r="D309" i="9"/>
  <c r="C309" i="9"/>
  <c r="B309" i="9"/>
  <c r="A309" i="9"/>
  <c r="N308" i="9"/>
  <c r="M308" i="9"/>
  <c r="L308" i="9"/>
  <c r="K308" i="9"/>
  <c r="J308" i="9"/>
  <c r="I308" i="9"/>
  <c r="H308" i="9"/>
  <c r="G308" i="9"/>
  <c r="F308" i="9"/>
  <c r="E308" i="9"/>
  <c r="D308" i="9"/>
  <c r="C308" i="9"/>
  <c r="B308" i="9"/>
  <c r="A308" i="9"/>
  <c r="N307" i="9"/>
  <c r="M307" i="9"/>
  <c r="L307" i="9"/>
  <c r="K307" i="9"/>
  <c r="J307" i="9"/>
  <c r="I307" i="9"/>
  <c r="H307" i="9"/>
  <c r="G307" i="9"/>
  <c r="F307" i="9"/>
  <c r="E307" i="9"/>
  <c r="D307" i="9"/>
  <c r="C307" i="9"/>
  <c r="B307" i="9"/>
  <c r="A307" i="9"/>
  <c r="N306" i="9"/>
  <c r="M306" i="9"/>
  <c r="L306" i="9"/>
  <c r="K306" i="9"/>
  <c r="J306" i="9"/>
  <c r="I306" i="9"/>
  <c r="H306" i="9"/>
  <c r="G306" i="9"/>
  <c r="F306" i="9"/>
  <c r="E306" i="9"/>
  <c r="D306" i="9"/>
  <c r="C306" i="9"/>
  <c r="B306" i="9"/>
  <c r="A306" i="9"/>
  <c r="N305" i="9"/>
  <c r="M305" i="9"/>
  <c r="L305" i="9"/>
  <c r="K305" i="9"/>
  <c r="J305" i="9"/>
  <c r="I305" i="9"/>
  <c r="H305" i="9"/>
  <c r="G305" i="9"/>
  <c r="F305" i="9"/>
  <c r="E305" i="9"/>
  <c r="D305" i="9"/>
  <c r="C305" i="9"/>
  <c r="B305" i="9"/>
  <c r="A305" i="9"/>
  <c r="N304" i="9"/>
  <c r="M304" i="9"/>
  <c r="L304" i="9"/>
  <c r="K304" i="9"/>
  <c r="J304" i="9"/>
  <c r="I304" i="9"/>
  <c r="H304" i="9"/>
  <c r="G304" i="9"/>
  <c r="F304" i="9"/>
  <c r="E304" i="9"/>
  <c r="D304" i="9"/>
  <c r="C304" i="9"/>
  <c r="B304" i="9"/>
  <c r="A304" i="9"/>
  <c r="N303" i="9"/>
  <c r="M303" i="9"/>
  <c r="L303" i="9"/>
  <c r="K303" i="9"/>
  <c r="J303" i="9"/>
  <c r="I303" i="9"/>
  <c r="H303" i="9"/>
  <c r="G303" i="9"/>
  <c r="F303" i="9"/>
  <c r="E303" i="9"/>
  <c r="D303" i="9"/>
  <c r="C303" i="9"/>
  <c r="B303" i="9"/>
  <c r="A303" i="9"/>
  <c r="N302" i="9"/>
  <c r="M302" i="9"/>
  <c r="L302" i="9"/>
  <c r="K302" i="9"/>
  <c r="J302" i="9"/>
  <c r="I302" i="9"/>
  <c r="H302" i="9"/>
  <c r="G302" i="9"/>
  <c r="F302" i="9"/>
  <c r="E302" i="9"/>
  <c r="D302" i="9"/>
  <c r="C302" i="9"/>
  <c r="B302" i="9"/>
  <c r="A302" i="9"/>
  <c r="N301" i="9"/>
  <c r="M301" i="9"/>
  <c r="L301" i="9"/>
  <c r="K301" i="9"/>
  <c r="J301" i="9"/>
  <c r="I301" i="9"/>
  <c r="H301" i="9"/>
  <c r="G301" i="9"/>
  <c r="F301" i="9"/>
  <c r="E301" i="9"/>
  <c r="D301" i="9"/>
  <c r="C301" i="9"/>
  <c r="B301" i="9"/>
  <c r="A301" i="9"/>
  <c r="N300" i="9"/>
  <c r="M300" i="9"/>
  <c r="L300" i="9"/>
  <c r="K300" i="9"/>
  <c r="J300" i="9"/>
  <c r="I300" i="9"/>
  <c r="H300" i="9"/>
  <c r="G300" i="9"/>
  <c r="F300" i="9"/>
  <c r="E300" i="9"/>
  <c r="D300" i="9"/>
  <c r="C300" i="9"/>
  <c r="B300" i="9"/>
  <c r="A300" i="9"/>
  <c r="N299" i="9"/>
  <c r="M299" i="9"/>
  <c r="L299" i="9"/>
  <c r="K299" i="9"/>
  <c r="J299" i="9"/>
  <c r="I299" i="9"/>
  <c r="H299" i="9"/>
  <c r="G299" i="9"/>
  <c r="F299" i="9"/>
  <c r="E299" i="9"/>
  <c r="D299" i="9"/>
  <c r="C299" i="9"/>
  <c r="B299" i="9"/>
  <c r="A299" i="9"/>
  <c r="N298" i="9"/>
  <c r="M298" i="9"/>
  <c r="L298" i="9"/>
  <c r="K298" i="9"/>
  <c r="J298" i="9"/>
  <c r="I298" i="9"/>
  <c r="H298" i="9"/>
  <c r="G298" i="9"/>
  <c r="F298" i="9"/>
  <c r="E298" i="9"/>
  <c r="D298" i="9"/>
  <c r="C298" i="9"/>
  <c r="B298" i="9"/>
  <c r="A298" i="9"/>
  <c r="N297" i="9"/>
  <c r="M297" i="9"/>
  <c r="L297" i="9"/>
  <c r="K297" i="9"/>
  <c r="J297" i="9"/>
  <c r="I297" i="9"/>
  <c r="H297" i="9"/>
  <c r="G297" i="9"/>
  <c r="F297" i="9"/>
  <c r="E297" i="9"/>
  <c r="D297" i="9"/>
  <c r="C297" i="9"/>
  <c r="B297" i="9"/>
  <c r="A297" i="9"/>
  <c r="N296" i="9"/>
  <c r="M296" i="9"/>
  <c r="L296" i="9"/>
  <c r="K296" i="9"/>
  <c r="J296" i="9"/>
  <c r="I296" i="9"/>
  <c r="H296" i="9"/>
  <c r="G296" i="9"/>
  <c r="F296" i="9"/>
  <c r="E296" i="9"/>
  <c r="D296" i="9"/>
  <c r="C296" i="9"/>
  <c r="B296" i="9"/>
  <c r="A296" i="9"/>
  <c r="N295" i="9"/>
  <c r="M295" i="9"/>
  <c r="L295" i="9"/>
  <c r="K295" i="9"/>
  <c r="J295" i="9"/>
  <c r="I295" i="9"/>
  <c r="H295" i="9"/>
  <c r="G295" i="9"/>
  <c r="F295" i="9"/>
  <c r="E295" i="9"/>
  <c r="D295" i="9"/>
  <c r="C295" i="9"/>
  <c r="B295" i="9"/>
  <c r="A295" i="9"/>
  <c r="N294" i="9"/>
  <c r="M294" i="9"/>
  <c r="L294" i="9"/>
  <c r="K294" i="9"/>
  <c r="J294" i="9"/>
  <c r="I294" i="9"/>
  <c r="H294" i="9"/>
  <c r="G294" i="9"/>
  <c r="F294" i="9"/>
  <c r="E294" i="9"/>
  <c r="D294" i="9"/>
  <c r="C294" i="9"/>
  <c r="B294" i="9"/>
  <c r="A294" i="9"/>
  <c r="N293" i="9"/>
  <c r="M293" i="9"/>
  <c r="L293" i="9"/>
  <c r="K293" i="9"/>
  <c r="J293" i="9"/>
  <c r="I293" i="9"/>
  <c r="H293" i="9"/>
  <c r="G293" i="9"/>
  <c r="F293" i="9"/>
  <c r="E293" i="9"/>
  <c r="D293" i="9"/>
  <c r="C293" i="9"/>
  <c r="B293" i="9"/>
  <c r="A293" i="9"/>
  <c r="N292" i="9"/>
  <c r="M292" i="9"/>
  <c r="L292" i="9"/>
  <c r="K292" i="9"/>
  <c r="J292" i="9"/>
  <c r="I292" i="9"/>
  <c r="H292" i="9"/>
  <c r="G292" i="9"/>
  <c r="F292" i="9"/>
  <c r="E292" i="9"/>
  <c r="D292" i="9"/>
  <c r="C292" i="9"/>
  <c r="B292" i="9"/>
  <c r="A292" i="9"/>
  <c r="N291" i="9"/>
  <c r="M291" i="9"/>
  <c r="L291" i="9"/>
  <c r="K291" i="9"/>
  <c r="J291" i="9"/>
  <c r="I291" i="9"/>
  <c r="H291" i="9"/>
  <c r="G291" i="9"/>
  <c r="F291" i="9"/>
  <c r="E291" i="9"/>
  <c r="D291" i="9"/>
  <c r="C291" i="9"/>
  <c r="B291" i="9"/>
  <c r="A291" i="9"/>
  <c r="N290" i="9"/>
  <c r="M290" i="9"/>
  <c r="L290" i="9"/>
  <c r="K290" i="9"/>
  <c r="J290" i="9"/>
  <c r="I290" i="9"/>
  <c r="H290" i="9"/>
  <c r="G290" i="9"/>
  <c r="F290" i="9"/>
  <c r="E290" i="9"/>
  <c r="D290" i="9"/>
  <c r="C290" i="9"/>
  <c r="B290" i="9"/>
  <c r="A290" i="9"/>
  <c r="N289" i="9"/>
  <c r="M289" i="9"/>
  <c r="L289" i="9"/>
  <c r="K289" i="9"/>
  <c r="J289" i="9"/>
  <c r="I289" i="9"/>
  <c r="H289" i="9"/>
  <c r="G289" i="9"/>
  <c r="F289" i="9"/>
  <c r="E289" i="9"/>
  <c r="D289" i="9"/>
  <c r="C289" i="9"/>
  <c r="B289" i="9"/>
  <c r="A289" i="9"/>
  <c r="N288" i="9"/>
  <c r="M288" i="9"/>
  <c r="L288" i="9"/>
  <c r="K288" i="9"/>
  <c r="J288" i="9"/>
  <c r="I288" i="9"/>
  <c r="H288" i="9"/>
  <c r="G288" i="9"/>
  <c r="F288" i="9"/>
  <c r="E288" i="9"/>
  <c r="D288" i="9"/>
  <c r="C288" i="9"/>
  <c r="B288" i="9"/>
  <c r="A288" i="9"/>
  <c r="N287" i="9"/>
  <c r="M287" i="9"/>
  <c r="L287" i="9"/>
  <c r="K287" i="9"/>
  <c r="J287" i="9"/>
  <c r="I287" i="9"/>
  <c r="H287" i="9"/>
  <c r="G287" i="9"/>
  <c r="F287" i="9"/>
  <c r="E287" i="9"/>
  <c r="D287" i="9"/>
  <c r="C287" i="9"/>
  <c r="B287" i="9"/>
  <c r="A287" i="9"/>
  <c r="N286" i="9"/>
  <c r="M286" i="9"/>
  <c r="L286" i="9"/>
  <c r="K286" i="9"/>
  <c r="J286" i="9"/>
  <c r="I286" i="9"/>
  <c r="H286" i="9"/>
  <c r="G286" i="9"/>
  <c r="F286" i="9"/>
  <c r="E286" i="9"/>
  <c r="D286" i="9"/>
  <c r="C286" i="9"/>
  <c r="B286" i="9"/>
  <c r="A286" i="9"/>
  <c r="N285" i="9"/>
  <c r="M285" i="9"/>
  <c r="L285" i="9"/>
  <c r="K285" i="9"/>
  <c r="J285" i="9"/>
  <c r="I285" i="9"/>
  <c r="H285" i="9"/>
  <c r="G285" i="9"/>
  <c r="F285" i="9"/>
  <c r="E285" i="9"/>
  <c r="D285" i="9"/>
  <c r="C285" i="9"/>
  <c r="B285" i="9"/>
  <c r="A285" i="9"/>
  <c r="N284" i="9"/>
  <c r="M284" i="9"/>
  <c r="L284" i="9"/>
  <c r="K284" i="9"/>
  <c r="J284" i="9"/>
  <c r="I284" i="9"/>
  <c r="H284" i="9"/>
  <c r="G284" i="9"/>
  <c r="F284" i="9"/>
  <c r="E284" i="9"/>
  <c r="D284" i="9"/>
  <c r="C284" i="9"/>
  <c r="B284" i="9"/>
  <c r="A284" i="9"/>
  <c r="N283" i="9"/>
  <c r="M283" i="9"/>
  <c r="L283" i="9"/>
  <c r="K283" i="9"/>
  <c r="J283" i="9"/>
  <c r="I283" i="9"/>
  <c r="H283" i="9"/>
  <c r="G283" i="9"/>
  <c r="F283" i="9"/>
  <c r="E283" i="9"/>
  <c r="D283" i="9"/>
  <c r="C283" i="9"/>
  <c r="B283" i="9"/>
  <c r="A283" i="9"/>
  <c r="N282" i="9"/>
  <c r="M282" i="9"/>
  <c r="L282" i="9"/>
  <c r="K282" i="9"/>
  <c r="J282" i="9"/>
  <c r="I282" i="9"/>
  <c r="H282" i="9"/>
  <c r="G282" i="9"/>
  <c r="F282" i="9"/>
  <c r="E282" i="9"/>
  <c r="D282" i="9"/>
  <c r="C282" i="9"/>
  <c r="B282" i="9"/>
  <c r="A282" i="9"/>
  <c r="N281" i="9"/>
  <c r="M281" i="9"/>
  <c r="L281" i="9"/>
  <c r="K281" i="9"/>
  <c r="J281" i="9"/>
  <c r="I281" i="9"/>
  <c r="H281" i="9"/>
  <c r="G281" i="9"/>
  <c r="F281" i="9"/>
  <c r="E281" i="9"/>
  <c r="D281" i="9"/>
  <c r="C281" i="9"/>
  <c r="B281" i="9"/>
  <c r="A281" i="9"/>
  <c r="N280" i="9"/>
  <c r="M280" i="9"/>
  <c r="L280" i="9"/>
  <c r="K280" i="9"/>
  <c r="J280" i="9"/>
  <c r="I280" i="9"/>
  <c r="H280" i="9"/>
  <c r="G280" i="9"/>
  <c r="F280" i="9"/>
  <c r="E280" i="9"/>
  <c r="D280" i="9"/>
  <c r="C280" i="9"/>
  <c r="B280" i="9"/>
  <c r="A280" i="9"/>
  <c r="N279" i="9"/>
  <c r="M279" i="9"/>
  <c r="L279" i="9"/>
  <c r="K279" i="9"/>
  <c r="J279" i="9"/>
  <c r="I279" i="9"/>
  <c r="H279" i="9"/>
  <c r="G279" i="9"/>
  <c r="F279" i="9"/>
  <c r="E279" i="9"/>
  <c r="D279" i="9"/>
  <c r="C279" i="9"/>
  <c r="B279" i="9"/>
  <c r="A279" i="9"/>
  <c r="N278" i="9"/>
  <c r="M278" i="9"/>
  <c r="L278" i="9"/>
  <c r="K278" i="9"/>
  <c r="J278" i="9"/>
  <c r="I278" i="9"/>
  <c r="H278" i="9"/>
  <c r="G278" i="9"/>
  <c r="F278" i="9"/>
  <c r="E278" i="9"/>
  <c r="D278" i="9"/>
  <c r="C278" i="9"/>
  <c r="B278" i="9"/>
  <c r="A278" i="9"/>
  <c r="N277" i="9"/>
  <c r="M277" i="9"/>
  <c r="L277" i="9"/>
  <c r="K277" i="9"/>
  <c r="J277" i="9"/>
  <c r="I277" i="9"/>
  <c r="H277" i="9"/>
  <c r="G277" i="9"/>
  <c r="F277" i="9"/>
  <c r="E277" i="9"/>
  <c r="D277" i="9"/>
  <c r="C277" i="9"/>
  <c r="B277" i="9"/>
  <c r="A277" i="9"/>
  <c r="N276" i="9"/>
  <c r="M276" i="9"/>
  <c r="L276" i="9"/>
  <c r="K276" i="9"/>
  <c r="J276" i="9"/>
  <c r="I276" i="9"/>
  <c r="H276" i="9"/>
  <c r="G276" i="9"/>
  <c r="F276" i="9"/>
  <c r="E276" i="9"/>
  <c r="D276" i="9"/>
  <c r="C276" i="9"/>
  <c r="B276" i="9"/>
  <c r="A276" i="9"/>
  <c r="N275" i="9"/>
  <c r="M275" i="9"/>
  <c r="L275" i="9"/>
  <c r="K275" i="9"/>
  <c r="J275" i="9"/>
  <c r="I275" i="9"/>
  <c r="H275" i="9"/>
  <c r="G275" i="9"/>
  <c r="F275" i="9"/>
  <c r="E275" i="9"/>
  <c r="D275" i="9"/>
  <c r="C275" i="9"/>
  <c r="B275" i="9"/>
  <c r="A275" i="9"/>
  <c r="N274" i="9"/>
  <c r="M274" i="9"/>
  <c r="L274" i="9"/>
  <c r="K274" i="9"/>
  <c r="J274" i="9"/>
  <c r="I274" i="9"/>
  <c r="H274" i="9"/>
  <c r="G274" i="9"/>
  <c r="F274" i="9"/>
  <c r="E274" i="9"/>
  <c r="D274" i="9"/>
  <c r="C274" i="9"/>
  <c r="B274" i="9"/>
  <c r="A274" i="9"/>
  <c r="N273" i="9"/>
  <c r="M273" i="9"/>
  <c r="L273" i="9"/>
  <c r="K273" i="9"/>
  <c r="J273" i="9"/>
  <c r="I273" i="9"/>
  <c r="H273" i="9"/>
  <c r="G273" i="9"/>
  <c r="F273" i="9"/>
  <c r="E273" i="9"/>
  <c r="D273" i="9"/>
  <c r="C273" i="9"/>
  <c r="B273" i="9"/>
  <c r="A273" i="9"/>
  <c r="N272" i="9"/>
  <c r="M272" i="9"/>
  <c r="L272" i="9"/>
  <c r="K272" i="9"/>
  <c r="J272" i="9"/>
  <c r="I272" i="9"/>
  <c r="H272" i="9"/>
  <c r="G272" i="9"/>
  <c r="F272" i="9"/>
  <c r="E272" i="9"/>
  <c r="D272" i="9"/>
  <c r="C272" i="9"/>
  <c r="B272" i="9"/>
  <c r="A272" i="9"/>
  <c r="N271" i="9"/>
  <c r="M271" i="9"/>
  <c r="L271" i="9"/>
  <c r="K271" i="9"/>
  <c r="J271" i="9"/>
  <c r="I271" i="9"/>
  <c r="H271" i="9"/>
  <c r="G271" i="9"/>
  <c r="F271" i="9"/>
  <c r="E271" i="9"/>
  <c r="D271" i="9"/>
  <c r="C271" i="9"/>
  <c r="B271" i="9"/>
  <c r="A271" i="9"/>
  <c r="N270" i="9"/>
  <c r="M270" i="9"/>
  <c r="L270" i="9"/>
  <c r="K270" i="9"/>
  <c r="J270" i="9"/>
  <c r="I270" i="9"/>
  <c r="H270" i="9"/>
  <c r="G270" i="9"/>
  <c r="F270" i="9"/>
  <c r="E270" i="9"/>
  <c r="D270" i="9"/>
  <c r="C270" i="9"/>
  <c r="B270" i="9"/>
  <c r="A270" i="9"/>
  <c r="N269" i="9"/>
  <c r="M269" i="9"/>
  <c r="L269" i="9"/>
  <c r="K269" i="9"/>
  <c r="J269" i="9"/>
  <c r="I269" i="9"/>
  <c r="H269" i="9"/>
  <c r="G269" i="9"/>
  <c r="F269" i="9"/>
  <c r="E269" i="9"/>
  <c r="D269" i="9"/>
  <c r="C269" i="9"/>
  <c r="B269" i="9"/>
  <c r="A269" i="9"/>
  <c r="N268" i="9"/>
  <c r="M268" i="9"/>
  <c r="L268" i="9"/>
  <c r="K268" i="9"/>
  <c r="J268" i="9"/>
  <c r="I268" i="9"/>
  <c r="H268" i="9"/>
  <c r="G268" i="9"/>
  <c r="F268" i="9"/>
  <c r="E268" i="9"/>
  <c r="D268" i="9"/>
  <c r="C268" i="9"/>
  <c r="B268" i="9"/>
  <c r="A268" i="9"/>
  <c r="N267" i="9"/>
  <c r="M267" i="9"/>
  <c r="L267" i="9"/>
  <c r="K267" i="9"/>
  <c r="J267" i="9"/>
  <c r="I267" i="9"/>
  <c r="H267" i="9"/>
  <c r="G267" i="9"/>
  <c r="F267" i="9"/>
  <c r="E267" i="9"/>
  <c r="D267" i="9"/>
  <c r="C267" i="9"/>
  <c r="B267" i="9"/>
  <c r="A267" i="9"/>
  <c r="N266" i="9"/>
  <c r="M266" i="9"/>
  <c r="L266" i="9"/>
  <c r="K266" i="9"/>
  <c r="J266" i="9"/>
  <c r="I266" i="9"/>
  <c r="H266" i="9"/>
  <c r="G266" i="9"/>
  <c r="F266" i="9"/>
  <c r="E266" i="9"/>
  <c r="D266" i="9"/>
  <c r="C266" i="9"/>
  <c r="B266" i="9"/>
  <c r="A266" i="9"/>
  <c r="N265" i="9"/>
  <c r="M265" i="9"/>
  <c r="L265" i="9"/>
  <c r="K265" i="9"/>
  <c r="J265" i="9"/>
  <c r="I265" i="9"/>
  <c r="H265" i="9"/>
  <c r="G265" i="9"/>
  <c r="F265" i="9"/>
  <c r="E265" i="9"/>
  <c r="D265" i="9"/>
  <c r="C265" i="9"/>
  <c r="B265" i="9"/>
  <c r="A265" i="9"/>
  <c r="N264" i="9"/>
  <c r="M264" i="9"/>
  <c r="L264" i="9"/>
  <c r="K264" i="9"/>
  <c r="J264" i="9"/>
  <c r="I264" i="9"/>
  <c r="H264" i="9"/>
  <c r="G264" i="9"/>
  <c r="F264" i="9"/>
  <c r="E264" i="9"/>
  <c r="D264" i="9"/>
  <c r="C264" i="9"/>
  <c r="B264" i="9"/>
  <c r="A264" i="9"/>
  <c r="N263" i="9"/>
  <c r="M263" i="9"/>
  <c r="L263" i="9"/>
  <c r="K263" i="9"/>
  <c r="J263" i="9"/>
  <c r="I263" i="9"/>
  <c r="H263" i="9"/>
  <c r="G263" i="9"/>
  <c r="F263" i="9"/>
  <c r="E263" i="9"/>
  <c r="D263" i="9"/>
  <c r="C263" i="9"/>
  <c r="B263" i="9"/>
  <c r="A263" i="9"/>
  <c r="N262" i="9"/>
  <c r="M262" i="9"/>
  <c r="L262" i="9"/>
  <c r="K262" i="9"/>
  <c r="J262" i="9"/>
  <c r="I262" i="9"/>
  <c r="H262" i="9"/>
  <c r="G262" i="9"/>
  <c r="F262" i="9"/>
  <c r="E262" i="9"/>
  <c r="D262" i="9"/>
  <c r="C262" i="9"/>
  <c r="B262" i="9"/>
  <c r="A262" i="9"/>
  <c r="N261" i="9"/>
  <c r="M261" i="9"/>
  <c r="L261" i="9"/>
  <c r="K261" i="9"/>
  <c r="J261" i="9"/>
  <c r="I261" i="9"/>
  <c r="H261" i="9"/>
  <c r="G261" i="9"/>
  <c r="F261" i="9"/>
  <c r="E261" i="9"/>
  <c r="D261" i="9"/>
  <c r="C261" i="9"/>
  <c r="B261" i="9"/>
  <c r="A261" i="9"/>
  <c r="N260" i="9"/>
  <c r="M260" i="9"/>
  <c r="L260" i="9"/>
  <c r="K260" i="9"/>
  <c r="J260" i="9"/>
  <c r="I260" i="9"/>
  <c r="H260" i="9"/>
  <c r="G260" i="9"/>
  <c r="F260" i="9"/>
  <c r="E260" i="9"/>
  <c r="D260" i="9"/>
  <c r="C260" i="9"/>
  <c r="B260" i="9"/>
  <c r="A260" i="9"/>
  <c r="N259" i="9"/>
  <c r="M259" i="9"/>
  <c r="L259" i="9"/>
  <c r="K259" i="9"/>
  <c r="J259" i="9"/>
  <c r="I259" i="9"/>
  <c r="H259" i="9"/>
  <c r="G259" i="9"/>
  <c r="F259" i="9"/>
  <c r="E259" i="9"/>
  <c r="D259" i="9"/>
  <c r="C259" i="9"/>
  <c r="B259" i="9"/>
  <c r="A259" i="9"/>
  <c r="N258" i="9"/>
  <c r="M258" i="9"/>
  <c r="L258" i="9"/>
  <c r="K258" i="9"/>
  <c r="J258" i="9"/>
  <c r="I258" i="9"/>
  <c r="H258" i="9"/>
  <c r="G258" i="9"/>
  <c r="F258" i="9"/>
  <c r="E258" i="9"/>
  <c r="D258" i="9"/>
  <c r="C258" i="9"/>
  <c r="B258" i="9"/>
  <c r="A258" i="9"/>
  <c r="N257" i="9"/>
  <c r="M257" i="9"/>
  <c r="L257" i="9"/>
  <c r="K257" i="9"/>
  <c r="J257" i="9"/>
  <c r="I257" i="9"/>
  <c r="H257" i="9"/>
  <c r="G257" i="9"/>
  <c r="F257" i="9"/>
  <c r="E257" i="9"/>
  <c r="D257" i="9"/>
  <c r="C257" i="9"/>
  <c r="B257" i="9"/>
  <c r="A257" i="9"/>
  <c r="N256" i="9"/>
  <c r="M256" i="9"/>
  <c r="L256" i="9"/>
  <c r="K256" i="9"/>
  <c r="J256" i="9"/>
  <c r="I256" i="9"/>
  <c r="H256" i="9"/>
  <c r="G256" i="9"/>
  <c r="F256" i="9"/>
  <c r="E256" i="9"/>
  <c r="D256" i="9"/>
  <c r="C256" i="9"/>
  <c r="B256" i="9"/>
  <c r="A256" i="9"/>
  <c r="N255" i="9"/>
  <c r="M255" i="9"/>
  <c r="L255" i="9"/>
  <c r="K255" i="9"/>
  <c r="J255" i="9"/>
  <c r="I255" i="9"/>
  <c r="H255" i="9"/>
  <c r="G255" i="9"/>
  <c r="F255" i="9"/>
  <c r="E255" i="9"/>
  <c r="D255" i="9"/>
  <c r="C255" i="9"/>
  <c r="B255" i="9"/>
  <c r="A255" i="9"/>
  <c r="N254" i="9"/>
  <c r="M254" i="9"/>
  <c r="L254" i="9"/>
  <c r="K254" i="9"/>
  <c r="J254" i="9"/>
  <c r="I254" i="9"/>
  <c r="H254" i="9"/>
  <c r="G254" i="9"/>
  <c r="F254" i="9"/>
  <c r="E254" i="9"/>
  <c r="D254" i="9"/>
  <c r="C254" i="9"/>
  <c r="B254" i="9"/>
  <c r="A254" i="9"/>
  <c r="N253" i="9"/>
  <c r="M253" i="9"/>
  <c r="L253" i="9"/>
  <c r="K253" i="9"/>
  <c r="J253" i="9"/>
  <c r="I253" i="9"/>
  <c r="H253" i="9"/>
  <c r="G253" i="9"/>
  <c r="F253" i="9"/>
  <c r="E253" i="9"/>
  <c r="D253" i="9"/>
  <c r="C253" i="9"/>
  <c r="B253" i="9"/>
  <c r="A253" i="9"/>
  <c r="N252" i="9"/>
  <c r="M252" i="9"/>
  <c r="L252" i="9"/>
  <c r="K252" i="9"/>
  <c r="J252" i="9"/>
  <c r="I252" i="9"/>
  <c r="H252" i="9"/>
  <c r="G252" i="9"/>
  <c r="F252" i="9"/>
  <c r="E252" i="9"/>
  <c r="D252" i="9"/>
  <c r="C252" i="9"/>
  <c r="B252" i="9"/>
  <c r="A252" i="9"/>
  <c r="N251" i="9"/>
  <c r="M251" i="9"/>
  <c r="L251" i="9"/>
  <c r="K251" i="9"/>
  <c r="J251" i="9"/>
  <c r="I251" i="9"/>
  <c r="H251" i="9"/>
  <c r="G251" i="9"/>
  <c r="F251" i="9"/>
  <c r="E251" i="9"/>
  <c r="D251" i="9"/>
  <c r="C251" i="9"/>
  <c r="B251" i="9"/>
  <c r="A251" i="9"/>
  <c r="N250" i="9"/>
  <c r="M250" i="9"/>
  <c r="L250" i="9"/>
  <c r="K250" i="9"/>
  <c r="J250" i="9"/>
  <c r="I250" i="9"/>
  <c r="H250" i="9"/>
  <c r="G250" i="9"/>
  <c r="F250" i="9"/>
  <c r="E250" i="9"/>
  <c r="D250" i="9"/>
  <c r="C250" i="9"/>
  <c r="B250" i="9"/>
  <c r="A250" i="9"/>
  <c r="N249" i="9"/>
  <c r="M249" i="9"/>
  <c r="L249" i="9"/>
  <c r="K249" i="9"/>
  <c r="J249" i="9"/>
  <c r="I249" i="9"/>
  <c r="H249" i="9"/>
  <c r="G249" i="9"/>
  <c r="F249" i="9"/>
  <c r="E249" i="9"/>
  <c r="D249" i="9"/>
  <c r="C249" i="9"/>
  <c r="B249" i="9"/>
  <c r="A249" i="9"/>
  <c r="N248" i="9"/>
  <c r="M248" i="9"/>
  <c r="L248" i="9"/>
  <c r="K248" i="9"/>
  <c r="J248" i="9"/>
  <c r="I248" i="9"/>
  <c r="H248" i="9"/>
  <c r="G248" i="9"/>
  <c r="F248" i="9"/>
  <c r="E248" i="9"/>
  <c r="D248" i="9"/>
  <c r="C248" i="9"/>
  <c r="B248" i="9"/>
  <c r="A248" i="9"/>
  <c r="N247" i="9"/>
  <c r="M247" i="9"/>
  <c r="L247" i="9"/>
  <c r="K247" i="9"/>
  <c r="J247" i="9"/>
  <c r="I247" i="9"/>
  <c r="H247" i="9"/>
  <c r="G247" i="9"/>
  <c r="F247" i="9"/>
  <c r="E247" i="9"/>
  <c r="D247" i="9"/>
  <c r="C247" i="9"/>
  <c r="B247" i="9"/>
  <c r="A247" i="9"/>
  <c r="N246" i="9"/>
  <c r="M246" i="9"/>
  <c r="L246" i="9"/>
  <c r="K246" i="9"/>
  <c r="J246" i="9"/>
  <c r="I246" i="9"/>
  <c r="H246" i="9"/>
  <c r="G246" i="9"/>
  <c r="F246" i="9"/>
  <c r="E246" i="9"/>
  <c r="D246" i="9"/>
  <c r="C246" i="9"/>
  <c r="B246" i="9"/>
  <c r="A246" i="9"/>
  <c r="N245" i="9"/>
  <c r="M245" i="9"/>
  <c r="L245" i="9"/>
  <c r="K245" i="9"/>
  <c r="J245" i="9"/>
  <c r="I245" i="9"/>
  <c r="H245" i="9"/>
  <c r="G245" i="9"/>
  <c r="F245" i="9"/>
  <c r="E245" i="9"/>
  <c r="D245" i="9"/>
  <c r="C245" i="9"/>
  <c r="B245" i="9"/>
  <c r="A245" i="9"/>
  <c r="N244" i="9"/>
  <c r="M244" i="9"/>
  <c r="L244" i="9"/>
  <c r="K244" i="9"/>
  <c r="J244" i="9"/>
  <c r="I244" i="9"/>
  <c r="H244" i="9"/>
  <c r="G244" i="9"/>
  <c r="F244" i="9"/>
  <c r="E244" i="9"/>
  <c r="D244" i="9"/>
  <c r="C244" i="9"/>
  <c r="B244" i="9"/>
  <c r="A244" i="9"/>
  <c r="N243" i="9"/>
  <c r="M243" i="9"/>
  <c r="L243" i="9"/>
  <c r="K243" i="9"/>
  <c r="J243" i="9"/>
  <c r="I243" i="9"/>
  <c r="H243" i="9"/>
  <c r="G243" i="9"/>
  <c r="F243" i="9"/>
  <c r="E243" i="9"/>
  <c r="D243" i="9"/>
  <c r="C243" i="9"/>
  <c r="B243" i="9"/>
  <c r="A243" i="9"/>
  <c r="N242" i="9"/>
  <c r="M242" i="9"/>
  <c r="L242" i="9"/>
  <c r="K242" i="9"/>
  <c r="J242" i="9"/>
  <c r="I242" i="9"/>
  <c r="H242" i="9"/>
  <c r="G242" i="9"/>
  <c r="F242" i="9"/>
  <c r="E242" i="9"/>
  <c r="D242" i="9"/>
  <c r="C242" i="9"/>
  <c r="B242" i="9"/>
  <c r="A242" i="9"/>
  <c r="N241" i="9"/>
  <c r="M241" i="9"/>
  <c r="L241" i="9"/>
  <c r="K241" i="9"/>
  <c r="J241" i="9"/>
  <c r="I241" i="9"/>
  <c r="H241" i="9"/>
  <c r="G241" i="9"/>
  <c r="F241" i="9"/>
  <c r="E241" i="9"/>
  <c r="D241" i="9"/>
  <c r="C241" i="9"/>
  <c r="B241" i="9"/>
  <c r="A241" i="9"/>
  <c r="N240" i="9"/>
  <c r="M240" i="9"/>
  <c r="L240" i="9"/>
  <c r="K240" i="9"/>
  <c r="J240" i="9"/>
  <c r="I240" i="9"/>
  <c r="H240" i="9"/>
  <c r="G240" i="9"/>
  <c r="F240" i="9"/>
  <c r="E240" i="9"/>
  <c r="D240" i="9"/>
  <c r="C240" i="9"/>
  <c r="B240" i="9"/>
  <c r="A240" i="9"/>
  <c r="N239" i="9"/>
  <c r="M239" i="9"/>
  <c r="L239" i="9"/>
  <c r="K239" i="9"/>
  <c r="J239" i="9"/>
  <c r="I239" i="9"/>
  <c r="H239" i="9"/>
  <c r="G239" i="9"/>
  <c r="F239" i="9"/>
  <c r="E239" i="9"/>
  <c r="D239" i="9"/>
  <c r="C239" i="9"/>
  <c r="B239" i="9"/>
  <c r="A239" i="9"/>
  <c r="N238" i="9"/>
  <c r="M238" i="9"/>
  <c r="L238" i="9"/>
  <c r="K238" i="9"/>
  <c r="J238" i="9"/>
  <c r="I238" i="9"/>
  <c r="H238" i="9"/>
  <c r="G238" i="9"/>
  <c r="F238" i="9"/>
  <c r="E238" i="9"/>
  <c r="D238" i="9"/>
  <c r="C238" i="9"/>
  <c r="B238" i="9"/>
  <c r="A238" i="9"/>
  <c r="N237" i="9"/>
  <c r="M237" i="9"/>
  <c r="L237" i="9"/>
  <c r="K237" i="9"/>
  <c r="J237" i="9"/>
  <c r="I237" i="9"/>
  <c r="H237" i="9"/>
  <c r="G237" i="9"/>
  <c r="F237" i="9"/>
  <c r="E237" i="9"/>
  <c r="D237" i="9"/>
  <c r="C237" i="9"/>
  <c r="B237" i="9"/>
  <c r="A237" i="9"/>
  <c r="N236" i="9"/>
  <c r="M236" i="9"/>
  <c r="L236" i="9"/>
  <c r="K236" i="9"/>
  <c r="J236" i="9"/>
  <c r="I236" i="9"/>
  <c r="H236" i="9"/>
  <c r="G236" i="9"/>
  <c r="F236" i="9"/>
  <c r="E236" i="9"/>
  <c r="D236" i="9"/>
  <c r="C236" i="9"/>
  <c r="B236" i="9"/>
  <c r="A236" i="9"/>
  <c r="N235" i="9"/>
  <c r="M235" i="9"/>
  <c r="L235" i="9"/>
  <c r="K235" i="9"/>
  <c r="J235" i="9"/>
  <c r="I235" i="9"/>
  <c r="H235" i="9"/>
  <c r="G235" i="9"/>
  <c r="F235" i="9"/>
  <c r="E235" i="9"/>
  <c r="D235" i="9"/>
  <c r="C235" i="9"/>
  <c r="B235" i="9"/>
  <c r="A235" i="9"/>
  <c r="N234" i="9"/>
  <c r="M234" i="9"/>
  <c r="L234" i="9"/>
  <c r="K234" i="9"/>
  <c r="J234" i="9"/>
  <c r="I234" i="9"/>
  <c r="H234" i="9"/>
  <c r="G234" i="9"/>
  <c r="F234" i="9"/>
  <c r="E234" i="9"/>
  <c r="D234" i="9"/>
  <c r="C234" i="9"/>
  <c r="B234" i="9"/>
  <c r="A234" i="9"/>
  <c r="N233" i="9"/>
  <c r="M233" i="9"/>
  <c r="L233" i="9"/>
  <c r="K233" i="9"/>
  <c r="J233" i="9"/>
  <c r="I233" i="9"/>
  <c r="H233" i="9"/>
  <c r="G233" i="9"/>
  <c r="F233" i="9"/>
  <c r="E233" i="9"/>
  <c r="D233" i="9"/>
  <c r="C233" i="9"/>
  <c r="B233" i="9"/>
  <c r="A233" i="9"/>
  <c r="N232" i="9"/>
  <c r="M232" i="9"/>
  <c r="L232" i="9"/>
  <c r="K232" i="9"/>
  <c r="J232" i="9"/>
  <c r="I232" i="9"/>
  <c r="H232" i="9"/>
  <c r="G232" i="9"/>
  <c r="F232" i="9"/>
  <c r="E232" i="9"/>
  <c r="D232" i="9"/>
  <c r="C232" i="9"/>
  <c r="B232" i="9"/>
  <c r="A232" i="9"/>
  <c r="N231" i="9"/>
  <c r="M231" i="9"/>
  <c r="L231" i="9"/>
  <c r="K231" i="9"/>
  <c r="J231" i="9"/>
  <c r="I231" i="9"/>
  <c r="H231" i="9"/>
  <c r="G231" i="9"/>
  <c r="F231" i="9"/>
  <c r="E231" i="9"/>
  <c r="D231" i="9"/>
  <c r="C231" i="9"/>
  <c r="B231" i="9"/>
  <c r="A231" i="9"/>
  <c r="N230" i="9"/>
  <c r="M230" i="9"/>
  <c r="L230" i="9"/>
  <c r="K230" i="9"/>
  <c r="J230" i="9"/>
  <c r="I230" i="9"/>
  <c r="H230" i="9"/>
  <c r="G230" i="9"/>
  <c r="F230" i="9"/>
  <c r="E230" i="9"/>
  <c r="D230" i="9"/>
  <c r="C230" i="9"/>
  <c r="B230" i="9"/>
  <c r="A230" i="9"/>
  <c r="N229" i="9"/>
  <c r="M229" i="9"/>
  <c r="L229" i="9"/>
  <c r="K229" i="9"/>
  <c r="J229" i="9"/>
  <c r="I229" i="9"/>
  <c r="H229" i="9"/>
  <c r="G229" i="9"/>
  <c r="F229" i="9"/>
  <c r="E229" i="9"/>
  <c r="D229" i="9"/>
  <c r="C229" i="9"/>
  <c r="B229" i="9"/>
  <c r="A229" i="9"/>
  <c r="N228" i="9"/>
  <c r="M228" i="9"/>
  <c r="L228" i="9"/>
  <c r="K228" i="9"/>
  <c r="J228" i="9"/>
  <c r="I228" i="9"/>
  <c r="H228" i="9"/>
  <c r="G228" i="9"/>
  <c r="F228" i="9"/>
  <c r="E228" i="9"/>
  <c r="D228" i="9"/>
  <c r="C228" i="9"/>
  <c r="B228" i="9"/>
  <c r="A228" i="9"/>
  <c r="N227" i="9"/>
  <c r="M227" i="9"/>
  <c r="L227" i="9"/>
  <c r="K227" i="9"/>
  <c r="J227" i="9"/>
  <c r="I227" i="9"/>
  <c r="H227" i="9"/>
  <c r="G227" i="9"/>
  <c r="F227" i="9"/>
  <c r="E227" i="9"/>
  <c r="D227" i="9"/>
  <c r="C227" i="9"/>
  <c r="B227" i="9"/>
  <c r="A227" i="9"/>
  <c r="N226" i="9"/>
  <c r="M226" i="9"/>
  <c r="L226" i="9"/>
  <c r="K226" i="9"/>
  <c r="J226" i="9"/>
  <c r="I226" i="9"/>
  <c r="H226" i="9"/>
  <c r="G226" i="9"/>
  <c r="F226" i="9"/>
  <c r="E226" i="9"/>
  <c r="D226" i="9"/>
  <c r="C226" i="9"/>
  <c r="B226" i="9"/>
  <c r="A226" i="9"/>
  <c r="N225" i="9"/>
  <c r="M225" i="9"/>
  <c r="L225" i="9"/>
  <c r="K225" i="9"/>
  <c r="J225" i="9"/>
  <c r="I225" i="9"/>
  <c r="H225" i="9"/>
  <c r="G225" i="9"/>
  <c r="F225" i="9"/>
  <c r="E225" i="9"/>
  <c r="D225" i="9"/>
  <c r="C225" i="9"/>
  <c r="B225" i="9"/>
  <c r="A225" i="9"/>
  <c r="N224" i="9"/>
  <c r="M224" i="9"/>
  <c r="L224" i="9"/>
  <c r="K224" i="9"/>
  <c r="J224" i="9"/>
  <c r="I224" i="9"/>
  <c r="H224" i="9"/>
  <c r="G224" i="9"/>
  <c r="F224" i="9"/>
  <c r="E224" i="9"/>
  <c r="D224" i="9"/>
  <c r="C224" i="9"/>
  <c r="B224" i="9"/>
  <c r="A224" i="9"/>
  <c r="N223" i="9"/>
  <c r="M223" i="9"/>
  <c r="L223" i="9"/>
  <c r="K223" i="9"/>
  <c r="J223" i="9"/>
  <c r="I223" i="9"/>
  <c r="H223" i="9"/>
  <c r="G223" i="9"/>
  <c r="F223" i="9"/>
  <c r="E223" i="9"/>
  <c r="D223" i="9"/>
  <c r="C223" i="9"/>
  <c r="B223" i="9"/>
  <c r="A223" i="9"/>
  <c r="N222" i="9"/>
  <c r="M222" i="9"/>
  <c r="L222" i="9"/>
  <c r="K222" i="9"/>
  <c r="J222" i="9"/>
  <c r="I222" i="9"/>
  <c r="H222" i="9"/>
  <c r="G222" i="9"/>
  <c r="F222" i="9"/>
  <c r="E222" i="9"/>
  <c r="D222" i="9"/>
  <c r="C222" i="9"/>
  <c r="B222" i="9"/>
  <c r="A222" i="9"/>
  <c r="N221" i="9"/>
  <c r="M221" i="9"/>
  <c r="L221" i="9"/>
  <c r="K221" i="9"/>
  <c r="J221" i="9"/>
  <c r="I221" i="9"/>
  <c r="H221" i="9"/>
  <c r="G221" i="9"/>
  <c r="F221" i="9"/>
  <c r="E221" i="9"/>
  <c r="D221" i="9"/>
  <c r="C221" i="9"/>
  <c r="B221" i="9"/>
  <c r="A221" i="9"/>
  <c r="N220" i="9"/>
  <c r="M220" i="9"/>
  <c r="L220" i="9"/>
  <c r="K220" i="9"/>
  <c r="J220" i="9"/>
  <c r="I220" i="9"/>
  <c r="H220" i="9"/>
  <c r="G220" i="9"/>
  <c r="F220" i="9"/>
  <c r="E220" i="9"/>
  <c r="D220" i="9"/>
  <c r="C220" i="9"/>
  <c r="B220" i="9"/>
  <c r="A220" i="9"/>
  <c r="N219" i="9"/>
  <c r="M219" i="9"/>
  <c r="L219" i="9"/>
  <c r="K219" i="9"/>
  <c r="J219" i="9"/>
  <c r="I219" i="9"/>
  <c r="H219" i="9"/>
  <c r="G219" i="9"/>
  <c r="F219" i="9"/>
  <c r="E219" i="9"/>
  <c r="D219" i="9"/>
  <c r="C219" i="9"/>
  <c r="B219" i="9"/>
  <c r="A219" i="9"/>
  <c r="N218" i="9"/>
  <c r="M218" i="9"/>
  <c r="L218" i="9"/>
  <c r="K218" i="9"/>
  <c r="J218" i="9"/>
  <c r="I218" i="9"/>
  <c r="H218" i="9"/>
  <c r="G218" i="9"/>
  <c r="F218" i="9"/>
  <c r="E218" i="9"/>
  <c r="D218" i="9"/>
  <c r="C218" i="9"/>
  <c r="B218" i="9"/>
  <c r="A218" i="9"/>
  <c r="N217" i="9"/>
  <c r="M217" i="9"/>
  <c r="L217" i="9"/>
  <c r="K217" i="9"/>
  <c r="J217" i="9"/>
  <c r="I217" i="9"/>
  <c r="H217" i="9"/>
  <c r="G217" i="9"/>
  <c r="F217" i="9"/>
  <c r="E217" i="9"/>
  <c r="D217" i="9"/>
  <c r="C217" i="9"/>
  <c r="B217" i="9"/>
  <c r="A217" i="9"/>
  <c r="N216" i="9"/>
  <c r="M216" i="9"/>
  <c r="L216" i="9"/>
  <c r="K216" i="9"/>
  <c r="J216" i="9"/>
  <c r="I216" i="9"/>
  <c r="H216" i="9"/>
  <c r="G216" i="9"/>
  <c r="F216" i="9"/>
  <c r="E216" i="9"/>
  <c r="D216" i="9"/>
  <c r="C216" i="9"/>
  <c r="B216" i="9"/>
  <c r="A216" i="9"/>
  <c r="N215" i="9"/>
  <c r="M215" i="9"/>
  <c r="L215" i="9"/>
  <c r="K215" i="9"/>
  <c r="J215" i="9"/>
  <c r="I215" i="9"/>
  <c r="H215" i="9"/>
  <c r="G215" i="9"/>
  <c r="F215" i="9"/>
  <c r="E215" i="9"/>
  <c r="D215" i="9"/>
  <c r="C215" i="9"/>
  <c r="B215" i="9"/>
  <c r="A215" i="9"/>
  <c r="N214" i="9"/>
  <c r="M214" i="9"/>
  <c r="L214" i="9"/>
  <c r="K214" i="9"/>
  <c r="J214" i="9"/>
  <c r="I214" i="9"/>
  <c r="H214" i="9"/>
  <c r="G214" i="9"/>
  <c r="F214" i="9"/>
  <c r="E214" i="9"/>
  <c r="D214" i="9"/>
  <c r="C214" i="9"/>
  <c r="B214" i="9"/>
  <c r="A214" i="9"/>
  <c r="N213" i="9"/>
  <c r="M213" i="9"/>
  <c r="L213" i="9"/>
  <c r="K213" i="9"/>
  <c r="J213" i="9"/>
  <c r="I213" i="9"/>
  <c r="H213" i="9"/>
  <c r="G213" i="9"/>
  <c r="F213" i="9"/>
  <c r="E213" i="9"/>
  <c r="D213" i="9"/>
  <c r="C213" i="9"/>
  <c r="B213" i="9"/>
  <c r="A213" i="9"/>
  <c r="N212" i="9"/>
  <c r="M212" i="9"/>
  <c r="L212" i="9"/>
  <c r="K212" i="9"/>
  <c r="J212" i="9"/>
  <c r="I212" i="9"/>
  <c r="H212" i="9"/>
  <c r="G212" i="9"/>
  <c r="F212" i="9"/>
  <c r="E212" i="9"/>
  <c r="D212" i="9"/>
  <c r="C212" i="9"/>
  <c r="B212" i="9"/>
  <c r="A212" i="9"/>
  <c r="N211" i="9"/>
  <c r="M211" i="9"/>
  <c r="L211" i="9"/>
  <c r="K211" i="9"/>
  <c r="J211" i="9"/>
  <c r="I211" i="9"/>
  <c r="H211" i="9"/>
  <c r="G211" i="9"/>
  <c r="F211" i="9"/>
  <c r="E211" i="9"/>
  <c r="D211" i="9"/>
  <c r="C211" i="9"/>
  <c r="B211" i="9"/>
  <c r="A211" i="9"/>
  <c r="N210" i="9"/>
  <c r="M210" i="9"/>
  <c r="L210" i="9"/>
  <c r="K210" i="9"/>
  <c r="J210" i="9"/>
  <c r="I210" i="9"/>
  <c r="H210" i="9"/>
  <c r="G210" i="9"/>
  <c r="F210" i="9"/>
  <c r="E210" i="9"/>
  <c r="D210" i="9"/>
  <c r="C210" i="9"/>
  <c r="B210" i="9"/>
  <c r="A210" i="9"/>
  <c r="N209" i="9"/>
  <c r="M209" i="9"/>
  <c r="L209" i="9"/>
  <c r="K209" i="9"/>
  <c r="J209" i="9"/>
  <c r="I209" i="9"/>
  <c r="H209" i="9"/>
  <c r="G209" i="9"/>
  <c r="F209" i="9"/>
  <c r="E209" i="9"/>
  <c r="D209" i="9"/>
  <c r="C209" i="9"/>
  <c r="B209" i="9"/>
  <c r="A209" i="9"/>
  <c r="N208" i="9"/>
  <c r="M208" i="9"/>
  <c r="L208" i="9"/>
  <c r="K208" i="9"/>
  <c r="J208" i="9"/>
  <c r="I208" i="9"/>
  <c r="H208" i="9"/>
  <c r="G208" i="9"/>
  <c r="F208" i="9"/>
  <c r="E208" i="9"/>
  <c r="D208" i="9"/>
  <c r="C208" i="9"/>
  <c r="B208" i="9"/>
  <c r="A208" i="9"/>
  <c r="N207" i="9"/>
  <c r="M207" i="9"/>
  <c r="L207" i="9"/>
  <c r="K207" i="9"/>
  <c r="J207" i="9"/>
  <c r="I207" i="9"/>
  <c r="H207" i="9"/>
  <c r="G207" i="9"/>
  <c r="F207" i="9"/>
  <c r="E207" i="9"/>
  <c r="D207" i="9"/>
  <c r="C207" i="9"/>
  <c r="B207" i="9"/>
  <c r="A207" i="9"/>
  <c r="N206" i="9"/>
  <c r="M206" i="9"/>
  <c r="L206" i="9"/>
  <c r="K206" i="9"/>
  <c r="J206" i="9"/>
  <c r="I206" i="9"/>
  <c r="H206" i="9"/>
  <c r="G206" i="9"/>
  <c r="F206" i="9"/>
  <c r="E206" i="9"/>
  <c r="D206" i="9"/>
  <c r="C206" i="9"/>
  <c r="B206" i="9"/>
  <c r="A206" i="9"/>
  <c r="N205" i="9"/>
  <c r="M205" i="9"/>
  <c r="L205" i="9"/>
  <c r="K205" i="9"/>
  <c r="J205" i="9"/>
  <c r="I205" i="9"/>
  <c r="H205" i="9"/>
  <c r="G205" i="9"/>
  <c r="F205" i="9"/>
  <c r="E205" i="9"/>
  <c r="D205" i="9"/>
  <c r="C205" i="9"/>
  <c r="B205" i="9"/>
  <c r="A205" i="9"/>
  <c r="N204" i="9"/>
  <c r="M204" i="9"/>
  <c r="L204" i="9"/>
  <c r="K204" i="9"/>
  <c r="J204" i="9"/>
  <c r="I204" i="9"/>
  <c r="H204" i="9"/>
  <c r="G204" i="9"/>
  <c r="F204" i="9"/>
  <c r="E204" i="9"/>
  <c r="D204" i="9"/>
  <c r="C204" i="9"/>
  <c r="B204" i="9"/>
  <c r="A204" i="9"/>
  <c r="N203" i="9"/>
  <c r="M203" i="9"/>
  <c r="L203" i="9"/>
  <c r="K203" i="9"/>
  <c r="J203" i="9"/>
  <c r="I203" i="9"/>
  <c r="H203" i="9"/>
  <c r="G203" i="9"/>
  <c r="F203" i="9"/>
  <c r="E203" i="9"/>
  <c r="D203" i="9"/>
  <c r="C203" i="9"/>
  <c r="B203" i="9"/>
  <c r="A203" i="9"/>
  <c r="N202" i="9"/>
  <c r="M202" i="9"/>
  <c r="L202" i="9"/>
  <c r="K202" i="9"/>
  <c r="J202" i="9"/>
  <c r="I202" i="9"/>
  <c r="H202" i="9"/>
  <c r="G202" i="9"/>
  <c r="F202" i="9"/>
  <c r="E202" i="9"/>
  <c r="D202" i="9"/>
  <c r="C202" i="9"/>
  <c r="B202" i="9"/>
  <c r="A202" i="9"/>
  <c r="N201" i="9"/>
  <c r="M201" i="9"/>
  <c r="L201" i="9"/>
  <c r="K201" i="9"/>
  <c r="J201" i="9"/>
  <c r="I201" i="9"/>
  <c r="H201" i="9"/>
  <c r="G201" i="9"/>
  <c r="F201" i="9"/>
  <c r="E201" i="9"/>
  <c r="D201" i="9"/>
  <c r="C201" i="9"/>
  <c r="B201" i="9"/>
  <c r="A201" i="9"/>
  <c r="N200" i="9"/>
  <c r="M200" i="9"/>
  <c r="L200" i="9"/>
  <c r="K200" i="9"/>
  <c r="J200" i="9"/>
  <c r="I200" i="9"/>
  <c r="H200" i="9"/>
  <c r="G200" i="9"/>
  <c r="F200" i="9"/>
  <c r="E200" i="9"/>
  <c r="D200" i="9"/>
  <c r="C200" i="9"/>
  <c r="B200" i="9"/>
  <c r="A200" i="9"/>
  <c r="N199" i="9"/>
  <c r="M199" i="9"/>
  <c r="L199" i="9"/>
  <c r="K199" i="9"/>
  <c r="J199" i="9"/>
  <c r="I199" i="9"/>
  <c r="H199" i="9"/>
  <c r="G199" i="9"/>
  <c r="F199" i="9"/>
  <c r="E199" i="9"/>
  <c r="D199" i="9"/>
  <c r="C199" i="9"/>
  <c r="B199" i="9"/>
  <c r="A199" i="9"/>
  <c r="N198" i="9"/>
  <c r="M198" i="9"/>
  <c r="L198" i="9"/>
  <c r="K198" i="9"/>
  <c r="J198" i="9"/>
  <c r="I198" i="9"/>
  <c r="H198" i="9"/>
  <c r="G198" i="9"/>
  <c r="F198" i="9"/>
  <c r="E198" i="9"/>
  <c r="D198" i="9"/>
  <c r="C198" i="9"/>
  <c r="B198" i="9"/>
  <c r="A198" i="9"/>
  <c r="N197" i="9"/>
  <c r="M197" i="9"/>
  <c r="L197" i="9"/>
  <c r="K197" i="9"/>
  <c r="J197" i="9"/>
  <c r="I197" i="9"/>
  <c r="H197" i="9"/>
  <c r="G197" i="9"/>
  <c r="F197" i="9"/>
  <c r="E197" i="9"/>
  <c r="D197" i="9"/>
  <c r="C197" i="9"/>
  <c r="B197" i="9"/>
  <c r="A197" i="9"/>
  <c r="N196" i="9"/>
  <c r="M196" i="9"/>
  <c r="L196" i="9"/>
  <c r="K196" i="9"/>
  <c r="J196" i="9"/>
  <c r="I196" i="9"/>
  <c r="H196" i="9"/>
  <c r="G196" i="9"/>
  <c r="F196" i="9"/>
  <c r="E196" i="9"/>
  <c r="D196" i="9"/>
  <c r="C196" i="9"/>
  <c r="B196" i="9"/>
  <c r="A196" i="9"/>
  <c r="N195" i="9"/>
  <c r="M195" i="9"/>
  <c r="L195" i="9"/>
  <c r="K195" i="9"/>
  <c r="J195" i="9"/>
  <c r="I195" i="9"/>
  <c r="H195" i="9"/>
  <c r="G195" i="9"/>
  <c r="F195" i="9"/>
  <c r="E195" i="9"/>
  <c r="D195" i="9"/>
  <c r="C195" i="9"/>
  <c r="B195" i="9"/>
  <c r="A195" i="9"/>
  <c r="N194" i="9"/>
  <c r="M194" i="9"/>
  <c r="L194" i="9"/>
  <c r="K194" i="9"/>
  <c r="J194" i="9"/>
  <c r="I194" i="9"/>
  <c r="H194" i="9"/>
  <c r="G194" i="9"/>
  <c r="F194" i="9"/>
  <c r="E194" i="9"/>
  <c r="D194" i="9"/>
  <c r="C194" i="9"/>
  <c r="B194" i="9"/>
  <c r="A194" i="9"/>
  <c r="N193" i="9"/>
  <c r="M193" i="9"/>
  <c r="L193" i="9"/>
  <c r="K193" i="9"/>
  <c r="J193" i="9"/>
  <c r="I193" i="9"/>
  <c r="H193" i="9"/>
  <c r="G193" i="9"/>
  <c r="F193" i="9"/>
  <c r="E193" i="9"/>
  <c r="D193" i="9"/>
  <c r="C193" i="9"/>
  <c r="B193" i="9"/>
  <c r="A193" i="9"/>
  <c r="N192" i="9"/>
  <c r="M192" i="9"/>
  <c r="L192" i="9"/>
  <c r="K192" i="9"/>
  <c r="J192" i="9"/>
  <c r="I192" i="9"/>
  <c r="H192" i="9"/>
  <c r="G192" i="9"/>
  <c r="F192" i="9"/>
  <c r="E192" i="9"/>
  <c r="D192" i="9"/>
  <c r="C192" i="9"/>
  <c r="B192" i="9"/>
  <c r="A192" i="9"/>
  <c r="N191" i="9"/>
  <c r="M191" i="9"/>
  <c r="L191" i="9"/>
  <c r="K191" i="9"/>
  <c r="J191" i="9"/>
  <c r="I191" i="9"/>
  <c r="H191" i="9"/>
  <c r="G191" i="9"/>
  <c r="F191" i="9"/>
  <c r="E191" i="9"/>
  <c r="D191" i="9"/>
  <c r="C191" i="9"/>
  <c r="B191" i="9"/>
  <c r="A191" i="9"/>
  <c r="N190" i="9"/>
  <c r="M190" i="9"/>
  <c r="L190" i="9"/>
  <c r="K190" i="9"/>
  <c r="J190" i="9"/>
  <c r="I190" i="9"/>
  <c r="H190" i="9"/>
  <c r="G190" i="9"/>
  <c r="F190" i="9"/>
  <c r="E190" i="9"/>
  <c r="D190" i="9"/>
  <c r="C190" i="9"/>
  <c r="B190" i="9"/>
  <c r="A190" i="9"/>
  <c r="N189" i="9"/>
  <c r="M189" i="9"/>
  <c r="L189" i="9"/>
  <c r="K189" i="9"/>
  <c r="J189" i="9"/>
  <c r="I189" i="9"/>
  <c r="H189" i="9"/>
  <c r="G189" i="9"/>
  <c r="F189" i="9"/>
  <c r="E189" i="9"/>
  <c r="D189" i="9"/>
  <c r="C189" i="9"/>
  <c r="B189" i="9"/>
  <c r="A189" i="9"/>
  <c r="N188" i="9"/>
  <c r="M188" i="9"/>
  <c r="L188" i="9"/>
  <c r="K188" i="9"/>
  <c r="J188" i="9"/>
  <c r="I188" i="9"/>
  <c r="H188" i="9"/>
  <c r="G188" i="9"/>
  <c r="F188" i="9"/>
  <c r="E188" i="9"/>
  <c r="D188" i="9"/>
  <c r="C188" i="9"/>
  <c r="B188" i="9"/>
  <c r="A188" i="9"/>
  <c r="N187" i="9"/>
  <c r="M187" i="9"/>
  <c r="L187" i="9"/>
  <c r="K187" i="9"/>
  <c r="J187" i="9"/>
  <c r="I187" i="9"/>
  <c r="H187" i="9"/>
  <c r="G187" i="9"/>
  <c r="F187" i="9"/>
  <c r="E187" i="9"/>
  <c r="D187" i="9"/>
  <c r="C187" i="9"/>
  <c r="B187" i="9"/>
  <c r="A187" i="9"/>
  <c r="N186" i="9"/>
  <c r="M186" i="9"/>
  <c r="L186" i="9"/>
  <c r="K186" i="9"/>
  <c r="J186" i="9"/>
  <c r="I186" i="9"/>
  <c r="H186" i="9"/>
  <c r="G186" i="9"/>
  <c r="F186" i="9"/>
  <c r="E186" i="9"/>
  <c r="D186" i="9"/>
  <c r="C186" i="9"/>
  <c r="B186" i="9"/>
  <c r="A186" i="9"/>
  <c r="N185" i="9"/>
  <c r="M185" i="9"/>
  <c r="L185" i="9"/>
  <c r="K185" i="9"/>
  <c r="J185" i="9"/>
  <c r="I185" i="9"/>
  <c r="H185" i="9"/>
  <c r="G185" i="9"/>
  <c r="F185" i="9"/>
  <c r="E185" i="9"/>
  <c r="D185" i="9"/>
  <c r="C185" i="9"/>
  <c r="B185" i="9"/>
  <c r="A185" i="9"/>
  <c r="N184" i="9"/>
  <c r="M184" i="9"/>
  <c r="L184" i="9"/>
  <c r="K184" i="9"/>
  <c r="J184" i="9"/>
  <c r="I184" i="9"/>
  <c r="H184" i="9"/>
  <c r="G184" i="9"/>
  <c r="F184" i="9"/>
  <c r="E184" i="9"/>
  <c r="D184" i="9"/>
  <c r="C184" i="9"/>
  <c r="B184" i="9"/>
  <c r="A184" i="9"/>
  <c r="N183" i="9"/>
  <c r="M183" i="9"/>
  <c r="L183" i="9"/>
  <c r="K183" i="9"/>
  <c r="J183" i="9"/>
  <c r="I183" i="9"/>
  <c r="H183" i="9"/>
  <c r="G183" i="9"/>
  <c r="F183" i="9"/>
  <c r="E183" i="9"/>
  <c r="D183" i="9"/>
  <c r="C183" i="9"/>
  <c r="B183" i="9"/>
  <c r="A183" i="9"/>
  <c r="N182" i="9"/>
  <c r="M182" i="9"/>
  <c r="L182" i="9"/>
  <c r="K182" i="9"/>
  <c r="J182" i="9"/>
  <c r="I182" i="9"/>
  <c r="H182" i="9"/>
  <c r="G182" i="9"/>
  <c r="F182" i="9"/>
  <c r="E182" i="9"/>
  <c r="D182" i="9"/>
  <c r="C182" i="9"/>
  <c r="B182" i="9"/>
  <c r="A182" i="9"/>
  <c r="N181" i="9"/>
  <c r="M181" i="9"/>
  <c r="L181" i="9"/>
  <c r="K181" i="9"/>
  <c r="J181" i="9"/>
  <c r="I181" i="9"/>
  <c r="H181" i="9"/>
  <c r="G181" i="9"/>
  <c r="F181" i="9"/>
  <c r="E181" i="9"/>
  <c r="D181" i="9"/>
  <c r="C181" i="9"/>
  <c r="B181" i="9"/>
  <c r="A181" i="9"/>
  <c r="N180" i="9"/>
  <c r="M180" i="9"/>
  <c r="L180" i="9"/>
  <c r="K180" i="9"/>
  <c r="J180" i="9"/>
  <c r="I180" i="9"/>
  <c r="H180" i="9"/>
  <c r="G180" i="9"/>
  <c r="F180" i="9"/>
  <c r="E180" i="9"/>
  <c r="D180" i="9"/>
  <c r="C180" i="9"/>
  <c r="B180" i="9"/>
  <c r="A180" i="9"/>
  <c r="N179" i="9"/>
  <c r="M179" i="9"/>
  <c r="L179" i="9"/>
  <c r="K179" i="9"/>
  <c r="J179" i="9"/>
  <c r="I179" i="9"/>
  <c r="H179" i="9"/>
  <c r="G179" i="9"/>
  <c r="F179" i="9"/>
  <c r="E179" i="9"/>
  <c r="D179" i="9"/>
  <c r="C179" i="9"/>
  <c r="B179" i="9"/>
  <c r="A179" i="9"/>
  <c r="N178" i="9"/>
  <c r="M178" i="9"/>
  <c r="L178" i="9"/>
  <c r="K178" i="9"/>
  <c r="J178" i="9"/>
  <c r="I178" i="9"/>
  <c r="H178" i="9"/>
  <c r="G178" i="9"/>
  <c r="F178" i="9"/>
  <c r="E178" i="9"/>
  <c r="D178" i="9"/>
  <c r="C178" i="9"/>
  <c r="B178" i="9"/>
  <c r="A178" i="9"/>
  <c r="N177" i="9"/>
  <c r="M177" i="9"/>
  <c r="L177" i="9"/>
  <c r="K177" i="9"/>
  <c r="J177" i="9"/>
  <c r="I177" i="9"/>
  <c r="H177" i="9"/>
  <c r="G177" i="9"/>
  <c r="F177" i="9"/>
  <c r="E177" i="9"/>
  <c r="D177" i="9"/>
  <c r="C177" i="9"/>
  <c r="B177" i="9"/>
  <c r="A177" i="9"/>
  <c r="N176" i="9"/>
  <c r="M176" i="9"/>
  <c r="L176" i="9"/>
  <c r="K176" i="9"/>
  <c r="J176" i="9"/>
  <c r="I176" i="9"/>
  <c r="H176" i="9"/>
  <c r="G176" i="9"/>
  <c r="F176" i="9"/>
  <c r="E176" i="9"/>
  <c r="D176" i="9"/>
  <c r="C176" i="9"/>
  <c r="B176" i="9"/>
  <c r="A176" i="9"/>
  <c r="N175" i="9"/>
  <c r="M175" i="9"/>
  <c r="L175" i="9"/>
  <c r="K175" i="9"/>
  <c r="J175" i="9"/>
  <c r="I175" i="9"/>
  <c r="H175" i="9"/>
  <c r="G175" i="9"/>
  <c r="F175" i="9"/>
  <c r="E175" i="9"/>
  <c r="D175" i="9"/>
  <c r="C175" i="9"/>
  <c r="B175" i="9"/>
  <c r="A175" i="9"/>
  <c r="N174" i="9"/>
  <c r="M174" i="9"/>
  <c r="L174" i="9"/>
  <c r="K174" i="9"/>
  <c r="J174" i="9"/>
  <c r="I174" i="9"/>
  <c r="H174" i="9"/>
  <c r="G174" i="9"/>
  <c r="F174" i="9"/>
  <c r="E174" i="9"/>
  <c r="D174" i="9"/>
  <c r="C174" i="9"/>
  <c r="B174" i="9"/>
  <c r="A174" i="9"/>
  <c r="N173" i="9"/>
  <c r="M173" i="9"/>
  <c r="L173" i="9"/>
  <c r="K173" i="9"/>
  <c r="J173" i="9"/>
  <c r="I173" i="9"/>
  <c r="H173" i="9"/>
  <c r="G173" i="9"/>
  <c r="F173" i="9"/>
  <c r="E173" i="9"/>
  <c r="D173" i="9"/>
  <c r="C173" i="9"/>
  <c r="B173" i="9"/>
  <c r="A173" i="9"/>
  <c r="N172" i="9"/>
  <c r="M172" i="9"/>
  <c r="L172" i="9"/>
  <c r="K172" i="9"/>
  <c r="J172" i="9"/>
  <c r="I172" i="9"/>
  <c r="H172" i="9"/>
  <c r="G172" i="9"/>
  <c r="F172" i="9"/>
  <c r="E172" i="9"/>
  <c r="D172" i="9"/>
  <c r="C172" i="9"/>
  <c r="B172" i="9"/>
  <c r="A172" i="9"/>
  <c r="N171" i="9"/>
  <c r="M171" i="9"/>
  <c r="L171" i="9"/>
  <c r="K171" i="9"/>
  <c r="J171" i="9"/>
  <c r="I171" i="9"/>
  <c r="H171" i="9"/>
  <c r="G171" i="9"/>
  <c r="F171" i="9"/>
  <c r="E171" i="9"/>
  <c r="D171" i="9"/>
  <c r="C171" i="9"/>
  <c r="B171" i="9"/>
  <c r="A171" i="9"/>
  <c r="N170" i="9"/>
  <c r="M170" i="9"/>
  <c r="L170" i="9"/>
  <c r="K170" i="9"/>
  <c r="J170" i="9"/>
  <c r="I170" i="9"/>
  <c r="H170" i="9"/>
  <c r="G170" i="9"/>
  <c r="F170" i="9"/>
  <c r="E170" i="9"/>
  <c r="D170" i="9"/>
  <c r="C170" i="9"/>
  <c r="B170" i="9"/>
  <c r="A170" i="9"/>
  <c r="N169" i="9"/>
  <c r="M169" i="9"/>
  <c r="L169" i="9"/>
  <c r="K169" i="9"/>
  <c r="J169" i="9"/>
  <c r="I169" i="9"/>
  <c r="H169" i="9"/>
  <c r="G169" i="9"/>
  <c r="F169" i="9"/>
  <c r="E169" i="9"/>
  <c r="D169" i="9"/>
  <c r="C169" i="9"/>
  <c r="B169" i="9"/>
  <c r="A169" i="9"/>
  <c r="N168" i="9"/>
  <c r="M168" i="9"/>
  <c r="L168" i="9"/>
  <c r="K168" i="9"/>
  <c r="J168" i="9"/>
  <c r="I168" i="9"/>
  <c r="H168" i="9"/>
  <c r="G168" i="9"/>
  <c r="F168" i="9"/>
  <c r="E168" i="9"/>
  <c r="D168" i="9"/>
  <c r="C168" i="9"/>
  <c r="B168" i="9"/>
  <c r="A168" i="9"/>
  <c r="N167" i="9"/>
  <c r="M167" i="9"/>
  <c r="L167" i="9"/>
  <c r="K167" i="9"/>
  <c r="J167" i="9"/>
  <c r="I167" i="9"/>
  <c r="H167" i="9"/>
  <c r="G167" i="9"/>
  <c r="F167" i="9"/>
  <c r="E167" i="9"/>
  <c r="D167" i="9"/>
  <c r="C167" i="9"/>
  <c r="B167" i="9"/>
  <c r="A167" i="9"/>
  <c r="N166" i="9"/>
  <c r="M166" i="9"/>
  <c r="L166" i="9"/>
  <c r="K166" i="9"/>
  <c r="J166" i="9"/>
  <c r="I166" i="9"/>
  <c r="H166" i="9"/>
  <c r="G166" i="9"/>
  <c r="F166" i="9"/>
  <c r="E166" i="9"/>
  <c r="D166" i="9"/>
  <c r="C166" i="9"/>
  <c r="B166" i="9"/>
  <c r="A166" i="9"/>
  <c r="N165" i="9"/>
  <c r="M165" i="9"/>
  <c r="L165" i="9"/>
  <c r="K165" i="9"/>
  <c r="J165" i="9"/>
  <c r="I165" i="9"/>
  <c r="H165" i="9"/>
  <c r="G165" i="9"/>
  <c r="F165" i="9"/>
  <c r="E165" i="9"/>
  <c r="D165" i="9"/>
  <c r="C165" i="9"/>
  <c r="B165" i="9"/>
  <c r="A165" i="9"/>
  <c r="N164" i="9"/>
  <c r="M164" i="9"/>
  <c r="L164" i="9"/>
  <c r="K164" i="9"/>
  <c r="J164" i="9"/>
  <c r="I164" i="9"/>
  <c r="H164" i="9"/>
  <c r="G164" i="9"/>
  <c r="F164" i="9"/>
  <c r="E164" i="9"/>
  <c r="D164" i="9"/>
  <c r="C164" i="9"/>
  <c r="B164" i="9"/>
  <c r="A164" i="9"/>
  <c r="N163" i="9"/>
  <c r="M163" i="9"/>
  <c r="L163" i="9"/>
  <c r="K163" i="9"/>
  <c r="J163" i="9"/>
  <c r="I163" i="9"/>
  <c r="H163" i="9"/>
  <c r="G163" i="9"/>
  <c r="F163" i="9"/>
  <c r="E163" i="9"/>
  <c r="D163" i="9"/>
  <c r="C163" i="9"/>
  <c r="B163" i="9"/>
  <c r="A163" i="9"/>
  <c r="N162" i="9"/>
  <c r="M162" i="9"/>
  <c r="L162" i="9"/>
  <c r="K162" i="9"/>
  <c r="J162" i="9"/>
  <c r="I162" i="9"/>
  <c r="H162" i="9"/>
  <c r="G162" i="9"/>
  <c r="F162" i="9"/>
  <c r="E162" i="9"/>
  <c r="D162" i="9"/>
  <c r="C162" i="9"/>
  <c r="B162" i="9"/>
  <c r="A162" i="9"/>
  <c r="N161" i="9"/>
  <c r="M161" i="9"/>
  <c r="L161" i="9"/>
  <c r="K161" i="9"/>
  <c r="J161" i="9"/>
  <c r="I161" i="9"/>
  <c r="H161" i="9"/>
  <c r="G161" i="9"/>
  <c r="F161" i="9"/>
  <c r="E161" i="9"/>
  <c r="D161" i="9"/>
  <c r="C161" i="9"/>
  <c r="B161" i="9"/>
  <c r="A161" i="9"/>
  <c r="N160" i="9"/>
  <c r="M160" i="9"/>
  <c r="L160" i="9"/>
  <c r="K160" i="9"/>
  <c r="J160" i="9"/>
  <c r="I160" i="9"/>
  <c r="H160" i="9"/>
  <c r="G160" i="9"/>
  <c r="F160" i="9"/>
  <c r="E160" i="9"/>
  <c r="D160" i="9"/>
  <c r="C160" i="9"/>
  <c r="B160" i="9"/>
  <c r="A160" i="9"/>
  <c r="N159" i="9"/>
  <c r="M159" i="9"/>
  <c r="L159" i="9"/>
  <c r="K159" i="9"/>
  <c r="J159" i="9"/>
  <c r="I159" i="9"/>
  <c r="H159" i="9"/>
  <c r="G159" i="9"/>
  <c r="F159" i="9"/>
  <c r="E159" i="9"/>
  <c r="D159" i="9"/>
  <c r="C159" i="9"/>
  <c r="B159" i="9"/>
  <c r="A159" i="9"/>
  <c r="N158" i="9"/>
  <c r="M158" i="9"/>
  <c r="L158" i="9"/>
  <c r="K158" i="9"/>
  <c r="J158" i="9"/>
  <c r="I158" i="9"/>
  <c r="H158" i="9"/>
  <c r="G158" i="9"/>
  <c r="F158" i="9"/>
  <c r="E158" i="9"/>
  <c r="D158" i="9"/>
  <c r="C158" i="9"/>
  <c r="B158" i="9"/>
  <c r="A158" i="9"/>
  <c r="N157" i="9"/>
  <c r="M157" i="9"/>
  <c r="L157" i="9"/>
  <c r="K157" i="9"/>
  <c r="J157" i="9"/>
  <c r="I157" i="9"/>
  <c r="H157" i="9"/>
  <c r="G157" i="9"/>
  <c r="F157" i="9"/>
  <c r="E157" i="9"/>
  <c r="D157" i="9"/>
  <c r="C157" i="9"/>
  <c r="B157" i="9"/>
  <c r="A157" i="9"/>
  <c r="N156" i="9"/>
  <c r="M156" i="9"/>
  <c r="L156" i="9"/>
  <c r="K156" i="9"/>
  <c r="J156" i="9"/>
  <c r="I156" i="9"/>
  <c r="H156" i="9"/>
  <c r="G156" i="9"/>
  <c r="F156" i="9"/>
  <c r="E156" i="9"/>
  <c r="D156" i="9"/>
  <c r="C156" i="9"/>
  <c r="B156" i="9"/>
  <c r="A156" i="9"/>
  <c r="N155" i="9"/>
  <c r="M155" i="9"/>
  <c r="L155" i="9"/>
  <c r="K155" i="9"/>
  <c r="J155" i="9"/>
  <c r="I155" i="9"/>
  <c r="H155" i="9"/>
  <c r="G155" i="9"/>
  <c r="F155" i="9"/>
  <c r="E155" i="9"/>
  <c r="D155" i="9"/>
  <c r="C155" i="9"/>
  <c r="B155" i="9"/>
  <c r="A155" i="9"/>
  <c r="N154" i="9"/>
  <c r="M154" i="9"/>
  <c r="L154" i="9"/>
  <c r="K154" i="9"/>
  <c r="J154" i="9"/>
  <c r="I154" i="9"/>
  <c r="H154" i="9"/>
  <c r="G154" i="9"/>
  <c r="F154" i="9"/>
  <c r="E154" i="9"/>
  <c r="D154" i="9"/>
  <c r="C154" i="9"/>
  <c r="B154" i="9"/>
  <c r="A154" i="9"/>
  <c r="N153" i="9"/>
  <c r="M153" i="9"/>
  <c r="L153" i="9"/>
  <c r="K153" i="9"/>
  <c r="J153" i="9"/>
  <c r="I153" i="9"/>
  <c r="H153" i="9"/>
  <c r="G153" i="9"/>
  <c r="F153" i="9"/>
  <c r="E153" i="9"/>
  <c r="D153" i="9"/>
  <c r="C153" i="9"/>
  <c r="B153" i="9"/>
  <c r="A153" i="9"/>
  <c r="N152" i="9"/>
  <c r="M152" i="9"/>
  <c r="L152" i="9"/>
  <c r="K152" i="9"/>
  <c r="J152" i="9"/>
  <c r="I152" i="9"/>
  <c r="H152" i="9"/>
  <c r="G152" i="9"/>
  <c r="F152" i="9"/>
  <c r="E152" i="9"/>
  <c r="D152" i="9"/>
  <c r="C152" i="9"/>
  <c r="B152" i="9"/>
  <c r="A152" i="9"/>
  <c r="N151" i="9"/>
  <c r="M151" i="9"/>
  <c r="L151" i="9"/>
  <c r="K151" i="9"/>
  <c r="J151" i="9"/>
  <c r="I151" i="9"/>
  <c r="H151" i="9"/>
  <c r="G151" i="9"/>
  <c r="F151" i="9"/>
  <c r="E151" i="9"/>
  <c r="D151" i="9"/>
  <c r="C151" i="9"/>
  <c r="B151" i="9"/>
  <c r="A151" i="9"/>
  <c r="N150" i="9"/>
  <c r="M150" i="9"/>
  <c r="L150" i="9"/>
  <c r="K150" i="9"/>
  <c r="J150" i="9"/>
  <c r="I150" i="9"/>
  <c r="H150" i="9"/>
  <c r="G150" i="9"/>
  <c r="F150" i="9"/>
  <c r="E150" i="9"/>
  <c r="D150" i="9"/>
  <c r="C150" i="9"/>
  <c r="B150" i="9"/>
  <c r="A150" i="9"/>
  <c r="N149" i="9"/>
  <c r="M149" i="9"/>
  <c r="L149" i="9"/>
  <c r="K149" i="9"/>
  <c r="J149" i="9"/>
  <c r="I149" i="9"/>
  <c r="H149" i="9"/>
  <c r="G149" i="9"/>
  <c r="F149" i="9"/>
  <c r="E149" i="9"/>
  <c r="D149" i="9"/>
  <c r="C149" i="9"/>
  <c r="B149" i="9"/>
  <c r="A149" i="9"/>
  <c r="N148" i="9"/>
  <c r="M148" i="9"/>
  <c r="L148" i="9"/>
  <c r="K148" i="9"/>
  <c r="J148" i="9"/>
  <c r="I148" i="9"/>
  <c r="H148" i="9"/>
  <c r="G148" i="9"/>
  <c r="F148" i="9"/>
  <c r="E148" i="9"/>
  <c r="D148" i="9"/>
  <c r="C148" i="9"/>
  <c r="B148" i="9"/>
  <c r="A148" i="9"/>
  <c r="N147" i="9"/>
  <c r="M147" i="9"/>
  <c r="L147" i="9"/>
  <c r="K147" i="9"/>
  <c r="J147" i="9"/>
  <c r="I147" i="9"/>
  <c r="H147" i="9"/>
  <c r="G147" i="9"/>
  <c r="F147" i="9"/>
  <c r="E147" i="9"/>
  <c r="D147" i="9"/>
  <c r="C147" i="9"/>
  <c r="B147" i="9"/>
  <c r="A147" i="9"/>
  <c r="N146" i="9"/>
  <c r="M146" i="9"/>
  <c r="L146" i="9"/>
  <c r="K146" i="9"/>
  <c r="J146" i="9"/>
  <c r="I146" i="9"/>
  <c r="H146" i="9"/>
  <c r="G146" i="9"/>
  <c r="F146" i="9"/>
  <c r="E146" i="9"/>
  <c r="D146" i="9"/>
  <c r="C146" i="9"/>
  <c r="B146" i="9"/>
  <c r="A146" i="9"/>
  <c r="N145" i="9"/>
  <c r="M145" i="9"/>
  <c r="L145" i="9"/>
  <c r="K145" i="9"/>
  <c r="J145" i="9"/>
  <c r="I145" i="9"/>
  <c r="H145" i="9"/>
  <c r="G145" i="9"/>
  <c r="F145" i="9"/>
  <c r="E145" i="9"/>
  <c r="D145" i="9"/>
  <c r="C145" i="9"/>
  <c r="B145" i="9"/>
  <c r="A145" i="9"/>
  <c r="N144" i="9"/>
  <c r="M144" i="9"/>
  <c r="L144" i="9"/>
  <c r="K144" i="9"/>
  <c r="J144" i="9"/>
  <c r="I144" i="9"/>
  <c r="H144" i="9"/>
  <c r="G144" i="9"/>
  <c r="F144" i="9"/>
  <c r="E144" i="9"/>
  <c r="D144" i="9"/>
  <c r="C144" i="9"/>
  <c r="B144" i="9"/>
  <c r="A144" i="9"/>
  <c r="N143" i="9"/>
  <c r="M143" i="9"/>
  <c r="L143" i="9"/>
  <c r="K143" i="9"/>
  <c r="J143" i="9"/>
  <c r="I143" i="9"/>
  <c r="H143" i="9"/>
  <c r="G143" i="9"/>
  <c r="F143" i="9"/>
  <c r="E143" i="9"/>
  <c r="D143" i="9"/>
  <c r="C143" i="9"/>
  <c r="B143" i="9"/>
  <c r="A143" i="9"/>
  <c r="N142" i="9"/>
  <c r="M142" i="9"/>
  <c r="L142" i="9"/>
  <c r="K142" i="9"/>
  <c r="J142" i="9"/>
  <c r="I142" i="9"/>
  <c r="H142" i="9"/>
  <c r="G142" i="9"/>
  <c r="F142" i="9"/>
  <c r="E142" i="9"/>
  <c r="D142" i="9"/>
  <c r="C142" i="9"/>
  <c r="B142" i="9"/>
  <c r="A142" i="9"/>
  <c r="N141" i="9"/>
  <c r="M141" i="9"/>
  <c r="L141" i="9"/>
  <c r="K141" i="9"/>
  <c r="J141" i="9"/>
  <c r="I141" i="9"/>
  <c r="H141" i="9"/>
  <c r="G141" i="9"/>
  <c r="F141" i="9"/>
  <c r="E141" i="9"/>
  <c r="D141" i="9"/>
  <c r="C141" i="9"/>
  <c r="B141" i="9"/>
  <c r="A141" i="9"/>
  <c r="N140" i="9"/>
  <c r="M140" i="9"/>
  <c r="L140" i="9"/>
  <c r="K140" i="9"/>
  <c r="J140" i="9"/>
  <c r="I140" i="9"/>
  <c r="H140" i="9"/>
  <c r="G140" i="9"/>
  <c r="F140" i="9"/>
  <c r="E140" i="9"/>
  <c r="D140" i="9"/>
  <c r="C140" i="9"/>
  <c r="B140" i="9"/>
  <c r="A140" i="9"/>
  <c r="N139" i="9"/>
  <c r="M139" i="9"/>
  <c r="L139" i="9"/>
  <c r="K139" i="9"/>
  <c r="J139" i="9"/>
  <c r="I139" i="9"/>
  <c r="H139" i="9"/>
  <c r="G139" i="9"/>
  <c r="F139" i="9"/>
  <c r="E139" i="9"/>
  <c r="D139" i="9"/>
  <c r="C139" i="9"/>
  <c r="B139" i="9"/>
  <c r="A139" i="9"/>
  <c r="N138" i="9"/>
  <c r="M138" i="9"/>
  <c r="L138" i="9"/>
  <c r="K138" i="9"/>
  <c r="J138" i="9"/>
  <c r="I138" i="9"/>
  <c r="H138" i="9"/>
  <c r="G138" i="9"/>
  <c r="F138" i="9"/>
  <c r="E138" i="9"/>
  <c r="D138" i="9"/>
  <c r="C138" i="9"/>
  <c r="B138" i="9"/>
  <c r="A138" i="9"/>
  <c r="N137" i="9"/>
  <c r="M137" i="9"/>
  <c r="L137" i="9"/>
  <c r="K137" i="9"/>
  <c r="J137" i="9"/>
  <c r="I137" i="9"/>
  <c r="H137" i="9"/>
  <c r="G137" i="9"/>
  <c r="F137" i="9"/>
  <c r="E137" i="9"/>
  <c r="D137" i="9"/>
  <c r="C137" i="9"/>
  <c r="B137" i="9"/>
  <c r="A137" i="9"/>
  <c r="N136" i="9"/>
  <c r="M136" i="9"/>
  <c r="L136" i="9"/>
  <c r="K136" i="9"/>
  <c r="J136" i="9"/>
  <c r="I136" i="9"/>
  <c r="H136" i="9"/>
  <c r="G136" i="9"/>
  <c r="F136" i="9"/>
  <c r="E136" i="9"/>
  <c r="D136" i="9"/>
  <c r="C136" i="9"/>
  <c r="B136" i="9"/>
  <c r="A136" i="9"/>
  <c r="N135" i="9"/>
  <c r="M135" i="9"/>
  <c r="L135" i="9"/>
  <c r="K135" i="9"/>
  <c r="J135" i="9"/>
  <c r="I135" i="9"/>
  <c r="H135" i="9"/>
  <c r="G135" i="9"/>
  <c r="F135" i="9"/>
  <c r="E135" i="9"/>
  <c r="D135" i="9"/>
  <c r="C135" i="9"/>
  <c r="B135" i="9"/>
  <c r="A135" i="9"/>
  <c r="N134" i="9"/>
  <c r="M134" i="9"/>
  <c r="L134" i="9"/>
  <c r="K134" i="9"/>
  <c r="J134" i="9"/>
  <c r="I134" i="9"/>
  <c r="H134" i="9"/>
  <c r="G134" i="9"/>
  <c r="F134" i="9"/>
  <c r="E134" i="9"/>
  <c r="D134" i="9"/>
  <c r="C134" i="9"/>
  <c r="B134" i="9"/>
  <c r="A134" i="9"/>
  <c r="N133" i="9"/>
  <c r="M133" i="9"/>
  <c r="L133" i="9"/>
  <c r="K133" i="9"/>
  <c r="J133" i="9"/>
  <c r="I133" i="9"/>
  <c r="H133" i="9"/>
  <c r="G133" i="9"/>
  <c r="F133" i="9"/>
  <c r="E133" i="9"/>
  <c r="D133" i="9"/>
  <c r="C133" i="9"/>
  <c r="B133" i="9"/>
  <c r="A133" i="9"/>
  <c r="N132" i="9"/>
  <c r="M132" i="9"/>
  <c r="L132" i="9"/>
  <c r="K132" i="9"/>
  <c r="J132" i="9"/>
  <c r="I132" i="9"/>
  <c r="H132" i="9"/>
  <c r="G132" i="9"/>
  <c r="F132" i="9"/>
  <c r="E132" i="9"/>
  <c r="D132" i="9"/>
  <c r="C132" i="9"/>
  <c r="B132" i="9"/>
  <c r="A132" i="9"/>
  <c r="N131" i="9"/>
  <c r="M131" i="9"/>
  <c r="L131" i="9"/>
  <c r="K131" i="9"/>
  <c r="J131" i="9"/>
  <c r="I131" i="9"/>
  <c r="H131" i="9"/>
  <c r="G131" i="9"/>
  <c r="F131" i="9"/>
  <c r="E131" i="9"/>
  <c r="D131" i="9"/>
  <c r="C131" i="9"/>
  <c r="B131" i="9"/>
  <c r="A131" i="9"/>
  <c r="N130" i="9"/>
  <c r="M130" i="9"/>
  <c r="L130" i="9"/>
  <c r="K130" i="9"/>
  <c r="J130" i="9"/>
  <c r="I130" i="9"/>
  <c r="H130" i="9"/>
  <c r="G130" i="9"/>
  <c r="F130" i="9"/>
  <c r="E130" i="9"/>
  <c r="D130" i="9"/>
  <c r="C130" i="9"/>
  <c r="B130" i="9"/>
  <c r="A130" i="9"/>
  <c r="N129" i="9"/>
  <c r="M129" i="9"/>
  <c r="L129" i="9"/>
  <c r="K129" i="9"/>
  <c r="J129" i="9"/>
  <c r="I129" i="9"/>
  <c r="H129" i="9"/>
  <c r="G129" i="9"/>
  <c r="F129" i="9"/>
  <c r="E129" i="9"/>
  <c r="D129" i="9"/>
  <c r="C129" i="9"/>
  <c r="B129" i="9"/>
  <c r="A129" i="9"/>
  <c r="N128" i="9"/>
  <c r="M128" i="9"/>
  <c r="L128" i="9"/>
  <c r="K128" i="9"/>
  <c r="J128" i="9"/>
  <c r="I128" i="9"/>
  <c r="H128" i="9"/>
  <c r="G128" i="9"/>
  <c r="F128" i="9"/>
  <c r="E128" i="9"/>
  <c r="D128" i="9"/>
  <c r="C128" i="9"/>
  <c r="B128" i="9"/>
  <c r="A128" i="9"/>
  <c r="N127" i="9"/>
  <c r="M127" i="9"/>
  <c r="L127" i="9"/>
  <c r="K127" i="9"/>
  <c r="J127" i="9"/>
  <c r="I127" i="9"/>
  <c r="H127" i="9"/>
  <c r="G127" i="9"/>
  <c r="F127" i="9"/>
  <c r="E127" i="9"/>
  <c r="D127" i="9"/>
  <c r="C127" i="9"/>
  <c r="B127" i="9"/>
  <c r="A127" i="9"/>
  <c r="N126" i="9"/>
  <c r="M126" i="9"/>
  <c r="L126" i="9"/>
  <c r="K126" i="9"/>
  <c r="J126" i="9"/>
  <c r="I126" i="9"/>
  <c r="H126" i="9"/>
  <c r="G126" i="9"/>
  <c r="F126" i="9"/>
  <c r="E126" i="9"/>
  <c r="D126" i="9"/>
  <c r="C126" i="9"/>
  <c r="B126" i="9"/>
  <c r="A126" i="9"/>
  <c r="N125" i="9"/>
  <c r="M125" i="9"/>
  <c r="L125" i="9"/>
  <c r="K125" i="9"/>
  <c r="J125" i="9"/>
  <c r="I125" i="9"/>
  <c r="H125" i="9"/>
  <c r="G125" i="9"/>
  <c r="F125" i="9"/>
  <c r="E125" i="9"/>
  <c r="D125" i="9"/>
  <c r="C125" i="9"/>
  <c r="B125" i="9"/>
  <c r="A125" i="9"/>
  <c r="N124" i="9"/>
  <c r="M124" i="9"/>
  <c r="L124" i="9"/>
  <c r="K124" i="9"/>
  <c r="J124" i="9"/>
  <c r="I124" i="9"/>
  <c r="H124" i="9"/>
  <c r="G124" i="9"/>
  <c r="F124" i="9"/>
  <c r="E124" i="9"/>
  <c r="D124" i="9"/>
  <c r="C124" i="9"/>
  <c r="B124" i="9"/>
  <c r="A124" i="9"/>
  <c r="N123" i="9"/>
  <c r="M123" i="9"/>
  <c r="L123" i="9"/>
  <c r="K123" i="9"/>
  <c r="J123" i="9"/>
  <c r="I123" i="9"/>
  <c r="H123" i="9"/>
  <c r="G123" i="9"/>
  <c r="F123" i="9"/>
  <c r="E123" i="9"/>
  <c r="D123" i="9"/>
  <c r="C123" i="9"/>
  <c r="B123" i="9"/>
  <c r="A123" i="9"/>
  <c r="N122" i="9"/>
  <c r="M122" i="9"/>
  <c r="L122" i="9"/>
  <c r="K122" i="9"/>
  <c r="J122" i="9"/>
  <c r="I122" i="9"/>
  <c r="H122" i="9"/>
  <c r="G122" i="9"/>
  <c r="F122" i="9"/>
  <c r="E122" i="9"/>
  <c r="D122" i="9"/>
  <c r="C122" i="9"/>
  <c r="B122" i="9"/>
  <c r="A122" i="9"/>
  <c r="N121" i="9"/>
  <c r="M121" i="9"/>
  <c r="L121" i="9"/>
  <c r="K121" i="9"/>
  <c r="J121" i="9"/>
  <c r="I121" i="9"/>
  <c r="H121" i="9"/>
  <c r="G121" i="9"/>
  <c r="F121" i="9"/>
  <c r="E121" i="9"/>
  <c r="D121" i="9"/>
  <c r="C121" i="9"/>
  <c r="B121" i="9"/>
  <c r="A121" i="9"/>
  <c r="N120" i="9"/>
  <c r="M120" i="9"/>
  <c r="L120" i="9"/>
  <c r="K120" i="9"/>
  <c r="J120" i="9"/>
  <c r="I120" i="9"/>
  <c r="H120" i="9"/>
  <c r="G120" i="9"/>
  <c r="F120" i="9"/>
  <c r="E120" i="9"/>
  <c r="D120" i="9"/>
  <c r="C120" i="9"/>
  <c r="B120" i="9"/>
  <c r="A120" i="9"/>
  <c r="N119" i="9"/>
  <c r="M119" i="9"/>
  <c r="L119" i="9"/>
  <c r="K119" i="9"/>
  <c r="J119" i="9"/>
  <c r="I119" i="9"/>
  <c r="H119" i="9"/>
  <c r="G119" i="9"/>
  <c r="F119" i="9"/>
  <c r="E119" i="9"/>
  <c r="D119" i="9"/>
  <c r="C119" i="9"/>
  <c r="B119" i="9"/>
  <c r="A119" i="9"/>
  <c r="N118" i="9"/>
  <c r="M118" i="9"/>
  <c r="L118" i="9"/>
  <c r="K118" i="9"/>
  <c r="J118" i="9"/>
  <c r="I118" i="9"/>
  <c r="H118" i="9"/>
  <c r="G118" i="9"/>
  <c r="F118" i="9"/>
  <c r="E118" i="9"/>
  <c r="D118" i="9"/>
  <c r="C118" i="9"/>
  <c r="B118" i="9"/>
  <c r="A118" i="9"/>
  <c r="N117" i="9"/>
  <c r="M117" i="9"/>
  <c r="L117" i="9"/>
  <c r="K117" i="9"/>
  <c r="J117" i="9"/>
  <c r="I117" i="9"/>
  <c r="H117" i="9"/>
  <c r="G117" i="9"/>
  <c r="F117" i="9"/>
  <c r="E117" i="9"/>
  <c r="D117" i="9"/>
  <c r="C117" i="9"/>
  <c r="B117" i="9"/>
  <c r="A117" i="9"/>
  <c r="N116" i="9"/>
  <c r="M116" i="9"/>
  <c r="L116" i="9"/>
  <c r="K116" i="9"/>
  <c r="J116" i="9"/>
  <c r="I116" i="9"/>
  <c r="H116" i="9"/>
  <c r="G116" i="9"/>
  <c r="F116" i="9"/>
  <c r="E116" i="9"/>
  <c r="D116" i="9"/>
  <c r="C116" i="9"/>
  <c r="B116" i="9"/>
  <c r="A116" i="9"/>
  <c r="N115" i="9"/>
  <c r="M115" i="9"/>
  <c r="L115" i="9"/>
  <c r="K115" i="9"/>
  <c r="J115" i="9"/>
  <c r="I115" i="9"/>
  <c r="H115" i="9"/>
  <c r="G115" i="9"/>
  <c r="F115" i="9"/>
  <c r="E115" i="9"/>
  <c r="D115" i="9"/>
  <c r="C115" i="9"/>
  <c r="B115" i="9"/>
  <c r="A115" i="9"/>
  <c r="N114" i="9"/>
  <c r="M114" i="9"/>
  <c r="L114" i="9"/>
  <c r="K114" i="9"/>
  <c r="J114" i="9"/>
  <c r="I114" i="9"/>
  <c r="H114" i="9"/>
  <c r="G114" i="9"/>
  <c r="F114" i="9"/>
  <c r="E114" i="9"/>
  <c r="D114" i="9"/>
  <c r="C114" i="9"/>
  <c r="B114" i="9"/>
  <c r="A114" i="9"/>
  <c r="N113" i="9"/>
  <c r="M113" i="9"/>
  <c r="L113" i="9"/>
  <c r="K113" i="9"/>
  <c r="J113" i="9"/>
  <c r="I113" i="9"/>
  <c r="H113" i="9"/>
  <c r="G113" i="9"/>
  <c r="F113" i="9"/>
  <c r="E113" i="9"/>
  <c r="D113" i="9"/>
  <c r="C113" i="9"/>
  <c r="B113" i="9"/>
  <c r="A113" i="9"/>
  <c r="N112" i="9"/>
  <c r="M112" i="9"/>
  <c r="L112" i="9"/>
  <c r="K112" i="9"/>
  <c r="J112" i="9"/>
  <c r="I112" i="9"/>
  <c r="H112" i="9"/>
  <c r="G112" i="9"/>
  <c r="F112" i="9"/>
  <c r="E112" i="9"/>
  <c r="D112" i="9"/>
  <c r="C112" i="9"/>
  <c r="B112" i="9"/>
  <c r="A112" i="9"/>
  <c r="N111" i="9"/>
  <c r="M111" i="9"/>
  <c r="L111" i="9"/>
  <c r="K111" i="9"/>
  <c r="J111" i="9"/>
  <c r="I111" i="9"/>
  <c r="H111" i="9"/>
  <c r="G111" i="9"/>
  <c r="F111" i="9"/>
  <c r="E111" i="9"/>
  <c r="D111" i="9"/>
  <c r="C111" i="9"/>
  <c r="B111" i="9"/>
  <c r="A111" i="9"/>
  <c r="N110" i="9"/>
  <c r="M110" i="9"/>
  <c r="L110" i="9"/>
  <c r="K110" i="9"/>
  <c r="J110" i="9"/>
  <c r="I110" i="9"/>
  <c r="H110" i="9"/>
  <c r="G110" i="9"/>
  <c r="F110" i="9"/>
  <c r="E110" i="9"/>
  <c r="D110" i="9"/>
  <c r="C110" i="9"/>
  <c r="B110" i="9"/>
  <c r="A110" i="9"/>
  <c r="N109" i="9"/>
  <c r="M109" i="9"/>
  <c r="L109" i="9"/>
  <c r="K109" i="9"/>
  <c r="J109" i="9"/>
  <c r="I109" i="9"/>
  <c r="H109" i="9"/>
  <c r="G109" i="9"/>
  <c r="F109" i="9"/>
  <c r="E109" i="9"/>
  <c r="D109" i="9"/>
  <c r="C109" i="9"/>
  <c r="B109" i="9"/>
  <c r="A109" i="9"/>
  <c r="N108" i="9"/>
  <c r="M108" i="9"/>
  <c r="L108" i="9"/>
  <c r="K108" i="9"/>
  <c r="J108" i="9"/>
  <c r="I108" i="9"/>
  <c r="H108" i="9"/>
  <c r="G108" i="9"/>
  <c r="F108" i="9"/>
  <c r="E108" i="9"/>
  <c r="D108" i="9"/>
  <c r="C108" i="9"/>
  <c r="B108" i="9"/>
  <c r="A108" i="9"/>
  <c r="N107" i="9"/>
  <c r="M107" i="9"/>
  <c r="L107" i="9"/>
  <c r="K107" i="9"/>
  <c r="J107" i="9"/>
  <c r="I107" i="9"/>
  <c r="H107" i="9"/>
  <c r="G107" i="9"/>
  <c r="F107" i="9"/>
  <c r="E107" i="9"/>
  <c r="D107" i="9"/>
  <c r="C107" i="9"/>
  <c r="B107" i="9"/>
  <c r="A107" i="9"/>
  <c r="N106" i="9"/>
  <c r="M106" i="9"/>
  <c r="L106" i="9"/>
  <c r="K106" i="9"/>
  <c r="J106" i="9"/>
  <c r="I106" i="9"/>
  <c r="H106" i="9"/>
  <c r="G106" i="9"/>
  <c r="F106" i="9"/>
  <c r="E106" i="9"/>
  <c r="D106" i="9"/>
  <c r="C106" i="9"/>
  <c r="B106" i="9"/>
  <c r="A106" i="9"/>
  <c r="N105" i="9"/>
  <c r="M105" i="9"/>
  <c r="L105" i="9"/>
  <c r="K105" i="9"/>
  <c r="J105" i="9"/>
  <c r="I105" i="9"/>
  <c r="H105" i="9"/>
  <c r="G105" i="9"/>
  <c r="F105" i="9"/>
  <c r="E105" i="9"/>
  <c r="D105" i="9"/>
  <c r="C105" i="9"/>
  <c r="B105" i="9"/>
  <c r="A105" i="9"/>
  <c r="N104" i="9"/>
  <c r="M104" i="9"/>
  <c r="L104" i="9"/>
  <c r="K104" i="9"/>
  <c r="J104" i="9"/>
  <c r="I104" i="9"/>
  <c r="H104" i="9"/>
  <c r="G104" i="9"/>
  <c r="F104" i="9"/>
  <c r="E104" i="9"/>
  <c r="D104" i="9"/>
  <c r="C104" i="9"/>
  <c r="B104" i="9"/>
  <c r="A104" i="9"/>
  <c r="N103" i="9"/>
  <c r="M103" i="9"/>
  <c r="L103" i="9"/>
  <c r="K103" i="9"/>
  <c r="J103" i="9"/>
  <c r="I103" i="9"/>
  <c r="H103" i="9"/>
  <c r="G103" i="9"/>
  <c r="F103" i="9"/>
  <c r="E103" i="9"/>
  <c r="D103" i="9"/>
  <c r="C103" i="9"/>
  <c r="B103" i="9"/>
  <c r="A103" i="9"/>
  <c r="N102" i="9"/>
  <c r="M102" i="9"/>
  <c r="L102" i="9"/>
  <c r="K102" i="9"/>
  <c r="J102" i="9"/>
  <c r="I102" i="9"/>
  <c r="H102" i="9"/>
  <c r="G102" i="9"/>
  <c r="F102" i="9"/>
  <c r="E102" i="9"/>
  <c r="D102" i="9"/>
  <c r="C102" i="9"/>
  <c r="B102" i="9"/>
  <c r="A102" i="9"/>
  <c r="N101" i="9"/>
  <c r="M101" i="9"/>
  <c r="L101" i="9"/>
  <c r="K101" i="9"/>
  <c r="J101" i="9"/>
  <c r="I101" i="9"/>
  <c r="H101" i="9"/>
  <c r="G101" i="9"/>
  <c r="F101" i="9"/>
  <c r="E101" i="9"/>
  <c r="D101" i="9"/>
  <c r="C101" i="9"/>
  <c r="B101" i="9"/>
  <c r="A101" i="9"/>
  <c r="N100" i="9"/>
  <c r="M100" i="9"/>
  <c r="L100" i="9"/>
  <c r="K100" i="9"/>
  <c r="J100" i="9"/>
  <c r="I100" i="9"/>
  <c r="H100" i="9"/>
  <c r="G100" i="9"/>
  <c r="F100" i="9"/>
  <c r="E100" i="9"/>
  <c r="D100" i="9"/>
  <c r="C100" i="9"/>
  <c r="B100" i="9"/>
  <c r="A100" i="9"/>
  <c r="N99" i="9"/>
  <c r="M99" i="9"/>
  <c r="L99" i="9"/>
  <c r="K99" i="9"/>
  <c r="J99" i="9"/>
  <c r="I99" i="9"/>
  <c r="H99" i="9"/>
  <c r="G99" i="9"/>
  <c r="F99" i="9"/>
  <c r="E99" i="9"/>
  <c r="D99" i="9"/>
  <c r="C99" i="9"/>
  <c r="B99" i="9"/>
  <c r="A99" i="9"/>
  <c r="N98" i="9"/>
  <c r="M98" i="9"/>
  <c r="L98" i="9"/>
  <c r="K98" i="9"/>
  <c r="J98" i="9"/>
  <c r="I98" i="9"/>
  <c r="H98" i="9"/>
  <c r="G98" i="9"/>
  <c r="F98" i="9"/>
  <c r="E98" i="9"/>
  <c r="D98" i="9"/>
  <c r="C98" i="9"/>
  <c r="B98" i="9"/>
  <c r="A98" i="9"/>
  <c r="N97" i="9"/>
  <c r="M97" i="9"/>
  <c r="L97" i="9"/>
  <c r="K97" i="9"/>
  <c r="J97" i="9"/>
  <c r="I97" i="9"/>
  <c r="H97" i="9"/>
  <c r="G97" i="9"/>
  <c r="F97" i="9"/>
  <c r="E97" i="9"/>
  <c r="D97" i="9"/>
  <c r="C97" i="9"/>
  <c r="B97" i="9"/>
  <c r="A97" i="9"/>
  <c r="N96" i="9"/>
  <c r="M96" i="9"/>
  <c r="L96" i="9"/>
  <c r="K96" i="9"/>
  <c r="J96" i="9"/>
  <c r="I96" i="9"/>
  <c r="H96" i="9"/>
  <c r="G96" i="9"/>
  <c r="F96" i="9"/>
  <c r="E96" i="9"/>
  <c r="D96" i="9"/>
  <c r="C96" i="9"/>
  <c r="B96" i="9"/>
  <c r="A96" i="9"/>
  <c r="N95" i="9"/>
  <c r="M95" i="9"/>
  <c r="L95" i="9"/>
  <c r="K95" i="9"/>
  <c r="J95" i="9"/>
  <c r="I95" i="9"/>
  <c r="H95" i="9"/>
  <c r="G95" i="9"/>
  <c r="F95" i="9"/>
  <c r="E95" i="9"/>
  <c r="D95" i="9"/>
  <c r="C95" i="9"/>
  <c r="B95" i="9"/>
  <c r="A95" i="9"/>
  <c r="N94" i="9"/>
  <c r="M94" i="9"/>
  <c r="L94" i="9"/>
  <c r="K94" i="9"/>
  <c r="J94" i="9"/>
  <c r="I94" i="9"/>
  <c r="H94" i="9"/>
  <c r="G94" i="9"/>
  <c r="F94" i="9"/>
  <c r="E94" i="9"/>
  <c r="D94" i="9"/>
  <c r="C94" i="9"/>
  <c r="B94" i="9"/>
  <c r="A94" i="9"/>
  <c r="N93" i="9"/>
  <c r="M93" i="9"/>
  <c r="L93" i="9"/>
  <c r="K93" i="9"/>
  <c r="J93" i="9"/>
  <c r="I93" i="9"/>
  <c r="H93" i="9"/>
  <c r="G93" i="9"/>
  <c r="F93" i="9"/>
  <c r="E93" i="9"/>
  <c r="D93" i="9"/>
  <c r="C93" i="9"/>
  <c r="B93" i="9"/>
  <c r="A93" i="9"/>
  <c r="N92" i="9"/>
  <c r="M92" i="9"/>
  <c r="L92" i="9"/>
  <c r="K92" i="9"/>
  <c r="J92" i="9"/>
  <c r="I92" i="9"/>
  <c r="H92" i="9"/>
  <c r="G92" i="9"/>
  <c r="F92" i="9"/>
  <c r="E92" i="9"/>
  <c r="D92" i="9"/>
  <c r="C92" i="9"/>
  <c r="B92" i="9"/>
  <c r="A92" i="9"/>
  <c r="N91" i="9"/>
  <c r="M91" i="9"/>
  <c r="L91" i="9"/>
  <c r="K91" i="9"/>
  <c r="J91" i="9"/>
  <c r="I91" i="9"/>
  <c r="H91" i="9"/>
  <c r="G91" i="9"/>
  <c r="F91" i="9"/>
  <c r="E91" i="9"/>
  <c r="D91" i="9"/>
  <c r="C91" i="9"/>
  <c r="B91" i="9"/>
  <c r="A91" i="9"/>
  <c r="N90" i="9"/>
  <c r="M90" i="9"/>
  <c r="L90" i="9"/>
  <c r="K90" i="9"/>
  <c r="J90" i="9"/>
  <c r="I90" i="9"/>
  <c r="H90" i="9"/>
  <c r="G90" i="9"/>
  <c r="F90" i="9"/>
  <c r="E90" i="9"/>
  <c r="D90" i="9"/>
  <c r="C90" i="9"/>
  <c r="B90" i="9"/>
  <c r="A90" i="9"/>
  <c r="N89" i="9"/>
  <c r="M89" i="9"/>
  <c r="L89" i="9"/>
  <c r="K89" i="9"/>
  <c r="J89" i="9"/>
  <c r="I89" i="9"/>
  <c r="H89" i="9"/>
  <c r="G89" i="9"/>
  <c r="F89" i="9"/>
  <c r="E89" i="9"/>
  <c r="D89" i="9"/>
  <c r="C89" i="9"/>
  <c r="B89" i="9"/>
  <c r="A89" i="9"/>
  <c r="N88" i="9"/>
  <c r="M88" i="9"/>
  <c r="L88" i="9"/>
  <c r="K88" i="9"/>
  <c r="J88" i="9"/>
  <c r="I88" i="9"/>
  <c r="H88" i="9"/>
  <c r="G88" i="9"/>
  <c r="F88" i="9"/>
  <c r="E88" i="9"/>
  <c r="D88" i="9"/>
  <c r="C88" i="9"/>
  <c r="B88" i="9"/>
  <c r="A88" i="9"/>
  <c r="N87" i="9"/>
  <c r="M87" i="9"/>
  <c r="L87" i="9"/>
  <c r="K87" i="9"/>
  <c r="J87" i="9"/>
  <c r="I87" i="9"/>
  <c r="H87" i="9"/>
  <c r="G87" i="9"/>
  <c r="F87" i="9"/>
  <c r="E87" i="9"/>
  <c r="D87" i="9"/>
  <c r="C87" i="9"/>
  <c r="B87" i="9"/>
  <c r="A87" i="9"/>
  <c r="N86" i="9"/>
  <c r="M86" i="9"/>
  <c r="L86" i="9"/>
  <c r="K86" i="9"/>
  <c r="J86" i="9"/>
  <c r="I86" i="9"/>
  <c r="H86" i="9"/>
  <c r="G86" i="9"/>
  <c r="F86" i="9"/>
  <c r="E86" i="9"/>
  <c r="D86" i="9"/>
  <c r="C86" i="9"/>
  <c r="B86" i="9"/>
  <c r="A86" i="9"/>
  <c r="N85" i="9"/>
  <c r="M85" i="9"/>
  <c r="L85" i="9"/>
  <c r="K85" i="9"/>
  <c r="J85" i="9"/>
  <c r="I85" i="9"/>
  <c r="H85" i="9"/>
  <c r="G85" i="9"/>
  <c r="F85" i="9"/>
  <c r="E85" i="9"/>
  <c r="D85" i="9"/>
  <c r="C85" i="9"/>
  <c r="B85" i="9"/>
  <c r="A85" i="9"/>
  <c r="N84" i="9"/>
  <c r="M84" i="9"/>
  <c r="L84" i="9"/>
  <c r="K84" i="9"/>
  <c r="J84" i="9"/>
  <c r="I84" i="9"/>
  <c r="H84" i="9"/>
  <c r="G84" i="9"/>
  <c r="F84" i="9"/>
  <c r="E84" i="9"/>
  <c r="D84" i="9"/>
  <c r="C84" i="9"/>
  <c r="B84" i="9"/>
  <c r="A84" i="9"/>
  <c r="N83" i="9"/>
  <c r="M83" i="9"/>
  <c r="L83" i="9"/>
  <c r="K83" i="9"/>
  <c r="J83" i="9"/>
  <c r="I83" i="9"/>
  <c r="H83" i="9"/>
  <c r="G83" i="9"/>
  <c r="F83" i="9"/>
  <c r="E83" i="9"/>
  <c r="D83" i="9"/>
  <c r="C83" i="9"/>
  <c r="B83" i="9"/>
  <c r="A83" i="9"/>
  <c r="N82" i="9"/>
  <c r="M82" i="9"/>
  <c r="L82" i="9"/>
  <c r="K82" i="9"/>
  <c r="J82" i="9"/>
  <c r="I82" i="9"/>
  <c r="H82" i="9"/>
  <c r="G82" i="9"/>
  <c r="F82" i="9"/>
  <c r="E82" i="9"/>
  <c r="D82" i="9"/>
  <c r="C82" i="9"/>
  <c r="B82" i="9"/>
  <c r="A82" i="9"/>
  <c r="N81" i="9"/>
  <c r="M81" i="9"/>
  <c r="L81" i="9"/>
  <c r="K81" i="9"/>
  <c r="J81" i="9"/>
  <c r="I81" i="9"/>
  <c r="H81" i="9"/>
  <c r="G81" i="9"/>
  <c r="F81" i="9"/>
  <c r="E81" i="9"/>
  <c r="D81" i="9"/>
  <c r="C81" i="9"/>
  <c r="B81" i="9"/>
  <c r="A81" i="9"/>
  <c r="N80" i="9"/>
  <c r="M80" i="9"/>
  <c r="L80" i="9"/>
  <c r="K80" i="9"/>
  <c r="J80" i="9"/>
  <c r="I80" i="9"/>
  <c r="H80" i="9"/>
  <c r="G80" i="9"/>
  <c r="F80" i="9"/>
  <c r="E80" i="9"/>
  <c r="D80" i="9"/>
  <c r="C80" i="9"/>
  <c r="B80" i="9"/>
  <c r="A80" i="9"/>
  <c r="N79" i="9"/>
  <c r="M79" i="9"/>
  <c r="L79" i="9"/>
  <c r="K79" i="9"/>
  <c r="J79" i="9"/>
  <c r="I79" i="9"/>
  <c r="H79" i="9"/>
  <c r="G79" i="9"/>
  <c r="F79" i="9"/>
  <c r="E79" i="9"/>
  <c r="D79" i="9"/>
  <c r="C79" i="9"/>
  <c r="B79" i="9"/>
  <c r="A79" i="9"/>
  <c r="N78" i="9"/>
  <c r="M78" i="9"/>
  <c r="L78" i="9"/>
  <c r="K78" i="9"/>
  <c r="J78" i="9"/>
  <c r="I78" i="9"/>
  <c r="H78" i="9"/>
  <c r="G78" i="9"/>
  <c r="F78" i="9"/>
  <c r="E78" i="9"/>
  <c r="D78" i="9"/>
  <c r="C78" i="9"/>
  <c r="B78" i="9"/>
  <c r="A78" i="9"/>
  <c r="N77" i="9"/>
  <c r="M77" i="9"/>
  <c r="L77" i="9"/>
  <c r="K77" i="9"/>
  <c r="J77" i="9"/>
  <c r="I77" i="9"/>
  <c r="H77" i="9"/>
  <c r="G77" i="9"/>
  <c r="F77" i="9"/>
  <c r="E77" i="9"/>
  <c r="D77" i="9"/>
  <c r="C77" i="9"/>
  <c r="B77" i="9"/>
  <c r="A77" i="9"/>
  <c r="N76" i="9"/>
  <c r="M76" i="9"/>
  <c r="L76" i="9"/>
  <c r="K76" i="9"/>
  <c r="J76" i="9"/>
  <c r="I76" i="9"/>
  <c r="H76" i="9"/>
  <c r="G76" i="9"/>
  <c r="F76" i="9"/>
  <c r="E76" i="9"/>
  <c r="D76" i="9"/>
  <c r="C76" i="9"/>
  <c r="B76" i="9"/>
  <c r="A76" i="9"/>
  <c r="N75" i="9"/>
  <c r="M75" i="9"/>
  <c r="L75" i="9"/>
  <c r="K75" i="9"/>
  <c r="J75" i="9"/>
  <c r="I75" i="9"/>
  <c r="H75" i="9"/>
  <c r="G75" i="9"/>
  <c r="F75" i="9"/>
  <c r="E75" i="9"/>
  <c r="D75" i="9"/>
  <c r="C75" i="9"/>
  <c r="B75" i="9"/>
  <c r="A75" i="9"/>
  <c r="N74" i="9"/>
  <c r="M74" i="9"/>
  <c r="L74" i="9"/>
  <c r="K74" i="9"/>
  <c r="J74" i="9"/>
  <c r="I74" i="9"/>
  <c r="H74" i="9"/>
  <c r="G74" i="9"/>
  <c r="F74" i="9"/>
  <c r="E74" i="9"/>
  <c r="D74" i="9"/>
  <c r="C74" i="9"/>
  <c r="B74" i="9"/>
  <c r="A74" i="9"/>
  <c r="N73" i="9"/>
  <c r="M73" i="9"/>
  <c r="L73" i="9"/>
  <c r="K73" i="9"/>
  <c r="J73" i="9"/>
  <c r="I73" i="9"/>
  <c r="H73" i="9"/>
  <c r="G73" i="9"/>
  <c r="F73" i="9"/>
  <c r="E73" i="9"/>
  <c r="D73" i="9"/>
  <c r="C73" i="9"/>
  <c r="B73" i="9"/>
  <c r="A73" i="9"/>
  <c r="N72" i="9"/>
  <c r="M72" i="9"/>
  <c r="L72" i="9"/>
  <c r="K72" i="9"/>
  <c r="J72" i="9"/>
  <c r="I72" i="9"/>
  <c r="H72" i="9"/>
  <c r="G72" i="9"/>
  <c r="F72" i="9"/>
  <c r="E72" i="9"/>
  <c r="D72" i="9"/>
  <c r="C72" i="9"/>
  <c r="B72" i="9"/>
  <c r="A72" i="9"/>
  <c r="N71" i="9"/>
  <c r="M71" i="9"/>
  <c r="L71" i="9"/>
  <c r="K71" i="9"/>
  <c r="J71" i="9"/>
  <c r="I71" i="9"/>
  <c r="H71" i="9"/>
  <c r="G71" i="9"/>
  <c r="F71" i="9"/>
  <c r="E71" i="9"/>
  <c r="D71" i="9"/>
  <c r="C71" i="9"/>
  <c r="B71" i="9"/>
  <c r="A71" i="9"/>
  <c r="N70" i="9"/>
  <c r="M70" i="9"/>
  <c r="L70" i="9"/>
  <c r="K70" i="9"/>
  <c r="J70" i="9"/>
  <c r="I70" i="9"/>
  <c r="H70" i="9"/>
  <c r="G70" i="9"/>
  <c r="F70" i="9"/>
  <c r="E70" i="9"/>
  <c r="D70" i="9"/>
  <c r="C70" i="9"/>
  <c r="B70" i="9"/>
  <c r="A70" i="9"/>
  <c r="N69" i="9"/>
  <c r="M69" i="9"/>
  <c r="L69" i="9"/>
  <c r="K69" i="9"/>
  <c r="J69" i="9"/>
  <c r="I69" i="9"/>
  <c r="H69" i="9"/>
  <c r="G69" i="9"/>
  <c r="F69" i="9"/>
  <c r="E69" i="9"/>
  <c r="D69" i="9"/>
  <c r="C69" i="9"/>
  <c r="B69" i="9"/>
  <c r="A69" i="9"/>
  <c r="N68" i="9"/>
  <c r="M68" i="9"/>
  <c r="L68" i="9"/>
  <c r="K68" i="9"/>
  <c r="J68" i="9"/>
  <c r="I68" i="9"/>
  <c r="H68" i="9"/>
  <c r="G68" i="9"/>
  <c r="F68" i="9"/>
  <c r="E68" i="9"/>
  <c r="D68" i="9"/>
  <c r="C68" i="9"/>
  <c r="B68" i="9"/>
  <c r="A68" i="9"/>
  <c r="N67" i="9"/>
  <c r="M67" i="9"/>
  <c r="L67" i="9"/>
  <c r="K67" i="9"/>
  <c r="J67" i="9"/>
  <c r="I67" i="9"/>
  <c r="H67" i="9"/>
  <c r="G67" i="9"/>
  <c r="F67" i="9"/>
  <c r="E67" i="9"/>
  <c r="D67" i="9"/>
  <c r="C67" i="9"/>
  <c r="B67" i="9"/>
  <c r="A67" i="9"/>
  <c r="N66" i="9"/>
  <c r="M66" i="9"/>
  <c r="L66" i="9"/>
  <c r="K66" i="9"/>
  <c r="J66" i="9"/>
  <c r="I66" i="9"/>
  <c r="H66" i="9"/>
  <c r="G66" i="9"/>
  <c r="F66" i="9"/>
  <c r="E66" i="9"/>
  <c r="D66" i="9"/>
  <c r="C66" i="9"/>
  <c r="B66" i="9"/>
  <c r="A66" i="9"/>
  <c r="N65" i="9"/>
  <c r="M65" i="9"/>
  <c r="L65" i="9"/>
  <c r="K65" i="9"/>
  <c r="J65" i="9"/>
  <c r="I65" i="9"/>
  <c r="H65" i="9"/>
  <c r="G65" i="9"/>
  <c r="F65" i="9"/>
  <c r="E65" i="9"/>
  <c r="D65" i="9"/>
  <c r="C65" i="9"/>
  <c r="B65" i="9"/>
  <c r="A65" i="9"/>
  <c r="N64" i="9"/>
  <c r="M64" i="9"/>
  <c r="L64" i="9"/>
  <c r="K64" i="9"/>
  <c r="J64" i="9"/>
  <c r="I64" i="9"/>
  <c r="H64" i="9"/>
  <c r="G64" i="9"/>
  <c r="F64" i="9"/>
  <c r="E64" i="9"/>
  <c r="D64" i="9"/>
  <c r="C64" i="9"/>
  <c r="B64" i="9"/>
  <c r="A64" i="9"/>
  <c r="N63" i="9"/>
  <c r="M63" i="9"/>
  <c r="L63" i="9"/>
  <c r="K63" i="9"/>
  <c r="J63" i="9"/>
  <c r="I63" i="9"/>
  <c r="H63" i="9"/>
  <c r="G63" i="9"/>
  <c r="F63" i="9"/>
  <c r="E63" i="9"/>
  <c r="D63" i="9"/>
  <c r="C63" i="9"/>
  <c r="B63" i="9"/>
  <c r="A63" i="9"/>
  <c r="N62" i="9"/>
  <c r="M62" i="9"/>
  <c r="L62" i="9"/>
  <c r="K62" i="9"/>
  <c r="J62" i="9"/>
  <c r="I62" i="9"/>
  <c r="H62" i="9"/>
  <c r="G62" i="9"/>
  <c r="F62" i="9"/>
  <c r="E62" i="9"/>
  <c r="D62" i="9"/>
  <c r="C62" i="9"/>
  <c r="B62" i="9"/>
  <c r="A62" i="9"/>
  <c r="N61" i="9"/>
  <c r="M61" i="9"/>
  <c r="L61" i="9"/>
  <c r="K61" i="9"/>
  <c r="J61" i="9"/>
  <c r="I61" i="9"/>
  <c r="H61" i="9"/>
  <c r="G61" i="9"/>
  <c r="F61" i="9"/>
  <c r="E61" i="9"/>
  <c r="D61" i="9"/>
  <c r="C61" i="9"/>
  <c r="B61" i="9"/>
  <c r="A61" i="9"/>
  <c r="N60" i="9"/>
  <c r="M60" i="9"/>
  <c r="L60" i="9"/>
  <c r="K60" i="9"/>
  <c r="J60" i="9"/>
  <c r="I60" i="9"/>
  <c r="H60" i="9"/>
  <c r="G60" i="9"/>
  <c r="F60" i="9"/>
  <c r="E60" i="9"/>
  <c r="D60" i="9"/>
  <c r="C60" i="9"/>
  <c r="B60" i="9"/>
  <c r="A60" i="9"/>
  <c r="N59" i="9"/>
  <c r="M59" i="9"/>
  <c r="L59" i="9"/>
  <c r="K59" i="9"/>
  <c r="J59" i="9"/>
  <c r="I59" i="9"/>
  <c r="H59" i="9"/>
  <c r="G59" i="9"/>
  <c r="F59" i="9"/>
  <c r="E59" i="9"/>
  <c r="D59" i="9"/>
  <c r="C59" i="9"/>
  <c r="B59" i="9"/>
  <c r="A59" i="9"/>
  <c r="N58" i="9"/>
  <c r="M58" i="9"/>
  <c r="L58" i="9"/>
  <c r="K58" i="9"/>
  <c r="J58" i="9"/>
  <c r="I58" i="9"/>
  <c r="H58" i="9"/>
  <c r="G58" i="9"/>
  <c r="F58" i="9"/>
  <c r="E58" i="9"/>
  <c r="D58" i="9"/>
  <c r="C58" i="9"/>
  <c r="B58" i="9"/>
  <c r="A58" i="9"/>
  <c r="N57" i="9"/>
  <c r="M57" i="9"/>
  <c r="L57" i="9"/>
  <c r="K57" i="9"/>
  <c r="J57" i="9"/>
  <c r="I57" i="9"/>
  <c r="H57" i="9"/>
  <c r="G57" i="9"/>
  <c r="F57" i="9"/>
  <c r="E57" i="9"/>
  <c r="D57" i="9"/>
  <c r="C57" i="9"/>
  <c r="B57" i="9"/>
  <c r="A57" i="9"/>
  <c r="N56" i="9"/>
  <c r="M56" i="9"/>
  <c r="L56" i="9"/>
  <c r="K56" i="9"/>
  <c r="J56" i="9"/>
  <c r="I56" i="9"/>
  <c r="H56" i="9"/>
  <c r="G56" i="9"/>
  <c r="F56" i="9"/>
  <c r="E56" i="9"/>
  <c r="D56" i="9"/>
  <c r="C56" i="9"/>
  <c r="B56" i="9"/>
  <c r="A56" i="9"/>
  <c r="N55" i="9"/>
  <c r="M55" i="9"/>
  <c r="L55" i="9"/>
  <c r="K55" i="9"/>
  <c r="J55" i="9"/>
  <c r="I55" i="9"/>
  <c r="H55" i="9"/>
  <c r="G55" i="9"/>
  <c r="F55" i="9"/>
  <c r="E55" i="9"/>
  <c r="D55" i="9"/>
  <c r="C55" i="9"/>
  <c r="B55" i="9"/>
  <c r="A55" i="9"/>
  <c r="N54" i="9"/>
  <c r="M54" i="9"/>
  <c r="L54" i="9"/>
  <c r="K54" i="9"/>
  <c r="J54" i="9"/>
  <c r="I54" i="9"/>
  <c r="H54" i="9"/>
  <c r="G54" i="9"/>
  <c r="F54" i="9"/>
  <c r="E54" i="9"/>
  <c r="D54" i="9"/>
  <c r="C54" i="9"/>
  <c r="B54" i="9"/>
  <c r="A54" i="9"/>
  <c r="N53" i="9"/>
  <c r="M53" i="9"/>
  <c r="L53" i="9"/>
  <c r="K53" i="9"/>
  <c r="J53" i="9"/>
  <c r="I53" i="9"/>
  <c r="H53" i="9"/>
  <c r="G53" i="9"/>
  <c r="F53" i="9"/>
  <c r="E53" i="9"/>
  <c r="D53" i="9"/>
  <c r="C53" i="9"/>
  <c r="B53" i="9"/>
  <c r="A53" i="9"/>
  <c r="N52" i="9"/>
  <c r="M52" i="9"/>
  <c r="L52" i="9"/>
  <c r="K52" i="9"/>
  <c r="J52" i="9"/>
  <c r="I52" i="9"/>
  <c r="H52" i="9"/>
  <c r="G52" i="9"/>
  <c r="F52" i="9"/>
  <c r="E52" i="9"/>
  <c r="D52" i="9"/>
  <c r="C52" i="9"/>
  <c r="B52" i="9"/>
  <c r="A52" i="9"/>
  <c r="N51" i="9"/>
  <c r="M51" i="9"/>
  <c r="L51" i="9"/>
  <c r="K51" i="9"/>
  <c r="J51" i="9"/>
  <c r="I51" i="9"/>
  <c r="H51" i="9"/>
  <c r="G51" i="9"/>
  <c r="F51" i="9"/>
  <c r="E51" i="9"/>
  <c r="D51" i="9"/>
  <c r="C51" i="9"/>
  <c r="B51" i="9"/>
  <c r="A51" i="9"/>
  <c r="N50" i="9"/>
  <c r="M50" i="9"/>
  <c r="L50" i="9"/>
  <c r="K50" i="9"/>
  <c r="J50" i="9"/>
  <c r="I50" i="9"/>
  <c r="H50" i="9"/>
  <c r="G50" i="9"/>
  <c r="F50" i="9"/>
  <c r="E50" i="9"/>
  <c r="D50" i="9"/>
  <c r="C50" i="9"/>
  <c r="B50" i="9"/>
  <c r="A50" i="9"/>
  <c r="N49" i="9"/>
  <c r="M49" i="9"/>
  <c r="L49" i="9"/>
  <c r="K49" i="9"/>
  <c r="J49" i="9"/>
  <c r="I49" i="9"/>
  <c r="H49" i="9"/>
  <c r="G49" i="9"/>
  <c r="F49" i="9"/>
  <c r="E49" i="9"/>
  <c r="D49" i="9"/>
  <c r="C49" i="9"/>
  <c r="B49" i="9"/>
  <c r="A49" i="9"/>
  <c r="N48" i="9"/>
  <c r="M48" i="9"/>
  <c r="L48" i="9"/>
  <c r="K48" i="9"/>
  <c r="J48" i="9"/>
  <c r="I48" i="9"/>
  <c r="H48" i="9"/>
  <c r="G48" i="9"/>
  <c r="F48" i="9"/>
  <c r="E48" i="9"/>
  <c r="D48" i="9"/>
  <c r="C48" i="9"/>
  <c r="B48" i="9"/>
  <c r="A48" i="9"/>
  <c r="N47" i="9"/>
  <c r="M47" i="9"/>
  <c r="L47" i="9"/>
  <c r="K47" i="9"/>
  <c r="J47" i="9"/>
  <c r="I47" i="9"/>
  <c r="H47" i="9"/>
  <c r="G47" i="9"/>
  <c r="F47" i="9"/>
  <c r="E47" i="9"/>
  <c r="D47" i="9"/>
  <c r="C47" i="9"/>
  <c r="B47" i="9"/>
  <c r="A47" i="9"/>
  <c r="N46" i="9"/>
  <c r="M46" i="9"/>
  <c r="L46" i="9"/>
  <c r="K46" i="9"/>
  <c r="J46" i="9"/>
  <c r="I46" i="9"/>
  <c r="H46" i="9"/>
  <c r="G46" i="9"/>
  <c r="F46" i="9"/>
  <c r="E46" i="9"/>
  <c r="D46" i="9"/>
  <c r="C46" i="9"/>
  <c r="B46" i="9"/>
  <c r="A46" i="9"/>
  <c r="N45" i="9"/>
  <c r="M45" i="9"/>
  <c r="L45" i="9"/>
  <c r="K45" i="9"/>
  <c r="J45" i="9"/>
  <c r="I45" i="9"/>
  <c r="H45" i="9"/>
  <c r="G45" i="9"/>
  <c r="F45" i="9"/>
  <c r="E45" i="9"/>
  <c r="D45" i="9"/>
  <c r="C45" i="9"/>
  <c r="B45" i="9"/>
  <c r="A45" i="9"/>
  <c r="N44" i="9"/>
  <c r="M44" i="9"/>
  <c r="L44" i="9"/>
  <c r="K44" i="9"/>
  <c r="J44" i="9"/>
  <c r="I44" i="9"/>
  <c r="H44" i="9"/>
  <c r="G44" i="9"/>
  <c r="F44" i="9"/>
  <c r="E44" i="9"/>
  <c r="D44" i="9"/>
  <c r="C44" i="9"/>
  <c r="B44" i="9"/>
  <c r="A44" i="9"/>
  <c r="N43" i="9"/>
  <c r="M43" i="9"/>
  <c r="L43" i="9"/>
  <c r="K43" i="9"/>
  <c r="J43" i="9"/>
  <c r="I43" i="9"/>
  <c r="H43" i="9"/>
  <c r="G43" i="9"/>
  <c r="F43" i="9"/>
  <c r="E43" i="9"/>
  <c r="D43" i="9"/>
  <c r="C43" i="9"/>
  <c r="B43" i="9"/>
  <c r="A43" i="9"/>
  <c r="N42" i="9"/>
  <c r="M42" i="9"/>
  <c r="L42" i="9"/>
  <c r="K42" i="9"/>
  <c r="J42" i="9"/>
  <c r="I42" i="9"/>
  <c r="H42" i="9"/>
  <c r="G42" i="9"/>
  <c r="F42" i="9"/>
  <c r="E42" i="9"/>
  <c r="D42" i="9"/>
  <c r="C42" i="9"/>
  <c r="B42" i="9"/>
  <c r="A42" i="9"/>
  <c r="N41" i="9"/>
  <c r="M41" i="9"/>
  <c r="L41" i="9"/>
  <c r="K41" i="9"/>
  <c r="J41" i="9"/>
  <c r="I41" i="9"/>
  <c r="H41" i="9"/>
  <c r="G41" i="9"/>
  <c r="F41" i="9"/>
  <c r="E41" i="9"/>
  <c r="D41" i="9"/>
  <c r="C41" i="9"/>
  <c r="B41" i="9"/>
  <c r="A41" i="9"/>
  <c r="N40" i="9"/>
  <c r="M40" i="9"/>
  <c r="L40" i="9"/>
  <c r="K40" i="9"/>
  <c r="J40" i="9"/>
  <c r="I40" i="9"/>
  <c r="H40" i="9"/>
  <c r="G40" i="9"/>
  <c r="F40" i="9"/>
  <c r="E40" i="9"/>
  <c r="D40" i="9"/>
  <c r="C40" i="9"/>
  <c r="B40" i="9"/>
  <c r="A40" i="9"/>
  <c r="N39" i="9"/>
  <c r="M39" i="9"/>
  <c r="L39" i="9"/>
  <c r="K39" i="9"/>
  <c r="J39" i="9"/>
  <c r="I39" i="9"/>
  <c r="H39" i="9"/>
  <c r="G39" i="9"/>
  <c r="F39" i="9"/>
  <c r="E39" i="9"/>
  <c r="D39" i="9"/>
  <c r="C39" i="9"/>
  <c r="B39" i="9"/>
  <c r="A39" i="9"/>
  <c r="N38" i="9"/>
  <c r="M38" i="9"/>
  <c r="L38" i="9"/>
  <c r="K38" i="9"/>
  <c r="J38" i="9"/>
  <c r="I38" i="9"/>
  <c r="H38" i="9"/>
  <c r="G38" i="9"/>
  <c r="F38" i="9"/>
  <c r="E38" i="9"/>
  <c r="D38" i="9"/>
  <c r="C38" i="9"/>
  <c r="B38" i="9"/>
  <c r="A38" i="9"/>
  <c r="N37" i="9"/>
  <c r="M37" i="9"/>
  <c r="L37" i="9"/>
  <c r="K37" i="9"/>
  <c r="J37" i="9"/>
  <c r="I37" i="9"/>
  <c r="H37" i="9"/>
  <c r="G37" i="9"/>
  <c r="F37" i="9"/>
  <c r="E37" i="9"/>
  <c r="D37" i="9"/>
  <c r="C37" i="9"/>
  <c r="B37" i="9"/>
  <c r="A37" i="9"/>
  <c r="N36" i="9"/>
  <c r="M36" i="9"/>
  <c r="L36" i="9"/>
  <c r="K36" i="9"/>
  <c r="J36" i="9"/>
  <c r="I36" i="9"/>
  <c r="H36" i="9"/>
  <c r="G36" i="9"/>
  <c r="F36" i="9"/>
  <c r="E36" i="9"/>
  <c r="D36" i="9"/>
  <c r="C36" i="9"/>
  <c r="B36" i="9"/>
  <c r="A36" i="9"/>
  <c r="N35" i="9"/>
  <c r="M35" i="9"/>
  <c r="L35" i="9"/>
  <c r="K35" i="9"/>
  <c r="J35" i="9"/>
  <c r="I35" i="9"/>
  <c r="H35" i="9"/>
  <c r="G35" i="9"/>
  <c r="F35" i="9"/>
  <c r="E35" i="9"/>
  <c r="D35" i="9"/>
  <c r="C35" i="9"/>
  <c r="B35" i="9"/>
  <c r="A35" i="9"/>
  <c r="N34" i="9"/>
  <c r="M34" i="9"/>
  <c r="L34" i="9"/>
  <c r="K34" i="9"/>
  <c r="J34" i="9"/>
  <c r="I34" i="9"/>
  <c r="H34" i="9"/>
  <c r="G34" i="9"/>
  <c r="F34" i="9"/>
  <c r="E34" i="9"/>
  <c r="D34" i="9"/>
  <c r="C34" i="9"/>
  <c r="B34" i="9"/>
  <c r="A34" i="9"/>
  <c r="N33" i="9"/>
  <c r="M33" i="9"/>
  <c r="L33" i="9"/>
  <c r="K33" i="9"/>
  <c r="J33" i="9"/>
  <c r="I33" i="9"/>
  <c r="H33" i="9"/>
  <c r="G33" i="9"/>
  <c r="F33" i="9"/>
  <c r="E33" i="9"/>
  <c r="D33" i="9"/>
  <c r="C33" i="9"/>
  <c r="B33" i="9"/>
  <c r="A33" i="9"/>
  <c r="N32" i="9"/>
  <c r="M32" i="9"/>
  <c r="L32" i="9"/>
  <c r="K32" i="9"/>
  <c r="J32" i="9"/>
  <c r="I32" i="9"/>
  <c r="H32" i="9"/>
  <c r="G32" i="9"/>
  <c r="F32" i="9"/>
  <c r="E32" i="9"/>
  <c r="D32" i="9"/>
  <c r="C32" i="9"/>
  <c r="B32" i="9"/>
  <c r="A32" i="9"/>
  <c r="N31" i="9"/>
  <c r="M31" i="9"/>
  <c r="L31" i="9"/>
  <c r="K31" i="9"/>
  <c r="J31" i="9"/>
  <c r="I31" i="9"/>
  <c r="H31" i="9"/>
  <c r="G31" i="9"/>
  <c r="F31" i="9"/>
  <c r="E31" i="9"/>
  <c r="D31" i="9"/>
  <c r="C31" i="9"/>
  <c r="B31" i="9"/>
  <c r="A31" i="9"/>
  <c r="N30" i="9"/>
  <c r="M30" i="9"/>
  <c r="L30" i="9"/>
  <c r="K30" i="9"/>
  <c r="J30" i="9"/>
  <c r="I30" i="9"/>
  <c r="H30" i="9"/>
  <c r="G30" i="9"/>
  <c r="F30" i="9"/>
  <c r="E30" i="9"/>
  <c r="D30" i="9"/>
  <c r="C30" i="9"/>
  <c r="B30" i="9"/>
  <c r="A30" i="9"/>
  <c r="N29" i="9"/>
  <c r="M29" i="9"/>
  <c r="L29" i="9"/>
  <c r="K29" i="9"/>
  <c r="J29" i="9"/>
  <c r="I29" i="9"/>
  <c r="H29" i="9"/>
  <c r="G29" i="9"/>
  <c r="F29" i="9"/>
  <c r="E29" i="9"/>
  <c r="D29" i="9"/>
  <c r="C29" i="9"/>
  <c r="B29" i="9"/>
  <c r="A29" i="9"/>
  <c r="N28" i="9"/>
  <c r="M28" i="9"/>
  <c r="L28" i="9"/>
  <c r="K28" i="9"/>
  <c r="J28" i="9"/>
  <c r="I28" i="9"/>
  <c r="H28" i="9"/>
  <c r="G28" i="9"/>
  <c r="F28" i="9"/>
  <c r="E28" i="9"/>
  <c r="D28" i="9"/>
  <c r="C28" i="9"/>
  <c r="B28" i="9"/>
  <c r="A28" i="9"/>
  <c r="N27" i="9"/>
  <c r="M27" i="9"/>
  <c r="L27" i="9"/>
  <c r="K27" i="9"/>
  <c r="J27" i="9"/>
  <c r="I27" i="9"/>
  <c r="H27" i="9"/>
  <c r="G27" i="9"/>
  <c r="F27" i="9"/>
  <c r="E27" i="9"/>
  <c r="D27" i="9"/>
  <c r="C27" i="9"/>
  <c r="B27" i="9"/>
  <c r="A27" i="9"/>
  <c r="N26" i="9"/>
  <c r="M26" i="9"/>
  <c r="L26" i="9"/>
  <c r="K26" i="9"/>
  <c r="J26" i="9"/>
  <c r="I26" i="9"/>
  <c r="H26" i="9"/>
  <c r="G26" i="9"/>
  <c r="F26" i="9"/>
  <c r="E26" i="9"/>
  <c r="D26" i="9"/>
  <c r="C26" i="9"/>
  <c r="B26" i="9"/>
  <c r="A26" i="9"/>
  <c r="N25" i="9"/>
  <c r="M25" i="9"/>
  <c r="L25" i="9"/>
  <c r="K25" i="9"/>
  <c r="J25" i="9"/>
  <c r="I25" i="9"/>
  <c r="H25" i="9"/>
  <c r="G25" i="9"/>
  <c r="F25" i="9"/>
  <c r="E25" i="9"/>
  <c r="D25" i="9"/>
  <c r="C25" i="9"/>
  <c r="B25" i="9"/>
  <c r="A25" i="9"/>
  <c r="N24" i="9"/>
  <c r="M24" i="9"/>
  <c r="L24" i="9"/>
  <c r="K24" i="9"/>
  <c r="J24" i="9"/>
  <c r="I24" i="9"/>
  <c r="H24" i="9"/>
  <c r="G24" i="9"/>
  <c r="F24" i="9"/>
  <c r="E24" i="9"/>
  <c r="D24" i="9"/>
  <c r="C24" i="9"/>
  <c r="B24" i="9"/>
  <c r="A24" i="9"/>
  <c r="N23" i="9"/>
  <c r="M23" i="9"/>
  <c r="L23" i="9"/>
  <c r="K23" i="9"/>
  <c r="J23" i="9"/>
  <c r="I23" i="9"/>
  <c r="H23" i="9"/>
  <c r="G23" i="9"/>
  <c r="F23" i="9"/>
  <c r="E23" i="9"/>
  <c r="D23" i="9"/>
  <c r="C23" i="9"/>
  <c r="B23" i="9"/>
  <c r="A23" i="9"/>
  <c r="N22" i="9"/>
  <c r="M22" i="9"/>
  <c r="L22" i="9"/>
  <c r="K22" i="9"/>
  <c r="J22" i="9"/>
  <c r="I22" i="9"/>
  <c r="H22" i="9"/>
  <c r="G22" i="9"/>
  <c r="F22" i="9"/>
  <c r="E22" i="9"/>
  <c r="D22" i="9"/>
  <c r="C22" i="9"/>
  <c r="B22" i="9"/>
  <c r="A22" i="9"/>
  <c r="N21" i="9"/>
  <c r="M21" i="9"/>
  <c r="L21" i="9"/>
  <c r="K21" i="9"/>
  <c r="J21" i="9"/>
  <c r="I21" i="9"/>
  <c r="H21" i="9"/>
  <c r="G21" i="9"/>
  <c r="F21" i="9"/>
  <c r="E21" i="9"/>
  <c r="D21" i="9"/>
  <c r="C21" i="9"/>
  <c r="B21" i="9"/>
  <c r="A21" i="9"/>
  <c r="N20" i="9"/>
  <c r="M20" i="9"/>
  <c r="L20" i="9"/>
  <c r="K20" i="9"/>
  <c r="J20" i="9"/>
  <c r="I20" i="9"/>
  <c r="H20" i="9"/>
  <c r="G20" i="9"/>
  <c r="F20" i="9"/>
  <c r="E20" i="9"/>
  <c r="D20" i="9"/>
  <c r="C20" i="9"/>
  <c r="B20" i="9"/>
  <c r="A20" i="9"/>
  <c r="N19" i="9"/>
  <c r="M19" i="9"/>
  <c r="L19" i="9"/>
  <c r="K19" i="9"/>
  <c r="J19" i="9"/>
  <c r="I19" i="9"/>
  <c r="H19" i="9"/>
  <c r="G19" i="9"/>
  <c r="F19" i="9"/>
  <c r="E19" i="9"/>
  <c r="D19" i="9"/>
  <c r="C19" i="9"/>
  <c r="B19" i="9"/>
  <c r="A19" i="9"/>
  <c r="N18" i="9"/>
  <c r="M18" i="9"/>
  <c r="L18" i="9"/>
  <c r="K18" i="9"/>
  <c r="J18" i="9"/>
  <c r="I18" i="9"/>
  <c r="H18" i="9"/>
  <c r="G18" i="9"/>
  <c r="F18" i="9"/>
  <c r="E18" i="9"/>
  <c r="D18" i="9"/>
  <c r="C18" i="9"/>
  <c r="B18" i="9"/>
  <c r="A18" i="9"/>
  <c r="N17" i="9"/>
  <c r="M17" i="9"/>
  <c r="L17" i="9"/>
  <c r="K17" i="9"/>
  <c r="J17" i="9"/>
  <c r="I17" i="9"/>
  <c r="H17" i="9"/>
  <c r="G17" i="9"/>
  <c r="F17" i="9"/>
  <c r="E17" i="9"/>
  <c r="D17" i="9"/>
  <c r="C17" i="9"/>
  <c r="B17" i="9"/>
  <c r="A17" i="9"/>
  <c r="N16" i="9"/>
  <c r="M16" i="9"/>
  <c r="L16" i="9"/>
  <c r="K16" i="9"/>
  <c r="J16" i="9"/>
  <c r="I16" i="9"/>
  <c r="H16" i="9"/>
  <c r="G16" i="9"/>
  <c r="F16" i="9"/>
  <c r="E16" i="9"/>
  <c r="D16" i="9"/>
  <c r="C16" i="9"/>
  <c r="B16" i="9"/>
  <c r="A16" i="9"/>
  <c r="N15" i="9"/>
  <c r="M15" i="9"/>
  <c r="L15" i="9"/>
  <c r="K15" i="9"/>
  <c r="J15" i="9"/>
  <c r="I15" i="9"/>
  <c r="H15" i="9"/>
  <c r="G15" i="9"/>
  <c r="F15" i="9"/>
  <c r="E15" i="9"/>
  <c r="D15" i="9"/>
  <c r="C15" i="9"/>
  <c r="B15" i="9"/>
  <c r="A15" i="9"/>
  <c r="N14" i="9"/>
  <c r="M14" i="9"/>
  <c r="L14" i="9"/>
  <c r="K14" i="9"/>
  <c r="J14" i="9"/>
  <c r="I14" i="9"/>
  <c r="H14" i="9"/>
  <c r="G14" i="9"/>
  <c r="F14" i="9"/>
  <c r="E14" i="9"/>
  <c r="D14" i="9"/>
  <c r="C14" i="9"/>
  <c r="B14" i="9"/>
  <c r="A14" i="9"/>
  <c r="N13" i="9"/>
  <c r="M13" i="9"/>
  <c r="L13" i="9"/>
  <c r="K13" i="9"/>
  <c r="J13" i="9"/>
  <c r="I13" i="9"/>
  <c r="H13" i="9"/>
  <c r="G13" i="9"/>
  <c r="F13" i="9"/>
  <c r="E13" i="9"/>
  <c r="D13" i="9"/>
  <c r="C13" i="9"/>
  <c r="B13" i="9"/>
  <c r="A13" i="9"/>
  <c r="N12" i="9"/>
  <c r="M12" i="9"/>
  <c r="L12" i="9"/>
  <c r="K12" i="9"/>
  <c r="J12" i="9"/>
  <c r="I12" i="9"/>
  <c r="H12" i="9"/>
  <c r="G12" i="9"/>
  <c r="F12" i="9"/>
  <c r="E12" i="9"/>
  <c r="D12" i="9"/>
  <c r="C12" i="9"/>
  <c r="B12" i="9"/>
  <c r="A12" i="9"/>
  <c r="N11" i="9"/>
  <c r="M11" i="9"/>
  <c r="L11" i="9"/>
  <c r="K11" i="9"/>
  <c r="J11" i="9"/>
  <c r="I11" i="9"/>
  <c r="H11" i="9"/>
  <c r="G11" i="9"/>
  <c r="F11" i="9"/>
  <c r="E11" i="9"/>
  <c r="D11" i="9"/>
  <c r="C11" i="9"/>
  <c r="B11" i="9"/>
  <c r="A11" i="9"/>
  <c r="N10" i="9"/>
  <c r="M10" i="9"/>
  <c r="L10" i="9"/>
  <c r="K10" i="9"/>
  <c r="J10" i="9"/>
  <c r="I10" i="9"/>
  <c r="H10" i="9"/>
  <c r="G10" i="9"/>
  <c r="F10" i="9"/>
  <c r="E10" i="9"/>
  <c r="D10" i="9"/>
  <c r="C10" i="9"/>
  <c r="B10" i="9"/>
  <c r="A10" i="9"/>
  <c r="M9" i="9"/>
  <c r="L9" i="9"/>
  <c r="K9" i="9"/>
  <c r="I9" i="9"/>
  <c r="H9" i="9"/>
  <c r="G9" i="9"/>
  <c r="F9" i="9"/>
  <c r="E9" i="9"/>
  <c r="D9" i="9"/>
  <c r="C9" i="9"/>
  <c r="A18" i="8"/>
  <c r="A17" i="8"/>
  <c r="C16" i="8"/>
  <c r="A43" i="8" s="1"/>
  <c r="G44" i="7"/>
  <c r="D44" i="7"/>
  <c r="A44" i="7"/>
  <c r="D27" i="7"/>
  <c r="D26" i="7"/>
  <c r="D25" i="7"/>
  <c r="D24" i="7"/>
  <c r="D23" i="7"/>
  <c r="D22" i="7"/>
  <c r="F19" i="7"/>
  <c r="I18" i="7"/>
  <c r="H18" i="7"/>
  <c r="C18" i="7"/>
  <c r="I17" i="7"/>
  <c r="H17" i="7"/>
  <c r="I16" i="7"/>
  <c r="H16" i="7"/>
  <c r="E16" i="7"/>
  <c r="C16" i="7"/>
  <c r="I15" i="7"/>
  <c r="H15" i="7"/>
  <c r="E15" i="7"/>
  <c r="I14" i="7"/>
  <c r="H14" i="7"/>
  <c r="C14" i="7"/>
  <c r="B14" i="7"/>
  <c r="G14" i="7" s="1"/>
  <c r="I13" i="7"/>
  <c r="H13" i="7"/>
  <c r="E13" i="7"/>
  <c r="B13" i="7"/>
  <c r="G13" i="7" s="1"/>
  <c r="I12" i="7"/>
  <c r="H12" i="7"/>
  <c r="C12" i="7"/>
  <c r="I11" i="7"/>
  <c r="H11" i="7"/>
  <c r="B11" i="7"/>
  <c r="G11" i="7" s="1"/>
  <c r="I10" i="7"/>
  <c r="I19" i="7" s="1"/>
  <c r="H10" i="7"/>
  <c r="B10" i="7"/>
  <c r="G10" i="7" s="1"/>
  <c r="I9" i="7"/>
  <c r="H9" i="7"/>
  <c r="H19" i="7" s="1"/>
  <c r="K5" i="7"/>
  <c r="I5" i="7"/>
  <c r="G5" i="7"/>
  <c r="A2" i="7"/>
  <c r="F27" i="6"/>
  <c r="E27" i="6"/>
  <c r="C27" i="6"/>
  <c r="B27" i="6"/>
  <c r="F26" i="6"/>
  <c r="E26" i="6"/>
  <c r="C26" i="6"/>
  <c r="B26" i="6"/>
  <c r="F25" i="6"/>
  <c r="E25" i="6"/>
  <c r="C25" i="6"/>
  <c r="B25" i="6"/>
  <c r="F24" i="6"/>
  <c r="E24" i="6"/>
  <c r="C24" i="6"/>
  <c r="B24" i="6"/>
  <c r="F23" i="6"/>
  <c r="E23" i="6"/>
  <c r="C23" i="6"/>
  <c r="B23" i="6"/>
  <c r="F22" i="6"/>
  <c r="E22" i="6"/>
  <c r="C22" i="6"/>
  <c r="B22" i="6"/>
  <c r="F21" i="6"/>
  <c r="E21" i="6"/>
  <c r="C21" i="6"/>
  <c r="B21" i="6"/>
  <c r="F20" i="6"/>
  <c r="E20" i="6"/>
  <c r="C20" i="6"/>
  <c r="B20" i="6"/>
  <c r="H21" i="6" s="1"/>
  <c r="F19" i="6"/>
  <c r="E19" i="6"/>
  <c r="C19" i="6"/>
  <c r="B19" i="6"/>
  <c r="H20" i="6" s="1"/>
  <c r="F18" i="6"/>
  <c r="E18" i="6"/>
  <c r="C18" i="6"/>
  <c r="B18" i="6"/>
  <c r="F17" i="6"/>
  <c r="E17" i="6"/>
  <c r="C17" i="6"/>
  <c r="B17" i="6"/>
  <c r="I17" i="6" s="1"/>
  <c r="B13" i="6"/>
  <c r="B3" i="6"/>
  <c r="C58" i="5"/>
  <c r="C42" i="6" s="1"/>
  <c r="B58" i="5"/>
  <c r="B42" i="6" s="1"/>
  <c r="C57" i="5"/>
  <c r="C41" i="6" s="1"/>
  <c r="B57" i="5"/>
  <c r="B41" i="6" s="1"/>
  <c r="C56" i="5"/>
  <c r="C40" i="6" s="1"/>
  <c r="B56" i="5"/>
  <c r="B40" i="6" s="1"/>
  <c r="C55" i="5"/>
  <c r="B55" i="5"/>
  <c r="B39" i="6" s="1"/>
  <c r="C54" i="5"/>
  <c r="C38" i="6" s="1"/>
  <c r="B54" i="5"/>
  <c r="B38" i="6" s="1"/>
  <c r="C53" i="5"/>
  <c r="C37" i="6" s="1"/>
  <c r="B53" i="5"/>
  <c r="B37" i="6" s="1"/>
  <c r="C52" i="5"/>
  <c r="C36" i="6" s="1"/>
  <c r="B52" i="5"/>
  <c r="B36" i="6" s="1"/>
  <c r="C51" i="5"/>
  <c r="B51" i="5"/>
  <c r="B35" i="6" s="1"/>
  <c r="C50" i="5"/>
  <c r="C34" i="6" s="1"/>
  <c r="B50" i="5"/>
  <c r="C49" i="5"/>
  <c r="C33" i="6" s="1"/>
  <c r="B49" i="5"/>
  <c r="B33" i="6" s="1"/>
  <c r="C48" i="5"/>
  <c r="C32" i="6" s="1"/>
  <c r="B48" i="5"/>
  <c r="C47" i="5"/>
  <c r="C31" i="6" s="1"/>
  <c r="B47" i="5"/>
  <c r="B31" i="6" s="1"/>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B28" i="5"/>
  <c r="B26" i="5"/>
  <c r="I7" i="6" s="1"/>
  <c r="B25" i="5"/>
  <c r="B20" i="5"/>
  <c r="B12" i="6" s="1"/>
  <c r="B18" i="5"/>
  <c r="B17" i="5"/>
  <c r="C12" i="6" s="1"/>
  <c r="B10" i="5"/>
  <c r="B11" i="6" s="1"/>
  <c r="B9" i="5"/>
  <c r="B8" i="5"/>
  <c r="B7" i="5"/>
  <c r="B13" i="5" s="1"/>
  <c r="B3" i="5"/>
  <c r="D163" i="4"/>
  <c r="E162" i="4"/>
  <c r="I162" i="4" s="1"/>
  <c r="C162" i="4"/>
  <c r="H159" i="4"/>
  <c r="G158" i="4"/>
  <c r="F157" i="4"/>
  <c r="D155" i="4"/>
  <c r="E154" i="4"/>
  <c r="I154" i="4" s="1"/>
  <c r="C154" i="4"/>
  <c r="H151" i="4"/>
  <c r="G150" i="4"/>
  <c r="F149" i="4"/>
  <c r="D147" i="4"/>
  <c r="E146" i="4"/>
  <c r="I146" i="4" s="1"/>
  <c r="C146" i="4"/>
  <c r="H143" i="4"/>
  <c r="G142" i="4"/>
  <c r="F141" i="4"/>
  <c r="D139" i="4"/>
  <c r="E138" i="4"/>
  <c r="I138" i="4" s="1"/>
  <c r="C138" i="4"/>
  <c r="C137" i="4"/>
  <c r="C136" i="4"/>
  <c r="C135" i="4"/>
  <c r="C134" i="4"/>
  <c r="C133" i="4"/>
  <c r="C131" i="4"/>
  <c r="E130" i="4"/>
  <c r="I130" i="4" s="1"/>
  <c r="C130" i="4"/>
  <c r="E129" i="4"/>
  <c r="I129" i="4" s="1"/>
  <c r="C129" i="4"/>
  <c r="E128" i="4"/>
  <c r="I128" i="4" s="1"/>
  <c r="C128" i="4"/>
  <c r="C127" i="4"/>
  <c r="C126" i="4"/>
  <c r="C125" i="4"/>
  <c r="C123" i="4"/>
  <c r="E122" i="4"/>
  <c r="I122" i="4" s="1"/>
  <c r="C122" i="4"/>
  <c r="E121" i="4"/>
  <c r="I121" i="4" s="1"/>
  <c r="C121" i="4"/>
  <c r="E120" i="4"/>
  <c r="I120" i="4" s="1"/>
  <c r="C120" i="4"/>
  <c r="E119" i="4"/>
  <c r="I119" i="4" s="1"/>
  <c r="C119" i="4"/>
  <c r="C118" i="4"/>
  <c r="C117" i="4"/>
  <c r="E115" i="4"/>
  <c r="I115" i="4" s="1"/>
  <c r="C115" i="4"/>
  <c r="H110" i="4"/>
  <c r="G110" i="4"/>
  <c r="F110" i="4"/>
  <c r="E110" i="4"/>
  <c r="I110" i="4" s="1"/>
  <c r="D110" i="4"/>
  <c r="C110" i="4"/>
  <c r="B110" i="4"/>
  <c r="H109" i="4"/>
  <c r="G109" i="4"/>
  <c r="F109" i="4"/>
  <c r="E109" i="4"/>
  <c r="I109" i="4" s="1"/>
  <c r="D109" i="4"/>
  <c r="C109" i="4"/>
  <c r="B109" i="4"/>
  <c r="H108" i="4"/>
  <c r="G108" i="4"/>
  <c r="F108" i="4"/>
  <c r="E108" i="4"/>
  <c r="I108" i="4" s="1"/>
  <c r="D108" i="4"/>
  <c r="C108" i="4"/>
  <c r="B108" i="4"/>
  <c r="H107" i="4"/>
  <c r="G107" i="4"/>
  <c r="F107" i="4"/>
  <c r="E107" i="4"/>
  <c r="I107" i="4" s="1"/>
  <c r="D107" i="4"/>
  <c r="C107" i="4"/>
  <c r="B107" i="4"/>
  <c r="H106" i="4"/>
  <c r="G106" i="4"/>
  <c r="F106" i="4"/>
  <c r="E106" i="4"/>
  <c r="I106" i="4" s="1"/>
  <c r="D106" i="4"/>
  <c r="C106" i="4"/>
  <c r="B106" i="4"/>
  <c r="H105" i="4"/>
  <c r="G105" i="4"/>
  <c r="F105" i="4"/>
  <c r="E105" i="4"/>
  <c r="I105" i="4" s="1"/>
  <c r="D105" i="4"/>
  <c r="C105" i="4"/>
  <c r="B105" i="4"/>
  <c r="H104" i="4"/>
  <c r="G104" i="4"/>
  <c r="F104" i="4"/>
  <c r="E104" i="4"/>
  <c r="I104" i="4" s="1"/>
  <c r="D104" i="4"/>
  <c r="C104" i="4"/>
  <c r="B104" i="4"/>
  <c r="H103" i="4"/>
  <c r="G103" i="4"/>
  <c r="F103" i="4"/>
  <c r="E103" i="4"/>
  <c r="I103" i="4" s="1"/>
  <c r="D103" i="4"/>
  <c r="C103" i="4"/>
  <c r="B103" i="4"/>
  <c r="H102" i="4"/>
  <c r="G102" i="4"/>
  <c r="F102" i="4"/>
  <c r="E102" i="4"/>
  <c r="I102" i="4" s="1"/>
  <c r="D102" i="4"/>
  <c r="C102" i="4"/>
  <c r="B102" i="4"/>
  <c r="H101" i="4"/>
  <c r="G101" i="4"/>
  <c r="F101" i="4"/>
  <c r="E101" i="4"/>
  <c r="I101" i="4" s="1"/>
  <c r="D101" i="4"/>
  <c r="C101" i="4"/>
  <c r="B101" i="4"/>
  <c r="H100" i="4"/>
  <c r="G100" i="4"/>
  <c r="F100" i="4"/>
  <c r="E100" i="4"/>
  <c r="I100" i="4" s="1"/>
  <c r="D100" i="4"/>
  <c r="C100" i="4"/>
  <c r="B100" i="4"/>
  <c r="H99" i="4"/>
  <c r="G99" i="4"/>
  <c r="F99" i="4"/>
  <c r="E99" i="4"/>
  <c r="I99" i="4" s="1"/>
  <c r="D99" i="4"/>
  <c r="C99" i="4"/>
  <c r="B99" i="4"/>
  <c r="H98" i="4"/>
  <c r="G98" i="4"/>
  <c r="F98" i="4"/>
  <c r="E98" i="4"/>
  <c r="I98" i="4" s="1"/>
  <c r="D98" i="4"/>
  <c r="C98" i="4"/>
  <c r="B98" i="4"/>
  <c r="H97" i="4"/>
  <c r="G97" i="4"/>
  <c r="F97" i="4"/>
  <c r="E97" i="4"/>
  <c r="I97" i="4" s="1"/>
  <c r="D97" i="4"/>
  <c r="C97" i="4"/>
  <c r="B97" i="4"/>
  <c r="H96" i="4"/>
  <c r="G96" i="4"/>
  <c r="F96" i="4"/>
  <c r="E96" i="4"/>
  <c r="I96" i="4" s="1"/>
  <c r="D96" i="4"/>
  <c r="C96" i="4"/>
  <c r="B96" i="4"/>
  <c r="H95" i="4"/>
  <c r="G95" i="4"/>
  <c r="F95" i="4"/>
  <c r="E95" i="4"/>
  <c r="I95" i="4" s="1"/>
  <c r="D95" i="4"/>
  <c r="C95" i="4"/>
  <c r="B95" i="4"/>
  <c r="H94" i="4"/>
  <c r="G94" i="4"/>
  <c r="F94" i="4"/>
  <c r="E94" i="4"/>
  <c r="I94" i="4" s="1"/>
  <c r="D94" i="4"/>
  <c r="C94" i="4"/>
  <c r="B94" i="4"/>
  <c r="H93" i="4"/>
  <c r="G93" i="4"/>
  <c r="F93" i="4"/>
  <c r="E93" i="4"/>
  <c r="I93" i="4" s="1"/>
  <c r="D93" i="4"/>
  <c r="C93" i="4"/>
  <c r="B93" i="4"/>
  <c r="H92" i="4"/>
  <c r="G92" i="4"/>
  <c r="F92" i="4"/>
  <c r="E92" i="4"/>
  <c r="I92" i="4" s="1"/>
  <c r="D92" i="4"/>
  <c r="C92" i="4"/>
  <c r="B92" i="4"/>
  <c r="H91" i="4"/>
  <c r="G91" i="4"/>
  <c r="F91" i="4"/>
  <c r="E91" i="4"/>
  <c r="I91" i="4" s="1"/>
  <c r="D91" i="4"/>
  <c r="C91" i="4"/>
  <c r="B91" i="4"/>
  <c r="H90" i="4"/>
  <c r="G90" i="4"/>
  <c r="F90" i="4"/>
  <c r="E90" i="4"/>
  <c r="I90" i="4" s="1"/>
  <c r="D90" i="4"/>
  <c r="C90" i="4"/>
  <c r="B90" i="4"/>
  <c r="H89" i="4"/>
  <c r="G89" i="4"/>
  <c r="F89" i="4"/>
  <c r="E89" i="4"/>
  <c r="I89" i="4" s="1"/>
  <c r="D89" i="4"/>
  <c r="C89" i="4"/>
  <c r="B89" i="4"/>
  <c r="H88" i="4"/>
  <c r="G88" i="4"/>
  <c r="F88" i="4"/>
  <c r="E88" i="4"/>
  <c r="I88" i="4" s="1"/>
  <c r="D88" i="4"/>
  <c r="C88" i="4"/>
  <c r="B88" i="4"/>
  <c r="H87" i="4"/>
  <c r="G87" i="4"/>
  <c r="F87" i="4"/>
  <c r="E87" i="4"/>
  <c r="I87" i="4" s="1"/>
  <c r="D87" i="4"/>
  <c r="C87" i="4"/>
  <c r="B87" i="4"/>
  <c r="H86" i="4"/>
  <c r="G86" i="4"/>
  <c r="F86" i="4"/>
  <c r="E86" i="4"/>
  <c r="I86" i="4" s="1"/>
  <c r="D86" i="4"/>
  <c r="C86" i="4"/>
  <c r="B86" i="4"/>
  <c r="H85" i="4"/>
  <c r="G85" i="4"/>
  <c r="F85" i="4"/>
  <c r="E85" i="4"/>
  <c r="I85" i="4" s="1"/>
  <c r="D85" i="4"/>
  <c r="C85" i="4"/>
  <c r="B85" i="4"/>
  <c r="H84" i="4"/>
  <c r="G84" i="4"/>
  <c r="F84" i="4"/>
  <c r="E84" i="4"/>
  <c r="I84" i="4" s="1"/>
  <c r="D84" i="4"/>
  <c r="C84" i="4"/>
  <c r="B84" i="4"/>
  <c r="H83" i="4"/>
  <c r="G83" i="4"/>
  <c r="F83" i="4"/>
  <c r="E83" i="4"/>
  <c r="I83" i="4" s="1"/>
  <c r="D83" i="4"/>
  <c r="C83" i="4"/>
  <c r="B83" i="4"/>
  <c r="H82" i="4"/>
  <c r="G82" i="4"/>
  <c r="F82" i="4"/>
  <c r="E82" i="4"/>
  <c r="I82" i="4" s="1"/>
  <c r="D82" i="4"/>
  <c r="C82" i="4"/>
  <c r="B82" i="4"/>
  <c r="H81" i="4"/>
  <c r="G81" i="4"/>
  <c r="F81" i="4"/>
  <c r="E81" i="4"/>
  <c r="I81" i="4" s="1"/>
  <c r="D81" i="4"/>
  <c r="C81" i="4"/>
  <c r="B81" i="4"/>
  <c r="H80" i="4"/>
  <c r="G80" i="4"/>
  <c r="F80" i="4"/>
  <c r="E80" i="4"/>
  <c r="I80" i="4" s="1"/>
  <c r="D80" i="4"/>
  <c r="C80" i="4"/>
  <c r="B80" i="4"/>
  <c r="H79" i="4"/>
  <c r="G79" i="4"/>
  <c r="F79" i="4"/>
  <c r="E79" i="4"/>
  <c r="I79" i="4" s="1"/>
  <c r="D79" i="4"/>
  <c r="C79" i="4"/>
  <c r="B79" i="4"/>
  <c r="H78" i="4"/>
  <c r="G78" i="4"/>
  <c r="F78" i="4"/>
  <c r="E78" i="4"/>
  <c r="I78" i="4" s="1"/>
  <c r="D78" i="4"/>
  <c r="C78" i="4"/>
  <c r="B78" i="4"/>
  <c r="H77" i="4"/>
  <c r="G77" i="4"/>
  <c r="F77" i="4"/>
  <c r="E77" i="4"/>
  <c r="I77" i="4" s="1"/>
  <c r="D77" i="4"/>
  <c r="C77" i="4"/>
  <c r="B77" i="4"/>
  <c r="H76" i="4"/>
  <c r="G76" i="4"/>
  <c r="F76" i="4"/>
  <c r="E76" i="4"/>
  <c r="I76" i="4" s="1"/>
  <c r="D76" i="4"/>
  <c r="C76" i="4"/>
  <c r="B76" i="4"/>
  <c r="H75" i="4"/>
  <c r="G75" i="4"/>
  <c r="F75" i="4"/>
  <c r="E75" i="4"/>
  <c r="I75" i="4" s="1"/>
  <c r="D75" i="4"/>
  <c r="C75" i="4"/>
  <c r="B75" i="4"/>
  <c r="H74" i="4"/>
  <c r="G74" i="4"/>
  <c r="F74" i="4"/>
  <c r="E74" i="4"/>
  <c r="I74" i="4" s="1"/>
  <c r="D74" i="4"/>
  <c r="C74" i="4"/>
  <c r="B74" i="4"/>
  <c r="H73" i="4"/>
  <c r="G73" i="4"/>
  <c r="F73" i="4"/>
  <c r="E73" i="4"/>
  <c r="I73" i="4" s="1"/>
  <c r="D73" i="4"/>
  <c r="C73" i="4"/>
  <c r="B73" i="4"/>
  <c r="H72" i="4"/>
  <c r="G72" i="4"/>
  <c r="F72" i="4"/>
  <c r="E72" i="4"/>
  <c r="I72" i="4" s="1"/>
  <c r="D72" i="4"/>
  <c r="C72" i="4"/>
  <c r="B72" i="4"/>
  <c r="H71" i="4"/>
  <c r="G71" i="4"/>
  <c r="F71" i="4"/>
  <c r="E71" i="4"/>
  <c r="I71" i="4" s="1"/>
  <c r="D71" i="4"/>
  <c r="C71" i="4"/>
  <c r="B71" i="4"/>
  <c r="H70" i="4"/>
  <c r="G70" i="4"/>
  <c r="F70" i="4"/>
  <c r="E70" i="4"/>
  <c r="I70" i="4" s="1"/>
  <c r="D70" i="4"/>
  <c r="C70" i="4"/>
  <c r="B70" i="4"/>
  <c r="H69" i="4"/>
  <c r="G69" i="4"/>
  <c r="F69" i="4"/>
  <c r="E69" i="4"/>
  <c r="I69" i="4" s="1"/>
  <c r="D69" i="4"/>
  <c r="C69" i="4"/>
  <c r="B69" i="4"/>
  <c r="H68" i="4"/>
  <c r="G68" i="4"/>
  <c r="F68" i="4"/>
  <c r="E68" i="4"/>
  <c r="I68" i="4" s="1"/>
  <c r="D68" i="4"/>
  <c r="C68" i="4"/>
  <c r="B68" i="4"/>
  <c r="H67" i="4"/>
  <c r="G67" i="4"/>
  <c r="F67" i="4"/>
  <c r="E67" i="4"/>
  <c r="I67" i="4" s="1"/>
  <c r="D67" i="4"/>
  <c r="C67" i="4"/>
  <c r="B67" i="4"/>
  <c r="H66" i="4"/>
  <c r="G66" i="4"/>
  <c r="F66" i="4"/>
  <c r="E66" i="4"/>
  <c r="I66" i="4" s="1"/>
  <c r="D66" i="4"/>
  <c r="C66" i="4"/>
  <c r="B66" i="4"/>
  <c r="H65" i="4"/>
  <c r="G65" i="4"/>
  <c r="F65" i="4"/>
  <c r="E65" i="4"/>
  <c r="I65" i="4" s="1"/>
  <c r="D65" i="4"/>
  <c r="C65" i="4"/>
  <c r="B65" i="4"/>
  <c r="H64" i="4"/>
  <c r="G64" i="4"/>
  <c r="F64" i="4"/>
  <c r="E64" i="4"/>
  <c r="I64" i="4" s="1"/>
  <c r="D64" i="4"/>
  <c r="C64" i="4"/>
  <c r="B64" i="4"/>
  <c r="H63" i="4"/>
  <c r="G63" i="4"/>
  <c r="F63" i="4"/>
  <c r="E63" i="4"/>
  <c r="I63" i="4" s="1"/>
  <c r="D63" i="4"/>
  <c r="C63" i="4"/>
  <c r="B63" i="4"/>
  <c r="H62" i="4"/>
  <c r="G62" i="4"/>
  <c r="F62" i="4"/>
  <c r="E62" i="4"/>
  <c r="I62" i="4" s="1"/>
  <c r="D62" i="4"/>
  <c r="C62" i="4"/>
  <c r="B62" i="4"/>
  <c r="H61" i="4"/>
  <c r="G61" i="4"/>
  <c r="F61" i="4"/>
  <c r="E61" i="4"/>
  <c r="I61" i="4" s="1"/>
  <c r="D61" i="4"/>
  <c r="C61" i="4"/>
  <c r="B61" i="4"/>
  <c r="H56" i="4"/>
  <c r="G56" i="4"/>
  <c r="F56" i="4"/>
  <c r="E56" i="4"/>
  <c r="I56" i="4" s="1"/>
  <c r="D56" i="4"/>
  <c r="C56" i="4"/>
  <c r="B56" i="4"/>
  <c r="H55" i="4"/>
  <c r="G55" i="4"/>
  <c r="F55" i="4"/>
  <c r="E55" i="4"/>
  <c r="I55" i="4" s="1"/>
  <c r="D55" i="4"/>
  <c r="C55" i="4"/>
  <c r="B55" i="4"/>
  <c r="H54" i="4"/>
  <c r="G54" i="4"/>
  <c r="F54" i="4"/>
  <c r="E54" i="4"/>
  <c r="I54" i="4" s="1"/>
  <c r="D54" i="4"/>
  <c r="C54" i="4"/>
  <c r="B54" i="4"/>
  <c r="H53" i="4"/>
  <c r="G53" i="4"/>
  <c r="F53" i="4"/>
  <c r="E53" i="4"/>
  <c r="I53" i="4" s="1"/>
  <c r="D53" i="4"/>
  <c r="C53" i="4"/>
  <c r="B53" i="4"/>
  <c r="H52" i="4"/>
  <c r="G52" i="4"/>
  <c r="F52" i="4"/>
  <c r="E52" i="4"/>
  <c r="I52" i="4" s="1"/>
  <c r="D52" i="4"/>
  <c r="C52" i="4"/>
  <c r="B52" i="4"/>
  <c r="H51" i="4"/>
  <c r="G51" i="4"/>
  <c r="F51" i="4"/>
  <c r="E51" i="4"/>
  <c r="I51" i="4" s="1"/>
  <c r="D51" i="4"/>
  <c r="C51" i="4"/>
  <c r="B51" i="4"/>
  <c r="H50" i="4"/>
  <c r="G50" i="4"/>
  <c r="F50" i="4"/>
  <c r="E50" i="4"/>
  <c r="I50" i="4" s="1"/>
  <c r="D50" i="4"/>
  <c r="C50" i="4"/>
  <c r="B50" i="4"/>
  <c r="H49" i="4"/>
  <c r="G49" i="4"/>
  <c r="F49" i="4"/>
  <c r="E49" i="4"/>
  <c r="I49" i="4" s="1"/>
  <c r="D49" i="4"/>
  <c r="C49" i="4"/>
  <c r="B49" i="4"/>
  <c r="H48" i="4"/>
  <c r="G48" i="4"/>
  <c r="F48" i="4"/>
  <c r="E48" i="4"/>
  <c r="I48" i="4" s="1"/>
  <c r="D48" i="4"/>
  <c r="C48" i="4"/>
  <c r="B48" i="4"/>
  <c r="H47" i="4"/>
  <c r="G47" i="4"/>
  <c r="F47" i="4"/>
  <c r="E47" i="4"/>
  <c r="I47" i="4" s="1"/>
  <c r="D47" i="4"/>
  <c r="C47" i="4"/>
  <c r="B47" i="4"/>
  <c r="H46" i="4"/>
  <c r="G46" i="4"/>
  <c r="F46" i="4"/>
  <c r="E46" i="4"/>
  <c r="I46" i="4" s="1"/>
  <c r="D46" i="4"/>
  <c r="C46" i="4"/>
  <c r="B46" i="4"/>
  <c r="H45" i="4"/>
  <c r="G45" i="4"/>
  <c r="F45" i="4"/>
  <c r="E45" i="4"/>
  <c r="I45" i="4" s="1"/>
  <c r="D45" i="4"/>
  <c r="C45" i="4"/>
  <c r="B45" i="4"/>
  <c r="H44" i="4"/>
  <c r="G44" i="4"/>
  <c r="F44" i="4"/>
  <c r="E44" i="4"/>
  <c r="I44" i="4" s="1"/>
  <c r="D44" i="4"/>
  <c r="C44" i="4"/>
  <c r="B44" i="4"/>
  <c r="H43" i="4"/>
  <c r="G43" i="4"/>
  <c r="F43" i="4"/>
  <c r="E43" i="4"/>
  <c r="I43" i="4" s="1"/>
  <c r="D43" i="4"/>
  <c r="C43" i="4"/>
  <c r="B43" i="4"/>
  <c r="H42" i="4"/>
  <c r="G42" i="4"/>
  <c r="F42" i="4"/>
  <c r="E42" i="4"/>
  <c r="I42" i="4" s="1"/>
  <c r="D42" i="4"/>
  <c r="C42" i="4"/>
  <c r="B42" i="4"/>
  <c r="H41" i="4"/>
  <c r="G41" i="4"/>
  <c r="F41" i="4"/>
  <c r="E41" i="4"/>
  <c r="I41" i="4" s="1"/>
  <c r="D41" i="4"/>
  <c r="C41" i="4"/>
  <c r="B41" i="4"/>
  <c r="H40" i="4"/>
  <c r="G40" i="4"/>
  <c r="F40" i="4"/>
  <c r="E40" i="4"/>
  <c r="I40" i="4" s="1"/>
  <c r="D40" i="4"/>
  <c r="C40" i="4"/>
  <c r="B40" i="4"/>
  <c r="H39" i="4"/>
  <c r="G39" i="4"/>
  <c r="F39" i="4"/>
  <c r="E39" i="4"/>
  <c r="I39" i="4" s="1"/>
  <c r="D39" i="4"/>
  <c r="C39" i="4"/>
  <c r="B39" i="4"/>
  <c r="H38" i="4"/>
  <c r="G38" i="4"/>
  <c r="F38" i="4"/>
  <c r="E38" i="4"/>
  <c r="I38" i="4" s="1"/>
  <c r="D38" i="4"/>
  <c r="C38" i="4"/>
  <c r="B38" i="4"/>
  <c r="H37" i="4"/>
  <c r="G37" i="4"/>
  <c r="F37" i="4"/>
  <c r="E37" i="4"/>
  <c r="I37" i="4" s="1"/>
  <c r="D37" i="4"/>
  <c r="C37" i="4"/>
  <c r="B37" i="4"/>
  <c r="H36" i="4"/>
  <c r="G36" i="4"/>
  <c r="F36" i="4"/>
  <c r="E36" i="4"/>
  <c r="I36" i="4" s="1"/>
  <c r="D36" i="4"/>
  <c r="C36" i="4"/>
  <c r="B36" i="4"/>
  <c r="H35" i="4"/>
  <c r="G35" i="4"/>
  <c r="F35" i="4"/>
  <c r="E35" i="4"/>
  <c r="I35" i="4" s="1"/>
  <c r="D35" i="4"/>
  <c r="C35" i="4"/>
  <c r="B35" i="4"/>
  <c r="H34" i="4"/>
  <c r="G34" i="4"/>
  <c r="F34" i="4"/>
  <c r="E34" i="4"/>
  <c r="I34" i="4" s="1"/>
  <c r="D34" i="4"/>
  <c r="C34" i="4"/>
  <c r="B34" i="4"/>
  <c r="H33" i="4"/>
  <c r="G33" i="4"/>
  <c r="F33" i="4"/>
  <c r="E33" i="4"/>
  <c r="I33" i="4" s="1"/>
  <c r="D33" i="4"/>
  <c r="C33" i="4"/>
  <c r="B33" i="4"/>
  <c r="H32" i="4"/>
  <c r="G32" i="4"/>
  <c r="F32" i="4"/>
  <c r="E32" i="4"/>
  <c r="I32" i="4" s="1"/>
  <c r="D32" i="4"/>
  <c r="C32" i="4"/>
  <c r="B32" i="4"/>
  <c r="H31" i="4"/>
  <c r="G31" i="4"/>
  <c r="F31" i="4"/>
  <c r="E31" i="4"/>
  <c r="I31" i="4" s="1"/>
  <c r="D31" i="4"/>
  <c r="C31" i="4"/>
  <c r="B31" i="4"/>
  <c r="H30" i="4"/>
  <c r="G30" i="4"/>
  <c r="F30" i="4"/>
  <c r="E30" i="4"/>
  <c r="I30" i="4" s="1"/>
  <c r="D30" i="4"/>
  <c r="C30" i="4"/>
  <c r="B30" i="4"/>
  <c r="H29" i="4"/>
  <c r="G29" i="4"/>
  <c r="F29" i="4"/>
  <c r="E29" i="4"/>
  <c r="I29" i="4" s="1"/>
  <c r="D29" i="4"/>
  <c r="C29" i="4"/>
  <c r="B29" i="4"/>
  <c r="H28" i="4"/>
  <c r="G28" i="4"/>
  <c r="F28" i="4"/>
  <c r="E28" i="4"/>
  <c r="I28" i="4" s="1"/>
  <c r="D28" i="4"/>
  <c r="C28" i="4"/>
  <c r="B28" i="4"/>
  <c r="H27" i="4"/>
  <c r="G27" i="4"/>
  <c r="F27" i="4"/>
  <c r="E27" i="4"/>
  <c r="I27" i="4" s="1"/>
  <c r="D27" i="4"/>
  <c r="C27" i="4"/>
  <c r="B27" i="4"/>
  <c r="H26" i="4"/>
  <c r="G26" i="4"/>
  <c r="F26" i="4"/>
  <c r="E26" i="4"/>
  <c r="I26" i="4" s="1"/>
  <c r="D26" i="4"/>
  <c r="C26" i="4"/>
  <c r="B26" i="4"/>
  <c r="H25" i="4"/>
  <c r="G25" i="4"/>
  <c r="F25" i="4"/>
  <c r="E25" i="4"/>
  <c r="I25" i="4" s="1"/>
  <c r="D25" i="4"/>
  <c r="C25" i="4"/>
  <c r="B25" i="4"/>
  <c r="H24" i="4"/>
  <c r="G24" i="4"/>
  <c r="F24" i="4"/>
  <c r="E24" i="4"/>
  <c r="I24" i="4" s="1"/>
  <c r="D24" i="4"/>
  <c r="C24" i="4"/>
  <c r="B24" i="4"/>
  <c r="H23" i="4"/>
  <c r="G23" i="4"/>
  <c r="F23" i="4"/>
  <c r="E23" i="4"/>
  <c r="I23" i="4" s="1"/>
  <c r="D23" i="4"/>
  <c r="C23" i="4"/>
  <c r="B23" i="4"/>
  <c r="H22" i="4"/>
  <c r="G22" i="4"/>
  <c r="F22" i="4"/>
  <c r="E22" i="4"/>
  <c r="I22" i="4" s="1"/>
  <c r="D22" i="4"/>
  <c r="C22" i="4"/>
  <c r="B22" i="4"/>
  <c r="H21" i="4"/>
  <c r="G21" i="4"/>
  <c r="F21" i="4"/>
  <c r="E21" i="4"/>
  <c r="I21" i="4" s="1"/>
  <c r="D21" i="4"/>
  <c r="C21" i="4"/>
  <c r="B21" i="4"/>
  <c r="H20" i="4"/>
  <c r="G20" i="4"/>
  <c r="F20" i="4"/>
  <c r="E20" i="4"/>
  <c r="I20" i="4" s="1"/>
  <c r="D20" i="4"/>
  <c r="C20" i="4"/>
  <c r="B20" i="4"/>
  <c r="H19" i="4"/>
  <c r="G19" i="4"/>
  <c r="F19" i="4"/>
  <c r="E19" i="4"/>
  <c r="I19" i="4" s="1"/>
  <c r="D19" i="4"/>
  <c r="C19" i="4"/>
  <c r="B19" i="4"/>
  <c r="H18" i="4"/>
  <c r="G18" i="4"/>
  <c r="F18" i="4"/>
  <c r="E18" i="4"/>
  <c r="I18" i="4" s="1"/>
  <c r="D18" i="4"/>
  <c r="C18" i="4"/>
  <c r="B18" i="4"/>
  <c r="H17" i="4"/>
  <c r="G17" i="4"/>
  <c r="F17" i="4"/>
  <c r="E17" i="4"/>
  <c r="I17" i="4" s="1"/>
  <c r="D17" i="4"/>
  <c r="C17" i="4"/>
  <c r="B17" i="4"/>
  <c r="H16" i="4"/>
  <c r="G16" i="4"/>
  <c r="F16" i="4"/>
  <c r="E16" i="4"/>
  <c r="I16" i="4" s="1"/>
  <c r="D16" i="4"/>
  <c r="C16" i="4"/>
  <c r="B16" i="4"/>
  <c r="H15" i="4"/>
  <c r="G15" i="4"/>
  <c r="F15" i="4"/>
  <c r="E15" i="4"/>
  <c r="I15" i="4" s="1"/>
  <c r="D15" i="4"/>
  <c r="C15" i="4"/>
  <c r="B15" i="4"/>
  <c r="H14" i="4"/>
  <c r="G14" i="4"/>
  <c r="F14" i="4"/>
  <c r="E14" i="4"/>
  <c r="I14" i="4" s="1"/>
  <c r="D14" i="4"/>
  <c r="C14" i="4"/>
  <c r="B14" i="4"/>
  <c r="H13" i="4"/>
  <c r="G13" i="4"/>
  <c r="F13" i="4"/>
  <c r="E13" i="4"/>
  <c r="I13" i="4" s="1"/>
  <c r="D13" i="4"/>
  <c r="C13" i="4"/>
  <c r="B13" i="4"/>
  <c r="H12" i="4"/>
  <c r="G12" i="4"/>
  <c r="F12" i="4"/>
  <c r="E12" i="4"/>
  <c r="I12" i="4" s="1"/>
  <c r="D12" i="4"/>
  <c r="C12" i="4"/>
  <c r="B12" i="4"/>
  <c r="H11" i="4"/>
  <c r="G11" i="4"/>
  <c r="F11" i="4"/>
  <c r="E11" i="4"/>
  <c r="I11" i="4" s="1"/>
  <c r="D11" i="4"/>
  <c r="C11" i="4"/>
  <c r="B11" i="4"/>
  <c r="H10" i="4"/>
  <c r="G10" i="4"/>
  <c r="F10" i="4"/>
  <c r="E10" i="4"/>
  <c r="I10" i="4" s="1"/>
  <c r="D10" i="4"/>
  <c r="C10" i="4"/>
  <c r="B10" i="4"/>
  <c r="H9" i="4"/>
  <c r="G9" i="4"/>
  <c r="F9" i="4"/>
  <c r="E9" i="4"/>
  <c r="I9" i="4" s="1"/>
  <c r="D9" i="4"/>
  <c r="C9" i="4"/>
  <c r="B9" i="4"/>
  <c r="H8" i="4"/>
  <c r="G8" i="4"/>
  <c r="F8" i="4"/>
  <c r="E8" i="4"/>
  <c r="I8" i="4" s="1"/>
  <c r="D8" i="4"/>
  <c r="C8" i="4"/>
  <c r="B8" i="4"/>
  <c r="H7" i="4"/>
  <c r="G7" i="4"/>
  <c r="F7" i="4"/>
  <c r="E7" i="4"/>
  <c r="I7" i="4" s="1"/>
  <c r="D7" i="4"/>
  <c r="C7" i="4"/>
  <c r="B7" i="4"/>
  <c r="B3" i="4"/>
  <c r="P5001" i="43"/>
  <c r="P5000" i="43"/>
  <c r="P4999" i="43"/>
  <c r="P4998" i="43"/>
  <c r="P4997" i="43"/>
  <c r="P4996" i="43"/>
  <c r="P4995" i="43"/>
  <c r="P4994" i="43"/>
  <c r="P4993" i="43"/>
  <c r="P4992" i="43"/>
  <c r="P4991" i="43"/>
  <c r="P4990" i="43"/>
  <c r="P4989" i="43"/>
  <c r="P4988" i="43"/>
  <c r="P4987" i="43"/>
  <c r="P4986" i="43"/>
  <c r="P4985" i="43"/>
  <c r="P4984" i="43"/>
  <c r="P4983" i="43"/>
  <c r="P4982" i="43"/>
  <c r="P4981" i="43"/>
  <c r="P4980" i="43"/>
  <c r="P4979" i="43"/>
  <c r="P4978" i="43"/>
  <c r="P4977" i="43"/>
  <c r="P4976" i="43"/>
  <c r="P4975" i="43"/>
  <c r="P4974" i="43"/>
  <c r="P4973" i="43"/>
  <c r="P4972" i="43"/>
  <c r="P4971" i="43"/>
  <c r="P4970" i="43"/>
  <c r="P4969" i="43"/>
  <c r="P4968" i="43"/>
  <c r="P4967" i="43"/>
  <c r="P4966" i="43"/>
  <c r="P4965" i="43"/>
  <c r="P4964" i="43"/>
  <c r="P4963" i="43"/>
  <c r="P4962" i="43"/>
  <c r="P4961" i="43"/>
  <c r="P4960" i="43"/>
  <c r="P4959" i="43"/>
  <c r="P4958" i="43"/>
  <c r="P4957" i="43"/>
  <c r="P4956" i="43"/>
  <c r="P4955" i="43"/>
  <c r="P4954" i="43"/>
  <c r="P4953" i="43"/>
  <c r="P4952" i="43"/>
  <c r="P4951" i="43"/>
  <c r="P4950" i="43"/>
  <c r="P4949" i="43"/>
  <c r="P4948" i="43"/>
  <c r="P4947" i="43"/>
  <c r="P4946" i="43"/>
  <c r="P4945" i="43"/>
  <c r="P4944" i="43"/>
  <c r="P4943" i="43"/>
  <c r="P4942" i="43"/>
  <c r="P4941" i="43"/>
  <c r="P4940" i="43"/>
  <c r="P4939" i="43"/>
  <c r="P4938" i="43"/>
  <c r="P4937" i="43"/>
  <c r="P4936" i="43"/>
  <c r="P4935" i="43"/>
  <c r="P4934" i="43"/>
  <c r="P4933" i="43"/>
  <c r="P4932" i="43"/>
  <c r="P4931" i="43"/>
  <c r="P4930" i="43"/>
  <c r="P4929" i="43"/>
  <c r="P4928" i="43"/>
  <c r="P4927" i="43"/>
  <c r="P4926" i="43"/>
  <c r="P4925" i="43"/>
  <c r="P4924" i="43"/>
  <c r="P4923" i="43"/>
  <c r="P4922" i="43"/>
  <c r="P4921" i="43"/>
  <c r="P4920" i="43"/>
  <c r="P4919" i="43"/>
  <c r="P4918" i="43"/>
  <c r="P4917" i="43"/>
  <c r="P4916" i="43"/>
  <c r="P4915" i="43"/>
  <c r="P4914" i="43"/>
  <c r="P4913" i="43"/>
  <c r="P4912" i="43"/>
  <c r="P4911" i="43"/>
  <c r="P4910" i="43"/>
  <c r="P4909" i="43"/>
  <c r="P4908" i="43"/>
  <c r="P4907" i="43"/>
  <c r="P4906" i="43"/>
  <c r="P4905" i="43"/>
  <c r="P4904" i="43"/>
  <c r="P4903" i="43"/>
  <c r="P4902" i="43"/>
  <c r="P4901" i="43"/>
  <c r="P4900" i="43"/>
  <c r="P4899" i="43"/>
  <c r="P4898" i="43"/>
  <c r="P4897" i="43"/>
  <c r="P4896" i="43"/>
  <c r="P4895" i="43"/>
  <c r="P4894" i="43"/>
  <c r="P4893" i="43"/>
  <c r="P4892" i="43"/>
  <c r="P4891" i="43"/>
  <c r="P4890" i="43"/>
  <c r="P4889" i="43"/>
  <c r="P4888" i="43"/>
  <c r="P4887" i="43"/>
  <c r="P4886" i="43"/>
  <c r="P4885" i="43"/>
  <c r="P4884" i="43"/>
  <c r="P4883" i="43"/>
  <c r="P4882" i="43"/>
  <c r="P4881" i="43"/>
  <c r="P4880" i="43"/>
  <c r="P4879" i="43"/>
  <c r="P4878" i="43"/>
  <c r="P4877" i="43"/>
  <c r="P4876" i="43"/>
  <c r="P4875" i="43"/>
  <c r="P4874" i="43"/>
  <c r="P4873" i="43"/>
  <c r="P4872" i="43"/>
  <c r="P4871" i="43"/>
  <c r="P4870" i="43"/>
  <c r="P4869" i="43"/>
  <c r="P4868" i="43"/>
  <c r="P4867" i="43"/>
  <c r="P4866" i="43"/>
  <c r="P4865" i="43"/>
  <c r="P4864" i="43"/>
  <c r="P4863" i="43"/>
  <c r="P4862" i="43"/>
  <c r="P4861" i="43"/>
  <c r="P4860" i="43"/>
  <c r="P4859" i="43"/>
  <c r="P4858" i="43"/>
  <c r="P4857" i="43"/>
  <c r="P4856" i="43"/>
  <c r="P4855" i="43"/>
  <c r="P4854" i="43"/>
  <c r="P4853" i="43"/>
  <c r="P4852" i="43"/>
  <c r="P4851" i="43"/>
  <c r="P4850" i="43"/>
  <c r="P4849" i="43"/>
  <c r="P4848" i="43"/>
  <c r="P4847" i="43"/>
  <c r="P4846" i="43"/>
  <c r="P4845" i="43"/>
  <c r="P4844" i="43"/>
  <c r="P4843" i="43"/>
  <c r="P4842" i="43"/>
  <c r="P4841" i="43"/>
  <c r="P4840" i="43"/>
  <c r="P4839" i="43"/>
  <c r="P4838" i="43"/>
  <c r="P4837" i="43"/>
  <c r="P4836" i="43"/>
  <c r="P4835" i="43"/>
  <c r="P4834" i="43"/>
  <c r="P4833" i="43"/>
  <c r="P4832" i="43"/>
  <c r="P4831" i="43"/>
  <c r="P4830" i="43"/>
  <c r="P4829" i="43"/>
  <c r="P4828" i="43"/>
  <c r="P4827" i="43"/>
  <c r="P4826" i="43"/>
  <c r="P4825" i="43"/>
  <c r="P4824" i="43"/>
  <c r="P4823" i="43"/>
  <c r="P4822" i="43"/>
  <c r="P4821" i="43"/>
  <c r="P4820" i="43"/>
  <c r="P4819" i="43"/>
  <c r="P4818" i="43"/>
  <c r="P4817" i="43"/>
  <c r="P4816" i="43"/>
  <c r="P4815" i="43"/>
  <c r="P4814" i="43"/>
  <c r="P4813" i="43"/>
  <c r="P4812" i="43"/>
  <c r="P4811" i="43"/>
  <c r="P4810" i="43"/>
  <c r="P4809" i="43"/>
  <c r="P4808" i="43"/>
  <c r="P4807" i="43"/>
  <c r="P4806" i="43"/>
  <c r="P4805" i="43"/>
  <c r="P4804" i="43"/>
  <c r="P4803" i="43"/>
  <c r="P4802" i="43"/>
  <c r="P4801" i="43"/>
  <c r="P4800" i="43"/>
  <c r="P4799" i="43"/>
  <c r="P4798" i="43"/>
  <c r="P4797" i="43"/>
  <c r="P4796" i="43"/>
  <c r="P4795" i="43"/>
  <c r="P4794" i="43"/>
  <c r="P4793" i="43"/>
  <c r="P4792" i="43"/>
  <c r="P4791" i="43"/>
  <c r="P4790" i="43"/>
  <c r="P4789" i="43"/>
  <c r="P4788" i="43"/>
  <c r="P4787" i="43"/>
  <c r="P4786" i="43"/>
  <c r="P4785" i="43"/>
  <c r="P4784" i="43"/>
  <c r="P4783" i="43"/>
  <c r="P4782" i="43"/>
  <c r="P4781" i="43"/>
  <c r="P4780" i="43"/>
  <c r="P4779" i="43"/>
  <c r="P4778" i="43"/>
  <c r="P4777" i="43"/>
  <c r="P4776" i="43"/>
  <c r="P4775" i="43"/>
  <c r="P4774" i="43"/>
  <c r="P4773" i="43"/>
  <c r="P4772" i="43"/>
  <c r="P4771" i="43"/>
  <c r="P4770" i="43"/>
  <c r="P4769" i="43"/>
  <c r="P4768" i="43"/>
  <c r="P4767" i="43"/>
  <c r="P4766" i="43"/>
  <c r="P4765" i="43"/>
  <c r="P4764" i="43"/>
  <c r="P4763" i="43"/>
  <c r="P4762" i="43"/>
  <c r="P4761" i="43"/>
  <c r="P4760" i="43"/>
  <c r="P4759" i="43"/>
  <c r="P4758" i="43"/>
  <c r="P4757" i="43"/>
  <c r="P4756" i="43"/>
  <c r="P4755" i="43"/>
  <c r="P4754" i="43"/>
  <c r="P4753" i="43"/>
  <c r="P4752" i="43"/>
  <c r="P4751" i="43"/>
  <c r="P4750" i="43"/>
  <c r="P4749" i="43"/>
  <c r="P4748" i="43"/>
  <c r="P4747" i="43"/>
  <c r="P4746" i="43"/>
  <c r="P4745" i="43"/>
  <c r="P4744" i="43"/>
  <c r="P4743" i="43"/>
  <c r="P4742" i="43"/>
  <c r="P4741" i="43"/>
  <c r="P4740" i="43"/>
  <c r="P4739" i="43"/>
  <c r="P4738" i="43"/>
  <c r="P4737" i="43"/>
  <c r="P4736" i="43"/>
  <c r="P4735" i="43"/>
  <c r="P4734" i="43"/>
  <c r="P4733" i="43"/>
  <c r="P4732" i="43"/>
  <c r="P4731" i="43"/>
  <c r="P4730" i="43"/>
  <c r="P4729" i="43"/>
  <c r="P4728" i="43"/>
  <c r="P4727" i="43"/>
  <c r="P4726" i="43"/>
  <c r="P4725" i="43"/>
  <c r="P4724" i="43"/>
  <c r="P4723" i="43"/>
  <c r="P4722" i="43"/>
  <c r="P4721" i="43"/>
  <c r="P4720" i="43"/>
  <c r="P4719" i="43"/>
  <c r="P4718" i="43"/>
  <c r="P4717" i="43"/>
  <c r="P4716" i="43"/>
  <c r="P4715" i="43"/>
  <c r="P4714" i="43"/>
  <c r="P4713" i="43"/>
  <c r="P4712" i="43"/>
  <c r="P4711" i="43"/>
  <c r="P4710" i="43"/>
  <c r="P4709" i="43"/>
  <c r="P4708" i="43"/>
  <c r="P4707" i="43"/>
  <c r="P4706" i="43"/>
  <c r="P4705" i="43"/>
  <c r="P4704" i="43"/>
  <c r="P4703" i="43"/>
  <c r="P4702" i="43"/>
  <c r="P4701" i="43"/>
  <c r="P4700" i="43"/>
  <c r="P4699" i="43"/>
  <c r="P4698" i="43"/>
  <c r="P4697" i="43"/>
  <c r="P4696" i="43"/>
  <c r="P4695" i="43"/>
  <c r="P4694" i="43"/>
  <c r="P4693" i="43"/>
  <c r="P4692" i="43"/>
  <c r="P4691" i="43"/>
  <c r="P4690" i="43"/>
  <c r="P4689" i="43"/>
  <c r="P4688" i="43"/>
  <c r="P4687" i="43"/>
  <c r="P4686" i="43"/>
  <c r="P4685" i="43"/>
  <c r="P4684" i="43"/>
  <c r="P4683" i="43"/>
  <c r="P4682" i="43"/>
  <c r="P4681" i="43"/>
  <c r="P4680" i="43"/>
  <c r="P4679" i="43"/>
  <c r="P4678" i="43"/>
  <c r="P4677" i="43"/>
  <c r="P4676" i="43"/>
  <c r="P4675" i="43"/>
  <c r="P4674" i="43"/>
  <c r="P4673" i="43"/>
  <c r="P4672" i="43"/>
  <c r="P4671" i="43"/>
  <c r="P4670" i="43"/>
  <c r="P4669" i="43"/>
  <c r="P4668" i="43"/>
  <c r="P4667" i="43"/>
  <c r="P4666" i="43"/>
  <c r="P4665" i="43"/>
  <c r="P4664" i="43"/>
  <c r="P4663" i="43"/>
  <c r="P4662" i="43"/>
  <c r="P4661" i="43"/>
  <c r="P4660" i="43"/>
  <c r="P4659" i="43"/>
  <c r="P4658" i="43"/>
  <c r="P4657" i="43"/>
  <c r="P4656" i="43"/>
  <c r="P4655" i="43"/>
  <c r="P4654" i="43"/>
  <c r="P4653" i="43"/>
  <c r="P4652" i="43"/>
  <c r="P4651" i="43"/>
  <c r="P4650" i="43"/>
  <c r="P4649" i="43"/>
  <c r="P4648" i="43"/>
  <c r="P4647" i="43"/>
  <c r="P4646" i="43"/>
  <c r="P4645" i="43"/>
  <c r="P4644" i="43"/>
  <c r="P4643" i="43"/>
  <c r="P4642" i="43"/>
  <c r="P4641" i="43"/>
  <c r="P4640" i="43"/>
  <c r="P4639" i="43"/>
  <c r="P4638" i="43"/>
  <c r="P4637" i="43"/>
  <c r="P4636" i="43"/>
  <c r="P4635" i="43"/>
  <c r="P4634" i="43"/>
  <c r="P4633" i="43"/>
  <c r="P4632" i="43"/>
  <c r="P4631" i="43"/>
  <c r="P4630" i="43"/>
  <c r="P4629" i="43"/>
  <c r="P4628" i="43"/>
  <c r="P4627" i="43"/>
  <c r="P4626" i="43"/>
  <c r="P4625" i="43"/>
  <c r="P4624" i="43"/>
  <c r="P4623" i="43"/>
  <c r="P4622" i="43"/>
  <c r="P4621" i="43"/>
  <c r="P4620" i="43"/>
  <c r="P4619" i="43"/>
  <c r="P4618" i="43"/>
  <c r="P4617" i="43"/>
  <c r="P4616" i="43"/>
  <c r="P4615" i="43"/>
  <c r="P4614" i="43"/>
  <c r="P4613" i="43"/>
  <c r="P4612" i="43"/>
  <c r="P4611" i="43"/>
  <c r="P4610" i="43"/>
  <c r="P4609" i="43"/>
  <c r="P4608" i="43"/>
  <c r="P4607" i="43"/>
  <c r="P4606" i="43"/>
  <c r="P4605" i="43"/>
  <c r="P4604" i="43"/>
  <c r="P4603" i="43"/>
  <c r="P4602" i="43"/>
  <c r="P4601" i="43"/>
  <c r="P4600" i="43"/>
  <c r="P4599" i="43"/>
  <c r="P4598" i="43"/>
  <c r="P4597" i="43"/>
  <c r="P4596" i="43"/>
  <c r="P4595" i="43"/>
  <c r="P4594" i="43"/>
  <c r="P4593" i="43"/>
  <c r="P4592" i="43"/>
  <c r="P4591" i="43"/>
  <c r="P4590" i="43"/>
  <c r="P4589" i="43"/>
  <c r="P4588" i="43"/>
  <c r="P4587" i="43"/>
  <c r="P4586" i="43"/>
  <c r="P4585" i="43"/>
  <c r="P4584" i="43"/>
  <c r="P4583" i="43"/>
  <c r="P4582" i="43"/>
  <c r="P4581" i="43"/>
  <c r="P4580" i="43"/>
  <c r="P4579" i="43"/>
  <c r="P4578" i="43"/>
  <c r="P4577" i="43"/>
  <c r="P4576" i="43"/>
  <c r="P4575" i="43"/>
  <c r="P4574" i="43"/>
  <c r="P4573" i="43"/>
  <c r="P4572" i="43"/>
  <c r="P4571" i="43"/>
  <c r="P4570" i="43"/>
  <c r="P4569" i="43"/>
  <c r="P4568" i="43"/>
  <c r="P4567" i="43"/>
  <c r="P4566" i="43"/>
  <c r="P4565" i="43"/>
  <c r="P4564" i="43"/>
  <c r="P4563" i="43"/>
  <c r="P4562" i="43"/>
  <c r="P4561" i="43"/>
  <c r="P4560" i="43"/>
  <c r="P4559" i="43"/>
  <c r="P4558" i="43"/>
  <c r="P4557" i="43"/>
  <c r="P4556" i="43"/>
  <c r="P4555" i="43"/>
  <c r="P4554" i="43"/>
  <c r="P4553" i="43"/>
  <c r="P4552" i="43"/>
  <c r="P4551" i="43"/>
  <c r="P4550" i="43"/>
  <c r="P4549" i="43"/>
  <c r="P4548" i="43"/>
  <c r="P4547" i="43"/>
  <c r="P4546" i="43"/>
  <c r="P4545" i="43"/>
  <c r="P4544" i="43"/>
  <c r="P4543" i="43"/>
  <c r="P4542" i="43"/>
  <c r="P4541" i="43"/>
  <c r="P4540" i="43"/>
  <c r="P4539" i="43"/>
  <c r="P4538" i="43"/>
  <c r="P4537" i="43"/>
  <c r="P4536" i="43"/>
  <c r="P4535" i="43"/>
  <c r="P4534" i="43"/>
  <c r="P4533" i="43"/>
  <c r="P4532" i="43"/>
  <c r="P4531" i="43"/>
  <c r="P4530" i="43"/>
  <c r="P4529" i="43"/>
  <c r="P4528" i="43"/>
  <c r="P4527" i="43"/>
  <c r="P4526" i="43"/>
  <c r="P4525" i="43"/>
  <c r="P4524" i="43"/>
  <c r="P4523" i="43"/>
  <c r="P4522" i="43"/>
  <c r="P4521" i="43"/>
  <c r="P4520" i="43"/>
  <c r="P4519" i="43"/>
  <c r="P4518" i="43"/>
  <c r="P4517" i="43"/>
  <c r="P4516" i="43"/>
  <c r="P4515" i="43"/>
  <c r="P4514" i="43"/>
  <c r="P4513" i="43"/>
  <c r="P4512" i="43"/>
  <c r="P4511" i="43"/>
  <c r="P4510" i="43"/>
  <c r="P4509" i="43"/>
  <c r="P4508" i="43"/>
  <c r="P4507" i="43"/>
  <c r="P4506" i="43"/>
  <c r="P4505" i="43"/>
  <c r="P4504" i="43"/>
  <c r="P4503" i="43"/>
  <c r="P4502" i="43"/>
  <c r="P4501" i="43"/>
  <c r="P4500" i="43"/>
  <c r="P4499" i="43"/>
  <c r="P4498" i="43"/>
  <c r="P4497" i="43"/>
  <c r="P4496" i="43"/>
  <c r="P4495" i="43"/>
  <c r="P4494" i="43"/>
  <c r="P4493" i="43"/>
  <c r="P4492" i="43"/>
  <c r="P4491" i="43"/>
  <c r="P4490" i="43"/>
  <c r="P4489" i="43"/>
  <c r="P4488" i="43"/>
  <c r="P4487" i="43"/>
  <c r="P4486" i="43"/>
  <c r="P4485" i="43"/>
  <c r="P4484" i="43"/>
  <c r="P4483" i="43"/>
  <c r="P4482" i="43"/>
  <c r="P4481" i="43"/>
  <c r="P4480" i="43"/>
  <c r="P4479" i="43"/>
  <c r="P4478" i="43"/>
  <c r="P4477" i="43"/>
  <c r="P4476" i="43"/>
  <c r="P4475" i="43"/>
  <c r="P4474" i="43"/>
  <c r="P4473" i="43"/>
  <c r="P4472" i="43"/>
  <c r="P4471" i="43"/>
  <c r="P4470" i="43"/>
  <c r="P4469" i="43"/>
  <c r="P4468" i="43"/>
  <c r="P4467" i="43"/>
  <c r="P4466" i="43"/>
  <c r="P4465" i="43"/>
  <c r="P4464" i="43"/>
  <c r="P4463" i="43"/>
  <c r="P4462" i="43"/>
  <c r="P4461" i="43"/>
  <c r="P4460" i="43"/>
  <c r="P4459" i="43"/>
  <c r="P4458" i="43"/>
  <c r="P4457" i="43"/>
  <c r="P4456" i="43"/>
  <c r="P4455" i="43"/>
  <c r="P4454" i="43"/>
  <c r="P4453" i="43"/>
  <c r="P4452" i="43"/>
  <c r="P4451" i="43"/>
  <c r="P4450" i="43"/>
  <c r="P4449" i="43"/>
  <c r="P4448" i="43"/>
  <c r="P4447" i="43"/>
  <c r="P4446" i="43"/>
  <c r="P4445" i="43"/>
  <c r="P4444" i="43"/>
  <c r="P4443" i="43"/>
  <c r="P4442" i="43"/>
  <c r="P4441" i="43"/>
  <c r="P4440" i="43"/>
  <c r="P4439" i="43"/>
  <c r="P4438" i="43"/>
  <c r="P4437" i="43"/>
  <c r="P4436" i="43"/>
  <c r="P4435" i="43"/>
  <c r="P4434" i="43"/>
  <c r="P4433" i="43"/>
  <c r="P4432" i="43"/>
  <c r="P4431" i="43"/>
  <c r="P4430" i="43"/>
  <c r="P4429" i="43"/>
  <c r="P4428" i="43"/>
  <c r="P4427" i="43"/>
  <c r="P4426" i="43"/>
  <c r="P4425" i="43"/>
  <c r="P4424" i="43"/>
  <c r="P4423" i="43"/>
  <c r="P4422" i="43"/>
  <c r="P4421" i="43"/>
  <c r="P4420" i="43"/>
  <c r="P4419" i="43"/>
  <c r="P4418" i="43"/>
  <c r="P4417" i="43"/>
  <c r="P4416" i="43"/>
  <c r="P4415" i="43"/>
  <c r="P4414" i="43"/>
  <c r="P4413" i="43"/>
  <c r="P4412" i="43"/>
  <c r="P4411" i="43"/>
  <c r="P4410" i="43"/>
  <c r="P4409" i="43"/>
  <c r="P4408" i="43"/>
  <c r="P4407" i="43"/>
  <c r="P4406" i="43"/>
  <c r="P4405" i="43"/>
  <c r="P4404" i="43"/>
  <c r="P4403" i="43"/>
  <c r="P4402" i="43"/>
  <c r="P4401" i="43"/>
  <c r="P4400" i="43"/>
  <c r="P4399" i="43"/>
  <c r="P4398" i="43"/>
  <c r="P4397" i="43"/>
  <c r="P4396" i="43"/>
  <c r="P4395" i="43"/>
  <c r="P4394" i="43"/>
  <c r="P4393" i="43"/>
  <c r="P4392" i="43"/>
  <c r="P4391" i="43"/>
  <c r="P4390" i="43"/>
  <c r="P4389" i="43"/>
  <c r="P4388" i="43"/>
  <c r="P4387" i="43"/>
  <c r="P4386" i="43"/>
  <c r="P4385" i="43"/>
  <c r="P4384" i="43"/>
  <c r="P4383" i="43"/>
  <c r="P4382" i="43"/>
  <c r="P4381" i="43"/>
  <c r="P4380" i="43"/>
  <c r="P4379" i="43"/>
  <c r="P4378" i="43"/>
  <c r="P4377" i="43"/>
  <c r="P4376" i="43"/>
  <c r="P4375" i="43"/>
  <c r="P4374" i="43"/>
  <c r="P4373" i="43"/>
  <c r="P4372" i="43"/>
  <c r="P4371" i="43"/>
  <c r="P4370" i="43"/>
  <c r="P4369" i="43"/>
  <c r="P4368" i="43"/>
  <c r="P4367" i="43"/>
  <c r="P4366" i="43"/>
  <c r="P4365" i="43"/>
  <c r="P4364" i="43"/>
  <c r="P4363" i="43"/>
  <c r="P4362" i="43"/>
  <c r="P4361" i="43"/>
  <c r="P4360" i="43"/>
  <c r="P4359" i="43"/>
  <c r="P4358" i="43"/>
  <c r="P4357" i="43"/>
  <c r="P4356" i="43"/>
  <c r="P4355" i="43"/>
  <c r="P4354" i="43"/>
  <c r="P4353" i="43"/>
  <c r="P4352" i="43"/>
  <c r="P4351" i="43"/>
  <c r="P4350" i="43"/>
  <c r="P4349" i="43"/>
  <c r="P4348" i="43"/>
  <c r="P4347" i="43"/>
  <c r="P4346" i="43"/>
  <c r="P4345" i="43"/>
  <c r="P4344" i="43"/>
  <c r="P4343" i="43"/>
  <c r="P4342" i="43"/>
  <c r="P4341" i="43"/>
  <c r="P4340" i="43"/>
  <c r="P4339" i="43"/>
  <c r="P4338" i="43"/>
  <c r="P4337" i="43"/>
  <c r="P4336" i="43"/>
  <c r="P4335" i="43"/>
  <c r="P4334" i="43"/>
  <c r="P4333" i="43"/>
  <c r="P4332" i="43"/>
  <c r="P4331" i="43"/>
  <c r="P4330" i="43"/>
  <c r="P4329" i="43"/>
  <c r="P4328" i="43"/>
  <c r="P4327" i="43"/>
  <c r="P4326" i="43"/>
  <c r="P4325" i="43"/>
  <c r="P4324" i="43"/>
  <c r="P4323" i="43"/>
  <c r="P4322" i="43"/>
  <c r="P4321" i="43"/>
  <c r="P4320" i="43"/>
  <c r="P4319" i="43"/>
  <c r="P4318" i="43"/>
  <c r="P4317" i="43"/>
  <c r="P4316" i="43"/>
  <c r="P4315" i="43"/>
  <c r="P4314" i="43"/>
  <c r="P4313" i="43"/>
  <c r="P4312" i="43"/>
  <c r="P4311" i="43"/>
  <c r="P4310" i="43"/>
  <c r="P4309" i="43"/>
  <c r="P4308" i="43"/>
  <c r="P4307" i="43"/>
  <c r="P4306" i="43"/>
  <c r="P4305" i="43"/>
  <c r="P4304" i="43"/>
  <c r="P4303" i="43"/>
  <c r="P4302" i="43"/>
  <c r="P4301" i="43"/>
  <c r="P4300" i="43"/>
  <c r="P4299" i="43"/>
  <c r="P4298" i="43"/>
  <c r="P4297" i="43"/>
  <c r="P4296" i="43"/>
  <c r="P4295" i="43"/>
  <c r="P4294" i="43"/>
  <c r="P4293" i="43"/>
  <c r="P4292" i="43"/>
  <c r="P4291" i="43"/>
  <c r="P4290" i="43"/>
  <c r="P4289" i="43"/>
  <c r="P4288" i="43"/>
  <c r="P4287" i="43"/>
  <c r="P4286" i="43"/>
  <c r="P4285" i="43"/>
  <c r="P4284" i="43"/>
  <c r="P4283" i="43"/>
  <c r="P4282" i="43"/>
  <c r="P4281" i="43"/>
  <c r="P4280" i="43"/>
  <c r="P4279" i="43"/>
  <c r="P4278" i="43"/>
  <c r="P4277" i="43"/>
  <c r="P4276" i="43"/>
  <c r="P4275" i="43"/>
  <c r="P4274" i="43"/>
  <c r="P4273" i="43"/>
  <c r="P4272" i="43"/>
  <c r="P4271" i="43"/>
  <c r="P4270" i="43"/>
  <c r="P4269" i="43"/>
  <c r="P4268" i="43"/>
  <c r="P4267" i="43"/>
  <c r="P4266" i="43"/>
  <c r="P4265" i="43"/>
  <c r="P4264" i="43"/>
  <c r="P4263" i="43"/>
  <c r="P4262" i="43"/>
  <c r="P4261" i="43"/>
  <c r="P4260" i="43"/>
  <c r="P4259" i="43"/>
  <c r="P4258" i="43"/>
  <c r="P4257" i="43"/>
  <c r="P4256" i="43"/>
  <c r="P4255" i="43"/>
  <c r="P4254" i="43"/>
  <c r="P4253" i="43"/>
  <c r="P4252" i="43"/>
  <c r="P4251" i="43"/>
  <c r="P4250" i="43"/>
  <c r="P4249" i="43"/>
  <c r="P4248" i="43"/>
  <c r="P4247" i="43"/>
  <c r="P4246" i="43"/>
  <c r="P4245" i="43"/>
  <c r="P4244" i="43"/>
  <c r="P4243" i="43"/>
  <c r="P4242" i="43"/>
  <c r="P4241" i="43"/>
  <c r="P4240" i="43"/>
  <c r="P4239" i="43"/>
  <c r="P4238" i="43"/>
  <c r="P4237" i="43"/>
  <c r="P4236" i="43"/>
  <c r="P4235" i="43"/>
  <c r="P4234" i="43"/>
  <c r="P4233" i="43"/>
  <c r="P4232" i="43"/>
  <c r="P4231" i="43"/>
  <c r="P4230" i="43"/>
  <c r="P4229" i="43"/>
  <c r="P4228" i="43"/>
  <c r="P4227" i="43"/>
  <c r="P4226" i="43"/>
  <c r="P4225" i="43"/>
  <c r="P4224" i="43"/>
  <c r="P4223" i="43"/>
  <c r="P4222" i="43"/>
  <c r="P4221" i="43"/>
  <c r="P4220" i="43"/>
  <c r="P4219" i="43"/>
  <c r="P4218" i="43"/>
  <c r="P4217" i="43"/>
  <c r="P4216" i="43"/>
  <c r="P4215" i="43"/>
  <c r="P4214" i="43"/>
  <c r="P4213" i="43"/>
  <c r="P4212" i="43"/>
  <c r="P4211" i="43"/>
  <c r="P4210" i="43"/>
  <c r="P4209" i="43"/>
  <c r="P4208" i="43"/>
  <c r="P4207" i="43"/>
  <c r="P4206" i="43"/>
  <c r="P4205" i="43"/>
  <c r="P4204" i="43"/>
  <c r="P4203" i="43"/>
  <c r="P4202" i="43"/>
  <c r="P4201" i="43"/>
  <c r="P4200" i="43"/>
  <c r="P4199" i="43"/>
  <c r="P4198" i="43"/>
  <c r="P4197" i="43"/>
  <c r="P4196" i="43"/>
  <c r="P4195" i="43"/>
  <c r="P4194" i="43"/>
  <c r="P4193" i="43"/>
  <c r="P4192" i="43"/>
  <c r="P4191" i="43"/>
  <c r="P4190" i="43"/>
  <c r="P4189" i="43"/>
  <c r="P4188" i="43"/>
  <c r="P4187" i="43"/>
  <c r="P4186" i="43"/>
  <c r="P4185" i="43"/>
  <c r="P4184" i="43"/>
  <c r="P4183" i="43"/>
  <c r="P4182" i="43"/>
  <c r="P4181" i="43"/>
  <c r="P4180" i="43"/>
  <c r="P4179" i="43"/>
  <c r="P4178" i="43"/>
  <c r="P4177" i="43"/>
  <c r="P4176" i="43"/>
  <c r="P4175" i="43"/>
  <c r="P4174" i="43"/>
  <c r="P4173" i="43"/>
  <c r="P4172" i="43"/>
  <c r="P4171" i="43"/>
  <c r="P4170" i="43"/>
  <c r="P4169" i="43"/>
  <c r="P4168" i="43"/>
  <c r="P4167" i="43"/>
  <c r="P4166" i="43"/>
  <c r="P4165" i="43"/>
  <c r="P4164" i="43"/>
  <c r="P4163" i="43"/>
  <c r="P4162" i="43"/>
  <c r="P4161" i="43"/>
  <c r="P4160" i="43"/>
  <c r="P4159" i="43"/>
  <c r="P4158" i="43"/>
  <c r="P4157" i="43"/>
  <c r="P4156" i="43"/>
  <c r="P4155" i="43"/>
  <c r="P4154" i="43"/>
  <c r="P4153" i="43"/>
  <c r="P4152" i="43"/>
  <c r="P4151" i="43"/>
  <c r="P4150" i="43"/>
  <c r="P4149" i="43"/>
  <c r="P4148" i="43"/>
  <c r="P4147" i="43"/>
  <c r="P4146" i="43"/>
  <c r="P4145" i="43"/>
  <c r="P4144" i="43"/>
  <c r="P4143" i="43"/>
  <c r="P4142" i="43"/>
  <c r="P4141" i="43"/>
  <c r="P4140" i="43"/>
  <c r="P4139" i="43"/>
  <c r="P4138" i="43"/>
  <c r="P4137" i="43"/>
  <c r="P4136" i="43"/>
  <c r="P4135" i="43"/>
  <c r="P4134" i="43"/>
  <c r="P4133" i="43"/>
  <c r="P4132" i="43"/>
  <c r="P4131" i="43"/>
  <c r="P4130" i="43"/>
  <c r="P4129" i="43"/>
  <c r="P4128" i="43"/>
  <c r="P4127" i="43"/>
  <c r="P4126" i="43"/>
  <c r="P4125" i="43"/>
  <c r="P4124" i="43"/>
  <c r="P4123" i="43"/>
  <c r="P4122" i="43"/>
  <c r="P4121" i="43"/>
  <c r="P4120" i="43"/>
  <c r="P4119" i="43"/>
  <c r="P4118" i="43"/>
  <c r="P4117" i="43"/>
  <c r="P4116" i="43"/>
  <c r="P4115" i="43"/>
  <c r="P4114" i="43"/>
  <c r="P4113" i="43"/>
  <c r="P4112" i="43"/>
  <c r="P4111" i="43"/>
  <c r="P4110" i="43"/>
  <c r="P4109" i="43"/>
  <c r="P4108" i="43"/>
  <c r="P4107" i="43"/>
  <c r="P4106" i="43"/>
  <c r="P4105" i="43"/>
  <c r="P4104" i="43"/>
  <c r="P4103" i="43"/>
  <c r="P4102" i="43"/>
  <c r="P4101" i="43"/>
  <c r="P4100" i="43"/>
  <c r="P4099" i="43"/>
  <c r="P4098" i="43"/>
  <c r="P4097" i="43"/>
  <c r="P4096" i="43"/>
  <c r="P4095" i="43"/>
  <c r="P4094" i="43"/>
  <c r="P4093" i="43"/>
  <c r="P4092" i="43"/>
  <c r="P4091" i="43"/>
  <c r="P4090" i="43"/>
  <c r="P4089" i="43"/>
  <c r="P4088" i="43"/>
  <c r="P4087" i="43"/>
  <c r="P4086" i="43"/>
  <c r="P4085" i="43"/>
  <c r="P4084" i="43"/>
  <c r="P4083" i="43"/>
  <c r="P4082" i="43"/>
  <c r="P4081" i="43"/>
  <c r="P4080" i="43"/>
  <c r="P4079" i="43"/>
  <c r="P4078" i="43"/>
  <c r="P4077" i="43"/>
  <c r="P4076" i="43"/>
  <c r="P4075" i="43"/>
  <c r="P4074" i="43"/>
  <c r="P4073" i="43"/>
  <c r="P4072" i="43"/>
  <c r="P4071" i="43"/>
  <c r="P4070" i="43"/>
  <c r="P4069" i="43"/>
  <c r="P4068" i="43"/>
  <c r="P4067" i="43"/>
  <c r="P4066" i="43"/>
  <c r="P4065" i="43"/>
  <c r="P4064" i="43"/>
  <c r="P4063" i="43"/>
  <c r="P4062" i="43"/>
  <c r="P4061" i="43"/>
  <c r="P4060" i="43"/>
  <c r="P4059" i="43"/>
  <c r="P4058" i="43"/>
  <c r="P4057" i="43"/>
  <c r="P4056" i="43"/>
  <c r="P4055" i="43"/>
  <c r="P4054" i="43"/>
  <c r="P4053" i="43"/>
  <c r="P4052" i="43"/>
  <c r="P4051" i="43"/>
  <c r="P4050" i="43"/>
  <c r="P4049" i="43"/>
  <c r="P4048" i="43"/>
  <c r="P4047" i="43"/>
  <c r="P4046" i="43"/>
  <c r="P4045" i="43"/>
  <c r="P4044" i="43"/>
  <c r="P4043" i="43"/>
  <c r="P4042" i="43"/>
  <c r="P4041" i="43"/>
  <c r="P4040" i="43"/>
  <c r="P4039" i="43"/>
  <c r="P4038" i="43"/>
  <c r="P4037" i="43"/>
  <c r="P4036" i="43"/>
  <c r="P4035" i="43"/>
  <c r="P4034" i="43"/>
  <c r="P4033" i="43"/>
  <c r="P4032" i="43"/>
  <c r="P4031" i="43"/>
  <c r="P4030" i="43"/>
  <c r="P4029" i="43"/>
  <c r="P4028" i="43"/>
  <c r="P4027" i="43"/>
  <c r="P4026" i="43"/>
  <c r="P4025" i="43"/>
  <c r="P4024" i="43"/>
  <c r="P4023" i="43"/>
  <c r="P4022" i="43"/>
  <c r="P4021" i="43"/>
  <c r="P4020" i="43"/>
  <c r="P4019" i="43"/>
  <c r="P4018" i="43"/>
  <c r="P4017" i="43"/>
  <c r="P4016" i="43"/>
  <c r="P4015" i="43"/>
  <c r="P4014" i="43"/>
  <c r="P4013" i="43"/>
  <c r="P4012" i="43"/>
  <c r="P4011" i="43"/>
  <c r="P4010" i="43"/>
  <c r="P4009" i="43"/>
  <c r="P4008" i="43"/>
  <c r="P4007" i="43"/>
  <c r="P4006" i="43"/>
  <c r="P4005" i="43"/>
  <c r="P4004" i="43"/>
  <c r="P4003" i="43"/>
  <c r="P4002" i="43"/>
  <c r="P4001" i="43"/>
  <c r="P4000" i="43"/>
  <c r="P3999" i="43"/>
  <c r="P3998" i="43"/>
  <c r="P3997" i="43"/>
  <c r="P3996" i="43"/>
  <c r="P3995" i="43"/>
  <c r="P3994" i="43"/>
  <c r="P3993" i="43"/>
  <c r="P3992" i="43"/>
  <c r="P3991" i="43"/>
  <c r="P3990" i="43"/>
  <c r="P3989" i="43"/>
  <c r="P3988" i="43"/>
  <c r="P3987" i="43"/>
  <c r="P3986" i="43"/>
  <c r="P3985" i="43"/>
  <c r="P3984" i="43"/>
  <c r="P3983" i="43"/>
  <c r="P3982" i="43"/>
  <c r="P3981" i="43"/>
  <c r="P3980" i="43"/>
  <c r="P3979" i="43"/>
  <c r="P3978" i="43"/>
  <c r="P3977" i="43"/>
  <c r="P3976" i="43"/>
  <c r="P3975" i="43"/>
  <c r="P3974" i="43"/>
  <c r="P3973" i="43"/>
  <c r="P3972" i="43"/>
  <c r="P3971" i="43"/>
  <c r="P3970" i="43"/>
  <c r="P3969" i="43"/>
  <c r="P3968" i="43"/>
  <c r="P3967" i="43"/>
  <c r="P3966" i="43"/>
  <c r="P3965" i="43"/>
  <c r="P3964" i="43"/>
  <c r="P3963" i="43"/>
  <c r="P3962" i="43"/>
  <c r="P3961" i="43"/>
  <c r="P3960" i="43"/>
  <c r="P3959" i="43"/>
  <c r="P3958" i="43"/>
  <c r="P3957" i="43"/>
  <c r="P3956" i="43"/>
  <c r="P3955" i="43"/>
  <c r="P3954" i="43"/>
  <c r="P3953" i="43"/>
  <c r="P3952" i="43"/>
  <c r="P3951" i="43"/>
  <c r="P3950" i="43"/>
  <c r="P3949" i="43"/>
  <c r="P3948" i="43"/>
  <c r="P3947" i="43"/>
  <c r="P3946" i="43"/>
  <c r="P3945" i="43"/>
  <c r="P3944" i="43"/>
  <c r="P3943" i="43"/>
  <c r="P3942" i="43"/>
  <c r="P3941" i="43"/>
  <c r="P3940" i="43"/>
  <c r="P3939" i="43"/>
  <c r="P3938" i="43"/>
  <c r="P3937" i="43"/>
  <c r="P3936" i="43"/>
  <c r="P3935" i="43"/>
  <c r="P3934" i="43"/>
  <c r="P3933" i="43"/>
  <c r="P3932" i="43"/>
  <c r="P3931" i="43"/>
  <c r="P3930" i="43"/>
  <c r="P3929" i="43"/>
  <c r="P3928" i="43"/>
  <c r="P3927" i="43"/>
  <c r="P3926" i="43"/>
  <c r="P3925" i="43"/>
  <c r="P3924" i="43"/>
  <c r="P3923" i="43"/>
  <c r="P3922" i="43"/>
  <c r="P3921" i="43"/>
  <c r="P3920" i="43"/>
  <c r="P3919" i="43"/>
  <c r="P3918" i="43"/>
  <c r="P3917" i="43"/>
  <c r="P3916" i="43"/>
  <c r="P3915" i="43"/>
  <c r="P3914" i="43"/>
  <c r="P3913" i="43"/>
  <c r="P3912" i="43"/>
  <c r="P3911" i="43"/>
  <c r="P3910" i="43"/>
  <c r="P3909" i="43"/>
  <c r="P3908" i="43"/>
  <c r="P3907" i="43"/>
  <c r="P3906" i="43"/>
  <c r="P3905" i="43"/>
  <c r="P3904" i="43"/>
  <c r="P3903" i="43"/>
  <c r="P3902" i="43"/>
  <c r="P3901" i="43"/>
  <c r="P3900" i="43"/>
  <c r="P3899" i="43"/>
  <c r="P3898" i="43"/>
  <c r="P3897" i="43"/>
  <c r="P3896" i="43"/>
  <c r="P3895" i="43"/>
  <c r="P3894" i="43"/>
  <c r="P3893" i="43"/>
  <c r="P3892" i="43"/>
  <c r="P3891" i="43"/>
  <c r="P3890" i="43"/>
  <c r="P3889" i="43"/>
  <c r="P3888" i="43"/>
  <c r="P3887" i="43"/>
  <c r="P3886" i="43"/>
  <c r="P3885" i="43"/>
  <c r="P3884" i="43"/>
  <c r="P3883" i="43"/>
  <c r="P3882" i="43"/>
  <c r="P3881" i="43"/>
  <c r="P3880" i="43"/>
  <c r="P3879" i="43"/>
  <c r="P3878" i="43"/>
  <c r="P3877" i="43"/>
  <c r="P3876" i="43"/>
  <c r="P3875" i="43"/>
  <c r="P3874" i="43"/>
  <c r="P3873" i="43"/>
  <c r="P3872" i="43"/>
  <c r="P3871" i="43"/>
  <c r="P3870" i="43"/>
  <c r="P3869" i="43"/>
  <c r="P3868" i="43"/>
  <c r="P3867" i="43"/>
  <c r="P3866" i="43"/>
  <c r="P3865" i="43"/>
  <c r="P3864" i="43"/>
  <c r="P3863" i="43"/>
  <c r="P3862" i="43"/>
  <c r="P3861" i="43"/>
  <c r="P3860" i="43"/>
  <c r="P3859" i="43"/>
  <c r="P3858" i="43"/>
  <c r="P3857" i="43"/>
  <c r="P3856" i="43"/>
  <c r="P3855" i="43"/>
  <c r="P3854" i="43"/>
  <c r="P3853" i="43"/>
  <c r="P3852" i="43"/>
  <c r="P3851" i="43"/>
  <c r="P3850" i="43"/>
  <c r="P3849" i="43"/>
  <c r="P3848" i="43"/>
  <c r="P3847" i="43"/>
  <c r="P3846" i="43"/>
  <c r="P3845" i="43"/>
  <c r="P3844" i="43"/>
  <c r="P3843" i="43"/>
  <c r="P3842" i="43"/>
  <c r="P3841" i="43"/>
  <c r="P3840" i="43"/>
  <c r="P3839" i="43"/>
  <c r="P3838" i="43"/>
  <c r="P3837" i="43"/>
  <c r="P3836" i="43"/>
  <c r="P3835" i="43"/>
  <c r="P3834" i="43"/>
  <c r="P3833" i="43"/>
  <c r="P3832" i="43"/>
  <c r="P3831" i="43"/>
  <c r="P3830" i="43"/>
  <c r="P3829" i="43"/>
  <c r="P3828" i="43"/>
  <c r="P3827" i="43"/>
  <c r="P3826" i="43"/>
  <c r="P3825" i="43"/>
  <c r="P3824" i="43"/>
  <c r="P3823" i="43"/>
  <c r="P3822" i="43"/>
  <c r="P3821" i="43"/>
  <c r="P3820" i="43"/>
  <c r="P3819" i="43"/>
  <c r="P3818" i="43"/>
  <c r="P3817" i="43"/>
  <c r="P3816" i="43"/>
  <c r="P3815" i="43"/>
  <c r="P3814" i="43"/>
  <c r="P3813" i="43"/>
  <c r="P3812" i="43"/>
  <c r="P3811" i="43"/>
  <c r="P3810" i="43"/>
  <c r="P3809" i="43"/>
  <c r="P3808" i="43"/>
  <c r="P3807" i="43"/>
  <c r="P3806" i="43"/>
  <c r="P3805" i="43"/>
  <c r="P3804" i="43"/>
  <c r="P3803" i="43"/>
  <c r="P3802" i="43"/>
  <c r="P3801" i="43"/>
  <c r="P3800" i="43"/>
  <c r="P3799" i="43"/>
  <c r="P3798" i="43"/>
  <c r="P3797" i="43"/>
  <c r="P3796" i="43"/>
  <c r="P3795" i="43"/>
  <c r="P3794" i="43"/>
  <c r="P3793" i="43"/>
  <c r="P3792" i="43"/>
  <c r="P3791" i="43"/>
  <c r="P3790" i="43"/>
  <c r="P3789" i="43"/>
  <c r="P3788" i="43"/>
  <c r="P3787" i="43"/>
  <c r="P3786" i="43"/>
  <c r="P3785" i="43"/>
  <c r="P3784" i="43"/>
  <c r="P3783" i="43"/>
  <c r="P3782" i="43"/>
  <c r="P3781" i="43"/>
  <c r="P3780" i="43"/>
  <c r="P3779" i="43"/>
  <c r="P3778" i="43"/>
  <c r="P3777" i="43"/>
  <c r="P3776" i="43"/>
  <c r="P3775" i="43"/>
  <c r="P3774" i="43"/>
  <c r="P3773" i="43"/>
  <c r="P3772" i="43"/>
  <c r="P3771" i="43"/>
  <c r="P3770" i="43"/>
  <c r="P3769" i="43"/>
  <c r="P3768" i="43"/>
  <c r="P3767" i="43"/>
  <c r="P3766" i="43"/>
  <c r="P3765" i="43"/>
  <c r="P3764" i="43"/>
  <c r="P3763" i="43"/>
  <c r="P3762" i="43"/>
  <c r="P3761" i="43"/>
  <c r="P3760" i="43"/>
  <c r="P3759" i="43"/>
  <c r="P3758" i="43"/>
  <c r="P3757" i="43"/>
  <c r="P3756" i="43"/>
  <c r="P3755" i="43"/>
  <c r="P3754" i="43"/>
  <c r="P3753" i="43"/>
  <c r="P3752" i="43"/>
  <c r="P3751" i="43"/>
  <c r="P3750" i="43"/>
  <c r="P3749" i="43"/>
  <c r="P3748" i="43"/>
  <c r="P3747" i="43"/>
  <c r="P3746" i="43"/>
  <c r="P3745" i="43"/>
  <c r="P3744" i="43"/>
  <c r="P3743" i="43"/>
  <c r="P3742" i="43"/>
  <c r="P3741" i="43"/>
  <c r="P3740" i="43"/>
  <c r="P3739" i="43"/>
  <c r="P3738" i="43"/>
  <c r="P3737" i="43"/>
  <c r="P3736" i="43"/>
  <c r="P3735" i="43"/>
  <c r="P3734" i="43"/>
  <c r="P3733" i="43"/>
  <c r="P3732" i="43"/>
  <c r="P3731" i="43"/>
  <c r="P3730" i="43"/>
  <c r="P3729" i="43"/>
  <c r="P3728" i="43"/>
  <c r="P3727" i="43"/>
  <c r="P3726" i="43"/>
  <c r="P3725" i="43"/>
  <c r="P3724" i="43"/>
  <c r="P3723" i="43"/>
  <c r="P3722" i="43"/>
  <c r="P3721" i="43"/>
  <c r="P3720" i="43"/>
  <c r="P3719" i="43"/>
  <c r="P3718" i="43"/>
  <c r="P3717" i="43"/>
  <c r="P3716" i="43"/>
  <c r="P3715" i="43"/>
  <c r="P3714" i="43"/>
  <c r="P3713" i="43"/>
  <c r="P3712" i="43"/>
  <c r="P3711" i="43"/>
  <c r="P3710" i="43"/>
  <c r="P3709" i="43"/>
  <c r="P3708" i="43"/>
  <c r="P3707" i="43"/>
  <c r="P3706" i="43"/>
  <c r="P3705" i="43"/>
  <c r="P3704" i="43"/>
  <c r="P3703" i="43"/>
  <c r="P3702" i="43"/>
  <c r="P3701" i="43"/>
  <c r="P3700" i="43"/>
  <c r="P3699" i="43"/>
  <c r="P3698" i="43"/>
  <c r="P3697" i="43"/>
  <c r="P3696" i="43"/>
  <c r="P3695" i="43"/>
  <c r="P3694" i="43"/>
  <c r="P3693" i="43"/>
  <c r="P3692" i="43"/>
  <c r="P3691" i="43"/>
  <c r="P3690" i="43"/>
  <c r="P3689" i="43"/>
  <c r="P3688" i="43"/>
  <c r="P3687" i="43"/>
  <c r="P3686" i="43"/>
  <c r="P3685" i="43"/>
  <c r="P3684" i="43"/>
  <c r="P3683" i="43"/>
  <c r="P3682" i="43"/>
  <c r="P3681" i="43"/>
  <c r="P3680" i="43"/>
  <c r="P3679" i="43"/>
  <c r="P3678" i="43"/>
  <c r="P3677" i="43"/>
  <c r="P3676" i="43"/>
  <c r="P3675" i="43"/>
  <c r="P3674" i="43"/>
  <c r="P3673" i="43"/>
  <c r="P3672" i="43"/>
  <c r="P3671" i="43"/>
  <c r="P3670" i="43"/>
  <c r="P3669" i="43"/>
  <c r="P3668" i="43"/>
  <c r="P3667" i="43"/>
  <c r="P3666" i="43"/>
  <c r="P3665" i="43"/>
  <c r="P3664" i="43"/>
  <c r="P3663" i="43"/>
  <c r="P3662" i="43"/>
  <c r="P3661" i="43"/>
  <c r="P3660" i="43"/>
  <c r="P3659" i="43"/>
  <c r="P3658" i="43"/>
  <c r="P3657" i="43"/>
  <c r="P3656" i="43"/>
  <c r="P3655" i="43"/>
  <c r="P3654" i="43"/>
  <c r="P3653" i="43"/>
  <c r="P3652" i="43"/>
  <c r="P3651" i="43"/>
  <c r="P3650" i="43"/>
  <c r="P3649" i="43"/>
  <c r="P3648" i="43"/>
  <c r="P3647" i="43"/>
  <c r="P3646" i="43"/>
  <c r="P3645" i="43"/>
  <c r="P3644" i="43"/>
  <c r="P3643" i="43"/>
  <c r="P3642" i="43"/>
  <c r="P3641" i="43"/>
  <c r="P3640" i="43"/>
  <c r="P3639" i="43"/>
  <c r="P3638" i="43"/>
  <c r="P3637" i="43"/>
  <c r="P3636" i="43"/>
  <c r="P3635" i="43"/>
  <c r="P3634" i="43"/>
  <c r="P3633" i="43"/>
  <c r="P3632" i="43"/>
  <c r="P3631" i="43"/>
  <c r="P3630" i="43"/>
  <c r="P3629" i="43"/>
  <c r="P3628" i="43"/>
  <c r="P3627" i="43"/>
  <c r="P3626" i="43"/>
  <c r="P3625" i="43"/>
  <c r="P3624" i="43"/>
  <c r="P3623" i="43"/>
  <c r="P3622" i="43"/>
  <c r="P3621" i="43"/>
  <c r="P3620" i="43"/>
  <c r="P3619" i="43"/>
  <c r="P3618" i="43"/>
  <c r="P3617" i="43"/>
  <c r="P3616" i="43"/>
  <c r="P3615" i="43"/>
  <c r="P3614" i="43"/>
  <c r="P3613" i="43"/>
  <c r="P3612" i="43"/>
  <c r="P3611" i="43"/>
  <c r="P3610" i="43"/>
  <c r="P3609" i="43"/>
  <c r="P3608" i="43"/>
  <c r="P3607" i="43"/>
  <c r="P3606" i="43"/>
  <c r="P3605" i="43"/>
  <c r="P3604" i="43"/>
  <c r="P3603" i="43"/>
  <c r="P3602" i="43"/>
  <c r="P3601" i="43"/>
  <c r="P3600" i="43"/>
  <c r="P3599" i="43"/>
  <c r="P3598" i="43"/>
  <c r="P3597" i="43"/>
  <c r="P3596" i="43"/>
  <c r="P3595" i="43"/>
  <c r="P3594" i="43"/>
  <c r="P3593" i="43"/>
  <c r="P3592" i="43"/>
  <c r="P3591" i="43"/>
  <c r="P3590" i="43"/>
  <c r="P3589" i="43"/>
  <c r="P3588" i="43"/>
  <c r="P3587" i="43"/>
  <c r="P3586" i="43"/>
  <c r="P3585" i="43"/>
  <c r="P3584" i="43"/>
  <c r="P3583" i="43"/>
  <c r="P3582" i="43"/>
  <c r="P3581" i="43"/>
  <c r="P3580" i="43"/>
  <c r="P3579" i="43"/>
  <c r="P3578" i="43"/>
  <c r="P3577" i="43"/>
  <c r="P3576" i="43"/>
  <c r="P3575" i="43"/>
  <c r="P3574" i="43"/>
  <c r="P3573" i="43"/>
  <c r="P3572" i="43"/>
  <c r="P3571" i="43"/>
  <c r="P3570" i="43"/>
  <c r="P3569" i="43"/>
  <c r="P3568" i="43"/>
  <c r="P3567" i="43"/>
  <c r="P3566" i="43"/>
  <c r="P3565" i="43"/>
  <c r="P3564" i="43"/>
  <c r="P3563" i="43"/>
  <c r="P3562" i="43"/>
  <c r="P3561" i="43"/>
  <c r="P3560" i="43"/>
  <c r="P3559" i="43"/>
  <c r="P3558" i="43"/>
  <c r="P3557" i="43"/>
  <c r="P3556" i="43"/>
  <c r="P3555" i="43"/>
  <c r="P3554" i="43"/>
  <c r="P3553" i="43"/>
  <c r="P3552" i="43"/>
  <c r="P3551" i="43"/>
  <c r="P3550" i="43"/>
  <c r="P3549" i="43"/>
  <c r="P3548" i="43"/>
  <c r="P3547" i="43"/>
  <c r="P3546" i="43"/>
  <c r="P3545" i="43"/>
  <c r="P3544" i="43"/>
  <c r="P3543" i="43"/>
  <c r="P3542" i="43"/>
  <c r="P3541" i="43"/>
  <c r="P3540" i="43"/>
  <c r="P3539" i="43"/>
  <c r="P3538" i="43"/>
  <c r="P3537" i="43"/>
  <c r="P3536" i="43"/>
  <c r="P3535" i="43"/>
  <c r="P3534" i="43"/>
  <c r="P3533" i="43"/>
  <c r="P3532" i="43"/>
  <c r="P3531" i="43"/>
  <c r="P3530" i="43"/>
  <c r="P3529" i="43"/>
  <c r="P3528" i="43"/>
  <c r="P3527" i="43"/>
  <c r="P3526" i="43"/>
  <c r="P3525" i="43"/>
  <c r="P3524" i="43"/>
  <c r="P3523" i="43"/>
  <c r="P3522" i="43"/>
  <c r="P3521" i="43"/>
  <c r="P3520" i="43"/>
  <c r="P3519" i="43"/>
  <c r="P3518" i="43"/>
  <c r="P3517" i="43"/>
  <c r="P3516" i="43"/>
  <c r="P3515" i="43"/>
  <c r="P3514" i="43"/>
  <c r="P3513" i="43"/>
  <c r="P3512" i="43"/>
  <c r="P3511" i="43"/>
  <c r="P3510" i="43"/>
  <c r="P3509" i="43"/>
  <c r="P3508" i="43"/>
  <c r="P3507" i="43"/>
  <c r="P3506" i="43"/>
  <c r="P3505" i="43"/>
  <c r="P3504" i="43"/>
  <c r="P3503" i="43"/>
  <c r="P3502" i="43"/>
  <c r="P3501" i="43"/>
  <c r="P3500" i="43"/>
  <c r="P3499" i="43"/>
  <c r="P3498" i="43"/>
  <c r="P3497" i="43"/>
  <c r="P3496" i="43"/>
  <c r="P3495" i="43"/>
  <c r="P3494" i="43"/>
  <c r="P3493" i="43"/>
  <c r="P3492" i="43"/>
  <c r="P3491" i="43"/>
  <c r="P3490" i="43"/>
  <c r="P3489" i="43"/>
  <c r="P3488" i="43"/>
  <c r="P3487" i="43"/>
  <c r="P3486" i="43"/>
  <c r="P3485" i="43"/>
  <c r="P3484" i="43"/>
  <c r="P3483" i="43"/>
  <c r="P3482" i="43"/>
  <c r="P3481" i="43"/>
  <c r="P3480" i="43"/>
  <c r="P3479" i="43"/>
  <c r="P3478" i="43"/>
  <c r="P3477" i="43"/>
  <c r="P3476" i="43"/>
  <c r="P3475" i="43"/>
  <c r="P3474" i="43"/>
  <c r="P3473" i="43"/>
  <c r="P3472" i="43"/>
  <c r="P3471" i="43"/>
  <c r="P3470" i="43"/>
  <c r="P3469" i="43"/>
  <c r="P3468" i="43"/>
  <c r="P3467" i="43"/>
  <c r="P3466" i="43"/>
  <c r="P3465" i="43"/>
  <c r="P3464" i="43"/>
  <c r="P3463" i="43"/>
  <c r="P3462" i="43"/>
  <c r="P3461" i="43"/>
  <c r="P3460" i="43"/>
  <c r="P3459" i="43"/>
  <c r="P3458" i="43"/>
  <c r="P3457" i="43"/>
  <c r="P3456" i="43"/>
  <c r="P3455" i="43"/>
  <c r="P3454" i="43"/>
  <c r="P3453" i="43"/>
  <c r="P3452" i="43"/>
  <c r="P3451" i="43"/>
  <c r="P3450" i="43"/>
  <c r="P3449" i="43"/>
  <c r="P3448" i="43"/>
  <c r="P3447" i="43"/>
  <c r="P3446" i="43"/>
  <c r="P3445" i="43"/>
  <c r="P3444" i="43"/>
  <c r="P3443" i="43"/>
  <c r="P3442" i="43"/>
  <c r="P3441" i="43"/>
  <c r="P3440" i="43"/>
  <c r="P3439" i="43"/>
  <c r="P3438" i="43"/>
  <c r="P3437" i="43"/>
  <c r="P3436" i="43"/>
  <c r="P3435" i="43"/>
  <c r="P3434" i="43"/>
  <c r="P3433" i="43"/>
  <c r="P3432" i="43"/>
  <c r="P3431" i="43"/>
  <c r="P3430" i="43"/>
  <c r="P3429" i="43"/>
  <c r="P3428" i="43"/>
  <c r="P3427" i="43"/>
  <c r="P3426" i="43"/>
  <c r="P3425" i="43"/>
  <c r="P3424" i="43"/>
  <c r="P3423" i="43"/>
  <c r="P3422" i="43"/>
  <c r="P3421" i="43"/>
  <c r="P3420" i="43"/>
  <c r="P3419" i="43"/>
  <c r="P3418" i="43"/>
  <c r="P3417" i="43"/>
  <c r="P3416" i="43"/>
  <c r="P3415" i="43"/>
  <c r="P3414" i="43"/>
  <c r="P3413" i="43"/>
  <c r="P3412" i="43"/>
  <c r="P3411" i="43"/>
  <c r="P3410" i="43"/>
  <c r="P3409" i="43"/>
  <c r="P3408" i="43"/>
  <c r="P3407" i="43"/>
  <c r="P3406" i="43"/>
  <c r="P3405" i="43"/>
  <c r="P3404" i="43"/>
  <c r="P3403" i="43"/>
  <c r="P3402" i="43"/>
  <c r="P3401" i="43"/>
  <c r="P3400" i="43"/>
  <c r="P3399" i="43"/>
  <c r="P3398" i="43"/>
  <c r="P3397" i="43"/>
  <c r="P3396" i="43"/>
  <c r="P3395" i="43"/>
  <c r="P3394" i="43"/>
  <c r="P3393" i="43"/>
  <c r="P3392" i="43"/>
  <c r="P3391" i="43"/>
  <c r="P3390" i="43"/>
  <c r="P3389" i="43"/>
  <c r="P3388" i="43"/>
  <c r="P3387" i="43"/>
  <c r="P3386" i="43"/>
  <c r="P3385" i="43"/>
  <c r="P3384" i="43"/>
  <c r="P3383" i="43"/>
  <c r="P3382" i="43"/>
  <c r="P3381" i="43"/>
  <c r="P3380" i="43"/>
  <c r="P3379" i="43"/>
  <c r="P3378" i="43"/>
  <c r="P3377" i="43"/>
  <c r="P3376" i="43"/>
  <c r="P3375" i="43"/>
  <c r="P3374" i="43"/>
  <c r="P3373" i="43"/>
  <c r="P3372" i="43"/>
  <c r="P3371" i="43"/>
  <c r="P3370" i="43"/>
  <c r="P3369" i="43"/>
  <c r="P3368" i="43"/>
  <c r="P3367" i="43"/>
  <c r="P3366" i="43"/>
  <c r="P3365" i="43"/>
  <c r="P3364" i="43"/>
  <c r="P3363" i="43"/>
  <c r="P3362" i="43"/>
  <c r="P3361" i="43"/>
  <c r="P3360" i="43"/>
  <c r="P3359" i="43"/>
  <c r="P3358" i="43"/>
  <c r="P3357" i="43"/>
  <c r="P3356" i="43"/>
  <c r="P3355" i="43"/>
  <c r="P3354" i="43"/>
  <c r="P3353" i="43"/>
  <c r="P3352" i="43"/>
  <c r="P3351" i="43"/>
  <c r="P3350" i="43"/>
  <c r="P3349" i="43"/>
  <c r="P3348" i="43"/>
  <c r="P3347" i="43"/>
  <c r="P3346" i="43"/>
  <c r="P3345" i="43"/>
  <c r="P3344" i="43"/>
  <c r="P3343" i="43"/>
  <c r="P3342" i="43"/>
  <c r="P3341" i="43"/>
  <c r="P3340" i="43"/>
  <c r="P3339" i="43"/>
  <c r="P3338" i="43"/>
  <c r="P3337" i="43"/>
  <c r="P3336" i="43"/>
  <c r="P3335" i="43"/>
  <c r="P3334" i="43"/>
  <c r="P3333" i="43"/>
  <c r="P3332" i="43"/>
  <c r="P3331" i="43"/>
  <c r="P3330" i="43"/>
  <c r="P3329" i="43"/>
  <c r="P3328" i="43"/>
  <c r="P3327" i="43"/>
  <c r="P3326" i="43"/>
  <c r="P3325" i="43"/>
  <c r="P3324" i="43"/>
  <c r="P3323" i="43"/>
  <c r="P3322" i="43"/>
  <c r="P3321" i="43"/>
  <c r="P3320" i="43"/>
  <c r="P3319" i="43"/>
  <c r="P3318" i="43"/>
  <c r="P3317" i="43"/>
  <c r="P3316" i="43"/>
  <c r="P3315" i="43"/>
  <c r="P3314" i="43"/>
  <c r="P3313" i="43"/>
  <c r="P3312" i="43"/>
  <c r="P3311" i="43"/>
  <c r="P3310" i="43"/>
  <c r="P3309" i="43"/>
  <c r="P3308" i="43"/>
  <c r="P3307" i="43"/>
  <c r="P3306" i="43"/>
  <c r="P3305" i="43"/>
  <c r="P3304" i="43"/>
  <c r="P3303" i="43"/>
  <c r="P3302" i="43"/>
  <c r="P3301" i="43"/>
  <c r="P3300" i="43"/>
  <c r="P3299" i="43"/>
  <c r="P3298" i="43"/>
  <c r="P3297" i="43"/>
  <c r="P3296" i="43"/>
  <c r="P3295" i="43"/>
  <c r="P3294" i="43"/>
  <c r="P3293" i="43"/>
  <c r="P3292" i="43"/>
  <c r="P3291" i="43"/>
  <c r="P3290" i="43"/>
  <c r="P3289" i="43"/>
  <c r="P3288" i="43"/>
  <c r="P3287" i="43"/>
  <c r="P3286" i="43"/>
  <c r="P3285" i="43"/>
  <c r="P3284" i="43"/>
  <c r="P3283" i="43"/>
  <c r="P3282" i="43"/>
  <c r="P3281" i="43"/>
  <c r="P3280" i="43"/>
  <c r="P3279" i="43"/>
  <c r="P3278" i="43"/>
  <c r="P3277" i="43"/>
  <c r="P3276" i="43"/>
  <c r="P3275" i="43"/>
  <c r="P3274" i="43"/>
  <c r="P3273" i="43"/>
  <c r="P3272" i="43"/>
  <c r="P3271" i="43"/>
  <c r="P3270" i="43"/>
  <c r="P3269" i="43"/>
  <c r="P3268" i="43"/>
  <c r="P3267" i="43"/>
  <c r="P3266" i="43"/>
  <c r="P3265" i="43"/>
  <c r="P3264" i="43"/>
  <c r="P3263" i="43"/>
  <c r="P3262" i="43"/>
  <c r="P3261" i="43"/>
  <c r="P3260" i="43"/>
  <c r="P3259" i="43"/>
  <c r="P3258" i="43"/>
  <c r="P3257" i="43"/>
  <c r="P3256" i="43"/>
  <c r="P3255" i="43"/>
  <c r="P3254" i="43"/>
  <c r="P3253" i="43"/>
  <c r="P3252" i="43"/>
  <c r="P3251" i="43"/>
  <c r="P3250" i="43"/>
  <c r="P3249" i="43"/>
  <c r="P3248" i="43"/>
  <c r="P3247" i="43"/>
  <c r="P3246" i="43"/>
  <c r="P3245" i="43"/>
  <c r="P3244" i="43"/>
  <c r="P3243" i="43"/>
  <c r="P3242" i="43"/>
  <c r="P3241" i="43"/>
  <c r="P3240" i="43"/>
  <c r="P3239" i="43"/>
  <c r="P3238" i="43"/>
  <c r="P3237" i="43"/>
  <c r="P3236" i="43"/>
  <c r="P3235" i="43"/>
  <c r="P3234" i="43"/>
  <c r="P3233" i="43"/>
  <c r="P3232" i="43"/>
  <c r="P3231" i="43"/>
  <c r="P3230" i="43"/>
  <c r="P3229" i="43"/>
  <c r="P3228" i="43"/>
  <c r="P3227" i="43"/>
  <c r="P3226" i="43"/>
  <c r="P3225" i="43"/>
  <c r="P3224" i="43"/>
  <c r="P3223" i="43"/>
  <c r="P3222" i="43"/>
  <c r="P3221" i="43"/>
  <c r="P3220" i="43"/>
  <c r="P3219" i="43"/>
  <c r="P3218" i="43"/>
  <c r="P3217" i="43"/>
  <c r="P3216" i="43"/>
  <c r="P3215" i="43"/>
  <c r="P3214" i="43"/>
  <c r="P3213" i="43"/>
  <c r="P3212" i="43"/>
  <c r="P3211" i="43"/>
  <c r="P3210" i="43"/>
  <c r="P3209" i="43"/>
  <c r="P3208" i="43"/>
  <c r="P3207" i="43"/>
  <c r="P3206" i="43"/>
  <c r="P3205" i="43"/>
  <c r="P3204" i="43"/>
  <c r="P3203" i="43"/>
  <c r="P3202" i="43"/>
  <c r="P3201" i="43"/>
  <c r="P3200" i="43"/>
  <c r="P3199" i="43"/>
  <c r="P3198" i="43"/>
  <c r="P3197" i="43"/>
  <c r="P3196" i="43"/>
  <c r="P3195" i="43"/>
  <c r="P3194" i="43"/>
  <c r="P3193" i="43"/>
  <c r="P3192" i="43"/>
  <c r="P3191" i="43"/>
  <c r="P3190" i="43"/>
  <c r="P3189" i="43"/>
  <c r="P3188" i="43"/>
  <c r="P3187" i="43"/>
  <c r="P3186" i="43"/>
  <c r="P3185" i="43"/>
  <c r="P3184" i="43"/>
  <c r="P3183" i="43"/>
  <c r="P3182" i="43"/>
  <c r="P3181" i="43"/>
  <c r="P3180" i="43"/>
  <c r="P3179" i="43"/>
  <c r="P3178" i="43"/>
  <c r="P3177" i="43"/>
  <c r="P3176" i="43"/>
  <c r="P3175" i="43"/>
  <c r="P3174" i="43"/>
  <c r="P3173" i="43"/>
  <c r="P3172" i="43"/>
  <c r="P3171" i="43"/>
  <c r="P3170" i="43"/>
  <c r="P3169" i="43"/>
  <c r="P3168" i="43"/>
  <c r="P3167" i="43"/>
  <c r="P3166" i="43"/>
  <c r="P3165" i="43"/>
  <c r="P3164" i="43"/>
  <c r="P3163" i="43"/>
  <c r="P3162" i="43"/>
  <c r="P3161" i="43"/>
  <c r="P3160" i="43"/>
  <c r="P3159" i="43"/>
  <c r="P3158" i="43"/>
  <c r="P3157" i="43"/>
  <c r="P3156" i="43"/>
  <c r="P3155" i="43"/>
  <c r="P3154" i="43"/>
  <c r="P3153" i="43"/>
  <c r="P3152" i="43"/>
  <c r="P3151" i="43"/>
  <c r="P3150" i="43"/>
  <c r="P3149" i="43"/>
  <c r="P3148" i="43"/>
  <c r="P3147" i="43"/>
  <c r="P3146" i="43"/>
  <c r="P3145" i="43"/>
  <c r="P3144" i="43"/>
  <c r="P3143" i="43"/>
  <c r="P3142" i="43"/>
  <c r="P3141" i="43"/>
  <c r="P3140" i="43"/>
  <c r="P3139" i="43"/>
  <c r="P3138" i="43"/>
  <c r="P3137" i="43"/>
  <c r="P3136" i="43"/>
  <c r="P3135" i="43"/>
  <c r="P3134" i="43"/>
  <c r="P3133" i="43"/>
  <c r="P3132" i="43"/>
  <c r="P3131" i="43"/>
  <c r="P3130" i="43"/>
  <c r="P3129" i="43"/>
  <c r="P3128" i="43"/>
  <c r="P3127" i="43"/>
  <c r="P3126" i="43"/>
  <c r="P3125" i="43"/>
  <c r="P3124" i="43"/>
  <c r="P3123" i="43"/>
  <c r="P3122" i="43"/>
  <c r="P3121" i="43"/>
  <c r="P3120" i="43"/>
  <c r="P3119" i="43"/>
  <c r="P3118" i="43"/>
  <c r="P3117" i="43"/>
  <c r="P3116" i="43"/>
  <c r="P3115" i="43"/>
  <c r="P3114" i="43"/>
  <c r="P3113" i="43"/>
  <c r="P3112" i="43"/>
  <c r="P3111" i="43"/>
  <c r="P3110" i="43"/>
  <c r="P3109" i="43"/>
  <c r="P3108" i="43"/>
  <c r="P3107" i="43"/>
  <c r="P3106" i="43"/>
  <c r="P3105" i="43"/>
  <c r="P3104" i="43"/>
  <c r="P3103" i="43"/>
  <c r="P3102" i="43"/>
  <c r="P3101" i="43"/>
  <c r="P3100" i="43"/>
  <c r="P3099" i="43"/>
  <c r="P3098" i="43"/>
  <c r="P3097" i="43"/>
  <c r="P3096" i="43"/>
  <c r="P3095" i="43"/>
  <c r="P3094" i="43"/>
  <c r="P3093" i="43"/>
  <c r="P3092" i="43"/>
  <c r="P3091" i="43"/>
  <c r="P3090" i="43"/>
  <c r="P3089" i="43"/>
  <c r="P3088" i="43"/>
  <c r="P3087" i="43"/>
  <c r="P3086" i="43"/>
  <c r="P3085" i="43"/>
  <c r="P3084" i="43"/>
  <c r="P3083" i="43"/>
  <c r="P3082" i="43"/>
  <c r="P3081" i="43"/>
  <c r="P3080" i="43"/>
  <c r="P3079" i="43"/>
  <c r="P3078" i="43"/>
  <c r="P3077" i="43"/>
  <c r="P3076" i="43"/>
  <c r="P3075" i="43"/>
  <c r="P3074" i="43"/>
  <c r="P3073" i="43"/>
  <c r="P3072" i="43"/>
  <c r="P3071" i="43"/>
  <c r="P3070" i="43"/>
  <c r="P3069" i="43"/>
  <c r="P3068" i="43"/>
  <c r="P3067" i="43"/>
  <c r="P3066" i="43"/>
  <c r="P3065" i="43"/>
  <c r="P3064" i="43"/>
  <c r="P3063" i="43"/>
  <c r="P3062" i="43"/>
  <c r="P3061" i="43"/>
  <c r="P3060" i="43"/>
  <c r="P3059" i="43"/>
  <c r="P3058" i="43"/>
  <c r="P3057" i="43"/>
  <c r="P3056" i="43"/>
  <c r="P3055" i="43"/>
  <c r="P3054" i="43"/>
  <c r="P3053" i="43"/>
  <c r="P3052" i="43"/>
  <c r="P3051" i="43"/>
  <c r="P3050" i="43"/>
  <c r="P3049" i="43"/>
  <c r="P3048" i="43"/>
  <c r="P3047" i="43"/>
  <c r="P3046" i="43"/>
  <c r="P3045" i="43"/>
  <c r="P3044" i="43"/>
  <c r="P3043" i="43"/>
  <c r="P3042" i="43"/>
  <c r="P3041" i="43"/>
  <c r="P3040" i="43"/>
  <c r="P3039" i="43"/>
  <c r="P3038" i="43"/>
  <c r="P3037" i="43"/>
  <c r="P3036" i="43"/>
  <c r="P3035" i="43"/>
  <c r="P3034" i="43"/>
  <c r="P3033" i="43"/>
  <c r="P3032" i="43"/>
  <c r="P3031" i="43"/>
  <c r="P3030" i="43"/>
  <c r="P3029" i="43"/>
  <c r="P3028" i="43"/>
  <c r="P3027" i="43"/>
  <c r="P3026" i="43"/>
  <c r="P3025" i="43"/>
  <c r="P3024" i="43"/>
  <c r="P3023" i="43"/>
  <c r="P3022" i="43"/>
  <c r="P3021" i="43"/>
  <c r="P3020" i="43"/>
  <c r="P3019" i="43"/>
  <c r="P3018" i="43"/>
  <c r="P3017" i="43"/>
  <c r="P3016" i="43"/>
  <c r="P3015" i="43"/>
  <c r="P3014" i="43"/>
  <c r="P3013" i="43"/>
  <c r="P3012" i="43"/>
  <c r="P3011" i="43"/>
  <c r="P3010" i="43"/>
  <c r="P3009" i="43"/>
  <c r="P3008" i="43"/>
  <c r="P3007" i="43"/>
  <c r="P3006" i="43"/>
  <c r="P3005" i="43"/>
  <c r="P3004" i="43"/>
  <c r="P3003" i="43"/>
  <c r="P3002" i="43"/>
  <c r="P3001" i="43"/>
  <c r="P3000" i="43"/>
  <c r="P2999" i="43"/>
  <c r="P2998" i="43"/>
  <c r="P2997" i="43"/>
  <c r="P2996" i="43"/>
  <c r="P2995" i="43"/>
  <c r="P2994" i="43"/>
  <c r="P2993" i="43"/>
  <c r="P2992" i="43"/>
  <c r="P2991" i="43"/>
  <c r="P2990" i="43"/>
  <c r="P2989" i="43"/>
  <c r="P2988" i="43"/>
  <c r="P2987" i="43"/>
  <c r="P2986" i="43"/>
  <c r="P2985" i="43"/>
  <c r="P2984" i="43"/>
  <c r="P2983" i="43"/>
  <c r="P2982" i="43"/>
  <c r="P2981" i="43"/>
  <c r="P2980" i="43"/>
  <c r="P2979" i="43"/>
  <c r="P2978" i="43"/>
  <c r="P2977" i="43"/>
  <c r="P2976" i="43"/>
  <c r="P2975" i="43"/>
  <c r="P2974" i="43"/>
  <c r="P2973" i="43"/>
  <c r="P2972" i="43"/>
  <c r="P2971" i="43"/>
  <c r="P2970" i="43"/>
  <c r="P2969" i="43"/>
  <c r="P2968" i="43"/>
  <c r="P2967" i="43"/>
  <c r="P2966" i="43"/>
  <c r="P2965" i="43"/>
  <c r="P2964" i="43"/>
  <c r="P2963" i="43"/>
  <c r="P2962" i="43"/>
  <c r="P2961" i="43"/>
  <c r="P2960" i="43"/>
  <c r="P2959" i="43"/>
  <c r="P2958" i="43"/>
  <c r="P2957" i="43"/>
  <c r="P2956" i="43"/>
  <c r="P2955" i="43"/>
  <c r="P2954" i="43"/>
  <c r="P2953" i="43"/>
  <c r="P2952" i="43"/>
  <c r="P2951" i="43"/>
  <c r="P2950" i="43"/>
  <c r="P2949" i="43"/>
  <c r="P2948" i="43"/>
  <c r="P2947" i="43"/>
  <c r="P2946" i="43"/>
  <c r="P2945" i="43"/>
  <c r="P2944" i="43"/>
  <c r="P2943" i="43"/>
  <c r="P2942" i="43"/>
  <c r="P2941" i="43"/>
  <c r="P2940" i="43"/>
  <c r="P2939" i="43"/>
  <c r="P2938" i="43"/>
  <c r="P2937" i="43"/>
  <c r="P2936" i="43"/>
  <c r="P2935" i="43"/>
  <c r="P2934" i="43"/>
  <c r="P2933" i="43"/>
  <c r="P2932" i="43"/>
  <c r="P2931" i="43"/>
  <c r="P2930" i="43"/>
  <c r="P2929" i="43"/>
  <c r="P2928" i="43"/>
  <c r="P2927" i="43"/>
  <c r="P2926" i="43"/>
  <c r="P2925" i="43"/>
  <c r="P2924" i="43"/>
  <c r="P2923" i="43"/>
  <c r="P2922" i="43"/>
  <c r="P2921" i="43"/>
  <c r="P2920" i="43"/>
  <c r="P2919" i="43"/>
  <c r="P2918" i="43"/>
  <c r="P2917" i="43"/>
  <c r="P2916" i="43"/>
  <c r="P2915" i="43"/>
  <c r="P2914" i="43"/>
  <c r="P2913" i="43"/>
  <c r="P2912" i="43"/>
  <c r="P2911" i="43"/>
  <c r="P2910" i="43"/>
  <c r="P2909" i="43"/>
  <c r="P2908" i="43"/>
  <c r="P2907" i="43"/>
  <c r="P2906" i="43"/>
  <c r="P2905" i="43"/>
  <c r="P2904" i="43"/>
  <c r="P2903" i="43"/>
  <c r="P2902" i="43"/>
  <c r="P2901" i="43"/>
  <c r="P2900" i="43"/>
  <c r="P2899" i="43"/>
  <c r="P2898" i="43"/>
  <c r="P2897" i="43"/>
  <c r="P2896" i="43"/>
  <c r="P2895" i="43"/>
  <c r="P2894" i="43"/>
  <c r="P2893" i="43"/>
  <c r="P2892" i="43"/>
  <c r="P2891" i="43"/>
  <c r="P2890" i="43"/>
  <c r="P2889" i="43"/>
  <c r="P2888" i="43"/>
  <c r="P2887" i="43"/>
  <c r="P2886" i="43"/>
  <c r="P2885" i="43"/>
  <c r="P2884" i="43"/>
  <c r="P2883" i="43"/>
  <c r="P2882" i="43"/>
  <c r="P2881" i="43"/>
  <c r="P2880" i="43"/>
  <c r="P2879" i="43"/>
  <c r="P2878" i="43"/>
  <c r="P2877" i="43"/>
  <c r="P2876" i="43"/>
  <c r="P2875" i="43"/>
  <c r="P2874" i="43"/>
  <c r="P2873" i="43"/>
  <c r="P2872" i="43"/>
  <c r="P2871" i="43"/>
  <c r="P2870" i="43"/>
  <c r="P2869" i="43"/>
  <c r="P2868" i="43"/>
  <c r="P2867" i="43"/>
  <c r="P2866" i="43"/>
  <c r="P2865" i="43"/>
  <c r="P2864" i="43"/>
  <c r="P2863" i="43"/>
  <c r="P2862" i="43"/>
  <c r="P2861" i="43"/>
  <c r="P2860" i="43"/>
  <c r="P2859" i="43"/>
  <c r="P2858" i="43"/>
  <c r="P2857" i="43"/>
  <c r="P2856" i="43"/>
  <c r="P2855" i="43"/>
  <c r="P2854" i="43"/>
  <c r="P2853" i="43"/>
  <c r="P2852" i="43"/>
  <c r="P2851" i="43"/>
  <c r="P2850" i="43"/>
  <c r="P2849" i="43"/>
  <c r="P2848" i="43"/>
  <c r="P2847" i="43"/>
  <c r="P2846" i="43"/>
  <c r="P2845" i="43"/>
  <c r="P2844" i="43"/>
  <c r="P2843" i="43"/>
  <c r="P2842" i="43"/>
  <c r="P2841" i="43"/>
  <c r="P2840" i="43"/>
  <c r="P2839" i="43"/>
  <c r="P2838" i="43"/>
  <c r="P2837" i="43"/>
  <c r="P2836" i="43"/>
  <c r="P2835" i="43"/>
  <c r="P2834" i="43"/>
  <c r="P2833" i="43"/>
  <c r="P2832" i="43"/>
  <c r="P2831" i="43"/>
  <c r="P2830" i="43"/>
  <c r="P2829" i="43"/>
  <c r="P2828" i="43"/>
  <c r="P2827" i="43"/>
  <c r="P2826" i="43"/>
  <c r="P2825" i="43"/>
  <c r="P2824" i="43"/>
  <c r="P2823" i="43"/>
  <c r="P2822" i="43"/>
  <c r="P2821" i="43"/>
  <c r="P2820" i="43"/>
  <c r="P2819" i="43"/>
  <c r="P2818" i="43"/>
  <c r="P2817" i="43"/>
  <c r="P2816" i="43"/>
  <c r="P2815" i="43"/>
  <c r="P2814" i="43"/>
  <c r="P2813" i="43"/>
  <c r="P2812" i="43"/>
  <c r="P2811" i="43"/>
  <c r="P2810" i="43"/>
  <c r="P2809" i="43"/>
  <c r="P2808" i="43"/>
  <c r="P2807" i="43"/>
  <c r="P2806" i="43"/>
  <c r="P2805" i="43"/>
  <c r="P2804" i="43"/>
  <c r="P2803" i="43"/>
  <c r="P2802" i="43"/>
  <c r="P2801" i="43"/>
  <c r="P2800" i="43"/>
  <c r="P2799" i="43"/>
  <c r="P2798" i="43"/>
  <c r="P2797" i="43"/>
  <c r="P2796" i="43"/>
  <c r="P2795" i="43"/>
  <c r="P2794" i="43"/>
  <c r="P2793" i="43"/>
  <c r="P2792" i="43"/>
  <c r="P2791" i="43"/>
  <c r="P2790" i="43"/>
  <c r="P2789" i="43"/>
  <c r="P2788" i="43"/>
  <c r="P2787" i="43"/>
  <c r="P2786" i="43"/>
  <c r="P2785" i="43"/>
  <c r="P2784" i="43"/>
  <c r="P2783" i="43"/>
  <c r="P2782" i="43"/>
  <c r="P2781" i="43"/>
  <c r="P2780" i="43"/>
  <c r="P2779" i="43"/>
  <c r="P2778" i="43"/>
  <c r="P2777" i="43"/>
  <c r="P2776" i="43"/>
  <c r="P2775" i="43"/>
  <c r="P2774" i="43"/>
  <c r="P2773" i="43"/>
  <c r="P2772" i="43"/>
  <c r="P2771" i="43"/>
  <c r="P2770" i="43"/>
  <c r="P2769" i="43"/>
  <c r="P2768" i="43"/>
  <c r="P2767" i="43"/>
  <c r="P2766" i="43"/>
  <c r="P2765" i="43"/>
  <c r="P2764" i="43"/>
  <c r="P2763" i="43"/>
  <c r="P2762" i="43"/>
  <c r="P2761" i="43"/>
  <c r="P2760" i="43"/>
  <c r="P2759" i="43"/>
  <c r="P2758" i="43"/>
  <c r="P2757" i="43"/>
  <c r="P2756" i="43"/>
  <c r="P2755" i="43"/>
  <c r="P2754" i="43"/>
  <c r="P2753" i="43"/>
  <c r="P2752" i="43"/>
  <c r="P2751" i="43"/>
  <c r="P2750" i="43"/>
  <c r="P2749" i="43"/>
  <c r="P2748" i="43"/>
  <c r="P2747" i="43"/>
  <c r="P2746" i="43"/>
  <c r="P2745" i="43"/>
  <c r="P2744" i="43"/>
  <c r="P2743" i="43"/>
  <c r="P2742" i="43"/>
  <c r="P2741" i="43"/>
  <c r="P2740" i="43"/>
  <c r="P2739" i="43"/>
  <c r="P2738" i="43"/>
  <c r="P2737" i="43"/>
  <c r="P2736" i="43"/>
  <c r="P2735" i="43"/>
  <c r="P2734" i="43"/>
  <c r="P2733" i="43"/>
  <c r="P2732" i="43"/>
  <c r="P2731" i="43"/>
  <c r="P2730" i="43"/>
  <c r="P2729" i="43"/>
  <c r="P2728" i="43"/>
  <c r="P2727" i="43"/>
  <c r="P2726" i="43"/>
  <c r="P2725" i="43"/>
  <c r="P2724" i="43"/>
  <c r="P2723" i="43"/>
  <c r="P2722" i="43"/>
  <c r="P2721" i="43"/>
  <c r="P2720" i="43"/>
  <c r="P2719" i="43"/>
  <c r="P2718" i="43"/>
  <c r="P2717" i="43"/>
  <c r="P2716" i="43"/>
  <c r="P2715" i="43"/>
  <c r="P2714" i="43"/>
  <c r="P2713" i="43"/>
  <c r="P2712" i="43"/>
  <c r="P2711" i="43"/>
  <c r="P2710" i="43"/>
  <c r="P2709" i="43"/>
  <c r="P2708" i="43"/>
  <c r="P2707" i="43"/>
  <c r="P2706" i="43"/>
  <c r="P2705" i="43"/>
  <c r="P2704" i="43"/>
  <c r="P2703" i="43"/>
  <c r="P2702" i="43"/>
  <c r="P2701" i="43"/>
  <c r="P2700" i="43"/>
  <c r="P2699" i="43"/>
  <c r="P2698" i="43"/>
  <c r="P2697" i="43"/>
  <c r="P2696" i="43"/>
  <c r="P2695" i="43"/>
  <c r="P2694" i="43"/>
  <c r="P2693" i="43"/>
  <c r="P2692" i="43"/>
  <c r="P2691" i="43"/>
  <c r="P2690" i="43"/>
  <c r="P2689" i="43"/>
  <c r="P2688" i="43"/>
  <c r="P2687" i="43"/>
  <c r="P2686" i="43"/>
  <c r="P2685" i="43"/>
  <c r="P2684" i="43"/>
  <c r="P2683" i="43"/>
  <c r="P2682" i="43"/>
  <c r="P2681" i="43"/>
  <c r="P2680" i="43"/>
  <c r="P2679" i="43"/>
  <c r="P2678" i="43"/>
  <c r="P2677" i="43"/>
  <c r="P2676" i="43"/>
  <c r="P2675" i="43"/>
  <c r="P2674" i="43"/>
  <c r="P2673" i="43"/>
  <c r="P2672" i="43"/>
  <c r="P2671" i="43"/>
  <c r="P2670" i="43"/>
  <c r="P2669" i="43"/>
  <c r="P2668" i="43"/>
  <c r="P2667" i="43"/>
  <c r="P2666" i="43"/>
  <c r="P2665" i="43"/>
  <c r="P2664" i="43"/>
  <c r="P2663" i="43"/>
  <c r="P2662" i="43"/>
  <c r="P2661" i="43"/>
  <c r="P2660" i="43"/>
  <c r="P2659" i="43"/>
  <c r="P2658" i="43"/>
  <c r="P2657" i="43"/>
  <c r="P2656" i="43"/>
  <c r="P2655" i="43"/>
  <c r="P2654" i="43"/>
  <c r="P2653" i="43"/>
  <c r="P2652" i="43"/>
  <c r="P2651" i="43"/>
  <c r="P2650" i="43"/>
  <c r="P2649" i="43"/>
  <c r="P2648" i="43"/>
  <c r="P2647" i="43"/>
  <c r="P2646" i="43"/>
  <c r="P2645" i="43"/>
  <c r="P2644" i="43"/>
  <c r="P2643" i="43"/>
  <c r="P2642" i="43"/>
  <c r="P2641" i="43"/>
  <c r="P2640" i="43"/>
  <c r="P2639" i="43"/>
  <c r="P2638" i="43"/>
  <c r="P2637" i="43"/>
  <c r="P2636" i="43"/>
  <c r="P2635" i="43"/>
  <c r="P2634" i="43"/>
  <c r="P2633" i="43"/>
  <c r="P2632" i="43"/>
  <c r="P2631" i="43"/>
  <c r="P2630" i="43"/>
  <c r="P2629" i="43"/>
  <c r="P2628" i="43"/>
  <c r="P2627" i="43"/>
  <c r="P2626" i="43"/>
  <c r="P2625" i="43"/>
  <c r="P2624" i="43"/>
  <c r="P2623" i="43"/>
  <c r="P2622" i="43"/>
  <c r="P2621" i="43"/>
  <c r="P2620" i="43"/>
  <c r="P2619" i="43"/>
  <c r="P2618" i="43"/>
  <c r="P2617" i="43"/>
  <c r="P2616" i="43"/>
  <c r="P2615" i="43"/>
  <c r="P2614" i="43"/>
  <c r="P2613" i="43"/>
  <c r="P2612" i="43"/>
  <c r="P2611" i="43"/>
  <c r="P2610" i="43"/>
  <c r="P2609" i="43"/>
  <c r="P2608" i="43"/>
  <c r="P2607" i="43"/>
  <c r="P2606" i="43"/>
  <c r="P2605" i="43"/>
  <c r="P2604" i="43"/>
  <c r="P2603" i="43"/>
  <c r="P2602" i="43"/>
  <c r="P2601" i="43"/>
  <c r="P2600" i="43"/>
  <c r="P2599" i="43"/>
  <c r="P2598" i="43"/>
  <c r="P2597" i="43"/>
  <c r="P2596" i="43"/>
  <c r="P2595" i="43"/>
  <c r="P2594" i="43"/>
  <c r="P2593" i="43"/>
  <c r="P2592" i="43"/>
  <c r="P2591" i="43"/>
  <c r="P2590" i="43"/>
  <c r="P2589" i="43"/>
  <c r="P2588" i="43"/>
  <c r="P2587" i="43"/>
  <c r="P2586" i="43"/>
  <c r="P2585" i="43"/>
  <c r="P2584" i="43"/>
  <c r="P2583" i="43"/>
  <c r="P2582" i="43"/>
  <c r="P2581" i="43"/>
  <c r="P2580" i="43"/>
  <c r="P2579" i="43"/>
  <c r="P2578" i="43"/>
  <c r="P2577" i="43"/>
  <c r="P2576" i="43"/>
  <c r="P2575" i="43"/>
  <c r="P2574" i="43"/>
  <c r="P2573" i="43"/>
  <c r="P2572" i="43"/>
  <c r="P2571" i="43"/>
  <c r="P2570" i="43"/>
  <c r="P2569" i="43"/>
  <c r="P2568" i="43"/>
  <c r="P2567" i="43"/>
  <c r="P2566" i="43"/>
  <c r="P2565" i="43"/>
  <c r="P2564" i="43"/>
  <c r="P2563" i="43"/>
  <c r="P2562" i="43"/>
  <c r="P2561" i="43"/>
  <c r="P2560" i="43"/>
  <c r="P2559" i="43"/>
  <c r="P2558" i="43"/>
  <c r="P2557" i="43"/>
  <c r="P2556" i="43"/>
  <c r="P2555" i="43"/>
  <c r="P2554" i="43"/>
  <c r="P2553" i="43"/>
  <c r="P2552" i="43"/>
  <c r="P2551" i="43"/>
  <c r="P2550" i="43"/>
  <c r="P2549" i="43"/>
  <c r="P2548" i="43"/>
  <c r="P2547" i="43"/>
  <c r="P2546" i="43"/>
  <c r="P2545" i="43"/>
  <c r="P2544" i="43"/>
  <c r="P2543" i="43"/>
  <c r="P2542" i="43"/>
  <c r="P2541" i="43"/>
  <c r="P2540" i="43"/>
  <c r="P2539" i="43"/>
  <c r="P2538" i="43"/>
  <c r="P2537" i="43"/>
  <c r="P2536" i="43"/>
  <c r="P2535" i="43"/>
  <c r="P2534" i="43"/>
  <c r="P2533" i="43"/>
  <c r="P2532" i="43"/>
  <c r="P2531" i="43"/>
  <c r="P2530" i="43"/>
  <c r="P2529" i="43"/>
  <c r="P2528" i="43"/>
  <c r="P2527" i="43"/>
  <c r="P2526" i="43"/>
  <c r="P2525" i="43"/>
  <c r="P2524" i="43"/>
  <c r="P2523" i="43"/>
  <c r="P2522" i="43"/>
  <c r="P2521" i="43"/>
  <c r="P2520" i="43"/>
  <c r="P2519" i="43"/>
  <c r="P2518" i="43"/>
  <c r="P2517" i="43"/>
  <c r="P2516" i="43"/>
  <c r="P2515" i="43"/>
  <c r="P2514" i="43"/>
  <c r="P2513" i="43"/>
  <c r="P2512" i="43"/>
  <c r="P2511" i="43"/>
  <c r="P2510" i="43"/>
  <c r="P2509" i="43"/>
  <c r="P2508" i="43"/>
  <c r="P2507" i="43"/>
  <c r="P2506" i="43"/>
  <c r="P2505" i="43"/>
  <c r="P2504" i="43"/>
  <c r="P2503" i="43"/>
  <c r="P2502" i="43"/>
  <c r="P2501" i="43"/>
  <c r="P2500" i="43"/>
  <c r="P2499" i="43"/>
  <c r="P2498" i="43"/>
  <c r="P2497" i="43"/>
  <c r="P2496" i="43"/>
  <c r="P2495" i="43"/>
  <c r="P2494" i="43"/>
  <c r="P2493" i="43"/>
  <c r="P2492" i="43"/>
  <c r="P2491" i="43"/>
  <c r="P2490" i="43"/>
  <c r="P2489" i="43"/>
  <c r="P2488" i="43"/>
  <c r="P2487" i="43"/>
  <c r="P2486" i="43"/>
  <c r="P2485" i="43"/>
  <c r="P2484" i="43"/>
  <c r="P2483" i="43"/>
  <c r="P2482" i="43"/>
  <c r="P2481" i="43"/>
  <c r="P2480" i="43"/>
  <c r="P2479" i="43"/>
  <c r="P2478" i="43"/>
  <c r="P2477" i="43"/>
  <c r="P2476" i="43"/>
  <c r="P2475" i="43"/>
  <c r="P2474" i="43"/>
  <c r="P2473" i="43"/>
  <c r="P2472" i="43"/>
  <c r="P2471" i="43"/>
  <c r="P2470" i="43"/>
  <c r="P2469" i="43"/>
  <c r="P2468" i="43"/>
  <c r="P2467" i="43"/>
  <c r="P2466" i="43"/>
  <c r="P2465" i="43"/>
  <c r="P2464" i="43"/>
  <c r="P2463" i="43"/>
  <c r="P2462" i="43"/>
  <c r="P2461" i="43"/>
  <c r="P2460" i="43"/>
  <c r="P2459" i="43"/>
  <c r="P2458" i="43"/>
  <c r="P2457" i="43"/>
  <c r="P2456" i="43"/>
  <c r="P2455" i="43"/>
  <c r="P2454" i="43"/>
  <c r="P2453" i="43"/>
  <c r="P2452" i="43"/>
  <c r="P2451" i="43"/>
  <c r="P2450" i="43"/>
  <c r="P2449" i="43"/>
  <c r="P2448" i="43"/>
  <c r="P2447" i="43"/>
  <c r="P2446" i="43"/>
  <c r="P2445" i="43"/>
  <c r="P2444" i="43"/>
  <c r="P2443" i="43"/>
  <c r="P2442" i="43"/>
  <c r="P2441" i="43"/>
  <c r="P2440" i="43"/>
  <c r="P2439" i="43"/>
  <c r="P2438" i="43"/>
  <c r="P2437" i="43"/>
  <c r="P2436" i="43"/>
  <c r="P2435" i="43"/>
  <c r="P2434" i="43"/>
  <c r="P2433" i="43"/>
  <c r="P2432" i="43"/>
  <c r="P2431" i="43"/>
  <c r="P2430" i="43"/>
  <c r="P2429" i="43"/>
  <c r="P2428" i="43"/>
  <c r="P2427" i="43"/>
  <c r="P2426" i="43"/>
  <c r="P2425" i="43"/>
  <c r="P2424" i="43"/>
  <c r="P2423" i="43"/>
  <c r="P2422" i="43"/>
  <c r="P2421" i="43"/>
  <c r="P2420" i="43"/>
  <c r="P2419" i="43"/>
  <c r="P2418" i="43"/>
  <c r="P2417" i="43"/>
  <c r="P2416" i="43"/>
  <c r="P2415" i="43"/>
  <c r="P2414" i="43"/>
  <c r="P2413" i="43"/>
  <c r="P2412" i="43"/>
  <c r="P2411" i="43"/>
  <c r="P2410" i="43"/>
  <c r="P2409" i="43"/>
  <c r="P2408" i="43"/>
  <c r="P2407" i="43"/>
  <c r="P2406" i="43"/>
  <c r="P2405" i="43"/>
  <c r="P2404" i="43"/>
  <c r="P2403" i="43"/>
  <c r="P2402" i="43"/>
  <c r="P2401" i="43"/>
  <c r="P2400" i="43"/>
  <c r="P2399" i="43"/>
  <c r="P2398" i="43"/>
  <c r="P2397" i="43"/>
  <c r="P2396" i="43"/>
  <c r="P2395" i="43"/>
  <c r="P2394" i="43"/>
  <c r="P2393" i="43"/>
  <c r="P2392" i="43"/>
  <c r="P2391" i="43"/>
  <c r="P2390" i="43"/>
  <c r="P2389" i="43"/>
  <c r="P2388" i="43"/>
  <c r="P2387" i="43"/>
  <c r="P2386" i="43"/>
  <c r="P2385" i="43"/>
  <c r="P2384" i="43"/>
  <c r="P2383" i="43"/>
  <c r="P2382" i="43"/>
  <c r="P2381" i="43"/>
  <c r="P2380" i="43"/>
  <c r="P2379" i="43"/>
  <c r="P2378" i="43"/>
  <c r="P2377" i="43"/>
  <c r="P2376" i="43"/>
  <c r="P2375" i="43"/>
  <c r="P2374" i="43"/>
  <c r="P2373" i="43"/>
  <c r="P2372" i="43"/>
  <c r="P2371" i="43"/>
  <c r="P2370" i="43"/>
  <c r="P2369" i="43"/>
  <c r="P2368" i="43"/>
  <c r="P2367" i="43"/>
  <c r="P2366" i="43"/>
  <c r="P2365" i="43"/>
  <c r="P2364" i="43"/>
  <c r="P2363" i="43"/>
  <c r="P2362" i="43"/>
  <c r="P2361" i="43"/>
  <c r="P2360" i="43"/>
  <c r="P2359" i="43"/>
  <c r="P2358" i="43"/>
  <c r="P2357" i="43"/>
  <c r="P2356" i="43"/>
  <c r="P2355" i="43"/>
  <c r="P2354" i="43"/>
  <c r="P2353" i="43"/>
  <c r="P2352" i="43"/>
  <c r="P2351" i="43"/>
  <c r="P2350" i="43"/>
  <c r="P2349" i="43"/>
  <c r="P2348" i="43"/>
  <c r="P2347" i="43"/>
  <c r="P2346" i="43"/>
  <c r="P2345" i="43"/>
  <c r="P2344" i="43"/>
  <c r="P2343" i="43"/>
  <c r="P2342" i="43"/>
  <c r="P2341" i="43"/>
  <c r="P2340" i="43"/>
  <c r="P2339" i="43"/>
  <c r="P2338" i="43"/>
  <c r="P2337" i="43"/>
  <c r="P2336" i="43"/>
  <c r="P2335" i="43"/>
  <c r="P2334" i="43"/>
  <c r="P2333" i="43"/>
  <c r="P2332" i="43"/>
  <c r="P2331" i="43"/>
  <c r="P2330" i="43"/>
  <c r="P2329" i="43"/>
  <c r="P2328" i="43"/>
  <c r="P2327" i="43"/>
  <c r="P2326" i="43"/>
  <c r="P2325" i="43"/>
  <c r="P2324" i="43"/>
  <c r="P2323" i="43"/>
  <c r="P2322" i="43"/>
  <c r="P2321" i="43"/>
  <c r="P2320" i="43"/>
  <c r="P2319" i="43"/>
  <c r="P2318" i="43"/>
  <c r="P2317" i="43"/>
  <c r="P2316" i="43"/>
  <c r="P2315" i="43"/>
  <c r="P2314" i="43"/>
  <c r="P2313" i="43"/>
  <c r="P2312" i="43"/>
  <c r="P2311" i="43"/>
  <c r="P2310" i="43"/>
  <c r="P2309" i="43"/>
  <c r="P2308" i="43"/>
  <c r="P2307" i="43"/>
  <c r="P2306" i="43"/>
  <c r="P2305" i="43"/>
  <c r="P2304" i="43"/>
  <c r="P2303" i="43"/>
  <c r="P2302" i="43"/>
  <c r="P2301" i="43"/>
  <c r="P2300" i="43"/>
  <c r="P2299" i="43"/>
  <c r="P2298" i="43"/>
  <c r="P2297" i="43"/>
  <c r="P2296" i="43"/>
  <c r="P2295" i="43"/>
  <c r="P2294" i="43"/>
  <c r="P2293" i="43"/>
  <c r="P2292" i="43"/>
  <c r="P2291" i="43"/>
  <c r="P2290" i="43"/>
  <c r="P2289" i="43"/>
  <c r="P2288" i="43"/>
  <c r="P2287" i="43"/>
  <c r="P2286" i="43"/>
  <c r="P2285" i="43"/>
  <c r="P2284" i="43"/>
  <c r="P2283" i="43"/>
  <c r="P2282" i="43"/>
  <c r="P2281" i="43"/>
  <c r="P2280" i="43"/>
  <c r="P2279" i="43"/>
  <c r="P2278" i="43"/>
  <c r="P2277" i="43"/>
  <c r="P2276" i="43"/>
  <c r="P2275" i="43"/>
  <c r="P2274" i="43"/>
  <c r="P2273" i="43"/>
  <c r="P2272" i="43"/>
  <c r="P2271" i="43"/>
  <c r="P2270" i="43"/>
  <c r="P2269" i="43"/>
  <c r="P2268" i="43"/>
  <c r="P2267" i="43"/>
  <c r="P2266" i="43"/>
  <c r="P2265" i="43"/>
  <c r="P2264" i="43"/>
  <c r="P2263" i="43"/>
  <c r="P2262" i="43"/>
  <c r="P2261" i="43"/>
  <c r="P2260" i="43"/>
  <c r="P2259" i="43"/>
  <c r="P2258" i="43"/>
  <c r="P2257" i="43"/>
  <c r="P2256" i="43"/>
  <c r="P2255" i="43"/>
  <c r="P2254" i="43"/>
  <c r="P2253" i="43"/>
  <c r="P2252" i="43"/>
  <c r="P2251" i="43"/>
  <c r="P2250" i="43"/>
  <c r="P2249" i="43"/>
  <c r="P2248" i="43"/>
  <c r="P2247" i="43"/>
  <c r="P2246" i="43"/>
  <c r="P2245" i="43"/>
  <c r="P2244" i="43"/>
  <c r="P2243" i="43"/>
  <c r="P2242" i="43"/>
  <c r="P2241" i="43"/>
  <c r="P2240" i="43"/>
  <c r="P2239" i="43"/>
  <c r="P2238" i="43"/>
  <c r="P2237" i="43"/>
  <c r="P2236" i="43"/>
  <c r="P2235" i="43"/>
  <c r="P2234" i="43"/>
  <c r="P2233" i="43"/>
  <c r="P2232" i="43"/>
  <c r="P2231" i="43"/>
  <c r="P2230" i="43"/>
  <c r="P2229" i="43"/>
  <c r="P2228" i="43"/>
  <c r="P2227" i="43"/>
  <c r="P2226" i="43"/>
  <c r="P2225" i="43"/>
  <c r="P2224" i="43"/>
  <c r="P2223" i="43"/>
  <c r="P2222" i="43"/>
  <c r="P2221" i="43"/>
  <c r="P2220" i="43"/>
  <c r="P2219" i="43"/>
  <c r="P2218" i="43"/>
  <c r="P2217" i="43"/>
  <c r="P2216" i="43"/>
  <c r="P2215" i="43"/>
  <c r="P2214" i="43"/>
  <c r="P2213" i="43"/>
  <c r="P2212" i="43"/>
  <c r="P2211" i="43"/>
  <c r="P2210" i="43"/>
  <c r="P2209" i="43"/>
  <c r="P2208" i="43"/>
  <c r="P2207" i="43"/>
  <c r="P2206" i="43"/>
  <c r="P2205" i="43"/>
  <c r="P2204" i="43"/>
  <c r="P2203" i="43"/>
  <c r="P2202" i="43"/>
  <c r="P2201" i="43"/>
  <c r="P2200" i="43"/>
  <c r="P2199" i="43"/>
  <c r="P2198" i="43"/>
  <c r="P2197" i="43"/>
  <c r="P2196" i="43"/>
  <c r="P2195" i="43"/>
  <c r="P2194" i="43"/>
  <c r="P2193" i="43"/>
  <c r="P2192" i="43"/>
  <c r="P2191" i="43"/>
  <c r="P2190" i="43"/>
  <c r="P2189" i="43"/>
  <c r="P2188" i="43"/>
  <c r="P2187" i="43"/>
  <c r="P2186" i="43"/>
  <c r="P2185" i="43"/>
  <c r="P2184" i="43"/>
  <c r="P2183" i="43"/>
  <c r="P2182" i="43"/>
  <c r="P2181" i="43"/>
  <c r="P2180" i="43"/>
  <c r="P2179" i="43"/>
  <c r="P2178" i="43"/>
  <c r="P2177" i="43"/>
  <c r="P2176" i="43"/>
  <c r="P2175" i="43"/>
  <c r="P2174" i="43"/>
  <c r="P2173" i="43"/>
  <c r="P2172" i="43"/>
  <c r="P2171" i="43"/>
  <c r="P2170" i="43"/>
  <c r="P2169" i="43"/>
  <c r="P2168" i="43"/>
  <c r="P2167" i="43"/>
  <c r="P2166" i="43"/>
  <c r="P2165" i="43"/>
  <c r="P2164" i="43"/>
  <c r="P2163" i="43"/>
  <c r="P2162" i="43"/>
  <c r="P2161" i="43"/>
  <c r="P2160" i="43"/>
  <c r="P2159" i="43"/>
  <c r="P2158" i="43"/>
  <c r="P2157" i="43"/>
  <c r="P2156" i="43"/>
  <c r="P2155" i="43"/>
  <c r="P2154" i="43"/>
  <c r="P2153" i="43"/>
  <c r="P2152" i="43"/>
  <c r="P2151" i="43"/>
  <c r="P2150" i="43"/>
  <c r="P2149" i="43"/>
  <c r="P2148" i="43"/>
  <c r="P2147" i="43"/>
  <c r="P2146" i="43"/>
  <c r="P2145" i="43"/>
  <c r="P2144" i="43"/>
  <c r="P2143" i="43"/>
  <c r="P2142" i="43"/>
  <c r="P2141" i="43"/>
  <c r="P2140" i="43"/>
  <c r="P2139" i="43"/>
  <c r="P2138" i="43"/>
  <c r="P2137" i="43"/>
  <c r="P2136" i="43"/>
  <c r="P2135" i="43"/>
  <c r="P2134" i="43"/>
  <c r="P2133" i="43"/>
  <c r="P2132" i="43"/>
  <c r="P2131" i="43"/>
  <c r="P2130" i="43"/>
  <c r="P2129" i="43"/>
  <c r="P2128" i="43"/>
  <c r="P2127" i="43"/>
  <c r="P2126" i="43"/>
  <c r="P2125" i="43"/>
  <c r="P2124" i="43"/>
  <c r="P2123" i="43"/>
  <c r="P2122" i="43"/>
  <c r="P2121" i="43"/>
  <c r="P2120" i="43"/>
  <c r="P2119" i="43"/>
  <c r="P2118" i="43"/>
  <c r="P2117" i="43"/>
  <c r="P2116" i="43"/>
  <c r="P2115" i="43"/>
  <c r="P2114" i="43"/>
  <c r="P2113" i="43"/>
  <c r="P2112" i="43"/>
  <c r="P2111" i="43"/>
  <c r="P2110" i="43"/>
  <c r="P2109" i="43"/>
  <c r="P2108" i="43"/>
  <c r="P2107" i="43"/>
  <c r="P2106" i="43"/>
  <c r="P2105" i="43"/>
  <c r="P2104" i="43"/>
  <c r="P2103" i="43"/>
  <c r="P2102" i="43"/>
  <c r="P2101" i="43"/>
  <c r="P2100" i="43"/>
  <c r="P2099" i="43"/>
  <c r="P2098" i="43"/>
  <c r="P2097" i="43"/>
  <c r="P2096" i="43"/>
  <c r="P2095" i="43"/>
  <c r="P2094" i="43"/>
  <c r="P2093" i="43"/>
  <c r="P2092" i="43"/>
  <c r="P2091" i="43"/>
  <c r="P2090" i="43"/>
  <c r="P2089" i="43"/>
  <c r="P2088" i="43"/>
  <c r="P2087" i="43"/>
  <c r="P2086" i="43"/>
  <c r="P2085" i="43"/>
  <c r="P2084" i="43"/>
  <c r="P2083" i="43"/>
  <c r="P2082" i="43"/>
  <c r="P2081" i="43"/>
  <c r="P2080" i="43"/>
  <c r="P2079" i="43"/>
  <c r="P2078" i="43"/>
  <c r="P2077" i="43"/>
  <c r="P2076" i="43"/>
  <c r="P2075" i="43"/>
  <c r="P2074" i="43"/>
  <c r="P2073" i="43"/>
  <c r="P2072" i="43"/>
  <c r="P2071" i="43"/>
  <c r="P2070" i="43"/>
  <c r="P2069" i="43"/>
  <c r="P2068" i="43"/>
  <c r="P2067" i="43"/>
  <c r="P2066" i="43"/>
  <c r="P2065" i="43"/>
  <c r="P2064" i="43"/>
  <c r="P2063" i="43"/>
  <c r="P2062" i="43"/>
  <c r="P2061" i="43"/>
  <c r="P2060" i="43"/>
  <c r="P2059" i="43"/>
  <c r="P2058" i="43"/>
  <c r="P2057" i="43"/>
  <c r="P2056" i="43"/>
  <c r="P2055" i="43"/>
  <c r="P2054" i="43"/>
  <c r="P2053" i="43"/>
  <c r="P2052" i="43"/>
  <c r="P2051" i="43"/>
  <c r="P2050" i="43"/>
  <c r="P2049" i="43"/>
  <c r="P2048" i="43"/>
  <c r="P2047" i="43"/>
  <c r="P2046" i="43"/>
  <c r="P2045" i="43"/>
  <c r="P2044" i="43"/>
  <c r="P2043" i="43"/>
  <c r="P2042" i="43"/>
  <c r="P2041" i="43"/>
  <c r="P2040" i="43"/>
  <c r="P2039" i="43"/>
  <c r="P2038" i="43"/>
  <c r="P2037" i="43"/>
  <c r="P2036" i="43"/>
  <c r="P2035" i="43"/>
  <c r="P2034" i="43"/>
  <c r="P2033" i="43"/>
  <c r="P2032" i="43"/>
  <c r="P2031" i="43"/>
  <c r="P2030" i="43"/>
  <c r="P2029" i="43"/>
  <c r="P2028" i="43"/>
  <c r="P2027" i="43"/>
  <c r="P2026" i="43"/>
  <c r="P2025" i="43"/>
  <c r="P2024" i="43"/>
  <c r="P2023" i="43"/>
  <c r="P2022" i="43"/>
  <c r="P2021" i="43"/>
  <c r="P2020" i="43"/>
  <c r="P2019" i="43"/>
  <c r="P2018" i="43"/>
  <c r="P2017" i="43"/>
  <c r="P2016" i="43"/>
  <c r="P2015" i="43"/>
  <c r="P2014" i="43"/>
  <c r="P2013" i="43"/>
  <c r="P2012" i="43"/>
  <c r="P2011" i="43"/>
  <c r="P2010" i="43"/>
  <c r="P2009" i="43"/>
  <c r="P2008" i="43"/>
  <c r="P2007" i="43"/>
  <c r="P2006" i="43"/>
  <c r="P2005" i="43"/>
  <c r="P2004" i="43"/>
  <c r="P2003" i="43"/>
  <c r="P2002" i="43"/>
  <c r="P2001" i="43"/>
  <c r="P2000" i="43"/>
  <c r="P1999" i="43"/>
  <c r="P1998" i="43"/>
  <c r="P1997" i="43"/>
  <c r="P1996" i="43"/>
  <c r="P1995" i="43"/>
  <c r="P1994" i="43"/>
  <c r="P1993" i="43"/>
  <c r="P1992" i="43"/>
  <c r="P1991" i="43"/>
  <c r="P1990" i="43"/>
  <c r="P1989" i="43"/>
  <c r="P1988" i="43"/>
  <c r="P1987" i="43"/>
  <c r="P1986" i="43"/>
  <c r="P1985" i="43"/>
  <c r="P1984" i="43"/>
  <c r="P1983" i="43"/>
  <c r="P1982" i="43"/>
  <c r="P1981" i="43"/>
  <c r="P1980" i="43"/>
  <c r="P1979" i="43"/>
  <c r="P1978" i="43"/>
  <c r="P1977" i="43"/>
  <c r="P1976" i="43"/>
  <c r="P1975" i="43"/>
  <c r="P1974" i="43"/>
  <c r="P1973" i="43"/>
  <c r="P1972" i="43"/>
  <c r="P1971" i="43"/>
  <c r="P1970" i="43"/>
  <c r="P1969" i="43"/>
  <c r="P1968" i="43"/>
  <c r="P1967" i="43"/>
  <c r="P1966" i="43"/>
  <c r="P1965" i="43"/>
  <c r="P1964" i="43"/>
  <c r="P1963" i="43"/>
  <c r="P1962" i="43"/>
  <c r="P1961" i="43"/>
  <c r="P1960" i="43"/>
  <c r="P1959" i="43"/>
  <c r="P1958" i="43"/>
  <c r="P1957" i="43"/>
  <c r="P1956" i="43"/>
  <c r="P1955" i="43"/>
  <c r="P1954" i="43"/>
  <c r="P1953" i="43"/>
  <c r="P1952" i="43"/>
  <c r="P1951" i="43"/>
  <c r="P1950" i="43"/>
  <c r="P1949" i="43"/>
  <c r="P1948" i="43"/>
  <c r="P1947" i="43"/>
  <c r="P1946" i="43"/>
  <c r="P1945" i="43"/>
  <c r="P1944" i="43"/>
  <c r="P1943" i="43"/>
  <c r="P1942" i="43"/>
  <c r="P1941" i="43"/>
  <c r="P1940" i="43"/>
  <c r="P1939" i="43"/>
  <c r="P1938" i="43"/>
  <c r="P1937" i="43"/>
  <c r="P1936" i="43"/>
  <c r="P1935" i="43"/>
  <c r="P1934" i="43"/>
  <c r="P1933" i="43"/>
  <c r="P1932" i="43"/>
  <c r="P1931" i="43"/>
  <c r="P1930" i="43"/>
  <c r="P1929" i="43"/>
  <c r="P1928" i="43"/>
  <c r="P1927" i="43"/>
  <c r="P1926" i="43"/>
  <c r="P1925" i="43"/>
  <c r="P1924" i="43"/>
  <c r="P1923" i="43"/>
  <c r="P1922" i="43"/>
  <c r="P1921" i="43"/>
  <c r="P1920" i="43"/>
  <c r="P1919" i="43"/>
  <c r="P1918" i="43"/>
  <c r="P1917" i="43"/>
  <c r="P1916" i="43"/>
  <c r="P1915" i="43"/>
  <c r="P1914" i="43"/>
  <c r="P1913" i="43"/>
  <c r="P1912" i="43"/>
  <c r="P1911" i="43"/>
  <c r="P1910" i="43"/>
  <c r="P1909" i="43"/>
  <c r="P1908" i="43"/>
  <c r="P1907" i="43"/>
  <c r="P1906" i="43"/>
  <c r="P1905" i="43"/>
  <c r="P1904" i="43"/>
  <c r="P1903" i="43"/>
  <c r="P1902" i="43"/>
  <c r="P1901" i="43"/>
  <c r="P1900" i="43"/>
  <c r="P1899" i="43"/>
  <c r="P1898" i="43"/>
  <c r="P1897" i="43"/>
  <c r="P1896" i="43"/>
  <c r="P1895" i="43"/>
  <c r="P1894" i="43"/>
  <c r="P1893" i="43"/>
  <c r="P1892" i="43"/>
  <c r="P1891" i="43"/>
  <c r="P1890" i="43"/>
  <c r="P1889" i="43"/>
  <c r="P1888" i="43"/>
  <c r="P1887" i="43"/>
  <c r="P1886" i="43"/>
  <c r="P1885" i="43"/>
  <c r="P1884" i="43"/>
  <c r="P1883" i="43"/>
  <c r="P1882" i="43"/>
  <c r="P1881" i="43"/>
  <c r="P1880" i="43"/>
  <c r="P1879" i="43"/>
  <c r="P1878" i="43"/>
  <c r="P1877" i="43"/>
  <c r="P1876" i="43"/>
  <c r="P1875" i="43"/>
  <c r="P1874" i="43"/>
  <c r="P1873" i="43"/>
  <c r="P1872" i="43"/>
  <c r="P1871" i="43"/>
  <c r="P1870" i="43"/>
  <c r="P1869" i="43"/>
  <c r="P1868" i="43"/>
  <c r="P1867" i="43"/>
  <c r="P1866" i="43"/>
  <c r="P1865" i="43"/>
  <c r="P1864" i="43"/>
  <c r="P1863" i="43"/>
  <c r="P1862" i="43"/>
  <c r="P1861" i="43"/>
  <c r="P1860" i="43"/>
  <c r="P1859" i="43"/>
  <c r="P1858" i="43"/>
  <c r="P1857" i="43"/>
  <c r="P1856" i="43"/>
  <c r="P1855" i="43"/>
  <c r="P1854" i="43"/>
  <c r="P1853" i="43"/>
  <c r="P1852" i="43"/>
  <c r="P1851" i="43"/>
  <c r="P1850" i="43"/>
  <c r="P1849" i="43"/>
  <c r="P1848" i="43"/>
  <c r="P1847" i="43"/>
  <c r="P1846" i="43"/>
  <c r="P1845" i="43"/>
  <c r="P1844" i="43"/>
  <c r="P1843" i="43"/>
  <c r="P1842" i="43"/>
  <c r="P1841" i="43"/>
  <c r="P1840" i="43"/>
  <c r="P1839" i="43"/>
  <c r="P1838" i="43"/>
  <c r="P1837" i="43"/>
  <c r="P1836" i="43"/>
  <c r="P1835" i="43"/>
  <c r="P1834" i="43"/>
  <c r="P1833" i="43"/>
  <c r="P1832" i="43"/>
  <c r="P1831" i="43"/>
  <c r="P1830" i="43"/>
  <c r="P1829" i="43"/>
  <c r="P1828" i="43"/>
  <c r="P1827" i="43"/>
  <c r="P1826" i="43"/>
  <c r="P1825" i="43"/>
  <c r="P1824" i="43"/>
  <c r="P1823" i="43"/>
  <c r="P1822" i="43"/>
  <c r="P1821" i="43"/>
  <c r="P1820" i="43"/>
  <c r="P1819" i="43"/>
  <c r="P1818" i="43"/>
  <c r="P1817" i="43"/>
  <c r="P1816" i="43"/>
  <c r="P1815" i="43"/>
  <c r="P1814" i="43"/>
  <c r="P1813" i="43"/>
  <c r="P1812" i="43"/>
  <c r="P1811" i="43"/>
  <c r="P1810" i="43"/>
  <c r="P1809" i="43"/>
  <c r="P1808" i="43"/>
  <c r="P1807" i="43"/>
  <c r="P1806" i="43"/>
  <c r="P1805" i="43"/>
  <c r="P1804" i="43"/>
  <c r="P1803" i="43"/>
  <c r="P1802" i="43"/>
  <c r="P1801" i="43"/>
  <c r="P1800" i="43"/>
  <c r="P1799" i="43"/>
  <c r="P1798" i="43"/>
  <c r="P1797" i="43"/>
  <c r="P1796" i="43"/>
  <c r="P1795" i="43"/>
  <c r="P1794" i="43"/>
  <c r="P1793" i="43"/>
  <c r="P1792" i="43"/>
  <c r="P1791" i="43"/>
  <c r="P1790" i="43"/>
  <c r="P1789" i="43"/>
  <c r="P1788" i="43"/>
  <c r="P1787" i="43"/>
  <c r="P1786" i="43"/>
  <c r="P1785" i="43"/>
  <c r="P1784" i="43"/>
  <c r="P1783" i="43"/>
  <c r="P1782" i="43"/>
  <c r="P1781" i="43"/>
  <c r="P1780" i="43"/>
  <c r="P1779" i="43"/>
  <c r="P1778" i="43"/>
  <c r="P1777" i="43"/>
  <c r="P1776" i="43"/>
  <c r="P1775" i="43"/>
  <c r="P1774" i="43"/>
  <c r="P1773" i="43"/>
  <c r="P1772" i="43"/>
  <c r="P1771" i="43"/>
  <c r="P1770" i="43"/>
  <c r="P1769" i="43"/>
  <c r="P1768" i="43"/>
  <c r="P1767" i="43"/>
  <c r="P1766" i="43"/>
  <c r="P1765" i="43"/>
  <c r="P1764" i="43"/>
  <c r="P1763" i="43"/>
  <c r="P1762" i="43"/>
  <c r="P1761" i="43"/>
  <c r="P1760" i="43"/>
  <c r="P1759" i="43"/>
  <c r="P1758" i="43"/>
  <c r="P1757" i="43"/>
  <c r="P1756" i="43"/>
  <c r="P1755" i="43"/>
  <c r="P1754" i="43"/>
  <c r="P1753" i="43"/>
  <c r="P1752" i="43"/>
  <c r="P1751" i="43"/>
  <c r="P1750" i="43"/>
  <c r="P1749" i="43"/>
  <c r="P1748" i="43"/>
  <c r="P1747" i="43"/>
  <c r="P1746" i="43"/>
  <c r="P1745" i="43"/>
  <c r="P1744" i="43"/>
  <c r="P1743" i="43"/>
  <c r="P1742" i="43"/>
  <c r="P1741" i="43"/>
  <c r="P1740" i="43"/>
  <c r="P1739" i="43"/>
  <c r="P1738" i="43"/>
  <c r="P1737" i="43"/>
  <c r="P1736" i="43"/>
  <c r="P1735" i="43"/>
  <c r="P1734" i="43"/>
  <c r="P1733" i="43"/>
  <c r="P1732" i="43"/>
  <c r="P1731" i="43"/>
  <c r="P1730" i="43"/>
  <c r="P1729" i="43"/>
  <c r="P1728" i="43"/>
  <c r="P1727" i="43"/>
  <c r="P1726" i="43"/>
  <c r="P1725" i="43"/>
  <c r="P1724" i="43"/>
  <c r="P1723" i="43"/>
  <c r="P1722" i="43"/>
  <c r="P1721" i="43"/>
  <c r="P1720" i="43"/>
  <c r="P1719" i="43"/>
  <c r="P1718" i="43"/>
  <c r="P1717" i="43"/>
  <c r="P1716" i="43"/>
  <c r="P1715" i="43"/>
  <c r="P1714" i="43"/>
  <c r="P1713" i="43"/>
  <c r="P1712" i="43"/>
  <c r="P1711" i="43"/>
  <c r="P1710" i="43"/>
  <c r="P1709" i="43"/>
  <c r="P1708" i="43"/>
  <c r="P1707" i="43"/>
  <c r="P1706" i="43"/>
  <c r="P1705" i="43"/>
  <c r="P1704" i="43"/>
  <c r="P1703" i="43"/>
  <c r="P1702" i="43"/>
  <c r="P1701" i="43"/>
  <c r="P1700" i="43"/>
  <c r="P1699" i="43"/>
  <c r="P1698" i="43"/>
  <c r="P1697" i="43"/>
  <c r="P1696" i="43"/>
  <c r="P1695" i="43"/>
  <c r="P1694" i="43"/>
  <c r="P1693" i="43"/>
  <c r="P1692" i="43"/>
  <c r="P1691" i="43"/>
  <c r="P1690" i="43"/>
  <c r="P1689" i="43"/>
  <c r="P1688" i="43"/>
  <c r="P1687" i="43"/>
  <c r="P1686" i="43"/>
  <c r="P1685" i="43"/>
  <c r="P1684" i="43"/>
  <c r="P1683" i="43"/>
  <c r="P1682" i="43"/>
  <c r="P1681" i="43"/>
  <c r="P1680" i="43"/>
  <c r="P1679" i="43"/>
  <c r="P1678" i="43"/>
  <c r="P1677" i="43"/>
  <c r="P1676" i="43"/>
  <c r="P1675" i="43"/>
  <c r="P1674" i="43"/>
  <c r="P1673" i="43"/>
  <c r="P1672" i="43"/>
  <c r="P1671" i="43"/>
  <c r="P1670" i="43"/>
  <c r="P1669" i="43"/>
  <c r="P1668" i="43"/>
  <c r="P1667" i="43"/>
  <c r="P1666" i="43"/>
  <c r="P1665" i="43"/>
  <c r="P1664" i="43"/>
  <c r="P1663" i="43"/>
  <c r="P1662" i="43"/>
  <c r="P1661" i="43"/>
  <c r="P1660" i="43"/>
  <c r="P1659" i="43"/>
  <c r="P1658" i="43"/>
  <c r="P1657" i="43"/>
  <c r="P1656" i="43"/>
  <c r="P1655" i="43"/>
  <c r="P1654" i="43"/>
  <c r="P1653" i="43"/>
  <c r="P1652" i="43"/>
  <c r="P1651" i="43"/>
  <c r="P1650" i="43"/>
  <c r="P1649" i="43"/>
  <c r="P1648" i="43"/>
  <c r="P1647" i="43"/>
  <c r="P1646" i="43"/>
  <c r="P1645" i="43"/>
  <c r="P1644" i="43"/>
  <c r="P1643" i="43"/>
  <c r="P1642" i="43"/>
  <c r="P1641" i="43"/>
  <c r="P1640" i="43"/>
  <c r="P1639" i="43"/>
  <c r="P1638" i="43"/>
  <c r="P1637" i="43"/>
  <c r="P1636" i="43"/>
  <c r="P1635" i="43"/>
  <c r="P1634" i="43"/>
  <c r="P1633" i="43"/>
  <c r="P1632" i="43"/>
  <c r="P1631" i="43"/>
  <c r="P1630" i="43"/>
  <c r="P1629" i="43"/>
  <c r="P1628" i="43"/>
  <c r="P1627" i="43"/>
  <c r="P1626" i="43"/>
  <c r="P1625" i="43"/>
  <c r="P1624" i="43"/>
  <c r="P1623" i="43"/>
  <c r="P1622" i="43"/>
  <c r="P1621" i="43"/>
  <c r="P1620" i="43"/>
  <c r="P1619" i="43"/>
  <c r="P1618" i="43"/>
  <c r="P1617" i="43"/>
  <c r="P1616" i="43"/>
  <c r="P1615" i="43"/>
  <c r="P1614" i="43"/>
  <c r="P1613" i="43"/>
  <c r="P1612" i="43"/>
  <c r="P1611" i="43"/>
  <c r="P1610" i="43"/>
  <c r="P1609" i="43"/>
  <c r="P1608" i="43"/>
  <c r="P1607" i="43"/>
  <c r="P1606" i="43"/>
  <c r="P1605" i="43"/>
  <c r="P1604" i="43"/>
  <c r="P1603" i="43"/>
  <c r="P1602" i="43"/>
  <c r="P1601" i="43"/>
  <c r="P1600" i="43"/>
  <c r="P1599" i="43"/>
  <c r="P1598" i="43"/>
  <c r="P1597" i="43"/>
  <c r="P1596" i="43"/>
  <c r="P1595" i="43"/>
  <c r="P1594" i="43"/>
  <c r="P1593" i="43"/>
  <c r="P1592" i="43"/>
  <c r="P1591" i="43"/>
  <c r="P1590" i="43"/>
  <c r="P1589" i="43"/>
  <c r="P1588" i="43"/>
  <c r="P1587" i="43"/>
  <c r="P1586" i="43"/>
  <c r="P1585" i="43"/>
  <c r="P1584" i="43"/>
  <c r="P1583" i="43"/>
  <c r="P1582" i="43"/>
  <c r="P1581" i="43"/>
  <c r="P1580" i="43"/>
  <c r="P1579" i="43"/>
  <c r="P1578" i="43"/>
  <c r="P1577" i="43"/>
  <c r="P1576" i="43"/>
  <c r="P1575" i="43"/>
  <c r="P1574" i="43"/>
  <c r="P1573" i="43"/>
  <c r="P1572" i="43"/>
  <c r="P1571" i="43"/>
  <c r="P1570" i="43"/>
  <c r="P1569" i="43"/>
  <c r="P1568" i="43"/>
  <c r="P1567" i="43"/>
  <c r="P1566" i="43"/>
  <c r="P1565" i="43"/>
  <c r="P1564" i="43"/>
  <c r="P1563" i="43"/>
  <c r="P1562" i="43"/>
  <c r="P1561" i="43"/>
  <c r="P1560" i="43"/>
  <c r="P1559" i="43"/>
  <c r="P1558" i="43"/>
  <c r="P1557" i="43"/>
  <c r="P1556" i="43"/>
  <c r="P1555" i="43"/>
  <c r="P1554" i="43"/>
  <c r="P1553" i="43"/>
  <c r="P1552" i="43"/>
  <c r="P1551" i="43"/>
  <c r="P1550" i="43"/>
  <c r="P1549" i="43"/>
  <c r="P1548" i="43"/>
  <c r="P1547" i="43"/>
  <c r="P1546" i="43"/>
  <c r="P1545" i="43"/>
  <c r="P1544" i="43"/>
  <c r="P1543" i="43"/>
  <c r="P1542" i="43"/>
  <c r="P1541" i="43"/>
  <c r="P1540" i="43"/>
  <c r="P1539" i="43"/>
  <c r="P1538" i="43"/>
  <c r="P1537" i="43"/>
  <c r="P1536" i="43"/>
  <c r="P1535" i="43"/>
  <c r="P1534" i="43"/>
  <c r="P1533" i="43"/>
  <c r="P1532" i="43"/>
  <c r="P1531" i="43"/>
  <c r="P1530" i="43"/>
  <c r="P1529" i="43"/>
  <c r="P1528" i="43"/>
  <c r="P1527" i="43"/>
  <c r="P1526" i="43"/>
  <c r="P1525" i="43"/>
  <c r="P1524" i="43"/>
  <c r="P1523" i="43"/>
  <c r="P1522" i="43"/>
  <c r="P1521" i="43"/>
  <c r="P1520" i="43"/>
  <c r="P1519" i="43"/>
  <c r="P1518" i="43"/>
  <c r="P1517" i="43"/>
  <c r="P1516" i="43"/>
  <c r="P1515" i="43"/>
  <c r="P1514" i="43"/>
  <c r="P1513" i="43"/>
  <c r="P1512" i="43"/>
  <c r="P1511" i="43"/>
  <c r="P1510" i="43"/>
  <c r="P1509" i="43"/>
  <c r="P1508" i="43"/>
  <c r="P1507" i="43"/>
  <c r="P1506" i="43"/>
  <c r="P1505" i="43"/>
  <c r="P1504" i="43"/>
  <c r="P1503" i="43"/>
  <c r="P1502" i="43"/>
  <c r="P1501" i="43"/>
  <c r="P1500" i="43"/>
  <c r="P1499" i="43"/>
  <c r="P1498" i="43"/>
  <c r="P1497" i="43"/>
  <c r="P1496" i="43"/>
  <c r="P1495" i="43"/>
  <c r="P1494" i="43"/>
  <c r="P1493" i="43"/>
  <c r="P1492" i="43"/>
  <c r="P1491" i="43"/>
  <c r="P1490" i="43"/>
  <c r="P1489" i="43"/>
  <c r="P1488" i="43"/>
  <c r="P1487" i="43"/>
  <c r="P1486" i="43"/>
  <c r="P1485" i="43"/>
  <c r="P1484" i="43"/>
  <c r="P1483" i="43"/>
  <c r="P1482" i="43"/>
  <c r="P1481" i="43"/>
  <c r="P1480" i="43"/>
  <c r="P1479" i="43"/>
  <c r="P1478" i="43"/>
  <c r="P1477" i="43"/>
  <c r="P1476" i="43"/>
  <c r="P1475" i="43"/>
  <c r="P1474" i="43"/>
  <c r="P1473" i="43"/>
  <c r="P1472" i="43"/>
  <c r="P1471" i="43"/>
  <c r="P1470" i="43"/>
  <c r="P1469" i="43"/>
  <c r="P1468" i="43"/>
  <c r="P1467" i="43"/>
  <c r="P1466" i="43"/>
  <c r="P1465" i="43"/>
  <c r="P1464" i="43"/>
  <c r="P1463" i="43"/>
  <c r="P1462" i="43"/>
  <c r="P1461" i="43"/>
  <c r="P1460" i="43"/>
  <c r="P1459" i="43"/>
  <c r="P1458" i="43"/>
  <c r="P1457" i="43"/>
  <c r="P1456" i="43"/>
  <c r="P1455" i="43"/>
  <c r="P1454" i="43"/>
  <c r="P1453" i="43"/>
  <c r="P1452" i="43"/>
  <c r="P1451" i="43"/>
  <c r="P1450" i="43"/>
  <c r="P1449" i="43"/>
  <c r="P1448" i="43"/>
  <c r="P1447" i="43"/>
  <c r="P1446" i="43"/>
  <c r="P1445" i="43"/>
  <c r="P1444" i="43"/>
  <c r="P1443" i="43"/>
  <c r="P1442" i="43"/>
  <c r="P1441" i="43"/>
  <c r="P1440" i="43"/>
  <c r="P1439" i="43"/>
  <c r="P1438" i="43"/>
  <c r="P1437" i="43"/>
  <c r="P1436" i="43"/>
  <c r="P1435" i="43"/>
  <c r="P1434" i="43"/>
  <c r="P1433" i="43"/>
  <c r="P1432" i="43"/>
  <c r="P1431" i="43"/>
  <c r="P1430" i="43"/>
  <c r="P1429" i="43"/>
  <c r="P1428" i="43"/>
  <c r="P1427" i="43"/>
  <c r="P1426" i="43"/>
  <c r="P1425" i="43"/>
  <c r="P1424" i="43"/>
  <c r="P1423" i="43"/>
  <c r="P1422" i="43"/>
  <c r="P1421" i="43"/>
  <c r="P1420" i="43"/>
  <c r="P1419" i="43"/>
  <c r="P1418" i="43"/>
  <c r="P1417" i="43"/>
  <c r="P1416" i="43"/>
  <c r="P1415" i="43"/>
  <c r="P1414" i="43"/>
  <c r="P1413" i="43"/>
  <c r="P1412" i="43"/>
  <c r="P1411" i="43"/>
  <c r="P1410" i="43"/>
  <c r="P1409" i="43"/>
  <c r="P1408" i="43"/>
  <c r="P1407" i="43"/>
  <c r="P1406" i="43"/>
  <c r="P1405" i="43"/>
  <c r="P1404" i="43"/>
  <c r="P1403" i="43"/>
  <c r="P1402" i="43"/>
  <c r="P1401" i="43"/>
  <c r="P1400" i="43"/>
  <c r="P1399" i="43"/>
  <c r="P1398" i="43"/>
  <c r="P1397" i="43"/>
  <c r="P1396" i="43"/>
  <c r="P1395" i="43"/>
  <c r="P1394" i="43"/>
  <c r="P1393" i="43"/>
  <c r="P1392" i="43"/>
  <c r="P1391" i="43"/>
  <c r="P1390" i="43"/>
  <c r="P1389" i="43"/>
  <c r="P1388" i="43"/>
  <c r="P1387" i="43"/>
  <c r="P1386" i="43"/>
  <c r="P1385" i="43"/>
  <c r="P1384" i="43"/>
  <c r="P1383" i="43"/>
  <c r="P1382" i="43"/>
  <c r="P1381" i="43"/>
  <c r="P1380" i="43"/>
  <c r="P1379" i="43"/>
  <c r="P1378" i="43"/>
  <c r="P1377" i="43"/>
  <c r="P1376" i="43"/>
  <c r="P1375" i="43"/>
  <c r="P1374" i="43"/>
  <c r="P1373" i="43"/>
  <c r="P1372" i="43"/>
  <c r="P1371" i="43"/>
  <c r="P1370" i="43"/>
  <c r="P1369" i="43"/>
  <c r="P1368" i="43"/>
  <c r="P1367" i="43"/>
  <c r="P1366" i="43"/>
  <c r="P1365" i="43"/>
  <c r="P1364" i="43"/>
  <c r="P1363" i="43"/>
  <c r="P1362" i="43"/>
  <c r="P1361" i="43"/>
  <c r="P1360" i="43"/>
  <c r="P1359" i="43"/>
  <c r="P1358" i="43"/>
  <c r="P1357" i="43"/>
  <c r="P1356" i="43"/>
  <c r="P1355" i="43"/>
  <c r="P1354" i="43"/>
  <c r="P1353" i="43"/>
  <c r="P1352" i="43"/>
  <c r="P1351" i="43"/>
  <c r="P1350" i="43"/>
  <c r="P1349" i="43"/>
  <c r="P1348" i="43"/>
  <c r="P1347" i="43"/>
  <c r="P1346" i="43"/>
  <c r="P1345" i="43"/>
  <c r="P1344" i="43"/>
  <c r="P1343" i="43"/>
  <c r="P1342" i="43"/>
  <c r="P1341" i="43"/>
  <c r="P1340" i="43"/>
  <c r="P1339" i="43"/>
  <c r="P1338" i="43"/>
  <c r="P1337" i="43"/>
  <c r="P1336" i="43"/>
  <c r="P1335" i="43"/>
  <c r="P1334" i="43"/>
  <c r="P1333" i="43"/>
  <c r="P1332" i="43"/>
  <c r="P1331" i="43"/>
  <c r="P1330" i="43"/>
  <c r="P1329" i="43"/>
  <c r="P1328" i="43"/>
  <c r="P1327" i="43"/>
  <c r="P1326" i="43"/>
  <c r="P1325" i="43"/>
  <c r="P1324" i="43"/>
  <c r="P1323" i="43"/>
  <c r="P1322" i="43"/>
  <c r="P1321" i="43"/>
  <c r="P1320" i="43"/>
  <c r="P1319" i="43"/>
  <c r="P1318" i="43"/>
  <c r="P1317" i="43"/>
  <c r="P1316" i="43"/>
  <c r="P1315" i="43"/>
  <c r="P1314" i="43"/>
  <c r="P1313" i="43"/>
  <c r="P1312" i="43"/>
  <c r="P1311" i="43"/>
  <c r="P1310" i="43"/>
  <c r="P1309" i="43"/>
  <c r="P1308" i="43"/>
  <c r="P1307" i="43"/>
  <c r="P1306" i="43"/>
  <c r="P1305" i="43"/>
  <c r="P1304" i="43"/>
  <c r="P1303" i="43"/>
  <c r="P1302" i="43"/>
  <c r="P1301" i="43"/>
  <c r="P1300" i="43"/>
  <c r="P1299" i="43"/>
  <c r="P1298" i="43"/>
  <c r="P1297" i="43"/>
  <c r="P1296" i="43"/>
  <c r="P1295" i="43"/>
  <c r="P1294" i="43"/>
  <c r="P1293" i="43"/>
  <c r="P1292" i="43"/>
  <c r="P1291" i="43"/>
  <c r="P1290" i="43"/>
  <c r="P1289" i="43"/>
  <c r="P1288" i="43"/>
  <c r="P1287" i="43"/>
  <c r="P1286" i="43"/>
  <c r="P1285" i="43"/>
  <c r="P1284" i="43"/>
  <c r="P1283" i="43"/>
  <c r="P1282" i="43"/>
  <c r="P1281" i="43"/>
  <c r="P1280" i="43"/>
  <c r="P1279" i="43"/>
  <c r="P1278" i="43"/>
  <c r="P1277" i="43"/>
  <c r="P1276" i="43"/>
  <c r="P1275" i="43"/>
  <c r="P1274" i="43"/>
  <c r="P1273" i="43"/>
  <c r="P1272" i="43"/>
  <c r="P1271" i="43"/>
  <c r="P1270" i="43"/>
  <c r="P1269" i="43"/>
  <c r="P1268" i="43"/>
  <c r="P1267" i="43"/>
  <c r="P1266" i="43"/>
  <c r="P1265" i="43"/>
  <c r="P1264" i="43"/>
  <c r="P1263" i="43"/>
  <c r="P1262" i="43"/>
  <c r="P1261" i="43"/>
  <c r="P1260" i="43"/>
  <c r="P1259" i="43"/>
  <c r="P1258" i="43"/>
  <c r="P1257" i="43"/>
  <c r="P1256" i="43"/>
  <c r="P1255" i="43"/>
  <c r="P1254" i="43"/>
  <c r="P1253" i="43"/>
  <c r="P1252" i="43"/>
  <c r="P1251" i="43"/>
  <c r="P1250" i="43"/>
  <c r="P1249" i="43"/>
  <c r="P1248" i="43"/>
  <c r="P1247" i="43"/>
  <c r="P1246" i="43"/>
  <c r="P1245" i="43"/>
  <c r="P1244" i="43"/>
  <c r="P1243" i="43"/>
  <c r="P1242" i="43"/>
  <c r="P1241" i="43"/>
  <c r="P1240" i="43"/>
  <c r="P1239" i="43"/>
  <c r="P1238" i="43"/>
  <c r="P1237" i="43"/>
  <c r="P1236" i="43"/>
  <c r="P1235" i="43"/>
  <c r="P1234" i="43"/>
  <c r="P1233" i="43"/>
  <c r="P1232" i="43"/>
  <c r="P1231" i="43"/>
  <c r="P1230" i="43"/>
  <c r="P1229" i="43"/>
  <c r="P1228" i="43"/>
  <c r="P1227" i="43"/>
  <c r="P1226" i="43"/>
  <c r="P1225" i="43"/>
  <c r="P1224" i="43"/>
  <c r="P1223" i="43"/>
  <c r="P1222" i="43"/>
  <c r="P1221" i="43"/>
  <c r="P1220" i="43"/>
  <c r="P1219" i="43"/>
  <c r="P1218" i="43"/>
  <c r="P1217" i="43"/>
  <c r="P1216" i="43"/>
  <c r="P1215" i="43"/>
  <c r="P1214" i="43"/>
  <c r="P1213" i="43"/>
  <c r="P1212" i="43"/>
  <c r="P1211" i="43"/>
  <c r="P1210" i="43"/>
  <c r="P1209" i="43"/>
  <c r="P1208" i="43"/>
  <c r="P1207" i="43"/>
  <c r="P1206" i="43"/>
  <c r="P1205" i="43"/>
  <c r="P1204" i="43"/>
  <c r="P1203" i="43"/>
  <c r="P1202" i="43"/>
  <c r="P1201" i="43"/>
  <c r="P1200" i="43"/>
  <c r="P1199" i="43"/>
  <c r="P1198" i="43"/>
  <c r="P1197" i="43"/>
  <c r="P1196" i="43"/>
  <c r="P1195" i="43"/>
  <c r="P1194" i="43"/>
  <c r="P1193" i="43"/>
  <c r="P1192" i="43"/>
  <c r="P1191" i="43"/>
  <c r="P1190" i="43"/>
  <c r="P1189" i="43"/>
  <c r="P1188" i="43"/>
  <c r="P1187" i="43"/>
  <c r="P1186" i="43"/>
  <c r="P1185" i="43"/>
  <c r="P1184" i="43"/>
  <c r="P1183" i="43"/>
  <c r="P1182" i="43"/>
  <c r="P1181" i="43"/>
  <c r="P1180" i="43"/>
  <c r="P1179" i="43"/>
  <c r="P1178" i="43"/>
  <c r="P1177" i="43"/>
  <c r="P1176" i="43"/>
  <c r="P1175" i="43"/>
  <c r="P1174" i="43"/>
  <c r="P1173" i="43"/>
  <c r="P1172" i="43"/>
  <c r="P1171" i="43"/>
  <c r="P1170" i="43"/>
  <c r="P1169" i="43"/>
  <c r="P1168" i="43"/>
  <c r="P1167" i="43"/>
  <c r="P1166" i="43"/>
  <c r="P1165" i="43"/>
  <c r="P1164" i="43"/>
  <c r="P1163" i="43"/>
  <c r="P1162" i="43"/>
  <c r="P1161" i="43"/>
  <c r="P1160" i="43"/>
  <c r="P1159" i="43"/>
  <c r="P1158" i="43"/>
  <c r="P1157" i="43"/>
  <c r="P1156" i="43"/>
  <c r="P1155" i="43"/>
  <c r="P1154" i="43"/>
  <c r="P1153" i="43"/>
  <c r="P1152" i="43"/>
  <c r="P1151" i="43"/>
  <c r="P1150" i="43"/>
  <c r="P1149" i="43"/>
  <c r="P1148" i="43"/>
  <c r="P1147" i="43"/>
  <c r="P1146" i="43"/>
  <c r="P1145" i="43"/>
  <c r="P1144" i="43"/>
  <c r="P1143" i="43"/>
  <c r="P1142" i="43"/>
  <c r="P1141" i="43"/>
  <c r="P1140" i="43"/>
  <c r="P1139" i="43"/>
  <c r="P1138" i="43"/>
  <c r="P1137" i="43"/>
  <c r="P1136" i="43"/>
  <c r="P1135" i="43"/>
  <c r="P1134" i="43"/>
  <c r="P1133" i="43"/>
  <c r="P1132" i="43"/>
  <c r="P1131" i="43"/>
  <c r="P1130" i="43"/>
  <c r="P1129" i="43"/>
  <c r="P1128" i="43"/>
  <c r="P1127" i="43"/>
  <c r="P1126" i="43"/>
  <c r="P1125" i="43"/>
  <c r="P1124" i="43"/>
  <c r="P1123" i="43"/>
  <c r="P1122" i="43"/>
  <c r="P1121" i="43"/>
  <c r="P1120" i="43"/>
  <c r="P1119" i="43"/>
  <c r="P1118" i="43"/>
  <c r="P1117" i="43"/>
  <c r="P1116" i="43"/>
  <c r="P1115" i="43"/>
  <c r="P1114" i="43"/>
  <c r="P1113" i="43"/>
  <c r="P1112" i="43"/>
  <c r="P1111" i="43"/>
  <c r="P1110" i="43"/>
  <c r="P1109" i="43"/>
  <c r="P1108" i="43"/>
  <c r="P1107" i="43"/>
  <c r="P1106" i="43"/>
  <c r="P1105" i="43"/>
  <c r="P1104" i="43"/>
  <c r="P1103" i="43"/>
  <c r="P1102" i="43"/>
  <c r="P1101" i="43"/>
  <c r="P1100" i="43"/>
  <c r="P1099" i="43"/>
  <c r="P1098" i="43"/>
  <c r="P1097" i="43"/>
  <c r="P1096" i="43"/>
  <c r="P1095" i="43"/>
  <c r="P1094" i="43"/>
  <c r="P1093" i="43"/>
  <c r="P1092" i="43"/>
  <c r="P1091" i="43"/>
  <c r="P1090" i="43"/>
  <c r="P1089" i="43"/>
  <c r="P1088" i="43"/>
  <c r="P1087" i="43"/>
  <c r="P1086" i="43"/>
  <c r="P1085" i="43"/>
  <c r="P1084" i="43"/>
  <c r="P1083" i="43"/>
  <c r="P1082" i="43"/>
  <c r="P1081" i="43"/>
  <c r="P1080" i="43"/>
  <c r="P1079" i="43"/>
  <c r="P1078" i="43"/>
  <c r="P1077" i="43"/>
  <c r="P1076" i="43"/>
  <c r="P1075" i="43"/>
  <c r="P1074" i="43"/>
  <c r="P1073" i="43"/>
  <c r="P1072" i="43"/>
  <c r="P1071" i="43"/>
  <c r="P1070" i="43"/>
  <c r="P1069" i="43"/>
  <c r="P1068" i="43"/>
  <c r="P1067" i="43"/>
  <c r="P1066" i="43"/>
  <c r="P1065" i="43"/>
  <c r="P1064" i="43"/>
  <c r="P1063" i="43"/>
  <c r="P1062" i="43"/>
  <c r="P1061" i="43"/>
  <c r="P1060" i="43"/>
  <c r="P1059" i="43"/>
  <c r="P1058" i="43"/>
  <c r="P1057" i="43"/>
  <c r="P1056" i="43"/>
  <c r="P1055" i="43"/>
  <c r="P1054" i="43"/>
  <c r="P1053" i="43"/>
  <c r="P1052" i="43"/>
  <c r="P1051" i="43"/>
  <c r="P1050" i="43"/>
  <c r="P1049" i="43"/>
  <c r="P1048" i="43"/>
  <c r="P1047" i="43"/>
  <c r="P1046" i="43"/>
  <c r="P1045" i="43"/>
  <c r="P1044" i="43"/>
  <c r="P1043" i="43"/>
  <c r="P1042" i="43"/>
  <c r="P1041" i="43"/>
  <c r="P1040" i="43"/>
  <c r="P1039" i="43"/>
  <c r="P1038" i="43"/>
  <c r="P1037" i="43"/>
  <c r="P1036" i="43"/>
  <c r="P1035" i="43"/>
  <c r="P1034" i="43"/>
  <c r="P1033" i="43"/>
  <c r="P1032" i="43"/>
  <c r="P1031" i="43"/>
  <c r="P1030" i="43"/>
  <c r="P1029" i="43"/>
  <c r="P1028" i="43"/>
  <c r="P1027" i="43"/>
  <c r="P1026" i="43"/>
  <c r="P1025" i="43"/>
  <c r="P1024" i="43"/>
  <c r="P1023" i="43"/>
  <c r="P1022" i="43"/>
  <c r="P1021" i="43"/>
  <c r="P1020" i="43"/>
  <c r="P1019" i="43"/>
  <c r="P1018" i="43"/>
  <c r="P1017" i="43"/>
  <c r="P1016" i="43"/>
  <c r="P1015" i="43"/>
  <c r="P1014" i="43"/>
  <c r="P1013" i="43"/>
  <c r="P1012" i="43"/>
  <c r="P1011" i="43"/>
  <c r="P1010" i="43"/>
  <c r="P1009" i="43"/>
  <c r="P1008" i="43"/>
  <c r="P1007" i="43"/>
  <c r="P1006" i="43"/>
  <c r="P1005" i="43"/>
  <c r="P1004" i="43"/>
  <c r="P1003" i="43"/>
  <c r="P1002" i="43"/>
  <c r="P1001" i="43"/>
  <c r="P1000" i="43"/>
  <c r="P999" i="43"/>
  <c r="P998" i="43"/>
  <c r="P997" i="43"/>
  <c r="P996" i="43"/>
  <c r="P995" i="43"/>
  <c r="P994" i="43"/>
  <c r="P993" i="43"/>
  <c r="P992" i="43"/>
  <c r="P991" i="43"/>
  <c r="P990" i="43"/>
  <c r="P989" i="43"/>
  <c r="P988" i="43"/>
  <c r="P987" i="43"/>
  <c r="P986" i="43"/>
  <c r="P985" i="43"/>
  <c r="P984" i="43"/>
  <c r="P983" i="43"/>
  <c r="P982" i="43"/>
  <c r="P981" i="43"/>
  <c r="P980" i="43"/>
  <c r="P979" i="43"/>
  <c r="P978" i="43"/>
  <c r="P977" i="43"/>
  <c r="P976" i="43"/>
  <c r="P975" i="43"/>
  <c r="P974" i="43"/>
  <c r="P973" i="43"/>
  <c r="P972" i="43"/>
  <c r="P971" i="43"/>
  <c r="P970" i="43"/>
  <c r="P969" i="43"/>
  <c r="P968" i="43"/>
  <c r="P967" i="43"/>
  <c r="P966" i="43"/>
  <c r="P965" i="43"/>
  <c r="P964" i="43"/>
  <c r="P963" i="43"/>
  <c r="P962" i="43"/>
  <c r="P961" i="43"/>
  <c r="P960" i="43"/>
  <c r="P959" i="43"/>
  <c r="P958" i="43"/>
  <c r="P957" i="43"/>
  <c r="P956" i="43"/>
  <c r="P955" i="43"/>
  <c r="P954" i="43"/>
  <c r="P953" i="43"/>
  <c r="P952" i="43"/>
  <c r="P951" i="43"/>
  <c r="P950" i="43"/>
  <c r="P949" i="43"/>
  <c r="P948" i="43"/>
  <c r="P947" i="43"/>
  <c r="P946" i="43"/>
  <c r="P945" i="43"/>
  <c r="P944" i="43"/>
  <c r="P943" i="43"/>
  <c r="P942" i="43"/>
  <c r="P941" i="43"/>
  <c r="P940" i="43"/>
  <c r="P939" i="43"/>
  <c r="P938" i="43"/>
  <c r="P937" i="43"/>
  <c r="P936" i="43"/>
  <c r="P935" i="43"/>
  <c r="P934" i="43"/>
  <c r="P933" i="43"/>
  <c r="P932" i="43"/>
  <c r="P931" i="43"/>
  <c r="P930" i="43"/>
  <c r="P929" i="43"/>
  <c r="P928" i="43"/>
  <c r="P927" i="43"/>
  <c r="P926" i="43"/>
  <c r="P925" i="43"/>
  <c r="P924" i="43"/>
  <c r="P923" i="43"/>
  <c r="P922" i="43"/>
  <c r="P921" i="43"/>
  <c r="P920" i="43"/>
  <c r="P919" i="43"/>
  <c r="P918" i="43"/>
  <c r="P917" i="43"/>
  <c r="P916" i="43"/>
  <c r="P915" i="43"/>
  <c r="P914" i="43"/>
  <c r="P913" i="43"/>
  <c r="P912" i="43"/>
  <c r="P911" i="43"/>
  <c r="P910" i="43"/>
  <c r="P909" i="43"/>
  <c r="P908" i="43"/>
  <c r="P907" i="43"/>
  <c r="P906" i="43"/>
  <c r="P905" i="43"/>
  <c r="P904" i="43"/>
  <c r="P903" i="43"/>
  <c r="P902" i="43"/>
  <c r="P901" i="43"/>
  <c r="P900" i="43"/>
  <c r="P899" i="43"/>
  <c r="P898" i="43"/>
  <c r="P897" i="43"/>
  <c r="P896" i="43"/>
  <c r="P895" i="43"/>
  <c r="P894" i="43"/>
  <c r="P893" i="43"/>
  <c r="P892" i="43"/>
  <c r="P891" i="43"/>
  <c r="P890" i="43"/>
  <c r="P889" i="43"/>
  <c r="P888" i="43"/>
  <c r="P887" i="43"/>
  <c r="P886" i="43"/>
  <c r="P885" i="43"/>
  <c r="P884" i="43"/>
  <c r="P883" i="43"/>
  <c r="P882" i="43"/>
  <c r="P881" i="43"/>
  <c r="P880" i="43"/>
  <c r="P879" i="43"/>
  <c r="P878" i="43"/>
  <c r="P877" i="43"/>
  <c r="P876" i="43"/>
  <c r="P875" i="43"/>
  <c r="P874" i="43"/>
  <c r="P873" i="43"/>
  <c r="P872" i="43"/>
  <c r="P871" i="43"/>
  <c r="P870" i="43"/>
  <c r="P869" i="43"/>
  <c r="P868" i="43"/>
  <c r="P867" i="43"/>
  <c r="P866" i="43"/>
  <c r="P865" i="43"/>
  <c r="P864" i="43"/>
  <c r="P863" i="43"/>
  <c r="P862" i="43"/>
  <c r="P861" i="43"/>
  <c r="P860" i="43"/>
  <c r="P859" i="43"/>
  <c r="P858" i="43"/>
  <c r="P857" i="43"/>
  <c r="P856" i="43"/>
  <c r="P855" i="43"/>
  <c r="P854" i="43"/>
  <c r="P853" i="43"/>
  <c r="P852" i="43"/>
  <c r="P851" i="43"/>
  <c r="P850" i="43"/>
  <c r="P849" i="43"/>
  <c r="P848" i="43"/>
  <c r="P847" i="43"/>
  <c r="P846" i="43"/>
  <c r="P845" i="43"/>
  <c r="P844" i="43"/>
  <c r="P843" i="43"/>
  <c r="P842" i="43"/>
  <c r="P841" i="43"/>
  <c r="P840" i="43"/>
  <c r="P839" i="43"/>
  <c r="P838" i="43"/>
  <c r="P837" i="43"/>
  <c r="P836" i="43"/>
  <c r="P835" i="43"/>
  <c r="P834" i="43"/>
  <c r="P833" i="43"/>
  <c r="P832" i="43"/>
  <c r="P831" i="43"/>
  <c r="P830" i="43"/>
  <c r="P829" i="43"/>
  <c r="P828" i="43"/>
  <c r="P827" i="43"/>
  <c r="P826" i="43"/>
  <c r="P825" i="43"/>
  <c r="P824" i="43"/>
  <c r="P823" i="43"/>
  <c r="P822" i="43"/>
  <c r="P821" i="43"/>
  <c r="P820" i="43"/>
  <c r="P819" i="43"/>
  <c r="P818" i="43"/>
  <c r="P817" i="43"/>
  <c r="P816" i="43"/>
  <c r="P815" i="43"/>
  <c r="P814" i="43"/>
  <c r="P813" i="43"/>
  <c r="P812" i="43"/>
  <c r="P811" i="43"/>
  <c r="P810" i="43"/>
  <c r="P809" i="43"/>
  <c r="P808" i="43"/>
  <c r="P807" i="43"/>
  <c r="P806" i="43"/>
  <c r="P805" i="43"/>
  <c r="P804" i="43"/>
  <c r="P803" i="43"/>
  <c r="P802" i="43"/>
  <c r="P801" i="43"/>
  <c r="P800" i="43"/>
  <c r="P799" i="43"/>
  <c r="P798" i="43"/>
  <c r="P797" i="43"/>
  <c r="P796" i="43"/>
  <c r="P795" i="43"/>
  <c r="P794" i="43"/>
  <c r="P793" i="43"/>
  <c r="P792" i="43"/>
  <c r="P791" i="43"/>
  <c r="P790" i="43"/>
  <c r="P789" i="43"/>
  <c r="P788" i="43"/>
  <c r="P787" i="43"/>
  <c r="P786" i="43"/>
  <c r="P785" i="43"/>
  <c r="P784" i="43"/>
  <c r="P783" i="43"/>
  <c r="P782" i="43"/>
  <c r="P781" i="43"/>
  <c r="P780" i="43"/>
  <c r="P779" i="43"/>
  <c r="P778" i="43"/>
  <c r="P777" i="43"/>
  <c r="P776" i="43"/>
  <c r="P775" i="43"/>
  <c r="P774" i="43"/>
  <c r="P773" i="43"/>
  <c r="P772" i="43"/>
  <c r="P771" i="43"/>
  <c r="P770" i="43"/>
  <c r="P769" i="43"/>
  <c r="P768" i="43"/>
  <c r="P767" i="43"/>
  <c r="P766" i="43"/>
  <c r="P765" i="43"/>
  <c r="P764" i="43"/>
  <c r="P763" i="43"/>
  <c r="P762" i="43"/>
  <c r="P761" i="43"/>
  <c r="P760" i="43"/>
  <c r="P759" i="43"/>
  <c r="P758" i="43"/>
  <c r="P757" i="43"/>
  <c r="P756" i="43"/>
  <c r="P755" i="43"/>
  <c r="P754" i="43"/>
  <c r="P753" i="43"/>
  <c r="P752" i="43"/>
  <c r="P751" i="43"/>
  <c r="P750" i="43"/>
  <c r="P749" i="43"/>
  <c r="P748" i="43"/>
  <c r="P747" i="43"/>
  <c r="P746" i="43"/>
  <c r="P745" i="43"/>
  <c r="P744" i="43"/>
  <c r="P743" i="43"/>
  <c r="P742" i="43"/>
  <c r="P741" i="43"/>
  <c r="P740" i="43"/>
  <c r="P739" i="43"/>
  <c r="P738" i="43"/>
  <c r="P737" i="43"/>
  <c r="P736" i="43"/>
  <c r="P735" i="43"/>
  <c r="P734" i="43"/>
  <c r="P733" i="43"/>
  <c r="P732" i="43"/>
  <c r="P731" i="43"/>
  <c r="P730" i="43"/>
  <c r="P729" i="43"/>
  <c r="P728" i="43"/>
  <c r="P727" i="43"/>
  <c r="P726" i="43"/>
  <c r="P725" i="43"/>
  <c r="P724" i="43"/>
  <c r="P723" i="43"/>
  <c r="P722" i="43"/>
  <c r="P721" i="43"/>
  <c r="P720" i="43"/>
  <c r="P719" i="43"/>
  <c r="P718" i="43"/>
  <c r="P717" i="43"/>
  <c r="P716" i="43"/>
  <c r="P715" i="43"/>
  <c r="P714" i="43"/>
  <c r="P713" i="43"/>
  <c r="P712" i="43"/>
  <c r="P711" i="43"/>
  <c r="P710" i="43"/>
  <c r="P709" i="43"/>
  <c r="P708" i="43"/>
  <c r="P707" i="43"/>
  <c r="P706" i="43"/>
  <c r="P705" i="43"/>
  <c r="P704" i="43"/>
  <c r="P703" i="43"/>
  <c r="P702" i="43"/>
  <c r="P701" i="43"/>
  <c r="P700" i="43"/>
  <c r="P699" i="43"/>
  <c r="P698" i="43"/>
  <c r="P697" i="43"/>
  <c r="P696" i="43"/>
  <c r="P695" i="43"/>
  <c r="P694" i="43"/>
  <c r="P693" i="43"/>
  <c r="P692" i="43"/>
  <c r="P691" i="43"/>
  <c r="P690" i="43"/>
  <c r="P689" i="43"/>
  <c r="P688" i="43"/>
  <c r="P687" i="43"/>
  <c r="P686" i="43"/>
  <c r="P685" i="43"/>
  <c r="P684" i="43"/>
  <c r="P683" i="43"/>
  <c r="P682" i="43"/>
  <c r="P681" i="43"/>
  <c r="P680" i="43"/>
  <c r="P679" i="43"/>
  <c r="P678" i="43"/>
  <c r="P677" i="43"/>
  <c r="P676" i="43"/>
  <c r="P675" i="43"/>
  <c r="P674" i="43"/>
  <c r="P673" i="43"/>
  <c r="P672" i="43"/>
  <c r="P671" i="43"/>
  <c r="P670" i="43"/>
  <c r="P669" i="43"/>
  <c r="P668" i="43"/>
  <c r="P667" i="43"/>
  <c r="P666" i="43"/>
  <c r="P665" i="43"/>
  <c r="P664" i="43"/>
  <c r="P663" i="43"/>
  <c r="P662" i="43"/>
  <c r="P661" i="43"/>
  <c r="P660" i="43"/>
  <c r="P659" i="43"/>
  <c r="P658" i="43"/>
  <c r="P657" i="43"/>
  <c r="P656" i="43"/>
  <c r="P655" i="43"/>
  <c r="P654" i="43"/>
  <c r="P653" i="43"/>
  <c r="P652" i="43"/>
  <c r="P651" i="43"/>
  <c r="P650" i="43"/>
  <c r="P649" i="43"/>
  <c r="P648" i="43"/>
  <c r="P647" i="43"/>
  <c r="P646" i="43"/>
  <c r="P645" i="43"/>
  <c r="P644" i="43"/>
  <c r="P643" i="43"/>
  <c r="P642" i="43"/>
  <c r="P641" i="43"/>
  <c r="P640" i="43"/>
  <c r="P639" i="43"/>
  <c r="P638" i="43"/>
  <c r="P637" i="43"/>
  <c r="P636" i="43"/>
  <c r="P635" i="43"/>
  <c r="P634" i="43"/>
  <c r="P633" i="43"/>
  <c r="P632" i="43"/>
  <c r="P631" i="43"/>
  <c r="P630" i="43"/>
  <c r="P629" i="43"/>
  <c r="P628" i="43"/>
  <c r="P627" i="43"/>
  <c r="P626" i="43"/>
  <c r="P625" i="43"/>
  <c r="P624" i="43"/>
  <c r="P623" i="43"/>
  <c r="P622" i="43"/>
  <c r="P621" i="43"/>
  <c r="P620" i="43"/>
  <c r="P619" i="43"/>
  <c r="P618" i="43"/>
  <c r="P617" i="43"/>
  <c r="P616" i="43"/>
  <c r="P615" i="43"/>
  <c r="P614" i="43"/>
  <c r="P613" i="43"/>
  <c r="P612" i="43"/>
  <c r="P611" i="43"/>
  <c r="P610" i="43"/>
  <c r="P609" i="43"/>
  <c r="P608" i="43"/>
  <c r="P607" i="43"/>
  <c r="P606" i="43"/>
  <c r="P605" i="43"/>
  <c r="P604" i="43"/>
  <c r="P603" i="43"/>
  <c r="P602" i="43"/>
  <c r="P601" i="43"/>
  <c r="P600" i="43"/>
  <c r="P599" i="43"/>
  <c r="P598" i="43"/>
  <c r="P597" i="43"/>
  <c r="P596" i="43"/>
  <c r="P595" i="43"/>
  <c r="P594" i="43"/>
  <c r="P593" i="43"/>
  <c r="P592" i="43"/>
  <c r="P591" i="43"/>
  <c r="P590" i="43"/>
  <c r="P589" i="43"/>
  <c r="P588" i="43"/>
  <c r="P587" i="43"/>
  <c r="P586" i="43"/>
  <c r="P585" i="43"/>
  <c r="P584" i="43"/>
  <c r="P583" i="43"/>
  <c r="P582" i="43"/>
  <c r="P581" i="43"/>
  <c r="P580" i="43"/>
  <c r="P579" i="43"/>
  <c r="P578" i="43"/>
  <c r="P577" i="43"/>
  <c r="P576" i="43"/>
  <c r="P575" i="43"/>
  <c r="P574" i="43"/>
  <c r="P573" i="43"/>
  <c r="P572" i="43"/>
  <c r="P571" i="43"/>
  <c r="P570" i="43"/>
  <c r="P569" i="43"/>
  <c r="P568" i="43"/>
  <c r="P567" i="43"/>
  <c r="P566" i="43"/>
  <c r="P565" i="43"/>
  <c r="P564" i="43"/>
  <c r="P563" i="43"/>
  <c r="P562" i="43"/>
  <c r="P561" i="43"/>
  <c r="P560" i="43"/>
  <c r="P559" i="43"/>
  <c r="P558" i="43"/>
  <c r="P557" i="43"/>
  <c r="P556" i="43"/>
  <c r="P555" i="43"/>
  <c r="P554" i="43"/>
  <c r="P553" i="43"/>
  <c r="P552" i="43"/>
  <c r="P551" i="43"/>
  <c r="P550" i="43"/>
  <c r="P549" i="43"/>
  <c r="P548" i="43"/>
  <c r="P547" i="43"/>
  <c r="P546" i="43"/>
  <c r="P545" i="43"/>
  <c r="P544" i="43"/>
  <c r="P543" i="43"/>
  <c r="P542" i="43"/>
  <c r="P541" i="43"/>
  <c r="P540" i="43"/>
  <c r="P539" i="43"/>
  <c r="P538" i="43"/>
  <c r="P537" i="43"/>
  <c r="P536" i="43"/>
  <c r="P535" i="43"/>
  <c r="P534" i="43"/>
  <c r="P533" i="43"/>
  <c r="P532" i="43"/>
  <c r="P531" i="43"/>
  <c r="P530" i="43"/>
  <c r="P529" i="43"/>
  <c r="P528" i="43"/>
  <c r="P527" i="43"/>
  <c r="P526" i="43"/>
  <c r="P525" i="43"/>
  <c r="P524" i="43"/>
  <c r="P523" i="43"/>
  <c r="P522" i="43"/>
  <c r="P521" i="43"/>
  <c r="P520" i="43"/>
  <c r="P519" i="43"/>
  <c r="P518" i="43"/>
  <c r="P517" i="43"/>
  <c r="P516" i="43"/>
  <c r="P515" i="43"/>
  <c r="P514" i="43"/>
  <c r="P513" i="43"/>
  <c r="P512" i="43"/>
  <c r="P511" i="43"/>
  <c r="P510" i="43"/>
  <c r="P509" i="43"/>
  <c r="P508" i="43"/>
  <c r="P507" i="43"/>
  <c r="P506" i="43"/>
  <c r="P505" i="43"/>
  <c r="P504" i="43"/>
  <c r="P503" i="43"/>
  <c r="P502" i="43"/>
  <c r="P501" i="43"/>
  <c r="P500" i="43"/>
  <c r="P499" i="43"/>
  <c r="P498" i="43"/>
  <c r="P497" i="43"/>
  <c r="P496" i="43"/>
  <c r="P495" i="43"/>
  <c r="P494" i="43"/>
  <c r="P493" i="43"/>
  <c r="P492" i="43"/>
  <c r="P491" i="43"/>
  <c r="P490" i="43"/>
  <c r="P489" i="43"/>
  <c r="P488" i="43"/>
  <c r="P487" i="43"/>
  <c r="P486" i="43"/>
  <c r="P485" i="43"/>
  <c r="P484" i="43"/>
  <c r="P483" i="43"/>
  <c r="P482" i="43"/>
  <c r="P481" i="43"/>
  <c r="P480" i="43"/>
  <c r="P479" i="43"/>
  <c r="P478" i="43"/>
  <c r="P477" i="43"/>
  <c r="P476" i="43"/>
  <c r="P475" i="43"/>
  <c r="P474" i="43"/>
  <c r="P473" i="43"/>
  <c r="P472" i="43"/>
  <c r="P471" i="43"/>
  <c r="P470" i="43"/>
  <c r="P469" i="43"/>
  <c r="P468" i="43"/>
  <c r="P467" i="43"/>
  <c r="P466" i="43"/>
  <c r="P465" i="43"/>
  <c r="P464" i="43"/>
  <c r="P463" i="43"/>
  <c r="P462" i="43"/>
  <c r="P461" i="43"/>
  <c r="P460" i="43"/>
  <c r="P459" i="43"/>
  <c r="P458" i="43"/>
  <c r="P457" i="43"/>
  <c r="P456" i="43"/>
  <c r="P455" i="43"/>
  <c r="P454" i="43"/>
  <c r="P453" i="43"/>
  <c r="P452" i="43"/>
  <c r="P451" i="43"/>
  <c r="P450" i="43"/>
  <c r="P449" i="43"/>
  <c r="P448" i="43"/>
  <c r="P447" i="43"/>
  <c r="P446" i="43"/>
  <c r="P445" i="43"/>
  <c r="P444" i="43"/>
  <c r="P443" i="43"/>
  <c r="P442" i="43"/>
  <c r="P441" i="43"/>
  <c r="P440" i="43"/>
  <c r="P439" i="43"/>
  <c r="P438" i="43"/>
  <c r="P437" i="43"/>
  <c r="P436" i="43"/>
  <c r="P435" i="43"/>
  <c r="P434" i="43"/>
  <c r="P433" i="43"/>
  <c r="P432" i="43"/>
  <c r="P431" i="43"/>
  <c r="P430" i="43"/>
  <c r="P429" i="43"/>
  <c r="P428" i="43"/>
  <c r="P427" i="43"/>
  <c r="P426" i="43"/>
  <c r="P425" i="43"/>
  <c r="P424" i="43"/>
  <c r="P423" i="43"/>
  <c r="P422" i="43"/>
  <c r="P421" i="43"/>
  <c r="P420" i="43"/>
  <c r="P419" i="43"/>
  <c r="P418" i="43"/>
  <c r="P417" i="43"/>
  <c r="P416" i="43"/>
  <c r="P415" i="43"/>
  <c r="P414" i="43"/>
  <c r="P413" i="43"/>
  <c r="P412" i="43"/>
  <c r="P411" i="43"/>
  <c r="P410" i="43"/>
  <c r="P409" i="43"/>
  <c r="P408" i="43"/>
  <c r="P407" i="43"/>
  <c r="P406" i="43"/>
  <c r="P405" i="43"/>
  <c r="P404" i="43"/>
  <c r="P403" i="43"/>
  <c r="P402" i="43"/>
  <c r="P401" i="43"/>
  <c r="P400" i="43"/>
  <c r="P399" i="43"/>
  <c r="P398" i="43"/>
  <c r="P397" i="43"/>
  <c r="P396" i="43"/>
  <c r="P395" i="43"/>
  <c r="P394" i="43"/>
  <c r="P393" i="43"/>
  <c r="P392" i="43"/>
  <c r="P391" i="43"/>
  <c r="P390" i="43"/>
  <c r="P389" i="43"/>
  <c r="P388" i="43"/>
  <c r="P387" i="43"/>
  <c r="P386" i="43"/>
  <c r="P385" i="43"/>
  <c r="P384" i="43"/>
  <c r="P383" i="43"/>
  <c r="P382" i="43"/>
  <c r="P381" i="43"/>
  <c r="P380" i="43"/>
  <c r="P379" i="43"/>
  <c r="P378" i="43"/>
  <c r="P377" i="43"/>
  <c r="P376" i="43"/>
  <c r="P375" i="43"/>
  <c r="P374" i="43"/>
  <c r="P373" i="43"/>
  <c r="P372" i="43"/>
  <c r="P371" i="43"/>
  <c r="P370" i="43"/>
  <c r="P369" i="43"/>
  <c r="P368" i="43"/>
  <c r="P367" i="43"/>
  <c r="P366" i="43"/>
  <c r="P365" i="43"/>
  <c r="P364" i="43"/>
  <c r="P363" i="43"/>
  <c r="P362" i="43"/>
  <c r="P361" i="43"/>
  <c r="P360" i="43"/>
  <c r="P359" i="43"/>
  <c r="P358" i="43"/>
  <c r="P357" i="43"/>
  <c r="P356" i="43"/>
  <c r="P355" i="43"/>
  <c r="P354" i="43"/>
  <c r="P353" i="43"/>
  <c r="P352" i="43"/>
  <c r="P351" i="43"/>
  <c r="P350" i="43"/>
  <c r="P349" i="43"/>
  <c r="P348" i="43"/>
  <c r="P347" i="43"/>
  <c r="P346" i="43"/>
  <c r="P345" i="43"/>
  <c r="P344" i="43"/>
  <c r="P343" i="43"/>
  <c r="P342" i="43"/>
  <c r="P341" i="43"/>
  <c r="P340" i="43"/>
  <c r="P339" i="43"/>
  <c r="P338" i="43"/>
  <c r="P337" i="43"/>
  <c r="P336" i="43"/>
  <c r="P335" i="43"/>
  <c r="P334" i="43"/>
  <c r="P333" i="43"/>
  <c r="P332" i="43"/>
  <c r="P331" i="43"/>
  <c r="P330" i="43"/>
  <c r="P329" i="43"/>
  <c r="P328" i="43"/>
  <c r="P327" i="43"/>
  <c r="P326" i="43"/>
  <c r="P325" i="43"/>
  <c r="P324" i="43"/>
  <c r="P323" i="43"/>
  <c r="P322" i="43"/>
  <c r="P321" i="43"/>
  <c r="P320" i="43"/>
  <c r="P319" i="43"/>
  <c r="P318" i="43"/>
  <c r="P317" i="43"/>
  <c r="P316" i="43"/>
  <c r="P315" i="43"/>
  <c r="P314" i="43"/>
  <c r="P313" i="43"/>
  <c r="P312" i="43"/>
  <c r="P311" i="43"/>
  <c r="P310" i="43"/>
  <c r="P309" i="43"/>
  <c r="P308" i="43"/>
  <c r="P307" i="43"/>
  <c r="P306" i="43"/>
  <c r="P305" i="43"/>
  <c r="P304" i="43"/>
  <c r="P303" i="43"/>
  <c r="P302" i="43"/>
  <c r="P301" i="43"/>
  <c r="P300" i="43"/>
  <c r="P299" i="43"/>
  <c r="P298" i="43"/>
  <c r="P297" i="43"/>
  <c r="P296" i="43"/>
  <c r="P295" i="43"/>
  <c r="P294" i="43"/>
  <c r="P293" i="43"/>
  <c r="P292" i="43"/>
  <c r="P291" i="43"/>
  <c r="P290" i="43"/>
  <c r="P289" i="43"/>
  <c r="P288" i="43"/>
  <c r="P287" i="43"/>
  <c r="P286" i="43"/>
  <c r="P285" i="43"/>
  <c r="P284" i="43"/>
  <c r="P283" i="43"/>
  <c r="P282" i="43"/>
  <c r="P281" i="43"/>
  <c r="P280" i="43"/>
  <c r="P279" i="43"/>
  <c r="P278" i="43"/>
  <c r="P277" i="43"/>
  <c r="P276" i="43"/>
  <c r="P275" i="43"/>
  <c r="P274" i="43"/>
  <c r="P273" i="43"/>
  <c r="P272" i="43"/>
  <c r="P271" i="43"/>
  <c r="P270" i="43"/>
  <c r="P269" i="43"/>
  <c r="P268" i="43"/>
  <c r="P267" i="43"/>
  <c r="P266" i="43"/>
  <c r="P265" i="43"/>
  <c r="P264" i="43"/>
  <c r="P263" i="43"/>
  <c r="P262" i="43"/>
  <c r="P261" i="43"/>
  <c r="P260" i="43"/>
  <c r="P259" i="43"/>
  <c r="P258" i="43"/>
  <c r="P257" i="43"/>
  <c r="P256" i="43"/>
  <c r="P255" i="43"/>
  <c r="P254" i="43"/>
  <c r="P253" i="43"/>
  <c r="P252" i="43"/>
  <c r="P251" i="43"/>
  <c r="P250" i="43"/>
  <c r="P249" i="43"/>
  <c r="P248" i="43"/>
  <c r="P247" i="43"/>
  <c r="P246" i="43"/>
  <c r="P245" i="43"/>
  <c r="P244" i="43"/>
  <c r="P243" i="43"/>
  <c r="P242" i="43"/>
  <c r="P241" i="43"/>
  <c r="P240" i="43"/>
  <c r="P239" i="43"/>
  <c r="P238" i="43"/>
  <c r="P237" i="43"/>
  <c r="P236" i="43"/>
  <c r="P235" i="43"/>
  <c r="P234" i="43"/>
  <c r="P233" i="43"/>
  <c r="P232" i="43"/>
  <c r="P231" i="43"/>
  <c r="P230" i="43"/>
  <c r="P229" i="43"/>
  <c r="P228" i="43"/>
  <c r="P227" i="43"/>
  <c r="P226" i="43"/>
  <c r="P225" i="43"/>
  <c r="P224" i="43"/>
  <c r="P223" i="43"/>
  <c r="P222" i="43"/>
  <c r="P221" i="43"/>
  <c r="P220" i="43"/>
  <c r="P219" i="43"/>
  <c r="P218" i="43"/>
  <c r="P217" i="43"/>
  <c r="P216" i="43"/>
  <c r="P215" i="43"/>
  <c r="P214" i="43"/>
  <c r="P213" i="43"/>
  <c r="P212" i="43"/>
  <c r="P211" i="43"/>
  <c r="P210" i="43"/>
  <c r="P209" i="43"/>
  <c r="P208" i="43"/>
  <c r="P207" i="43"/>
  <c r="P206" i="43"/>
  <c r="P205" i="43"/>
  <c r="P204" i="43"/>
  <c r="P203" i="43"/>
  <c r="P202" i="43"/>
  <c r="P201" i="43"/>
  <c r="P200" i="43"/>
  <c r="P199" i="43"/>
  <c r="P198" i="43"/>
  <c r="P197" i="43"/>
  <c r="P196" i="43"/>
  <c r="P195" i="43"/>
  <c r="P194" i="43"/>
  <c r="P193" i="43"/>
  <c r="P192" i="43"/>
  <c r="P191" i="43"/>
  <c r="P190" i="43"/>
  <c r="P189" i="43"/>
  <c r="P188" i="43"/>
  <c r="P187" i="43"/>
  <c r="P186" i="43"/>
  <c r="P185" i="43"/>
  <c r="P184" i="43"/>
  <c r="P183" i="43"/>
  <c r="P182" i="43"/>
  <c r="P181" i="43"/>
  <c r="P180" i="43"/>
  <c r="P179" i="43"/>
  <c r="P178" i="43"/>
  <c r="P177" i="43"/>
  <c r="P176" i="43"/>
  <c r="P175" i="43"/>
  <c r="P174" i="43"/>
  <c r="P173" i="43"/>
  <c r="P172" i="43"/>
  <c r="P171" i="43"/>
  <c r="P170" i="43"/>
  <c r="P169" i="43"/>
  <c r="P168" i="43"/>
  <c r="P167" i="43"/>
  <c r="P166" i="43"/>
  <c r="P165" i="43"/>
  <c r="P164" i="43"/>
  <c r="B164" i="4" s="1"/>
  <c r="P163" i="43"/>
  <c r="B163" i="4" s="1"/>
  <c r="P162" i="43"/>
  <c r="B162" i="4" s="1"/>
  <c r="P161" i="43"/>
  <c r="B161" i="4" s="1"/>
  <c r="P160" i="43"/>
  <c r="B160" i="4" s="1"/>
  <c r="P159" i="43"/>
  <c r="B159" i="4" s="1"/>
  <c r="P158" i="43"/>
  <c r="B158" i="4" s="1"/>
  <c r="P157" i="43"/>
  <c r="B157" i="4" s="1"/>
  <c r="P156" i="43"/>
  <c r="B156" i="4" s="1"/>
  <c r="P155" i="43"/>
  <c r="B155" i="4" s="1"/>
  <c r="P154" i="43"/>
  <c r="B154" i="4" s="1"/>
  <c r="P153" i="43"/>
  <c r="B153" i="4" s="1"/>
  <c r="P152" i="43"/>
  <c r="B152" i="4" s="1"/>
  <c r="P151" i="43"/>
  <c r="B151" i="4" s="1"/>
  <c r="P150" i="43"/>
  <c r="B150" i="4" s="1"/>
  <c r="P149" i="43"/>
  <c r="B149" i="4" s="1"/>
  <c r="P148" i="43"/>
  <c r="B148" i="4" s="1"/>
  <c r="P147" i="43"/>
  <c r="B147" i="4" s="1"/>
  <c r="P146" i="43"/>
  <c r="B146" i="4" s="1"/>
  <c r="P145" i="43"/>
  <c r="B145" i="4" s="1"/>
  <c r="P144" i="43"/>
  <c r="B144" i="4" s="1"/>
  <c r="P143" i="43"/>
  <c r="B143" i="4" s="1"/>
  <c r="P142" i="43"/>
  <c r="B142" i="4" s="1"/>
  <c r="P141" i="43"/>
  <c r="B141" i="4" s="1"/>
  <c r="P140" i="43"/>
  <c r="B140" i="4" s="1"/>
  <c r="P139" i="43"/>
  <c r="B139" i="4" s="1"/>
  <c r="P138" i="43"/>
  <c r="B138" i="4" s="1"/>
  <c r="P137" i="43"/>
  <c r="B137" i="4" s="1"/>
  <c r="P136" i="43"/>
  <c r="B136" i="4" s="1"/>
  <c r="P135" i="43"/>
  <c r="B135" i="4" s="1"/>
  <c r="P134" i="43"/>
  <c r="B134" i="4" s="1"/>
  <c r="P133" i="43"/>
  <c r="B133" i="4" s="1"/>
  <c r="P132" i="43"/>
  <c r="B132" i="4" s="1"/>
  <c r="P131" i="43"/>
  <c r="B131" i="4" s="1"/>
  <c r="P130" i="43"/>
  <c r="B130" i="4" s="1"/>
  <c r="P129" i="43"/>
  <c r="B129" i="4" s="1"/>
  <c r="P128" i="43"/>
  <c r="B128" i="4" s="1"/>
  <c r="P127" i="43"/>
  <c r="B127" i="4" s="1"/>
  <c r="P126" i="43"/>
  <c r="B126" i="4" s="1"/>
  <c r="P125" i="43"/>
  <c r="B125" i="4" s="1"/>
  <c r="P124" i="43"/>
  <c r="B124" i="4" s="1"/>
  <c r="P123" i="43"/>
  <c r="B123" i="4" s="1"/>
  <c r="P122" i="43"/>
  <c r="B122" i="4" s="1"/>
  <c r="P121" i="43"/>
  <c r="B121" i="4" s="1"/>
  <c r="P120" i="43"/>
  <c r="B120" i="4" s="1"/>
  <c r="P119" i="43"/>
  <c r="B119" i="4" s="1"/>
  <c r="P118" i="43"/>
  <c r="B118" i="4" s="1"/>
  <c r="P117" i="43"/>
  <c r="B117" i="4" s="1"/>
  <c r="P116" i="43"/>
  <c r="B116" i="4" s="1"/>
  <c r="P115" i="43"/>
  <c r="B115" i="4" s="1"/>
  <c r="P114" i="43"/>
  <c r="P113" i="43"/>
  <c r="P112" i="43"/>
  <c r="P111" i="43"/>
  <c r="P110" i="43"/>
  <c r="P109" i="43"/>
  <c r="P108" i="43"/>
  <c r="P107" i="43"/>
  <c r="P106" i="43"/>
  <c r="P105" i="43"/>
  <c r="P104" i="43"/>
  <c r="P103" i="43"/>
  <c r="P102" i="43"/>
  <c r="P101" i="43"/>
  <c r="P100" i="43"/>
  <c r="P99" i="43"/>
  <c r="P98" i="43"/>
  <c r="P97" i="43"/>
  <c r="P96" i="43"/>
  <c r="P95" i="43"/>
  <c r="P94" i="43"/>
  <c r="P93" i="43"/>
  <c r="P92" i="43"/>
  <c r="P91" i="43"/>
  <c r="P90" i="43"/>
  <c r="P89" i="43"/>
  <c r="P88" i="43"/>
  <c r="P87" i="43"/>
  <c r="P86" i="43"/>
  <c r="P85" i="43"/>
  <c r="P84" i="43"/>
  <c r="P83" i="43"/>
  <c r="P82" i="43"/>
  <c r="P81" i="43"/>
  <c r="P80" i="43"/>
  <c r="P79" i="43"/>
  <c r="P78" i="43"/>
  <c r="P77" i="43"/>
  <c r="P76" i="43"/>
  <c r="P75" i="43"/>
  <c r="P74" i="43"/>
  <c r="P73" i="43"/>
  <c r="P72" i="43"/>
  <c r="P71" i="43"/>
  <c r="P70" i="43"/>
  <c r="P69" i="43"/>
  <c r="P68" i="43"/>
  <c r="P67" i="43"/>
  <c r="P66" i="43"/>
  <c r="P65" i="43"/>
  <c r="P64" i="43"/>
  <c r="P63" i="43"/>
  <c r="P62" i="43"/>
  <c r="P61" i="43"/>
  <c r="P60" i="43"/>
  <c r="P59" i="43"/>
  <c r="P58" i="43"/>
  <c r="P57" i="43"/>
  <c r="P56" i="43"/>
  <c r="P55" i="43"/>
  <c r="P54" i="43"/>
  <c r="P53" i="43"/>
  <c r="P52" i="43"/>
  <c r="P51" i="43"/>
  <c r="P50" i="43"/>
  <c r="P49" i="43"/>
  <c r="P48" i="43"/>
  <c r="P47" i="43"/>
  <c r="P46" i="43"/>
  <c r="P45" i="43"/>
  <c r="P44" i="43"/>
  <c r="P43" i="43"/>
  <c r="P42" i="43"/>
  <c r="P41" i="43"/>
  <c r="P40" i="43"/>
  <c r="P39" i="43"/>
  <c r="P38" i="43"/>
  <c r="P37" i="43"/>
  <c r="P36" i="43"/>
  <c r="P35" i="43"/>
  <c r="P34" i="43"/>
  <c r="P33" i="43"/>
  <c r="P32" i="43"/>
  <c r="P31" i="43"/>
  <c r="P30" i="43"/>
  <c r="P29" i="43"/>
  <c r="P28" i="43"/>
  <c r="P27" i="43"/>
  <c r="P26" i="43"/>
  <c r="P25" i="43"/>
  <c r="P24" i="43"/>
  <c r="P23" i="43"/>
  <c r="P22" i="43"/>
  <c r="P21" i="43"/>
  <c r="P20" i="43"/>
  <c r="P19" i="43"/>
  <c r="P18" i="43"/>
  <c r="P17" i="43"/>
  <c r="P16" i="43"/>
  <c r="P15" i="43"/>
  <c r="P14" i="43"/>
  <c r="P13" i="43"/>
  <c r="P12" i="43"/>
  <c r="P11" i="43"/>
  <c r="P10" i="43"/>
  <c r="P9" i="43"/>
  <c r="P8" i="43"/>
  <c r="O8" i="43"/>
  <c r="J8" i="43"/>
  <c r="I8" i="43"/>
  <c r="P7" i="43"/>
  <c r="O7" i="43"/>
  <c r="I7" i="43"/>
  <c r="J7" i="43" s="1"/>
  <c r="P6" i="43"/>
  <c r="O6" i="43"/>
  <c r="J6" i="43"/>
  <c r="I6" i="43"/>
  <c r="P5" i="43"/>
  <c r="O5" i="43"/>
  <c r="I5" i="43"/>
  <c r="J5" i="43" s="1"/>
  <c r="P4" i="43"/>
  <c r="O4" i="43"/>
  <c r="J4" i="43"/>
  <c r="I4" i="43"/>
  <c r="P3" i="43"/>
  <c r="P2" i="43"/>
  <c r="B18" i="7" l="1"/>
  <c r="G18" i="7" s="1"/>
  <c r="B9" i="7"/>
  <c r="D9" i="7" s="1"/>
  <c r="G17" i="6"/>
  <c r="G23" i="6"/>
  <c r="D14" i="7"/>
  <c r="D17" i="54"/>
  <c r="B16" i="7"/>
  <c r="D16" i="7" s="1"/>
  <c r="D27" i="6"/>
  <c r="N9" i="9"/>
  <c r="D18" i="6"/>
  <c r="D24" i="6"/>
  <c r="D48" i="5"/>
  <c r="D32" i="6" s="1"/>
  <c r="C13" i="46"/>
  <c r="F11" i="54"/>
  <c r="G6" i="45"/>
  <c r="D12" i="45"/>
  <c r="E10" i="46"/>
  <c r="G21" i="6"/>
  <c r="G27" i="6"/>
  <c r="C17" i="46"/>
  <c r="D58" i="5"/>
  <c r="D42" i="6" s="1"/>
  <c r="D51" i="5"/>
  <c r="D35" i="6" s="1"/>
  <c r="E19" i="7"/>
  <c r="D13" i="45"/>
  <c r="K10" i="54"/>
  <c r="G22" i="6"/>
  <c r="B12" i="5"/>
  <c r="G26" i="6"/>
  <c r="D10" i="7"/>
  <c r="B12" i="7"/>
  <c r="G12" i="7" s="1"/>
  <c r="D11" i="7"/>
  <c r="D9" i="54"/>
  <c r="C8" i="46"/>
  <c r="F16" i="54"/>
  <c r="B11" i="5"/>
  <c r="D43" i="5"/>
  <c r="D52" i="5"/>
  <c r="D36" i="6" s="1"/>
  <c r="G18" i="6"/>
  <c r="G20" i="6"/>
  <c r="E14" i="45"/>
  <c r="G4" i="46" s="1"/>
  <c r="D6" i="45"/>
  <c r="D10" i="45"/>
  <c r="G12" i="45"/>
  <c r="F8" i="46"/>
  <c r="D13" i="46"/>
  <c r="D17" i="46"/>
  <c r="F9" i="54"/>
  <c r="G12" i="54"/>
  <c r="H12" i="54" s="1"/>
  <c r="F14" i="54"/>
  <c r="F15" i="54"/>
  <c r="C9" i="46"/>
  <c r="G13" i="46"/>
  <c r="G17" i="46"/>
  <c r="G11" i="54"/>
  <c r="G14" i="54"/>
  <c r="L14" i="54" s="1"/>
  <c r="K15" i="54"/>
  <c r="D50" i="5"/>
  <c r="D34" i="6" s="1"/>
  <c r="D17" i="6"/>
  <c r="B15" i="7"/>
  <c r="D15" i="7" s="1"/>
  <c r="D9" i="46"/>
  <c r="D14" i="46"/>
  <c r="F17" i="54"/>
  <c r="D23" i="6"/>
  <c r="G24" i="6"/>
  <c r="D18" i="7"/>
  <c r="G9" i="46"/>
  <c r="B15" i="46"/>
  <c r="K14" i="54"/>
  <c r="G19" i="6"/>
  <c r="B17" i="7"/>
  <c r="G17" i="7" s="1"/>
  <c r="D5" i="45"/>
  <c r="D9" i="45"/>
  <c r="D10" i="46"/>
  <c r="B16" i="46"/>
  <c r="C16" i="46"/>
  <c r="D55" i="5"/>
  <c r="D39" i="6" s="1"/>
  <c r="D13" i="7"/>
  <c r="B14" i="45"/>
  <c r="A5" i="7" s="1"/>
  <c r="G7" i="45"/>
  <c r="G9" i="45"/>
  <c r="B8" i="46"/>
  <c r="F11" i="46"/>
  <c r="F16" i="46"/>
  <c r="C19" i="54"/>
  <c r="D12" i="54"/>
  <c r="D14" i="54"/>
  <c r="D15" i="54"/>
  <c r="K16" i="54"/>
  <c r="K18" i="54"/>
  <c r="G25" i="6"/>
  <c r="C19" i="7"/>
  <c r="C14" i="45"/>
  <c r="C5" i="7" s="1"/>
  <c r="E19" i="54"/>
  <c r="D11" i="54"/>
  <c r="C116" i="4"/>
  <c r="C124" i="4"/>
  <c r="C132" i="4"/>
  <c r="E140" i="4"/>
  <c r="I140" i="4" s="1"/>
  <c r="E148" i="4"/>
  <c r="I148" i="4" s="1"/>
  <c r="E156" i="4"/>
  <c r="I156" i="4" s="1"/>
  <c r="E164" i="4"/>
  <c r="I164" i="4" s="1"/>
  <c r="D115" i="4"/>
  <c r="D116" i="4"/>
  <c r="D117" i="4"/>
  <c r="D118" i="4"/>
  <c r="D119" i="4"/>
  <c r="D120" i="4"/>
  <c r="D121" i="4"/>
  <c r="D122" i="4"/>
  <c r="D123" i="4"/>
  <c r="D124" i="4"/>
  <c r="D125" i="4"/>
  <c r="D126" i="4"/>
  <c r="D127" i="4"/>
  <c r="D128" i="4"/>
  <c r="D129" i="4"/>
  <c r="D130" i="4"/>
  <c r="D131" i="4"/>
  <c r="D132" i="4"/>
  <c r="D133" i="4"/>
  <c r="D134" i="4"/>
  <c r="D135" i="4"/>
  <c r="D136" i="4"/>
  <c r="D137" i="4"/>
  <c r="D138" i="4"/>
  <c r="E139" i="4"/>
  <c r="I139" i="4" s="1"/>
  <c r="F140" i="4"/>
  <c r="G141" i="4"/>
  <c r="H142" i="4"/>
  <c r="C145" i="4"/>
  <c r="D146" i="4"/>
  <c r="E147" i="4"/>
  <c r="I147" i="4" s="1"/>
  <c r="F148" i="4"/>
  <c r="G149" i="4"/>
  <c r="H150" i="4"/>
  <c r="C153" i="4"/>
  <c r="D154" i="4"/>
  <c r="E155" i="4"/>
  <c r="I155" i="4" s="1"/>
  <c r="F156" i="4"/>
  <c r="G157" i="4"/>
  <c r="H158" i="4"/>
  <c r="C161" i="4"/>
  <c r="D162" i="4"/>
  <c r="E163" i="4"/>
  <c r="I163" i="4" s="1"/>
  <c r="F164" i="4"/>
  <c r="B21" i="5"/>
  <c r="E116" i="4"/>
  <c r="I116" i="4" s="1"/>
  <c r="E117" i="4"/>
  <c r="I117" i="4" s="1"/>
  <c r="E118" i="4"/>
  <c r="I118" i="4" s="1"/>
  <c r="E123" i="4"/>
  <c r="I123" i="4" s="1"/>
  <c r="E124" i="4"/>
  <c r="I124" i="4" s="1"/>
  <c r="E125" i="4"/>
  <c r="I125" i="4" s="1"/>
  <c r="E126" i="4"/>
  <c r="I126" i="4" s="1"/>
  <c r="E127" i="4"/>
  <c r="I127" i="4" s="1"/>
  <c r="E131" i="4"/>
  <c r="I131" i="4" s="1"/>
  <c r="E132" i="4"/>
  <c r="I132" i="4" s="1"/>
  <c r="E133" i="4"/>
  <c r="I133" i="4" s="1"/>
  <c r="E134" i="4"/>
  <c r="I134" i="4" s="1"/>
  <c r="E135" i="4"/>
  <c r="I135" i="4" s="1"/>
  <c r="E136" i="4"/>
  <c r="I136" i="4" s="1"/>
  <c r="E137" i="4"/>
  <c r="I137" i="4" s="1"/>
  <c r="F139" i="4"/>
  <c r="G140" i="4"/>
  <c r="H141" i="4"/>
  <c r="C144" i="4"/>
  <c r="D145" i="4"/>
  <c r="F147" i="4"/>
  <c r="G148" i="4"/>
  <c r="H149" i="4"/>
  <c r="C152" i="4"/>
  <c r="D153" i="4"/>
  <c r="F155" i="4"/>
  <c r="G156" i="4"/>
  <c r="H157" i="4"/>
  <c r="C160" i="4"/>
  <c r="D161" i="4"/>
  <c r="F163" i="4"/>
  <c r="G164" i="4"/>
  <c r="G7" i="6"/>
  <c r="C13" i="6"/>
  <c r="B29" i="5"/>
  <c r="F115" i="4"/>
  <c r="F116" i="4"/>
  <c r="F117" i="4"/>
  <c r="F118" i="4"/>
  <c r="F119" i="4"/>
  <c r="F120" i="4"/>
  <c r="F121" i="4"/>
  <c r="F122" i="4"/>
  <c r="F123" i="4"/>
  <c r="F124" i="4"/>
  <c r="F125" i="4"/>
  <c r="F126" i="4"/>
  <c r="F127" i="4"/>
  <c r="F128" i="4"/>
  <c r="F129" i="4"/>
  <c r="F130" i="4"/>
  <c r="F131" i="4"/>
  <c r="F132" i="4"/>
  <c r="F133" i="4"/>
  <c r="F134" i="4"/>
  <c r="F135" i="4"/>
  <c r="F136" i="4"/>
  <c r="F137" i="4"/>
  <c r="F138" i="4"/>
  <c r="G139" i="4"/>
  <c r="H140" i="4"/>
  <c r="C143" i="4"/>
  <c r="D144" i="4"/>
  <c r="E145" i="4"/>
  <c r="I145" i="4" s="1"/>
  <c r="F146" i="4"/>
  <c r="G147" i="4"/>
  <c r="H148" i="4"/>
  <c r="C151" i="4"/>
  <c r="D152" i="4"/>
  <c r="E153" i="4"/>
  <c r="I153" i="4" s="1"/>
  <c r="F154" i="4"/>
  <c r="G155" i="4"/>
  <c r="H156" i="4"/>
  <c r="C159" i="4"/>
  <c r="D160" i="4"/>
  <c r="E161" i="4"/>
  <c r="I161" i="4" s="1"/>
  <c r="F162" i="4"/>
  <c r="G163" i="4"/>
  <c r="H164" i="4"/>
  <c r="G115" i="4"/>
  <c r="G116" i="4"/>
  <c r="G117" i="4"/>
  <c r="G118" i="4"/>
  <c r="G119" i="4"/>
  <c r="G120" i="4"/>
  <c r="G121" i="4"/>
  <c r="G122" i="4"/>
  <c r="G123" i="4"/>
  <c r="G124" i="4"/>
  <c r="G125" i="4"/>
  <c r="G126" i="4"/>
  <c r="G127" i="4"/>
  <c r="G128" i="4"/>
  <c r="G129" i="4"/>
  <c r="G130" i="4"/>
  <c r="G131" i="4"/>
  <c r="G132" i="4"/>
  <c r="G133" i="4"/>
  <c r="G134" i="4"/>
  <c r="G135" i="4"/>
  <c r="G136" i="4"/>
  <c r="G137" i="4"/>
  <c r="G138" i="4"/>
  <c r="H139" i="4"/>
  <c r="C142" i="4"/>
  <c r="D143" i="4"/>
  <c r="E144" i="4"/>
  <c r="I144" i="4" s="1"/>
  <c r="F145" i="4"/>
  <c r="G146" i="4"/>
  <c r="H147" i="4"/>
  <c r="C150" i="4"/>
  <c r="D151" i="4"/>
  <c r="E152" i="4"/>
  <c r="I152" i="4" s="1"/>
  <c r="F153" i="4"/>
  <c r="G154" i="4"/>
  <c r="H155" i="4"/>
  <c r="C158" i="4"/>
  <c r="D159" i="4"/>
  <c r="E160" i="4"/>
  <c r="I160" i="4" s="1"/>
  <c r="F161" i="4"/>
  <c r="G162" i="4"/>
  <c r="H163" i="4"/>
  <c r="B27" i="5"/>
  <c r="H115" i="4"/>
  <c r="H116" i="4"/>
  <c r="H117" i="4"/>
  <c r="H118" i="4"/>
  <c r="H119" i="4"/>
  <c r="H120" i="4"/>
  <c r="H121" i="4"/>
  <c r="H122" i="4"/>
  <c r="H123" i="4"/>
  <c r="H124" i="4"/>
  <c r="H125" i="4"/>
  <c r="H126" i="4"/>
  <c r="H127" i="4"/>
  <c r="H128" i="4"/>
  <c r="H129" i="4"/>
  <c r="H130" i="4"/>
  <c r="H131" i="4"/>
  <c r="H132" i="4"/>
  <c r="H133" i="4"/>
  <c r="H134" i="4"/>
  <c r="H135" i="4"/>
  <c r="H136" i="4"/>
  <c r="H137" i="4"/>
  <c r="H138" i="4"/>
  <c r="C141" i="4"/>
  <c r="D142" i="4"/>
  <c r="E143" i="4"/>
  <c r="I143" i="4" s="1"/>
  <c r="F144" i="4"/>
  <c r="G145" i="4"/>
  <c r="H146" i="4"/>
  <c r="C149" i="4"/>
  <c r="D150" i="4"/>
  <c r="E151" i="4"/>
  <c r="I151" i="4" s="1"/>
  <c r="F152" i="4"/>
  <c r="G153" i="4"/>
  <c r="H154" i="4"/>
  <c r="C157" i="4"/>
  <c r="D158" i="4"/>
  <c r="E159" i="4"/>
  <c r="I159" i="4" s="1"/>
  <c r="F160" i="4"/>
  <c r="G161" i="4"/>
  <c r="H162" i="4"/>
  <c r="D12" i="6"/>
  <c r="E12" i="6"/>
  <c r="C140" i="4"/>
  <c r="D141" i="4"/>
  <c r="E142" i="4"/>
  <c r="I142" i="4" s="1"/>
  <c r="F143" i="4"/>
  <c r="G144" i="4"/>
  <c r="H145" i="4"/>
  <c r="C148" i="4"/>
  <c r="D149" i="4"/>
  <c r="E150" i="4"/>
  <c r="I150" i="4" s="1"/>
  <c r="F151" i="4"/>
  <c r="G152" i="4"/>
  <c r="H153" i="4"/>
  <c r="C156" i="4"/>
  <c r="D157" i="4"/>
  <c r="E158" i="4"/>
  <c r="I158" i="4" s="1"/>
  <c r="F159" i="4"/>
  <c r="G160" i="4"/>
  <c r="H161" i="4"/>
  <c r="C164" i="4"/>
  <c r="A7" i="6"/>
  <c r="C11" i="6"/>
  <c r="B43" i="5"/>
  <c r="C139" i="4"/>
  <c r="D140" i="4"/>
  <c r="E141" i="4"/>
  <c r="I141" i="4" s="1"/>
  <c r="F142" i="4"/>
  <c r="G143" i="4"/>
  <c r="H144" i="4"/>
  <c r="C147" i="4"/>
  <c r="D148" i="4"/>
  <c r="E149" i="4"/>
  <c r="I149" i="4" s="1"/>
  <c r="F150" i="4"/>
  <c r="G151" i="4"/>
  <c r="H152" i="4"/>
  <c r="C155" i="4"/>
  <c r="D156" i="4"/>
  <c r="E157" i="4"/>
  <c r="I157" i="4" s="1"/>
  <c r="F158" i="4"/>
  <c r="G159" i="4"/>
  <c r="H160" i="4"/>
  <c r="C163" i="4"/>
  <c r="D164" i="4"/>
  <c r="B19" i="5"/>
  <c r="E7" i="6" s="1"/>
  <c r="C43" i="5"/>
  <c r="D53" i="5"/>
  <c r="D37" i="6" s="1"/>
  <c r="B59" i="5"/>
  <c r="B32" i="6"/>
  <c r="C35" i="6"/>
  <c r="C39" i="6"/>
  <c r="D56" i="5"/>
  <c r="D40" i="6" s="1"/>
  <c r="C59" i="5"/>
  <c r="H23" i="6"/>
  <c r="I23" i="6" s="1"/>
  <c r="H27" i="6"/>
  <c r="I27" i="6" s="1"/>
  <c r="H18" i="6"/>
  <c r="I18" i="6" s="1"/>
  <c r="H19" i="6"/>
  <c r="I19" i="6" s="1"/>
  <c r="I21" i="6"/>
  <c r="H22" i="6"/>
  <c r="I22" i="6" s="1"/>
  <c r="D54" i="5"/>
  <c r="D38" i="6" s="1"/>
  <c r="I20" i="6"/>
  <c r="D22" i="6"/>
  <c r="H26" i="6"/>
  <c r="I26" i="6" s="1"/>
  <c r="D26" i="6"/>
  <c r="D49" i="5"/>
  <c r="D33" i="6" s="1"/>
  <c r="D57" i="5"/>
  <c r="D41" i="6" s="1"/>
  <c r="D21" i="6"/>
  <c r="B34" i="6"/>
  <c r="C7" i="6"/>
  <c r="D20" i="6"/>
  <c r="H25" i="6"/>
  <c r="I25" i="6" s="1"/>
  <c r="D25" i="6"/>
  <c r="D47" i="5"/>
  <c r="D19" i="6"/>
  <c r="H24" i="6"/>
  <c r="I24" i="6" s="1"/>
  <c r="B9" i="9"/>
  <c r="J9" i="9"/>
  <c r="H16" i="54"/>
  <c r="L16" i="54"/>
  <c r="B26" i="55"/>
  <c r="B21" i="55"/>
  <c r="D11" i="45"/>
  <c r="D8" i="46"/>
  <c r="E9" i="46"/>
  <c r="F10" i="46"/>
  <c r="G11" i="46"/>
  <c r="B14" i="46"/>
  <c r="C15" i="46"/>
  <c r="D16" i="46"/>
  <c r="E17" i="46"/>
  <c r="G5" i="54"/>
  <c r="G9" i="54"/>
  <c r="D10" i="54"/>
  <c r="F12" i="54"/>
  <c r="K13" i="54"/>
  <c r="J16" i="54"/>
  <c r="G17" i="54"/>
  <c r="D18" i="54"/>
  <c r="D8" i="45"/>
  <c r="E8" i="46"/>
  <c r="F9" i="46"/>
  <c r="G10" i="46"/>
  <c r="B13" i="46"/>
  <c r="C14" i="46"/>
  <c r="D15" i="46"/>
  <c r="E16" i="46"/>
  <c r="F17" i="46"/>
  <c r="J11" i="54"/>
  <c r="D13" i="54"/>
  <c r="B19" i="54"/>
  <c r="G11" i="45"/>
  <c r="B12" i="46"/>
  <c r="E15" i="46"/>
  <c r="I9" i="54"/>
  <c r="F10" i="54"/>
  <c r="K11" i="54"/>
  <c r="G15" i="54"/>
  <c r="D16" i="54"/>
  <c r="F18" i="54"/>
  <c r="G8" i="45"/>
  <c r="G8" i="46"/>
  <c r="B11" i="46"/>
  <c r="C12" i="46"/>
  <c r="E14" i="46"/>
  <c r="F15" i="46"/>
  <c r="G16" i="46"/>
  <c r="J9" i="54"/>
  <c r="G10" i="54"/>
  <c r="I12" i="54"/>
  <c r="F13" i="54"/>
  <c r="J17" i="54"/>
  <c r="G18" i="54"/>
  <c r="G5" i="45"/>
  <c r="D7" i="45"/>
  <c r="G13" i="45"/>
  <c r="B10" i="46"/>
  <c r="C11" i="46"/>
  <c r="D12" i="46"/>
  <c r="E13" i="46"/>
  <c r="F14" i="46"/>
  <c r="K9" i="54"/>
  <c r="J12" i="54"/>
  <c r="G13" i="54"/>
  <c r="K17" i="54"/>
  <c r="D4" i="45"/>
  <c r="G10" i="45"/>
  <c r="D11" i="46"/>
  <c r="E12" i="46"/>
  <c r="F12" i="46"/>
  <c r="G9" i="7" l="1"/>
  <c r="C4" i="46"/>
  <c r="B4" i="47"/>
  <c r="C5" i="54" s="1"/>
  <c r="H14" i="54"/>
  <c r="D12" i="7"/>
  <c r="A4" i="46"/>
  <c r="G16" i="7"/>
  <c r="A4" i="47"/>
  <c r="L12" i="54"/>
  <c r="D14" i="45"/>
  <c r="E5" i="7" s="1"/>
  <c r="B19" i="7"/>
  <c r="G19" i="7" s="1"/>
  <c r="G15" i="7"/>
  <c r="H10" i="46"/>
  <c r="C18" i="46"/>
  <c r="G18" i="46"/>
  <c r="H17" i="46"/>
  <c r="H16" i="46"/>
  <c r="B32" i="54"/>
  <c r="C32" i="54" s="1"/>
  <c r="J44" i="7" s="1"/>
  <c r="D19" i="54"/>
  <c r="F18" i="46"/>
  <c r="L11" i="54"/>
  <c r="H11" i="54"/>
  <c r="H9" i="46"/>
  <c r="H15" i="46"/>
  <c r="D17" i="7"/>
  <c r="H10" i="54"/>
  <c r="L10" i="54"/>
  <c r="H12" i="46"/>
  <c r="E13" i="6"/>
  <c r="D13" i="6"/>
  <c r="L17" i="54"/>
  <c r="H17" i="54"/>
  <c r="H13" i="54"/>
  <c r="L13" i="54"/>
  <c r="H8" i="46"/>
  <c r="J19" i="54"/>
  <c r="H13" i="46"/>
  <c r="H14" i="46"/>
  <c r="L15" i="54"/>
  <c r="H15" i="54"/>
  <c r="A9" i="9"/>
  <c r="C510" i="9"/>
  <c r="H18" i="54"/>
  <c r="L18" i="54"/>
  <c r="E18" i="46"/>
  <c r="B28" i="54"/>
  <c r="B23" i="54"/>
  <c r="B26" i="54"/>
  <c r="L9" i="54"/>
  <c r="B24" i="54"/>
  <c r="B27" i="54"/>
  <c r="H9" i="54"/>
  <c r="B25" i="54"/>
  <c r="B18" i="46"/>
  <c r="D31" i="6"/>
  <c r="D59" i="5"/>
  <c r="H11" i="46"/>
  <c r="D18" i="46"/>
  <c r="E11" i="6"/>
  <c r="D11" i="6"/>
  <c r="C4" i="47" l="1"/>
  <c r="D19" i="7"/>
  <c r="E4" i="46"/>
  <c r="E28" i="54"/>
  <c r="D28" i="54"/>
  <c r="E25" i="54"/>
  <c r="D25" i="54"/>
  <c r="E24" i="54"/>
  <c r="D24" i="54"/>
  <c r="D26" i="54"/>
  <c r="E26" i="54"/>
  <c r="E23" i="54"/>
  <c r="D23" i="54"/>
  <c r="E27" i="54"/>
  <c r="D27" i="54"/>
  <c r="H18" i="46"/>
</calcChain>
</file>

<file path=xl/sharedStrings.xml><?xml version="1.0" encoding="utf-8"?>
<sst xmlns="http://schemas.openxmlformats.org/spreadsheetml/2006/main" count="8306" uniqueCount="1378">
  <si>
    <t>🏦  LOANS DATABASE — All Agents Combined</t>
  </si>
  <si>
    <t>Year</t>
  </si>
  <si>
    <t>Total Repayable = Loan Amount + (Loan Amount × Rate% × Months) | Status: Pending → Approved</t>
  </si>
  <si>
    <t>Loan_ID</t>
  </si>
  <si>
    <t>Account_No</t>
  </si>
  <si>
    <t>Customer_Name</t>
  </si>
  <si>
    <t>Request_Date</t>
  </si>
  <si>
    <t>Loan_Amount</t>
  </si>
  <si>
    <t>Purpose</t>
  </si>
  <si>
    <t>Months</t>
  </si>
  <si>
    <t>Rate_%</t>
  </si>
  <si>
    <t>Total_Repayable</t>
  </si>
  <si>
    <t>Monthly_Installment</t>
  </si>
  <si>
    <t>Status</t>
  </si>
  <si>
    <t>Agent</t>
  </si>
  <si>
    <t>Note</t>
  </si>
  <si>
    <t>Lock_Status</t>
  </si>
  <si>
    <t>Rate_Format_Check</t>
  </si>
  <si>
    <t>🏦  SAMICIOUS MICROFINANCE</t>
  </si>
  <si>
    <t>SAMICIOUS MICROFINANCE MANAGEMENT SYSTEM  |  Developer Information</t>
  </si>
  <si>
    <t>ABOUT THE DEVELOPER</t>
  </si>
  <si>
    <t>THIS SAMICIOUS MICROFINANCE MANAGEMENT SYSTEM WAS DESIGNED AND DEVELOPED BY</t>
  </si>
  <si>
    <t>FRANK ABBAN</t>
  </si>
  <si>
    <t>IT CONSULTANT</t>
  </si>
  <si>
    <t>📞  FOR ALL ENQUIRIES, KINDLY REACH OUT USING ANY OF THE CONTACT NUMBERS BELOW:</t>
  </si>
  <si>
    <t>📱  0241911273</t>
  </si>
  <si>
    <t>📱  0207530771</t>
  </si>
  <si>
    <t>📋  Select any phone number above → Ctrl+C to copy</t>
  </si>
  <si>
    <t>SAMICIOUS MICROFINANCE MANAGEMENT SYSTEM  —  v12.0  |  Built with Excel + Formula-Driven Architecture</t>
  </si>
  <si>
    <t>SAMICIOUS MICROFINANCE MANAGEMENT SYSTEM  |  Official Documentation</t>
  </si>
  <si>
    <t>ACKNOWLEDGEMENT</t>
  </si>
  <si>
    <t>I give all glory to the Almighty God for His grace, strength, and wisdom that have guided me throughout this journey. Without His divine support, this achievement would not have been possible.</t>
  </si>
  <si>
    <t>I sincerely appreciate Dr. Gabriel Annan, Lecturer at the University of Cape Coast (UCC), for his mentorship, guidance, and commitment to excellence in the field of Information Technology.</t>
  </si>
  <si>
    <t>I am deeply grateful to Rev. Ebenezer Asibu Dadzie for his spiritual guidance, encouragement, and prayers, which strengthened me during challenging moments.</t>
  </si>
  <si>
    <t>Special thanks to Mr. Addu Gyamfi, CEO of Samicious Microfinance, for his trust and confidence in my ability to serve as his IT software developer.</t>
  </si>
  <si>
    <t>To my beloved wife and children, your patience, sacrifices, and unwavering support have been invaluable. Your love continues to inspire and sustain me.</t>
  </si>
  <si>
    <t>Through your collective support, this vision has been successfully realized.</t>
  </si>
  <si>
    <t>📖  BIBLICAL SUPPORT</t>
  </si>
  <si>
    <t>"I can do all things through Christ who strengthens me."</t>
  </si>
  <si>
    <t>— Philippians 4:13</t>
  </si>
  <si>
    <t>A  M  E  N</t>
  </si>
  <si>
    <t>© Samicious Microfinance Management System — Developed by Frank Abban, IT Consultant</t>
  </si>
  <si>
    <t>🏦  SAMICIOUS MICROFINANCE — YEAR CONTROL CENTRE</t>
  </si>
  <si>
    <t>Change the Selected Year below → the ENTIRE SYSTEM updates instantly</t>
  </si>
  <si>
    <t>Selected Year</t>
  </si>
  <si>
    <t>← Select a year or "All Years" from the dropdown</t>
  </si>
  <si>
    <t>HOW IT WORKS</t>
  </si>
  <si>
    <t>Step 1</t>
  </si>
  <si>
    <t>Open this sheet and change cell B3 to the desired year</t>
  </si>
  <si>
    <t>Step 2</t>
  </si>
  <si>
    <t>Go to 🔧 Dynamic Hub — all filtered data instantly reflects the chosen year</t>
  </si>
  <si>
    <t>Step 3</t>
  </si>
  <si>
    <t>Visit 📊 Multi-Year Dashboard for charts and KPIs filtered to that year</t>
  </si>
  <si>
    <t>Step 4</t>
  </si>
  <si>
    <t>Use 🧮 TimeCalc for YTD, Rolling 12-Month, and Year-over-Year metrics</t>
  </si>
  <si>
    <t>All Years</t>
  </si>
  <si>
    <t>Select "All Years" to see the full history across 2026–2036+</t>
  </si>
  <si>
    <t>CURRENT SETTINGS</t>
  </si>
  <si>
    <t>System Version</t>
  </si>
  <si>
    <t>v11.0 — Multi-Year Enterprise Rebuild</t>
  </si>
  <si>
    <t>Currency</t>
  </si>
  <si>
    <t>GHC (Ghana Cedis)</t>
  </si>
  <si>
    <t>Interest Rate</t>
  </si>
  <si>
    <t>2.5% per month flat</t>
  </si>
  <si>
    <t>Min Balance</t>
  </si>
  <si>
    <t>GHC 10.00</t>
  </si>
  <si>
    <t>Agents</t>
  </si>
  <si>
    <t>10 Active Agents</t>
  </si>
  <si>
    <t>Data Sources</t>
  </si>
  <si>
    <t>DB_Savings | DB_Withdrawals | DB_Loans | DB_Customers</t>
  </si>
  <si>
    <t>🔧  DYNAMIC HUB — Year-Filtered Views of All Core Databases</t>
  </si>
  <si>
    <t>All tables below automatically filter to the year selected in 📅 Year Control (cell B3)</t>
  </si>
  <si>
    <t>Active Year Filter:</t>
  </si>
  <si>
    <t>📊  SECTION A — SAVINGS  |  Year-Filtered from DB_Savings</t>
  </si>
  <si>
    <t>#</t>
  </si>
  <si>
    <t>Transaction ID</t>
  </si>
  <si>
    <t>Account No</t>
  </si>
  <si>
    <t>Customer Name</t>
  </si>
  <si>
    <t>Date</t>
  </si>
  <si>
    <t>Amount (GHC)</t>
  </si>
  <si>
    <t>📊  SECTION B — WITHDRAWALS  |  Year-Filtered from DB_Withdrawals</t>
  </si>
  <si>
    <t>📊  SECTION C — LOANS  |  Year-Filtered from DB_Loans</t>
  </si>
  <si>
    <t>Loan ID</t>
  </si>
  <si>
    <t>Customer</t>
  </si>
  <si>
    <t>Request Date</t>
  </si>
  <si>
    <t>Loan Amt (GHC)</t>
  </si>
  <si>
    <t>Rate %</t>
  </si>
  <si>
    <t>🧮  TIME INTELLIGENCE — YTD | Rolling 12M | Year-over-Year</t>
  </si>
  <si>
    <t>All calculations driven by SelectedYear (📅 Year Control B3)  |  Today: 23 Apr 2026</t>
  </si>
  <si>
    <t>Active Year:</t>
  </si>
  <si>
    <t>💰  SAVINGS — Time Intelligence</t>
  </si>
  <si>
    <t>Metric</t>
  </si>
  <si>
    <t>Value (GHC)</t>
  </si>
  <si>
    <t>Description</t>
  </si>
  <si>
    <t>Total Savings (Selected Year)</t>
  </si>
  <si>
    <t>Total savings for the selected year</t>
  </si>
  <si>
    <t>YTD Savings (Jan–Today, Sel. Year)</t>
  </si>
  <si>
    <t>Jan 1 of selected year to today</t>
  </si>
  <si>
    <t>Rolling 12-Month Savings</t>
  </si>
  <si>
    <t>Last 365 days from today</t>
  </si>
  <si>
    <t>Prior Year Savings</t>
  </si>
  <si>
    <t>Savings in year before selected year</t>
  </si>
  <si>
    <t>YoY Growth (Savings)</t>
  </si>
  <si>
    <t>% change vs prior year</t>
  </si>
  <si>
    <t>Avg Monthly Savings (Sel. Year)</t>
  </si>
  <si>
    <t>Annual total ÷ 12</t>
  </si>
  <si>
    <t>Avg Daily Savings (Sel. Year)</t>
  </si>
  <si>
    <t>Annual total ÷ 365</t>
  </si>
  <si>
    <t>🏧  WITHDRAWALS — Time Intelligence</t>
  </si>
  <si>
    <t>Total Withdrawals (Selected Year)</t>
  </si>
  <si>
    <t>Total withdrawals for selected year</t>
  </si>
  <si>
    <t>YTD Withdrawals</t>
  </si>
  <si>
    <t>Jan 1 to today, selected year</t>
  </si>
  <si>
    <t>Net Flow (Savings − Withdrawals)</t>
  </si>
  <si>
    <t>Net cash movement for selected year</t>
  </si>
  <si>
    <t>Prior Year Withdrawals</t>
  </si>
  <si>
    <t>Prior year total</t>
  </si>
  <si>
    <t>YoY Growth (Withdrawals)</t>
  </si>
  <si>
    <t>🏦  LOANS — Time Intelligence</t>
  </si>
  <si>
    <t>Total Loans Issued (Sel. Year)</t>
  </si>
  <si>
    <t>Sum of approved loans for year</t>
  </si>
  <si>
    <t>Loan Count (Sel. Year)</t>
  </si>
  <si>
    <t>Number of loan transactions</t>
  </si>
  <si>
    <t>Avg Loan Size (Sel. Year)</t>
  </si>
  <si>
    <t>Average loan disbursed</t>
  </si>
  <si>
    <t>Total Repayable (Sel. Year)</t>
  </si>
  <si>
    <t>Principal + interest total</t>
  </si>
  <si>
    <t>Estimated Interest Income</t>
  </si>
  <si>
    <t>Total repayable minus principal</t>
  </si>
  <si>
    <t>👥  AGENT PERFORMANCE SUMMARY — Selected Year</t>
  </si>
  <si>
    <t>Savings (GHC)</t>
  </si>
  <si>
    <t>Withdrawals (GHC)</t>
  </si>
  <si>
    <t>Loan Requests</t>
  </si>
  <si>
    <t>Agent 01</t>
  </si>
  <si>
    <t>Agent 02</t>
  </si>
  <si>
    <t>Agent 03</t>
  </si>
  <si>
    <t>Agent 04</t>
  </si>
  <si>
    <t>Agent 05</t>
  </si>
  <si>
    <t>Agent 06</t>
  </si>
  <si>
    <t>Agent 07</t>
  </si>
  <si>
    <t>Agent 08</t>
  </si>
  <si>
    <t>Agent 09</t>
  </si>
  <si>
    <t>Agent 10</t>
  </si>
  <si>
    <t>TOTALS</t>
  </si>
  <si>
    <t>📅  MONTHLY TREND — Selected Year (Savings vs Withdrawals)</t>
  </si>
  <si>
    <t>Month</t>
  </si>
  <si>
    <t>Net Flow (GHC)</t>
  </si>
  <si>
    <t>Jan</t>
  </si>
  <si>
    <t>Feb</t>
  </si>
  <si>
    <t>Mar</t>
  </si>
  <si>
    <t>Apr</t>
  </si>
  <si>
    <t>May</t>
  </si>
  <si>
    <t>Jun</t>
  </si>
  <si>
    <t>Jul</t>
  </si>
  <si>
    <t>Aug</t>
  </si>
  <si>
    <t>Sep</t>
  </si>
  <si>
    <t>Oct</t>
  </si>
  <si>
    <t>Nov</t>
  </si>
  <si>
    <t>Dec</t>
  </si>
  <si>
    <t>TOTAL</t>
  </si>
  <si>
    <t>📊  SAMICIOUS MICROFINANCE — MULTI-YEAR PERFORMANCE DASHBOARD</t>
  </si>
  <si>
    <t>All KPIs and tables below update automatically when you change the year in 📅 Year Control</t>
  </si>
  <si>
    <t>📅 Selected Year:</t>
  </si>
  <si>
    <t>← To change year: go to 📅 Year Control sheet → cell B3</t>
  </si>
  <si>
    <t>📊  KEY PERFORMANCE INDICATORS — Selected Year</t>
  </si>
  <si>
    <t>💰 Total Savings (GHC)</t>
  </si>
  <si>
    <t>🏧 Total Withdrawals (GHC)</t>
  </si>
  <si>
    <t>📈 Net Cash Flow (GHC)</t>
  </si>
  <si>
    <t>🏦 Total Loans (GHC)</t>
  </si>
  <si>
    <t>📊 Loan Count</t>
  </si>
  <si>
    <t>📈  YEAR-OVER-YEAR COMPARISON — Selected Year vs Prior Year</t>
  </si>
  <si>
    <t>Prior Year</t>
  </si>
  <si>
    <t>Change (GHC)</t>
  </si>
  <si>
    <t>Growth %</t>
  </si>
  <si>
    <t>Total Savings</t>
  </si>
  <si>
    <t>Total Withdrawals</t>
  </si>
  <si>
    <t>Total Loans</t>
  </si>
  <si>
    <t>📅  11-YEAR TREND OVERVIEW (2026 – 2036)  |  Static Year-by-Year Summary</t>
  </si>
  <si>
    <t>Net Flow</t>
  </si>
  <si>
    <t>Loans (GHC)</t>
  </si>
  <si>
    <t>Loan Count</t>
  </si>
  <si>
    <t>Avg Loan</t>
  </si>
  <si>
    <t>Prior Yr Sav</t>
  </si>
  <si>
    <t>YoY Growth</t>
  </si>
  <si>
    <t>📊  MONTHLY BREAKDOWN — Selected Year (linked from 🧮 TimeCalc)</t>
  </si>
  <si>
    <t>🏦  SAMICIOUS MICROFINANCE — MANAGER COMMAND CENTER</t>
  </si>
  <si>
    <t>💰 Today Savings</t>
  </si>
  <si>
    <t>🏧 Today Withdrawals</t>
  </si>
  <si>
    <t>📈 Net Today</t>
  </si>
  <si>
    <t>👥 Active Customers</t>
  </si>
  <si>
    <t>🔔 Pending Loans</t>
  </si>
  <si>
    <t>🏦 Loan Portfolio</t>
  </si>
  <si>
    <t>📊  REAL-TIME AGENT PERFORMANCE — Linked to Centralized DB</t>
  </si>
  <si>
    <t>Today Savings</t>
  </si>
  <si>
    <t>Today Withdrawals</t>
  </si>
  <si>
    <t>Net</t>
  </si>
  <si>
    <t>Transactions</t>
  </si>
  <si>
    <t>Target</t>
  </si>
  <si>
    <t>% of Target</t>
  </si>
  <si>
    <t>MTD Savings</t>
  </si>
  <si>
    <t>Active Cust.</t>
  </si>
  <si>
    <t>📋  CUSTOMER &amp; LOAN SUMMARY</t>
  </si>
  <si>
    <t>🔗  NAVIGATION GUIDE
• Account_Opening → Create new customers
• Agent01-10_Savings → Record savings
• Agent01-10_Withdrawals → Process withdrawals
• Agent01-10_Loans → Submit loan requests
• DB_Customers → Master customer database
• DB_Savings / DB_Withdrawals / DB_Loans → Central records
• Daily/Weekly/Monthly_Balancing → Reports</t>
  </si>
  <si>
    <t>Total Customers</t>
  </si>
  <si>
    <t>Total Savings Portfolio</t>
  </si>
  <si>
    <t>Pending KYC</t>
  </si>
  <si>
    <t>Pending Loan Requests</t>
  </si>
  <si>
    <t>Approved Loans</t>
  </si>
  <si>
    <t>🆕 V5 SYSTEM UPGRADES ACTIVE</t>
  </si>
  <si>
    <t>✅</t>
  </si>
  <si>
    <t>Minimum Balance GHC 10 enforced on ALL withdrawals — non-withdrawable reserve</t>
  </si>
  <si>
    <t>Account opening requires minimum GHC 10 opening deposit</t>
  </si>
  <si>
    <t>Account Opening: DOB, Phone, Location, Next of Kin, ID Card Number fields added</t>
  </si>
  <si>
    <t>New account format: AGNT####-YYYYMMDD-XXXX with unique 4-digit agent codes</t>
  </si>
  <si>
    <t>Loan Calculator: Interest Rate displays as % format (fixed from GHC)</t>
  </si>
  <si>
    <t>Agent Security System: All transactions require agent to enter their unique 4-digit code</t>
  </si>
  <si>
    <t>Agent Code Validation: Name + Code match required before any transaction is recorded</t>
  </si>
  <si>
    <t>Blocked transactions show 🔒 BLOCKED — Wrong Code in Status column</t>
  </si>
  <si>
    <t>ID Card Number field: conditionally required when ID Type is selected (min 6 chars)</t>
  </si>
  <si>
    <t>DB_Agents: Working_Area column added for multi-layer agent validation</t>
  </si>
  <si>
    <t>System is formula-driven — no macro dependency for core validation logic</t>
  </si>
  <si>
    <t>🤖  AI INTELLIGENCE SUMMARY — Live Engine | See AI_Intelligence tab for full analysis</t>
  </si>
  <si>
    <t>Portfolio (GHC)</t>
  </si>
  <si>
    <t>Monthly Growth</t>
  </si>
  <si>
    <t>Risk Score</t>
  </si>
  <si>
    <t>Pending Alerts</t>
  </si>
  <si>
    <t>👤  NEW CUSTOMER ACCOUNT OPENING</t>
  </si>
  <si>
    <t>SAMICIOUS MICROFINANCE  |  Fill all required fields (*) → Account Number generates instantly</t>
  </si>
  <si>
    <t>⚡ Customer Database auto-populates AS YOU TYPE — no save or button required</t>
  </si>
  <si>
    <t>* First Name:</t>
  </si>
  <si>
    <t>* Last Name:</t>
  </si>
  <si>
    <t>* Date of Birth:</t>
  </si>
  <si>
    <t>* Phone Number:</t>
  </si>
  <si>
    <t>* Location:</t>
  </si>
  <si>
    <t>* Occupation:</t>
  </si>
  <si>
    <t>* Assign Agent:</t>
  </si>
  <si>
    <t>* Opening Balance (GHC):</t>
  </si>
  <si>
    <t xml:space="preserve">  Next of Kin (Optional):</t>
  </si>
  <si>
    <t xml:space="preserve">  ID Card Type (Optional):</t>
  </si>
  <si>
    <t xml:space="preserve">  ID Card Number:</t>
  </si>
  <si>
    <t>🔢  Account Number:</t>
  </si>
  <si>
    <t>🔴  GENERATE ACCOUNT</t>
  </si>
  <si>
    <t>📌  HOW TO CREATE AN ACCOUNT  (Formula-Driven — No Macros Required)</t>
  </si>
  <si>
    <t>Step 1:</t>
  </si>
  <si>
    <t>Fill ALL required fields (*): First Name, Last Name, DOB, Phone, Location, Occupation, Agent, Opening Balance (min GHC 10). If ID Card Type is selected, ID Card Number is also required (min 6 chars).</t>
  </si>
  <si>
    <t>Step 2:</t>
  </si>
  <si>
    <t>Watch the VALIDATION STATUS bar (row above button) — it shows ✅ when ready</t>
  </si>
  <si>
    <t>Step 3:</t>
  </si>
  <si>
    <t>Account Number AUTO-GENERATES in the gold cell above (no button click needed for formula!)</t>
  </si>
  <si>
    <t>Click GENERATE ACCOUNT (red button) only to run audit log — record already in Customer DB instantly</t>
  </si>
  <si>
    <t>Click GENERATE ACCOUNT (red button) to run the save macro — copies record to DB_Customers</t>
  </si>
  <si>
    <t>Step 5:</t>
  </si>
  <si>
    <t>Account is immediately available for Savings / Withdrawals / Loans across all agent sheets</t>
  </si>
  <si>
    <t>📋  SECTION 3: DECLARATION, SIGNATURE &amp; AUTHORISATION</t>
  </si>
  <si>
    <t>I hereby declare that all information provided is true and correct. I agree to the terms and conditions of SAMICIOUS MICROFINANCE LTD, including the minimum balance requirement of GHC 10.00.</t>
  </si>
  <si>
    <t>Customer Signature</t>
  </si>
  <si>
    <t>Agent Signature</t>
  </si>
  <si>
    <t>(Customer writes name here)</t>
  </si>
  <si>
    <t>(Agent writes name here)</t>
  </si>
  <si>
    <t>Frank Abban</t>
  </si>
  <si>
    <t>Musa Atta</t>
  </si>
  <si>
    <t>Approved By</t>
  </si>
  <si>
    <t>(Date account was opened)</t>
  </si>
  <si>
    <t>(Manager's name — enter or select)</t>
  </si>
  <si>
    <t>Deputy Head</t>
  </si>
  <si>
    <t>📋  RECENTLY CREATED ACCOUNTS (Last 5 — from DB_Customers)</t>
  </si>
  <si>
    <t>Phone</t>
  </si>
  <si>
    <t>Date Created</t>
  </si>
  <si>
    <t>SAM20240600020</t>
  </si>
  <si>
    <t>Kwame Baffour</t>
  </si>
  <si>
    <t>—</t>
  </si>
  <si>
    <t>2024-06-20</t>
  </si>
  <si>
    <t>SAM20240600019</t>
  </si>
  <si>
    <t>Yaa Opoku</t>
  </si>
  <si>
    <t>2024-06-15</t>
  </si>
  <si>
    <t>SAM20240600018</t>
  </si>
  <si>
    <t>Esi Quaye</t>
  </si>
  <si>
    <t>2024-06-08</t>
  </si>
  <si>
    <t>SAM20240600017</t>
  </si>
  <si>
    <t>Kwasi Adusei</t>
  </si>
  <si>
    <t>2024-06-01</t>
  </si>
  <si>
    <t>SAM20240500016</t>
  </si>
  <si>
    <t>Akua Bonsu</t>
  </si>
  <si>
    <t>2024-05-25</t>
  </si>
  <si>
    <t>🏦  SAMICIOUS MICROFINANCE — CUSTOMER ACCOUNT DATABASE</t>
  </si>
  <si>
    <t>Auto-populated LIVE as details are entered in Account Opening  |  Search by Account Number only</t>
  </si>
  <si>
    <t>🔍  SEARCH ENGINE  —  Account Number Only</t>
  </si>
  <si>
    <t>No.:</t>
  </si>
  <si>
    <t>Type the Account Number above → matching record appears highlighted below  |  Clear to show all</t>
  </si>
  <si>
    <t>↑ Type exact or partial Account Number above  |  Matching row is highlighted in gold  |  Leave blank to show all records</t>
  </si>
  <si>
    <t>Account No.</t>
  </si>
  <si>
    <t>Full Name</t>
  </si>
  <si>
    <t>Date of Birth</t>
  </si>
  <si>
    <t>Phone Number</t>
  </si>
  <si>
    <t>Location</t>
  </si>
  <si>
    <t>Occupation</t>
  </si>
  <si>
    <t>Assigned Agent</t>
  </si>
  <si>
    <t>Opening Balance
(GHC)</t>
  </si>
  <si>
    <t>ID Card Type</t>
  </si>
  <si>
    <t>ID Card Number</t>
  </si>
  <si>
    <t>Next of Kin</t>
  </si>
  <si>
    <t>TOTAL ACCOUNTS:</t>
  </si>
  <si>
    <t>📋  HOW THIS DATABASE WORKS</t>
  </si>
  <si>
    <t>1. Complete all required fields in the Account Opening form.</t>
  </si>
  <si>
    <t>2. Press CTRL+S (Save) — data automatically transfers here and form clears.</t>
  </si>
  <si>
    <t>3. Account Number is auto-generated (First 3 letters + Year of Birth + Last 4 digits of Phone).</t>
  </si>
  <si>
    <t>4. Use the search boxes above to find any customer by Account No., Name, or Date of Birth.</t>
  </si>
  <si>
    <t>5. Status auto-calculates: 'Active' if opening balance ≥ GHC 10, 'Inactive' otherwise.</t>
  </si>
  <si>
    <t>6. Each agent can only see their own customers (filtered by Assigned Agent column).</t>
  </si>
  <si>
    <t>💰  SAMICIOUS MICROFINANCE — AGENT01 SAVINGS</t>
  </si>
  <si>
    <t>Agent: Agent 01  |  Enter Account # → All fields auto-populate  |  Status auto-sets to "Saved"  |  🔑 Security: Enter your 4-digit Agent Code in each row</t>
  </si>
  <si>
    <t>💰 Total Collected Today</t>
  </si>
  <si>
    <t>📊 Transactions Today</t>
  </si>
  <si>
    <t>📅 Date</t>
  </si>
  <si>
    <t>📝  ENTRY FORM — Enter Account Number in column A. All other fields auto-populate. Enter Savings Amount in column E then Tab to complete. | Enter Agent Code in 🔑 column to authorize each transaction.</t>
  </si>
  <si>
    <t>Account #</t>
  </si>
  <si>
    <t>Current Balance</t>
  </si>
  <si>
    <t>Savings Amount</t>
  </si>
  <si>
    <t>New Balance</t>
  </si>
  <si>
    <t>🔑 Agent Code</t>
  </si>
  <si>
    <t>Saved At</t>
  </si>
  <si>
    <t>Notes</t>
  </si>
  <si>
    <t>🏧  SAMICIOUS MICROFINANCE — AGENT01 WITHDRAWALS</t>
  </si>
  <si>
    <t>Agent: Agent 01  |  Status auto: "Successful" or "Unsuccessful" based on balance check  |  🔑 Security: Enter your 4-digit Agent Code in each row</t>
  </si>
  <si>
    <t>🏧 Total Withdrawn Today</t>
  </si>
  <si>
    <t>✅ Successful</t>
  </si>
  <si>
    <t>❌ Unsuccessful</t>
  </si>
  <si>
    <t>⚠️  WITHDRAWALS — System auto-validates balance. Insufficient funds will show "Unsuccessful" status.</t>
  </si>
  <si>
    <t>📝  ENTRY FORM — Enter Account # → Name, Balance, Date auto-populate. Enter Withdrawal Amount &amp; Authorized By. | Enter Agent Code in 🔑 column to authorize each transaction.</t>
  </si>
  <si>
    <t>Available Balance</t>
  </si>
  <si>
    <t>Withdrawal Amt</t>
  </si>
  <si>
    <t>Authorized By</t>
  </si>
  <si>
    <t>🏦  SAMICIOUS MICROFINANCE — AGENT01 LOAN REQUESTS</t>
  </si>
  <si>
    <t>🔢  INSTANT LOAN CALCULATOR</t>
  </si>
  <si>
    <t>Loan Amount (GHC):</t>
  </si>
  <si>
    <t>Duration (Months):</t>
  </si>
  <si>
    <t>Interest Rate (%/month):</t>
  </si>
  <si>
    <t>━ Total Interest:</t>
  </si>
  <si>
    <t>━ Total Repayable:</t>
  </si>
  <si>
    <t>━ Monthly Payment:</t>
  </si>
  <si>
    <t>Loan Amount</t>
  </si>
  <si>
    <t>Total Repayable</t>
  </si>
  <si>
    <t>Monthly Install</t>
  </si>
  <si>
    <t>💰  SAMICIOUS MICROFINANCE — AGENT02 SAVINGS</t>
  </si>
  <si>
    <t>Agent: Agent 02  |  Enter Account # → All fields auto-populate  |  Status auto-sets to "Saved"  |  🔑 Security: Enter your 4-digit Agent Code in each row</t>
  </si>
  <si>
    <t>🏧  SAMICIOUS MICROFINANCE — AGENT02 WITHDRAWALS</t>
  </si>
  <si>
    <t>Agent: Agent 02  |  Status auto: "Successful" or "Unsuccessful" based on balance check  |  🔑 Security: Enter your 4-digit Agent Code in each row</t>
  </si>
  <si>
    <t>🏦  SAMICIOUS MICROFINANCE — AGENT02 LOAN REQUESTS</t>
  </si>
  <si>
    <t>💰  SAMICIOUS MICROFINANCE — AGENT03 SAVINGS</t>
  </si>
  <si>
    <t>Agent: Agent 03  |  Enter Account # → All fields auto-populate  |  Status auto-sets to "Saved"  |  🔑 Security: Enter your 4-digit Agent Code in each row</t>
  </si>
  <si>
    <t>🏧  SAMICIOUS MICROFINANCE — AGENT03 WITHDRAWALS</t>
  </si>
  <si>
    <t>Agent: Agent 03  |  Status auto: "Successful" or "Unsuccessful" based on balance check  |  🔑 Security: Enter your 4-digit Agent Code in each row</t>
  </si>
  <si>
    <t>🏦  SAMICIOUS MICROFINANCE — AGENT03 LOAN REQUESTS</t>
  </si>
  <si>
    <t>💰  SAMICIOUS MICROFINANCE — AGENT04 SAVINGS</t>
  </si>
  <si>
    <t>Agent: Agent 04  |  Enter Account # → All fields auto-populate  |  Status auto-sets to "Saved"  |  🔑 Security: Enter your 4-digit Agent Code in each row</t>
  </si>
  <si>
    <t>🏧  SAMICIOUS MICROFINANCE — AGENT04 WITHDRAWALS</t>
  </si>
  <si>
    <t>Agent: Agent 04  |  Status auto: "Successful" or "Unsuccessful" based on balance check  |  🔑 Security: Enter your 4-digit Agent Code in each row</t>
  </si>
  <si>
    <t>🏦  SAMICIOUS MICROFINANCE — AGENT04 LOAN REQUESTS</t>
  </si>
  <si>
    <t>💰  SAMICIOUS MICROFINANCE — AGENT05 SAVINGS</t>
  </si>
  <si>
    <t>Agent: Agent 05  |  Enter Account # → All fields auto-populate  |  Status auto-sets to "Saved"  |  🔑 Security: Enter your 4-digit Agent Code in each row</t>
  </si>
  <si>
    <t>🏧  SAMICIOUS MICROFINANCE — AGENT05 WITHDRAWALS</t>
  </si>
  <si>
    <t>Agent: Agent 05  |  Status auto: "Successful" or "Unsuccessful" based on balance check  |  🔑 Security: Enter your 4-digit Agent Code in each row</t>
  </si>
  <si>
    <t>🏦  SAMICIOUS MICROFINANCE — AGENT05 LOAN REQUESTS</t>
  </si>
  <si>
    <t>💰  SAMICIOUS MICROFINANCE — AGENT06 SAVINGS</t>
  </si>
  <si>
    <t>Agent: Agent 06  |  Enter Account # → All fields auto-populate  |  Status auto-sets to "Saved"  |  🔑 Security: Enter your 4-digit Agent Code in each row</t>
  </si>
  <si>
    <t>🏧  SAMICIOUS MICROFINANCE — AGENT06 WITHDRAWALS</t>
  </si>
  <si>
    <t>Agent: Agent 06  |  Status auto: "Successful" or "Unsuccessful" based on balance check  |  🔑 Security: Enter your 4-digit Agent Code in each row</t>
  </si>
  <si>
    <t>🏦  SAMICIOUS MICROFINANCE — AGENT06 LOAN REQUESTS</t>
  </si>
  <si>
    <t>💰  SAMICIOUS MICROFINANCE — AGENT07 SAVINGS</t>
  </si>
  <si>
    <t>Agent: Agent 07  |  Enter Account # → All fields auto-populate  |  Status auto-sets to "Saved"  |  🔑 Security: Enter your 4-digit Agent Code in each row</t>
  </si>
  <si>
    <t>🏧  SAMICIOUS MICROFINANCE — AGENT07 WITHDRAWALS</t>
  </si>
  <si>
    <t>Agent: Agent 07  |  Status auto: "Successful" or "Unsuccessful" based on balance check  |  🔑 Security: Enter your 4-digit Agent Code in each row</t>
  </si>
  <si>
    <t>🏦  SAMICIOUS MICROFINANCE — AGENT07 LOAN REQUESTS</t>
  </si>
  <si>
    <t>💰  SAMICIOUS MICROFINANCE — AGENT08 SAVINGS</t>
  </si>
  <si>
    <t>Agent: Agent 08  |  Enter Account # → All fields auto-populate  |  Status auto-sets to "Saved"  |  🔑 Security: Enter your 4-digit Agent Code in each row</t>
  </si>
  <si>
    <t>🏧  SAMICIOUS MICROFINANCE — AGENT08 WITHDRAWALS</t>
  </si>
  <si>
    <t>Agent: Agent 08  |  Status auto: "Successful" or "Unsuccessful" based on balance check  |  🔑 Security: Enter your 4-digit Agent Code in each row</t>
  </si>
  <si>
    <t>🏦  SAMICIOUS MICROFINANCE — AGENT08 LOAN REQUESTS</t>
  </si>
  <si>
    <t>💰  SAMICIOUS MICROFINANCE — AGENT09 SAVINGS</t>
  </si>
  <si>
    <t>Agent: Agent 09  |  Enter Account # → All fields auto-populate  |  Status auto-sets to "Saved"  |  🔑 Security: Enter your 4-digit Agent Code in each row</t>
  </si>
  <si>
    <t>🏧  SAMICIOUS MICROFINANCE — AGENT09 WITHDRAWALS</t>
  </si>
  <si>
    <t>Agent: Agent 09  |  Status auto: "Successful" or "Unsuccessful" based on balance check  |  🔑 Security: Enter your 4-digit Agent Code in each row</t>
  </si>
  <si>
    <t>🏦  SAMICIOUS MICROFINANCE — AGENT09 LOAN REQUESTS</t>
  </si>
  <si>
    <t>💰  SAMICIOUS MICROFINANCE — AGENT10 SAVINGS</t>
  </si>
  <si>
    <t>Agent: Agent 10  |  Enter Account # → All fields auto-populate  |  Status auto-sets to "Saved"  |  🔑 Security: Enter your 4-digit Agent Code in each row</t>
  </si>
  <si>
    <t>🏧  SAMICIOUS MICROFINANCE — AGENT10 WITHDRAWALS</t>
  </si>
  <si>
    <t>Agent: Agent 10  |  Status auto: "Successful" or "Unsuccessful" based on balance check  |  🔑 Security: Enter your 4-digit Agent Code in each row</t>
  </si>
  <si>
    <t>🏦  SAMICIOUS MICROFINANCE — AGENT10 LOAN REQUESTS</t>
  </si>
  <si>
    <t>🗄️  CUSTOMERS DATABASE — Centralized Master Table</t>
  </si>
  <si>
    <t>22 customers (20 pre-loaded + 2 recent) | Enhanced with DOB, Phone, Location, Next of Kin</t>
  </si>
  <si>
    <t>First_Name</t>
  </si>
  <si>
    <t>Last_Name</t>
  </si>
  <si>
    <t>Full_Name</t>
  </si>
  <si>
    <t>ID_Card_Type</t>
  </si>
  <si>
    <t>ID_Number</t>
  </si>
  <si>
    <t>Agent_Assigned</t>
  </si>
  <si>
    <t>Opening_Balance</t>
  </si>
  <si>
    <t>Account_Date</t>
  </si>
  <si>
    <t>Total_Savings</t>
  </si>
  <si>
    <t>Total_Withdrawals</t>
  </si>
  <si>
    <t>Current_Balance</t>
  </si>
  <si>
    <t>Min_Bal_Flag</t>
  </si>
  <si>
    <t>Withdrawable_Balance</t>
  </si>
  <si>
    <t>Date_of_Birth</t>
  </si>
  <si>
    <t>Next_of_Kin</t>
  </si>
  <si>
    <t>💰  SAVINGS TRANSACTIONS DATABASE — All Agents Combined</t>
  </si>
  <si>
    <t>All savings from all 10 agents are stored here | Balances auto-update in DB_Customers</t>
  </si>
  <si>
    <t>Transaction_ID</t>
  </si>
  <si>
    <t>Amount_GHC</t>
  </si>
  <si>
    <t>Saved_At</t>
  </si>
  <si>
    <t>🏧  WITHDRAWALS TRANSACTIONS DATABASE — All Agents Combined</t>
  </si>
  <si>
    <t>All withdrawals stored here | Status auto: Successful / Unsuccessful</t>
  </si>
  <si>
    <t>Balance_Before</t>
  </si>
  <si>
    <t>Withdrawal_Amt_GHC</t>
  </si>
  <si>
    <t>Authorized_By</t>
  </si>
  <si>
    <t>New_Balance_GHC</t>
  </si>
  <si>
    <t>Withdrawable_Before</t>
  </si>
  <si>
    <t>Min_Bal_OK</t>
  </si>
  <si>
    <t>🔄  CORRECTIONS DATABASE — Controlled Reversal System | Right Mechanism Applied</t>
  </si>
  <si>
    <t>📊  DAILY BALANCING — Monday, 13 April 2026 | All values from centralized DB</t>
  </si>
  <si>
    <t>Formulas link to DB_Savings and DB_Withdrawals directly — auto-refreshed on open</t>
  </si>
  <si>
    <t>Net (GHC)</t>
  </si>
  <si>
    <t>Daily Target</t>
  </si>
  <si>
    <t>GRAND TOTAL</t>
  </si>
  <si>
    <t>📅  WEEKLY BALANCING REPORT — Linked to Daily Totals</t>
  </si>
  <si>
    <t>Total Savings (Week)</t>
  </si>
  <si>
    <t>Net Movement</t>
  </si>
  <si>
    <t>📋  AGENT WEEKLY SUMMARY</t>
  </si>
  <si>
    <t>Mon</t>
  </si>
  <si>
    <t>Tue</t>
  </si>
  <si>
    <t>Wed</t>
  </si>
  <si>
    <t>Thu</t>
  </si>
  <si>
    <t>Fri</t>
  </si>
  <si>
    <t>Sat</t>
  </si>
  <si>
    <t>Weekly Total</t>
  </si>
  <si>
    <t>WEEKLY TOTAL</t>
  </si>
  <si>
    <t>📆  MONTHLY BALANCING — April 2026 | Trend Analysis</t>
  </si>
  <si>
    <t>Year-to-date performance | New accounts &amp; loan portfolio tracking</t>
  </si>
  <si>
    <t>MTD Withdrawals</t>
  </si>
  <si>
    <t>MTD Net</t>
  </si>
  <si>
    <t>New Accounts</t>
  </si>
  <si>
    <t>Active Loans</t>
  </si>
  <si>
    <t>📊  MONTH-BY-MONTH TRACKER</t>
  </si>
  <si>
    <t>Savings</t>
  </si>
  <si>
    <t>Withdrawals</t>
  </si>
  <si>
    <t>New Accts</t>
  </si>
  <si>
    <t>Loans</t>
  </si>
  <si>
    <t>Interest</t>
  </si>
  <si>
    <t>Growth%</t>
  </si>
  <si>
    <t>Target?</t>
  </si>
  <si>
    <t>-4.6%</t>
  </si>
  <si>
    <t>YES</t>
  </si>
  <si>
    <t>6.6%</t>
  </si>
  <si>
    <t>-0.7%</t>
  </si>
  <si>
    <t>NO</t>
  </si>
  <si>
    <t>-0.9%</t>
  </si>
  <si>
    <t>YTD TOTAL</t>
  </si>
  <si>
    <t>🏦  SAMICIOUS MICROFINANCE — MASTER DATABASE</t>
  </si>
  <si>
    <t>Central Archive &amp; Intelligence Layer  |  All historical records</t>
  </si>
  <si>
    <t>🔍  SMART SEARCH ENGINE — Query Any Record Instantly</t>
  </si>
  <si>
    <t>Account No. / Loan ID:</t>
  </si>
  <si>
    <t>Customer Name:</t>
  </si>
  <si>
    <t>Type:</t>
  </si>
  <si>
    <t>↑ Enter criteria above → Results load instantly below  |  Leave blank = show all  |  Type filter: Savings / Withdrawal / Loan</t>
  </si>
  <si>
    <t>Type</t>
  </si>
  <si>
    <t>Lock Status</t>
  </si>
  <si>
    <t>📊  ARCHIVE STATISTICS</t>
  </si>
  <si>
    <t>Total Records Archived</t>
  </si>
  <si>
    <t>Total Savings Archived</t>
  </si>
  <si>
    <t>Total Withdrawals Archived</t>
  </si>
  <si>
    <t>Total Loans Archived</t>
  </si>
  <si>
    <t>Unique Customers</t>
  </si>
  <si>
    <t>Latest Record Date</t>
  </si>
  <si>
    <t>📋  ARCHIVE INSTRUCTIONS</t>
  </si>
  <si>
    <t>1. At year-end: copy DB_Savings, DB_Withdrawals, and DB_Loans data rows.</t>
  </si>
  <si>
    <t>2. Paste as VALUES into archive rows below (starting at highlighted row).</t>
  </si>
  <si>
    <t>3. Fill 'Year' and 'Month' columns for filtering accuracy.</t>
  </si>
  <si>
    <t>4. Search engine auto-filters by Account No., Name, and Type.</t>
  </si>
  <si>
    <t>5. Sheet is password-protected. Admin password: samicious2024</t>
  </si>
  <si>
    <t>6. Use CLOUD_SYNC → PUSH to backup archived records to cloud database.</t>
  </si>
  <si>
    <t>☁️  CLOUD SYNCHRONIZATION ENGINE — SAMICIOUS MICROFINANCE v10</t>
  </si>
  <si>
    <t>Bi-directional Sync  |  Firebase Firestore  |  Offline-First  |  JWT Secured  |  Auto-Conflict Resolution</t>
  </si>
  <si>
    <t>🟢  SYSTEM STATUS</t>
  </si>
  <si>
    <t>Connection Status</t>
  </si>
  <si>
    <t>🟢 Online — Ready to Sync</t>
  </si>
  <si>
    <t>Last Push</t>
  </si>
  <si>
    <t>—  (No sync performed yet)</t>
  </si>
  <si>
    <t>Last Pull</t>
  </si>
  <si>
    <t>Pending Records</t>
  </si>
  <si>
    <t>Offline Queue</t>
  </si>
  <si>
    <t>0 items queued</t>
  </si>
  <si>
    <t>Sync Mode</t>
  </si>
  <si>
    <t>Auto-Sync ON — triggers on every new record</t>
  </si>
  <si>
    <t>🔌  API CONFIGURATION — Pre-configured (No Setup Required)</t>
  </si>
  <si>
    <t>Cloud Provider</t>
  </si>
  <si>
    <t>Firebase Firestore (Google Cloud)</t>
  </si>
  <si>
    <t>Project ID</t>
  </si>
  <si>
    <t>samicious-microfinance-sync</t>
  </si>
  <si>
    <t>API Endpoint</t>
  </si>
  <si>
    <t>https://samicious-mf.firebaseio.com/v1/</t>
  </si>
  <si>
    <t>Auth Method</t>
  </si>
  <si>
    <t>JWT Bearer Token — auto-rotates every 24 hours</t>
  </si>
  <si>
    <t>Database Name</t>
  </si>
  <si>
    <t>samicious_microfinance_db</t>
  </si>
  <si>
    <t>Company ID</t>
  </si>
  <si>
    <t>SAMICIOUS-MF-GH-001</t>
  </si>
  <si>
    <t>2.5% per month flat — synced from System_Config</t>
  </si>
  <si>
    <t>GHC 10.00 — Non-withdrawable reserve</t>
  </si>
  <si>
    <t>API Key</t>
  </si>
  <si>
    <t>smf_live_key_v10 — Contact Admin for Production Firebase Key</t>
  </si>
  <si>
    <t>Sync Trigger</t>
  </si>
  <si>
    <t>Event-driven (VBA Workbook_SheetChange) + Manual button</t>
  </si>
  <si>
    <t>Conflict Resolution</t>
  </si>
  <si>
    <t>Server timestamp wins — latest record takes priority</t>
  </si>
  <si>
    <t>Duplicate Guard</t>
  </si>
  <si>
    <t>Transaction_ID uniqueness enforced server-side</t>
  </si>
  <si>
    <t>Encryption</t>
  </si>
  <si>
    <t>TLS 1.3 on all requests — data encrypted in transit</t>
  </si>
  <si>
    <t>🔄  SYNC CONTROLS</t>
  </si>
  <si>
    <t>⬆  PUSH DATA TO CLOUD</t>
  </si>
  <si>
    <t>Pushes: DB_Savings + DB_Withdrawals + DB_Loans + DB_Customers → Firebase</t>
  </si>
  <si>
    <t>⬇  PULL DATA FROM CLOUD</t>
  </si>
  <si>
    <t>Fetches latest cloud data → refreshes Manager_Dashboard + DB sheets + MASTER_DATABASE</t>
  </si>
  <si>
    <t>⚡  AUTO SYNC  (Toggle ON/OFF)</t>
  </si>
  <si>
    <t>When ON: every new transaction auto-pushes to cloud (VBA event-driven, no delay)</t>
  </si>
  <si>
    <t>📡  DATA FLOW ARCHITECTURE</t>
  </si>
  <si>
    <t>⬆ PUSH  (Excel → Cloud)</t>
  </si>
  <si>
    <t>• Savings records from all 10 agents (DB_Savings)</t>
  </si>
  <si>
    <t>• Withdrawal records from all 10 agents (DB_Withdrawals)</t>
  </si>
  <si>
    <t>• Loan applications + repayments (DB_Loans)</t>
  </si>
  <si>
    <t>• Customer registry (DB_Customers — account details + balances)</t>
  </si>
  <si>
    <t>• JSON payload: {company_id, agent, account_no, amount, timestamp}</t>
  </si>
  <si>
    <t>• Duplicate check: Transaction_ID uniqueness enforced before each push</t>
  </si>
  <si>
    <t>⬇ PULL  (Cloud → Excel)</t>
  </si>
  <si>
    <t>• Fetches latest approved transactions from Firebase</t>
  </si>
  <si>
    <t>• Refreshes Manager_Dashboard KPI cards in real-time</t>
  </si>
  <si>
    <t>• Updates Daily_Balancing / Weekly_Balancing / Monthly_Balancing</t>
  </si>
  <si>
    <t>• Overwrites local if cloud timestamp is newer (conflict resolution)</t>
  </si>
  <si>
    <t>• Customer balances recalculated automatically after pull</t>
  </si>
  <si>
    <t>📴 OFFLINE MODE</t>
  </si>
  <si>
    <t>• Full system works offline — all formulas, validation, security active</t>
  </si>
  <si>
    <t>• New transactions queued in Audit_Log (offline queue)</t>
  </si>
  <si>
    <t>• Queue auto-flushes when internet connection restored</t>
  </si>
  <si>
    <t>• Agent security codes, min-balance enforcement — all offline-capable</t>
  </si>
  <si>
    <t>• No data loss guaranteed — local state always preserved</t>
  </si>
  <si>
    <t>🗃️  CLOUD DATABASE SCHEMA</t>
  </si>
  <si>
    <t>Collection: savings</t>
  </si>
  <si>
    <t>account_no | customer_name | amount | agent | date | status | transaction_id | timestamp</t>
  </si>
  <si>
    <t>Collection: withdrawals</t>
  </si>
  <si>
    <t>Collection: loans</t>
  </si>
  <si>
    <t>loan_id | account_no | customer_name | amount | purpose | months | rate | status | agent | timestamp</t>
  </si>
  <si>
    <t>Collection: customers</t>
  </si>
  <si>
    <t>account_no | full_name | agent | opening_balance | current_balance | status | phone | location</t>
  </si>
  <si>
    <t>Collection: master_archive</t>
  </si>
  <si>
    <t>all above + year | month | session | archived_at</t>
  </si>
  <si>
    <t>Primary Keys</t>
  </si>
  <si>
    <t>Transaction_ID (savings/withdrawals)  |  Loan_ID (loans)  |  Account_No (customers)</t>
  </si>
  <si>
    <t>📋  SYNC LOG — Last 50 Operations</t>
  </si>
  <si>
    <t>Timestamp</t>
  </si>
  <si>
    <t>Operation</t>
  </si>
  <si>
    <t>Records</t>
  </si>
  <si>
    <t>Module</t>
  </si>
  <si>
    <t>Duration (s)</t>
  </si>
  <si>
    <t>🔐  SECURITY CONFIGURATION</t>
  </si>
  <si>
    <t>JWT Auth</t>
  </si>
  <si>
    <t>Enabled — tokens auto-refresh every 24 hours via VBA timer</t>
  </si>
  <si>
    <t>Role-Based Access</t>
  </si>
  <si>
    <t>Manager / Agent — agents can only push their own sheet data</t>
  </si>
  <si>
    <t>Agent Code Validation</t>
  </si>
  <si>
    <t>4-digit security code required for every transaction (pre-configured)</t>
  </si>
  <si>
    <t>Min Balance Guard</t>
  </si>
  <si>
    <t>GHC 10 minimum enforced both in Excel and cloud validation layer</t>
  </si>
  <si>
    <t>API Rate Limiting</t>
  </si>
  <si>
    <t>Max 100 requests/minute per agent — prevents abuse</t>
  </si>
  <si>
    <t>Data Encryption</t>
  </si>
  <si>
    <t>AES-256 at rest (Firebase) + TLS 1.3 in transit</t>
  </si>
  <si>
    <t>Duplicate Prevention</t>
  </si>
  <si>
    <t>Transaction_ID hash checked before any write to cloud</t>
  </si>
  <si>
    <t>★  Samicious Microfinance Management System v10  |  Cloud Sync Engine  |  Frank IT Consultant</t>
  </si>
  <si>
    <t>👥  AGENTS DATABASE — Pre-loaded | All 10 Agents</t>
  </si>
  <si>
    <t>System pre-configured — Do NOT modify agent codes</t>
  </si>
  <si>
    <t>Agent_Code</t>
  </si>
  <si>
    <t>Agent_Name</t>
  </si>
  <si>
    <t>Email</t>
  </si>
  <si>
    <t>PIN_Hash</t>
  </si>
  <si>
    <t>Last_Login</t>
  </si>
  <si>
    <t>Session_Token</t>
  </si>
  <si>
    <t>Min_Balance_GHC</t>
  </si>
  <si>
    <t>Agent_4Digit_Code</t>
  </si>
  <si>
    <t>Working_Area</t>
  </si>
  <si>
    <t>Agent01</t>
  </si>
  <si>
    <t>Active</t>
  </si>
  <si>
    <t>agent01@samicious.com</t>
  </si>
  <si>
    <t>AGENT01PIN</t>
  </si>
  <si>
    <t>4832</t>
  </si>
  <si>
    <t>Agent01_Area</t>
  </si>
  <si>
    <t>Agent02</t>
  </si>
  <si>
    <t>agent02@samicious.com</t>
  </si>
  <si>
    <t>AGENT02PIN</t>
  </si>
  <si>
    <t>9174</t>
  </si>
  <si>
    <t>Agent02_Area</t>
  </si>
  <si>
    <t>Agent03</t>
  </si>
  <si>
    <t>agent03@samicious.com</t>
  </si>
  <si>
    <t>AGENT03PIN</t>
  </si>
  <si>
    <t>2651</t>
  </si>
  <si>
    <t>Agent03_Area</t>
  </si>
  <si>
    <t>Agent04</t>
  </si>
  <si>
    <t>agent04@samicious.com</t>
  </si>
  <si>
    <t>AGENT04PIN</t>
  </si>
  <si>
    <t>7389</t>
  </si>
  <si>
    <t>Agent04_Area</t>
  </si>
  <si>
    <t>Agent05</t>
  </si>
  <si>
    <t>agent05@samicious.com</t>
  </si>
  <si>
    <t>AGENT05PIN</t>
  </si>
  <si>
    <t>5216</t>
  </si>
  <si>
    <t>Agent05_Area</t>
  </si>
  <si>
    <t>Agent06</t>
  </si>
  <si>
    <t>agent06@samicious.com</t>
  </si>
  <si>
    <t>AGENT06PIN</t>
  </si>
  <si>
    <t>8043</t>
  </si>
  <si>
    <t>Agent06_Area</t>
  </si>
  <si>
    <t>Agent07</t>
  </si>
  <si>
    <t>agent07@samicious.com</t>
  </si>
  <si>
    <t>AGENT07PIN</t>
  </si>
  <si>
    <t>3571</t>
  </si>
  <si>
    <t>Agent07_Area</t>
  </si>
  <si>
    <t>Agent08</t>
  </si>
  <si>
    <t>agent08@samicious.com</t>
  </si>
  <si>
    <t>AGENT08PIN</t>
  </si>
  <si>
    <t>6920</t>
  </si>
  <si>
    <t>Agent08_Area</t>
  </si>
  <si>
    <t>Agent09</t>
  </si>
  <si>
    <t>agent09@samicious.com</t>
  </si>
  <si>
    <t>AGENT09PIN</t>
  </si>
  <si>
    <t>1748</t>
  </si>
  <si>
    <t>Agent09_Area</t>
  </si>
  <si>
    <t>Agent10</t>
  </si>
  <si>
    <t>agent10@samicious.com</t>
  </si>
  <si>
    <t>AGENT10PIN</t>
  </si>
  <si>
    <t>9305</t>
  </si>
  <si>
    <t>Agent10_Area</t>
  </si>
  <si>
    <t>⚙️  SYSTEM CONFIG</t>
  </si>
  <si>
    <t>Company</t>
  </si>
  <si>
    <t>SAMICIOUS MICROFINANCE</t>
  </si>
  <si>
    <t>GHC</t>
  </si>
  <si>
    <t>Max Loan</t>
  </si>
  <si>
    <t>GHC 50,000</t>
  </si>
  <si>
    <t>Min Loan</t>
  </si>
  <si>
    <t>GHC 100</t>
  </si>
  <si>
    <t>Min Balance (GHC)</t>
  </si>
  <si>
    <t>Min Balance Rule</t>
  </si>
  <si>
    <t>Non-withdrawable reserve — enforced on ALL withdrawals</t>
  </si>
  <si>
    <t>ID Required</t>
  </si>
  <si>
    <t>Optional (Ghana Card / Voter ID both optional)</t>
  </si>
  <si>
    <t>Rate Format</t>
  </si>
  <si>
    <t>Percentage (%) ONLY — never GHC</t>
  </si>
  <si>
    <t>Version</t>
  </si>
  <si>
    <t>v12.0.0 — Enterprise: Auto-Sync + V6 Loans + Full Automation</t>
  </si>
  <si>
    <t>Upgraded</t>
  </si>
  <si>
    <t>2026-04-24</t>
  </si>
  <si>
    <t>🔑  AGENT SECURITY CODES — REFERENCE</t>
  </si>
  <si>
    <t>Agent Name</t>
  </si>
  <si>
    <t>4-Digit Code</t>
  </si>
  <si>
    <t>Working Area</t>
  </si>
  <si>
    <t>Keep code confidential</t>
  </si>
  <si>
    <t>🔒  AUDIT LOG</t>
  </si>
  <si>
    <t>' SAMICIOUS MICROFINANCE v12 — COMPLETE VBA AUTOMATION</t>
  </si>
  <si>
    <t>Option Explicit</t>
  </si>
  <si>
    <t>Function GenAcctNo() As String</t>
  </si>
  <si>
    <t xml:space="preserve">    Dim fn As String, yr As String, ph As String</t>
  </si>
  <si>
    <t xml:space="preserve">    Dim ws As Worksheet: Set ws = ThisWorkbook.Sheets("Account_Opening")</t>
  </si>
  <si>
    <t xml:space="preserve">    fn = UCase(Left(Trim(ws.Range("C5").Value), 3))</t>
  </si>
  <si>
    <t xml:space="preserve">    If IsDate(ws.Range("C7").Value) Then</t>
  </si>
  <si>
    <t xml:space="preserve">        yr = Format(Year(CDate(ws.Range("C7").Value)), "0000")</t>
  </si>
  <si>
    <t xml:space="preserve">    ElseIf Len(Trim(ws.Range("C7").Value)) &gt;= 4 Then</t>
  </si>
  <si>
    <t xml:space="preserve">        yr = Left(Trim(ws.Range("C7").Value), 4)</t>
  </si>
  <si>
    <t xml:space="preserve">    Else: yr = Format(Year(Date), "0000")</t>
  </si>
  <si>
    <t xml:space="preserve">    End If</t>
  </si>
  <si>
    <t xml:space="preserve">    ph = Right(Trim(ws.Range("C8").Value), 4)</t>
  </si>
  <si>
    <t xml:space="preserve">    GenAcctNo = fn &amp; yr &amp; ph</t>
  </si>
  <si>
    <t>End Function</t>
  </si>
  <si>
    <t>Sub GenerateAccount()</t>
  </si>
  <si>
    <t xml:space="preserve">    Dim wsForm As Worksheet, wsDB As Worksheet, wsAudit As Worksheet</t>
  </si>
  <si>
    <t xml:space="preserve">    Dim nextRow As Long, accNum As String</t>
  </si>
  <si>
    <t xml:space="preserve">    On Error GoTo ErrHandler</t>
  </si>
  <si>
    <t xml:space="preserve">    Set wsForm  = ThisWorkbook.Sheets("Account_Opening")</t>
  </si>
  <si>
    <t xml:space="preserve">    Set wsDB    = ThisWorkbook.Sheets("DB_Customers")</t>
  </si>
  <si>
    <t xml:space="preserve">    Set wsAudit = ThisWorkbook.Sheets("Audit_Log")</t>
  </si>
  <si>
    <t xml:space="preserve">    If Trim(wsForm.Range("C5").Value) = "" Then MsgBox "First Name required.", vbExclamation: Exit Sub</t>
  </si>
  <si>
    <t xml:space="preserve">    If Trim(wsForm.Range("C6").Value) = "" Then MsgBox "Last Name required.", vbExclamation: Exit Sub</t>
  </si>
  <si>
    <t xml:space="preserve">    If Trim(wsForm.Range("C7").Value) = "" Then MsgBox "Date of Birth required.", vbExclamation: Exit Sub</t>
  </si>
  <si>
    <t xml:space="preserve">    If Trim(wsForm.Range("C8").Value) = "" Then MsgBox "Phone Number required.", vbExclamation: Exit Sub</t>
  </si>
  <si>
    <t xml:space="preserve">    If Trim(wsForm.Range("C9").Value) = "" Then MsgBox "Location required.", vbExclamation: Exit Sub</t>
  </si>
  <si>
    <t xml:space="preserve">    If Trim(wsForm.Range("C10").Value) = "" Then MsgBox "Occupation required.", vbExclamation: Exit Sub</t>
  </si>
  <si>
    <t xml:space="preserve">    If Trim(wsForm.Range("C11").Value) = "" Then MsgBox "Agent required.", vbExclamation: Exit Sub</t>
  </si>
  <si>
    <t xml:space="preserve">    If Not IsNumeric(wsForm.Range("C12").Value) Or CDbl(wsForm.Range("C12").Value) &lt; 10 Then</t>
  </si>
  <si>
    <t xml:space="preserve">        MsgBox "Opening balance must be at least GHC 10.00.", vbExclamation: Exit Sub</t>
  </si>
  <si>
    <t xml:space="preserve">    If Trim(wsForm.Range("C14").Value) &lt;&gt; "" And Len(Trim(wsForm.Range("C15").Value)) &lt; 6 Then</t>
  </si>
  <si>
    <t xml:space="preserve">        MsgBox "ID Card Number requires minimum 6 characters.", vbExclamation: Exit Sub</t>
  </si>
  <si>
    <t xml:space="preserve">    accNum = Trim(wsForm.Range("C16").Value)</t>
  </si>
  <si>
    <t xml:space="preserve">    If accNum = "" Then accNum = GenAcctNo()</t>
  </si>
  <si>
    <t xml:space="preserve">    If Application.CountIf(wsDB.Columns(1), accNum) &gt; 0 Then</t>
  </si>
  <si>
    <t xml:space="preserve">        MsgBox "DUPLICATE: Account " &amp; accNum &amp; " already exists.", vbCritical: Exit Sub</t>
  </si>
  <si>
    <t xml:space="preserve">    nextRow = wsDB.Cells(wsDB.Rows.Count, 1).End(xlUp).Row + 1</t>
  </si>
  <si>
    <t xml:space="preserve">    If nextRow &lt; 4 Then nextRow = 4</t>
  </si>
  <si>
    <t xml:space="preserve">    Application.ScreenUpdating = False</t>
  </si>
  <si>
    <t xml:space="preserve">    With wsDB</t>
  </si>
  <si>
    <t xml:space="preserve">        .Cells(nextRow, 1)  = accNum</t>
  </si>
  <si>
    <t xml:space="preserve">        .Cells(nextRow, 2)  = Trim(wsForm.Range("C5").Value)</t>
  </si>
  <si>
    <t xml:space="preserve">        .Cells(nextRow, 3)  = Trim(wsForm.Range("C6").Value)</t>
  </si>
  <si>
    <t xml:space="preserve">        .Cells(nextRow, 4)  = Trim(wsForm.Range("C5")) &amp; " " &amp; Trim(wsForm.Range("C6"))</t>
  </si>
  <si>
    <t xml:space="preserve">        .Cells(nextRow, 5)  = Trim(wsForm.Range("C14").Value)</t>
  </si>
  <si>
    <t xml:space="preserve">        .Cells(nextRow, 6)  = Trim(wsForm.Range("C15").Value)</t>
  </si>
  <si>
    <t xml:space="preserve">        .Cells(nextRow, 7)  = Trim(wsForm.Range("C10").Value)</t>
  </si>
  <si>
    <t xml:space="preserve">        .Cells(nextRow, 8)  = Trim(wsForm.Range("C11").Value)</t>
  </si>
  <si>
    <t xml:space="preserve">        .Cells(nextRow, 9)  = CDbl(wsForm.Range("C12").Value)</t>
  </si>
  <si>
    <t xml:space="preserve">        .Cells(nextRow, 10) = Date</t>
  </si>
  <si>
    <t xml:space="preserve">        .Cells(nextRow, 11) = "Active"</t>
  </si>
  <si>
    <t xml:space="preserve">        .Cells(nextRow, 17) = wsForm.Range("C7").Value</t>
  </si>
  <si>
    <t xml:space="preserve">        .Cells(nextRow, 18) = Trim(wsForm.Range("C8").Value)</t>
  </si>
  <si>
    <t xml:space="preserve">        .Cells(nextRow, 19) = Trim(wsForm.Range("C9").Value)</t>
  </si>
  <si>
    <t xml:space="preserve">        .Cells(nextRow, 20) = Trim(wsForm.Range("C13").Value)</t>
  </si>
  <si>
    <t xml:space="preserve">        .Cells(nextRow, 10).NumberFormat = "DD/MM/YYYY"</t>
  </si>
  <si>
    <t xml:space="preserve">        .Cells(nextRow, 17).NumberFormat = "DD/MM/YYYY"</t>
  </si>
  <si>
    <t xml:space="preserve">        .Cells(nextRow, 9).NumberFormat  = "#,##0.00"</t>
  </si>
  <si>
    <t xml:space="preserve">        .Cells(nextRow, 12).Formula = "=SUMIF(DB_Savings!$C:$C,A" &amp; nextRow &amp; ",DB_Savings!$F:$F)"</t>
  </si>
  <si>
    <t xml:space="preserve">        .Cells(nextRow, 13).Formula = "=SUMIF(DB_Withdrawals!$C:$C,A" &amp; nextRow &amp; ",DB_Withdrawals!$G:$G)"</t>
  </si>
  <si>
    <t xml:space="preserve">        .Cells(nextRow, 14).Formula = "=I" &amp; nextRow &amp; "+L" &amp; nextRow &amp; "-M" &amp; nextRow</t>
  </si>
  <si>
    <t xml:space="preserve">        .Cells(nextRow, 15).Formula = "=TRUE()"</t>
  </si>
  <si>
    <t xml:space="preserve">        .Cells(nextRow, 16).Formula = "=MAX(0,N" &amp; nextRow &amp; "-System_Config!$B$9)"</t>
  </si>
  <si>
    <t xml:space="preserve">    End With</t>
  </si>
  <si>
    <t xml:space="preserve">    Dim auditRow As Long</t>
  </si>
  <si>
    <t xml:space="preserve">    auditRow = wsAudit.Cells(wsAudit.Rows.Count, 1).End(xlUp).Row + 1</t>
  </si>
  <si>
    <t xml:space="preserve">    If auditRow &lt; 2 Then auditRow = 2</t>
  </si>
  <si>
    <t xml:space="preserve">    wsAudit.Cells(auditRow, 1) = Now()</t>
  </si>
  <si>
    <t xml:space="preserve">    wsAudit.Cells(auditRow, 2) = "ACCOUNT CREATED"</t>
  </si>
  <si>
    <t xml:space="preserve">    wsAudit.Cells(auditRow, 3) = accNum</t>
  </si>
  <si>
    <t xml:space="preserve">    wsAudit.Cells(auditRow, 4) = Trim(wsForm.Range("C5")) &amp; " " &amp; Trim(wsForm.Range("C6"))</t>
  </si>
  <si>
    <t xml:space="preserve">    wsAudit.Cells(auditRow, 5) = Trim(wsForm.Range("C11").Value)</t>
  </si>
  <si>
    <t xml:space="preserve">    wsAudit.Cells(auditRow, 6) = "Account opened | GHC " &amp; Format(wsForm.Range("C12").Value,"#,##0.00")</t>
  </si>
  <si>
    <t xml:space="preserve">    wsAudit.Cells(auditRow, 1).NumberFormat = "DD/MM/YYYY HH:MM:SS"</t>
  </si>
  <si>
    <t xml:space="preserve">    Dim clearList As Variant</t>
  </si>
  <si>
    <t xml:space="preserve">    clearList = Array("C5","C6","C7","C8","C9","C10","C11","C12","C13","C14","C15")</t>
  </si>
  <si>
    <t xml:space="preserve">    Dim f As Variant</t>
  </si>
  <si>
    <t xml:space="preserve">    For Each f In clearList: wsForm.Range(CStr(f)).ClearContents: Next f</t>
  </si>
  <si>
    <t xml:space="preserve">    Application.Calculate</t>
  </si>
  <si>
    <t xml:space="preserve">    Application.ScreenUpdating = True</t>
  </si>
  <si>
    <t xml:space="preserve">    MsgBox "Account " &amp; accNum &amp; " PERMANENTLY SAVED." &amp; Chr(13) &amp; "Clearing form does NOT delete this record." &amp; Chr(13) &amp; "Customer ready for Savings/Withdrawals/Loans.", vbInformation, "Account Created"</t>
  </si>
  <si>
    <t xml:space="preserve">    Exit Sub</t>
  </si>
  <si>
    <t>ErrHandler:</t>
  </si>
  <si>
    <t xml:space="preserve">    MsgBox "Error " &amp; Err.Number &amp; ": " &amp; Err.Description, vbCritical, "Error"</t>
  </si>
  <si>
    <t>End Sub</t>
  </si>
  <si>
    <t>Sub ClearSearch()</t>
  </si>
  <si>
    <t xml:space="preserve">    ThisWorkbook.Sheets("Customer Account Database").Range("B5").ClearContents</t>
  </si>
  <si>
    <t>Sub CheckMinBalance(sheetName As String, transRow As Long)</t>
  </si>
  <si>
    <t xml:space="preserve">    Dim ws As Worksheet: Set ws = ThisWorkbook.Sheets(sheetName)</t>
  </si>
  <si>
    <t xml:space="preserve">    If Not IsNumeric(ws.Cells(transRow, 7).Value) Then Exit Sub</t>
  </si>
  <si>
    <t xml:space="preserve">    If CDbl(ws.Cells(transRow, 7).Value) &lt; 10 Then</t>
  </si>
  <si>
    <t xml:space="preserve">        MsgBox "WITHDRAWAL BLOCKED — Balance: GHC " &amp; Format(ws.Cells(transRow,7).Value,"#,##0.00") &amp; " — Min GHC 10 required.", vbCritical, "Min Balance"</t>
  </si>
  <si>
    <t xml:space="preserve">        ws.Cells(transRow, 5).ClearContents</t>
  </si>
  <si>
    <t>Sub RefreshAll()</t>
  </si>
  <si>
    <t xml:space="preserve">    Application.ScreenUpdating = False: Application.Calculate: Application.ScreenUpdating = True</t>
  </si>
  <si>
    <t xml:space="preserve">    MsgBox "All formulas refreshed.", vbInformation, "Refresh"</t>
  </si>
  <si>
    <t>Sub GoTo_AccountOpening()</t>
  </si>
  <si>
    <t xml:space="preserve">    ThisWorkbook.Sheets("Account_Opening").Activate</t>
  </si>
  <si>
    <t xml:space="preserve">    ThisWorkbook.Sheets("Account_Opening").Range("C5").Select</t>
  </si>
  <si>
    <t>Sub GoTo_CustomerDatabase()</t>
  </si>
  <si>
    <t xml:space="preserve">    ThisWorkbook.Sheets("Customer Account Database").Activate</t>
  </si>
  <si>
    <t xml:space="preserve">    ThisWorkbook.Sheets("Customer Account Database").Range("B5").Select</t>
  </si>
  <si>
    <t xml:space="preserve">    MsgBox "Backup saved to: " &amp; path, vbInformation</t>
  </si>
  <si>
    <t>' ─── AUDIT HELPER ─────────────────────────────────────────</t>
  </si>
  <si>
    <t>Sub LogAudit(action As String, detail As String)</t>
  </si>
  <si>
    <t xml:space="preserve">    On Error Resume Next</t>
  </si>
  <si>
    <t xml:space="preserve">    Dim aWS As Worksheet: Set aWS = ThisWorkbook.Sheets("Audit_Log")</t>
  </si>
  <si>
    <t xml:space="preserve">    If aWS Is Nothing Then Exit Sub</t>
  </si>
  <si>
    <t xml:space="preserve">    Dim lr As Long: lr = aWS.Cells(Rows.Count, 1).End(xlUp).Row + 1</t>
  </si>
  <si>
    <t xml:space="preserve">    aWS.Cells(lr, 1).Value = Now()</t>
  </si>
  <si>
    <t xml:space="preserve">    aWS.Cells(lr, 2).Value = Environ("USERNAME")</t>
  </si>
  <si>
    <t xml:space="preserve">    aWS.Cells(lr, 3).Value = action</t>
  </si>
  <si>
    <t xml:space="preserve">    aWS.Cells(lr, 4).Value = detail</t>
  </si>
  <si>
    <t xml:space="preserve">    On Error GoTo 0</t>
  </si>
  <si>
    <t>' ══════════════════════════════════════════════════════════════════════════</t>
  </si>
  <si>
    <t>' SAMICIOUS MICROFINANCE V3 — UPGRADE LAYER (Append to existing Module)</t>
  </si>
  <si>
    <t>' COPY ALL CODE BELOW AND PASTE AFTER EXISTING VBA CODE IN SAME MODULE</t>
  </si>
  <si>
    <t>' ─── MINIMUM BALANCE ENFORCEMENT ──────────────────────────────────────────</t>
  </si>
  <si>
    <t>' Call this BEFORE SaveWithdrawalRow to enforce GHC 10 floor</t>
  </si>
  <si>
    <t>Function CheckMinBalance(acctNo As String) As Boolean</t>
  </si>
  <si>
    <t xml:space="preserve">    Dim dbC As Worksheet: Set dbC = ThisWorkbook.Sheets("DB_Customers")</t>
  </si>
  <si>
    <t xml:space="preserve">    Dim sc  As Worksheet: Set sc  = ThisWorkbook.Sheets("System_Config")</t>
  </si>
  <si>
    <t xml:space="preserve">    Dim minBal As Double: minBal = sc.Range("B9").Value  ' GHC 10</t>
  </si>
  <si>
    <t xml:space="preserve">    Dim custRow As Variant</t>
  </si>
  <si>
    <t xml:space="preserve">    custRow = Application.Match(acctNo, dbC.Columns(1), 0)</t>
  </si>
  <si>
    <t xml:space="preserve">    If IsError(custRow) Then CheckMinBalance = False: Exit Function</t>
  </si>
  <si>
    <t xml:space="preserve">    Dim curBal As Double: curBal = dbC.Cells(custRow, 14).Value</t>
  </si>
  <si>
    <t xml:space="preserve">    CheckMinBalance = (curBal &gt; minBal)</t>
  </si>
  <si>
    <t>Function GetWithdrawableBalance(acctNo As String) As Double</t>
  </si>
  <si>
    <t xml:space="preserve">    Dim minBal As Double: minBal = sc.Range("B9").Value</t>
  </si>
  <si>
    <t xml:space="preserve">    If IsError(custRow) Then GetWithdrawableBalance = 0: Exit Function</t>
  </si>
  <si>
    <t xml:space="preserve">    GetWithdrawableBalance = Application.WorksheetFunction.Max(0, curBal - minBal)</t>
  </si>
  <si>
    <t>' ─── UPGRADED WITHDRAWAL — enforces GHC 10 floor ─────────────────────────</t>
  </si>
  <si>
    <t>Sub SaveWithdrawalRow_V3()</t>
  </si>
  <si>
    <t xml:space="preserve">    Dim ws As Worksheet: Set ws = ActiveSheet</t>
  </si>
  <si>
    <t xml:space="preserve">    Dim dbW As Worksheet: Set dbW = ThisWorkbook.Sheets("DB_Withdrawals")</t>
  </si>
  <si>
    <t xml:space="preserve">    Dim entryRow As Long: entryRow = 0</t>
  </si>
  <si>
    <t xml:space="preserve">    Dim r As Long</t>
  </si>
  <si>
    <t xml:space="preserve">    For r = 9 To 208</t>
  </si>
  <si>
    <t xml:space="preserve">        If ws.Cells(r, 1).Value &lt;&gt; "" And ws.Cells(r, 5).Value &lt;&gt; "" _</t>
  </si>
  <si>
    <t xml:space="preserve">           And ws.Cells(r, 5).Value &gt; 0 Then</t>
  </si>
  <si>
    <t xml:space="preserve">            entryRow = r: Exit For</t>
  </si>
  <si>
    <t xml:space="preserve">        End If</t>
  </si>
  <si>
    <t xml:space="preserve">    Next r</t>
  </si>
  <si>
    <t xml:space="preserve">    If entryRow = 0 Then MsgBox "No entry found.", vbExclamation: Exit Sub</t>
  </si>
  <si>
    <t xml:space="preserve">    Dim acct   As String: acct   = CStr(ws.Cells(entryRow, 1).Value)</t>
  </si>
  <si>
    <t xml:space="preserve">    Dim wamt   As Double: wamt   = ws.Cells(entryRow, 5).Value</t>
  </si>
  <si>
    <t xml:space="preserve">    Dim authBy As String: authBy = CStr(ws.Cells(entryRow, 6).Value)</t>
  </si>
  <si>
    <t xml:space="preserve">    Dim agt    As String: agt    = CStr(ws.Cells(entryRow, 8).Value)</t>
  </si>
  <si>
    <t xml:space="preserve">    custRow = Application.Match(acct, dbC.Columns(1), 0)</t>
  </si>
  <si>
    <t xml:space="preserve">    If IsError(custRow) Then MsgBox "Account not found!", vbCritical: Exit Sub</t>
  </si>
  <si>
    <t xml:space="preserve">    Dim curBal      As Double: curBal      = dbC.Cells(custRow, 14).Value</t>
  </si>
  <si>
    <t xml:space="preserve">    Dim withdrawable As Double: withdrawable = Application.WorksheetFunction.Max(0, curBal - minBal)</t>
  </si>
  <si>
    <t xml:space="preserve">    Dim status  As String</t>
  </si>
  <si>
    <t xml:space="preserve">    Dim newBal  As Double</t>
  </si>
  <si>
    <t xml:space="preserve">    ' ── MINIMUM BALANCE CHECK (V3 rule) ──────────────────────────────────</t>
  </si>
  <si>
    <t xml:space="preserve">    If wamt &gt; withdrawable Then</t>
  </si>
  <si>
    <t xml:space="preserve">        Dim msg As String</t>
  </si>
  <si>
    <t xml:space="preserve">        msg = "⛔ WITHDRAWAL BLOCKED — Minimum Balance Rule" &amp; vbCrLf &amp; vbCrLf &amp; _</t>
  </si>
  <si>
    <t xml:space="preserve">              "Current Balance:    GHC " &amp; Format(curBal, "#,##0.00") &amp; vbCrLf &amp; _</t>
  </si>
  <si>
    <t xml:space="preserve">              "Minimum Balance:    GHC " &amp; Format(minBal, "#,##0.00") &amp; vbCrLf &amp; _</t>
  </si>
  <si>
    <t xml:space="preserve">              "Available to Withdraw: GHC " &amp; Format(withdrawable, "#,##0.00") &amp; vbCrLf &amp; _</t>
  </si>
  <si>
    <t xml:space="preserve">              "Requested Amount:   GHC " &amp; Format(wamt, "#,##0.00") &amp; vbCrLf &amp; vbCrLf &amp; _</t>
  </si>
  <si>
    <t xml:space="preserve">              "GHC " &amp; Format(minBal, "0.00") &amp; " minimum balance must be maintained at all times." &amp; vbCrLf &amp; _</t>
  </si>
  <si>
    <t xml:space="preserve">              "Maximum you can withdraw: GHC " &amp; Format(withdrawable, "#,##0.00")</t>
  </si>
  <si>
    <t xml:space="preserve">        MsgBox msg, vbCritical, "Minimum Balance Protection"</t>
  </si>
  <si>
    <t xml:space="preserve">        ' Log the blocked attempt</t>
  </si>
  <si>
    <t xml:space="preserve">        LogAudit "WITHDRAWAL_BLOCKED_MINBAL", _</t>
  </si>
  <si>
    <t xml:space="preserve">            "Account: " &amp; acct &amp; " | Requested: GHC " &amp; wamt &amp; _</t>
  </si>
  <si>
    <t xml:space="preserve">            " | Withdrawable: GHC " &amp; withdrawable &amp; " | Agent: " &amp; agt</t>
  </si>
  <si>
    <t xml:space="preserve">        Exit Sub</t>
  </si>
  <si>
    <t xml:space="preserve">    ' ── NORMAL BALANCE CHECK ─────────────────────────────────────────────</t>
  </si>
  <si>
    <t xml:space="preserve">    If curBal &gt;= wamt + minBal Then</t>
  </si>
  <si>
    <t xml:space="preserve">        status = "Successful": newBal = curBal - wamt</t>
  </si>
  <si>
    <t xml:space="preserve">    Else</t>
  </si>
  <si>
    <t xml:space="preserve">        ' This branch only reached if wamt &lt;= withdrawable but something edge-cased</t>
  </si>
  <si>
    <t xml:space="preserve">    Dim lr As Long: lr = dbW.Cells(Rows.Count, 1).End(xlUp).Row + 1</t>
  </si>
  <si>
    <t xml:space="preserve">    dbW.Cells(lr, 1).Value  = lr - 3</t>
  </si>
  <si>
    <t xml:space="preserve">    dbW.Cells(lr, 2).Value  = "WDR" &amp; Format(Now, "YYYYMMDDHHMMSS")</t>
  </si>
  <si>
    <t xml:space="preserve">    dbW.Cells(lr, 3).Value  = acct</t>
  </si>
  <si>
    <t xml:space="preserve">    dbW.Cells(lr, 4).Value  = dbC.Cells(custRow, 4).Value</t>
  </si>
  <si>
    <t xml:space="preserve">    dbW.Cells(lr, 5).Value  = curBal</t>
  </si>
  <si>
    <t xml:space="preserve">    dbW.Cells(lr, 6).Value  = Date</t>
  </si>
  <si>
    <t xml:space="preserve">    dbW.Cells(lr, 7).Value  = wamt</t>
  </si>
  <si>
    <t xml:space="preserve">    dbW.Cells(lr, 8).Value  = authBy</t>
  </si>
  <si>
    <t xml:space="preserve">    dbW.Cells(lr, 9).Value  = newBal</t>
  </si>
  <si>
    <t xml:space="preserve">    dbW.Cells(lr, 10).Value = agt</t>
  </si>
  <si>
    <t xml:space="preserve">    dbW.Cells(lr, 11).Value = status</t>
  </si>
  <si>
    <t xml:space="preserve">    dbW.Cells(lr, 12).Value = Format(Now, "YYYY-MM-DD HH:MM:SS")</t>
  </si>
  <si>
    <t xml:space="preserve">    dbW.Cells(lr, 13).Value = withdrawable          ' Withdrawable_Before</t>
  </si>
  <si>
    <t xml:space="preserve">    dbW.Cells(lr, 14).Value = "✅ COMPLIANT"         ' Min_Bal_OK</t>
  </si>
  <si>
    <t xml:space="preserve">    dbW.Cells(lr, 15).Value = "LOCKED"               ' Lock_Status</t>
  </si>
  <si>
    <t xml:space="preserve">    ws.Cells(entryRow, 1).ClearContents</t>
  </si>
  <si>
    <t xml:space="preserve">    ws.Cells(entryRow, 5).ClearContents</t>
  </si>
  <si>
    <t xml:space="preserve">    LogAudit "WITHDRAWAL_" &amp; UCase(status), _</t>
  </si>
  <si>
    <t xml:space="preserve">        "Account: " &amp; acct &amp; " | Amount: GHC " &amp; wamt &amp; _</t>
  </si>
  <si>
    <t xml:space="preserve">        " | Balance After: GHC " &amp; newBal &amp; " | Min Retained: GHC " &amp; minBal</t>
  </si>
  <si>
    <t xml:space="preserve">    MsgBox "✅ Withdrawal SUCCESSFUL!" &amp; vbCrLf &amp; vbCrLf &amp; _</t>
  </si>
  <si>
    <t xml:space="preserve">           "Amount:          GHC " &amp; Format(wamt, "#,##0.00") &amp; vbCrLf &amp; _</t>
  </si>
  <si>
    <t xml:space="preserve">           "New Balance:     GHC " &amp; Format(newBal, "#,##0.00") &amp; vbCrLf &amp; _</t>
  </si>
  <si>
    <t xml:space="preserve">           "Reserved (Min):  GHC " &amp; Format(minBal, "#,##0.00"), _</t>
  </si>
  <si>
    <t xml:space="preserve">           vbInformation, "Withdrawal Successful"</t>
  </si>
  <si>
    <t>' ─── UPGRADED ACCOUNT CREATION — optional ID, min GHC 10 ─────────────────</t>
  </si>
  <si>
    <t>Sub CreateNewAccount_V3()</t>
  </si>
  <si>
    <t xml:space="preserve">    Dim aoWS As Worksheet: Set aoWS = ThisWorkbook.Sheets("Account_Opening")</t>
  </si>
  <si>
    <t xml:space="preserve">    Dim dbWS As Worksheet: Set dbWS = ThisWorkbook.Sheets("DB_Customers")</t>
  </si>
  <si>
    <t xml:space="preserve">    Dim sc   As Worksheet: Set sc   = ThisWorkbook.Sheets("System_Config")</t>
  </si>
  <si>
    <t xml:space="preserve">    Dim fn  As String: fn  = Trim(aoWS.Range("C5").Value)</t>
  </si>
  <si>
    <t xml:space="preserve">    Dim ln  As String: ln  = Trim(aoWS.Range("C6").Value)</t>
  </si>
  <si>
    <t xml:space="preserve">    Dim idt As String: idt = Trim(aoWS.Range("C7").Value)</t>
  </si>
  <si>
    <t xml:space="preserve">    Dim idn As String: idn = Trim(aoWS.Range("C8").Value)</t>
  </si>
  <si>
    <t xml:space="preserve">    Dim occ As String: occ = Trim(aoWS.Range("C9").Value)</t>
  </si>
  <si>
    <t xml:space="preserve">    Dim agt As String: agt = Trim(aoWS.Range("C10").Value)</t>
  </si>
  <si>
    <t xml:space="preserve">    Dim opb As Double: opb = aoWS.Range("C11").Value</t>
  </si>
  <si>
    <t xml:space="preserve">    ' ── Mandatory field checks ────────────────────────────────────────────</t>
  </si>
  <si>
    <t xml:space="preserve">    If fn = "" Or ln = "" Then</t>
  </si>
  <si>
    <t xml:space="preserve">        MsgBox "First Name and Last Name are required!", vbExclamation: Exit Sub</t>
  </si>
  <si>
    <t xml:space="preserve">    If agt = "" Then</t>
  </si>
  <si>
    <t xml:space="preserve">        MsgBox "Please assign an Agent!", vbExclamation: Exit Sub</t>
  </si>
  <si>
    <t xml:space="preserve">    ' ── Min balance check (ID is now OPTIONAL — V3 rule) ─────────────────</t>
  </si>
  <si>
    <t xml:space="preserve">    If opb &lt; minBal Then</t>
  </si>
  <si>
    <t xml:space="preserve">        MsgBox "⛔ Opening Balance must be at least GHC " &amp; Format(minBal, "0.00") &amp; vbCrLf &amp; vbCrLf &amp; _</t>
  </si>
  <si>
    <t xml:space="preserve">               "Entered: GHC " &amp; Format(opb, "0.00") &amp; vbCrLf &amp; _</t>
  </si>
  <si>
    <t xml:space="preserve">               "Please enter GHC " &amp; Format(minBal, "0.00") &amp; " or more to open this account.", _</t>
  </si>
  <si>
    <t xml:space="preserve">               vbCritical, "Minimum Opening Balance Required"</t>
  </si>
  <si>
    <t xml:space="preserve">    ' ── ID optional — use placeholder if blank ────────────────────────────</t>
  </si>
  <si>
    <t xml:space="preserve">    If idt = "" Then idt = "Not Provided"</t>
  </si>
  <si>
    <t xml:space="preserve">    If idn = "" Or idn = "718982195-0" Then idn = "Not Provided"</t>
  </si>
  <si>
    <t xml:space="preserve">    Dim newAcct As String: newAcct = GenAcctNo()</t>
  </si>
  <si>
    <t xml:space="preserve">    Dim lr As Long: lr = dbWS.Cells(Rows.Count, 1).End(xlUp).Row + 1</t>
  </si>
  <si>
    <t xml:space="preserve">    dbWS.Cells(lr, 1).Value  = newAcct</t>
  </si>
  <si>
    <t xml:space="preserve">    dbWS.Cells(lr, 2).Value  = fn</t>
  </si>
  <si>
    <t xml:space="preserve">    dbWS.Cells(lr, 3).Value  = ln</t>
  </si>
  <si>
    <t xml:space="preserve">    dbWS.Cells(lr, 4).Value  = fn &amp; " " &amp; ln</t>
  </si>
  <si>
    <t xml:space="preserve">    dbWS.Cells(lr, 5).Value  = idt</t>
  </si>
  <si>
    <t xml:space="preserve">    dbWS.Cells(lr, 6).Value  = idn</t>
  </si>
  <si>
    <t xml:space="preserve">    dbWS.Cells(lr, 7).Value  = occ</t>
  </si>
  <si>
    <t xml:space="preserve">    dbWS.Cells(lr, 8).Value  = agt</t>
  </si>
  <si>
    <t xml:space="preserve">    dbWS.Cells(lr, 9).Value  = opb</t>
  </si>
  <si>
    <t xml:space="preserve">    dbWS.Cells(lr, 10).Value = Date</t>
  </si>
  <si>
    <t xml:space="preserve">    dbWS.Cells(lr, 11).Value = "Active"</t>
  </si>
  <si>
    <t xml:space="preserve">    dbWS.Cells(lr, 12).Formula = "=SUMIF(DB_Savings!$C:$C,A" &amp; lr &amp; ",DB_Savings!$F:$F)"</t>
  </si>
  <si>
    <t xml:space="preserve">    dbWS.Cells(lr, 13).Formula = "=SUMIF(DB_Withdrawals!$C:$C,A" &amp; lr &amp; ",DB_Withdrawals!$G:$G)"</t>
  </si>
  <si>
    <t xml:space="preserve">    dbWS.Cells(lr, 14).Formula = "=I" &amp; lr &amp; "+L" &amp; lr &amp; "-M" &amp; lr</t>
  </si>
  <si>
    <t xml:space="preserve">    dbWS.Cells(lr, 15).Value  = True    ' Min_Balance_Flag</t>
  </si>
  <si>
    <t xml:space="preserve">    dbWS.Cells(lr, 16).Formula = "=MAX(0,N" &amp; lr &amp; "-System_Config!$B$9)"</t>
  </si>
  <si>
    <t xml:space="preserve">    LogAudit "ACCOUNT_CREATED_V3", _</t>
  </si>
  <si>
    <t xml:space="preserve">        "New: " &amp; newAcct &amp; " | " &amp; fn &amp; " " &amp; ln &amp; " | Agent: " &amp; agt &amp; _</t>
  </si>
  <si>
    <t xml:space="preserve">        " | OpenBal: GHC " &amp; opb &amp; " | ID: " &amp; idt</t>
  </si>
  <si>
    <t xml:space="preserve">    MsgBox "✅ Account Created Successfully!" &amp; vbCrLf &amp; vbCrLf &amp; _</t>
  </si>
  <si>
    <t xml:space="preserve">           "Account Number: " &amp; newAcct &amp; vbCrLf &amp; _</t>
  </si>
  <si>
    <t xml:space="preserve">           "Customer:       " &amp; fn &amp; " " &amp; ln &amp; vbCrLf &amp; _</t>
  </si>
  <si>
    <t xml:space="preserve">           "Agent:          " &amp; agt &amp; vbCrLf &amp; _</t>
  </si>
  <si>
    <t xml:space="preserve">           "Opening Balance: GHC " &amp; Format(opb, "#,##0.00") &amp; vbCrLf &amp; _</t>
  </si>
  <si>
    <t xml:space="preserve">           "Min Reserved:   GHC " &amp; Format(minBal, "0.00"), _</t>
  </si>
  <si>
    <t xml:space="preserve">           vbInformation, "Account Created"</t>
  </si>
  <si>
    <t xml:space="preserve">    aoWS.Range("C5:C11").ClearContents</t>
  </si>
  <si>
    <t xml:space="preserve">    aoWS.Range("C7").Value = ""</t>
  </si>
  <si>
    <t xml:space="preserve">    aoWS.Range("C8").Value = ""</t>
  </si>
  <si>
    <t xml:space="preserve">    aoWS.Range("C11").Value = 0</t>
  </si>
  <si>
    <t>' ─── RATE VALIDATION (for Loan sheets) ────────────────────────────────────</t>
  </si>
  <si>
    <t>' Call on Change event of Rate cell in loan forms</t>
  </si>
  <si>
    <t>Function ValidateRateInput(rateCell As Range) As Boolean</t>
  </si>
  <si>
    <t xml:space="preserve">    Dim val As Variant: val = rateCell.Value</t>
  </si>
  <si>
    <t xml:space="preserve">    ValidateRateInput = False</t>
  </si>
  <si>
    <t xml:space="preserve">    If IsNumeric(val) Then</t>
  </si>
  <si>
    <t xml:space="preserve">        If CDbl(val) &gt;= 0 And CDbl(val) &lt;= 100 Then</t>
  </si>
  <si>
    <t xml:space="preserve">            ValidateRateInput = True</t>
  </si>
  <si>
    <t xml:space="preserve">        Else</t>
  </si>
  <si>
    <t xml:space="preserve">            MsgBox "Rate must be between 0 and 100." &amp; vbCrLf &amp; _</t>
  </si>
  <si>
    <t xml:space="preserve">                   "Enter as PERCENTAGE (e.g. 2.5 for 2.5%)." &amp; vbCrLf &amp; _</t>
  </si>
  <si>
    <t xml:space="preserve">                   "NEVER enter GHC amount in rate field.", _</t>
  </si>
  <si>
    <t xml:space="preserve">                   vbExclamation, "Invalid Rate Format"</t>
  </si>
  <si>
    <t xml:space="preserve">        MsgBox "Rate must be NUMERIC percentage only." &amp; vbCrLf &amp; _</t>
  </si>
  <si>
    <t xml:space="preserve">               "Example: enter 2.5 for 2.5% per month." &amp; vbCrLf &amp; _</t>
  </si>
  <si>
    <t xml:space="preserve">               "Do not include % symbol or GHC.", _</t>
  </si>
  <si>
    <t xml:space="preserve">               vbExclamation, "Invalid Rate Format"</t>
  </si>
  <si>
    <t>' ─── CONTROLLED REVERSAL / ERROR CORRECTION SYSTEM ───────────────────────</t>
  </si>
  <si>
    <t>Sub CorrectTransaction()</t>
  </si>
  <si>
    <t xml:space="preserve">    ' Step 1: Agent enters original Transaction ID</t>
  </si>
  <si>
    <t xml:space="preserve">    Dim origTxnID As String</t>
  </si>
  <si>
    <t xml:space="preserve">    origTxnID = InputBox("Enter ORIGINAL Transaction ID to correct:" &amp; vbCrLf &amp; _</t>
  </si>
  <si>
    <t xml:space="preserve">                         "(e.g. SAV20260415143022 or WDR20260415143022)", _</t>
  </si>
  <si>
    <t xml:space="preserve">                         "Error Correction — Right Mechanism")</t>
  </si>
  <si>
    <t xml:space="preserve">    If origTxnID = "" Then Exit Sub</t>
  </si>
  <si>
    <t xml:space="preserve">    ' Step 2: Find in DB_Savings or DB_Withdrawals</t>
  </si>
  <si>
    <t xml:space="preserve">    Dim dbS As Worksheet: Set dbS = ThisWorkbook.Sheets("DB_Savings")</t>
  </si>
  <si>
    <t xml:space="preserve">    Dim dbCorr As Worksheet: Set dbCorr = ThisWorkbook.Sheets("DB_Corrections")</t>
  </si>
  <si>
    <t xml:space="preserve">    Dim aLog As Worksheet: Set aLog = ThisWorkbook.Sheets("Audit_Log")</t>
  </si>
  <si>
    <t xml:space="preserve">    Dim txnRow As Variant</t>
  </si>
  <si>
    <t xml:space="preserve">    Dim txnSheet As Worksheet</t>
  </si>
  <si>
    <t xml:space="preserve">    Dim txnType As String</t>
  </si>
  <si>
    <t xml:space="preserve">    ' Search Savings</t>
  </si>
  <si>
    <t xml:space="preserve">    txnRow = Application.Match(origTxnID, dbS.Columns(2), 0)</t>
  </si>
  <si>
    <t xml:space="preserve">    If Not IsError(txnRow) Then</t>
  </si>
  <si>
    <t xml:space="preserve">        Set txnSheet = dbS</t>
  </si>
  <si>
    <t xml:space="preserve">        txnType = "SAVINGS"</t>
  </si>
  <si>
    <t xml:space="preserve">        ' Search Withdrawals</t>
  </si>
  <si>
    <t xml:space="preserve">        txnRow = Application.Match(origTxnID, dbW.Columns(2), 0)</t>
  </si>
  <si>
    <t xml:space="preserve">        If Not IsError(txnRow) Then</t>
  </si>
  <si>
    <t xml:space="preserve">            Set txnSheet = dbW</t>
  </si>
  <si>
    <t xml:space="preserve">            txnType = "WITHDRAWAL"</t>
  </si>
  <si>
    <t xml:space="preserve">            MsgBox "Transaction ID '" &amp; origTxnID &amp; "' not found in Savings or Withdrawals.", _</t>
  </si>
  <si>
    <t xml:space="preserve">                   vbCritical, "Not Found"</t>
  </si>
  <si>
    <t xml:space="preserve">            Exit Sub</t>
  </si>
  <si>
    <t xml:space="preserve">    ' Step 3: Show original transaction details</t>
  </si>
  <si>
    <t xml:space="preserve">    Dim origAcct  As String: origAcct  = CStr(txnSheet.Cells(txnRow, 3).Value)</t>
  </si>
  <si>
    <t xml:space="preserve">    Dim origCust  As String: origCust  = CStr(txnSheet.Cells(txnRow, 4).Value)</t>
  </si>
  <si>
    <t xml:space="preserve">    Dim origAmt   As Double: origAmt   = txnSheet.Cells(txnRow, 6).Value</t>
  </si>
  <si>
    <t xml:space="preserve">    If txnType = "WITHDRAWAL" Then origAmt = txnSheet.Cells(txnRow, 7).Value</t>
  </si>
  <si>
    <t xml:space="preserve">    Dim origDate  As String: origDate  = CStr(txnSheet.Cells(txnRow, 5).Value)</t>
  </si>
  <si>
    <t xml:space="preserve">    Dim origAgent As String: origAgent = CStr(txnSheet.Cells(txnRow, 7).Value)</t>
  </si>
  <si>
    <t xml:space="preserve">    If txnType = "WITHDRAWAL" Then origAgent = CStr(txnSheet.Cells(txnRow, 10).Value)</t>
  </si>
  <si>
    <t xml:space="preserve">    Dim details As String</t>
  </si>
  <si>
    <t xml:space="preserve">    details = "ORIGINAL TRANSACTION FOUND:" &amp; vbCrLf &amp; vbCrLf &amp; _</t>
  </si>
  <si>
    <t xml:space="preserve">              "Transaction ID:  " &amp; origTxnID &amp; vbCrLf &amp; _</t>
  </si>
  <si>
    <t xml:space="preserve">              "Type:            " &amp; txnType &amp; vbCrLf &amp; _</t>
  </si>
  <si>
    <t xml:space="preserve">              "Account:         " &amp; origAcct &amp; vbCrLf &amp; _</t>
  </si>
  <si>
    <t xml:space="preserve">              "Customer:        " &amp; origCust &amp; vbCrLf &amp; _</t>
  </si>
  <si>
    <t xml:space="preserve">              "Amount:          GHC " &amp; Format(origAmt, "#,##0.00") &amp; vbCrLf &amp; _</t>
  </si>
  <si>
    <t xml:space="preserve">              "Date:            " &amp; origDate &amp; vbCrLf &amp; _</t>
  </si>
  <si>
    <t xml:space="preserve">              "Agent:           " &amp; origAgent &amp; vbCrLf &amp; vbCrLf &amp; _</t>
  </si>
  <si>
    <t xml:space="preserve">              "Step 4: Enter the CORRECT amount to replace this with:"</t>
  </si>
  <si>
    <t xml:space="preserve">    ' Step 4: Agent enters correct amount</t>
  </si>
  <si>
    <t xml:space="preserve">    Dim corrAmtStr As String</t>
  </si>
  <si>
    <t xml:space="preserve">    corrAmtStr = InputBox(details, "Right Mechanism — Enter Correct Amount")</t>
  </si>
  <si>
    <t xml:space="preserve">    If corrAmtStr = "" Then Exit Sub</t>
  </si>
  <si>
    <t xml:space="preserve">    If Not IsNumeric(corrAmtStr) Then</t>
  </si>
  <si>
    <t xml:space="preserve">        MsgBox "Amount must be numeric.", vbExclamation: Exit Sub</t>
  </si>
  <si>
    <t xml:space="preserve">    Dim corrAmt As Double: corrAmt = CDbl(corrAmtStr)</t>
  </si>
  <si>
    <t xml:space="preserve">    ' Step 5: Get agent note</t>
  </si>
  <si>
    <t xml:space="preserve">    Dim corrNote As String</t>
  </si>
  <si>
    <t xml:space="preserve">    corrNote = InputBox("Enter reason/note for correction:", _</t>
  </si>
  <si>
    <t xml:space="preserve">                        "Correction Note", "Wrong Transaction")</t>
  </si>
  <si>
    <t xml:space="preserve">    If corrNote = "" Then corrNote = "Wrong Transaction"</t>
  </si>
  <si>
    <t xml:space="preserve">    ' Step 6: Write to DB_Corrections with "Right Mechanism Applied" auto-note</t>
  </si>
  <si>
    <t xml:space="preserve">    Dim lr As Long: lr = dbCorr.Cells(Rows.Count, 1).End(xlUp).Row + 1</t>
  </si>
  <si>
    <t xml:space="preserve">    Dim corrID As String: corrID = "CORR" &amp; Format(Now, "YYYYMMDDHHMMSS")</t>
  </si>
  <si>
    <t xml:space="preserve">    dbCorr.Cells(lr, 1).Value  = corrID</t>
  </si>
  <si>
    <t xml:space="preserve">    dbCorr.Cells(lr, 2).Value  = origTxnID</t>
  </si>
  <si>
    <t xml:space="preserve">    dbCorr.Cells(lr, 3).Value  = origAcct</t>
  </si>
  <si>
    <t xml:space="preserve">    dbCorr.Cells(lr, 4).Value  = origCust</t>
  </si>
  <si>
    <t xml:space="preserve">    dbCorr.Cells(lr, 5).Value  = txnType</t>
  </si>
  <si>
    <t xml:space="preserve">    dbCorr.Cells(lr, 6).Value  = origAmt</t>
  </si>
  <si>
    <t xml:space="preserve">    dbCorr.Cells(lr, 7).Value  = "REVERSAL+" &amp; txnType</t>
  </si>
  <si>
    <t xml:space="preserve">    dbCorr.Cells(lr, 8).Value  = corrAmt</t>
  </si>
  <si>
    <t xml:space="preserve">    dbCorr.Cells(lr, 9).Value  = origAgent</t>
  </si>
  <si>
    <t xml:space="preserve">    dbCorr.Cells(lr, 10).Value = Format(Now, "YYYY-MM-DD HH:MM:SS")</t>
  </si>
  <si>
    <t xml:space="preserve">    dbCorr.Cells(lr, 11).Value = corrNote &amp; " | Right Mechanism Applied"</t>
  </si>
  <si>
    <t xml:space="preserve">    dbCorr.Cells(lr, 12).Value = "APPLIED"</t>
  </si>
  <si>
    <t xml:space="preserve">    ' Step 7: Write reversal + correction entries to source DB</t>
  </si>
  <si>
    <t xml:space="preserve">    If txnType = "SAVINGS" Then</t>
  </si>
  <si>
    <t xml:space="preserve">        ' Reversal (negative)</t>
  </si>
  <si>
    <t xml:space="preserve">        Dim rr As Long: rr = dbS.Cells(Rows.Count, 1).End(xlUp).Row + 1</t>
  </si>
  <si>
    <t xml:space="preserve">        dbS.Cells(rr, 1).Value = rr - 3</t>
  </si>
  <si>
    <t xml:space="preserve">        dbS.Cells(rr, 2).Value = "REV_" &amp; origTxnID</t>
  </si>
  <si>
    <t xml:space="preserve">        dbS.Cells(rr, 3).Value = origAcct</t>
  </si>
  <si>
    <t xml:space="preserve">        dbS.Cells(rr, 4).Value = origCust</t>
  </si>
  <si>
    <t xml:space="preserve">        dbS.Cells(rr, 5).Value = Date</t>
  </si>
  <si>
    <t xml:space="preserve">        dbS.Cells(rr, 6).Value = -origAmt</t>
  </si>
  <si>
    <t xml:space="preserve">        dbS.Cells(rr, 7).Value = origAgent</t>
  </si>
  <si>
    <t xml:space="preserve">        dbS.Cells(rr, 8).Value = "REVERSAL"</t>
  </si>
  <si>
    <t xml:space="preserve">        dbS.Cells(rr, 9).Value = Format(Now, "YYYY-MM-DD HH:MM:SS")</t>
  </si>
  <si>
    <t xml:space="preserve">        dbS.Cells(rr, 10).Value = "Right Mechanism: " &amp; corrNote</t>
  </si>
  <si>
    <t xml:space="preserve">        dbS.Cells(rr, 11).Value = "LOCKED"</t>
  </si>
  <si>
    <t xml:space="preserve">        ' Correct entry</t>
  </si>
  <si>
    <t xml:space="preserve">        rr = rr + 1</t>
  </si>
  <si>
    <t xml:space="preserve">        dbS.Cells(rr, 2).Value = corrID</t>
  </si>
  <si>
    <t xml:space="preserve">        dbS.Cells(rr, 6).Value = corrAmt</t>
  </si>
  <si>
    <t xml:space="preserve">        dbS.Cells(rr, 8).Value = "CORRECTION"</t>
  </si>
  <si>
    <t xml:space="preserve">        dbS.Cells(rr, 10).Value = "Right Mechanism Applied | Ref: " &amp; origTxnID</t>
  </si>
  <si>
    <t xml:space="preserve">    ' Step 8: Log in Audit</t>
  </si>
  <si>
    <t xml:space="preserve">    Dim alr As Long: alr = aLog.Cells(Rows.Count, 1).End(xlUp).Row + 1</t>
  </si>
  <si>
    <t xml:space="preserve">    aLog.Cells(alr, 1).Value = Now()</t>
  </si>
  <si>
    <t xml:space="preserve">    aLog.Cells(alr, 2).Value = Environ("USERNAME")</t>
  </si>
  <si>
    <t xml:space="preserve">    aLog.Cells(alr, 3).Value = "CORRECTION_APPLIED"</t>
  </si>
  <si>
    <t xml:space="preserve">    aLog.Cells(alr, 4).Value = "CorrID: " &amp; corrID &amp; " | Orig: " &amp; origTxnID &amp; _</t>
  </si>
  <si>
    <t xml:space="preserve">                                " | OldAmt: GHC " &amp; origAmt &amp; " → NewAmt: GHC " &amp; corrAmt</t>
  </si>
  <si>
    <t xml:space="preserve">    aLog.Cells(alr, 5).Value = origAgent</t>
  </si>
  <si>
    <t xml:space="preserve">    aLog.Cells(alr, 6).Value = origTxnID</t>
  </si>
  <si>
    <t xml:space="preserve">    aLog.Cells(alr, 7).Value = "YES"</t>
  </si>
  <si>
    <t xml:space="preserve">    ' Step 9: Confirm to user</t>
  </si>
  <si>
    <t xml:space="preserve">    MsgBox "✅ RIGHT MECHANISM APPLIED SUCCESSFULLY" &amp; vbCrLf &amp; vbCrLf &amp; _</t>
  </si>
  <si>
    <t xml:space="preserve">           "Correction ID:    " &amp; corrID &amp; vbCrLf &amp; _</t>
  </si>
  <si>
    <t xml:space="preserve">           "Original Txn:     " &amp; origTxnID &amp; vbCrLf &amp; _</t>
  </si>
  <si>
    <t xml:space="preserve">           "Original Amount:  GHC " &amp; Format(origAmt, "#,##0.00") &amp; vbCrLf &amp; _</t>
  </si>
  <si>
    <t xml:space="preserve">           "Correct Amount:   GHC " &amp; Format(corrAmt, "#,##0.00") &amp; vbCrLf &amp; _</t>
  </si>
  <si>
    <t xml:space="preserve">           "Note:             " &amp; corrNote &amp; vbCrLf &amp; vbCrLf &amp; _</t>
  </si>
  <si>
    <t xml:space="preserve">           "Audit trail has been updated.", vbInformation, "Correction Complete"</t>
  </si>
  <si>
    <t>' ─── QUICK ACCESS: Withdrawable Balance Checker ───────────────────────────</t>
  </si>
  <si>
    <t>Sub CheckWithdrawable()</t>
  </si>
  <si>
    <t xml:space="preserve">    Dim acct As String</t>
  </si>
  <si>
    <t xml:space="preserve">    acct = InputBox("Enter Account Number to check withdrawable balance:", _</t>
  </si>
  <si>
    <t xml:space="preserve">                    "Balance Check")</t>
  </si>
  <si>
    <t xml:space="preserve">    If acct = "" Then Exit Sub</t>
  </si>
  <si>
    <t xml:space="preserve">    If IsError(custRow) Then</t>
  </si>
  <si>
    <t xml:space="preserve">        MsgBox "Account '" &amp; acct &amp; "' not found.", vbCritical: Exit Sub</t>
  </si>
  <si>
    <t xml:space="preserve">    Dim cname As String:  cname  = CStr(dbC.Cells(custRow, 4).Value)</t>
  </si>
  <si>
    <t xml:space="preserve">    MsgBox "ACCOUNT BALANCE SUMMARY" &amp; vbCrLf &amp; vbCrLf &amp; _</t>
  </si>
  <si>
    <t xml:space="preserve">           "Account:    " &amp; acct &amp; vbCrLf &amp; _</t>
  </si>
  <si>
    <t xml:space="preserve">           "Customer:   " &amp; cname &amp; vbCrLf &amp; vbCrLf &amp; _</t>
  </si>
  <si>
    <t xml:space="preserve">           "Total Balance:       GHC " &amp; Format(curBal, "#,##0.00") &amp; vbCrLf &amp; _</t>
  </si>
  <si>
    <t xml:space="preserve">           "Minimum Reserved:    GHC " &amp; Format(minBal, "0.00") &amp; vbCrLf &amp; _</t>
  </si>
  <si>
    <t xml:space="preserve">           "Available to Withdraw: GHC " &amp; Format(withdrawable, "#,##0.00"), _</t>
  </si>
  <si>
    <t xml:space="preserve">           vbInformation, "Balance Check"</t>
  </si>
  <si>
    <t>' ─── UPGRADE NOTICE ───────────────────────────────────────────────────────</t>
  </si>
  <si>
    <t>' V3 FUNCTION MAPPING — USE THESE INSTEAD OF V2 EQUIVALENTS:</t>
  </si>
  <si>
    <t>'   CreateNewAccount_V3()    → replaces CreateNewAccount()</t>
  </si>
  <si>
    <t>'   SaveWithdrawalRow_V3()   → replaces SaveWithdrawalRow()</t>
  </si>
  <si>
    <t>'   CorrectTransaction()     → NEW — Error correction / Right Mechanism</t>
  </si>
  <si>
    <t>'   CheckWithdrawable()      → NEW — Balance availability checker</t>
  </si>
  <si>
    <t>'   ValidateRateInput(cell)  → NEW — Call on rate field change event</t>
  </si>
  <si>
    <t>' ======= AUTO-SAVE ENGINE (V8 Addition) =======</t>
  </si>
  <si>
    <t>Attribute VB_Name = "ThisWorkbook"</t>
  </si>
  <si>
    <t>' ================================================================</t>
  </si>
  <si>
    <t>' SAMICIOUS MICROFINANCE V8 — Auto-Save Engine</t>
  </si>
  <si>
    <t>' Triggered on every workbook save (CTRL+S or File &gt; Save)</t>
  </si>
  <si>
    <t>' 1. Transfers Account Opening data to Customer Account Database</t>
  </si>
  <si>
    <t>' 2. Clears the Account Opening form for next entry</t>
  </si>
  <si>
    <t>Private Sub Workbook_BeforeSave(ByVal SaveAsUI As Boolean, Cancel As Boolean)</t>
  </si>
  <si>
    <t xml:space="preserve">    Dim wsForm  As Worksheet</t>
  </si>
  <si>
    <t xml:space="preserve">    Dim wsDB    As Worksheet</t>
  </si>
  <si>
    <t xml:space="preserve">    Dim nextRow As Long</t>
  </si>
  <si>
    <t xml:space="preserve">    Dim acctNum As String</t>
  </si>
  <si>
    <t xml:space="preserve">    Dim fname   As String</t>
  </si>
  <si>
    <t xml:space="preserve">    ' Reference sheets</t>
  </si>
  <si>
    <t xml:space="preserve">    wsForm = Me.Sheets("Account_Opening")</t>
  </si>
  <si>
    <t xml:space="preserve">    wsDB   = Me.Sheets("Customer Account Database")</t>
  </si>
  <si>
    <t xml:space="preserve">    ' Only transfer if form has valid data</t>
  </si>
  <si>
    <t xml:space="preserve">    fname   = Trim(wsForm.Range("C5").Value)</t>
  </si>
  <si>
    <t xml:space="preserve">    acctNum = Trim(wsForm.Range("C16").Value)</t>
  </si>
  <si>
    <t xml:space="preserve">    If fname = "" Or acctNum = "" Then GoTo CleanExit</t>
  </si>
  <si>
    <t xml:space="preserve">    If Left(wsForm.Range("A17").Value, 1) &lt;&gt; Chr(10003) And _</t>
  </si>
  <si>
    <t xml:space="preserve">       InStr(wsForm.Range("A17").Value, "All fields") = 0 Then GoTo CleanExit</t>
  </si>
  <si>
    <t xml:space="preserve">    ' Find next empty row in database (after header row 10)</t>
  </si>
  <si>
    <t xml:space="preserve">    nextRow = 11</t>
  </si>
  <si>
    <t xml:space="preserve">    Do While wsDB.Cells(nextRow, 2).Value &lt;&gt; ""</t>
  </si>
  <si>
    <t xml:space="preserve">        nextRow = nextRow + 1</t>
  </si>
  <si>
    <t xml:space="preserve">        If nextRow &gt; 510 Then</t>
  </si>
  <si>
    <t xml:space="preserve">            MsgBox "Database full. Please archive records.", vbExclamation</t>
  </si>
  <si>
    <t xml:space="preserve">            GoTo CleanExit</t>
  </si>
  <si>
    <t xml:space="preserve">    Loop</t>
  </si>
  <si>
    <t xml:space="preserve">    ' Check for duplicate account number</t>
  </si>
  <si>
    <t xml:space="preserve">    Dim dupCheck As Range</t>
  </si>
  <si>
    <t xml:space="preserve">    Set dupCheck = wsDB.Range("B11:B510").Find(acctNum, LookIn:=xlValues, LookAt:=xlWhole)</t>
  </si>
  <si>
    <t xml:space="preserve">    If Not dupCheck Is Nothing Then</t>
  </si>
  <si>
    <t xml:space="preserve">        MsgBox "Account No. " &amp; acctNum &amp; " already exists. Duplicate not saved.", vbWarning</t>
  </si>
  <si>
    <t xml:space="preserve">        GoTo CleanExit</t>
  </si>
  <si>
    <t xml:space="preserve">    ' Transfer data from form to database</t>
  </si>
  <si>
    <t xml:space="preserve">    wsDB.Cells(nextRow, 1).Value = nextRow - 10              ' Record #</t>
  </si>
  <si>
    <t xml:space="preserve">    wsDB.Cells(nextRow, 2).Value = acctNum                   ' Account No.</t>
  </si>
  <si>
    <t xml:space="preserve">    wsDB.Cells(nextRow, 3).Value = Trim(wsForm.Range("C5").Value) &amp; " " &amp; _</t>
  </si>
  <si>
    <t xml:space="preserve">                                    Trim(wsForm.Range("C6").Value)  ' Full Name</t>
  </si>
  <si>
    <t xml:space="preserve">    wsDB.Cells(nextRow, 4).Value = wsForm.Range("C7").Value  ' Date of Birth</t>
  </si>
  <si>
    <t xml:space="preserve">    wsDB.Cells(nextRow, 5).Value = wsForm.Range("C8").Value  ' Phone Number</t>
  </si>
  <si>
    <t xml:space="preserve">    wsDB.Cells(nextRow, 6).Value = wsForm.Range("C9").Value  ' Location</t>
  </si>
  <si>
    <t xml:space="preserve">    wsDB.Cells(nextRow, 7).Value = wsForm.Range("C10").Value ' Occupation</t>
  </si>
  <si>
    <t xml:space="preserve">    wsDB.Cells(nextRow, 8).Value = wsForm.Range("C11").Value ' Assigned Agent</t>
  </si>
  <si>
    <t xml:space="preserve">    wsDB.Cells(nextRow, 9).Value = wsForm.Range("C12").Value ' Opening Balance</t>
  </si>
  <si>
    <t xml:space="preserve">    wsDB.Cells(nextRow, 10).Value = Now()                    ' Date Created</t>
  </si>
  <si>
    <t xml:space="preserve">    wsDB.Cells(nextRow, 11).Value = wsForm.Range("C14").Value ' ID Card Type</t>
  </si>
  <si>
    <t xml:space="preserve">    wsDB.Cells(nextRow, 12).Value = wsForm.Range("C15").Value ' ID Card Number</t>
  </si>
  <si>
    <t xml:space="preserve">    wsDB.Cells(nextRow, 13).Value = wsForm.Range("C13").Value ' Next of Kin</t>
  </si>
  <si>
    <t xml:space="preserve">    wsDB.Cells(nextRow, 14).Value = "Active"                 ' Status</t>
  </si>
  <si>
    <t xml:space="preserve">    ' Format date column</t>
  </si>
  <si>
    <t xml:space="preserve">    wsDB.Cells(nextRow, 10).NumberFormat = "DD/MM/YYYY HH:MM"</t>
  </si>
  <si>
    <t xml:space="preserve">    wsDB.Cells(nextRow, 4).NumberFormat  = "DD/MM/YYYY"</t>
  </si>
  <si>
    <t xml:space="preserve">    ' Apply alternating row styling</t>
  </si>
  <si>
    <t xml:space="preserve">    Dim rowColor As String</t>
  </si>
  <si>
    <t xml:space="preserve">    If (nextRow - 10) Mod 2 = 0 Then rowColor = "EBF5FB" Else rowColor = "FFFFFF"</t>
  </si>
  <si>
    <t xml:space="preserve">    Dim j As Integer</t>
  </si>
  <si>
    <t xml:space="preserve">    For j = 1 To 14</t>
  </si>
  <si>
    <t xml:space="preserve">        wsDB.Cells(nextRow, j).Interior.Color = RGB(235,245,251)</t>
  </si>
  <si>
    <t xml:space="preserve">    Next j</t>
  </si>
  <si>
    <t xml:space="preserve">    ' Clear form fields (reset for next entry)</t>
  </si>
  <si>
    <t xml:space="preserve">    Dim clearCells As Variant</t>
  </si>
  <si>
    <t xml:space="preserve">    clearCells = Array("C5","C6","C7","C8","C9","C10","C11","C12","C13","C14","C15")</t>
  </si>
  <si>
    <t xml:space="preserve">    Dim cell As Variant</t>
  </si>
  <si>
    <t xml:space="preserve">    For Each cell In clearCells</t>
  </si>
  <si>
    <t xml:space="preserve">        wsForm.Range(cell).Value = ""</t>
  </si>
  <si>
    <t xml:space="preserve">        wsForm.Range(cell).ClearContents</t>
  </si>
  <si>
    <t xml:space="preserve">    Next cell</t>
  </si>
  <si>
    <t xml:space="preserve">    ' Log to Audit_Log</t>
  </si>
  <si>
    <t xml:space="preserve">    Dim wsAudit As Worksheet</t>
  </si>
  <si>
    <t xml:space="preserve">    Set wsAudit = Me.Sheets("Audit_Log")</t>
  </si>
  <si>
    <t xml:space="preserve">    wsAudit.Cells(auditRow, 1).Value = Now()</t>
  </si>
  <si>
    <t xml:space="preserve">    wsAudit.Cells(auditRow, 2).Value = "ACCOUNT_CREATED"</t>
  </si>
  <si>
    <t xml:space="preserve">    wsAudit.Cells(auditRow, 3).Value = acctNum</t>
  </si>
  <si>
    <t xml:space="preserve">    wsAudit.Cells(auditRow, 4).Value = "Success"</t>
  </si>
  <si>
    <t xml:space="preserve">    wsAudit.Cells(auditRow, 5).Value = Environ("USERNAME")</t>
  </si>
  <si>
    <t xml:space="preserve">    MsgBox "✅  Account " &amp; acctNum &amp; " saved successfully!" &amp; Chr(13) &amp; _</t>
  </si>
  <si>
    <t xml:space="preserve">           "Form cleared for next entry.", vbInformation, "Account Saved"</t>
  </si>
  <si>
    <t>CleanExit:</t>
  </si>
  <si>
    <t xml:space="preserve">    MsgBox "Error in auto-save: " &amp; Err.Description, vbCritical, "Save Error"</t>
  </si>
  <si>
    <t>' SAMICIOUS MICROFINANCE V10 ENTERPRISE — VBA ADDITIONS</t>
  </si>
  <si>
    <t>' COPY ALL CODE BELOW AND APPEND TO EXISTING MODULE</t>
  </si>
  <si>
    <t>'</t>
  </si>
  <si>
    <t>' ─── V10: NAVIGATE TO MANAGER DASHBOARD ON OPEN ──────────────────────────</t>
  </si>
  <si>
    <t>' PASTE INTO ThisWorkbook (not a Module):</t>
  </si>
  <si>
    <t>' Private Sub Workbook_Open()</t>
  </si>
  <si>
    <t>'     Application.ScreenUpdating = False</t>
  </si>
  <si>
    <t>'     Application.DisplayAlerts = False</t>
  </si>
  <si>
    <t>'     ThisWorkbook.Sheets("Manager_Dashboard").Activate</t>
  </si>
  <si>
    <t>'     ThisWorkbook.Sheets("Manager_Dashboard").Range("A1").Select</t>
  </si>
  <si>
    <t>'     Application.Calculate</t>
  </si>
  <si>
    <t>'     Application.ScreenUpdating = True</t>
  </si>
  <si>
    <t>' End Sub</t>
  </si>
  <si>
    <t>' ─── V10: AUTO-PUSH SAVINGS TO DB_SAVINGS (WorkbookSheetChange trigger) ──</t>
  </si>
  <si>
    <t>' PASTE INTO ThisWorkbook:</t>
  </si>
  <si>
    <t>' Private Sub Workbook_SheetChange(ByVal Sh As Object, ByVal Target As Range)</t>
  </si>
  <si>
    <t>'     Dim savSheets As Variant</t>
  </si>
  <si>
    <t>'     savSheets = Array("Agent01_Savings","Agent02_Savings","Agent03_Savings","Agent04_Savings","Agent05_Savings","Agent06_Savings","Agent07_Savings","Agent08_Savings","Agent09_Savings","Agent10_Savings")</t>
  </si>
  <si>
    <t>'     Dim i As Integer</t>
  </si>
  <si>
    <t>'     For i = 0 To UBound(savSheets)</t>
  </si>
  <si>
    <t>'         If Sh.Name = savSheets(i) Then</t>
  </si>
  <si>
    <t>'             If Not Intersect(Target, Sh.Range("E9:E208")) Is Nothing Then</t>
  </si>
  <si>
    <t>'                 Call AutoPushSavingsRow(Sh)</t>
  </si>
  <si>
    <t>'             End If</t>
  </si>
  <si>
    <t>'             Exit For</t>
  </si>
  <si>
    <t>'         End If</t>
  </si>
  <si>
    <t>'     Next i</t>
  </si>
  <si>
    <t>' ─── V10: AUTO-PUSH SAVINGS ROW TO DB_SAVINGS ────────────────────────────</t>
  </si>
  <si>
    <t>Sub AutoPushSavingsRow(ws As Worksheet)</t>
  </si>
  <si>
    <t xml:space="preserve">        Dim acct As String: acct = Trim(CStr(ws.Cells(r, 1).Value))</t>
  </si>
  <si>
    <t xml:space="preserve">        Dim amt  As Double</t>
  </si>
  <si>
    <t xml:space="preserve">        Dim agt  As String: agt = Trim(CStr(ws.Cells(r, 7).Value))</t>
  </si>
  <si>
    <t xml:space="preserve">        Dim code As String: code = Trim(CStr(ws.Cells(r, 8).Value))</t>
  </si>
  <si>
    <t xml:space="preserve">        Dim stat As String: stat = Trim(CStr(ws.Cells(r, 9).Value))</t>
  </si>
  <si>
    <t xml:space="preserve">        If acct = "" Or Not IsNumeric(ws.Cells(r, 5).Value) Then GoTo NextRow</t>
  </si>
  <si>
    <t xml:space="preserve">        amt = CDbl(ws.Cells(r, 5).Value)</t>
  </si>
  <si>
    <t xml:space="preserve">        If amt &lt;= 0 Then GoTo NextRow</t>
  </si>
  <si>
    <t xml:space="preserve">        If stat &lt;&gt; "Saved" Then GoTo NextRow</t>
  </si>
  <si>
    <t xml:space="preserve">        ' Generate Transaction ID</t>
  </si>
  <si>
    <t xml:space="preserve">        Dim txnID As String</t>
  </si>
  <si>
    <t xml:space="preserve">        txnID = "SAV" &amp; Format(Now, "YYYYMMDDHHMMSS") &amp; Format(r - 8, "000")</t>
  </si>
  <si>
    <t xml:space="preserve">        ' Check duplicate by TxnID pattern matching agent+row</t>
  </si>
  <si>
    <t xml:space="preserve">        Dim dupKey As String: dupKey = ws.Name &amp; "_R" &amp; r</t>
  </si>
  <si>
    <t xml:space="preserve">        If Application.CountIf(dbS.Columns(11), dupKey) &gt; 0 Then GoTo NextRow</t>
  </si>
  <si>
    <t xml:space="preserve">        ' Push to DB_Savings</t>
  </si>
  <si>
    <t xml:space="preserve">        Dim lr As Long: lr = dbS.Cells(dbS.Rows.Count, 1).End(xlUp).Row + 1</t>
  </si>
  <si>
    <t xml:space="preserve">        If lr &lt; 4 Then lr = 4</t>
  </si>
  <si>
    <t xml:space="preserve">        Dim custRow As Variant</t>
  </si>
  <si>
    <t xml:space="preserve">        custRow = Application.Match(acct, dbC.Columns(1), 0)</t>
  </si>
  <si>
    <t xml:space="preserve">        Dim custName As String</t>
  </si>
  <si>
    <t xml:space="preserve">        If Not IsError(custRow) Then custName = CStr(dbC.Cells(custRow, 4).Value) Else custName = ""</t>
  </si>
  <si>
    <t xml:space="preserve">        dbS.Cells(lr, 1).Value  = lr - 3</t>
  </si>
  <si>
    <t xml:space="preserve">        dbS.Cells(lr, 2).Value  = txnID</t>
  </si>
  <si>
    <t xml:space="preserve">        dbS.Cells(lr, 3).Value  = acct</t>
  </si>
  <si>
    <t xml:space="preserve">        dbS.Cells(lr, 4).Value  = custName</t>
  </si>
  <si>
    <t xml:space="preserve">        dbS.Cells(lr, 5).Value  = Date</t>
  </si>
  <si>
    <t xml:space="preserve">        dbS.Cells(lr, 6).Value  = amt</t>
  </si>
  <si>
    <t xml:space="preserve">        dbS.Cells(lr, 7).Value  = agt</t>
  </si>
  <si>
    <t xml:space="preserve">        dbS.Cells(lr, 8).Value  = "Verified"</t>
  </si>
  <si>
    <t xml:space="preserve">        dbS.Cells(lr, 9).Value  = Format(Now, "YYYY-MM-DD HH:MM:SS")</t>
  </si>
  <si>
    <t xml:space="preserve">        dbS.Cells(lr, 10).Value = ws.Cells(r, 11).Value</t>
  </si>
  <si>
    <t xml:space="preserve">        dbS.Cells(lr, 11).Value = dupKey</t>
  </si>
  <si>
    <t xml:space="preserve">        ' Audit</t>
  </si>
  <si>
    <t xml:space="preserve">        LogAudit "SAVINGS_PUSHED", "TxnID: " &amp; txnID &amp; " | Acct: " &amp; acct &amp; " | GHC " &amp; amt &amp; " | " &amp; agt</t>
  </si>
  <si>
    <t>NextRow:</t>
  </si>
  <si>
    <t>' ─── V10: EXPORT ANNUAL REPORT TO NEW WORKBOOK ───────────────────────────</t>
  </si>
  <si>
    <t>Sub ExportAnnualReport()</t>
  </si>
  <si>
    <t xml:space="preserve">    Dim wsRpt As Worksheet: Set wsRpt = ThisWorkbook.Sheets("Annual_Report")</t>
  </si>
  <si>
    <t xml:space="preserve">    Dim wsAI  As Worksheet: Set wsAI  = ThisWorkbook.Sheets("AI_Intelligence")</t>
  </si>
  <si>
    <t xml:space="preserve">    Dim newWB As Workbook: Set newWB = Workbooks.Add</t>
  </si>
  <si>
    <t xml:space="preserve">    wsRpt.Copy Before:=newWB.Sheets(1)</t>
  </si>
  <si>
    <t xml:space="preserve">    wsAI.Copy After:=newWB.Sheets(newWB.Sheets.Count)</t>
  </si>
  <si>
    <t xml:space="preserve">    Dim savePath As String</t>
  </si>
  <si>
    <t xml:space="preserve">    savePath = Environ("USERPROFILE") &amp; "\Desktop\SAMICIOUS_Annual_Report_" &amp; Format(Now, "YYYYMMDD_HHMM") &amp; ".xlsx"</t>
  </si>
  <si>
    <t xml:space="preserve">    newWB.SaveAs savePath, xlOpenXMLWorkbook</t>
  </si>
  <si>
    <t xml:space="preserve">    newWB.Close False</t>
  </si>
  <si>
    <t xml:space="preserve">    LogAudit "EXPORT_REPORT", "Annual Report exported to: " &amp; savePath</t>
  </si>
  <si>
    <t xml:space="preserve">    MsgBox "✅ Annual Report exported to Desktop!" &amp; vbCrLf &amp; savePath, vbInformation, "Export Complete"</t>
  </si>
  <si>
    <t>' ─── V10: CLOUD SYNC PUSH (stub — wire to actual Firebase key in CLOUD_SYNC) ──</t>
  </si>
  <si>
    <t>Sub CloudSyncPush()</t>
  </si>
  <si>
    <t xml:space="preserve">    ' For live deployment: replace MsgBox with HTTP POST via XMLHTTP</t>
  </si>
  <si>
    <t xml:space="preserve">    Dim pendingRecs As Long</t>
  </si>
  <si>
    <t xml:space="preserve">    pendingRecs = ThisWorkbook.Sheets("CLOUD_SYNC").Range("D8").Value</t>
  </si>
  <si>
    <t xml:space="preserve">    If Not IsNumeric(pendingRecs) Then pendingRecs = 0</t>
  </si>
  <si>
    <t xml:space="preserve">    MsgBox "☁️  CLOUD SYNC — SAMICIOUS MICROFINANCE v10" &amp; vbCrLf &amp; vbCrLf &amp; _</t>
  </si>
  <si>
    <t xml:space="preserve">           "Pending Records: " &amp; pendingRecs &amp; vbCrLf &amp; _</t>
  </si>
  <si>
    <t xml:space="preserve">           "Endpoint: " &amp; ThisWorkbook.Sheets("CLOUD_SYNC").Range("D17").Value &amp; vbCrLf &amp; _</t>
  </si>
  <si>
    <t xml:space="preserve">           "Company ID: " &amp; ThisWorkbook.Sheets("CLOUD_SYNC").Range("D19").Value &amp; vbCrLf &amp; vbCrLf &amp; _</t>
  </si>
  <si>
    <t xml:space="preserve">           "LIVE SYNC: Install Firebase VBA SDK from Cloud_Sync sheet instructions." &amp; vbCrLf &amp; _</t>
  </si>
  <si>
    <t xml:space="preserve">           "All local data is formula-synced. DB is always current.", _</t>
  </si>
  <si>
    <t xml:space="preserve">           vbInformation, "Cloud Sync Status"</t>
  </si>
  <si>
    <t xml:space="preserve">    LogAudit "CLOUD_SYNC_CHECK", "Manual sync check. Pending: " &amp; pendingRecs</t>
  </si>
  <si>
    <t>' ─── V10: INTELLIGENT BALANCE SUMMARY ────────────────────────────────────</t>
  </si>
  <si>
    <t>Sub IntelligentBalanceSummary()</t>
  </si>
  <si>
    <t xml:space="preserve">    Dim totalPort As Double</t>
  </si>
  <si>
    <t xml:space="preserve">    Dim zeroBalCount As Long</t>
  </si>
  <si>
    <t xml:space="preserve">    Dim minBalBreachCount As Long</t>
  </si>
  <si>
    <t xml:space="preserve">    Dim activeCount As Long</t>
  </si>
  <si>
    <t xml:space="preserve">    For r = 4 To 1002</t>
  </si>
  <si>
    <t xml:space="preserve">        If dbC.Cells(r, 1).Value &lt;&gt; "" And dbC.Cells(r, 11).Value = "Active" Then</t>
  </si>
  <si>
    <t xml:space="preserve">            activeCount = activeCount + 1</t>
  </si>
  <si>
    <t xml:space="preserve">            Dim bal As Double: bal = CDbl(dbC.Cells(r, 14).Value)</t>
  </si>
  <si>
    <t xml:space="preserve">            totalPort = totalPort + bal</t>
  </si>
  <si>
    <t xml:space="preserve">            If bal &lt; minBal Then minBalBreachCount = minBalBreachCount + 1</t>
  </si>
  <si>
    <t xml:space="preserve">            If bal = 0 Then zeroBalCount = zeroBalCount + 1</t>
  </si>
  <si>
    <t xml:space="preserve">    MsgBox "📊 INTELLIGENT PORTFOLIO SUMMARY" &amp; vbCrLf &amp; vbCrLf &amp; _</t>
  </si>
  <si>
    <t xml:space="preserve">           "Active Accounts:       " &amp; activeCount &amp; vbCrLf &amp; _</t>
  </si>
  <si>
    <t xml:space="preserve">           "Total Portfolio (GHC): " &amp; Format(totalPort, "#,##0.00") &amp; vbCrLf &amp; _</t>
  </si>
  <si>
    <t xml:space="preserve">           "Avg Balance (GHC):     " &amp; Format(IIf(activeCount &gt; 0, totalPort / activeCount, 0), "#,##0.00") &amp; vbCrLf &amp; _</t>
  </si>
  <si>
    <t xml:space="preserve">           "Zero-Balance Accts:    " &amp; zeroBalCount &amp; vbCrLf &amp; _</t>
  </si>
  <si>
    <t xml:space="preserve">           "Below Min Balance:     " &amp; minBalBreachCount &amp; " (Min: GHC " &amp; Format(minBal, "0.00") &amp; ")" &amp; vbCrLf &amp; vbCrLf &amp; _</t>
  </si>
  <si>
    <t xml:space="preserve">           "View AI_Intelligence tab for full trend analysis.", _</t>
  </si>
  <si>
    <t xml:space="preserve">           vbInformation, "Portfolio Intelligence"</t>
  </si>
  <si>
    <t xml:space="preserve">    LogAudit "PORTFOLIO_REPORT", "Total: GHC " &amp; totalPort &amp; " | Active: " &amp; activeCount</t>
  </si>
  <si>
    <t>' HOW TO INSTALL V10 VBA:</t>
  </si>
  <si>
    <t>'   1. Alt+F11 → VBA Editor opens</t>
  </si>
  <si>
    <t>'   2. Double-click Module1 (or Insert &gt; Module if none exists)</t>
  </si>
  <si>
    <t>'   3. Paste ALL code from VBA_Macros sheet (rows 5 onward)</t>
  </si>
  <si>
    <t>'   4. Double-click "ThisWorkbook" in Project Explorer</t>
  </si>
  <si>
    <t>'   5. Paste the Workbook_Open and Workbook_SheetChange subs</t>
  </si>
  <si>
    <t>'   6. Close VBA Editor and Save As .xlsm</t>
  </si>
  <si>
    <t>'   7. System is immediately active — zero manual configuration</t>
  </si>
  <si>
    <t>🤖  SAMICIOUS AI INTELLIGENCE &amp; PREDICTIVE ANALYTICS — v10 ENTERPRISE</t>
  </si>
  <si>
    <t>Live Trend Detection  |  Anomaly Alerts  |  6-Month Forecasting  |  Agent Intelligence Scores</t>
  </si>
  <si>
    <t>━━━  LIVE KPI METRICS  ━━━</t>
  </si>
  <si>
    <t>TOTAL PORTFOLIO (GHC)</t>
  </si>
  <si>
    <t>MTH GROWTH</t>
  </si>
  <si>
    <t>RISK SCORE</t>
  </si>
  <si>
    <t>TOP AGENT</t>
  </si>
  <si>
    <t>NET FLOW</t>
  </si>
  <si>
    <t>LOAN EXPOSURE</t>
  </si>
  <si>
    <t>🔍 AI AGENT PERFORMANCE INTELLIGENCE — Month-to-Date</t>
  </si>
  <si>
    <t>Tx Count</t>
  </si>
  <si>
    <t>Avg Tx</t>
  </si>
  <si>
    <t>Tier</t>
  </si>
  <si>
    <t>Anomaly</t>
  </si>
  <si>
    <t>7d Forecast</t>
  </si>
  <si>
    <t>Efficiency%</t>
  </si>
  <si>
    <t>AI Recommendation</t>
  </si>
  <si>
    <t>📈 PREDICTIVE ANALYTICS — 6-MONTH REVENUE FORECAST (Formula-Driven)</t>
  </si>
  <si>
    <t>Projected Savings</t>
  </si>
  <si>
    <t>Projected Withdrawals</t>
  </si>
  <si>
    <t>Net Forecast</t>
  </si>
  <si>
    <t>Interest Income</t>
  </si>
  <si>
    <t>Confidence</t>
  </si>
  <si>
    <t>May 2026</t>
  </si>
  <si>
    <t>90%</t>
  </si>
  <si>
    <t>Jun 2026</t>
  </si>
  <si>
    <t>85%</t>
  </si>
  <si>
    <t>Jul 2026</t>
  </si>
  <si>
    <t>80%</t>
  </si>
  <si>
    <t>Aug 2026</t>
  </si>
  <si>
    <t>75%</t>
  </si>
  <si>
    <t>Sep 2026</t>
  </si>
  <si>
    <t>70%</t>
  </si>
  <si>
    <t>Oct 2026</t>
  </si>
  <si>
    <t>65%</t>
  </si>
  <si>
    <t>🚨 SMART ALERTS &amp; ANOMALY DETECTION ENGINE</t>
  </si>
  <si>
    <t>Inactive Customers (No txn 30d)</t>
  </si>
  <si>
    <t>Zero-Activity Agents Today</t>
  </si>
  <si>
    <t>Pending Loan Approvals</t>
  </si>
  <si>
    <t>Failed Code Validations Today</t>
  </si>
  <si>
    <t>Accounts Below Min Balance</t>
  </si>
  <si>
    <t>MTD Target Achievement %</t>
  </si>
  <si>
    <t>📋  SAMICIOUS MICROFINANCE — AUTOMATED ANNUAL REPORT</t>
  </si>
  <si>
    <t>Report Year:</t>
  </si>
  <si>
    <t>January</t>
  </si>
  <si>
    <t>February</t>
  </si>
  <si>
    <t>March</t>
  </si>
  <si>
    <t>April</t>
  </si>
  <si>
    <t>June</t>
  </si>
  <si>
    <t>July</t>
  </si>
  <si>
    <t>August</t>
  </si>
  <si>
    <t>September</t>
  </si>
  <si>
    <t>October</t>
  </si>
  <si>
    <t>November</t>
  </si>
  <si>
    <t>December</t>
  </si>
  <si>
    <t>📊 ANNUAL KEY PERFORMANCE INDICATORS</t>
  </si>
  <si>
    <t>Total Annual Savings (GHC)</t>
  </si>
  <si>
    <t>← Auto-calculated from live data</t>
  </si>
  <si>
    <t>Total Annual Withdrawals (GHC)</t>
  </si>
  <si>
    <t>Annual Net Surplus (GHC)</t>
  </si>
  <si>
    <t>Total Interest Earned (GHC)</t>
  </si>
  <si>
    <t>Total New Accounts</t>
  </si>
  <si>
    <t>Avg Monthly Savings (GHC)</t>
  </si>
  <si>
    <t>Portfolio Growth Rate</t>
  </si>
  <si>
    <t>Best Performing Month</t>
  </si>
  <si>
    <t>© Samicious Microfinance Management System v10.0 — Developed by Frank Abban, IT Consultant | 📱 0241911273 | 0207530771</t>
  </si>
  <si>
    <t>📋  CHANGE LOG — SAMICIOUS MICROFINANCE SYSTEM v11.0</t>
  </si>
  <si>
    <t>Sheet / Component</t>
  </si>
  <si>
    <t>Change Description</t>
  </si>
  <si>
    <t>Engineer</t>
  </si>
  <si>
    <t>2026-04-23</t>
  </si>
  <si>
    <t>📅 Year Control (NEW)</t>
  </si>
  <si>
    <t>Created global year selector with dropdown (2026–2036+). Named Range SelectedYear = B3. All year-based filtering driven from this single cell.</t>
  </si>
  <si>
    <t>System Rebuild v11</t>
  </si>
  <si>
    <t>🔧 Dynamic Hub (NEW)</t>
  </si>
  <si>
    <t>Created year-filtered views of DB_Savings, DB_Withdrawals, and DB_Loans using array formula INDEX/SMALL/IF patterns. Automatically reflects SelectedYear.</t>
  </si>
  <si>
    <t>🧮 TimeCalc (NEW)</t>
  </si>
  <si>
    <t>Created centralized time intelligence: YTD savings/withdrawals, Rolling 12-Month, Year-over-Year growth, Monthly trend table (Jan–Dec), per-agent breakdown — all driven by SelectedYear.</t>
  </si>
  <si>
    <t>📊 Multi-Year Dashboard (NEW)</t>
  </si>
  <si>
    <t>Created KPI cards (Savings, Withdrawals, Net Flow, Loans, Loan Count), YoY comparison table, 11-Year trend table (2026–2036), Monthly breakdown linked from TimeCalc.</t>
  </si>
  <si>
    <t>DB_Savings</t>
  </si>
  <si>
    <t>Year column (column I) used as filter key. YEAR(Date) extracted for all SUMPRODUCT and INDEX/SMALL formulas in new sheets.</t>
  </si>
  <si>
    <t>DB_Withdrawals</t>
  </si>
  <si>
    <t>Year column (column I) referenced in Dynamic Hub and TimeCalc for year-filtered aggregation.</t>
  </si>
  <si>
    <t>DB_Loans</t>
  </si>
  <si>
    <t>Year column (column P) referenced. Loan amount column E and repayable column I used in TimeCalc metrics.</t>
  </si>
  <si>
    <t>Named Range: SelectedYear</t>
  </si>
  <si>
    <t>Defined Name 'SelectedYear' pointing to '📅 Year Control'!$B$3. Used in all new formula sheets for centralized year filtering.</t>
  </si>
  <si>
    <t>All Existing Sheets</t>
  </si>
  <si>
    <t>ZERO modifications to existing sheets, formulas, formatting, VBA macros, or data. All original content 100% preserved.</t>
  </si>
  <si>
    <t>Upgraded from v10.0 Enterprise to v11.0 Multi-Year Enterprise. New sheets use emoji prefix naming convention.</t>
  </si>
  <si>
    <t>ABBAN</t>
  </si>
  <si>
    <t>Mankessim</t>
  </si>
  <si>
    <t>Developer</t>
  </si>
  <si>
    <t>Kadmiel  Abban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</si>
</sst>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GHC &quot;#,##0.00;&quot;(GHC &quot;#,##0.00\);\-"/>
    <numFmt numFmtId="165" formatCode="0.0%"/>
    <numFmt numFmtId="166" formatCode="0.0"/>
    <numFmt numFmtId="167" formatCode="&quot;GHC &quot;#,##0.00"/>
    <numFmt numFmtId="168" formatCode="m/d/yyyy"/>
    <numFmt numFmtId="169" formatCode="yyyy\-mm\-dd"/>
    <numFmt numFmtId="170" formatCode="0.00\%"/>
  </numFmts>
  <fonts count="140" x14ac:knownFonts="1">
    <font>
      <sz val="11"/>
      <color theme="1"/>
      <name val="Calibri"/>
      <family val="2"/>
      <charset val="1"/>
    </font>
    <font>
      <b/>
      <sz val="18"/>
      <color rgb="FFF6AE2D"/>
      <name val="Calibri"/>
      <family val="2"/>
      <charset val="1"/>
    </font>
    <font>
      <sz val="10"/>
      <color rgb="FFFFFFFF"/>
      <name val="Calibri"/>
      <family val="2"/>
      <charset val="1"/>
    </font>
    <font>
      <b/>
      <sz val="20"/>
      <color rgb="FF1E3A5F"/>
      <name val="Calibri"/>
      <family val="2"/>
      <charset val="1"/>
    </font>
    <font>
      <sz val="10"/>
      <color rgb="FF7F8C8D"/>
      <name val="Calibri"/>
      <family val="2"/>
      <charset val="1"/>
    </font>
    <font>
      <b/>
      <sz val="28"/>
      <color rgb="FFF6AE2D"/>
      <name val="Calibri"/>
      <family val="2"/>
      <charset val="1"/>
    </font>
    <font>
      <b/>
      <sz val="14"/>
      <color rgb="FFFFFFFF"/>
      <name val="Calibri"/>
      <family val="2"/>
      <charset val="1"/>
    </font>
    <font>
      <b/>
      <sz val="11"/>
      <color rgb="FF1E3A5F"/>
      <name val="Calibri"/>
      <family val="2"/>
      <charset val="1"/>
    </font>
    <font>
      <b/>
      <sz val="18"/>
      <color rgb="FFFFFFFF"/>
      <name val="Calibri"/>
      <family val="2"/>
      <charset val="1"/>
    </font>
    <font>
      <i/>
      <sz val="10"/>
      <color rgb="FF1E3A5F"/>
      <name val="Calibri"/>
      <family val="2"/>
      <charset val="1"/>
    </font>
    <font>
      <sz val="9"/>
      <color rgb="FF7F8C8D"/>
      <name val="Calibri"/>
      <family val="2"/>
      <charset val="1"/>
    </font>
    <font>
      <sz val="11"/>
      <color rgb="FF1E3A5F"/>
      <name val="Calibri"/>
      <family val="2"/>
      <charset val="1"/>
    </font>
    <font>
      <b/>
      <sz val="13"/>
      <color rgb="FFF6AE2D"/>
      <name val="Calibri"/>
      <family val="2"/>
      <charset val="1"/>
    </font>
    <font>
      <b/>
      <i/>
      <sz val="13"/>
      <color rgb="FF1E3A5F"/>
      <name val="Calibri"/>
      <family val="2"/>
      <charset val="1"/>
    </font>
    <font>
      <i/>
      <sz val="11"/>
      <color rgb="FF7F8C8D"/>
      <name val="Calibri"/>
      <family val="2"/>
      <charset val="1"/>
    </font>
    <font>
      <b/>
      <sz val="14"/>
      <color rgb="FFFFFFFF"/>
      <name val="Arial"/>
      <family val="2"/>
    </font>
    <font>
      <i/>
      <sz val="10"/>
      <color rgb="FF595959"/>
      <name val="Arial"/>
      <family val="2"/>
    </font>
    <font>
      <b/>
      <sz val="11"/>
      <color rgb="FFFFFFFF"/>
      <name val="Arial"/>
      <family val="2"/>
    </font>
    <font>
      <b/>
      <sz val="14"/>
      <color rgb="FF1F3864"/>
      <name val="Arial"/>
      <family val="2"/>
    </font>
    <font>
      <i/>
      <sz val="10"/>
      <color rgb="FFC55A11"/>
      <name val="Arial"/>
      <family val="2"/>
    </font>
    <font>
      <b/>
      <sz val="10"/>
      <color rgb="FFFFFFFF"/>
      <name val="Arial"/>
      <family val="2"/>
    </font>
    <font>
      <b/>
      <sz val="10"/>
      <color rgb="FF1F3864"/>
      <name val="Arial"/>
      <family val="2"/>
    </font>
    <font>
      <sz val="10"/>
      <color rgb="FF000000"/>
      <name val="Arial"/>
      <family val="2"/>
    </font>
    <font>
      <b/>
      <sz val="13"/>
      <color rgb="FFFFFFFF"/>
      <name val="Arial"/>
      <family val="2"/>
    </font>
    <font>
      <b/>
      <sz val="11"/>
      <color rgb="FF1F3864"/>
      <name val="Arial"/>
      <family val="2"/>
    </font>
    <font>
      <sz val="9"/>
      <color rgb="FF595959"/>
      <name val="Arial"/>
      <family val="2"/>
    </font>
    <font>
      <b/>
      <sz val="11"/>
      <name val="Arial"/>
      <family val="2"/>
    </font>
    <font>
      <i/>
      <sz val="9"/>
      <color rgb="FF595959"/>
      <name val="Arial"/>
      <family val="2"/>
    </font>
    <font>
      <b/>
      <sz val="10"/>
      <name val="Arial"/>
      <family val="2"/>
    </font>
    <font>
      <b/>
      <sz val="15"/>
      <color rgb="FFFFFFFF"/>
      <name val="Arial"/>
      <family val="2"/>
    </font>
    <font>
      <b/>
      <sz val="12"/>
      <color rgb="FF1F3864"/>
      <name val="Arial"/>
      <family val="2"/>
    </font>
    <font>
      <b/>
      <sz val="9"/>
      <color rgb="FFFFFFFF"/>
      <name val="Arial"/>
      <family val="2"/>
    </font>
    <font>
      <b/>
      <sz val="13"/>
      <color rgb="FF1F3864"/>
      <name val="Arial"/>
      <family val="2"/>
    </font>
    <font>
      <b/>
      <sz val="18"/>
      <color rgb="FFF6AE2D"/>
      <name val="Arial"/>
      <family val="2"/>
      <charset val="1"/>
    </font>
    <font>
      <sz val="11"/>
      <color rgb="FFFFFFFF"/>
      <name val="Arial"/>
      <family val="2"/>
      <charset val="1"/>
    </font>
    <font>
      <b/>
      <sz val="9"/>
      <color rgb="FFFFFFFF"/>
      <name val="Arial"/>
      <family val="2"/>
      <charset val="1"/>
    </font>
    <font>
      <b/>
      <sz val="16"/>
      <color rgb="FF27AE60"/>
      <name val="Arial"/>
      <family val="2"/>
      <charset val="1"/>
    </font>
    <font>
      <b/>
      <sz val="16"/>
      <color rgb="FFC0392B"/>
      <name val="Arial"/>
      <family val="2"/>
      <charset val="1"/>
    </font>
    <font>
      <b/>
      <sz val="16"/>
      <color rgb="FF1ABC9C"/>
      <name val="Arial"/>
      <family val="2"/>
      <charset val="1"/>
    </font>
    <font>
      <b/>
      <sz val="16"/>
      <color rgb="FF2E86AB"/>
      <name val="Arial"/>
      <family val="2"/>
      <charset val="1"/>
    </font>
    <font>
      <b/>
      <sz val="16"/>
      <color rgb="FFE67E22"/>
      <name val="Arial"/>
      <family val="2"/>
      <charset val="1"/>
    </font>
    <font>
      <b/>
      <sz val="16"/>
      <color rgb="FF8E44AD"/>
      <name val="Arial"/>
      <family val="2"/>
      <charset val="1"/>
    </font>
    <font>
      <b/>
      <sz val="12"/>
      <color rgb="FFFFFFFF"/>
      <name val="Arial"/>
      <family val="2"/>
      <charset val="1"/>
    </font>
    <font>
      <b/>
      <sz val="10"/>
      <color rgb="FFFFFFFF"/>
      <name val="Arial"/>
      <family val="2"/>
      <charset val="1"/>
    </font>
    <font>
      <sz val="10"/>
      <color rgb="FF000000"/>
      <name val="Arial"/>
      <family val="2"/>
      <charset val="1"/>
    </font>
    <font>
      <b/>
      <sz val="10"/>
      <color rgb="FF1A252F"/>
      <name val="Arial"/>
      <family val="2"/>
      <charset val="1"/>
    </font>
    <font>
      <sz val="10"/>
      <color rgb="FF1A252F"/>
      <name val="Arial"/>
      <family val="2"/>
      <charset val="1"/>
    </font>
    <font>
      <b/>
      <sz val="10"/>
      <color rgb="FF1E3A5F"/>
      <name val="Arial"/>
      <family val="2"/>
      <charset val="1"/>
    </font>
    <font>
      <b/>
      <sz val="11"/>
      <color rgb="FFF6AE2D"/>
      <name val="Arial"/>
      <family val="2"/>
      <charset val="1"/>
    </font>
    <font>
      <b/>
      <sz val="10"/>
      <color rgb="FF27AE60"/>
      <name val="Arial"/>
      <family val="2"/>
      <charset val="1"/>
    </font>
    <font>
      <sz val="9"/>
      <color rgb="FF1A252F"/>
      <name val="Arial"/>
      <family val="2"/>
      <charset val="1"/>
    </font>
    <font>
      <b/>
      <sz val="9"/>
      <color rgb="FF555555"/>
      <name val="Arial"/>
      <family val="2"/>
    </font>
    <font>
      <b/>
      <sz val="13"/>
      <color rgb="FF1565C0"/>
      <name val="Arial"/>
      <family val="2"/>
    </font>
    <font>
      <b/>
      <sz val="13"/>
      <color rgb="FF2E7D32"/>
      <name val="Arial"/>
      <family val="2"/>
    </font>
    <font>
      <b/>
      <sz val="13"/>
      <color rgb="FFB71C1C"/>
      <name val="Arial"/>
      <family val="2"/>
    </font>
    <font>
      <b/>
      <sz val="13"/>
      <color rgb="FFE65100"/>
      <name val="Arial"/>
      <family val="2"/>
    </font>
    <font>
      <b/>
      <sz val="14"/>
      <color rgb="FFF6AE2D"/>
      <name val="Arial"/>
      <family val="2"/>
      <charset val="1"/>
    </font>
    <font>
      <sz val="10"/>
      <color rgb="FFFFFFFF"/>
      <name val="Arial"/>
      <family val="2"/>
      <charset val="1"/>
    </font>
    <font>
      <sz val="9"/>
      <color rgb="FF7F8C8D"/>
      <name val="Arial"/>
      <family val="2"/>
      <charset val="1"/>
    </font>
    <font>
      <sz val="11"/>
      <name val="Arial"/>
      <family val="2"/>
      <charset val="1"/>
    </font>
    <font>
      <sz val="11"/>
      <color rgb="FF000000"/>
      <name val="Arial"/>
      <family val="2"/>
      <charset val="1"/>
    </font>
    <font>
      <b/>
      <sz val="11"/>
      <color rgb="FFFFFFFF"/>
      <name val="Arial"/>
      <family val="2"/>
      <charset val="1"/>
    </font>
    <font>
      <b/>
      <sz val="12"/>
      <color rgb="FF1A252F"/>
      <name val="Arial"/>
      <family val="2"/>
      <charset val="1"/>
    </font>
    <font>
      <b/>
      <sz val="9"/>
      <color rgb="FF1A252F"/>
      <name val="Arial"/>
      <family val="2"/>
      <charset val="1"/>
    </font>
    <font>
      <i/>
      <sz val="9"/>
      <color rgb="FF1A252F"/>
      <name val="Arial"/>
      <family val="2"/>
      <charset val="1"/>
    </font>
    <font>
      <i/>
      <sz val="8"/>
      <color rgb="FF7F8C8D"/>
      <name val="Arial"/>
      <family val="2"/>
      <charset val="1"/>
    </font>
    <font>
      <sz val="9"/>
      <color rgb="FF000000"/>
      <name val="Arial"/>
      <family val="2"/>
      <charset val="1"/>
    </font>
    <font>
      <sz val="11"/>
      <color rgb="FF000000"/>
      <name val="Calibri"/>
      <family val="2"/>
      <charset val="1"/>
    </font>
    <font>
      <b/>
      <sz val="11"/>
      <color rgb="FF1A252F"/>
      <name val="Calibri"/>
      <family val="2"/>
      <charset val="1"/>
    </font>
    <font>
      <b/>
      <sz val="9"/>
      <color rgb="FFF6AE2D"/>
      <name val="Arial"/>
      <family val="2"/>
      <charset val="1"/>
    </font>
    <font>
      <i/>
      <sz val="9"/>
      <name val="Arial"/>
      <family val="2"/>
      <charset val="1"/>
    </font>
    <font>
      <b/>
      <sz val="13"/>
      <color rgb="FF27AE60"/>
      <name val="Arial"/>
      <family val="2"/>
      <charset val="1"/>
    </font>
    <font>
      <b/>
      <sz val="13"/>
      <color rgb="FF2E86AB"/>
      <name val="Arial"/>
      <family val="2"/>
      <charset val="1"/>
    </font>
    <font>
      <b/>
      <sz val="13"/>
      <color rgb="FF1E3A5F"/>
      <name val="Arial"/>
      <family val="2"/>
      <charset val="1"/>
    </font>
    <font>
      <sz val="10"/>
      <color rgb="FF0000FF"/>
      <name val="Arial"/>
      <family val="2"/>
      <charset val="1"/>
    </font>
    <font>
      <sz val="10"/>
      <color rgb="FF7F8C8D"/>
      <name val="Arial"/>
      <family val="2"/>
      <charset val="1"/>
    </font>
    <font>
      <b/>
      <sz val="10"/>
      <color rgb="FF0000FF"/>
      <name val="Arial"/>
      <family val="2"/>
      <charset val="1"/>
    </font>
    <font>
      <b/>
      <sz val="13"/>
      <color rgb="FFC0392B"/>
      <name val="Arial"/>
      <family val="2"/>
      <charset val="1"/>
    </font>
    <font>
      <b/>
      <sz val="13"/>
      <color rgb="FFE67E22"/>
      <name val="Arial"/>
      <family val="2"/>
      <charset val="1"/>
    </font>
    <font>
      <b/>
      <sz val="10"/>
      <color rgb="FF000000"/>
      <name val="Arial"/>
      <family val="2"/>
      <charset val="1"/>
    </font>
    <font>
      <b/>
      <sz val="14"/>
      <color rgb="FFFFFFFF"/>
      <name val="Arial"/>
      <family val="2"/>
      <charset val="1"/>
    </font>
    <font>
      <sz val="10"/>
      <color rgb="FFF6AE2D"/>
      <name val="Arial"/>
      <family val="2"/>
      <charset val="1"/>
    </font>
    <font>
      <b/>
      <sz val="11"/>
      <color rgb="FF1A252F"/>
      <name val="Arial"/>
      <family val="2"/>
      <charset val="1"/>
    </font>
    <font>
      <sz val="10"/>
      <color rgb="FF1ABC9C"/>
      <name val="Arial"/>
      <family val="2"/>
      <charset val="1"/>
    </font>
    <font>
      <b/>
      <sz val="10"/>
      <color rgb="FFE67E22"/>
      <name val="Arial"/>
      <family val="2"/>
      <charset val="1"/>
    </font>
    <font>
      <b/>
      <sz val="8"/>
      <color rgb="FFCC0000"/>
      <name val="Arial"/>
      <family val="2"/>
      <charset val="1"/>
    </font>
    <font>
      <i/>
      <sz val="9"/>
      <color rgb="FF5C2020"/>
      <name val="Arial"/>
      <family val="2"/>
      <charset val="1"/>
    </font>
    <font>
      <b/>
      <sz val="14"/>
      <color rgb="FF27AE60"/>
      <name val="Arial"/>
      <family val="2"/>
      <charset val="1"/>
    </font>
    <font>
      <b/>
      <sz val="14"/>
      <color rgb="FFC0392B"/>
      <name val="Arial"/>
      <family val="2"/>
      <charset val="1"/>
    </font>
    <font>
      <b/>
      <sz val="14"/>
      <color rgb="FF1ABC9C"/>
      <name val="Arial"/>
      <family val="2"/>
      <charset val="1"/>
    </font>
    <font>
      <b/>
      <sz val="14"/>
      <color rgb="FF1E3A5F"/>
      <name val="Arial"/>
      <family val="2"/>
      <charset val="1"/>
    </font>
    <font>
      <b/>
      <sz val="14"/>
      <color rgb="FF1A252F"/>
      <name val="Arial"/>
      <family val="2"/>
      <charset val="1"/>
    </font>
    <font>
      <b/>
      <sz val="16"/>
      <color rgb="FFF6AE2D"/>
      <name val="Arial"/>
      <family val="2"/>
      <charset val="1"/>
    </font>
    <font>
      <sz val="9"/>
      <color rgb="FFFFFFFF"/>
      <name val="Arial"/>
      <family val="2"/>
      <charset val="1"/>
    </font>
    <font>
      <b/>
      <sz val="9"/>
      <color rgb="FF1E3A5F"/>
      <name val="Arial"/>
      <family val="2"/>
      <charset val="1"/>
    </font>
    <font>
      <sz val="8"/>
      <color rgb="FFFFFFFF"/>
      <name val="Arial"/>
      <family val="2"/>
      <charset val="1"/>
    </font>
    <font>
      <sz val="8"/>
      <color rgb="FF000000"/>
      <name val="Arial"/>
      <family val="2"/>
      <charset val="1"/>
    </font>
    <font>
      <i/>
      <sz val="9"/>
      <color rgb="FF000000"/>
      <name val="Arial"/>
      <family val="2"/>
      <charset val="1"/>
    </font>
    <font>
      <sz val="8"/>
      <color rgb="FF1E3A5F"/>
      <name val="Arial"/>
      <family val="2"/>
      <charset val="1"/>
    </font>
    <font>
      <i/>
      <sz val="8"/>
      <color rgb="FF000000"/>
      <name val="Arial"/>
      <family val="2"/>
      <charset val="1"/>
    </font>
    <font>
      <b/>
      <sz val="9"/>
      <name val="Arial"/>
      <family val="2"/>
      <charset val="1"/>
    </font>
    <font>
      <sz val="9"/>
      <name val="Arial"/>
      <family val="2"/>
      <charset val="1"/>
    </font>
    <font>
      <sz val="9"/>
      <name val="Courier New"/>
      <family val="3"/>
      <charset val="1"/>
    </font>
    <font>
      <sz val="9"/>
      <color rgb="FF1A252F"/>
      <name val="Courier New"/>
      <family val="3"/>
      <charset val="1"/>
    </font>
    <font>
      <sz val="10"/>
      <color rgb="FFE0E0E0"/>
      <name val="Arial"/>
      <family val="2"/>
    </font>
    <font>
      <b/>
      <sz val="8"/>
      <color rgb="FFFFFFFF"/>
      <name val="Arial"/>
      <family val="2"/>
    </font>
    <font>
      <b/>
      <sz val="13"/>
      <color rgb="FF1A237E"/>
      <name val="Arial"/>
      <family val="2"/>
    </font>
    <font>
      <b/>
      <sz val="10"/>
      <color rgb="FF1A237E"/>
      <name val="Arial"/>
      <family val="2"/>
    </font>
    <font>
      <sz val="10"/>
      <name val="Arial"/>
      <family val="2"/>
    </font>
    <font>
      <sz val="9"/>
      <name val="Arial"/>
      <family val="2"/>
    </font>
    <font>
      <b/>
      <sz val="12"/>
      <color rgb="FF1A237E"/>
      <name val="Arial"/>
      <family val="2"/>
    </font>
    <font>
      <b/>
      <sz val="16"/>
      <color rgb="FFFFFFFF"/>
      <name val="Arial"/>
      <family val="2"/>
    </font>
    <font>
      <sz val="10"/>
      <color rgb="FFB0BEC5"/>
      <name val="Arial"/>
      <family val="2"/>
    </font>
    <font>
      <b/>
      <sz val="11"/>
      <color rgb="FF000000"/>
      <name val="Arial"/>
      <family val="2"/>
    </font>
    <font>
      <b/>
      <sz val="14"/>
      <color rgb="FF1A237E"/>
      <name val="Arial"/>
      <family val="2"/>
    </font>
    <font>
      <b/>
      <sz val="12"/>
      <color rgb="FFFFFFFF"/>
      <name val="Arial"/>
      <family val="2"/>
    </font>
    <font>
      <b/>
      <sz val="10"/>
      <color rgb="FF000000"/>
      <name val="Arial"/>
      <family val="2"/>
    </font>
    <font>
      <sz val="9"/>
      <color rgb="FF9E9E9E"/>
      <name val="Arial"/>
      <family val="2"/>
    </font>
    <font>
      <b/>
      <sz val="16"/>
      <color rgb="FFF6AE2D"/>
      <name val="Calibri"/>
      <family val="2"/>
    </font>
    <font>
      <sz val="11"/>
      <color rgb="FFFFFFFF"/>
      <name val="Calibri"/>
      <family val="2"/>
    </font>
    <font>
      <i/>
      <sz val="10"/>
      <color rgb="FF1E3A5F"/>
      <name val="Calibri"/>
      <family val="2"/>
    </font>
    <font>
      <sz val="11"/>
      <color rgb="FF000000"/>
      <name val="Calibri"/>
      <family val="2"/>
    </font>
    <font>
      <b/>
      <sz val="11"/>
      <color rgb="FF1E3A5F"/>
      <name val="Calibri"/>
      <family val="2"/>
    </font>
    <font>
      <sz val="11"/>
      <color rgb="FF555555"/>
      <name val="Calibri"/>
      <family val="2"/>
    </font>
    <font>
      <b/>
      <sz val="13"/>
      <color rgb="FF1A252F"/>
      <name val="Calibri"/>
      <family val="2"/>
    </font>
    <font>
      <b/>
      <sz val="12"/>
      <color rgb="FF1E3A5F"/>
      <name val="Calibri"/>
      <family val="2"/>
    </font>
    <font>
      <i/>
      <sz val="10"/>
      <color rgb="FF1A5C1A"/>
      <name val="Calibri"/>
      <family val="2"/>
    </font>
    <font>
      <b/>
      <sz val="14"/>
      <color rgb="FFFFFFFF"/>
      <name val="Calibri"/>
      <family val="2"/>
    </font>
    <font>
      <b/>
      <sz val="15"/>
      <color rgb="FFF6AE2D"/>
      <name val="Calibri"/>
      <family val="2"/>
    </font>
    <font>
      <sz val="10"/>
      <color rgb="FFFFFFFF"/>
      <name val="Calibri"/>
      <family val="2"/>
    </font>
    <font>
      <b/>
      <sz val="12"/>
      <color rgb="FFFFFFFF"/>
      <name val="Calibri"/>
      <family val="2"/>
    </font>
    <font>
      <b/>
      <sz val="12"/>
      <color rgb="FF1A252F"/>
      <name val="Calibri"/>
      <family val="2"/>
    </font>
    <font>
      <i/>
      <sz val="9"/>
      <color rgb="FF888888"/>
      <name val="Calibri"/>
      <family val="2"/>
    </font>
    <font>
      <i/>
      <sz val="9"/>
      <color rgb="FFFFFFFF"/>
      <name val="Calibri"/>
      <family val="2"/>
    </font>
    <font>
      <b/>
      <sz val="10"/>
      <color rgb="FFFFFFFF"/>
      <name val="Calibri"/>
      <family val="2"/>
    </font>
    <font>
      <i/>
      <sz val="10"/>
      <color rgb="FFB8860B"/>
      <name val="Calibri"/>
      <family val="2"/>
    </font>
    <font>
      <sz val="10"/>
      <name val="Calibri"/>
      <family val="2"/>
    </font>
    <font>
      <b/>
      <sz val="13"/>
      <color rgb="FFF6AE2D"/>
      <name val="Calibri"/>
      <family val="2"/>
    </font>
    <font>
      <b/>
      <sz val="10"/>
      <color rgb="FF1E3A5F"/>
      <name val="Calibri"/>
      <family val="2"/>
    </font>
    <font>
      <sz val="10"/>
      <name val="Courier New"/>
      <family val="3"/>
    </font>
  </fonts>
  <fills count="67">
    <fill>
      <patternFill patternType="none"/>
    </fill>
    <fill>
      <patternFill patternType="gray125"/>
    </fill>
    <fill>
      <patternFill patternType="solid">
        <fgColor rgb="FFFFFFFF"/>
        <bgColor rgb="FFFDFEFE"/>
      </patternFill>
    </fill>
    <fill>
      <patternFill patternType="solid">
        <fgColor rgb="FFF6AE2D"/>
        <bgColor rgb="FFFFD700"/>
      </patternFill>
    </fill>
    <fill>
      <patternFill patternType="solid">
        <fgColor rgb="FF2E86AB"/>
        <bgColor rgb="FF217959"/>
      </patternFill>
    </fill>
    <fill>
      <patternFill patternType="solid">
        <fgColor rgb="FF27AE60"/>
        <bgColor rgb="FF1ABC9C"/>
      </patternFill>
    </fill>
    <fill>
      <patternFill patternType="solid">
        <fgColor rgb="FFFFF3CD"/>
        <bgColor rgb="FFFFF9C4"/>
      </patternFill>
    </fill>
    <fill>
      <patternFill patternType="solid">
        <fgColor rgb="FF1ABC9C"/>
        <bgColor rgb="FF27AE60"/>
      </patternFill>
    </fill>
    <fill>
      <patternFill patternType="solid">
        <fgColor rgb="FFEBF5FB"/>
        <bgColor rgb="FFE3F2FD"/>
      </patternFill>
    </fill>
    <fill>
      <patternFill patternType="solid">
        <fgColor rgb="FF1F3864"/>
        <bgColor rgb="FF1E3A5F"/>
      </patternFill>
    </fill>
    <fill>
      <patternFill patternType="solid">
        <fgColor rgb="FFBDD7EE"/>
        <bgColor rgb="FFD0D3D4"/>
      </patternFill>
    </fill>
    <fill>
      <patternFill patternType="solid">
        <fgColor rgb="FF2557A3"/>
        <bgColor rgb="FF283593"/>
      </patternFill>
    </fill>
    <fill>
      <patternFill patternType="solid">
        <fgColor rgb="FFFFD700"/>
        <bgColor rgb="FFF6AE2D"/>
      </patternFill>
    </fill>
    <fill>
      <patternFill patternType="darkGray">
        <fgColor rgb="FFFADCD8"/>
        <bgColor rgb="FFFFECEE"/>
      </patternFill>
    </fill>
    <fill>
      <patternFill patternType="solid">
        <fgColor rgb="FFF2F2F3"/>
        <bgColor rgb="FFF5EEF8"/>
      </patternFill>
    </fill>
    <fill>
      <patternFill patternType="solid">
        <fgColor rgb="FF217959"/>
        <bgColor rgb="FF00695C"/>
      </patternFill>
    </fill>
    <fill>
      <patternFill patternType="darkGray">
        <fgColor rgb="FFD85706"/>
        <bgColor rgb="FFC0392B"/>
      </patternFill>
    </fill>
    <fill>
      <patternFill patternType="solid">
        <fgColor rgb="FF375623"/>
        <bgColor rgb="FF5A5F65"/>
      </patternFill>
    </fill>
    <fill>
      <patternFill patternType="solid">
        <fgColor rgb="FF1E3A5F"/>
        <bgColor rgb="FF1F3864"/>
      </patternFill>
    </fill>
    <fill>
      <patternFill patternType="solid">
        <fgColor rgb="FFC0392B"/>
        <bgColor rgb="FFD85706"/>
      </patternFill>
    </fill>
    <fill>
      <patternFill patternType="solid">
        <fgColor rgb="FFE67E22"/>
        <bgColor rgb="FFD85706"/>
      </patternFill>
    </fill>
    <fill>
      <patternFill patternType="solid">
        <fgColor rgb="FF8E44AD"/>
        <bgColor rgb="FF722392"/>
      </patternFill>
    </fill>
    <fill>
      <patternFill patternType="solid">
        <fgColor rgb="FF372098"/>
        <bgColor rgb="FF283593"/>
      </patternFill>
    </fill>
    <fill>
      <patternFill patternType="solid">
        <fgColor rgb="FFE3F2FD"/>
        <bgColor rgb="FFEBF5FB"/>
      </patternFill>
    </fill>
    <fill>
      <patternFill patternType="solid">
        <fgColor rgb="FFE8F5E9"/>
        <bgColor rgb="FFEBF5FB"/>
      </patternFill>
    </fill>
    <fill>
      <patternFill patternType="solid">
        <fgColor rgb="FFFFECEE"/>
        <bgColor rgb="FFFEF2F2"/>
      </patternFill>
    </fill>
    <fill>
      <patternFill patternType="solid">
        <fgColor rgb="FFFFF3E0"/>
        <bgColor rgb="FFFEF9E7"/>
      </patternFill>
    </fill>
    <fill>
      <patternFill patternType="solid">
        <fgColor rgb="FFFAFAFA"/>
        <bgColor rgb="FFF8F9FA"/>
      </patternFill>
    </fill>
    <fill>
      <patternFill patternType="solid">
        <fgColor rgb="FFFDFEFE"/>
        <bgColor rgb="FFFFFFFF"/>
      </patternFill>
    </fill>
    <fill>
      <patternFill patternType="solid">
        <fgColor rgb="FFFFF3CD"/>
        <bgColor rgb="FFFFF9C4"/>
      </patternFill>
    </fill>
    <fill>
      <patternFill patternType="solid">
        <fgColor rgb="FFFFF9C4"/>
        <bgColor rgb="FFFFF3CD"/>
      </patternFill>
    </fill>
    <fill>
      <patternFill patternType="darkGray">
        <fgColor rgb="FF722392"/>
        <bgColor rgb="FF8E44AD"/>
      </patternFill>
    </fill>
    <fill>
      <patternFill patternType="solid">
        <fgColor rgb="FFF5EEF8"/>
        <bgColor rgb="FFF2F2F3"/>
      </patternFill>
    </fill>
    <fill>
      <patternFill patternType="solid">
        <fgColor rgb="FF1A252F"/>
        <bgColor rgb="FF0A203A"/>
      </patternFill>
    </fill>
    <fill>
      <patternFill patternType="darkGray">
        <fgColor rgb="FFFFECEE"/>
        <bgColor rgb="FFFEF2F2"/>
      </patternFill>
    </fill>
    <fill>
      <patternFill patternType="solid">
        <fgColor rgb="FFFEF9E7"/>
        <bgColor rgb="FFFFFDE7"/>
      </patternFill>
    </fill>
    <fill>
      <patternFill patternType="solid">
        <fgColor rgb="FF1E3A5F"/>
        <bgColor rgb="FF1F3864"/>
      </patternFill>
    </fill>
    <fill>
      <patternFill patternType="solid">
        <fgColor rgb="FFD5F5E3"/>
        <bgColor rgb="FFE8F5E9"/>
      </patternFill>
    </fill>
    <fill>
      <patternFill patternType="solid">
        <fgColor rgb="FF7A1A1A"/>
        <bgColor rgb="FFC80D0C"/>
      </patternFill>
    </fill>
    <fill>
      <patternFill patternType="darkGray">
        <fgColor rgb="FFFEF2F2"/>
        <bgColor rgb="FFFFECEE"/>
      </patternFill>
    </fill>
    <fill>
      <patternFill patternType="solid">
        <fgColor rgb="FFF8F9FA"/>
        <bgColor rgb="FFFAFAFA"/>
      </patternFill>
    </fill>
    <fill>
      <patternFill patternType="darkGray">
        <fgColor rgb="FF372098"/>
        <bgColor rgb="FF1A237E"/>
      </patternFill>
    </fill>
    <fill>
      <patternFill patternType="solid">
        <fgColor rgb="FF00695C"/>
        <bgColor rgb="FF217959"/>
      </patternFill>
    </fill>
    <fill>
      <patternFill patternType="darkGray">
        <fgColor rgb="FF2557A3"/>
        <bgColor rgb="FF2E86AB"/>
      </patternFill>
    </fill>
    <fill>
      <patternFill patternType="darkGray">
        <fgColor rgb="FF217959"/>
        <bgColor rgb="FF375623"/>
      </patternFill>
    </fill>
    <fill>
      <patternFill patternType="mediumGray">
        <fgColor rgb="FFC0392B"/>
        <bgColor rgb="FFC80D0C"/>
      </patternFill>
    </fill>
    <fill>
      <patternFill patternType="solid">
        <fgColor rgb="FF722392"/>
        <bgColor rgb="FF372098"/>
      </patternFill>
    </fill>
    <fill>
      <patternFill patternType="solid">
        <fgColor rgb="FFD85706"/>
        <bgColor rgb="FFC0392B"/>
      </patternFill>
    </fill>
    <fill>
      <patternFill patternType="solid">
        <fgColor rgb="FFE8EAF6"/>
        <bgColor rgb="FFE3F2FD"/>
      </patternFill>
    </fill>
    <fill>
      <patternFill patternType="solid">
        <fgColor rgb="FF1A237E"/>
        <bgColor rgb="FF283593"/>
      </patternFill>
    </fill>
    <fill>
      <patternFill patternType="solid">
        <fgColor rgb="FF283593"/>
        <bgColor rgb="FF1F3864"/>
      </patternFill>
    </fill>
    <fill>
      <patternFill patternType="solid">
        <fgColor rgb="FFF3E5F5"/>
        <bgColor rgb="FFF5EEF8"/>
      </patternFill>
    </fill>
    <fill>
      <patternFill patternType="solid">
        <fgColor rgb="FF0C3F5A"/>
        <bgColor rgb="FF1E3A5F"/>
      </patternFill>
    </fill>
    <fill>
      <patternFill patternType="solid">
        <fgColor rgb="FFFFFDE7"/>
        <bgColor rgb="FFFEF9E7"/>
      </patternFill>
    </fill>
    <fill>
      <patternFill patternType="solid">
        <fgColor rgb="FF0A203A"/>
        <bgColor rgb="FF1A252F"/>
      </patternFill>
    </fill>
    <fill>
      <patternFill patternType="darkGray">
        <fgColor rgb="FF0A203A"/>
        <bgColor rgb="FF1A252F"/>
      </patternFill>
    </fill>
    <fill>
      <patternFill patternType="solid">
        <fgColor rgb="FF1E3A5F"/>
      </patternFill>
    </fill>
    <fill>
      <patternFill patternType="solid">
        <fgColor rgb="FF2EB8A0"/>
      </patternFill>
    </fill>
    <fill>
      <patternFill patternType="solid">
        <fgColor rgb="FFF0F8FF"/>
      </patternFill>
    </fill>
    <fill>
      <patternFill patternType="solid">
        <fgColor rgb="FFEBF5FB"/>
      </patternFill>
    </fill>
    <fill>
      <patternFill patternType="solid">
        <fgColor rgb="FFFAFAFA"/>
      </patternFill>
    </fill>
    <fill>
      <patternFill patternType="solid">
        <fgColor rgb="FFF6AE2D"/>
      </patternFill>
    </fill>
    <fill>
      <patternFill patternType="solid">
        <fgColor rgb="FFFFFDE7"/>
      </patternFill>
    </fill>
    <fill>
      <patternFill patternType="solid">
        <fgColor rgb="FFE8F8E8"/>
      </patternFill>
    </fill>
    <fill>
      <patternFill patternType="solid">
        <fgColor rgb="FFC80D0C"/>
      </patternFill>
    </fill>
    <fill>
      <patternFill patternType="solid">
        <fgColor rgb="FFFFF9E3"/>
      </patternFill>
    </fill>
    <fill>
      <patternFill patternType="solid">
        <fgColor rgb="FFFFFFFF"/>
      </patternFill>
    </fill>
  </fills>
  <borders count="33">
    <border>
      <left/>
      <right/>
      <top/>
      <bottom/>
      <diagonal/>
    </border>
    <border>
      <left style="medium">
        <color rgb="FF1F3864"/>
      </left>
      <right style="medium">
        <color rgb="FF1F3864"/>
      </right>
      <top style="medium">
        <color rgb="FF1F3864"/>
      </top>
      <bottom style="medium">
        <color rgb="FF1F3864"/>
      </bottom>
      <diagonal/>
    </border>
    <border>
      <left style="thin">
        <color rgb="FFBFBFBF"/>
      </left>
      <right style="thin">
        <color rgb="FFBFBFBF"/>
      </right>
      <top style="thin">
        <color rgb="FFBFBFBF"/>
      </top>
      <bottom style="thin">
        <color rgb="FFBFBFBF"/>
      </bottom>
      <diagonal/>
    </border>
    <border>
      <left style="medium">
        <color rgb="FF1F3864"/>
      </left>
      <right/>
      <top style="medium">
        <color rgb="FF1F3864"/>
      </top>
      <bottom style="medium">
        <color rgb="FF1F3864"/>
      </bottom>
      <diagonal/>
    </border>
    <border>
      <left style="thin">
        <color rgb="FFBDC3C7"/>
      </left>
      <right style="thin">
        <color rgb="FFBDC3C7"/>
      </right>
      <top style="thin">
        <color rgb="FFBDC3C7"/>
      </top>
      <bottom style="thin">
        <color rgb="FFBDC3C7"/>
      </bottom>
      <diagonal/>
    </border>
    <border>
      <left style="medium">
        <color rgb="FF1E3A5F"/>
      </left>
      <right style="medium">
        <color rgb="FF1E3A5F"/>
      </right>
      <top style="medium">
        <color rgb="FF1E3A5F"/>
      </top>
      <bottom style="medium">
        <color rgb="FF1E3A5F"/>
      </bottom>
      <diagonal/>
    </border>
    <border>
      <left style="thin">
        <color rgb="FFBDC3C7"/>
      </left>
      <right/>
      <top style="thin">
        <color rgb="FFBDC3C7"/>
      </top>
      <bottom/>
      <diagonal/>
    </border>
    <border>
      <left style="thin">
        <color rgb="FFBDC3C7"/>
      </left>
      <right/>
      <top style="thin">
        <color rgb="FFBDC3C7"/>
      </top>
      <bottom style="thin">
        <color rgb="FFBDC3C7"/>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rgb="FFDCDDDF"/>
      </left>
      <right/>
      <top style="thin">
        <color rgb="FFDCDDDF"/>
      </top>
      <bottom style="thin">
        <color rgb="FFDCDDDF"/>
      </bottom>
      <diagonal/>
    </border>
    <border>
      <left style="medium">
        <color auto="1"/>
      </left>
      <right/>
      <top style="medium">
        <color auto="1"/>
      </top>
      <bottom style="medium">
        <color auto="1"/>
      </bottom>
      <diagonal/>
    </border>
    <border>
      <left/>
      <right/>
      <top style="medium">
        <color auto="1"/>
      </top>
      <bottom style="medium">
        <color auto="1"/>
      </bottom>
      <diagonal/>
    </border>
    <border>
      <left/>
      <right/>
      <top/>
      <bottom style="thin">
        <color rgb="FFBDC3C7"/>
      </bottom>
      <diagonal/>
    </border>
    <border>
      <left/>
      <right/>
      <top style="thin">
        <color auto="1"/>
      </top>
      <bottom style="thin">
        <color auto="1"/>
      </bottom>
      <diagonal/>
    </border>
    <border>
      <left style="medium">
        <color rgb="FF1E3A5F"/>
      </left>
      <right/>
      <top style="medium">
        <color rgb="FF1E3A5F"/>
      </top>
      <bottom style="medium">
        <color rgb="FF1E3A5F"/>
      </bottom>
      <diagonal/>
    </border>
    <border>
      <left style="thin">
        <color rgb="FFCCCCCC"/>
      </left>
      <right style="thin">
        <color rgb="FFCCCCCC"/>
      </right>
      <top style="thin">
        <color rgb="FFCCCCCC"/>
      </top>
      <bottom style="thin">
        <color rgb="FFCCCCCC"/>
      </bottom>
      <diagonal/>
    </border>
    <border>
      <left style="thin">
        <color rgb="FFBDBFC0"/>
      </left>
      <right/>
      <top style="thin">
        <color rgb="FFBDBFC0"/>
      </top>
      <bottom style="thin">
        <color rgb="FFBDBFC0"/>
      </bottom>
      <diagonal/>
    </border>
    <border>
      <left style="thin">
        <color rgb="FFBDBFC0"/>
      </left>
      <right style="thin">
        <color rgb="FFBDBFC0"/>
      </right>
      <top style="thin">
        <color rgb="FFBDBFC0"/>
      </top>
      <bottom style="thin">
        <color rgb="FFBDBFC0"/>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medium">
        <color rgb="FF1F3864"/>
      </top>
      <bottom style="medium">
        <color rgb="FF1F3864"/>
      </bottom>
      <diagonal/>
    </border>
    <border>
      <left/>
      <right/>
      <top style="thin">
        <color rgb="FFBDC3C7"/>
      </top>
      <bottom/>
      <diagonal/>
    </border>
    <border>
      <left style="thin">
        <color rgb="FFBDC3C7"/>
      </left>
      <right/>
      <top/>
      <bottom/>
      <diagonal/>
    </border>
    <border>
      <left/>
      <right/>
      <top style="thin">
        <color rgb="FFBDC3C7"/>
      </top>
      <bottom style="thin">
        <color rgb="FFBDC3C7"/>
      </bottom>
      <diagonal/>
    </border>
    <border>
      <left/>
      <right/>
      <top style="thin">
        <color rgb="FFDCDDDF"/>
      </top>
      <bottom style="thin">
        <color rgb="FFDCDDDF"/>
      </bottom>
      <diagonal/>
    </border>
    <border>
      <left/>
      <right/>
      <top style="thin">
        <color rgb="FFBDBFC0"/>
      </top>
      <bottom style="thin">
        <color rgb="FFBDBFC0"/>
      </bottom>
      <diagonal/>
    </border>
    <border>
      <left/>
      <right style="thin">
        <color rgb="FFBDBFC0"/>
      </right>
      <top style="thin">
        <color rgb="FFBDBFC0"/>
      </top>
      <bottom style="thin">
        <color rgb="FFBDBFC0"/>
      </bottom>
      <diagonal/>
    </border>
    <border>
      <left/>
      <right style="thin">
        <color auto="1"/>
      </right>
      <top style="thin">
        <color auto="1"/>
      </top>
      <bottom style="thin">
        <color auto="1"/>
      </bottom>
      <diagonal/>
    </border>
    <border>
      <left style="thin">
        <color rgb="FFBFBFBF"/>
      </left>
      <right style="thin">
        <color rgb="FFBFBFBF"/>
      </right>
      <top style="thin">
        <color rgb="FFBFBFBF"/>
      </top>
      <bottom style="thin">
        <color rgb="FFBFBFBF"/>
      </bottom>
      <diagonal/>
    </border>
    <border>
      <left style="thin">
        <color rgb="FF2C4F7A"/>
      </left>
      <right style="thin">
        <color rgb="FF2C4F7A"/>
      </right>
      <top style="thin">
        <color rgb="FF2C4F7A"/>
      </top>
      <bottom style="thin">
        <color rgb="FF2C4F7A"/>
      </bottom>
      <diagonal/>
    </border>
    <border>
      <left style="thin">
        <color rgb="FFE0C060"/>
      </left>
      <right style="thin">
        <color rgb="FFE0C060"/>
      </right>
      <top style="thin">
        <color rgb="FFE0C060"/>
      </top>
      <bottom style="thin">
        <color rgb="FFE0C060"/>
      </bottom>
      <diagonal/>
    </border>
    <border>
      <left style="thin">
        <color rgb="FFD0D8E4"/>
      </left>
      <right style="thin">
        <color rgb="FFD0D8E4"/>
      </right>
      <top style="thin">
        <color rgb="FFD0D8E4"/>
      </top>
      <bottom style="thin">
        <color rgb="FFD0D8E4"/>
      </bottom>
      <diagonal/>
    </border>
  </borders>
  <cellStyleXfs count="1">
    <xf numFmtId="0" fontId="0" fillId="0" borderId="0"/>
  </cellStyleXfs>
  <cellXfs count="420">
    <xf numFmtId="0" fontId="0" fillId="0" borderId="0" xfId="0"/>
    <xf numFmtId="0" fontId="22" fillId="0" borderId="2" xfId="0" applyFont="1" applyBorder="1"/>
    <xf numFmtId="0" fontId="0" fillId="2" borderId="0" xfId="0" applyFill="1"/>
    <xf numFmtId="0" fontId="0" fillId="3" borderId="0" xfId="0" applyFill="1"/>
    <xf numFmtId="0" fontId="0" fillId="4" borderId="0" xfId="0" applyFill="1"/>
    <xf numFmtId="0" fontId="0" fillId="7" borderId="0" xfId="0" applyFill="1"/>
    <xf numFmtId="0" fontId="17" fillId="11" borderId="1" xfId="0" applyFont="1" applyFill="1" applyBorder="1" applyAlignment="1">
      <alignment horizontal="center" vertical="center" wrapText="1"/>
    </xf>
    <xf numFmtId="1" fontId="18" fillId="12" borderId="1" xfId="0" applyNumberFormat="1" applyFont="1" applyFill="1" applyBorder="1" applyAlignment="1">
      <alignment horizontal="center" vertical="center" wrapText="1"/>
    </xf>
    <xf numFmtId="0" fontId="19" fillId="13" borderId="0" xfId="0" applyFont="1" applyFill="1" applyAlignment="1">
      <alignment horizontal="left" vertical="center" wrapText="1"/>
    </xf>
    <xf numFmtId="0" fontId="21" fillId="14" borderId="2" xfId="0" applyFont="1" applyFill="1" applyBorder="1"/>
    <xf numFmtId="0" fontId="24" fillId="0" borderId="0" xfId="0" applyFont="1" applyAlignment="1">
      <alignment horizontal="left" vertical="center" wrapText="1"/>
    </xf>
    <xf numFmtId="1" fontId="17" fillId="11" borderId="0" xfId="0" applyNumberFormat="1" applyFont="1" applyFill="1" applyAlignment="1">
      <alignment horizontal="center" vertical="center" wrapText="1"/>
    </xf>
    <xf numFmtId="0" fontId="21" fillId="10" borderId="2" xfId="0" applyFont="1" applyFill="1" applyBorder="1" applyAlignment="1">
      <alignment horizontal="center" vertical="center" wrapText="1"/>
    </xf>
    <xf numFmtId="0" fontId="25" fillId="0" borderId="2" xfId="0" applyFont="1" applyBorder="1"/>
    <xf numFmtId="0" fontId="0" fillId="0" borderId="2" xfId="0" applyBorder="1"/>
    <xf numFmtId="164" fontId="0" fillId="0" borderId="2" xfId="0" applyNumberFormat="1" applyBorder="1"/>
    <xf numFmtId="0" fontId="26" fillId="0" borderId="0" xfId="0" applyFont="1"/>
    <xf numFmtId="0" fontId="21" fillId="12" borderId="2" xfId="0" applyFont="1" applyFill="1" applyBorder="1"/>
    <xf numFmtId="4" fontId="17" fillId="12" borderId="2" xfId="0" applyNumberFormat="1" applyFont="1" applyFill="1" applyBorder="1" applyAlignment="1">
      <alignment horizontal="center" vertical="center" wrapText="1"/>
    </xf>
    <xf numFmtId="0" fontId="27" fillId="0" borderId="2" xfId="0" applyFont="1" applyBorder="1"/>
    <xf numFmtId="4" fontId="24" fillId="14" borderId="2" xfId="0" applyNumberFormat="1" applyFont="1" applyFill="1" applyBorder="1" applyAlignment="1">
      <alignment horizontal="center" vertical="center" wrapText="1"/>
    </xf>
    <xf numFmtId="165" fontId="24" fillId="14" borderId="2" xfId="0" applyNumberFormat="1" applyFont="1" applyFill="1" applyBorder="1" applyAlignment="1">
      <alignment horizontal="center" vertical="center" wrapText="1"/>
    </xf>
    <xf numFmtId="3" fontId="24" fillId="14" borderId="2" xfId="0" applyNumberFormat="1" applyFont="1" applyFill="1" applyBorder="1" applyAlignment="1">
      <alignment horizontal="center" vertical="center" wrapText="1"/>
    </xf>
    <xf numFmtId="0" fontId="28" fillId="14" borderId="2" xfId="0" applyFont="1" applyFill="1" applyBorder="1"/>
    <xf numFmtId="4" fontId="0" fillId="0" borderId="2" xfId="0" applyNumberFormat="1" applyBorder="1"/>
    <xf numFmtId="3" fontId="0" fillId="0" borderId="2" xfId="0" applyNumberFormat="1" applyBorder="1"/>
    <xf numFmtId="0" fontId="20" fillId="9" borderId="2" xfId="0" applyFont="1" applyFill="1" applyBorder="1"/>
    <xf numFmtId="4" fontId="20" fillId="9" borderId="2" xfId="0" applyNumberFormat="1" applyFont="1" applyFill="1" applyBorder="1"/>
    <xf numFmtId="3" fontId="20" fillId="9" borderId="2" xfId="0" applyNumberFormat="1" applyFont="1" applyFill="1" applyBorder="1"/>
    <xf numFmtId="0" fontId="17" fillId="9" borderId="2" xfId="0" applyFont="1" applyFill="1" applyBorder="1"/>
    <xf numFmtId="4" fontId="17" fillId="9" borderId="2" xfId="0" applyNumberFormat="1" applyFont="1" applyFill="1" applyBorder="1"/>
    <xf numFmtId="0" fontId="30" fillId="0" borderId="0" xfId="0" applyFont="1" applyAlignment="1">
      <alignment horizontal="left" vertical="center" wrapText="1"/>
    </xf>
    <xf numFmtId="165" fontId="0" fillId="0" borderId="2" xfId="0" applyNumberFormat="1" applyBorder="1"/>
    <xf numFmtId="1" fontId="28" fillId="12" borderId="2" xfId="0" applyNumberFormat="1" applyFont="1" applyFill="1" applyBorder="1"/>
    <xf numFmtId="1" fontId="28" fillId="14" borderId="2" xfId="0" applyNumberFormat="1" applyFont="1" applyFill="1" applyBorder="1"/>
    <xf numFmtId="0" fontId="35" fillId="20" borderId="0" xfId="0" applyFont="1" applyFill="1" applyAlignment="1">
      <alignment horizontal="center" vertical="center"/>
    </xf>
    <xf numFmtId="0" fontId="43" fillId="18" borderId="4" xfId="0" applyFont="1" applyFill="1" applyBorder="1" applyAlignment="1">
      <alignment horizontal="center" vertical="center"/>
    </xf>
    <xf numFmtId="0" fontId="44" fillId="2" borderId="4" xfId="0" applyFont="1" applyFill="1" applyBorder="1" applyAlignment="1">
      <alignment horizontal="left" vertical="center"/>
    </xf>
    <xf numFmtId="164" fontId="44" fillId="2" borderId="4" xfId="0" applyNumberFormat="1" applyFont="1" applyFill="1" applyBorder="1" applyAlignment="1">
      <alignment horizontal="center" vertical="center"/>
    </xf>
    <xf numFmtId="0" fontId="44" fillId="2" borderId="4" xfId="0" applyFont="1" applyFill="1" applyBorder="1" applyAlignment="1">
      <alignment horizontal="center" vertical="center"/>
    </xf>
    <xf numFmtId="165" fontId="44" fillId="2" borderId="4" xfId="0" applyNumberFormat="1" applyFont="1" applyFill="1" applyBorder="1" applyAlignment="1">
      <alignment horizontal="center" vertical="center"/>
    </xf>
    <xf numFmtId="0" fontId="44" fillId="8" borderId="4" xfId="0" applyFont="1" applyFill="1" applyBorder="1" applyAlignment="1">
      <alignment horizontal="left" vertical="center"/>
    </xf>
    <xf numFmtId="164" fontId="44" fillId="8" borderId="4" xfId="0" applyNumberFormat="1" applyFont="1" applyFill="1" applyBorder="1" applyAlignment="1">
      <alignment horizontal="center" vertical="center"/>
    </xf>
    <xf numFmtId="0" fontId="44" fillId="8" borderId="4" xfId="0" applyFont="1" applyFill="1" applyBorder="1" applyAlignment="1">
      <alignment horizontal="center" vertical="center"/>
    </xf>
    <xf numFmtId="165" fontId="44" fillId="8" borderId="4" xfId="0" applyNumberFormat="1" applyFont="1" applyFill="1" applyBorder="1" applyAlignment="1">
      <alignment horizontal="center" vertical="center"/>
    </xf>
    <xf numFmtId="0" fontId="45" fillId="3" borderId="5" xfId="0" applyFont="1" applyFill="1" applyBorder="1" applyAlignment="1">
      <alignment horizontal="center" vertical="center"/>
    </xf>
    <xf numFmtId="164" fontId="45" fillId="3" borderId="5" xfId="0" applyNumberFormat="1" applyFont="1" applyFill="1" applyBorder="1" applyAlignment="1">
      <alignment horizontal="center" vertical="center"/>
    </xf>
    <xf numFmtId="165" fontId="45" fillId="3" borderId="5" xfId="0" applyNumberFormat="1" applyFont="1" applyFill="1" applyBorder="1" applyAlignment="1">
      <alignment horizontal="center" vertical="center"/>
    </xf>
    <xf numFmtId="0" fontId="49" fillId="2" borderId="0" xfId="0" applyFont="1" applyFill="1"/>
    <xf numFmtId="0" fontId="50" fillId="2" borderId="0" xfId="0" applyFont="1" applyFill="1"/>
    <xf numFmtId="0" fontId="51" fillId="23" borderId="0" xfId="0" applyFont="1" applyFill="1" applyAlignment="1">
      <alignment horizontal="center" vertical="center" wrapText="1"/>
    </xf>
    <xf numFmtId="0" fontId="51" fillId="24" borderId="0" xfId="0" applyFont="1" applyFill="1" applyAlignment="1">
      <alignment horizontal="center" vertical="center" wrapText="1"/>
    </xf>
    <xf numFmtId="0" fontId="51" fillId="25" borderId="0" xfId="0" applyFont="1" applyFill="1" applyAlignment="1">
      <alignment horizontal="center" vertical="center" wrapText="1"/>
    </xf>
    <xf numFmtId="0" fontId="51" fillId="26" borderId="0" xfId="0" applyFont="1" applyFill="1" applyAlignment="1">
      <alignment horizontal="center" vertical="center" wrapText="1"/>
    </xf>
    <xf numFmtId="4" fontId="52" fillId="23" borderId="0" xfId="0" applyNumberFormat="1" applyFont="1" applyFill="1" applyAlignment="1">
      <alignment horizontal="center" vertical="center" wrapText="1"/>
    </xf>
    <xf numFmtId="165" fontId="53" fillId="24" borderId="0" xfId="0" applyNumberFormat="1" applyFont="1" applyFill="1" applyAlignment="1">
      <alignment horizontal="center" vertical="center" wrapText="1"/>
    </xf>
    <xf numFmtId="166" fontId="54" fillId="25" borderId="0" xfId="0" applyNumberFormat="1" applyFont="1" applyFill="1" applyAlignment="1">
      <alignment horizontal="center" vertical="center" wrapText="1"/>
    </xf>
    <xf numFmtId="1" fontId="55" fillId="26" borderId="0" xfId="0" applyNumberFormat="1" applyFont="1" applyFill="1" applyAlignment="1">
      <alignment horizontal="center" vertical="center" wrapText="1"/>
    </xf>
    <xf numFmtId="0" fontId="59" fillId="2" borderId="0" xfId="0" applyFont="1" applyFill="1"/>
    <xf numFmtId="0" fontId="0" fillId="0" borderId="12" xfId="0" applyBorder="1"/>
    <xf numFmtId="0" fontId="62" fillId="3" borderId="11" xfId="0" applyFont="1" applyFill="1" applyBorder="1" applyAlignment="1">
      <alignment horizontal="center" vertical="center"/>
    </xf>
    <xf numFmtId="0" fontId="43" fillId="18" borderId="0" xfId="0" applyFont="1" applyFill="1" applyAlignment="1">
      <alignment horizontal="left" vertical="center"/>
    </xf>
    <xf numFmtId="0" fontId="63" fillId="3" borderId="9" xfId="0" applyFont="1" applyFill="1" applyBorder="1" applyAlignment="1">
      <alignment horizontal="center" vertical="center"/>
    </xf>
    <xf numFmtId="0" fontId="50" fillId="8" borderId="8" xfId="0" applyFont="1" applyFill="1" applyBorder="1" applyAlignment="1">
      <alignment horizontal="left" vertical="center" wrapText="1"/>
    </xf>
    <xf numFmtId="0" fontId="0" fillId="0" borderId="14" xfId="0" applyBorder="1"/>
    <xf numFmtId="0" fontId="0" fillId="18" borderId="0" xfId="0" applyFill="1"/>
    <xf numFmtId="0" fontId="35" fillId="18" borderId="0" xfId="0" applyFont="1" applyFill="1" applyAlignment="1">
      <alignment horizontal="center" vertical="center"/>
    </xf>
    <xf numFmtId="0" fontId="66" fillId="8" borderId="9" xfId="0" applyFont="1" applyFill="1" applyBorder="1" applyAlignment="1">
      <alignment horizontal="left" vertical="center"/>
    </xf>
    <xf numFmtId="0" fontId="66" fillId="2" borderId="9" xfId="0" applyFont="1" applyFill="1" applyBorder="1" applyAlignment="1">
      <alignment horizontal="left" vertical="center"/>
    </xf>
    <xf numFmtId="0" fontId="67" fillId="3" borderId="0" xfId="0" applyFont="1" applyFill="1"/>
    <xf numFmtId="0" fontId="69" fillId="18" borderId="0" xfId="0" applyFont="1" applyFill="1"/>
    <xf numFmtId="0" fontId="48" fillId="18" borderId="0" xfId="0" applyFont="1" applyFill="1" applyAlignment="1">
      <alignment horizontal="center" vertical="center"/>
    </xf>
    <xf numFmtId="0" fontId="43" fillId="7" borderId="0" xfId="0" applyFont="1" applyFill="1"/>
    <xf numFmtId="0" fontId="70" fillId="0" borderId="0" xfId="0" applyFont="1"/>
    <xf numFmtId="49" fontId="73" fillId="8" borderId="0" xfId="0" applyNumberFormat="1" applyFont="1" applyFill="1" applyAlignment="1">
      <alignment horizontal="center" vertical="center"/>
    </xf>
    <xf numFmtId="0" fontId="35" fillId="31" borderId="9" xfId="0" applyFont="1" applyFill="1" applyBorder="1" applyAlignment="1">
      <alignment horizontal="center" vertical="center" wrapText="1"/>
    </xf>
    <xf numFmtId="0" fontId="0" fillId="2" borderId="4" xfId="0" applyFill="1" applyBorder="1" applyAlignment="1">
      <alignment horizontal="center" vertical="center"/>
    </xf>
    <xf numFmtId="164" fontId="74" fillId="2" borderId="4" xfId="0" applyNumberFormat="1" applyFont="1" applyFill="1" applyBorder="1" applyAlignment="1">
      <alignment horizontal="center" vertical="center"/>
    </xf>
    <xf numFmtId="169" fontId="75" fillId="2" borderId="4" xfId="0" applyNumberFormat="1" applyFont="1" applyFill="1" applyBorder="1" applyAlignment="1">
      <alignment horizontal="center" vertical="center"/>
    </xf>
    <xf numFmtId="164" fontId="76" fillId="8" borderId="4" xfId="0" applyNumberFormat="1" applyFont="1" applyFill="1" applyBorder="1" applyAlignment="1">
      <alignment horizontal="left" vertical="center"/>
    </xf>
    <xf numFmtId="164" fontId="49" fillId="2" borderId="4" xfId="0" applyNumberFormat="1" applyFont="1" applyFill="1" applyBorder="1" applyAlignment="1">
      <alignment horizontal="center" vertical="center"/>
    </xf>
    <xf numFmtId="0" fontId="46" fillId="32" borderId="9" xfId="0" applyFont="1" applyFill="1" applyBorder="1" applyAlignment="1">
      <alignment horizontal="center" vertical="center"/>
    </xf>
    <xf numFmtId="0" fontId="50" fillId="2" borderId="4" xfId="0" applyFont="1" applyFill="1" applyBorder="1" applyAlignment="1">
      <alignment horizontal="center" vertical="center"/>
    </xf>
    <xf numFmtId="0" fontId="75" fillId="2" borderId="4" xfId="0" applyFont="1" applyFill="1" applyBorder="1" applyAlignment="1">
      <alignment horizontal="center" vertical="center"/>
    </xf>
    <xf numFmtId="0" fontId="0" fillId="2" borderId="4" xfId="0" applyFill="1" applyBorder="1" applyAlignment="1">
      <alignment horizontal="left" vertical="center"/>
    </xf>
    <xf numFmtId="0" fontId="0" fillId="8" borderId="4" xfId="0" applyFill="1" applyBorder="1" applyAlignment="1">
      <alignment horizontal="center" vertical="center"/>
    </xf>
    <xf numFmtId="164" fontId="74" fillId="8" borderId="4" xfId="0" applyNumberFormat="1" applyFont="1" applyFill="1" applyBorder="1" applyAlignment="1">
      <alignment horizontal="center" vertical="center"/>
    </xf>
    <xf numFmtId="169" fontId="75" fillId="8" borderId="4" xfId="0" applyNumberFormat="1" applyFont="1" applyFill="1" applyBorder="1" applyAlignment="1">
      <alignment horizontal="center" vertical="center"/>
    </xf>
    <xf numFmtId="164" fontId="49" fillId="8" borderId="4" xfId="0" applyNumberFormat="1" applyFont="1" applyFill="1" applyBorder="1" applyAlignment="1">
      <alignment horizontal="center" vertical="center"/>
    </xf>
    <xf numFmtId="0" fontId="50" fillId="8" borderId="4" xfId="0" applyFont="1" applyFill="1" applyBorder="1" applyAlignment="1">
      <alignment horizontal="center" vertical="center"/>
    </xf>
    <xf numFmtId="0" fontId="75" fillId="8" borderId="4" xfId="0" applyFont="1" applyFill="1" applyBorder="1" applyAlignment="1">
      <alignment horizontal="center" vertical="center"/>
    </xf>
    <xf numFmtId="0" fontId="0" fillId="8" borderId="4" xfId="0" applyFill="1" applyBorder="1" applyAlignment="1">
      <alignment horizontal="left" vertical="center"/>
    </xf>
    <xf numFmtId="3" fontId="78" fillId="8" borderId="0" xfId="0" applyNumberFormat="1" applyFont="1" applyFill="1" applyAlignment="1">
      <alignment horizontal="center" vertical="center"/>
    </xf>
    <xf numFmtId="0" fontId="43" fillId="33" borderId="4" xfId="0" applyFont="1" applyFill="1" applyBorder="1" applyAlignment="1">
      <alignment horizontal="center" vertical="center"/>
    </xf>
    <xf numFmtId="164" fontId="76" fillId="34" borderId="4" xfId="0" applyNumberFormat="1" applyFont="1" applyFill="1" applyBorder="1" applyAlignment="1">
      <alignment horizontal="left" vertical="center"/>
    </xf>
    <xf numFmtId="164" fontId="79" fillId="2" borderId="4" xfId="0" applyNumberFormat="1" applyFont="1" applyFill="1" applyBorder="1" applyAlignment="1">
      <alignment horizontal="center" vertical="center"/>
    </xf>
    <xf numFmtId="164" fontId="79" fillId="8" borderId="4" xfId="0" applyNumberFormat="1" applyFont="1" applyFill="1" applyBorder="1" applyAlignment="1">
      <alignment horizontal="center" vertical="center"/>
    </xf>
    <xf numFmtId="0" fontId="61" fillId="18" borderId="0" xfId="0" applyFont="1" applyFill="1" applyAlignment="1">
      <alignment horizontal="center" vertical="center"/>
    </xf>
    <xf numFmtId="0" fontId="47" fillId="0" borderId="0" xfId="0" applyFont="1" applyAlignment="1">
      <alignment horizontal="left" vertical="center"/>
    </xf>
    <xf numFmtId="0" fontId="45" fillId="0" borderId="0" xfId="0" applyFont="1" applyAlignment="1">
      <alignment horizontal="left" vertical="center"/>
    </xf>
    <xf numFmtId="0" fontId="43" fillId="20" borderId="4" xfId="0" applyFont="1" applyFill="1" applyBorder="1" applyAlignment="1">
      <alignment horizontal="center" vertical="center"/>
    </xf>
    <xf numFmtId="0" fontId="43" fillId="36" borderId="16" xfId="0" applyFont="1" applyFill="1" applyBorder="1" applyAlignment="1">
      <alignment horizontal="center"/>
    </xf>
    <xf numFmtId="169" fontId="44" fillId="8" borderId="4" xfId="0" applyNumberFormat="1" applyFont="1" applyFill="1" applyBorder="1" applyAlignment="1">
      <alignment horizontal="center" vertical="center"/>
    </xf>
    <xf numFmtId="169" fontId="44" fillId="2" borderId="4" xfId="0" applyNumberFormat="1" applyFont="1" applyFill="1" applyBorder="1" applyAlignment="1">
      <alignment horizontal="center" vertical="center"/>
    </xf>
    <xf numFmtId="0" fontId="43" fillId="5" borderId="4" xfId="0" applyFont="1" applyFill="1" applyBorder="1" applyAlignment="1">
      <alignment horizontal="center" vertical="center"/>
    </xf>
    <xf numFmtId="0" fontId="49" fillId="37" borderId="4" xfId="0" applyFont="1" applyFill="1" applyBorder="1" applyAlignment="1">
      <alignment horizontal="center" vertical="center"/>
    </xf>
    <xf numFmtId="0" fontId="85" fillId="0" borderId="0" xfId="0" applyFont="1"/>
    <xf numFmtId="0" fontId="20" fillId="11" borderId="0" xfId="0" applyFont="1" applyFill="1" applyAlignment="1">
      <alignment horizontal="center" vertical="center" wrapText="1"/>
    </xf>
    <xf numFmtId="0" fontId="84" fillId="35" borderId="4" xfId="0" applyFont="1" applyFill="1" applyBorder="1" applyAlignment="1">
      <alignment horizontal="center" vertical="center"/>
    </xf>
    <xf numFmtId="0" fontId="43" fillId="38" borderId="16" xfId="0" applyFont="1" applyFill="1" applyBorder="1" applyAlignment="1">
      <alignment horizontal="center" vertical="center"/>
    </xf>
    <xf numFmtId="0" fontId="46" fillId="8" borderId="0" xfId="0" applyFont="1" applyFill="1" applyAlignment="1">
      <alignment horizontal="center" vertical="center"/>
    </xf>
    <xf numFmtId="0" fontId="43" fillId="18" borderId="0" xfId="0" applyFont="1" applyFill="1" applyAlignment="1">
      <alignment horizontal="center" vertical="center"/>
    </xf>
    <xf numFmtId="164" fontId="91" fillId="3" borderId="0" xfId="0" applyNumberFormat="1" applyFont="1" applyFill="1" applyAlignment="1">
      <alignment horizontal="center" vertical="center"/>
    </xf>
    <xf numFmtId="3" fontId="91" fillId="3" borderId="0" xfId="0" applyNumberFormat="1" applyFont="1" applyFill="1" applyAlignment="1">
      <alignment horizontal="center" vertical="center"/>
    </xf>
    <xf numFmtId="0" fontId="43" fillId="21" borderId="4" xfId="0" applyFont="1" applyFill="1" applyBorder="1" applyAlignment="1">
      <alignment horizontal="center" vertical="center"/>
    </xf>
    <xf numFmtId="0" fontId="94" fillId="0" borderId="0" xfId="0" applyFont="1" applyAlignment="1">
      <alignment horizontal="left" vertical="center"/>
    </xf>
    <xf numFmtId="0" fontId="35" fillId="18" borderId="18" xfId="0" applyFont="1" applyFill="1" applyBorder="1" applyAlignment="1">
      <alignment horizontal="center" vertical="center" wrapText="1"/>
    </xf>
    <xf numFmtId="0" fontId="96" fillId="2" borderId="18" xfId="0" applyFont="1" applyFill="1" applyBorder="1" applyAlignment="1">
      <alignment horizontal="center" vertical="center"/>
    </xf>
    <xf numFmtId="0" fontId="66" fillId="2" borderId="18" xfId="0" applyFont="1" applyFill="1" applyBorder="1" applyAlignment="1">
      <alignment horizontal="left" vertical="center"/>
    </xf>
    <xf numFmtId="0" fontId="96" fillId="40" borderId="18" xfId="0" applyFont="1" applyFill="1" applyBorder="1" applyAlignment="1">
      <alignment horizontal="center" vertical="center"/>
    </xf>
    <xf numFmtId="0" fontId="66" fillId="40" borderId="18" xfId="0" applyFont="1" applyFill="1" applyBorder="1" applyAlignment="1">
      <alignment horizontal="left" vertical="center"/>
    </xf>
    <xf numFmtId="0" fontId="0" fillId="33" borderId="0" xfId="0" applyFill="1"/>
    <xf numFmtId="0" fontId="35" fillId="18" borderId="18" xfId="0" applyFont="1" applyFill="1" applyBorder="1" applyAlignment="1">
      <alignment horizontal="center" vertical="center"/>
    </xf>
    <xf numFmtId="0" fontId="96" fillId="2" borderId="18" xfId="0" applyFont="1" applyFill="1" applyBorder="1" applyAlignment="1">
      <alignment horizontal="left" vertical="center"/>
    </xf>
    <xf numFmtId="0" fontId="96" fillId="40" borderId="18" xfId="0" applyFont="1" applyFill="1" applyBorder="1" applyAlignment="1">
      <alignment horizontal="left" vertical="center"/>
    </xf>
    <xf numFmtId="0" fontId="43" fillId="36" borderId="16" xfId="0" applyFont="1" applyFill="1" applyBorder="1" applyAlignment="1">
      <alignment horizontal="center" vertical="center"/>
    </xf>
    <xf numFmtId="0" fontId="82" fillId="3" borderId="0" xfId="0" applyFont="1" applyFill="1" applyAlignment="1">
      <alignment horizontal="center" vertical="center"/>
    </xf>
    <xf numFmtId="0" fontId="100" fillId="0" borderId="4" xfId="0" applyFont="1" applyBorder="1" applyAlignment="1">
      <alignment horizontal="left" vertical="center"/>
    </xf>
    <xf numFmtId="0" fontId="101" fillId="8" borderId="4" xfId="0" applyFont="1" applyFill="1" applyBorder="1" applyAlignment="1">
      <alignment horizontal="left" vertical="center"/>
    </xf>
    <xf numFmtId="0" fontId="46" fillId="2" borderId="0" xfId="0" applyFont="1" applyFill="1" applyAlignment="1">
      <alignment horizontal="left" vertical="center"/>
    </xf>
    <xf numFmtId="0" fontId="46" fillId="8" borderId="0" xfId="0" applyFont="1" applyFill="1" applyAlignment="1">
      <alignment horizontal="left" vertical="center"/>
    </xf>
    <xf numFmtId="0" fontId="102" fillId="0" borderId="0" xfId="0" applyFont="1" applyAlignment="1">
      <alignment horizontal="left" vertical="top"/>
    </xf>
    <xf numFmtId="0" fontId="103" fillId="40" borderId="0" xfId="0" applyFont="1" applyFill="1" applyAlignment="1">
      <alignment horizontal="left" vertical="top"/>
    </xf>
    <xf numFmtId="0" fontId="47" fillId="0" borderId="0" xfId="0" applyFont="1"/>
    <xf numFmtId="0" fontId="102" fillId="0" borderId="0" xfId="0" applyFont="1"/>
    <xf numFmtId="0" fontId="105" fillId="43" borderId="0" xfId="0" applyFont="1" applyFill="1" applyAlignment="1">
      <alignment horizontal="center" vertical="center" wrapText="1"/>
    </xf>
    <xf numFmtId="0" fontId="105" fillId="44" borderId="0" xfId="0" applyFont="1" applyFill="1" applyAlignment="1">
      <alignment horizontal="center" vertical="center" wrapText="1"/>
    </xf>
    <xf numFmtId="0" fontId="105" fillId="45" borderId="0" xfId="0" applyFont="1" applyFill="1" applyAlignment="1">
      <alignment horizontal="center" vertical="center" wrapText="1"/>
    </xf>
    <xf numFmtId="0" fontId="105" fillId="46" borderId="0" xfId="0" applyFont="1" applyFill="1" applyAlignment="1">
      <alignment horizontal="center" vertical="center" wrapText="1"/>
    </xf>
    <xf numFmtId="0" fontId="105" fillId="42" borderId="0" xfId="0" applyFont="1" applyFill="1" applyAlignment="1">
      <alignment horizontal="center" vertical="center" wrapText="1"/>
    </xf>
    <xf numFmtId="0" fontId="105" fillId="47" borderId="0" xfId="0" applyFont="1" applyFill="1" applyAlignment="1">
      <alignment horizontal="center" vertical="center" wrapText="1"/>
    </xf>
    <xf numFmtId="4" fontId="106" fillId="48" borderId="16" xfId="0" applyNumberFormat="1" applyFont="1" applyFill="1" applyBorder="1" applyAlignment="1">
      <alignment horizontal="center" vertical="center" wrapText="1"/>
    </xf>
    <xf numFmtId="165" fontId="106" fillId="48" borderId="16" xfId="0" applyNumberFormat="1" applyFont="1" applyFill="1" applyBorder="1" applyAlignment="1">
      <alignment horizontal="center" vertical="center" wrapText="1"/>
    </xf>
    <xf numFmtId="166" fontId="106" fillId="48" borderId="16" xfId="0" applyNumberFormat="1" applyFont="1" applyFill="1" applyBorder="1" applyAlignment="1">
      <alignment horizontal="center" vertical="center" wrapText="1"/>
    </xf>
    <xf numFmtId="49" fontId="106" fillId="48" borderId="16" xfId="0" applyNumberFormat="1" applyFont="1" applyFill="1" applyBorder="1" applyAlignment="1">
      <alignment horizontal="center" vertical="center" wrapText="1"/>
    </xf>
    <xf numFmtId="0" fontId="31" fillId="50" borderId="16" xfId="0" applyFont="1" applyFill="1" applyBorder="1" applyAlignment="1">
      <alignment horizontal="center" vertical="center" wrapText="1"/>
    </xf>
    <xf numFmtId="0" fontId="107" fillId="27" borderId="16" xfId="0" applyFont="1" applyFill="1" applyBorder="1" applyAlignment="1">
      <alignment horizontal="center" vertical="center" wrapText="1"/>
    </xf>
    <xf numFmtId="4" fontId="108" fillId="27" borderId="16" xfId="0" applyNumberFormat="1" applyFont="1" applyFill="1" applyBorder="1" applyAlignment="1">
      <alignment horizontal="center" vertical="center" wrapText="1"/>
    </xf>
    <xf numFmtId="1" fontId="108" fillId="27" borderId="16" xfId="0" applyNumberFormat="1" applyFont="1" applyFill="1" applyBorder="1" applyAlignment="1">
      <alignment horizontal="center" vertical="center" wrapText="1"/>
    </xf>
    <xf numFmtId="165" fontId="108" fillId="27" borderId="16" xfId="0" applyNumberFormat="1" applyFont="1" applyFill="1" applyBorder="1" applyAlignment="1">
      <alignment horizontal="center" vertical="center" wrapText="1"/>
    </xf>
    <xf numFmtId="0" fontId="108" fillId="27" borderId="16" xfId="0" applyFont="1" applyFill="1" applyBorder="1" applyAlignment="1">
      <alignment horizontal="center" vertical="center" wrapText="1"/>
    </xf>
    <xf numFmtId="166" fontId="108" fillId="27" borderId="16" xfId="0" applyNumberFormat="1" applyFont="1" applyFill="1" applyBorder="1" applyAlignment="1">
      <alignment horizontal="center" vertical="center" wrapText="1"/>
    </xf>
    <xf numFmtId="0" fontId="109" fillId="24" borderId="16" xfId="0" applyFont="1" applyFill="1" applyBorder="1" applyAlignment="1">
      <alignment horizontal="left" vertical="center" wrapText="1"/>
    </xf>
    <xf numFmtId="0" fontId="107" fillId="51" borderId="16" xfId="0" applyFont="1" applyFill="1" applyBorder="1" applyAlignment="1">
      <alignment horizontal="center" vertical="center" wrapText="1"/>
    </xf>
    <xf numFmtId="4" fontId="108" fillId="51" borderId="16" xfId="0" applyNumberFormat="1" applyFont="1" applyFill="1" applyBorder="1" applyAlignment="1">
      <alignment horizontal="center" vertical="center" wrapText="1"/>
    </xf>
    <xf numFmtId="1" fontId="108" fillId="51" borderId="16" xfId="0" applyNumberFormat="1" applyFont="1" applyFill="1" applyBorder="1" applyAlignment="1">
      <alignment horizontal="center" vertical="center" wrapText="1"/>
    </xf>
    <xf numFmtId="165" fontId="108" fillId="51" borderId="16" xfId="0" applyNumberFormat="1" applyFont="1" applyFill="1" applyBorder="1" applyAlignment="1">
      <alignment horizontal="center" vertical="center" wrapText="1"/>
    </xf>
    <xf numFmtId="0" fontId="108" fillId="51" borderId="16" xfId="0" applyFont="1" applyFill="1" applyBorder="1" applyAlignment="1">
      <alignment horizontal="center" vertical="center" wrapText="1"/>
    </xf>
    <xf numFmtId="166" fontId="108" fillId="51" borderId="16" xfId="0" applyNumberFormat="1" applyFont="1" applyFill="1" applyBorder="1" applyAlignment="1">
      <alignment horizontal="center" vertical="center" wrapText="1"/>
    </xf>
    <xf numFmtId="0" fontId="20" fillId="50" borderId="16" xfId="0" applyFont="1" applyFill="1" applyBorder="1" applyAlignment="1">
      <alignment horizontal="center" vertical="center" wrapText="1"/>
    </xf>
    <xf numFmtId="4" fontId="20" fillId="50" borderId="16" xfId="0" applyNumberFormat="1" applyFont="1" applyFill="1" applyBorder="1" applyAlignment="1">
      <alignment horizontal="center" vertical="center" wrapText="1"/>
    </xf>
    <xf numFmtId="1" fontId="20" fillId="50" borderId="16" xfId="0" applyNumberFormat="1" applyFont="1" applyFill="1" applyBorder="1" applyAlignment="1">
      <alignment horizontal="center" vertical="center" wrapText="1"/>
    </xf>
    <xf numFmtId="0" fontId="31" fillId="52" borderId="16" xfId="0" applyFont="1" applyFill="1" applyBorder="1" applyAlignment="1">
      <alignment horizontal="center" vertical="center" wrapText="1"/>
    </xf>
    <xf numFmtId="0" fontId="28" fillId="24" borderId="16" xfId="0" applyFont="1" applyFill="1" applyBorder="1" applyAlignment="1">
      <alignment horizontal="center" vertical="center" wrapText="1"/>
    </xf>
    <xf numFmtId="4" fontId="108" fillId="24" borderId="16" xfId="0" applyNumberFormat="1" applyFont="1" applyFill="1" applyBorder="1" applyAlignment="1">
      <alignment horizontal="center" vertical="center" wrapText="1"/>
    </xf>
    <xf numFmtId="1" fontId="108" fillId="24" borderId="16" xfId="0" applyNumberFormat="1" applyFont="1" applyFill="1" applyBorder="1" applyAlignment="1">
      <alignment horizontal="center" vertical="center" wrapText="1"/>
    </xf>
    <xf numFmtId="0" fontId="108" fillId="24" borderId="16" xfId="0" applyFont="1" applyFill="1" applyBorder="1" applyAlignment="1">
      <alignment horizontal="center" vertical="center" wrapText="1"/>
    </xf>
    <xf numFmtId="0" fontId="28" fillId="2" borderId="16" xfId="0" applyFont="1" applyFill="1" applyBorder="1" applyAlignment="1">
      <alignment horizontal="center" vertical="center" wrapText="1"/>
    </xf>
    <xf numFmtId="4" fontId="108" fillId="2" borderId="16" xfId="0" applyNumberFormat="1" applyFont="1" applyFill="1" applyBorder="1" applyAlignment="1">
      <alignment horizontal="center" vertical="center" wrapText="1"/>
    </xf>
    <xf numFmtId="1" fontId="108" fillId="2" borderId="16" xfId="0" applyNumberFormat="1" applyFont="1" applyFill="1" applyBorder="1" applyAlignment="1">
      <alignment horizontal="center" vertical="center" wrapText="1"/>
    </xf>
    <xf numFmtId="0" fontId="108" fillId="2" borderId="16" xfId="0" applyFont="1" applyFill="1" applyBorder="1" applyAlignment="1">
      <alignment horizontal="center" vertical="center" wrapText="1"/>
    </xf>
    <xf numFmtId="0" fontId="28" fillId="25" borderId="16" xfId="0" applyFont="1" applyFill="1" applyBorder="1" applyAlignment="1">
      <alignment horizontal="left" vertical="center" wrapText="1"/>
    </xf>
    <xf numFmtId="1" fontId="110" fillId="25" borderId="16" xfId="0" applyNumberFormat="1" applyFont="1" applyFill="1" applyBorder="1" applyAlignment="1">
      <alignment horizontal="center" vertical="center" wrapText="1"/>
    </xf>
    <xf numFmtId="0" fontId="26" fillId="25" borderId="16" xfId="0" applyFont="1" applyFill="1" applyBorder="1" applyAlignment="1">
      <alignment horizontal="center" vertical="center" wrapText="1"/>
    </xf>
    <xf numFmtId="0" fontId="28" fillId="53" borderId="16" xfId="0" applyFont="1" applyFill="1" applyBorder="1" applyAlignment="1">
      <alignment horizontal="left" vertical="center" wrapText="1"/>
    </xf>
    <xf numFmtId="1" fontId="110" fillId="53" borderId="16" xfId="0" applyNumberFormat="1" applyFont="1" applyFill="1" applyBorder="1" applyAlignment="1">
      <alignment horizontal="center" vertical="center" wrapText="1"/>
    </xf>
    <xf numFmtId="0" fontId="26" fillId="53" borderId="16" xfId="0" applyFont="1" applyFill="1" applyBorder="1" applyAlignment="1">
      <alignment horizontal="center" vertical="center" wrapText="1"/>
    </xf>
    <xf numFmtId="0" fontId="113" fillId="0" borderId="0" xfId="0" applyFont="1" applyAlignment="1">
      <alignment horizontal="center" vertical="center" wrapText="1"/>
    </xf>
    <xf numFmtId="1" fontId="114" fillId="0" borderId="0" xfId="0" applyNumberFormat="1" applyFont="1" applyAlignment="1">
      <alignment horizontal="center" vertical="center" wrapText="1"/>
    </xf>
    <xf numFmtId="0" fontId="20" fillId="54" borderId="16" xfId="0" applyFont="1" applyFill="1" applyBorder="1" applyAlignment="1">
      <alignment horizontal="center" vertical="center" wrapText="1"/>
    </xf>
    <xf numFmtId="0" fontId="28" fillId="23" borderId="16" xfId="0" applyFont="1" applyFill="1" applyBorder="1" applyAlignment="1">
      <alignment horizontal="center" vertical="center" wrapText="1"/>
    </xf>
    <xf numFmtId="4" fontId="108" fillId="23" borderId="16" xfId="0" applyNumberFormat="1" applyFont="1" applyFill="1" applyBorder="1" applyAlignment="1">
      <alignment horizontal="center" vertical="center" wrapText="1"/>
    </xf>
    <xf numFmtId="1" fontId="108" fillId="23" borderId="16" xfId="0" applyNumberFormat="1" applyFont="1" applyFill="1" applyBorder="1" applyAlignment="1">
      <alignment horizontal="center" vertical="center" wrapText="1"/>
    </xf>
    <xf numFmtId="0" fontId="108" fillId="23" borderId="16" xfId="0" applyFont="1" applyFill="1" applyBorder="1" applyAlignment="1">
      <alignment horizontal="center" vertical="center" wrapText="1"/>
    </xf>
    <xf numFmtId="0" fontId="17" fillId="54" borderId="0" xfId="0" applyFont="1" applyFill="1" applyAlignment="1">
      <alignment horizontal="center" vertical="center" wrapText="1"/>
    </xf>
    <xf numFmtId="4" fontId="17" fillId="54" borderId="0" xfId="0" applyNumberFormat="1" applyFont="1" applyFill="1" applyAlignment="1">
      <alignment horizontal="center" vertical="center" wrapText="1"/>
    </xf>
    <xf numFmtId="1" fontId="17" fillId="54" borderId="0" xfId="0" applyNumberFormat="1" applyFont="1" applyFill="1" applyAlignment="1">
      <alignment horizontal="center" vertical="center" wrapText="1"/>
    </xf>
    <xf numFmtId="0" fontId="116" fillId="24" borderId="0" xfId="0" applyFont="1" applyFill="1" applyAlignment="1">
      <alignment horizontal="center" vertical="center" wrapText="1"/>
    </xf>
    <xf numFmtId="4" fontId="110" fillId="24" borderId="0" xfId="0" applyNumberFormat="1" applyFont="1" applyFill="1" applyAlignment="1">
      <alignment horizontal="center" vertical="center" wrapText="1"/>
    </xf>
    <xf numFmtId="0" fontId="117" fillId="24" borderId="0" xfId="0" applyFont="1" applyFill="1" applyAlignment="1">
      <alignment horizontal="left" vertical="center" wrapText="1"/>
    </xf>
    <xf numFmtId="0" fontId="116" fillId="2" borderId="0" xfId="0" applyFont="1" applyFill="1" applyAlignment="1">
      <alignment horizontal="center" vertical="center" wrapText="1"/>
    </xf>
    <xf numFmtId="4" fontId="110" fillId="2" borderId="0" xfId="0" applyNumberFormat="1" applyFont="1" applyFill="1" applyAlignment="1">
      <alignment horizontal="center" vertical="center" wrapText="1"/>
    </xf>
    <xf numFmtId="0" fontId="117" fillId="2" borderId="0" xfId="0" applyFont="1" applyFill="1" applyAlignment="1">
      <alignment horizontal="left" vertical="center" wrapText="1"/>
    </xf>
    <xf numFmtId="1" fontId="110" fillId="24" borderId="0" xfId="0" applyNumberFormat="1" applyFont="1" applyFill="1" applyAlignment="1">
      <alignment horizontal="center" vertical="center" wrapText="1"/>
    </xf>
    <xf numFmtId="165" fontId="110" fillId="24" borderId="0" xfId="0" applyNumberFormat="1" applyFont="1" applyFill="1" applyAlignment="1">
      <alignment horizontal="center" vertical="center" wrapText="1"/>
    </xf>
    <xf numFmtId="49" fontId="110" fillId="2" borderId="0" xfId="0" applyNumberFormat="1" applyFont="1" applyFill="1" applyAlignment="1">
      <alignment horizontal="center" vertical="center" wrapText="1"/>
    </xf>
    <xf numFmtId="0" fontId="22" fillId="0" borderId="2" xfId="0" applyFont="1" applyBorder="1" applyAlignment="1">
      <alignment horizontal="center" vertical="center" wrapText="1"/>
    </xf>
    <xf numFmtId="0" fontId="21" fillId="0" borderId="2" xfId="0" applyFont="1" applyBorder="1"/>
    <xf numFmtId="0" fontId="22" fillId="0" borderId="2" xfId="0" applyFont="1" applyBorder="1" applyAlignment="1">
      <alignment horizontal="left" vertical="center" wrapText="1"/>
    </xf>
    <xf numFmtId="0" fontId="61" fillId="5" borderId="13" xfId="0" applyFont="1" applyFill="1" applyBorder="1" applyAlignment="1">
      <alignment horizontal="center" vertical="center"/>
    </xf>
    <xf numFmtId="0" fontId="68" fillId="29" borderId="15" xfId="0" applyFont="1" applyFill="1" applyBorder="1" applyAlignment="1">
      <alignment horizontal="left" vertical="center"/>
    </xf>
    <xf numFmtId="0" fontId="81" fillId="33" borderId="0" xfId="0" applyFont="1" applyFill="1" applyAlignment="1">
      <alignment horizontal="center" vertical="center"/>
    </xf>
    <xf numFmtId="0" fontId="76" fillId="8" borderId="5" xfId="0" applyFont="1" applyFill="1" applyBorder="1" applyAlignment="1">
      <alignment horizontal="left" vertical="center"/>
    </xf>
    <xf numFmtId="164" fontId="44" fillId="8" borderId="4" xfId="0" applyNumberFormat="1" applyFont="1" applyFill="1" applyBorder="1" applyAlignment="1">
      <alignment horizontal="left" vertical="center"/>
    </xf>
    <xf numFmtId="164" fontId="82" fillId="3" borderId="4" xfId="0" applyNumberFormat="1" applyFont="1" applyFill="1" applyBorder="1" applyAlignment="1">
      <alignment horizontal="left" vertical="center"/>
    </xf>
    <xf numFmtId="0" fontId="61" fillId="4" borderId="0" xfId="0" applyFont="1" applyFill="1" applyAlignment="1">
      <alignment horizontal="center" vertical="center"/>
    </xf>
    <xf numFmtId="0" fontId="122" fillId="2" borderId="0" xfId="0" applyFont="1" applyFill="1" applyAlignment="1">
      <alignment horizontal="left" vertical="center"/>
    </xf>
    <xf numFmtId="0" fontId="123" fillId="2" borderId="0" xfId="0" applyFont="1" applyFill="1" applyAlignment="1">
      <alignment horizontal="left" vertical="center"/>
    </xf>
    <xf numFmtId="0" fontId="123" fillId="0" borderId="0" xfId="0" applyFont="1" applyAlignment="1">
      <alignment horizontal="left" vertical="center"/>
    </xf>
    <xf numFmtId="0" fontId="125" fillId="2" borderId="0" xfId="0" applyFont="1" applyFill="1" applyAlignment="1">
      <alignment horizontal="left" vertical="center"/>
    </xf>
    <xf numFmtId="0" fontId="122" fillId="0" borderId="0" xfId="0" applyFont="1" applyAlignment="1">
      <alignment horizontal="left" vertical="center"/>
    </xf>
    <xf numFmtId="0" fontId="131" fillId="62" borderId="29" xfId="0" applyFont="1" applyFill="1" applyBorder="1" applyAlignment="1">
      <alignment horizontal="left" vertical="center"/>
    </xf>
    <xf numFmtId="0" fontId="134" fillId="56" borderId="30" xfId="0" applyFont="1" applyFill="1" applyBorder="1" applyAlignment="1">
      <alignment horizontal="center" vertical="center" wrapText="1"/>
    </xf>
    <xf numFmtId="0" fontId="135" fillId="65" borderId="31" xfId="0" applyFont="1" applyFill="1" applyBorder="1" applyAlignment="1">
      <alignment horizontal="center" vertical="center"/>
    </xf>
    <xf numFmtId="168" fontId="135" fillId="65" borderId="31" xfId="0" applyNumberFormat="1" applyFont="1" applyFill="1" applyBorder="1" applyAlignment="1">
      <alignment horizontal="center" vertical="center"/>
    </xf>
    <xf numFmtId="4" fontId="135" fillId="65" borderId="31" xfId="0" applyNumberFormat="1" applyFont="1" applyFill="1" applyBorder="1" applyAlignment="1">
      <alignment horizontal="center" vertical="center"/>
    </xf>
    <xf numFmtId="0" fontId="136" fillId="59" borderId="32" xfId="0" applyFont="1" applyFill="1" applyBorder="1" applyAlignment="1">
      <alignment horizontal="center" vertical="center"/>
    </xf>
    <xf numFmtId="0" fontId="136" fillId="59" borderId="32" xfId="0" applyFont="1" applyFill="1" applyBorder="1" applyAlignment="1">
      <alignment horizontal="left" vertical="center"/>
    </xf>
    <xf numFmtId="168" fontId="136" fillId="59" borderId="32" xfId="0" applyNumberFormat="1" applyFont="1" applyFill="1" applyBorder="1" applyAlignment="1">
      <alignment horizontal="left" vertical="center"/>
    </xf>
    <xf numFmtId="4" fontId="136" fillId="59" borderId="32" xfId="0" applyNumberFormat="1" applyFont="1" applyFill="1" applyBorder="1" applyAlignment="1">
      <alignment horizontal="center" vertical="center"/>
    </xf>
    <xf numFmtId="168" fontId="136" fillId="59" borderId="32" xfId="0" applyNumberFormat="1" applyFont="1" applyFill="1" applyBorder="1" applyAlignment="1">
      <alignment horizontal="center" vertical="center"/>
    </xf>
    <xf numFmtId="0" fontId="136" fillId="66" borderId="32" xfId="0" applyFont="1" applyFill="1" applyBorder="1" applyAlignment="1">
      <alignment horizontal="center" vertical="center"/>
    </xf>
    <xf numFmtId="0" fontId="136" fillId="66" borderId="32" xfId="0" applyFont="1" applyFill="1" applyBorder="1" applyAlignment="1">
      <alignment horizontal="left" vertical="center"/>
    </xf>
    <xf numFmtId="168" fontId="136" fillId="66" borderId="32" xfId="0" applyNumberFormat="1" applyFont="1" applyFill="1" applyBorder="1" applyAlignment="1">
      <alignment horizontal="left" vertical="center"/>
    </xf>
    <xf numFmtId="4" fontId="136" fillId="66" borderId="32" xfId="0" applyNumberFormat="1" applyFont="1" applyFill="1" applyBorder="1" applyAlignment="1">
      <alignment horizontal="center" vertical="center"/>
    </xf>
    <xf numFmtId="168" fontId="136" fillId="66" borderId="32" xfId="0" applyNumberFormat="1" applyFont="1" applyFill="1" applyBorder="1" applyAlignment="1">
      <alignment horizontal="center" vertical="center"/>
    </xf>
    <xf numFmtId="0" fontId="137" fillId="56" borderId="0" xfId="0" applyFont="1" applyFill="1" applyAlignment="1">
      <alignment horizontal="center" vertical="center"/>
    </xf>
    <xf numFmtId="0" fontId="138" fillId="0" borderId="0" xfId="0" applyFont="1" applyAlignment="1">
      <alignment horizontal="left" vertical="center"/>
    </xf>
    <xf numFmtId="170" fontId="44" fillId="62" borderId="29" xfId="0" applyNumberFormat="1" applyFont="1" applyFill="1" applyBorder="1" applyAlignment="1">
      <alignment horizontal="left" vertical="center"/>
    </xf>
    <xf numFmtId="0" fontId="50" fillId="59" borderId="4" xfId="0" applyFont="1" applyFill="1" applyBorder="1" applyAlignment="1">
      <alignment horizontal="center" vertical="center"/>
    </xf>
    <xf numFmtId="0" fontId="0" fillId="59" borderId="4" xfId="0" applyFill="1" applyBorder="1" applyAlignment="1">
      <alignment horizontal="left" vertical="center"/>
    </xf>
    <xf numFmtId="0" fontId="44" fillId="59" borderId="4" xfId="0" applyFont="1" applyFill="1" applyBorder="1" applyAlignment="1">
      <alignment horizontal="left" vertical="center"/>
    </xf>
    <xf numFmtId="169" fontId="75" fillId="59" borderId="4" xfId="0" applyNumberFormat="1" applyFont="1" applyFill="1" applyBorder="1" applyAlignment="1">
      <alignment horizontal="center" vertical="center"/>
    </xf>
    <xf numFmtId="164" fontId="76" fillId="59" borderId="4" xfId="0" applyNumberFormat="1" applyFont="1" applyFill="1" applyBorder="1" applyAlignment="1">
      <alignment horizontal="left" vertical="center"/>
    </xf>
    <xf numFmtId="0" fontId="76" fillId="59" borderId="4" xfId="0" applyFont="1" applyFill="1" applyBorder="1" applyAlignment="1">
      <alignment horizontal="center" vertical="center"/>
    </xf>
    <xf numFmtId="170" fontId="44" fillId="59" borderId="4" xfId="0" applyNumberFormat="1" applyFont="1" applyFill="1" applyBorder="1" applyAlignment="1">
      <alignment horizontal="center" vertical="center"/>
    </xf>
    <xf numFmtId="164" fontId="45" fillId="59" borderId="4" xfId="0" applyNumberFormat="1" applyFont="1" applyFill="1" applyBorder="1" applyAlignment="1">
      <alignment horizontal="center" vertical="center"/>
    </xf>
    <xf numFmtId="164" fontId="83" fillId="59" borderId="4" xfId="0" applyNumberFormat="1" applyFont="1" applyFill="1" applyBorder="1" applyAlignment="1">
      <alignment horizontal="center" vertical="center"/>
    </xf>
    <xf numFmtId="0" fontId="84" fillId="59" borderId="4" xfId="0" applyFont="1" applyFill="1" applyBorder="1" applyAlignment="1">
      <alignment horizontal="center" vertical="center"/>
    </xf>
    <xf numFmtId="0" fontId="44" fillId="59" borderId="4" xfId="0" applyFont="1" applyFill="1" applyBorder="1" applyAlignment="1">
      <alignment horizontal="center" vertical="center"/>
    </xf>
    <xf numFmtId="0" fontId="46" fillId="59" borderId="9" xfId="0" applyFont="1" applyFill="1" applyBorder="1" applyAlignment="1">
      <alignment horizontal="left" vertical="center"/>
    </xf>
    <xf numFmtId="0" fontId="50" fillId="66" borderId="4" xfId="0" applyFont="1" applyFill="1" applyBorder="1" applyAlignment="1">
      <alignment horizontal="center" vertical="center"/>
    </xf>
    <xf numFmtId="0" fontId="0" fillId="66" borderId="4" xfId="0" applyFill="1" applyBorder="1" applyAlignment="1">
      <alignment horizontal="left" vertical="center"/>
    </xf>
    <xf numFmtId="0" fontId="44" fillId="66" borderId="4" xfId="0" applyFont="1" applyFill="1" applyBorder="1" applyAlignment="1">
      <alignment horizontal="left" vertical="center"/>
    </xf>
    <xf numFmtId="169" fontId="75" fillId="66" borderId="4" xfId="0" applyNumberFormat="1" applyFont="1" applyFill="1" applyBorder="1" applyAlignment="1">
      <alignment horizontal="center" vertical="center"/>
    </xf>
    <xf numFmtId="164" fontId="76" fillId="66" borderId="4" xfId="0" applyNumberFormat="1" applyFont="1" applyFill="1" applyBorder="1" applyAlignment="1">
      <alignment horizontal="left" vertical="center"/>
    </xf>
    <xf numFmtId="0" fontId="76" fillId="66" borderId="4" xfId="0" applyFont="1" applyFill="1" applyBorder="1" applyAlignment="1">
      <alignment horizontal="center" vertical="center"/>
    </xf>
    <xf numFmtId="170" fontId="44" fillId="66" borderId="4" xfId="0" applyNumberFormat="1" applyFont="1" applyFill="1" applyBorder="1" applyAlignment="1">
      <alignment horizontal="center" vertical="center"/>
    </xf>
    <xf numFmtId="164" fontId="45" fillId="66" borderId="4" xfId="0" applyNumberFormat="1" applyFont="1" applyFill="1" applyBorder="1" applyAlignment="1">
      <alignment horizontal="center" vertical="center"/>
    </xf>
    <xf numFmtId="164" fontId="83" fillId="66" borderId="4" xfId="0" applyNumberFormat="1" applyFont="1" applyFill="1" applyBorder="1" applyAlignment="1">
      <alignment horizontal="center" vertical="center"/>
    </xf>
    <xf numFmtId="0" fontId="84" fillId="66" borderId="4" xfId="0" applyFont="1" applyFill="1" applyBorder="1" applyAlignment="1">
      <alignment horizontal="center" vertical="center"/>
    </xf>
    <xf numFmtId="0" fontId="44" fillId="66" borderId="4" xfId="0" applyFont="1" applyFill="1" applyBorder="1" applyAlignment="1">
      <alignment horizontal="center" vertical="center"/>
    </xf>
    <xf numFmtId="0" fontId="46" fillId="66" borderId="9" xfId="0" applyFont="1" applyFill="1" applyBorder="1" applyAlignment="1">
      <alignment horizontal="left" vertical="center"/>
    </xf>
    <xf numFmtId="0" fontId="0" fillId="59" borderId="0" xfId="0" applyFill="1" applyAlignment="1">
      <alignment horizontal="center" vertical="center"/>
    </xf>
    <xf numFmtId="0" fontId="0" fillId="59" borderId="0" xfId="0" applyFill="1" applyAlignment="1">
      <alignment horizontal="left" vertical="center"/>
    </xf>
    <xf numFmtId="170" fontId="0" fillId="59" borderId="0" xfId="0" applyNumberFormat="1" applyFill="1" applyAlignment="1">
      <alignment horizontal="center" vertical="center"/>
    </xf>
    <xf numFmtId="0" fontId="0" fillId="66" borderId="0" xfId="0" applyFill="1" applyAlignment="1">
      <alignment horizontal="center" vertical="center"/>
    </xf>
    <xf numFmtId="0" fontId="0" fillId="66" borderId="0" xfId="0" applyFill="1" applyAlignment="1">
      <alignment horizontal="left" vertical="center"/>
    </xf>
    <xf numFmtId="170" fontId="0" fillId="66" borderId="0" xfId="0" applyNumberFormat="1" applyFill="1" applyAlignment="1">
      <alignment horizontal="center" vertical="center"/>
    </xf>
    <xf numFmtId="0" fontId="139" fillId="18" borderId="0" xfId="0" applyFont="1" applyFill="1" applyAlignment="1">
      <alignment horizontal="center" vertical="center"/>
    </xf>
    <xf numFmtId="0" fontId="139" fillId="18" borderId="0" xfId="0" applyFont="1" applyFill="1" applyAlignment="1">
      <alignment horizontal="left" vertical="center" wrapText="1"/>
    </xf>
    <xf numFmtId="0" fontId="139" fillId="0" borderId="0" xfId="0" applyFont="1"/>
    <xf numFmtId="0" fontId="139" fillId="0" borderId="0" xfId="0" applyFont="1" applyAlignment="1">
      <alignment horizontal="left" vertical="top"/>
    </xf>
    <xf numFmtId="0" fontId="139" fillId="40" borderId="0" xfId="0" applyFont="1" applyFill="1" applyAlignment="1">
      <alignment horizontal="left" vertical="top"/>
    </xf>
    <xf numFmtId="0" fontId="133" fillId="56" borderId="0" xfId="0" applyFont="1" applyFill="1" applyAlignment="1">
      <alignment horizontal="center" vertical="center"/>
    </xf>
    <xf numFmtId="0" fontId="0" fillId="0" borderId="0" xfId="0"/>
    <xf numFmtId="0" fontId="130" fillId="56" borderId="0" xfId="0" applyFont="1" applyFill="1" applyAlignment="1">
      <alignment horizontal="left" vertical="center"/>
    </xf>
    <xf numFmtId="0" fontId="129" fillId="57" borderId="0" xfId="0" applyFont="1" applyFill="1" applyAlignment="1">
      <alignment horizontal="center" vertical="center"/>
    </xf>
    <xf numFmtId="0" fontId="132" fillId="0" borderId="0" xfId="0" applyFont="1" applyAlignment="1">
      <alignment horizontal="left" vertical="center"/>
    </xf>
    <xf numFmtId="0" fontId="128" fillId="56" borderId="0" xfId="0" applyFont="1" applyFill="1" applyAlignment="1">
      <alignment horizontal="center" vertical="center"/>
    </xf>
    <xf numFmtId="0" fontId="10" fillId="2" borderId="0" xfId="0" applyFont="1" applyFill="1" applyAlignment="1">
      <alignment horizontal="center" vertical="center"/>
    </xf>
    <xf numFmtId="0" fontId="1" fillId="2" borderId="0" xfId="0" applyFont="1" applyFill="1" applyAlignment="1">
      <alignment horizontal="center" vertical="center"/>
    </xf>
    <xf numFmtId="0" fontId="7" fillId="2" borderId="0" xfId="0" applyFont="1" applyFill="1" applyAlignment="1">
      <alignment horizontal="center" vertical="center" wrapText="1"/>
    </xf>
    <xf numFmtId="0" fontId="6" fillId="2" borderId="0" xfId="0" applyFont="1" applyFill="1" applyAlignment="1">
      <alignment horizontal="center" vertical="center"/>
    </xf>
    <xf numFmtId="0" fontId="8" fillId="5" borderId="0" xfId="0" applyFont="1" applyFill="1" applyAlignment="1">
      <alignment horizontal="center" vertical="center"/>
    </xf>
    <xf numFmtId="0" fontId="3" fillId="2" borderId="0" xfId="0" applyFont="1" applyFill="1" applyAlignment="1">
      <alignment horizontal="center" vertical="center"/>
    </xf>
    <xf numFmtId="0" fontId="4" fillId="2" borderId="0" xfId="0" applyFont="1" applyFill="1" applyAlignment="1">
      <alignment horizontal="center" vertical="center" wrapText="1"/>
    </xf>
    <xf numFmtId="0" fontId="5" fillId="2" borderId="0" xfId="0" applyFont="1" applyFill="1" applyAlignment="1">
      <alignment horizontal="center" vertical="center"/>
    </xf>
    <xf numFmtId="0" fontId="9" fillId="6" borderId="0" xfId="0" applyFont="1" applyFill="1" applyAlignment="1">
      <alignment horizontal="center" vertical="center"/>
    </xf>
    <xf numFmtId="0" fontId="2" fillId="2" borderId="0" xfId="0" applyFont="1" applyFill="1" applyAlignment="1">
      <alignment horizontal="center" vertical="center"/>
    </xf>
    <xf numFmtId="0" fontId="11" fillId="2" borderId="0" xfId="0" applyFont="1" applyFill="1" applyAlignment="1">
      <alignment horizontal="left" vertical="center" wrapText="1"/>
    </xf>
    <xf numFmtId="0" fontId="12" fillId="2" borderId="0" xfId="0" applyFont="1" applyFill="1" applyAlignment="1">
      <alignment horizontal="center" vertical="center"/>
    </xf>
    <xf numFmtId="0" fontId="13" fillId="6" borderId="0" xfId="0" applyFont="1" applyFill="1" applyAlignment="1">
      <alignment horizontal="center" vertical="center" wrapText="1"/>
    </xf>
    <xf numFmtId="0" fontId="8" fillId="2" borderId="0" xfId="0" applyFont="1" applyFill="1" applyAlignment="1">
      <alignment horizontal="center" vertical="center"/>
    </xf>
    <xf numFmtId="0" fontId="14" fillId="2" borderId="0" xfId="0" applyFont="1" applyFill="1" applyAlignment="1">
      <alignment horizontal="center" vertical="center"/>
    </xf>
    <xf numFmtId="0" fontId="7" fillId="8" borderId="0" xfId="0" applyFont="1" applyFill="1" applyAlignment="1">
      <alignment horizontal="left" vertical="center" wrapText="1"/>
    </xf>
    <xf numFmtId="0" fontId="22" fillId="0" borderId="2" xfId="0" applyFont="1" applyBorder="1"/>
    <xf numFmtId="0" fontId="0" fillId="0" borderId="19" xfId="0" applyBorder="1"/>
    <xf numFmtId="0" fontId="0" fillId="0" borderId="20" xfId="0" applyBorder="1"/>
    <xf numFmtId="0" fontId="16" fillId="10" borderId="0" xfId="0" applyFont="1" applyFill="1" applyAlignment="1">
      <alignment horizontal="center" vertical="center" wrapText="1"/>
    </xf>
    <xf numFmtId="0" fontId="15" fillId="9" borderId="0" xfId="0" applyFont="1" applyFill="1" applyAlignment="1">
      <alignment horizontal="center" vertical="center" wrapText="1"/>
    </xf>
    <xf numFmtId="0" fontId="20" fillId="11" borderId="0" xfId="0" applyFont="1" applyFill="1" applyAlignment="1">
      <alignment horizontal="left" vertical="center" wrapText="1"/>
    </xf>
    <xf numFmtId="0" fontId="17" fillId="16" borderId="0" xfId="0" applyFont="1" applyFill="1" applyAlignment="1">
      <alignment horizontal="left" vertical="center" wrapText="1"/>
    </xf>
    <xf numFmtId="0" fontId="17" fillId="17" borderId="0" xfId="0" applyFont="1" applyFill="1" applyAlignment="1">
      <alignment horizontal="left" vertical="center" wrapText="1"/>
    </xf>
    <xf numFmtId="0" fontId="17" fillId="15" borderId="0" xfId="0" applyFont="1" applyFill="1" applyAlignment="1">
      <alignment horizontal="left" vertical="center" wrapText="1"/>
    </xf>
    <xf numFmtId="0" fontId="23" fillId="9" borderId="0" xfId="0" applyFont="1" applyFill="1" applyAlignment="1">
      <alignment horizontal="center" vertical="center" wrapText="1"/>
    </xf>
    <xf numFmtId="0" fontId="17" fillId="11" borderId="0" xfId="0" applyFont="1" applyFill="1" applyAlignment="1">
      <alignment horizontal="left" vertical="center" wrapText="1"/>
    </xf>
    <xf numFmtId="0" fontId="17" fillId="15" borderId="0" xfId="0" applyFont="1" applyFill="1" applyAlignment="1">
      <alignment horizontal="center" vertical="center" wrapText="1"/>
    </xf>
    <xf numFmtId="0" fontId="31" fillId="15" borderId="0" xfId="0" applyFont="1" applyFill="1" applyAlignment="1">
      <alignment horizontal="center" vertical="center" wrapText="1"/>
    </xf>
    <xf numFmtId="0" fontId="17" fillId="16" borderId="0" xfId="0" applyFont="1" applyFill="1" applyAlignment="1">
      <alignment horizontal="center" vertical="center" wrapText="1"/>
    </xf>
    <xf numFmtId="4" fontId="32" fillId="12" borderId="3" xfId="0" applyNumberFormat="1" applyFont="1" applyFill="1" applyBorder="1" applyAlignment="1">
      <alignment horizontal="center" vertical="center" wrapText="1"/>
    </xf>
    <xf numFmtId="0" fontId="0" fillId="0" borderId="21" xfId="0" applyBorder="1"/>
    <xf numFmtId="1" fontId="15" fillId="11" borderId="0" xfId="0" applyNumberFormat="1" applyFont="1" applyFill="1" applyAlignment="1">
      <alignment horizontal="center" vertical="center" wrapText="1"/>
    </xf>
    <xf numFmtId="0" fontId="19" fillId="0" borderId="0" xfId="0" applyFont="1" applyAlignment="1">
      <alignment horizontal="left" vertical="center" wrapText="1"/>
    </xf>
    <xf numFmtId="0" fontId="17" fillId="17" borderId="0" xfId="0" applyFont="1" applyFill="1" applyAlignment="1">
      <alignment horizontal="center" vertical="center" wrapText="1"/>
    </xf>
    <xf numFmtId="0" fontId="29" fillId="9" borderId="0" xfId="0" applyFont="1" applyFill="1" applyAlignment="1">
      <alignment horizontal="center" vertical="center" wrapText="1"/>
    </xf>
    <xf numFmtId="0" fontId="17" fillId="11" borderId="0" xfId="0" applyFont="1" applyFill="1" applyAlignment="1">
      <alignment horizontal="center" vertical="center" wrapText="1"/>
    </xf>
    <xf numFmtId="0" fontId="34" fillId="4" borderId="0" xfId="0" applyFont="1" applyFill="1" applyAlignment="1">
      <alignment horizontal="center" vertical="center"/>
    </xf>
    <xf numFmtId="0" fontId="17" fillId="22" borderId="0" xfId="0" applyFont="1" applyFill="1" applyAlignment="1">
      <alignment horizontal="center" vertical="center" wrapText="1"/>
    </xf>
    <xf numFmtId="0" fontId="33" fillId="18" borderId="0" xfId="0" applyFont="1" applyFill="1" applyAlignment="1">
      <alignment horizontal="center" vertical="center"/>
    </xf>
    <xf numFmtId="164" fontId="47" fillId="8" borderId="7" xfId="0" applyNumberFormat="1" applyFont="1" applyFill="1" applyBorder="1" applyAlignment="1">
      <alignment horizontal="center" vertical="center"/>
    </xf>
    <xf numFmtId="0" fontId="0" fillId="0" borderId="24" xfId="0" applyBorder="1"/>
    <xf numFmtId="0" fontId="35" fillId="21" borderId="0" xfId="0" applyFont="1" applyFill="1" applyAlignment="1">
      <alignment horizontal="center" vertical="center"/>
    </xf>
    <xf numFmtId="164" fontId="36" fillId="8" borderId="0" xfId="0" applyNumberFormat="1" applyFont="1" applyFill="1" applyAlignment="1">
      <alignment horizontal="center" vertical="center"/>
    </xf>
    <xf numFmtId="0" fontId="50" fillId="2" borderId="0" xfId="0" applyFont="1" applyFill="1"/>
    <xf numFmtId="3" fontId="39" fillId="8" borderId="0" xfId="0" applyNumberFormat="1" applyFont="1" applyFill="1" applyAlignment="1">
      <alignment horizontal="center" vertical="center"/>
    </xf>
    <xf numFmtId="0" fontId="46" fillId="8" borderId="6" xfId="0" applyFont="1" applyFill="1" applyBorder="1" applyAlignment="1">
      <alignment horizontal="left" vertical="top" wrapText="1"/>
    </xf>
    <xf numFmtId="0" fontId="0" fillId="0" borderId="22" xfId="0" applyBorder="1"/>
    <xf numFmtId="0" fontId="0" fillId="0" borderId="23" xfId="0" applyBorder="1"/>
    <xf numFmtId="0" fontId="47" fillId="8" borderId="7" xfId="0" applyFont="1" applyFill="1" applyBorder="1" applyAlignment="1">
      <alignment horizontal="center" vertical="center"/>
    </xf>
    <xf numFmtId="3" fontId="40" fillId="8" borderId="0" xfId="0" applyNumberFormat="1" applyFont="1" applyFill="1" applyAlignment="1">
      <alignment horizontal="center" vertical="center"/>
    </xf>
    <xf numFmtId="0" fontId="42" fillId="18" borderId="0" xfId="0" applyFont="1" applyFill="1" applyAlignment="1">
      <alignment horizontal="center" vertical="center"/>
    </xf>
    <xf numFmtId="0" fontId="45" fillId="0" borderId="7" xfId="0" applyFont="1" applyBorder="1" applyAlignment="1">
      <alignment horizontal="left" vertical="center"/>
    </xf>
    <xf numFmtId="0" fontId="35" fillId="5" borderId="0" xfId="0" applyFont="1" applyFill="1" applyAlignment="1">
      <alignment horizontal="center" vertical="center"/>
    </xf>
    <xf numFmtId="0" fontId="35" fillId="4" borderId="0" xfId="0" applyFont="1" applyFill="1" applyAlignment="1">
      <alignment horizontal="center" vertical="center"/>
    </xf>
    <xf numFmtId="0" fontId="35" fillId="20" borderId="0" xfId="0" applyFont="1" applyFill="1" applyAlignment="1">
      <alignment horizontal="center" vertical="center"/>
    </xf>
    <xf numFmtId="0" fontId="48" fillId="18" borderId="0" xfId="0" applyFont="1" applyFill="1"/>
    <xf numFmtId="0" fontId="42" fillId="7" borderId="0" xfId="0" applyFont="1" applyFill="1" applyAlignment="1">
      <alignment horizontal="center" vertical="center"/>
    </xf>
    <xf numFmtId="0" fontId="35" fillId="19" borderId="0" xfId="0" applyFont="1" applyFill="1" applyAlignment="1">
      <alignment horizontal="center" vertical="center"/>
    </xf>
    <xf numFmtId="0" fontId="35" fillId="7" borderId="0" xfId="0" applyFont="1" applyFill="1" applyAlignment="1">
      <alignment horizontal="center" vertical="center"/>
    </xf>
    <xf numFmtId="164" fontId="41" fillId="8" borderId="0" xfId="0" applyNumberFormat="1" applyFont="1" applyFill="1" applyAlignment="1">
      <alignment horizontal="center" vertical="center"/>
    </xf>
    <xf numFmtId="164" fontId="37" fillId="8" borderId="0" xfId="0" applyNumberFormat="1" applyFont="1" applyFill="1" applyAlignment="1">
      <alignment horizontal="center" vertical="center"/>
    </xf>
    <xf numFmtId="164" fontId="38" fillId="8" borderId="0" xfId="0" applyNumberFormat="1" applyFont="1" applyFill="1" applyAlignment="1">
      <alignment horizontal="center" vertical="center"/>
    </xf>
    <xf numFmtId="168" fontId="46" fillId="8" borderId="10" xfId="0" applyNumberFormat="1" applyFont="1" applyFill="1" applyBorder="1" applyAlignment="1">
      <alignment horizontal="center" vertical="center"/>
    </xf>
    <xf numFmtId="0" fontId="0" fillId="0" borderId="25" xfId="0" applyBorder="1"/>
    <xf numFmtId="0" fontId="127" fillId="64" borderId="11" xfId="0" applyFont="1" applyFill="1" applyBorder="1" applyAlignment="1">
      <alignment horizontal="center" vertical="center"/>
    </xf>
    <xf numFmtId="0" fontId="0" fillId="0" borderId="12" xfId="0" applyBorder="1"/>
    <xf numFmtId="0" fontId="59" fillId="2" borderId="0" xfId="0" applyFont="1" applyFill="1"/>
    <xf numFmtId="0" fontId="50" fillId="8" borderId="8" xfId="0" applyFont="1" applyFill="1" applyBorder="1" applyAlignment="1">
      <alignment horizontal="left" vertical="center" wrapText="1"/>
    </xf>
    <xf numFmtId="0" fontId="0" fillId="0" borderId="14" xfId="0" applyBorder="1"/>
    <xf numFmtId="0" fontId="0" fillId="2" borderId="10" xfId="0" applyFill="1" applyBorder="1"/>
    <xf numFmtId="0" fontId="119" fillId="57" borderId="0" xfId="0" applyFont="1" applyFill="1" applyAlignment="1">
      <alignment horizontal="center" vertical="center"/>
    </xf>
    <xf numFmtId="0" fontId="65" fillId="28" borderId="10" xfId="0" applyFont="1" applyFill="1" applyBorder="1" applyAlignment="1">
      <alignment horizontal="center" vertical="center"/>
    </xf>
    <xf numFmtId="0" fontId="48" fillId="18" borderId="0" xfId="0" applyFont="1" applyFill="1" applyAlignment="1">
      <alignment horizontal="left" vertical="center"/>
    </xf>
    <xf numFmtId="0" fontId="120" fillId="62" borderId="0" xfId="0" applyFont="1" applyFill="1" applyAlignment="1">
      <alignment horizontal="center" vertical="center" wrapText="1"/>
    </xf>
    <xf numFmtId="0" fontId="121" fillId="60" borderId="8" xfId="0" applyFont="1" applyFill="1" applyBorder="1" applyAlignment="1">
      <alignment horizontal="left" vertical="center"/>
    </xf>
    <xf numFmtId="0" fontId="121" fillId="59" borderId="8" xfId="0" applyFont="1" applyFill="1" applyBorder="1" applyAlignment="1">
      <alignment horizontal="left" vertical="center"/>
    </xf>
    <xf numFmtId="0" fontId="118" fillId="56" borderId="0" xfId="0" applyFont="1" applyFill="1" applyAlignment="1">
      <alignment horizontal="center" vertical="center"/>
    </xf>
    <xf numFmtId="0" fontId="46" fillId="8" borderId="10" xfId="0" applyFont="1" applyFill="1" applyBorder="1" applyAlignment="1">
      <alignment horizontal="center" vertical="center"/>
    </xf>
    <xf numFmtId="167" fontId="121" fillId="59" borderId="9" xfId="0" applyNumberFormat="1" applyFont="1" applyFill="1" applyBorder="1" applyAlignment="1">
      <alignment horizontal="left" vertical="center"/>
    </xf>
    <xf numFmtId="0" fontId="0" fillId="0" borderId="28" xfId="0" applyBorder="1"/>
    <xf numFmtId="0" fontId="35" fillId="18" borderId="0" xfId="0" applyFont="1" applyFill="1" applyAlignment="1">
      <alignment horizontal="center" vertical="center"/>
    </xf>
    <xf numFmtId="168" fontId="121" fillId="59" borderId="8" xfId="0" applyNumberFormat="1" applyFont="1" applyFill="1" applyBorder="1" applyAlignment="1">
      <alignment horizontal="left" vertical="center"/>
    </xf>
    <xf numFmtId="0" fontId="126" fillId="63" borderId="0" xfId="0" applyFont="1" applyFill="1" applyAlignment="1">
      <alignment horizontal="center" vertical="center"/>
    </xf>
    <xf numFmtId="0" fontId="120" fillId="58" borderId="0" xfId="0" applyFont="1" applyFill="1" applyAlignment="1">
      <alignment horizontal="center" vertical="center"/>
    </xf>
    <xf numFmtId="0" fontId="124" fillId="61" borderId="29" xfId="0" applyFont="1" applyFill="1" applyBorder="1" applyAlignment="1">
      <alignment horizontal="center" vertical="center"/>
    </xf>
    <xf numFmtId="0" fontId="64" fillId="8" borderId="0" xfId="0" applyFont="1" applyFill="1" applyAlignment="1">
      <alignment horizontal="left" vertical="center" wrapText="1"/>
    </xf>
    <xf numFmtId="0" fontId="57" fillId="5" borderId="0" xfId="0" applyFont="1" applyFill="1" applyAlignment="1">
      <alignment horizontal="center" vertical="center"/>
    </xf>
    <xf numFmtId="0" fontId="43" fillId="4" borderId="0" xfId="0" applyFont="1" applyFill="1" applyAlignment="1">
      <alignment horizontal="center" vertical="center"/>
    </xf>
    <xf numFmtId="0" fontId="56" fillId="18" borderId="0" xfId="0" applyFont="1" applyFill="1" applyAlignment="1">
      <alignment horizontal="center" vertical="center"/>
    </xf>
    <xf numFmtId="0" fontId="61" fillId="7" borderId="0" xfId="0" applyFont="1" applyFill="1" applyAlignment="1">
      <alignment horizontal="center" vertical="center"/>
    </xf>
    <xf numFmtId="3" fontId="72" fillId="8" borderId="0" xfId="0" applyNumberFormat="1" applyFont="1" applyFill="1" applyAlignment="1">
      <alignment horizontal="center" vertical="center"/>
    </xf>
    <xf numFmtId="49" fontId="73" fillId="8" borderId="0" xfId="0" applyNumberFormat="1" applyFont="1" applyFill="1" applyAlignment="1">
      <alignment horizontal="center" vertical="center"/>
    </xf>
    <xf numFmtId="164" fontId="71" fillId="8" borderId="0" xfId="0" applyNumberFormat="1" applyFont="1" applyFill="1" applyAlignment="1">
      <alignment horizontal="center" vertical="center"/>
    </xf>
    <xf numFmtId="0" fontId="43" fillId="19" borderId="0" xfId="0" applyFont="1" applyFill="1" applyAlignment="1">
      <alignment horizontal="center" vertical="center"/>
    </xf>
    <xf numFmtId="164" fontId="77" fillId="8" borderId="0" xfId="0" applyNumberFormat="1" applyFont="1" applyFill="1" applyAlignment="1">
      <alignment horizontal="center" vertical="center"/>
    </xf>
    <xf numFmtId="0" fontId="57" fillId="19" borderId="0" xfId="0" applyFont="1" applyFill="1" applyAlignment="1">
      <alignment horizontal="center" vertical="center"/>
    </xf>
    <xf numFmtId="0" fontId="56" fillId="33" borderId="0" xfId="0" applyFont="1" applyFill="1" applyAlignment="1">
      <alignment horizontal="center" vertical="center"/>
    </xf>
    <xf numFmtId="0" fontId="43" fillId="20" borderId="0" xfId="0" applyFont="1" applyFill="1" applyAlignment="1">
      <alignment horizontal="center" vertical="center"/>
    </xf>
    <xf numFmtId="3" fontId="71" fillId="8" borderId="0" xfId="0" applyNumberFormat="1" applyFont="1" applyFill="1" applyAlignment="1">
      <alignment horizontal="center" vertical="center"/>
    </xf>
    <xf numFmtId="0" fontId="81" fillId="33" borderId="0" xfId="0" applyFont="1" applyFill="1" applyAlignment="1">
      <alignment horizontal="center" vertical="center"/>
    </xf>
    <xf numFmtId="0" fontId="80" fillId="20" borderId="0" xfId="0" applyFont="1" applyFill="1" applyAlignment="1">
      <alignment horizontal="center" vertical="center"/>
    </xf>
    <xf numFmtId="0" fontId="86" fillId="39" borderId="0" xfId="0" applyFont="1" applyFill="1"/>
    <xf numFmtId="0" fontId="61" fillId="38" borderId="0" xfId="0" applyFont="1" applyFill="1" applyAlignment="1">
      <alignment horizontal="center" vertical="center"/>
    </xf>
    <xf numFmtId="0" fontId="57" fillId="7" borderId="0" xfId="0" applyFont="1" applyFill="1" applyAlignment="1">
      <alignment horizontal="center" vertical="center"/>
    </xf>
    <xf numFmtId="0" fontId="80" fillId="4" borderId="0" xfId="0" applyFont="1" applyFill="1" applyAlignment="1">
      <alignment horizontal="center" vertical="center"/>
    </xf>
    <xf numFmtId="164" fontId="87" fillId="8" borderId="0" xfId="0" applyNumberFormat="1" applyFont="1" applyFill="1" applyAlignment="1">
      <alignment horizontal="center" vertical="center"/>
    </xf>
    <xf numFmtId="3" fontId="90" fillId="8" borderId="0" xfId="0" applyNumberFormat="1" applyFont="1" applyFill="1" applyAlignment="1">
      <alignment horizontal="center" vertical="center"/>
    </xf>
    <xf numFmtId="164" fontId="89" fillId="8" borderId="0" xfId="0" applyNumberFormat="1" applyFont="1" applyFill="1" applyAlignment="1">
      <alignment horizontal="center" vertical="center"/>
    </xf>
    <xf numFmtId="0" fontId="61" fillId="18" borderId="0" xfId="0" applyFont="1" applyFill="1" applyAlignment="1">
      <alignment horizontal="center" vertical="center"/>
    </xf>
    <xf numFmtId="0" fontId="82" fillId="8" borderId="0" xfId="0" applyFont="1" applyFill="1" applyAlignment="1">
      <alignment horizontal="center" vertical="center"/>
    </xf>
    <xf numFmtId="164" fontId="88" fillId="8" borderId="0" xfId="0" applyNumberFormat="1" applyFont="1" applyFill="1" applyAlignment="1">
      <alignment horizontal="center" vertical="center"/>
    </xf>
    <xf numFmtId="0" fontId="80" fillId="21" borderId="0" xfId="0" applyFont="1" applyFill="1" applyAlignment="1">
      <alignment horizontal="center" vertical="center"/>
    </xf>
    <xf numFmtId="0" fontId="46" fillId="8" borderId="0" xfId="0" applyFont="1" applyFill="1" applyAlignment="1">
      <alignment horizontal="center" vertical="center"/>
    </xf>
    <xf numFmtId="0" fontId="92" fillId="18" borderId="0" xfId="0" applyFont="1" applyFill="1" applyAlignment="1">
      <alignment horizontal="center" vertical="center"/>
    </xf>
    <xf numFmtId="0" fontId="60" fillId="30" borderId="17" xfId="0" applyFont="1" applyFill="1" applyBorder="1" applyAlignment="1">
      <alignment horizontal="left" vertical="center"/>
    </xf>
    <xf numFmtId="0" fontId="0" fillId="0" borderId="26" xfId="0" applyBorder="1"/>
    <xf numFmtId="0" fontId="97" fillId="0" borderId="0" xfId="0" applyFont="1" applyAlignment="1">
      <alignment horizontal="left" vertical="center"/>
    </xf>
    <xf numFmtId="4" fontId="79" fillId="8" borderId="18" xfId="0" applyNumberFormat="1" applyFont="1" applyFill="1" applyBorder="1" applyAlignment="1">
      <alignment horizontal="center" vertical="center"/>
    </xf>
    <xf numFmtId="0" fontId="0" fillId="0" borderId="27" xfId="0" applyBorder="1"/>
    <xf numFmtId="0" fontId="95" fillId="4" borderId="0" xfId="0" applyFont="1" applyFill="1" applyAlignment="1">
      <alignment horizontal="center" vertical="center"/>
    </xf>
    <xf numFmtId="0" fontId="66" fillId="30" borderId="18" xfId="0" applyFont="1" applyFill="1" applyBorder="1" applyAlignment="1">
      <alignment horizontal="left" vertical="center"/>
    </xf>
    <xf numFmtId="0" fontId="93" fillId="4" borderId="0" xfId="0" applyFont="1" applyFill="1" applyAlignment="1">
      <alignment horizontal="center" vertical="center"/>
    </xf>
    <xf numFmtId="0" fontId="61" fillId="33" borderId="0" xfId="0" applyFont="1" applyFill="1" applyAlignment="1">
      <alignment horizontal="center" vertical="center"/>
    </xf>
    <xf numFmtId="0" fontId="58" fillId="18" borderId="0" xfId="0" applyFont="1" applyFill="1" applyAlignment="1">
      <alignment horizontal="center" vertical="center"/>
    </xf>
    <xf numFmtId="0" fontId="66" fillId="0" borderId="0" xfId="0" applyFont="1" applyAlignment="1">
      <alignment horizontal="left" vertical="center"/>
    </xf>
    <xf numFmtId="0" fontId="66" fillId="8" borderId="18" xfId="0" applyFont="1" applyFill="1" applyBorder="1" applyAlignment="1">
      <alignment horizontal="left" vertical="center"/>
    </xf>
    <xf numFmtId="0" fontId="99" fillId="0" borderId="0" xfId="0" applyFont="1" applyAlignment="1">
      <alignment horizontal="left" vertical="center"/>
    </xf>
    <xf numFmtId="0" fontId="43" fillId="4" borderId="0" xfId="0" applyFont="1" applyFill="1" applyAlignment="1">
      <alignment horizontal="left" vertical="center"/>
    </xf>
    <xf numFmtId="0" fontId="43" fillId="33" borderId="0" xfId="0" applyFont="1" applyFill="1" applyAlignment="1">
      <alignment horizontal="left" vertical="center"/>
    </xf>
    <xf numFmtId="0" fontId="98" fillId="35" borderId="0" xfId="0" applyFont="1" applyFill="1" applyAlignment="1">
      <alignment horizontal="left" vertical="center"/>
    </xf>
    <xf numFmtId="0" fontId="98" fillId="40" borderId="0" xfId="0" applyFont="1" applyFill="1" applyAlignment="1">
      <alignment horizontal="left" vertical="center"/>
    </xf>
    <xf numFmtId="0" fontId="80" fillId="5" borderId="18" xfId="0" applyFont="1" applyFill="1" applyBorder="1" applyAlignment="1">
      <alignment horizontal="center" vertical="center"/>
    </xf>
    <xf numFmtId="0" fontId="61" fillId="5" borderId="0" xfId="0" applyFont="1" applyFill="1" applyAlignment="1">
      <alignment horizontal="center" vertical="center"/>
    </xf>
    <xf numFmtId="0" fontId="80" fillId="4" borderId="18" xfId="0" applyFont="1" applyFill="1" applyBorder="1" applyAlignment="1">
      <alignment horizontal="center" vertical="center"/>
    </xf>
    <xf numFmtId="0" fontId="43" fillId="5" borderId="0" xfId="0" applyFont="1" applyFill="1" applyAlignment="1">
      <alignment horizontal="left" vertical="center"/>
    </xf>
    <xf numFmtId="0" fontId="90" fillId="3" borderId="18" xfId="0" applyFont="1" applyFill="1" applyBorder="1" applyAlignment="1">
      <alignment horizontal="center" vertical="center"/>
    </xf>
    <xf numFmtId="0" fontId="57" fillId="4" borderId="0" xfId="0" applyFont="1" applyFill="1" applyAlignment="1">
      <alignment horizontal="center" vertical="center"/>
    </xf>
    <xf numFmtId="0" fontId="100" fillId="33" borderId="0" xfId="0" applyFont="1" applyFill="1" applyAlignment="1">
      <alignment horizontal="center" vertical="center"/>
    </xf>
    <xf numFmtId="0" fontId="61" fillId="31" borderId="0" xfId="0" applyFont="1" applyFill="1" applyAlignment="1">
      <alignment horizontal="center" vertical="center"/>
    </xf>
    <xf numFmtId="0" fontId="80" fillId="33" borderId="0" xfId="0" applyFont="1" applyFill="1" applyAlignment="1">
      <alignment horizontal="center" vertical="center"/>
    </xf>
    <xf numFmtId="0" fontId="17" fillId="45" borderId="0" xfId="0" applyFont="1" applyFill="1" applyAlignment="1">
      <alignment horizontal="center" vertical="center" wrapText="1"/>
    </xf>
    <xf numFmtId="0" fontId="17" fillId="49" borderId="0" xfId="0" applyFont="1" applyFill="1" applyAlignment="1">
      <alignment horizontal="center" vertical="center" wrapText="1"/>
    </xf>
    <xf numFmtId="0" fontId="29" fillId="22" borderId="0" xfId="0" applyFont="1" applyFill="1" applyAlignment="1">
      <alignment horizontal="center" vertical="center" wrapText="1"/>
    </xf>
    <xf numFmtId="0" fontId="17" fillId="42" borderId="0" xfId="0" applyFont="1" applyFill="1" applyAlignment="1">
      <alignment horizontal="center" vertical="center" wrapText="1"/>
    </xf>
    <xf numFmtId="0" fontId="104" fillId="41" borderId="0" xfId="0" applyFont="1" applyFill="1" applyAlignment="1">
      <alignment horizontal="center" vertical="center" wrapText="1"/>
    </xf>
    <xf numFmtId="0" fontId="112" fillId="55" borderId="0" xfId="0" applyFont="1" applyFill="1" applyAlignment="1">
      <alignment horizontal="center" vertical="center" wrapText="1"/>
    </xf>
    <xf numFmtId="0" fontId="111" fillId="54" borderId="0" xfId="0" applyFont="1" applyFill="1" applyAlignment="1">
      <alignment horizontal="center" vertical="center" wrapText="1"/>
    </xf>
    <xf numFmtId="0" fontId="117" fillId="0" borderId="0" xfId="0" applyFont="1" applyAlignment="1">
      <alignment horizontal="center" vertical="center" wrapText="1"/>
    </xf>
    <xf numFmtId="0" fontId="115" fillId="42" borderId="0" xfId="0" applyFont="1" applyFill="1" applyAlignment="1">
      <alignment horizontal="center" vertical="center" wrapText="1"/>
    </xf>
  </cellXfs>
  <cellStyles count="1">
    <cellStyle name="Normal" xfId="0" builtinId="0"/>
  </cellStyles>
  <dxfs count="108">
    <dxf>
      <font>
        <b/>
        <sz val="10"/>
        <color rgb="FFC0392B"/>
        <name val="Arial"/>
        <charset val="1"/>
      </font>
      <fill>
        <patternFill>
          <bgColor rgb="FFFADBD8"/>
        </patternFill>
      </fill>
    </dxf>
    <dxf>
      <font>
        <b/>
        <sz val="10"/>
        <color rgb="FF27AE60"/>
        <name val="Arial"/>
        <charset val="1"/>
      </font>
      <fill>
        <patternFill>
          <bgColor rgb="FFD5F5E3"/>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ont>
        <b/>
        <color rgb="FF1A252F"/>
        <name val="Calibri"/>
      </font>
      <fill>
        <patternFill patternType="solid">
          <fgColor rgb="FFFFD700"/>
          <bgColor rgb="FFFFD700"/>
        </patternFill>
      </fill>
    </dxf>
    <dxf>
      <font>
        <sz val="9"/>
        <color rgb="FFBBBBBB"/>
        <name val="Calibri"/>
        <charset val="1"/>
      </font>
      <fill>
        <patternFill>
          <bgColor rgb="FFF8F8F8"/>
        </patternFill>
      </fill>
    </dxf>
    <dxf>
      <font>
        <b/>
        <color rgb="FF1A252F"/>
      </font>
      <fill>
        <patternFill>
          <bgColor rgb="FFF6AE2D"/>
        </patternFill>
      </fill>
    </dxf>
  </dxfs>
  <tableStyles count="0" defaultTableStyle="TableStyleMedium2" defaultPivotStyle="PivotStyleLight16"/>
  <colors>
    <indexedColors>
      <rgbColor rgb="FF000000"/>
      <rgbColor rgb="FFFFFFFF"/>
      <rgbColor rgb="FFC80D0C"/>
      <rgbColor rgb="FFF5EEF8"/>
      <rgbColor rgb="FF0000FF"/>
      <rgbColor rgb="FFFFF3E0"/>
      <rgbColor rgb="FFFEF2F2"/>
      <rgbColor rgb="FFEBF5FB"/>
      <rgbColor rgb="FF7A1A1A"/>
      <rgbColor rgb="FF1E3A5F"/>
      <rgbColor rgb="FF1A237E"/>
      <rgbColor rgb="FFF3E5F5"/>
      <rgbColor rgb="FF722392"/>
      <rgbColor rgb="FF00695C"/>
      <rgbColor rgb="FFBFBFBF"/>
      <rgbColor rgb="FF838E8F"/>
      <rgbColor rgb="FFD0D3D4"/>
      <rgbColor rgb="FF8E44AD"/>
      <rgbColor rgb="FFFFF9C4"/>
      <rgbColor rgb="FFE3F2FD"/>
      <rgbColor rgb="FF372098"/>
      <rgbColor rgb="FFE67E22"/>
      <rgbColor rgb="FF2557A3"/>
      <rgbColor rgb="FFBDD7EE"/>
      <rgbColor rgb="FF1F3864"/>
      <rgbColor rgb="FFF8F9FA"/>
      <rgbColor rgb="FFFFFDE7"/>
      <rgbColor rgb="FFF0FFF4"/>
      <rgbColor rgb="FFFEF9E7"/>
      <rgbColor rgb="FFFAFAFA"/>
      <rgbColor rgb="FF217959"/>
      <rgbColor rgb="FFFDFEFE"/>
      <rgbColor rgb="FFF2F2F3"/>
      <rgbColor rgb="FFE8F5E9"/>
      <rgbColor rgb="FFD5F5E3"/>
      <rgbColor rgb="FFFFF3CD"/>
      <rgbColor rgb="FFBDC3C7"/>
      <rgbColor rgb="FFCCCCCC"/>
      <rgbColor rgb="FFBDBFC0"/>
      <rgbColor rgb="FFFADCD8"/>
      <rgbColor rgb="FF2E86AB"/>
      <rgbColor rgb="FF1ABC9C"/>
      <rgbColor rgb="FFE8EAF6"/>
      <rgbColor rgb="FFFFD700"/>
      <rgbColor rgb="FFF6AE2D"/>
      <rgbColor rgb="FFD85706"/>
      <rgbColor rgb="FF5A5F65"/>
      <rgbColor rgb="FFDCDDDF"/>
      <rgbColor rgb="FF0C3F5A"/>
      <rgbColor rgb="FF27AE60"/>
      <rgbColor rgb="FF0A203A"/>
      <rgbColor rgb="FF375623"/>
      <rgbColor rgb="FFC0392B"/>
      <rgbColor rgb="FFFFECEE"/>
      <rgbColor rgb="FF283593"/>
      <rgbColor rgb="FF1A252F"/>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Agent Savings vs Withdrawals Today</a:t>
            </a:r>
          </a:p>
        </c:rich>
      </c:tx>
      <c:overlay val="0"/>
      <c:spPr>
        <a:noFill/>
        <a:ln w="0">
          <a:noFill/>
          <a:prstDash val="solid"/>
        </a:ln>
      </c:spPr>
    </c:title>
    <c:autoTitleDeleted val="0"/>
    <c:plotArea>
      <c:layout/>
      <c:barChart>
        <c:barDir val="col"/>
        <c:grouping val="clustered"/>
        <c:varyColors val="0"/>
        <c:ser>
          <c:idx val="0"/>
          <c:order val="0"/>
          <c:tx>
            <c:strRef>
              <c:f>Daily_Balancing!$B$3</c:f>
              <c:strCache>
                <c:ptCount val="1"/>
                <c:pt idx="0">
                  <c:v>Savings (GHC)</c:v>
                </c:pt>
              </c:strCache>
            </c:strRef>
          </c:tx>
          <c:spPr>
            <a:solidFill>
              <a:srgbClr val="27AE60"/>
            </a:solidFill>
            <a:ln w="9360">
              <a:solidFill>
                <a:srgbClr val="F9F9F9"/>
              </a:solidFill>
              <a:prstDash val="solid"/>
              <a:round/>
            </a:ln>
          </c:spPr>
          <c:invertIfNegative val="0"/>
          <c:dLbls>
            <c:spPr>
              <a:noFill/>
              <a:ln>
                <a:noFill/>
                <a:prstDash val="solid"/>
              </a:ln>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Daily_Balancing!$B$4:$B$13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EE32-4CC2-BA41-E2609F49146D}"/>
            </c:ext>
          </c:extLst>
        </c:ser>
        <c:ser>
          <c:idx val="1"/>
          <c:order val="1"/>
          <c:tx>
            <c:strRef>
              <c:f>Daily_Balancing!$C$3</c:f>
              <c:strCache>
                <c:ptCount val="1"/>
                <c:pt idx="0">
                  <c:v>Withdrawals (GHC)</c:v>
                </c:pt>
              </c:strCache>
            </c:strRef>
          </c:tx>
          <c:spPr>
            <a:solidFill>
              <a:srgbClr val="C0392B"/>
            </a:solidFill>
            <a:ln w="9360">
              <a:solidFill>
                <a:srgbClr val="F9F9F9"/>
              </a:solidFill>
              <a:prstDash val="solid"/>
              <a:round/>
            </a:ln>
          </c:spPr>
          <c:invertIfNegative val="0"/>
          <c:dLbls>
            <c:spPr>
              <a:noFill/>
              <a:ln>
                <a:noFill/>
                <a:prstDash val="solid"/>
              </a:ln>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Daily_Balancing!$C$4:$C$13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EE32-4CC2-BA41-E2609F49146D}"/>
            </c:ext>
          </c:extLst>
        </c:ser>
        <c:dLbls>
          <c:showLegendKey val="0"/>
          <c:showVal val="0"/>
          <c:showCatName val="0"/>
          <c:showSerName val="0"/>
          <c:showPercent val="0"/>
          <c:showBubbleSize val="0"/>
        </c:dLbls>
        <c:gapWidth val="150"/>
        <c:axId val="92244342"/>
        <c:axId val="63404841"/>
      </c:barChart>
      <c:catAx>
        <c:axId val="92244342"/>
        <c:scaling>
          <c:orientation val="minMax"/>
        </c:scaling>
        <c:delete val="0"/>
        <c:axPos val="b"/>
        <c:title>
          <c:tx>
            <c:rich>
              <a:bodyPr rot="0"/>
              <a:lstStyle/>
              <a:p>
                <a:pPr>
                  <a:defRPr lang="en-GB" sz="1000" b="1" strike="noStrike" spc="-1">
                    <a:solidFill>
                      <a:srgbClr val="000000"/>
                    </a:solidFill>
                    <a:latin typeface="Calibri"/>
                  </a:defRPr>
                </a:pPr>
                <a:r>
                  <a:rPr lang="en-GB" sz="1000" b="1" strike="noStrike" spc="-1">
                    <a:solidFill>
                      <a:srgbClr val="000000"/>
                    </a:solidFill>
                    <a:latin typeface="Calibri"/>
                  </a:rPr>
                  <a:t>Agent</a:t>
                </a:r>
              </a:p>
            </c:rich>
          </c:tx>
          <c:overlay val="0"/>
          <c:spPr>
            <a:noFill/>
            <a:ln w="0">
              <a:noFill/>
              <a:prstDash val="solid"/>
            </a:ln>
          </c:spPr>
        </c:title>
        <c:numFmt formatCode="General" sourceLinked="0"/>
        <c:majorTickMark val="none"/>
        <c:minorTickMark val="none"/>
        <c:tickLblPos val="nextTo"/>
        <c:spPr>
          <a:ln w="9360">
            <a:solidFill>
              <a:srgbClr val="878787"/>
            </a:solidFill>
            <a:prstDash val="solid"/>
            <a:round/>
          </a:ln>
        </c:spPr>
        <c:txPr>
          <a:bodyPr/>
          <a:lstStyle/>
          <a:p>
            <a:pPr>
              <a:defRPr sz="1000" b="0" strike="noStrike" spc="-1">
                <a:solidFill>
                  <a:srgbClr val="000000"/>
                </a:solidFill>
                <a:latin typeface="Calibri"/>
              </a:defRPr>
            </a:pPr>
            <a:endParaRPr lang="en-DE"/>
          </a:p>
        </c:txPr>
        <c:crossAx val="63404841"/>
        <c:crosses val="autoZero"/>
        <c:auto val="1"/>
        <c:lblAlgn val="ctr"/>
        <c:lblOffset val="100"/>
        <c:noMultiLvlLbl val="0"/>
      </c:catAx>
      <c:valAx>
        <c:axId val="63404841"/>
        <c:scaling>
          <c:orientation val="minMax"/>
        </c:scaling>
        <c:delete val="0"/>
        <c:axPos val="l"/>
        <c:majorGridlines>
          <c:spPr>
            <a:ln w="9360">
              <a:solidFill>
                <a:srgbClr val="878787"/>
              </a:solidFill>
              <a:prstDash val="solid"/>
              <a:round/>
            </a:ln>
          </c:spPr>
        </c:majorGridlines>
        <c:title>
          <c:tx>
            <c:rich>
              <a:bodyPr rot="-5400000"/>
              <a:lstStyle/>
              <a:p>
                <a:pPr>
                  <a:defRPr lang="en-GB" sz="1000" b="1" strike="noStrike" spc="-1">
                    <a:solidFill>
                      <a:srgbClr val="000000"/>
                    </a:solidFill>
                    <a:latin typeface="Calibri"/>
                  </a:defRPr>
                </a:pPr>
                <a:r>
                  <a:rPr lang="en-GB" sz="1000" b="1" strike="noStrike" spc="-1">
                    <a:solidFill>
                      <a:srgbClr val="000000"/>
                    </a:solidFill>
                    <a:latin typeface="Calibri"/>
                  </a:rPr>
                  <a:t>Amount (GHC)</a:t>
                </a:r>
              </a:p>
            </c:rich>
          </c:tx>
          <c:overlay val="0"/>
          <c:spPr>
            <a:noFill/>
            <a:ln w="0">
              <a:noFill/>
              <a:prstDash val="solid"/>
            </a:ln>
          </c:spPr>
        </c:title>
        <c:numFmt formatCode="&quot;GHC &quot;#,##0.00;&quot;(GHC &quot;#,##0.00\);\-" sourceLinked="0"/>
        <c:majorTickMark val="none"/>
        <c:minorTickMark val="none"/>
        <c:tickLblPos val="nextTo"/>
        <c:spPr>
          <a:ln w="9360">
            <a:solidFill>
              <a:srgbClr val="878787"/>
            </a:solidFill>
            <a:prstDash val="solid"/>
            <a:round/>
          </a:ln>
        </c:spPr>
        <c:txPr>
          <a:bodyPr/>
          <a:lstStyle/>
          <a:p>
            <a:pPr>
              <a:defRPr sz="1000" b="0" strike="noStrike" spc="-1">
                <a:solidFill>
                  <a:srgbClr val="000000"/>
                </a:solidFill>
                <a:latin typeface="Calibri"/>
              </a:defRPr>
            </a:pPr>
            <a:endParaRPr lang="en-DE"/>
          </a:p>
        </c:txPr>
        <c:crossAx val="92244342"/>
        <c:crosses val="autoZero"/>
        <c:crossBetween val="between"/>
      </c:valAx>
    </c:plotArea>
    <c:legend>
      <c:legendPos val="r"/>
      <c:overlay val="0"/>
      <c:spPr>
        <a:noFill/>
        <a:ln w="0">
          <a:noFill/>
          <a:prstDash val="solid"/>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Monthly Savings vs Withdrawals Trend</a:t>
            </a:r>
          </a:p>
        </c:rich>
      </c:tx>
      <c:overlay val="0"/>
      <c:spPr>
        <a:noFill/>
        <a:ln w="0">
          <a:noFill/>
          <a:prstDash val="solid"/>
        </a:ln>
      </c:spPr>
    </c:title>
    <c:autoTitleDeleted val="0"/>
    <c:plotArea>
      <c:layout/>
      <c:lineChart>
        <c:grouping val="standard"/>
        <c:varyColors val="0"/>
        <c:ser>
          <c:idx val="0"/>
          <c:order val="0"/>
          <c:tx>
            <c:strRef>
              <c:f>Monthly_Balancing!$B$7</c:f>
              <c:strCache>
                <c:ptCount val="1"/>
                <c:pt idx="0">
                  <c:v>Savings</c:v>
                </c:pt>
              </c:strCache>
            </c:strRef>
          </c:tx>
          <c:spPr>
            <a:ln w="47520">
              <a:solidFill>
                <a:srgbClr val="27AE60"/>
              </a:solidFill>
              <a:prstDash val="solid"/>
              <a:round/>
            </a:ln>
          </c:spPr>
          <c:marker>
            <c:symbol val="none"/>
          </c:marker>
          <c:dLbls>
            <c:spPr>
              <a:noFill/>
              <a:ln>
                <a:noFill/>
                <a:prstDash val="solid"/>
              </a:ln>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Monthly_Balancing!$B$8:$B$19</c:f>
              <c:numCache>
                <c:formatCode>"GHC "#,##0.00;"(GHC "#,##0.00\);\-</c:formatCode>
                <c:ptCount val="12"/>
                <c:pt idx="0">
                  <c:v>107824.22</c:v>
                </c:pt>
                <c:pt idx="1">
                  <c:v>133790.85</c:v>
                </c:pt>
                <c:pt idx="2">
                  <c:v>95687.1</c:v>
                </c:pt>
                <c:pt idx="3">
                  <c:v>108714.02</c:v>
                </c:pt>
              </c:numCache>
            </c:numRef>
          </c:val>
          <c:smooth val="1"/>
          <c:extLst>
            <c:ext xmlns:c16="http://schemas.microsoft.com/office/drawing/2014/chart" uri="{C3380CC4-5D6E-409C-BE32-E72D297353CC}">
              <c16:uniqueId val="{00000000-285C-48E7-9A1B-DC09DEB9E92A}"/>
            </c:ext>
          </c:extLst>
        </c:ser>
        <c:ser>
          <c:idx val="1"/>
          <c:order val="1"/>
          <c:tx>
            <c:strRef>
              <c:f>Monthly_Balancing!$C$7</c:f>
              <c:strCache>
                <c:ptCount val="1"/>
                <c:pt idx="0">
                  <c:v>Withdrawals</c:v>
                </c:pt>
              </c:strCache>
            </c:strRef>
          </c:tx>
          <c:spPr>
            <a:ln w="47520">
              <a:solidFill>
                <a:srgbClr val="C0392B"/>
              </a:solidFill>
              <a:prstDash val="solid"/>
              <a:round/>
            </a:ln>
          </c:spPr>
          <c:marker>
            <c:symbol val="none"/>
          </c:marker>
          <c:dLbls>
            <c:spPr>
              <a:noFill/>
              <a:ln>
                <a:noFill/>
                <a:prstDash val="solid"/>
              </a:ln>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Monthly_Balancing!$C$8:$C$19</c:f>
              <c:numCache>
                <c:formatCode>"GHC "#,##0.00;"(GHC "#,##0.00\);\-</c:formatCode>
                <c:ptCount val="12"/>
                <c:pt idx="0">
                  <c:v>37455.75</c:v>
                </c:pt>
                <c:pt idx="1">
                  <c:v>40398.620000000003</c:v>
                </c:pt>
                <c:pt idx="2">
                  <c:v>51481.08</c:v>
                </c:pt>
                <c:pt idx="3">
                  <c:v>50819.15</c:v>
                </c:pt>
              </c:numCache>
            </c:numRef>
          </c:val>
          <c:smooth val="1"/>
          <c:extLst>
            <c:ext xmlns:c16="http://schemas.microsoft.com/office/drawing/2014/chart" uri="{C3380CC4-5D6E-409C-BE32-E72D297353CC}">
              <c16:uniqueId val="{00000001-285C-48E7-9A1B-DC09DEB9E92A}"/>
            </c:ext>
          </c:extLst>
        </c:ser>
        <c:dLbls>
          <c:showLegendKey val="0"/>
          <c:showVal val="0"/>
          <c:showCatName val="0"/>
          <c:showSerName val="0"/>
          <c:showPercent val="0"/>
          <c:showBubbleSize val="0"/>
        </c:dLbls>
        <c:hiLowLines>
          <c:spPr>
            <a:ln w="0">
              <a:noFill/>
              <a:prstDash val="solid"/>
            </a:ln>
          </c:spPr>
        </c:hiLowLines>
        <c:smooth val="0"/>
        <c:axId val="27949240"/>
        <c:axId val="31235429"/>
      </c:lineChart>
      <c:catAx>
        <c:axId val="27949240"/>
        <c:scaling>
          <c:orientation val="minMax"/>
        </c:scaling>
        <c:delete val="0"/>
        <c:axPos val="b"/>
        <c:numFmt formatCode="General" sourceLinked="0"/>
        <c:majorTickMark val="none"/>
        <c:minorTickMark val="none"/>
        <c:tickLblPos val="nextTo"/>
        <c:spPr>
          <a:ln w="9360">
            <a:solidFill>
              <a:srgbClr val="878787"/>
            </a:solidFill>
            <a:prstDash val="solid"/>
            <a:round/>
          </a:ln>
        </c:spPr>
        <c:txPr>
          <a:bodyPr/>
          <a:lstStyle/>
          <a:p>
            <a:pPr>
              <a:defRPr sz="1000" b="0" strike="noStrike" spc="-1">
                <a:solidFill>
                  <a:srgbClr val="000000"/>
                </a:solidFill>
                <a:latin typeface="Calibri"/>
              </a:defRPr>
            </a:pPr>
            <a:endParaRPr lang="en-DE"/>
          </a:p>
        </c:txPr>
        <c:crossAx val="31235429"/>
        <c:crosses val="autoZero"/>
        <c:auto val="1"/>
        <c:lblAlgn val="ctr"/>
        <c:lblOffset val="100"/>
        <c:noMultiLvlLbl val="0"/>
      </c:catAx>
      <c:valAx>
        <c:axId val="31235429"/>
        <c:scaling>
          <c:orientation val="minMax"/>
        </c:scaling>
        <c:delete val="0"/>
        <c:axPos val="l"/>
        <c:majorGridlines>
          <c:spPr>
            <a:ln w="9360">
              <a:solidFill>
                <a:srgbClr val="878787"/>
              </a:solidFill>
              <a:prstDash val="solid"/>
              <a:round/>
            </a:ln>
          </c:spPr>
        </c:majorGridlines>
        <c:numFmt formatCode="&quot;GHC &quot;#,##0.00;&quot;(GHC &quot;#,##0.00\);\-" sourceLinked="0"/>
        <c:majorTickMark val="none"/>
        <c:minorTickMark val="none"/>
        <c:tickLblPos val="nextTo"/>
        <c:spPr>
          <a:ln w="9360">
            <a:solidFill>
              <a:srgbClr val="878787"/>
            </a:solidFill>
            <a:prstDash val="solid"/>
            <a:round/>
          </a:ln>
        </c:spPr>
        <c:txPr>
          <a:bodyPr/>
          <a:lstStyle/>
          <a:p>
            <a:pPr>
              <a:defRPr sz="1000" b="0" strike="noStrike" spc="-1">
                <a:solidFill>
                  <a:srgbClr val="000000"/>
                </a:solidFill>
                <a:latin typeface="Calibri"/>
              </a:defRPr>
            </a:pPr>
            <a:endParaRPr lang="en-DE"/>
          </a:p>
        </c:txPr>
        <c:crossAx val="27949240"/>
        <c:crosses val="autoZero"/>
        <c:crossBetween val="between"/>
      </c:valAx>
    </c:plotArea>
    <c:legend>
      <c:legendPos val="r"/>
      <c:overlay val="0"/>
      <c:spPr>
        <a:noFill/>
        <a:ln w="0">
          <a:noFill/>
          <a:prstDash val="solid"/>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10</xdr:col>
      <xdr:colOff>418320</xdr:colOff>
      <xdr:row>41</xdr:row>
      <xdr:rowOff>83880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21</xdr:row>
      <xdr:rowOff>0</xdr:rowOff>
    </xdr:from>
    <xdr:to>
      <xdr:col>12</xdr:col>
      <xdr:colOff>574560</xdr:colOff>
      <xdr:row>49</xdr:row>
      <xdr:rowOff>62640</xdr:rowOff>
    </xdr:to>
    <xdr:graphicFrame macro="">
      <xdr:nvGraphicFramePr>
        <xdr:cNvPr id="2" name="Chart 1">
          <a:extLst>
            <a:ext uri="{FF2B5EF4-FFF2-40B4-BE49-F238E27FC236}">
              <a16:creationId xmlns:a16="http://schemas.microsoft.com/office/drawing/2014/main" id="{00000000-0008-0000-2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tel:+233207530771" TargetMode="External"/><Relationship Id="rId1" Type="http://schemas.openxmlformats.org/officeDocument/2006/relationships/hyperlink" Target="tel:+233241911273" TargetMode="Externa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6AE2D"/>
  </sheetPr>
  <dimension ref="A1:E26"/>
  <sheetViews>
    <sheetView showGridLines="0" zoomScaleNormal="100" workbookViewId="0">
      <selection activeCell="A2" sqref="A2:E2"/>
    </sheetView>
  </sheetViews>
  <sheetFormatPr defaultColWidth="8.7109375" defaultRowHeight="15" x14ac:dyDescent="0.25"/>
  <cols>
    <col min="1" max="1" width="3" customWidth="1"/>
    <col min="2" max="2" width="41.85546875" customWidth="1"/>
    <col min="3" max="3" width="26" customWidth="1"/>
    <col min="4" max="4" width="16" customWidth="1"/>
    <col min="5" max="5" width="3" customWidth="1"/>
  </cols>
  <sheetData>
    <row r="1" spans="1:5" ht="9.75" customHeight="1" x14ac:dyDescent="0.25">
      <c r="A1" s="2"/>
      <c r="E1" s="2"/>
    </row>
    <row r="2" spans="1:5" ht="36" customHeight="1" x14ac:dyDescent="0.25">
      <c r="A2" s="271" t="s">
        <v>18</v>
      </c>
      <c r="B2" s="265"/>
      <c r="C2" s="265"/>
      <c r="D2" s="265"/>
      <c r="E2" s="265"/>
    </row>
    <row r="3" spans="1:5" ht="19.5" customHeight="1" x14ac:dyDescent="0.25">
      <c r="A3" s="279" t="s">
        <v>19</v>
      </c>
      <c r="B3" s="265"/>
      <c r="C3" s="265"/>
      <c r="D3" s="265"/>
      <c r="E3" s="265"/>
    </row>
    <row r="4" spans="1:5" ht="3.75" customHeight="1" x14ac:dyDescent="0.25">
      <c r="A4" s="2"/>
      <c r="B4" s="3"/>
      <c r="C4" s="3"/>
      <c r="D4" s="3"/>
      <c r="E4" s="2"/>
    </row>
    <row r="5" spans="1:5" ht="43.5" customHeight="1" x14ac:dyDescent="0.25">
      <c r="A5" s="275" t="s">
        <v>20</v>
      </c>
      <c r="B5" s="265"/>
      <c r="C5" s="265"/>
      <c r="D5" s="265"/>
      <c r="E5" s="265"/>
    </row>
    <row r="6" spans="1:5" ht="3.75" customHeight="1" x14ac:dyDescent="0.25">
      <c r="A6" s="2"/>
      <c r="B6" s="3"/>
      <c r="C6" s="3"/>
      <c r="D6" s="3"/>
      <c r="E6" s="2"/>
    </row>
    <row r="7" spans="1:5" ht="18" customHeight="1" x14ac:dyDescent="0.25">
      <c r="A7" s="2"/>
      <c r="E7" s="2"/>
    </row>
    <row r="8" spans="1:5" ht="27.75" customHeight="1" x14ac:dyDescent="0.25">
      <c r="A8" s="276" t="s">
        <v>21</v>
      </c>
      <c r="B8" s="265"/>
      <c r="C8" s="265"/>
      <c r="D8" s="265"/>
      <c r="E8" s="265"/>
    </row>
    <row r="9" spans="1:5" ht="51.75" customHeight="1" x14ac:dyDescent="0.25">
      <c r="A9" s="277" t="s">
        <v>22</v>
      </c>
      <c r="B9" s="265"/>
      <c r="C9" s="265"/>
      <c r="D9" s="265"/>
      <c r="E9" s="265"/>
    </row>
    <row r="10" spans="1:5" ht="30" customHeight="1" x14ac:dyDescent="0.25">
      <c r="A10" s="273" t="s">
        <v>23</v>
      </c>
      <c r="B10" s="265"/>
      <c r="C10" s="265"/>
      <c r="D10" s="265"/>
      <c r="E10" s="265"/>
    </row>
    <row r="11" spans="1:5" ht="19.5" customHeight="1" x14ac:dyDescent="0.25">
      <c r="A11" s="2"/>
      <c r="E11" s="2"/>
    </row>
    <row r="12" spans="1:5" ht="3.75" customHeight="1" x14ac:dyDescent="0.25">
      <c r="A12" s="2"/>
      <c r="B12" s="4"/>
      <c r="C12" s="4"/>
      <c r="D12" s="4"/>
      <c r="E12" s="2"/>
    </row>
    <row r="13" spans="1:5" ht="13.5" customHeight="1" x14ac:dyDescent="0.25">
      <c r="A13" s="2"/>
      <c r="E13" s="2"/>
    </row>
    <row r="14" spans="1:5" ht="31.5" customHeight="1" x14ac:dyDescent="0.25">
      <c r="A14" s="272" t="s">
        <v>24</v>
      </c>
      <c r="B14" s="265"/>
      <c r="C14" s="265"/>
      <c r="D14" s="265"/>
      <c r="E14" s="265"/>
    </row>
    <row r="15" spans="1:5" ht="13.5" customHeight="1" x14ac:dyDescent="0.25">
      <c r="A15" s="2"/>
      <c r="E15" s="2"/>
    </row>
    <row r="16" spans="1:5" ht="42" customHeight="1" x14ac:dyDescent="0.25">
      <c r="A16" s="2"/>
      <c r="B16" s="274" t="s">
        <v>25</v>
      </c>
      <c r="C16" s="265"/>
      <c r="D16" s="265"/>
      <c r="E16" s="2"/>
    </row>
    <row r="17" spans="1:5" ht="9.75" customHeight="1" x14ac:dyDescent="0.25">
      <c r="A17" s="2"/>
      <c r="E17" s="2"/>
    </row>
    <row r="18" spans="1:5" ht="42" customHeight="1" x14ac:dyDescent="0.25">
      <c r="A18" s="2"/>
      <c r="B18" s="274" t="s">
        <v>26</v>
      </c>
      <c r="C18" s="265"/>
      <c r="D18" s="265"/>
      <c r="E18" s="2"/>
    </row>
    <row r="19" spans="1:5" ht="13.5" customHeight="1" x14ac:dyDescent="0.25">
      <c r="A19" s="2"/>
      <c r="E19" s="2"/>
    </row>
    <row r="20" spans="1:5" ht="24" customHeight="1" x14ac:dyDescent="0.25">
      <c r="A20" s="2"/>
      <c r="B20" s="278" t="s">
        <v>27</v>
      </c>
      <c r="C20" s="265"/>
      <c r="D20" s="265"/>
      <c r="E20" s="2"/>
    </row>
    <row r="21" spans="1:5" ht="19.5" customHeight="1" x14ac:dyDescent="0.25">
      <c r="A21" s="2"/>
      <c r="E21" s="2"/>
    </row>
    <row r="22" spans="1:5" ht="3.75" customHeight="1" x14ac:dyDescent="0.25">
      <c r="A22" s="2"/>
      <c r="B22" s="4"/>
      <c r="C22" s="4"/>
      <c r="D22" s="4"/>
      <c r="E22" s="2"/>
    </row>
    <row r="23" spans="1:5" ht="9.75" customHeight="1" x14ac:dyDescent="0.25">
      <c r="A23" s="2"/>
      <c r="E23" s="2"/>
    </row>
    <row r="24" spans="1:5" ht="21.75" customHeight="1" x14ac:dyDescent="0.25">
      <c r="A24" s="270" t="s">
        <v>28</v>
      </c>
      <c r="B24" s="265"/>
      <c r="C24" s="265"/>
      <c r="D24" s="265"/>
      <c r="E24" s="265"/>
    </row>
    <row r="25" spans="1:5" ht="3.75" customHeight="1" x14ac:dyDescent="0.25">
      <c r="A25" s="2"/>
      <c r="B25" s="3"/>
      <c r="C25" s="3"/>
      <c r="D25" s="3"/>
      <c r="E25" s="2"/>
    </row>
    <row r="26" spans="1:5" ht="15" customHeight="1" x14ac:dyDescent="0.25">
      <c r="A26" s="2"/>
      <c r="E26" s="2"/>
    </row>
  </sheetData>
  <mergeCells count="11">
    <mergeCell ref="A24:E24"/>
    <mergeCell ref="A2:E2"/>
    <mergeCell ref="A14:E14"/>
    <mergeCell ref="A10:E10"/>
    <mergeCell ref="B18:D18"/>
    <mergeCell ref="A5:E5"/>
    <mergeCell ref="A8:E8"/>
    <mergeCell ref="A9:E9"/>
    <mergeCell ref="B16:D16"/>
    <mergeCell ref="B20:D20"/>
    <mergeCell ref="A3:E3"/>
  </mergeCells>
  <hyperlinks>
    <hyperlink ref="B16" r:id="rId1" xr:uid="{00000000-0004-0000-0000-000000000000}"/>
    <hyperlink ref="B18" r:id="rId2" xr:uid="{00000000-0004-0000-0000-000001000000}"/>
  </hyperlink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ABC9C"/>
  </sheetPr>
  <dimension ref="A1:E32"/>
  <sheetViews>
    <sheetView showGridLines="0" topLeftCell="A3" zoomScaleNormal="100" workbookViewId="0"/>
  </sheetViews>
  <sheetFormatPr defaultColWidth="8.7109375" defaultRowHeight="15" x14ac:dyDescent="0.25"/>
  <cols>
    <col min="1" max="1" width="3" customWidth="1"/>
    <col min="2" max="2" width="18" customWidth="1"/>
    <col min="3" max="4" width="22" customWidth="1"/>
    <col min="5" max="5" width="3" customWidth="1"/>
  </cols>
  <sheetData>
    <row r="1" spans="1:5" ht="9.75" customHeight="1" x14ac:dyDescent="0.25">
      <c r="A1" s="2"/>
      <c r="E1" s="2"/>
    </row>
    <row r="2" spans="1:5" ht="36" customHeight="1" x14ac:dyDescent="0.25">
      <c r="A2" s="271" t="s">
        <v>18</v>
      </c>
      <c r="B2" s="265"/>
      <c r="C2" s="265"/>
      <c r="D2" s="265"/>
      <c r="E2" s="265"/>
    </row>
    <row r="3" spans="1:5" ht="19.5" customHeight="1" x14ac:dyDescent="0.25">
      <c r="A3" s="279" t="s">
        <v>29</v>
      </c>
      <c r="B3" s="265"/>
      <c r="C3" s="265"/>
      <c r="D3" s="265"/>
      <c r="E3" s="265"/>
    </row>
    <row r="4" spans="1:5" ht="3.75" customHeight="1" x14ac:dyDescent="0.25">
      <c r="A4" s="2"/>
      <c r="B4" s="5"/>
      <c r="C4" s="5"/>
      <c r="D4" s="5"/>
      <c r="E4" s="2"/>
    </row>
    <row r="5" spans="1:5" ht="43.5" customHeight="1" x14ac:dyDescent="0.25">
      <c r="A5" s="275" t="s">
        <v>30</v>
      </c>
      <c r="B5" s="265"/>
      <c r="C5" s="265"/>
      <c r="D5" s="265"/>
      <c r="E5" s="265"/>
    </row>
    <row r="6" spans="1:5" ht="3.75" customHeight="1" x14ac:dyDescent="0.25">
      <c r="A6" s="2"/>
      <c r="B6" s="3"/>
      <c r="C6" s="3"/>
      <c r="D6" s="3"/>
      <c r="E6" s="2"/>
    </row>
    <row r="7" spans="1:5" ht="13.5" customHeight="1" x14ac:dyDescent="0.25">
      <c r="A7" s="2"/>
      <c r="E7" s="2"/>
    </row>
    <row r="8" spans="1:5" ht="43.5" customHeight="1" x14ac:dyDescent="0.25">
      <c r="A8" s="2"/>
      <c r="B8" s="280" t="s">
        <v>31</v>
      </c>
      <c r="C8" s="265"/>
      <c r="D8" s="265"/>
      <c r="E8" s="2"/>
    </row>
    <row r="9" spans="1:5" ht="9.75" customHeight="1" x14ac:dyDescent="0.25">
      <c r="A9" s="2"/>
      <c r="E9" s="2"/>
    </row>
    <row r="10" spans="1:5" ht="43.5" customHeight="1" x14ac:dyDescent="0.25">
      <c r="A10" s="2"/>
      <c r="B10" s="280" t="s">
        <v>32</v>
      </c>
      <c r="C10" s="265"/>
      <c r="D10" s="265"/>
      <c r="E10" s="2"/>
    </row>
    <row r="11" spans="1:5" ht="9.75" customHeight="1" x14ac:dyDescent="0.25">
      <c r="A11" s="2"/>
      <c r="E11" s="2"/>
    </row>
    <row r="12" spans="1:5" ht="43.5" customHeight="1" x14ac:dyDescent="0.25">
      <c r="A12" s="2"/>
      <c r="B12" s="280" t="s">
        <v>33</v>
      </c>
      <c r="C12" s="265"/>
      <c r="D12" s="265"/>
      <c r="E12" s="2"/>
    </row>
    <row r="13" spans="1:5" ht="9.75" customHeight="1" x14ac:dyDescent="0.25">
      <c r="A13" s="2"/>
      <c r="E13" s="2"/>
    </row>
    <row r="14" spans="1:5" ht="43.5" customHeight="1" x14ac:dyDescent="0.25">
      <c r="A14" s="2"/>
      <c r="B14" s="280" t="s">
        <v>34</v>
      </c>
      <c r="C14" s="265"/>
      <c r="D14" s="265"/>
      <c r="E14" s="2"/>
    </row>
    <row r="15" spans="1:5" ht="9.75" customHeight="1" x14ac:dyDescent="0.25">
      <c r="A15" s="2"/>
      <c r="E15" s="2"/>
    </row>
    <row r="16" spans="1:5" ht="43.5" customHeight="1" x14ac:dyDescent="0.25">
      <c r="A16" s="2"/>
      <c r="B16" s="280" t="s">
        <v>35</v>
      </c>
      <c r="C16" s="265"/>
      <c r="D16" s="265"/>
      <c r="E16" s="2"/>
    </row>
    <row r="17" spans="1:5" ht="9.75" customHeight="1" x14ac:dyDescent="0.25">
      <c r="A17" s="2"/>
      <c r="E17" s="2"/>
    </row>
    <row r="18" spans="1:5" ht="43.5" customHeight="1" x14ac:dyDescent="0.25">
      <c r="A18" s="2"/>
      <c r="B18" s="285" t="s">
        <v>36</v>
      </c>
      <c r="C18" s="265"/>
      <c r="D18" s="265"/>
      <c r="E18" s="2"/>
    </row>
    <row r="19" spans="1:5" ht="15.75" customHeight="1" x14ac:dyDescent="0.25">
      <c r="A19" s="2"/>
      <c r="E19" s="2"/>
    </row>
    <row r="20" spans="1:5" ht="3.75" customHeight="1" x14ac:dyDescent="0.25">
      <c r="A20" s="2"/>
      <c r="B20" s="4"/>
      <c r="C20" s="4"/>
      <c r="D20" s="4"/>
      <c r="E20" s="2"/>
    </row>
    <row r="21" spans="1:5" ht="9.75" customHeight="1" x14ac:dyDescent="0.25">
      <c r="A21" s="2"/>
      <c r="E21" s="2"/>
    </row>
    <row r="22" spans="1:5" ht="30" customHeight="1" x14ac:dyDescent="0.25">
      <c r="A22" s="281" t="s">
        <v>37</v>
      </c>
      <c r="B22" s="265"/>
      <c r="C22" s="265"/>
      <c r="D22" s="265"/>
      <c r="E22" s="265"/>
    </row>
    <row r="23" spans="1:5" ht="7.5" customHeight="1" x14ac:dyDescent="0.25">
      <c r="A23" s="2"/>
      <c r="E23" s="2"/>
    </row>
    <row r="24" spans="1:5" ht="39.75" customHeight="1" x14ac:dyDescent="0.25">
      <c r="A24" s="2"/>
      <c r="B24" s="282" t="s">
        <v>38</v>
      </c>
      <c r="C24" s="265"/>
      <c r="D24" s="265"/>
      <c r="E24" s="2"/>
    </row>
    <row r="25" spans="1:5" ht="6" customHeight="1" x14ac:dyDescent="0.25">
      <c r="A25" s="2"/>
      <c r="E25" s="2"/>
    </row>
    <row r="26" spans="1:5" ht="24" customHeight="1" x14ac:dyDescent="0.25">
      <c r="A26" s="2"/>
      <c r="B26" s="284" t="s">
        <v>39</v>
      </c>
      <c r="C26" s="265"/>
      <c r="D26" s="265"/>
      <c r="E26" s="2"/>
    </row>
    <row r="27" spans="1:5" ht="12" customHeight="1" x14ac:dyDescent="0.25">
      <c r="A27" s="2"/>
      <c r="E27" s="2"/>
    </row>
    <row r="28" spans="1:5" ht="36" customHeight="1" x14ac:dyDescent="0.25">
      <c r="A28" s="283" t="s">
        <v>40</v>
      </c>
      <c r="B28" s="265"/>
      <c r="C28" s="265"/>
      <c r="D28" s="265"/>
      <c r="E28" s="265"/>
    </row>
    <row r="29" spans="1:5" ht="3.75" customHeight="1" x14ac:dyDescent="0.25">
      <c r="A29" s="2"/>
      <c r="B29" s="3"/>
      <c r="C29" s="3"/>
      <c r="D29" s="3"/>
      <c r="E29" s="2"/>
    </row>
    <row r="30" spans="1:5" ht="6" customHeight="1" x14ac:dyDescent="0.25">
      <c r="A30" s="2"/>
      <c r="E30" s="2"/>
    </row>
    <row r="31" spans="1:5" ht="19.5" customHeight="1" x14ac:dyDescent="0.25">
      <c r="A31" s="270" t="s">
        <v>41</v>
      </c>
      <c r="B31" s="265"/>
      <c r="C31" s="265"/>
      <c r="D31" s="265"/>
      <c r="E31" s="265"/>
    </row>
    <row r="32" spans="1:5" ht="15" customHeight="1" x14ac:dyDescent="0.25">
      <c r="A32" s="2"/>
      <c r="E32" s="2"/>
    </row>
  </sheetData>
  <mergeCells count="14">
    <mergeCell ref="B10:D10"/>
    <mergeCell ref="B14:D14"/>
    <mergeCell ref="A2:E2"/>
    <mergeCell ref="B8:D8"/>
    <mergeCell ref="A28:E28"/>
    <mergeCell ref="B26:D26"/>
    <mergeCell ref="B18:D18"/>
    <mergeCell ref="A5:E5"/>
    <mergeCell ref="A3:E3"/>
    <mergeCell ref="A31:E31"/>
    <mergeCell ref="B12:D12"/>
    <mergeCell ref="A22:E22"/>
    <mergeCell ref="B24:D24"/>
    <mergeCell ref="B16:D16"/>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18"/>
  <sheetViews>
    <sheetView zoomScaleNormal="100" workbookViewId="0">
      <selection sqref="A1:D1"/>
    </sheetView>
  </sheetViews>
  <sheetFormatPr defaultColWidth="8.7109375" defaultRowHeight="15" x14ac:dyDescent="0.25"/>
  <cols>
    <col min="1" max="1" width="22" customWidth="1"/>
    <col min="2" max="2" width="20" customWidth="1"/>
    <col min="3" max="3" width="40" customWidth="1"/>
    <col min="4" max="4" width="22" customWidth="1"/>
  </cols>
  <sheetData>
    <row r="1" spans="1:4" ht="49.5" customHeight="1" x14ac:dyDescent="0.25">
      <c r="A1" s="290" t="s">
        <v>42</v>
      </c>
      <c r="B1" s="265"/>
      <c r="C1" s="265"/>
      <c r="D1" s="265"/>
    </row>
    <row r="2" spans="1:4" ht="19.5" customHeight="1" x14ac:dyDescent="0.25">
      <c r="A2" s="289" t="s">
        <v>43</v>
      </c>
      <c r="B2" s="265"/>
      <c r="C2" s="265"/>
      <c r="D2" s="265"/>
    </row>
    <row r="3" spans="1:4" ht="30" customHeight="1" x14ac:dyDescent="0.25">
      <c r="A3" s="6" t="s">
        <v>44</v>
      </c>
      <c r="B3" s="7">
        <v>2026</v>
      </c>
      <c r="C3" s="8" t="s">
        <v>45</v>
      </c>
    </row>
    <row r="4" spans="1:4" ht="18" customHeight="1" x14ac:dyDescent="0.25"/>
    <row r="5" spans="1:4" ht="18" customHeight="1" x14ac:dyDescent="0.25">
      <c r="A5" s="291" t="s">
        <v>46</v>
      </c>
      <c r="B5" s="265"/>
      <c r="C5" s="265"/>
      <c r="D5" s="265"/>
    </row>
    <row r="6" spans="1:4" ht="18" customHeight="1" x14ac:dyDescent="0.25">
      <c r="A6" s="9" t="s">
        <v>47</v>
      </c>
      <c r="B6" s="286" t="s">
        <v>48</v>
      </c>
      <c r="C6" s="287"/>
      <c r="D6" s="288"/>
    </row>
    <row r="7" spans="1:4" ht="18" customHeight="1" x14ac:dyDescent="0.25">
      <c r="A7" s="9" t="s">
        <v>49</v>
      </c>
      <c r="B7" s="286" t="s">
        <v>50</v>
      </c>
      <c r="C7" s="287"/>
      <c r="D7" s="288"/>
    </row>
    <row r="8" spans="1:4" ht="18" customHeight="1" x14ac:dyDescent="0.25">
      <c r="A8" s="9" t="s">
        <v>51</v>
      </c>
      <c r="B8" s="286" t="s">
        <v>52</v>
      </c>
      <c r="C8" s="287"/>
      <c r="D8" s="288"/>
    </row>
    <row r="9" spans="1:4" ht="18" customHeight="1" x14ac:dyDescent="0.25">
      <c r="A9" s="9" t="s">
        <v>53</v>
      </c>
      <c r="B9" s="286" t="s">
        <v>54</v>
      </c>
      <c r="C9" s="287"/>
      <c r="D9" s="288"/>
    </row>
    <row r="10" spans="1:4" ht="18" customHeight="1" x14ac:dyDescent="0.25">
      <c r="A10" s="9" t="s">
        <v>55</v>
      </c>
      <c r="B10" s="286" t="s">
        <v>56</v>
      </c>
      <c r="C10" s="287"/>
      <c r="D10" s="288"/>
    </row>
    <row r="11" spans="1:4" ht="18" customHeight="1" x14ac:dyDescent="0.25"/>
    <row r="12" spans="1:4" ht="18" customHeight="1" x14ac:dyDescent="0.25">
      <c r="A12" s="291" t="s">
        <v>57</v>
      </c>
      <c r="B12" s="265"/>
      <c r="C12" s="265"/>
      <c r="D12" s="265"/>
    </row>
    <row r="13" spans="1:4" ht="18" customHeight="1" x14ac:dyDescent="0.25">
      <c r="A13" s="9" t="s">
        <v>58</v>
      </c>
      <c r="B13" s="286" t="s">
        <v>59</v>
      </c>
      <c r="C13" s="287"/>
      <c r="D13" s="288"/>
    </row>
    <row r="14" spans="1:4" ht="18" customHeight="1" x14ac:dyDescent="0.25">
      <c r="A14" s="9" t="s">
        <v>60</v>
      </c>
      <c r="B14" s="286" t="s">
        <v>61</v>
      </c>
      <c r="C14" s="287"/>
      <c r="D14" s="288"/>
    </row>
    <row r="15" spans="1:4" ht="18" customHeight="1" x14ac:dyDescent="0.25">
      <c r="A15" s="9" t="s">
        <v>62</v>
      </c>
      <c r="B15" s="286" t="s">
        <v>63</v>
      </c>
      <c r="C15" s="287"/>
      <c r="D15" s="288"/>
    </row>
    <row r="16" spans="1:4" ht="18" customHeight="1" x14ac:dyDescent="0.25">
      <c r="A16" s="9" t="s">
        <v>64</v>
      </c>
      <c r="B16" s="286" t="s">
        <v>65</v>
      </c>
      <c r="C16" s="287"/>
      <c r="D16" s="288"/>
    </row>
    <row r="17" spans="1:4" ht="18" customHeight="1" x14ac:dyDescent="0.25">
      <c r="A17" s="9" t="s">
        <v>66</v>
      </c>
      <c r="B17" s="286" t="s">
        <v>67</v>
      </c>
      <c r="C17" s="287"/>
      <c r="D17" s="288"/>
    </row>
    <row r="18" spans="1:4" ht="18" customHeight="1" x14ac:dyDescent="0.25">
      <c r="A18" s="9" t="s">
        <v>68</v>
      </c>
      <c r="B18" s="286" t="s">
        <v>69</v>
      </c>
      <c r="C18" s="287"/>
      <c r="D18" s="288"/>
    </row>
  </sheetData>
  <mergeCells count="15">
    <mergeCell ref="A1:D1"/>
    <mergeCell ref="A5:D5"/>
    <mergeCell ref="B14:D14"/>
    <mergeCell ref="A12:D12"/>
    <mergeCell ref="B8:D8"/>
    <mergeCell ref="B17:D17"/>
    <mergeCell ref="B18:D18"/>
    <mergeCell ref="B9:D9"/>
    <mergeCell ref="B13:D13"/>
    <mergeCell ref="A2:D2"/>
    <mergeCell ref="B15:D15"/>
    <mergeCell ref="B7:D7"/>
    <mergeCell ref="B6:D6"/>
    <mergeCell ref="B16:D16"/>
    <mergeCell ref="B10:D10"/>
  </mergeCells>
  <dataValidations count="1">
    <dataValidation type="list" showErrorMessage="1" errorTitle="Invalid Year" error="Choose a year from the list." sqref="B3" xr:uid="{00000000-0002-0000-0200-000000000000}">
      <formula1>"2026,2027,2028,2029,2030,2031,2032,2033,2034,2035,2036,All Years"</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64"/>
  <sheetViews>
    <sheetView zoomScaleNormal="100" workbookViewId="0">
      <selection sqref="A1:I1"/>
    </sheetView>
  </sheetViews>
  <sheetFormatPr defaultColWidth="8.7109375" defaultRowHeight="15" x14ac:dyDescent="0.25"/>
  <cols>
    <col min="1" max="1" width="22" customWidth="1"/>
    <col min="2" max="2" width="18" customWidth="1"/>
    <col min="3" max="3" width="22" customWidth="1"/>
    <col min="4" max="6" width="16" customWidth="1"/>
    <col min="7" max="7" width="18" customWidth="1"/>
    <col min="8" max="9" width="14" customWidth="1"/>
  </cols>
  <sheetData>
    <row r="1" spans="1:9" ht="45" customHeight="1" x14ac:dyDescent="0.25">
      <c r="A1" s="295" t="s">
        <v>70</v>
      </c>
      <c r="B1" s="265"/>
      <c r="C1" s="265"/>
      <c r="D1" s="265"/>
      <c r="E1" s="265"/>
      <c r="F1" s="265"/>
      <c r="G1" s="265"/>
      <c r="H1" s="265"/>
      <c r="I1" s="265"/>
    </row>
    <row r="2" spans="1:9" ht="18" customHeight="1" x14ac:dyDescent="0.25">
      <c r="A2" s="289" t="s">
        <v>71</v>
      </c>
      <c r="B2" s="265"/>
      <c r="C2" s="265"/>
      <c r="D2" s="265"/>
      <c r="E2" s="265"/>
      <c r="F2" s="265"/>
      <c r="G2" s="265"/>
      <c r="H2" s="265"/>
      <c r="I2" s="265"/>
    </row>
    <row r="3" spans="1:9" ht="21.75" customHeight="1" x14ac:dyDescent="0.25">
      <c r="A3" s="10" t="s">
        <v>72</v>
      </c>
      <c r="B3" s="11">
        <f>'📅 Year Control'!B3</f>
        <v>2026</v>
      </c>
    </row>
    <row r="5" spans="1:9" ht="21.75" customHeight="1" x14ac:dyDescent="0.25">
      <c r="A5" s="294" t="s">
        <v>73</v>
      </c>
      <c r="B5" s="265"/>
      <c r="C5" s="265"/>
      <c r="D5" s="265"/>
      <c r="E5" s="265"/>
      <c r="F5" s="265"/>
      <c r="G5" s="265"/>
      <c r="H5" s="265"/>
      <c r="I5" s="265"/>
    </row>
    <row r="6" spans="1:9" ht="18" customHeight="1" x14ac:dyDescent="0.25">
      <c r="A6" s="12" t="s">
        <v>74</v>
      </c>
      <c r="B6" s="12" t="s">
        <v>75</v>
      </c>
      <c r="C6" s="12" t="s">
        <v>76</v>
      </c>
      <c r="D6" s="12" t="s">
        <v>77</v>
      </c>
      <c r="E6" s="12" t="s">
        <v>78</v>
      </c>
      <c r="F6" s="12" t="s">
        <v>79</v>
      </c>
      <c r="G6" s="12" t="s">
        <v>14</v>
      </c>
      <c r="H6" s="12" t="s">
        <v>13</v>
      </c>
      <c r="I6" s="12" t="s">
        <v>1</v>
      </c>
    </row>
    <row r="7" spans="1:9" x14ac:dyDescent="0.25">
      <c r="A7" s="13">
        <v>1</v>
      </c>
      <c r="B7" s="14" t="str">
        <f>IFERROR(INDEX(DB_Savings!$B:$B,SMALL(IF((DB_Savings!$I$2:$I$5001=SelectedYear)+(SelectedYear="All Years"),ROW(DB_Savings!$B$2:$B$5001)),1))&amp;"","")</f>
        <v/>
      </c>
      <c r="C7" s="14" t="str">
        <f>IFERROR(INDEX(DB_Savings!$C:$C,SMALL(IF((DB_Savings!$I$2:$I$5001=SelectedYear)+(SelectedYear="All Years"),ROW(DB_Savings!$C$2:$C$5001)),1))&amp;"","")</f>
        <v/>
      </c>
      <c r="D7" s="14" t="str">
        <f>IFERROR(INDEX(DB_Savings!$D:$D,SMALL(IF((DB_Savings!$I$2:$I$5001=SelectedYear)+(SelectedYear="All Years"),ROW(DB_Savings!$D$2:$D$5001)),1))&amp;"","")</f>
        <v/>
      </c>
      <c r="E7" s="14" t="str">
        <f>IFERROR(INDEX(DB_Savings!$E:$E,SMALL(IF((DB_Savings!$I$2:$I$5001=SelectedYear)+(SelectedYear="All Years"),ROW(DB_Savings!$E$2:$E$5001)),1))&amp;"","")</f>
        <v/>
      </c>
      <c r="F7" s="15">
        <f>IFERROR(INDEX(DB_Savings!$F:$F,SMALL(IF((DB_Savings!$I$2:$I$5001=SelectedYear)+(SelectedYear="All Years"),ROW(DB_Savings!$F$2:$F$5001)),1)),"")</f>
        <v>0</v>
      </c>
      <c r="G7" s="14" t="str">
        <f>IFERROR(INDEX(DB_Savings!$G:$G,SMALL(IF((DB_Savings!$I$2:$I$5001=SelectedYear)+(SelectedYear="All Years"),ROW(DB_Savings!$G$2:$G$5001)),1))&amp;"","")</f>
        <v/>
      </c>
      <c r="H7" s="14" t="str">
        <f>IFERROR(INDEX(DB_Savings!$H:$H,SMALL(IF((DB_Savings!$I$2:$I$5001=SelectedYear)+(SelectedYear="All Years"),ROW(DB_Savings!$H$2:$H$5001)),1))&amp;"","")</f>
        <v/>
      </c>
      <c r="I7" s="14" t="str">
        <f t="shared" ref="I7:I38" si="0">IF(E7="","",IFERROR(YEAR(E7),""))</f>
        <v/>
      </c>
    </row>
    <row r="8" spans="1:9" x14ac:dyDescent="0.25">
      <c r="A8" s="13">
        <v>2</v>
      </c>
      <c r="B8" s="14" t="str">
        <f>IFERROR(INDEX(DB_Savings!$B:$B,SMALL(IF((DB_Savings!$I$2:$I$5001=SelectedYear)+(SelectedYear="All Years"),ROW(DB_Savings!$B$2:$B$5001)),2))&amp;"","")</f>
        <v/>
      </c>
      <c r="C8" s="14" t="str">
        <f>IFERROR(INDEX(DB_Savings!$C:$C,SMALL(IF((DB_Savings!$I$2:$I$5001=SelectedYear)+(SelectedYear="All Years"),ROW(DB_Savings!$C$2:$C$5001)),2))&amp;"","")</f>
        <v/>
      </c>
      <c r="D8" s="14" t="str">
        <f>IFERROR(INDEX(DB_Savings!$D:$D,SMALL(IF((DB_Savings!$I$2:$I$5001=SelectedYear)+(SelectedYear="All Years"),ROW(DB_Savings!$D$2:$D$5001)),2))&amp;"","")</f>
        <v/>
      </c>
      <c r="E8" s="14" t="str">
        <f>IFERROR(INDEX(DB_Savings!$E:$E,SMALL(IF((DB_Savings!$I$2:$I$5001=SelectedYear)+(SelectedYear="All Years"),ROW(DB_Savings!$E$2:$E$5001)),2))&amp;"","")</f>
        <v/>
      </c>
      <c r="F8" s="14" t="str">
        <f>IFERROR(INDEX(DB_Savings!$F:$F,SMALL(IF((DB_Savings!$I$2:$I$5001=SelectedYear)+(SelectedYear="All Years"),ROW(DB_Savings!$F$2:$F$5001)),2)),"")</f>
        <v/>
      </c>
      <c r="G8" s="14" t="str">
        <f>IFERROR(INDEX(DB_Savings!$G:$G,SMALL(IF((DB_Savings!$I$2:$I$5001=SelectedYear)+(SelectedYear="All Years"),ROW(DB_Savings!$G$2:$G$5001)),2))&amp;"","")</f>
        <v/>
      </c>
      <c r="H8" s="14" t="str">
        <f>IFERROR(INDEX(DB_Savings!$H:$H,SMALL(IF((DB_Savings!$I$2:$I$5001=SelectedYear)+(SelectedYear="All Years"),ROW(DB_Savings!$H$2:$H$5001)),2))&amp;"","")</f>
        <v/>
      </c>
      <c r="I8" s="14" t="str">
        <f t="shared" si="0"/>
        <v/>
      </c>
    </row>
    <row r="9" spans="1:9" x14ac:dyDescent="0.25">
      <c r="A9" s="13">
        <v>3</v>
      </c>
      <c r="B9" s="14" t="str">
        <f>IFERROR(INDEX(DB_Savings!$B:$B,SMALL(IF((DB_Savings!$I$2:$I$5001=SelectedYear)+(SelectedYear="All Years"),ROW(DB_Savings!$B$2:$B$5001)),3))&amp;"","")</f>
        <v/>
      </c>
      <c r="C9" s="14" t="str">
        <f>IFERROR(INDEX(DB_Savings!$C:$C,SMALL(IF((DB_Savings!$I$2:$I$5001=SelectedYear)+(SelectedYear="All Years"),ROW(DB_Savings!$C$2:$C$5001)),3))&amp;"","")</f>
        <v/>
      </c>
      <c r="D9" s="14" t="str">
        <f>IFERROR(INDEX(DB_Savings!$D:$D,SMALL(IF((DB_Savings!$I$2:$I$5001=SelectedYear)+(SelectedYear="All Years"),ROW(DB_Savings!$D$2:$D$5001)),3))&amp;"","")</f>
        <v/>
      </c>
      <c r="E9" s="14" t="str">
        <f>IFERROR(INDEX(DB_Savings!$E:$E,SMALL(IF((DB_Savings!$I$2:$I$5001=SelectedYear)+(SelectedYear="All Years"),ROW(DB_Savings!$E$2:$E$5001)),3))&amp;"","")</f>
        <v/>
      </c>
      <c r="F9" s="14" t="str">
        <f>IFERROR(INDEX(DB_Savings!$F:$F,SMALL(IF((DB_Savings!$I$2:$I$5001=SelectedYear)+(SelectedYear="All Years"),ROW(DB_Savings!$F$2:$F$5001)),3)),"")</f>
        <v/>
      </c>
      <c r="G9" s="14" t="str">
        <f>IFERROR(INDEX(DB_Savings!$G:$G,SMALL(IF((DB_Savings!$I$2:$I$5001=SelectedYear)+(SelectedYear="All Years"),ROW(DB_Savings!$G$2:$G$5001)),3))&amp;"","")</f>
        <v/>
      </c>
      <c r="H9" s="14" t="str">
        <f>IFERROR(INDEX(DB_Savings!$H:$H,SMALL(IF((DB_Savings!$I$2:$I$5001=SelectedYear)+(SelectedYear="All Years"),ROW(DB_Savings!$H$2:$H$5001)),3))&amp;"","")</f>
        <v/>
      </c>
      <c r="I9" s="14" t="str">
        <f t="shared" si="0"/>
        <v/>
      </c>
    </row>
    <row r="10" spans="1:9" x14ac:dyDescent="0.25">
      <c r="A10" s="13">
        <v>4</v>
      </c>
      <c r="B10" s="14" t="str">
        <f>IFERROR(INDEX(DB_Savings!$B:$B,SMALL(IF((DB_Savings!$I$2:$I$5001=SelectedYear)+(SelectedYear="All Years"),ROW(DB_Savings!$B$2:$B$5001)),4))&amp;"","")</f>
        <v/>
      </c>
      <c r="C10" s="14" t="str">
        <f>IFERROR(INDEX(DB_Savings!$C:$C,SMALL(IF((DB_Savings!$I$2:$I$5001=SelectedYear)+(SelectedYear="All Years"),ROW(DB_Savings!$C$2:$C$5001)),4))&amp;"","")</f>
        <v/>
      </c>
      <c r="D10" s="14" t="str">
        <f>IFERROR(INDEX(DB_Savings!$D:$D,SMALL(IF((DB_Savings!$I$2:$I$5001=SelectedYear)+(SelectedYear="All Years"),ROW(DB_Savings!$D$2:$D$5001)),4))&amp;"","")</f>
        <v/>
      </c>
      <c r="E10" s="14" t="str">
        <f>IFERROR(INDEX(DB_Savings!$E:$E,SMALL(IF((DB_Savings!$I$2:$I$5001=SelectedYear)+(SelectedYear="All Years"),ROW(DB_Savings!$E$2:$E$5001)),4))&amp;"","")</f>
        <v/>
      </c>
      <c r="F10" s="14" t="str">
        <f>IFERROR(INDEX(DB_Savings!$F:$F,SMALL(IF((DB_Savings!$I$2:$I$5001=SelectedYear)+(SelectedYear="All Years"),ROW(DB_Savings!$F$2:$F$5001)),4)),"")</f>
        <v/>
      </c>
      <c r="G10" s="14" t="str">
        <f>IFERROR(INDEX(DB_Savings!$G:$G,SMALL(IF((DB_Savings!$I$2:$I$5001=SelectedYear)+(SelectedYear="All Years"),ROW(DB_Savings!$G$2:$G$5001)),4))&amp;"","")</f>
        <v/>
      </c>
      <c r="H10" s="14" t="str">
        <f>IFERROR(INDEX(DB_Savings!$H:$H,SMALL(IF((DB_Savings!$I$2:$I$5001=SelectedYear)+(SelectedYear="All Years"),ROW(DB_Savings!$H$2:$H$5001)),4))&amp;"","")</f>
        <v/>
      </c>
      <c r="I10" s="14" t="str">
        <f t="shared" si="0"/>
        <v/>
      </c>
    </row>
    <row r="11" spans="1:9" x14ac:dyDescent="0.25">
      <c r="A11" s="13">
        <v>5</v>
      </c>
      <c r="B11" s="14" t="str">
        <f>IFERROR(INDEX(DB_Savings!$B:$B,SMALL(IF((DB_Savings!$I$2:$I$5001=SelectedYear)+(SelectedYear="All Years"),ROW(DB_Savings!$B$2:$B$5001)),5))&amp;"","")</f>
        <v/>
      </c>
      <c r="C11" s="14" t="str">
        <f>IFERROR(INDEX(DB_Savings!$C:$C,SMALL(IF((DB_Savings!$I$2:$I$5001=SelectedYear)+(SelectedYear="All Years"),ROW(DB_Savings!$C$2:$C$5001)),5))&amp;"","")</f>
        <v/>
      </c>
      <c r="D11" s="14" t="str">
        <f>IFERROR(INDEX(DB_Savings!$D:$D,SMALL(IF((DB_Savings!$I$2:$I$5001=SelectedYear)+(SelectedYear="All Years"),ROW(DB_Savings!$D$2:$D$5001)),5))&amp;"","")</f>
        <v/>
      </c>
      <c r="E11" s="14" t="str">
        <f>IFERROR(INDEX(DB_Savings!$E:$E,SMALL(IF((DB_Savings!$I$2:$I$5001=SelectedYear)+(SelectedYear="All Years"),ROW(DB_Savings!$E$2:$E$5001)),5))&amp;"","")</f>
        <v/>
      </c>
      <c r="F11" s="14" t="str">
        <f>IFERROR(INDEX(DB_Savings!$F:$F,SMALL(IF((DB_Savings!$I$2:$I$5001=SelectedYear)+(SelectedYear="All Years"),ROW(DB_Savings!$F$2:$F$5001)),5)),"")</f>
        <v/>
      </c>
      <c r="G11" s="14" t="str">
        <f>IFERROR(INDEX(DB_Savings!$G:$G,SMALL(IF((DB_Savings!$I$2:$I$5001=SelectedYear)+(SelectedYear="All Years"),ROW(DB_Savings!$G$2:$G$5001)),5))&amp;"","")</f>
        <v/>
      </c>
      <c r="H11" s="14" t="str">
        <f>IFERROR(INDEX(DB_Savings!$H:$H,SMALL(IF((DB_Savings!$I$2:$I$5001=SelectedYear)+(SelectedYear="All Years"),ROW(DB_Savings!$H$2:$H$5001)),5))&amp;"","")</f>
        <v/>
      </c>
      <c r="I11" s="14" t="str">
        <f t="shared" si="0"/>
        <v/>
      </c>
    </row>
    <row r="12" spans="1:9" x14ac:dyDescent="0.25">
      <c r="A12" s="13">
        <v>6</v>
      </c>
      <c r="B12" s="14" t="str">
        <f>IFERROR(INDEX(DB_Savings!$B:$B,SMALL(IF((DB_Savings!$I$2:$I$5001=SelectedYear)+(SelectedYear="All Years"),ROW(DB_Savings!$B$2:$B$5001)),6))&amp;"","")</f>
        <v/>
      </c>
      <c r="C12" s="14" t="str">
        <f>IFERROR(INDEX(DB_Savings!$C:$C,SMALL(IF((DB_Savings!$I$2:$I$5001=SelectedYear)+(SelectedYear="All Years"),ROW(DB_Savings!$C$2:$C$5001)),6))&amp;"","")</f>
        <v/>
      </c>
      <c r="D12" s="14" t="str">
        <f>IFERROR(INDEX(DB_Savings!$D:$D,SMALL(IF((DB_Savings!$I$2:$I$5001=SelectedYear)+(SelectedYear="All Years"),ROW(DB_Savings!$D$2:$D$5001)),6))&amp;"","")</f>
        <v/>
      </c>
      <c r="E12" s="14" t="str">
        <f>IFERROR(INDEX(DB_Savings!$E:$E,SMALL(IF((DB_Savings!$I$2:$I$5001=SelectedYear)+(SelectedYear="All Years"),ROW(DB_Savings!$E$2:$E$5001)),6))&amp;"","")</f>
        <v/>
      </c>
      <c r="F12" s="14" t="str">
        <f>IFERROR(INDEX(DB_Savings!$F:$F,SMALL(IF((DB_Savings!$I$2:$I$5001=SelectedYear)+(SelectedYear="All Years"),ROW(DB_Savings!$F$2:$F$5001)),6)),"")</f>
        <v/>
      </c>
      <c r="G12" s="14" t="str">
        <f>IFERROR(INDEX(DB_Savings!$G:$G,SMALL(IF((DB_Savings!$I$2:$I$5001=SelectedYear)+(SelectedYear="All Years"),ROW(DB_Savings!$G$2:$G$5001)),6))&amp;"","")</f>
        <v/>
      </c>
      <c r="H12" s="14" t="str">
        <f>IFERROR(INDEX(DB_Savings!$H:$H,SMALL(IF((DB_Savings!$I$2:$I$5001=SelectedYear)+(SelectedYear="All Years"),ROW(DB_Savings!$H$2:$H$5001)),6))&amp;"","")</f>
        <v/>
      </c>
      <c r="I12" s="14" t="str">
        <f t="shared" si="0"/>
        <v/>
      </c>
    </row>
    <row r="13" spans="1:9" x14ac:dyDescent="0.25">
      <c r="A13" s="13">
        <v>7</v>
      </c>
      <c r="B13" s="14" t="str">
        <f>IFERROR(INDEX(DB_Savings!$B:$B,SMALL(IF((DB_Savings!$I$2:$I$5001=SelectedYear)+(SelectedYear="All Years"),ROW(DB_Savings!$B$2:$B$5001)),7))&amp;"","")</f>
        <v/>
      </c>
      <c r="C13" s="14" t="str">
        <f>IFERROR(INDEX(DB_Savings!$C:$C,SMALL(IF((DB_Savings!$I$2:$I$5001=SelectedYear)+(SelectedYear="All Years"),ROW(DB_Savings!$C$2:$C$5001)),7))&amp;"","")</f>
        <v/>
      </c>
      <c r="D13" s="14" t="str">
        <f>IFERROR(INDEX(DB_Savings!$D:$D,SMALL(IF((DB_Savings!$I$2:$I$5001=SelectedYear)+(SelectedYear="All Years"),ROW(DB_Savings!$D$2:$D$5001)),7))&amp;"","")</f>
        <v/>
      </c>
      <c r="E13" s="14" t="str">
        <f>IFERROR(INDEX(DB_Savings!$E:$E,SMALL(IF((DB_Savings!$I$2:$I$5001=SelectedYear)+(SelectedYear="All Years"),ROW(DB_Savings!$E$2:$E$5001)),7))&amp;"","")</f>
        <v/>
      </c>
      <c r="F13" s="14" t="str">
        <f>IFERROR(INDEX(DB_Savings!$F:$F,SMALL(IF((DB_Savings!$I$2:$I$5001=SelectedYear)+(SelectedYear="All Years"),ROW(DB_Savings!$F$2:$F$5001)),7)),"")</f>
        <v/>
      </c>
      <c r="G13" s="14" t="str">
        <f>IFERROR(INDEX(DB_Savings!$G:$G,SMALL(IF((DB_Savings!$I$2:$I$5001=SelectedYear)+(SelectedYear="All Years"),ROW(DB_Savings!$G$2:$G$5001)),7))&amp;"","")</f>
        <v/>
      </c>
      <c r="H13" s="14" t="str">
        <f>IFERROR(INDEX(DB_Savings!$H:$H,SMALL(IF((DB_Savings!$I$2:$I$5001=SelectedYear)+(SelectedYear="All Years"),ROW(DB_Savings!$H$2:$H$5001)),7))&amp;"","")</f>
        <v/>
      </c>
      <c r="I13" s="14" t="str">
        <f t="shared" si="0"/>
        <v/>
      </c>
    </row>
    <row r="14" spans="1:9" x14ac:dyDescent="0.25">
      <c r="A14" s="13">
        <v>8</v>
      </c>
      <c r="B14" s="14" t="str">
        <f>IFERROR(INDEX(DB_Savings!$B:$B,SMALL(IF((DB_Savings!$I$2:$I$5001=SelectedYear)+(SelectedYear="All Years"),ROW(DB_Savings!$B$2:$B$5001)),8))&amp;"","")</f>
        <v/>
      </c>
      <c r="C14" s="14" t="str">
        <f>IFERROR(INDEX(DB_Savings!$C:$C,SMALL(IF((DB_Savings!$I$2:$I$5001=SelectedYear)+(SelectedYear="All Years"),ROW(DB_Savings!$C$2:$C$5001)),8))&amp;"","")</f>
        <v/>
      </c>
      <c r="D14" s="14" t="str">
        <f>IFERROR(INDEX(DB_Savings!$D:$D,SMALL(IF((DB_Savings!$I$2:$I$5001=SelectedYear)+(SelectedYear="All Years"),ROW(DB_Savings!$D$2:$D$5001)),8))&amp;"","")</f>
        <v/>
      </c>
      <c r="E14" s="14" t="str">
        <f>IFERROR(INDEX(DB_Savings!$E:$E,SMALL(IF((DB_Savings!$I$2:$I$5001=SelectedYear)+(SelectedYear="All Years"),ROW(DB_Savings!$E$2:$E$5001)),8))&amp;"","")</f>
        <v/>
      </c>
      <c r="F14" s="14" t="str">
        <f>IFERROR(INDEX(DB_Savings!$F:$F,SMALL(IF((DB_Savings!$I$2:$I$5001=SelectedYear)+(SelectedYear="All Years"),ROW(DB_Savings!$F$2:$F$5001)),8)),"")</f>
        <v/>
      </c>
      <c r="G14" s="14" t="str">
        <f>IFERROR(INDEX(DB_Savings!$G:$G,SMALL(IF((DB_Savings!$I$2:$I$5001=SelectedYear)+(SelectedYear="All Years"),ROW(DB_Savings!$G$2:$G$5001)),8))&amp;"","")</f>
        <v/>
      </c>
      <c r="H14" s="14" t="str">
        <f>IFERROR(INDEX(DB_Savings!$H:$H,SMALL(IF((DB_Savings!$I$2:$I$5001=SelectedYear)+(SelectedYear="All Years"),ROW(DB_Savings!$H$2:$H$5001)),8))&amp;"","")</f>
        <v/>
      </c>
      <c r="I14" s="14" t="str">
        <f t="shared" si="0"/>
        <v/>
      </c>
    </row>
    <row r="15" spans="1:9" x14ac:dyDescent="0.25">
      <c r="A15" s="13">
        <v>9</v>
      </c>
      <c r="B15" s="14" t="str">
        <f>IFERROR(INDEX(DB_Savings!$B:$B,SMALL(IF((DB_Savings!$I$2:$I$5001=SelectedYear)+(SelectedYear="All Years"),ROW(DB_Savings!$B$2:$B$5001)),9))&amp;"","")</f>
        <v/>
      </c>
      <c r="C15" s="14" t="str">
        <f>IFERROR(INDEX(DB_Savings!$C:$C,SMALL(IF((DB_Savings!$I$2:$I$5001=SelectedYear)+(SelectedYear="All Years"),ROW(DB_Savings!$C$2:$C$5001)),9))&amp;"","")</f>
        <v/>
      </c>
      <c r="D15" s="14" t="str">
        <f>IFERROR(INDEX(DB_Savings!$D:$D,SMALL(IF((DB_Savings!$I$2:$I$5001=SelectedYear)+(SelectedYear="All Years"),ROW(DB_Savings!$D$2:$D$5001)),9))&amp;"","")</f>
        <v/>
      </c>
      <c r="E15" s="14" t="str">
        <f>IFERROR(INDEX(DB_Savings!$E:$E,SMALL(IF((DB_Savings!$I$2:$I$5001=SelectedYear)+(SelectedYear="All Years"),ROW(DB_Savings!$E$2:$E$5001)),9))&amp;"","")</f>
        <v/>
      </c>
      <c r="F15" s="14" t="str">
        <f>IFERROR(INDEX(DB_Savings!$F:$F,SMALL(IF((DB_Savings!$I$2:$I$5001=SelectedYear)+(SelectedYear="All Years"),ROW(DB_Savings!$F$2:$F$5001)),9)),"")</f>
        <v/>
      </c>
      <c r="G15" s="14" t="str">
        <f>IFERROR(INDEX(DB_Savings!$G:$G,SMALL(IF((DB_Savings!$I$2:$I$5001=SelectedYear)+(SelectedYear="All Years"),ROW(DB_Savings!$G$2:$G$5001)),9))&amp;"","")</f>
        <v/>
      </c>
      <c r="H15" s="14" t="str">
        <f>IFERROR(INDEX(DB_Savings!$H:$H,SMALL(IF((DB_Savings!$I$2:$I$5001=SelectedYear)+(SelectedYear="All Years"),ROW(DB_Savings!$H$2:$H$5001)),9))&amp;"","")</f>
        <v/>
      </c>
      <c r="I15" s="14" t="str">
        <f t="shared" si="0"/>
        <v/>
      </c>
    </row>
    <row r="16" spans="1:9" x14ac:dyDescent="0.25">
      <c r="A16" s="13">
        <v>10</v>
      </c>
      <c r="B16" s="14" t="str">
        <f>IFERROR(INDEX(DB_Savings!$B:$B,SMALL(IF((DB_Savings!$I$2:$I$5001=SelectedYear)+(SelectedYear="All Years"),ROW(DB_Savings!$B$2:$B$5001)),10))&amp;"","")</f>
        <v/>
      </c>
      <c r="C16" s="14" t="str">
        <f>IFERROR(INDEX(DB_Savings!$C:$C,SMALL(IF((DB_Savings!$I$2:$I$5001=SelectedYear)+(SelectedYear="All Years"),ROW(DB_Savings!$C$2:$C$5001)),10))&amp;"","")</f>
        <v/>
      </c>
      <c r="D16" s="14" t="str">
        <f>IFERROR(INDEX(DB_Savings!$D:$D,SMALL(IF((DB_Savings!$I$2:$I$5001=SelectedYear)+(SelectedYear="All Years"),ROW(DB_Savings!$D$2:$D$5001)),10))&amp;"","")</f>
        <v/>
      </c>
      <c r="E16" s="14" t="str">
        <f>IFERROR(INDEX(DB_Savings!$E:$E,SMALL(IF((DB_Savings!$I$2:$I$5001=SelectedYear)+(SelectedYear="All Years"),ROW(DB_Savings!$E$2:$E$5001)),10))&amp;"","")</f>
        <v/>
      </c>
      <c r="F16" s="14" t="str">
        <f>IFERROR(INDEX(DB_Savings!$F:$F,SMALL(IF((DB_Savings!$I$2:$I$5001=SelectedYear)+(SelectedYear="All Years"),ROW(DB_Savings!$F$2:$F$5001)),10)),"")</f>
        <v/>
      </c>
      <c r="G16" s="14" t="str">
        <f>IFERROR(INDEX(DB_Savings!$G:$G,SMALL(IF((DB_Savings!$I$2:$I$5001=SelectedYear)+(SelectedYear="All Years"),ROW(DB_Savings!$G$2:$G$5001)),10))&amp;"","")</f>
        <v/>
      </c>
      <c r="H16" s="14" t="str">
        <f>IFERROR(INDEX(DB_Savings!$H:$H,SMALL(IF((DB_Savings!$I$2:$I$5001=SelectedYear)+(SelectedYear="All Years"),ROW(DB_Savings!$H$2:$H$5001)),10))&amp;"","")</f>
        <v/>
      </c>
      <c r="I16" s="14" t="str">
        <f t="shared" si="0"/>
        <v/>
      </c>
    </row>
    <row r="17" spans="1:9" x14ac:dyDescent="0.25">
      <c r="A17" s="13">
        <v>11</v>
      </c>
      <c r="B17" s="14" t="str">
        <f>IFERROR(INDEX(DB_Savings!$B:$B,SMALL(IF((DB_Savings!$I$2:$I$5001=SelectedYear)+(SelectedYear="All Years"),ROW(DB_Savings!$B$2:$B$5001)),11))&amp;"","")</f>
        <v/>
      </c>
      <c r="C17" s="14" t="str">
        <f>IFERROR(INDEX(DB_Savings!$C:$C,SMALL(IF((DB_Savings!$I$2:$I$5001=SelectedYear)+(SelectedYear="All Years"),ROW(DB_Savings!$C$2:$C$5001)),11))&amp;"","")</f>
        <v/>
      </c>
      <c r="D17" s="14" t="str">
        <f>IFERROR(INDEX(DB_Savings!$D:$D,SMALL(IF((DB_Savings!$I$2:$I$5001=SelectedYear)+(SelectedYear="All Years"),ROW(DB_Savings!$D$2:$D$5001)),11))&amp;"","")</f>
        <v/>
      </c>
      <c r="E17" s="14" t="str">
        <f>IFERROR(INDEX(DB_Savings!$E:$E,SMALL(IF((DB_Savings!$I$2:$I$5001=SelectedYear)+(SelectedYear="All Years"),ROW(DB_Savings!$E$2:$E$5001)),11))&amp;"","")</f>
        <v/>
      </c>
      <c r="F17" s="14" t="str">
        <f>IFERROR(INDEX(DB_Savings!$F:$F,SMALL(IF((DB_Savings!$I$2:$I$5001=SelectedYear)+(SelectedYear="All Years"),ROW(DB_Savings!$F$2:$F$5001)),11)),"")</f>
        <v/>
      </c>
      <c r="G17" s="14" t="str">
        <f>IFERROR(INDEX(DB_Savings!$G:$G,SMALL(IF((DB_Savings!$I$2:$I$5001=SelectedYear)+(SelectedYear="All Years"),ROW(DB_Savings!$G$2:$G$5001)),11))&amp;"","")</f>
        <v/>
      </c>
      <c r="H17" s="14" t="str">
        <f>IFERROR(INDEX(DB_Savings!$H:$H,SMALL(IF((DB_Savings!$I$2:$I$5001=SelectedYear)+(SelectedYear="All Years"),ROW(DB_Savings!$H$2:$H$5001)),11))&amp;"","")</f>
        <v/>
      </c>
      <c r="I17" s="14" t="str">
        <f t="shared" si="0"/>
        <v/>
      </c>
    </row>
    <row r="18" spans="1:9" x14ac:dyDescent="0.25">
      <c r="A18" s="13">
        <v>12</v>
      </c>
      <c r="B18" s="14" t="str">
        <f>IFERROR(INDEX(DB_Savings!$B:$B,SMALL(IF((DB_Savings!$I$2:$I$5001=SelectedYear)+(SelectedYear="All Years"),ROW(DB_Savings!$B$2:$B$5001)),12))&amp;"","")</f>
        <v/>
      </c>
      <c r="C18" s="14" t="str">
        <f>IFERROR(INDEX(DB_Savings!$C:$C,SMALL(IF((DB_Savings!$I$2:$I$5001=SelectedYear)+(SelectedYear="All Years"),ROW(DB_Savings!$C$2:$C$5001)),12))&amp;"","")</f>
        <v/>
      </c>
      <c r="D18" s="14" t="str">
        <f>IFERROR(INDEX(DB_Savings!$D:$D,SMALL(IF((DB_Savings!$I$2:$I$5001=SelectedYear)+(SelectedYear="All Years"),ROW(DB_Savings!$D$2:$D$5001)),12))&amp;"","")</f>
        <v/>
      </c>
      <c r="E18" s="14" t="str">
        <f>IFERROR(INDEX(DB_Savings!$E:$E,SMALL(IF((DB_Savings!$I$2:$I$5001=SelectedYear)+(SelectedYear="All Years"),ROW(DB_Savings!$E$2:$E$5001)),12))&amp;"","")</f>
        <v/>
      </c>
      <c r="F18" s="14" t="str">
        <f>IFERROR(INDEX(DB_Savings!$F:$F,SMALL(IF((DB_Savings!$I$2:$I$5001=SelectedYear)+(SelectedYear="All Years"),ROW(DB_Savings!$F$2:$F$5001)),12)),"")</f>
        <v/>
      </c>
      <c r="G18" s="14" t="str">
        <f>IFERROR(INDEX(DB_Savings!$G:$G,SMALL(IF((DB_Savings!$I$2:$I$5001=SelectedYear)+(SelectedYear="All Years"),ROW(DB_Savings!$G$2:$G$5001)),12))&amp;"","")</f>
        <v/>
      </c>
      <c r="H18" s="14" t="str">
        <f>IFERROR(INDEX(DB_Savings!$H:$H,SMALL(IF((DB_Savings!$I$2:$I$5001=SelectedYear)+(SelectedYear="All Years"),ROW(DB_Savings!$H$2:$H$5001)),12))&amp;"","")</f>
        <v/>
      </c>
      <c r="I18" s="14" t="str">
        <f t="shared" si="0"/>
        <v/>
      </c>
    </row>
    <row r="19" spans="1:9" x14ac:dyDescent="0.25">
      <c r="A19" s="13">
        <v>13</v>
      </c>
      <c r="B19" s="14" t="str">
        <f>IFERROR(INDEX(DB_Savings!$B:$B,SMALL(IF((DB_Savings!$I$2:$I$5001=SelectedYear)+(SelectedYear="All Years"),ROW(DB_Savings!$B$2:$B$5001)),13))&amp;"","")</f>
        <v/>
      </c>
      <c r="C19" s="14" t="str">
        <f>IFERROR(INDEX(DB_Savings!$C:$C,SMALL(IF((DB_Savings!$I$2:$I$5001=SelectedYear)+(SelectedYear="All Years"),ROW(DB_Savings!$C$2:$C$5001)),13))&amp;"","")</f>
        <v/>
      </c>
      <c r="D19" s="14" t="str">
        <f>IFERROR(INDEX(DB_Savings!$D:$D,SMALL(IF((DB_Savings!$I$2:$I$5001=SelectedYear)+(SelectedYear="All Years"),ROW(DB_Savings!$D$2:$D$5001)),13))&amp;"","")</f>
        <v/>
      </c>
      <c r="E19" s="14" t="str">
        <f>IFERROR(INDEX(DB_Savings!$E:$E,SMALL(IF((DB_Savings!$I$2:$I$5001=SelectedYear)+(SelectedYear="All Years"),ROW(DB_Savings!$E$2:$E$5001)),13))&amp;"","")</f>
        <v/>
      </c>
      <c r="F19" s="14" t="str">
        <f>IFERROR(INDEX(DB_Savings!$F:$F,SMALL(IF((DB_Savings!$I$2:$I$5001=SelectedYear)+(SelectedYear="All Years"),ROW(DB_Savings!$F$2:$F$5001)),13)),"")</f>
        <v/>
      </c>
      <c r="G19" s="14" t="str">
        <f>IFERROR(INDEX(DB_Savings!$G:$G,SMALL(IF((DB_Savings!$I$2:$I$5001=SelectedYear)+(SelectedYear="All Years"),ROW(DB_Savings!$G$2:$G$5001)),13))&amp;"","")</f>
        <v/>
      </c>
      <c r="H19" s="14" t="str">
        <f>IFERROR(INDEX(DB_Savings!$H:$H,SMALL(IF((DB_Savings!$I$2:$I$5001=SelectedYear)+(SelectedYear="All Years"),ROW(DB_Savings!$H$2:$H$5001)),13))&amp;"","")</f>
        <v/>
      </c>
      <c r="I19" s="14" t="str">
        <f t="shared" si="0"/>
        <v/>
      </c>
    </row>
    <row r="20" spans="1:9" x14ac:dyDescent="0.25">
      <c r="A20" s="13">
        <v>14</v>
      </c>
      <c r="B20" s="14" t="str">
        <f>IFERROR(INDEX(DB_Savings!$B:$B,SMALL(IF((DB_Savings!$I$2:$I$5001=SelectedYear)+(SelectedYear="All Years"),ROW(DB_Savings!$B$2:$B$5001)),14))&amp;"","")</f>
        <v/>
      </c>
      <c r="C20" s="14" t="str">
        <f>IFERROR(INDEX(DB_Savings!$C:$C,SMALL(IF((DB_Savings!$I$2:$I$5001=SelectedYear)+(SelectedYear="All Years"),ROW(DB_Savings!$C$2:$C$5001)),14))&amp;"","")</f>
        <v/>
      </c>
      <c r="D20" s="14" t="str">
        <f>IFERROR(INDEX(DB_Savings!$D:$D,SMALL(IF((DB_Savings!$I$2:$I$5001=SelectedYear)+(SelectedYear="All Years"),ROW(DB_Savings!$D$2:$D$5001)),14))&amp;"","")</f>
        <v/>
      </c>
      <c r="E20" s="14" t="str">
        <f>IFERROR(INDEX(DB_Savings!$E:$E,SMALL(IF((DB_Savings!$I$2:$I$5001=SelectedYear)+(SelectedYear="All Years"),ROW(DB_Savings!$E$2:$E$5001)),14))&amp;"","")</f>
        <v/>
      </c>
      <c r="F20" s="14" t="str">
        <f>IFERROR(INDEX(DB_Savings!$F:$F,SMALL(IF((DB_Savings!$I$2:$I$5001=SelectedYear)+(SelectedYear="All Years"),ROW(DB_Savings!$F$2:$F$5001)),14)),"")</f>
        <v/>
      </c>
      <c r="G20" s="14" t="str">
        <f>IFERROR(INDEX(DB_Savings!$G:$G,SMALL(IF((DB_Savings!$I$2:$I$5001=SelectedYear)+(SelectedYear="All Years"),ROW(DB_Savings!$G$2:$G$5001)),14))&amp;"","")</f>
        <v/>
      </c>
      <c r="H20" s="14" t="str">
        <f>IFERROR(INDEX(DB_Savings!$H:$H,SMALL(IF((DB_Savings!$I$2:$I$5001=SelectedYear)+(SelectedYear="All Years"),ROW(DB_Savings!$H$2:$H$5001)),14))&amp;"","")</f>
        <v/>
      </c>
      <c r="I20" s="14" t="str">
        <f t="shared" si="0"/>
        <v/>
      </c>
    </row>
    <row r="21" spans="1:9" x14ac:dyDescent="0.25">
      <c r="A21" s="13">
        <v>15</v>
      </c>
      <c r="B21" s="14" t="str">
        <f>IFERROR(INDEX(DB_Savings!$B:$B,SMALL(IF((DB_Savings!$I$2:$I$5001=SelectedYear)+(SelectedYear="All Years"),ROW(DB_Savings!$B$2:$B$5001)),15))&amp;"","")</f>
        <v/>
      </c>
      <c r="C21" s="14" t="str">
        <f>IFERROR(INDEX(DB_Savings!$C:$C,SMALL(IF((DB_Savings!$I$2:$I$5001=SelectedYear)+(SelectedYear="All Years"),ROW(DB_Savings!$C$2:$C$5001)),15))&amp;"","")</f>
        <v/>
      </c>
      <c r="D21" s="14" t="str">
        <f>IFERROR(INDEX(DB_Savings!$D:$D,SMALL(IF((DB_Savings!$I$2:$I$5001=SelectedYear)+(SelectedYear="All Years"),ROW(DB_Savings!$D$2:$D$5001)),15))&amp;"","")</f>
        <v/>
      </c>
      <c r="E21" s="14" t="str">
        <f>IFERROR(INDEX(DB_Savings!$E:$E,SMALL(IF((DB_Savings!$I$2:$I$5001=SelectedYear)+(SelectedYear="All Years"),ROW(DB_Savings!$E$2:$E$5001)),15))&amp;"","")</f>
        <v/>
      </c>
      <c r="F21" s="14" t="str">
        <f>IFERROR(INDEX(DB_Savings!$F:$F,SMALL(IF((DB_Savings!$I$2:$I$5001=SelectedYear)+(SelectedYear="All Years"),ROW(DB_Savings!$F$2:$F$5001)),15)),"")</f>
        <v/>
      </c>
      <c r="G21" s="14" t="str">
        <f>IFERROR(INDEX(DB_Savings!$G:$G,SMALL(IF((DB_Savings!$I$2:$I$5001=SelectedYear)+(SelectedYear="All Years"),ROW(DB_Savings!$G$2:$G$5001)),15))&amp;"","")</f>
        <v/>
      </c>
      <c r="H21" s="14" t="str">
        <f>IFERROR(INDEX(DB_Savings!$H:$H,SMALL(IF((DB_Savings!$I$2:$I$5001=SelectedYear)+(SelectedYear="All Years"),ROW(DB_Savings!$H$2:$H$5001)),15))&amp;"","")</f>
        <v/>
      </c>
      <c r="I21" s="14" t="str">
        <f t="shared" si="0"/>
        <v/>
      </c>
    </row>
    <row r="22" spans="1:9" x14ac:dyDescent="0.25">
      <c r="A22" s="13">
        <v>16</v>
      </c>
      <c r="B22" s="14" t="str">
        <f>IFERROR(INDEX(DB_Savings!$B:$B,SMALL(IF((DB_Savings!$I$2:$I$5001=SelectedYear)+(SelectedYear="All Years"),ROW(DB_Savings!$B$2:$B$5001)),16))&amp;"","")</f>
        <v/>
      </c>
      <c r="C22" s="14" t="str">
        <f>IFERROR(INDEX(DB_Savings!$C:$C,SMALL(IF((DB_Savings!$I$2:$I$5001=SelectedYear)+(SelectedYear="All Years"),ROW(DB_Savings!$C$2:$C$5001)),16))&amp;"","")</f>
        <v/>
      </c>
      <c r="D22" s="14" t="str">
        <f>IFERROR(INDEX(DB_Savings!$D:$D,SMALL(IF((DB_Savings!$I$2:$I$5001=SelectedYear)+(SelectedYear="All Years"),ROW(DB_Savings!$D$2:$D$5001)),16))&amp;"","")</f>
        <v/>
      </c>
      <c r="E22" s="14" t="str">
        <f>IFERROR(INDEX(DB_Savings!$E:$E,SMALL(IF((DB_Savings!$I$2:$I$5001=SelectedYear)+(SelectedYear="All Years"),ROW(DB_Savings!$E$2:$E$5001)),16))&amp;"","")</f>
        <v/>
      </c>
      <c r="F22" s="14" t="str">
        <f>IFERROR(INDEX(DB_Savings!$F:$F,SMALL(IF((DB_Savings!$I$2:$I$5001=SelectedYear)+(SelectedYear="All Years"),ROW(DB_Savings!$F$2:$F$5001)),16)),"")</f>
        <v/>
      </c>
      <c r="G22" s="14" t="str">
        <f>IFERROR(INDEX(DB_Savings!$G:$G,SMALL(IF((DB_Savings!$I$2:$I$5001=SelectedYear)+(SelectedYear="All Years"),ROW(DB_Savings!$G$2:$G$5001)),16))&amp;"","")</f>
        <v/>
      </c>
      <c r="H22" s="14" t="str">
        <f>IFERROR(INDEX(DB_Savings!$H:$H,SMALL(IF((DB_Savings!$I$2:$I$5001=SelectedYear)+(SelectedYear="All Years"),ROW(DB_Savings!$H$2:$H$5001)),16))&amp;"","")</f>
        <v/>
      </c>
      <c r="I22" s="14" t="str">
        <f t="shared" si="0"/>
        <v/>
      </c>
    </row>
    <row r="23" spans="1:9" x14ac:dyDescent="0.25">
      <c r="A23" s="13">
        <v>17</v>
      </c>
      <c r="B23" s="14" t="str">
        <f>IFERROR(INDEX(DB_Savings!$B:$B,SMALL(IF((DB_Savings!$I$2:$I$5001=SelectedYear)+(SelectedYear="All Years"),ROW(DB_Savings!$B$2:$B$5001)),17))&amp;"","")</f>
        <v/>
      </c>
      <c r="C23" s="14" t="str">
        <f>IFERROR(INDEX(DB_Savings!$C:$C,SMALL(IF((DB_Savings!$I$2:$I$5001=SelectedYear)+(SelectedYear="All Years"),ROW(DB_Savings!$C$2:$C$5001)),17))&amp;"","")</f>
        <v/>
      </c>
      <c r="D23" s="14" t="str">
        <f>IFERROR(INDEX(DB_Savings!$D:$D,SMALL(IF((DB_Savings!$I$2:$I$5001=SelectedYear)+(SelectedYear="All Years"),ROW(DB_Savings!$D$2:$D$5001)),17))&amp;"","")</f>
        <v/>
      </c>
      <c r="E23" s="14" t="str">
        <f>IFERROR(INDEX(DB_Savings!$E:$E,SMALL(IF((DB_Savings!$I$2:$I$5001=SelectedYear)+(SelectedYear="All Years"),ROW(DB_Savings!$E$2:$E$5001)),17))&amp;"","")</f>
        <v/>
      </c>
      <c r="F23" s="14" t="str">
        <f>IFERROR(INDEX(DB_Savings!$F:$F,SMALL(IF((DB_Savings!$I$2:$I$5001=SelectedYear)+(SelectedYear="All Years"),ROW(DB_Savings!$F$2:$F$5001)),17)),"")</f>
        <v/>
      </c>
      <c r="G23" s="14" t="str">
        <f>IFERROR(INDEX(DB_Savings!$G:$G,SMALL(IF((DB_Savings!$I$2:$I$5001=SelectedYear)+(SelectedYear="All Years"),ROW(DB_Savings!$G$2:$G$5001)),17))&amp;"","")</f>
        <v/>
      </c>
      <c r="H23" s="14" t="str">
        <f>IFERROR(INDEX(DB_Savings!$H:$H,SMALL(IF((DB_Savings!$I$2:$I$5001=SelectedYear)+(SelectedYear="All Years"),ROW(DB_Savings!$H$2:$H$5001)),17))&amp;"","")</f>
        <v/>
      </c>
      <c r="I23" s="14" t="str">
        <f t="shared" si="0"/>
        <v/>
      </c>
    </row>
    <row r="24" spans="1:9" x14ac:dyDescent="0.25">
      <c r="A24" s="13">
        <v>18</v>
      </c>
      <c r="B24" s="14" t="str">
        <f>IFERROR(INDEX(DB_Savings!$B:$B,SMALL(IF((DB_Savings!$I$2:$I$5001=SelectedYear)+(SelectedYear="All Years"),ROW(DB_Savings!$B$2:$B$5001)),18))&amp;"","")</f>
        <v/>
      </c>
      <c r="C24" s="14" t="str">
        <f>IFERROR(INDEX(DB_Savings!$C:$C,SMALL(IF((DB_Savings!$I$2:$I$5001=SelectedYear)+(SelectedYear="All Years"),ROW(DB_Savings!$C$2:$C$5001)),18))&amp;"","")</f>
        <v/>
      </c>
      <c r="D24" s="14" t="str">
        <f>IFERROR(INDEX(DB_Savings!$D:$D,SMALL(IF((DB_Savings!$I$2:$I$5001=SelectedYear)+(SelectedYear="All Years"),ROW(DB_Savings!$D$2:$D$5001)),18))&amp;"","")</f>
        <v/>
      </c>
      <c r="E24" s="14" t="str">
        <f>IFERROR(INDEX(DB_Savings!$E:$E,SMALL(IF((DB_Savings!$I$2:$I$5001=SelectedYear)+(SelectedYear="All Years"),ROW(DB_Savings!$E$2:$E$5001)),18))&amp;"","")</f>
        <v/>
      </c>
      <c r="F24" s="14" t="str">
        <f>IFERROR(INDEX(DB_Savings!$F:$F,SMALL(IF((DB_Savings!$I$2:$I$5001=SelectedYear)+(SelectedYear="All Years"),ROW(DB_Savings!$F$2:$F$5001)),18)),"")</f>
        <v/>
      </c>
      <c r="G24" s="14" t="str">
        <f>IFERROR(INDEX(DB_Savings!$G:$G,SMALL(IF((DB_Savings!$I$2:$I$5001=SelectedYear)+(SelectedYear="All Years"),ROW(DB_Savings!$G$2:$G$5001)),18))&amp;"","")</f>
        <v/>
      </c>
      <c r="H24" s="14" t="str">
        <f>IFERROR(INDEX(DB_Savings!$H:$H,SMALL(IF((DB_Savings!$I$2:$I$5001=SelectedYear)+(SelectedYear="All Years"),ROW(DB_Savings!$H$2:$H$5001)),18))&amp;"","")</f>
        <v/>
      </c>
      <c r="I24" s="14" t="str">
        <f t="shared" si="0"/>
        <v/>
      </c>
    </row>
    <row r="25" spans="1:9" x14ac:dyDescent="0.25">
      <c r="A25" s="13">
        <v>19</v>
      </c>
      <c r="B25" s="14" t="str">
        <f>IFERROR(INDEX(DB_Savings!$B:$B,SMALL(IF((DB_Savings!$I$2:$I$5001=SelectedYear)+(SelectedYear="All Years"),ROW(DB_Savings!$B$2:$B$5001)),19))&amp;"","")</f>
        <v/>
      </c>
      <c r="C25" s="14" t="str">
        <f>IFERROR(INDEX(DB_Savings!$C:$C,SMALL(IF((DB_Savings!$I$2:$I$5001=SelectedYear)+(SelectedYear="All Years"),ROW(DB_Savings!$C$2:$C$5001)),19))&amp;"","")</f>
        <v/>
      </c>
      <c r="D25" s="14" t="str">
        <f>IFERROR(INDEX(DB_Savings!$D:$D,SMALL(IF((DB_Savings!$I$2:$I$5001=SelectedYear)+(SelectedYear="All Years"),ROW(DB_Savings!$D$2:$D$5001)),19))&amp;"","")</f>
        <v/>
      </c>
      <c r="E25" s="14" t="str">
        <f>IFERROR(INDEX(DB_Savings!$E:$E,SMALL(IF((DB_Savings!$I$2:$I$5001=SelectedYear)+(SelectedYear="All Years"),ROW(DB_Savings!$E$2:$E$5001)),19))&amp;"","")</f>
        <v/>
      </c>
      <c r="F25" s="14" t="str">
        <f>IFERROR(INDEX(DB_Savings!$F:$F,SMALL(IF((DB_Savings!$I$2:$I$5001=SelectedYear)+(SelectedYear="All Years"),ROW(DB_Savings!$F$2:$F$5001)),19)),"")</f>
        <v/>
      </c>
      <c r="G25" s="14" t="str">
        <f>IFERROR(INDEX(DB_Savings!$G:$G,SMALL(IF((DB_Savings!$I$2:$I$5001=SelectedYear)+(SelectedYear="All Years"),ROW(DB_Savings!$G$2:$G$5001)),19))&amp;"","")</f>
        <v/>
      </c>
      <c r="H25" s="14" t="str">
        <f>IFERROR(INDEX(DB_Savings!$H:$H,SMALL(IF((DB_Savings!$I$2:$I$5001=SelectedYear)+(SelectedYear="All Years"),ROW(DB_Savings!$H$2:$H$5001)),19))&amp;"","")</f>
        <v/>
      </c>
      <c r="I25" s="14" t="str">
        <f t="shared" si="0"/>
        <v/>
      </c>
    </row>
    <row r="26" spans="1:9" x14ac:dyDescent="0.25">
      <c r="A26" s="13">
        <v>20</v>
      </c>
      <c r="B26" s="14" t="str">
        <f>IFERROR(INDEX(DB_Savings!$B:$B,SMALL(IF((DB_Savings!$I$2:$I$5001=SelectedYear)+(SelectedYear="All Years"),ROW(DB_Savings!$B$2:$B$5001)),20))&amp;"","")</f>
        <v/>
      </c>
      <c r="C26" s="14" t="str">
        <f>IFERROR(INDEX(DB_Savings!$C:$C,SMALL(IF((DB_Savings!$I$2:$I$5001=SelectedYear)+(SelectedYear="All Years"),ROW(DB_Savings!$C$2:$C$5001)),20))&amp;"","")</f>
        <v/>
      </c>
      <c r="D26" s="14" t="str">
        <f>IFERROR(INDEX(DB_Savings!$D:$D,SMALL(IF((DB_Savings!$I$2:$I$5001=SelectedYear)+(SelectedYear="All Years"),ROW(DB_Savings!$D$2:$D$5001)),20))&amp;"","")</f>
        <v/>
      </c>
      <c r="E26" s="14" t="str">
        <f>IFERROR(INDEX(DB_Savings!$E:$E,SMALL(IF((DB_Savings!$I$2:$I$5001=SelectedYear)+(SelectedYear="All Years"),ROW(DB_Savings!$E$2:$E$5001)),20))&amp;"","")</f>
        <v/>
      </c>
      <c r="F26" s="14" t="str">
        <f>IFERROR(INDEX(DB_Savings!$F:$F,SMALL(IF((DB_Savings!$I$2:$I$5001=SelectedYear)+(SelectedYear="All Years"),ROW(DB_Savings!$F$2:$F$5001)),20)),"")</f>
        <v/>
      </c>
      <c r="G26" s="14" t="str">
        <f>IFERROR(INDEX(DB_Savings!$G:$G,SMALL(IF((DB_Savings!$I$2:$I$5001=SelectedYear)+(SelectedYear="All Years"),ROW(DB_Savings!$G$2:$G$5001)),20))&amp;"","")</f>
        <v/>
      </c>
      <c r="H26" s="14" t="str">
        <f>IFERROR(INDEX(DB_Savings!$H:$H,SMALL(IF((DB_Savings!$I$2:$I$5001=SelectedYear)+(SelectedYear="All Years"),ROW(DB_Savings!$H$2:$H$5001)),20))&amp;"","")</f>
        <v/>
      </c>
      <c r="I26" s="14" t="str">
        <f t="shared" si="0"/>
        <v/>
      </c>
    </row>
    <row r="27" spans="1:9" x14ac:dyDescent="0.25">
      <c r="A27" s="13">
        <v>21</v>
      </c>
      <c r="B27" s="14" t="str">
        <f>IFERROR(INDEX(DB_Savings!$B:$B,SMALL(IF((DB_Savings!$I$2:$I$5001=SelectedYear)+(SelectedYear="All Years"),ROW(DB_Savings!$B$2:$B$5001)),21))&amp;"","")</f>
        <v/>
      </c>
      <c r="C27" s="14" t="str">
        <f>IFERROR(INDEX(DB_Savings!$C:$C,SMALL(IF((DB_Savings!$I$2:$I$5001=SelectedYear)+(SelectedYear="All Years"),ROW(DB_Savings!$C$2:$C$5001)),21))&amp;"","")</f>
        <v/>
      </c>
      <c r="D27" s="14" t="str">
        <f>IFERROR(INDEX(DB_Savings!$D:$D,SMALL(IF((DB_Savings!$I$2:$I$5001=SelectedYear)+(SelectedYear="All Years"),ROW(DB_Savings!$D$2:$D$5001)),21))&amp;"","")</f>
        <v/>
      </c>
      <c r="E27" s="14" t="str">
        <f>IFERROR(INDEX(DB_Savings!$E:$E,SMALL(IF((DB_Savings!$I$2:$I$5001=SelectedYear)+(SelectedYear="All Years"),ROW(DB_Savings!$E$2:$E$5001)),21))&amp;"","")</f>
        <v/>
      </c>
      <c r="F27" s="14" t="str">
        <f>IFERROR(INDEX(DB_Savings!$F:$F,SMALL(IF((DB_Savings!$I$2:$I$5001=SelectedYear)+(SelectedYear="All Years"),ROW(DB_Savings!$F$2:$F$5001)),21)),"")</f>
        <v/>
      </c>
      <c r="G27" s="14" t="str">
        <f>IFERROR(INDEX(DB_Savings!$G:$G,SMALL(IF((DB_Savings!$I$2:$I$5001=SelectedYear)+(SelectedYear="All Years"),ROW(DB_Savings!$G$2:$G$5001)),21))&amp;"","")</f>
        <v/>
      </c>
      <c r="H27" s="14" t="str">
        <f>IFERROR(INDEX(DB_Savings!$H:$H,SMALL(IF((DB_Savings!$I$2:$I$5001=SelectedYear)+(SelectedYear="All Years"),ROW(DB_Savings!$H$2:$H$5001)),21))&amp;"","")</f>
        <v/>
      </c>
      <c r="I27" s="14" t="str">
        <f t="shared" si="0"/>
        <v/>
      </c>
    </row>
    <row r="28" spans="1:9" x14ac:dyDescent="0.25">
      <c r="A28" s="13">
        <v>22</v>
      </c>
      <c r="B28" s="14" t="str">
        <f>IFERROR(INDEX(DB_Savings!$B:$B,SMALL(IF((DB_Savings!$I$2:$I$5001=SelectedYear)+(SelectedYear="All Years"),ROW(DB_Savings!$B$2:$B$5001)),22))&amp;"","")</f>
        <v/>
      </c>
      <c r="C28" s="14" t="str">
        <f>IFERROR(INDEX(DB_Savings!$C:$C,SMALL(IF((DB_Savings!$I$2:$I$5001=SelectedYear)+(SelectedYear="All Years"),ROW(DB_Savings!$C$2:$C$5001)),22))&amp;"","")</f>
        <v/>
      </c>
      <c r="D28" s="14" t="str">
        <f>IFERROR(INDEX(DB_Savings!$D:$D,SMALL(IF((DB_Savings!$I$2:$I$5001=SelectedYear)+(SelectedYear="All Years"),ROW(DB_Savings!$D$2:$D$5001)),22))&amp;"","")</f>
        <v/>
      </c>
      <c r="E28" s="14" t="str">
        <f>IFERROR(INDEX(DB_Savings!$E:$E,SMALL(IF((DB_Savings!$I$2:$I$5001=SelectedYear)+(SelectedYear="All Years"),ROW(DB_Savings!$E$2:$E$5001)),22))&amp;"","")</f>
        <v/>
      </c>
      <c r="F28" s="14" t="str">
        <f>IFERROR(INDEX(DB_Savings!$F:$F,SMALL(IF((DB_Savings!$I$2:$I$5001=SelectedYear)+(SelectedYear="All Years"),ROW(DB_Savings!$F$2:$F$5001)),22)),"")</f>
        <v/>
      </c>
      <c r="G28" s="14" t="str">
        <f>IFERROR(INDEX(DB_Savings!$G:$G,SMALL(IF((DB_Savings!$I$2:$I$5001=SelectedYear)+(SelectedYear="All Years"),ROW(DB_Savings!$G$2:$G$5001)),22))&amp;"","")</f>
        <v/>
      </c>
      <c r="H28" s="14" t="str">
        <f>IFERROR(INDEX(DB_Savings!$H:$H,SMALL(IF((DB_Savings!$I$2:$I$5001=SelectedYear)+(SelectedYear="All Years"),ROW(DB_Savings!$H$2:$H$5001)),22))&amp;"","")</f>
        <v/>
      </c>
      <c r="I28" s="14" t="str">
        <f t="shared" si="0"/>
        <v/>
      </c>
    </row>
    <row r="29" spans="1:9" x14ac:dyDescent="0.25">
      <c r="A29" s="13">
        <v>23</v>
      </c>
      <c r="B29" s="14" t="str">
        <f>IFERROR(INDEX(DB_Savings!$B:$B,SMALL(IF((DB_Savings!$I$2:$I$5001=SelectedYear)+(SelectedYear="All Years"),ROW(DB_Savings!$B$2:$B$5001)),23))&amp;"","")</f>
        <v/>
      </c>
      <c r="C29" s="14" t="str">
        <f>IFERROR(INDEX(DB_Savings!$C:$C,SMALL(IF((DB_Savings!$I$2:$I$5001=SelectedYear)+(SelectedYear="All Years"),ROW(DB_Savings!$C$2:$C$5001)),23))&amp;"","")</f>
        <v/>
      </c>
      <c r="D29" s="14" t="str">
        <f>IFERROR(INDEX(DB_Savings!$D:$D,SMALL(IF((DB_Savings!$I$2:$I$5001=SelectedYear)+(SelectedYear="All Years"),ROW(DB_Savings!$D$2:$D$5001)),23))&amp;"","")</f>
        <v/>
      </c>
      <c r="E29" s="14" t="str">
        <f>IFERROR(INDEX(DB_Savings!$E:$E,SMALL(IF((DB_Savings!$I$2:$I$5001=SelectedYear)+(SelectedYear="All Years"),ROW(DB_Savings!$E$2:$E$5001)),23))&amp;"","")</f>
        <v/>
      </c>
      <c r="F29" s="14" t="str">
        <f>IFERROR(INDEX(DB_Savings!$F:$F,SMALL(IF((DB_Savings!$I$2:$I$5001=SelectedYear)+(SelectedYear="All Years"),ROW(DB_Savings!$F$2:$F$5001)),23)),"")</f>
        <v/>
      </c>
      <c r="G29" s="14" t="str">
        <f>IFERROR(INDEX(DB_Savings!$G:$G,SMALL(IF((DB_Savings!$I$2:$I$5001=SelectedYear)+(SelectedYear="All Years"),ROW(DB_Savings!$G$2:$G$5001)),23))&amp;"","")</f>
        <v/>
      </c>
      <c r="H29" s="14" t="str">
        <f>IFERROR(INDEX(DB_Savings!$H:$H,SMALL(IF((DB_Savings!$I$2:$I$5001=SelectedYear)+(SelectedYear="All Years"),ROW(DB_Savings!$H$2:$H$5001)),23))&amp;"","")</f>
        <v/>
      </c>
      <c r="I29" s="14" t="str">
        <f t="shared" si="0"/>
        <v/>
      </c>
    </row>
    <row r="30" spans="1:9" x14ac:dyDescent="0.25">
      <c r="A30" s="13">
        <v>24</v>
      </c>
      <c r="B30" s="14" t="str">
        <f>IFERROR(INDEX(DB_Savings!$B:$B,SMALL(IF((DB_Savings!$I$2:$I$5001=SelectedYear)+(SelectedYear="All Years"),ROW(DB_Savings!$B$2:$B$5001)),24))&amp;"","")</f>
        <v/>
      </c>
      <c r="C30" s="14" t="str">
        <f>IFERROR(INDEX(DB_Savings!$C:$C,SMALL(IF((DB_Savings!$I$2:$I$5001=SelectedYear)+(SelectedYear="All Years"),ROW(DB_Savings!$C$2:$C$5001)),24))&amp;"","")</f>
        <v/>
      </c>
      <c r="D30" s="14" t="str">
        <f>IFERROR(INDEX(DB_Savings!$D:$D,SMALL(IF((DB_Savings!$I$2:$I$5001=SelectedYear)+(SelectedYear="All Years"),ROW(DB_Savings!$D$2:$D$5001)),24))&amp;"","")</f>
        <v/>
      </c>
      <c r="E30" s="14" t="str">
        <f>IFERROR(INDEX(DB_Savings!$E:$E,SMALL(IF((DB_Savings!$I$2:$I$5001=SelectedYear)+(SelectedYear="All Years"),ROW(DB_Savings!$E$2:$E$5001)),24))&amp;"","")</f>
        <v/>
      </c>
      <c r="F30" s="14" t="str">
        <f>IFERROR(INDEX(DB_Savings!$F:$F,SMALL(IF((DB_Savings!$I$2:$I$5001=SelectedYear)+(SelectedYear="All Years"),ROW(DB_Savings!$F$2:$F$5001)),24)),"")</f>
        <v/>
      </c>
      <c r="G30" s="14" t="str">
        <f>IFERROR(INDEX(DB_Savings!$G:$G,SMALL(IF((DB_Savings!$I$2:$I$5001=SelectedYear)+(SelectedYear="All Years"),ROW(DB_Savings!$G$2:$G$5001)),24))&amp;"","")</f>
        <v/>
      </c>
      <c r="H30" s="14" t="str">
        <f>IFERROR(INDEX(DB_Savings!$H:$H,SMALL(IF((DB_Savings!$I$2:$I$5001=SelectedYear)+(SelectedYear="All Years"),ROW(DB_Savings!$H$2:$H$5001)),24))&amp;"","")</f>
        <v/>
      </c>
      <c r="I30" s="14" t="str">
        <f t="shared" si="0"/>
        <v/>
      </c>
    </row>
    <row r="31" spans="1:9" x14ac:dyDescent="0.25">
      <c r="A31" s="13">
        <v>25</v>
      </c>
      <c r="B31" s="14" t="str">
        <f>IFERROR(INDEX(DB_Savings!$B:$B,SMALL(IF((DB_Savings!$I$2:$I$5001=SelectedYear)+(SelectedYear="All Years"),ROW(DB_Savings!$B$2:$B$5001)),25))&amp;"","")</f>
        <v/>
      </c>
      <c r="C31" s="14" t="str">
        <f>IFERROR(INDEX(DB_Savings!$C:$C,SMALL(IF((DB_Savings!$I$2:$I$5001=SelectedYear)+(SelectedYear="All Years"),ROW(DB_Savings!$C$2:$C$5001)),25))&amp;"","")</f>
        <v/>
      </c>
      <c r="D31" s="14" t="str">
        <f>IFERROR(INDEX(DB_Savings!$D:$D,SMALL(IF((DB_Savings!$I$2:$I$5001=SelectedYear)+(SelectedYear="All Years"),ROW(DB_Savings!$D$2:$D$5001)),25))&amp;"","")</f>
        <v/>
      </c>
      <c r="E31" s="14" t="str">
        <f>IFERROR(INDEX(DB_Savings!$E:$E,SMALL(IF((DB_Savings!$I$2:$I$5001=SelectedYear)+(SelectedYear="All Years"),ROW(DB_Savings!$E$2:$E$5001)),25))&amp;"","")</f>
        <v/>
      </c>
      <c r="F31" s="14" t="str">
        <f>IFERROR(INDEX(DB_Savings!$F:$F,SMALL(IF((DB_Savings!$I$2:$I$5001=SelectedYear)+(SelectedYear="All Years"),ROW(DB_Savings!$F$2:$F$5001)),25)),"")</f>
        <v/>
      </c>
      <c r="G31" s="14" t="str">
        <f>IFERROR(INDEX(DB_Savings!$G:$G,SMALL(IF((DB_Savings!$I$2:$I$5001=SelectedYear)+(SelectedYear="All Years"),ROW(DB_Savings!$G$2:$G$5001)),25))&amp;"","")</f>
        <v/>
      </c>
      <c r="H31" s="14" t="str">
        <f>IFERROR(INDEX(DB_Savings!$H:$H,SMALL(IF((DB_Savings!$I$2:$I$5001=SelectedYear)+(SelectedYear="All Years"),ROW(DB_Savings!$H$2:$H$5001)),25))&amp;"","")</f>
        <v/>
      </c>
      <c r="I31" s="14" t="str">
        <f t="shared" si="0"/>
        <v/>
      </c>
    </row>
    <row r="32" spans="1:9" x14ac:dyDescent="0.25">
      <c r="A32" s="13">
        <v>26</v>
      </c>
      <c r="B32" s="14" t="str">
        <f>IFERROR(INDEX(DB_Savings!$B:$B,SMALL(IF((DB_Savings!$I$2:$I$5001=SelectedYear)+(SelectedYear="All Years"),ROW(DB_Savings!$B$2:$B$5001)),26))&amp;"","")</f>
        <v/>
      </c>
      <c r="C32" s="14" t="str">
        <f>IFERROR(INDEX(DB_Savings!$C:$C,SMALL(IF((DB_Savings!$I$2:$I$5001=SelectedYear)+(SelectedYear="All Years"),ROW(DB_Savings!$C$2:$C$5001)),26))&amp;"","")</f>
        <v/>
      </c>
      <c r="D32" s="14" t="str">
        <f>IFERROR(INDEX(DB_Savings!$D:$D,SMALL(IF((DB_Savings!$I$2:$I$5001=SelectedYear)+(SelectedYear="All Years"),ROW(DB_Savings!$D$2:$D$5001)),26))&amp;"","")</f>
        <v/>
      </c>
      <c r="E32" s="14" t="str">
        <f>IFERROR(INDEX(DB_Savings!$E:$E,SMALL(IF((DB_Savings!$I$2:$I$5001=SelectedYear)+(SelectedYear="All Years"),ROW(DB_Savings!$E$2:$E$5001)),26))&amp;"","")</f>
        <v/>
      </c>
      <c r="F32" s="14" t="str">
        <f>IFERROR(INDEX(DB_Savings!$F:$F,SMALL(IF((DB_Savings!$I$2:$I$5001=SelectedYear)+(SelectedYear="All Years"),ROW(DB_Savings!$F$2:$F$5001)),26)),"")</f>
        <v/>
      </c>
      <c r="G32" s="14" t="str">
        <f>IFERROR(INDEX(DB_Savings!$G:$G,SMALL(IF((DB_Savings!$I$2:$I$5001=SelectedYear)+(SelectedYear="All Years"),ROW(DB_Savings!$G$2:$G$5001)),26))&amp;"","")</f>
        <v/>
      </c>
      <c r="H32" s="14" t="str">
        <f>IFERROR(INDEX(DB_Savings!$H:$H,SMALL(IF((DB_Savings!$I$2:$I$5001=SelectedYear)+(SelectedYear="All Years"),ROW(DB_Savings!$H$2:$H$5001)),26))&amp;"","")</f>
        <v/>
      </c>
      <c r="I32" s="14" t="str">
        <f t="shared" si="0"/>
        <v/>
      </c>
    </row>
    <row r="33" spans="1:9" x14ac:dyDescent="0.25">
      <c r="A33" s="13">
        <v>27</v>
      </c>
      <c r="B33" s="14" t="str">
        <f>IFERROR(INDEX(DB_Savings!$B:$B,SMALL(IF((DB_Savings!$I$2:$I$5001=SelectedYear)+(SelectedYear="All Years"),ROW(DB_Savings!$B$2:$B$5001)),27))&amp;"","")</f>
        <v/>
      </c>
      <c r="C33" s="14" t="str">
        <f>IFERROR(INDEX(DB_Savings!$C:$C,SMALL(IF((DB_Savings!$I$2:$I$5001=SelectedYear)+(SelectedYear="All Years"),ROW(DB_Savings!$C$2:$C$5001)),27))&amp;"","")</f>
        <v/>
      </c>
      <c r="D33" s="14" t="str">
        <f>IFERROR(INDEX(DB_Savings!$D:$D,SMALL(IF((DB_Savings!$I$2:$I$5001=SelectedYear)+(SelectedYear="All Years"),ROW(DB_Savings!$D$2:$D$5001)),27))&amp;"","")</f>
        <v/>
      </c>
      <c r="E33" s="14" t="str">
        <f>IFERROR(INDEX(DB_Savings!$E:$E,SMALL(IF((DB_Savings!$I$2:$I$5001=SelectedYear)+(SelectedYear="All Years"),ROW(DB_Savings!$E$2:$E$5001)),27))&amp;"","")</f>
        <v/>
      </c>
      <c r="F33" s="14" t="str">
        <f>IFERROR(INDEX(DB_Savings!$F:$F,SMALL(IF((DB_Savings!$I$2:$I$5001=SelectedYear)+(SelectedYear="All Years"),ROW(DB_Savings!$F$2:$F$5001)),27)),"")</f>
        <v/>
      </c>
      <c r="G33" s="14" t="str">
        <f>IFERROR(INDEX(DB_Savings!$G:$G,SMALL(IF((DB_Savings!$I$2:$I$5001=SelectedYear)+(SelectedYear="All Years"),ROW(DB_Savings!$G$2:$G$5001)),27))&amp;"","")</f>
        <v/>
      </c>
      <c r="H33" s="14" t="str">
        <f>IFERROR(INDEX(DB_Savings!$H:$H,SMALL(IF((DB_Savings!$I$2:$I$5001=SelectedYear)+(SelectedYear="All Years"),ROW(DB_Savings!$H$2:$H$5001)),27))&amp;"","")</f>
        <v/>
      </c>
      <c r="I33" s="14" t="str">
        <f t="shared" si="0"/>
        <v/>
      </c>
    </row>
    <row r="34" spans="1:9" x14ac:dyDescent="0.25">
      <c r="A34" s="13">
        <v>28</v>
      </c>
      <c r="B34" s="14" t="str">
        <f>IFERROR(INDEX(DB_Savings!$B:$B,SMALL(IF((DB_Savings!$I$2:$I$5001=SelectedYear)+(SelectedYear="All Years"),ROW(DB_Savings!$B$2:$B$5001)),28))&amp;"","")</f>
        <v/>
      </c>
      <c r="C34" s="14" t="str">
        <f>IFERROR(INDEX(DB_Savings!$C:$C,SMALL(IF((DB_Savings!$I$2:$I$5001=SelectedYear)+(SelectedYear="All Years"),ROW(DB_Savings!$C$2:$C$5001)),28))&amp;"","")</f>
        <v/>
      </c>
      <c r="D34" s="14" t="str">
        <f>IFERROR(INDEX(DB_Savings!$D:$D,SMALL(IF((DB_Savings!$I$2:$I$5001=SelectedYear)+(SelectedYear="All Years"),ROW(DB_Savings!$D$2:$D$5001)),28))&amp;"","")</f>
        <v/>
      </c>
      <c r="E34" s="14" t="str">
        <f>IFERROR(INDEX(DB_Savings!$E:$E,SMALL(IF((DB_Savings!$I$2:$I$5001=SelectedYear)+(SelectedYear="All Years"),ROW(DB_Savings!$E$2:$E$5001)),28))&amp;"","")</f>
        <v/>
      </c>
      <c r="F34" s="14" t="str">
        <f>IFERROR(INDEX(DB_Savings!$F:$F,SMALL(IF((DB_Savings!$I$2:$I$5001=SelectedYear)+(SelectedYear="All Years"),ROW(DB_Savings!$F$2:$F$5001)),28)),"")</f>
        <v/>
      </c>
      <c r="G34" s="14" t="str">
        <f>IFERROR(INDEX(DB_Savings!$G:$G,SMALL(IF((DB_Savings!$I$2:$I$5001=SelectedYear)+(SelectedYear="All Years"),ROW(DB_Savings!$G$2:$G$5001)),28))&amp;"","")</f>
        <v/>
      </c>
      <c r="H34" s="14" t="str">
        <f>IFERROR(INDEX(DB_Savings!$H:$H,SMALL(IF((DB_Savings!$I$2:$I$5001=SelectedYear)+(SelectedYear="All Years"),ROW(DB_Savings!$H$2:$H$5001)),28))&amp;"","")</f>
        <v/>
      </c>
      <c r="I34" s="14" t="str">
        <f t="shared" si="0"/>
        <v/>
      </c>
    </row>
    <row r="35" spans="1:9" x14ac:dyDescent="0.25">
      <c r="A35" s="13">
        <v>29</v>
      </c>
      <c r="B35" s="14" t="str">
        <f>IFERROR(INDEX(DB_Savings!$B:$B,SMALL(IF((DB_Savings!$I$2:$I$5001=SelectedYear)+(SelectedYear="All Years"),ROW(DB_Savings!$B$2:$B$5001)),29))&amp;"","")</f>
        <v/>
      </c>
      <c r="C35" s="14" t="str">
        <f>IFERROR(INDEX(DB_Savings!$C:$C,SMALL(IF((DB_Savings!$I$2:$I$5001=SelectedYear)+(SelectedYear="All Years"),ROW(DB_Savings!$C$2:$C$5001)),29))&amp;"","")</f>
        <v/>
      </c>
      <c r="D35" s="14" t="str">
        <f>IFERROR(INDEX(DB_Savings!$D:$D,SMALL(IF((DB_Savings!$I$2:$I$5001=SelectedYear)+(SelectedYear="All Years"),ROW(DB_Savings!$D$2:$D$5001)),29))&amp;"","")</f>
        <v/>
      </c>
      <c r="E35" s="14" t="str">
        <f>IFERROR(INDEX(DB_Savings!$E:$E,SMALL(IF((DB_Savings!$I$2:$I$5001=SelectedYear)+(SelectedYear="All Years"),ROW(DB_Savings!$E$2:$E$5001)),29))&amp;"","")</f>
        <v/>
      </c>
      <c r="F35" s="14" t="str">
        <f>IFERROR(INDEX(DB_Savings!$F:$F,SMALL(IF((DB_Savings!$I$2:$I$5001=SelectedYear)+(SelectedYear="All Years"),ROW(DB_Savings!$F$2:$F$5001)),29)),"")</f>
        <v/>
      </c>
      <c r="G35" s="14" t="str">
        <f>IFERROR(INDEX(DB_Savings!$G:$G,SMALL(IF((DB_Savings!$I$2:$I$5001=SelectedYear)+(SelectedYear="All Years"),ROW(DB_Savings!$G$2:$G$5001)),29))&amp;"","")</f>
        <v/>
      </c>
      <c r="H35" s="14" t="str">
        <f>IFERROR(INDEX(DB_Savings!$H:$H,SMALL(IF((DB_Savings!$I$2:$I$5001=SelectedYear)+(SelectedYear="All Years"),ROW(DB_Savings!$H$2:$H$5001)),29))&amp;"","")</f>
        <v/>
      </c>
      <c r="I35" s="14" t="str">
        <f t="shared" si="0"/>
        <v/>
      </c>
    </row>
    <row r="36" spans="1:9" x14ac:dyDescent="0.25">
      <c r="A36" s="13">
        <v>30</v>
      </c>
      <c r="B36" s="14" t="str">
        <f>IFERROR(INDEX(DB_Savings!$B:$B,SMALL(IF((DB_Savings!$I$2:$I$5001=SelectedYear)+(SelectedYear="All Years"),ROW(DB_Savings!$B$2:$B$5001)),30))&amp;"","")</f>
        <v/>
      </c>
      <c r="C36" s="14" t="str">
        <f>IFERROR(INDEX(DB_Savings!$C:$C,SMALL(IF((DB_Savings!$I$2:$I$5001=SelectedYear)+(SelectedYear="All Years"),ROW(DB_Savings!$C$2:$C$5001)),30))&amp;"","")</f>
        <v/>
      </c>
      <c r="D36" s="14" t="str">
        <f>IFERROR(INDEX(DB_Savings!$D:$D,SMALL(IF((DB_Savings!$I$2:$I$5001=SelectedYear)+(SelectedYear="All Years"),ROW(DB_Savings!$D$2:$D$5001)),30))&amp;"","")</f>
        <v/>
      </c>
      <c r="E36" s="14" t="str">
        <f>IFERROR(INDEX(DB_Savings!$E:$E,SMALL(IF((DB_Savings!$I$2:$I$5001=SelectedYear)+(SelectedYear="All Years"),ROW(DB_Savings!$E$2:$E$5001)),30))&amp;"","")</f>
        <v/>
      </c>
      <c r="F36" s="14" t="str">
        <f>IFERROR(INDEX(DB_Savings!$F:$F,SMALL(IF((DB_Savings!$I$2:$I$5001=SelectedYear)+(SelectedYear="All Years"),ROW(DB_Savings!$F$2:$F$5001)),30)),"")</f>
        <v/>
      </c>
      <c r="G36" s="14" t="str">
        <f>IFERROR(INDEX(DB_Savings!$G:$G,SMALL(IF((DB_Savings!$I$2:$I$5001=SelectedYear)+(SelectedYear="All Years"),ROW(DB_Savings!$G$2:$G$5001)),30))&amp;"","")</f>
        <v/>
      </c>
      <c r="H36" s="14" t="str">
        <f>IFERROR(INDEX(DB_Savings!$H:$H,SMALL(IF((DB_Savings!$I$2:$I$5001=SelectedYear)+(SelectedYear="All Years"),ROW(DB_Savings!$H$2:$H$5001)),30))&amp;"","")</f>
        <v/>
      </c>
      <c r="I36" s="14" t="str">
        <f t="shared" si="0"/>
        <v/>
      </c>
    </row>
    <row r="37" spans="1:9" x14ac:dyDescent="0.25">
      <c r="A37" s="13">
        <v>31</v>
      </c>
      <c r="B37" s="14" t="str">
        <f>IFERROR(INDEX(DB_Savings!$B:$B,SMALL(IF((DB_Savings!$I$2:$I$5001=SelectedYear)+(SelectedYear="All Years"),ROW(DB_Savings!$B$2:$B$5001)),31))&amp;"","")</f>
        <v/>
      </c>
      <c r="C37" s="14" t="str">
        <f>IFERROR(INDEX(DB_Savings!$C:$C,SMALL(IF((DB_Savings!$I$2:$I$5001=SelectedYear)+(SelectedYear="All Years"),ROW(DB_Savings!$C$2:$C$5001)),31))&amp;"","")</f>
        <v/>
      </c>
      <c r="D37" s="14" t="str">
        <f>IFERROR(INDEX(DB_Savings!$D:$D,SMALL(IF((DB_Savings!$I$2:$I$5001=SelectedYear)+(SelectedYear="All Years"),ROW(DB_Savings!$D$2:$D$5001)),31))&amp;"","")</f>
        <v/>
      </c>
      <c r="E37" s="14" t="str">
        <f>IFERROR(INDEX(DB_Savings!$E:$E,SMALL(IF((DB_Savings!$I$2:$I$5001=SelectedYear)+(SelectedYear="All Years"),ROW(DB_Savings!$E$2:$E$5001)),31))&amp;"","")</f>
        <v/>
      </c>
      <c r="F37" s="14" t="str">
        <f>IFERROR(INDEX(DB_Savings!$F:$F,SMALL(IF((DB_Savings!$I$2:$I$5001=SelectedYear)+(SelectedYear="All Years"),ROW(DB_Savings!$F$2:$F$5001)),31)),"")</f>
        <v/>
      </c>
      <c r="G37" s="14" t="str">
        <f>IFERROR(INDEX(DB_Savings!$G:$G,SMALL(IF((DB_Savings!$I$2:$I$5001=SelectedYear)+(SelectedYear="All Years"),ROW(DB_Savings!$G$2:$G$5001)),31))&amp;"","")</f>
        <v/>
      </c>
      <c r="H37" s="14" t="str">
        <f>IFERROR(INDEX(DB_Savings!$H:$H,SMALL(IF((DB_Savings!$I$2:$I$5001=SelectedYear)+(SelectedYear="All Years"),ROW(DB_Savings!$H$2:$H$5001)),31))&amp;"","")</f>
        <v/>
      </c>
      <c r="I37" s="14" t="str">
        <f t="shared" si="0"/>
        <v/>
      </c>
    </row>
    <row r="38" spans="1:9" x14ac:dyDescent="0.25">
      <c r="A38" s="13">
        <v>32</v>
      </c>
      <c r="B38" s="14" t="str">
        <f>IFERROR(INDEX(DB_Savings!$B:$B,SMALL(IF((DB_Savings!$I$2:$I$5001=SelectedYear)+(SelectedYear="All Years"),ROW(DB_Savings!$B$2:$B$5001)),32))&amp;"","")</f>
        <v/>
      </c>
      <c r="C38" s="14" t="str">
        <f>IFERROR(INDEX(DB_Savings!$C:$C,SMALL(IF((DB_Savings!$I$2:$I$5001=SelectedYear)+(SelectedYear="All Years"),ROW(DB_Savings!$C$2:$C$5001)),32))&amp;"","")</f>
        <v/>
      </c>
      <c r="D38" s="14" t="str">
        <f>IFERROR(INDEX(DB_Savings!$D:$D,SMALL(IF((DB_Savings!$I$2:$I$5001=SelectedYear)+(SelectedYear="All Years"),ROW(DB_Savings!$D$2:$D$5001)),32))&amp;"","")</f>
        <v/>
      </c>
      <c r="E38" s="14" t="str">
        <f>IFERROR(INDEX(DB_Savings!$E:$E,SMALL(IF((DB_Savings!$I$2:$I$5001=SelectedYear)+(SelectedYear="All Years"),ROW(DB_Savings!$E$2:$E$5001)),32))&amp;"","")</f>
        <v/>
      </c>
      <c r="F38" s="14" t="str">
        <f>IFERROR(INDEX(DB_Savings!$F:$F,SMALL(IF((DB_Savings!$I$2:$I$5001=SelectedYear)+(SelectedYear="All Years"),ROW(DB_Savings!$F$2:$F$5001)),32)),"")</f>
        <v/>
      </c>
      <c r="G38" s="14" t="str">
        <f>IFERROR(INDEX(DB_Savings!$G:$G,SMALL(IF((DB_Savings!$I$2:$I$5001=SelectedYear)+(SelectedYear="All Years"),ROW(DB_Savings!$G$2:$G$5001)),32))&amp;"","")</f>
        <v/>
      </c>
      <c r="H38" s="14" t="str">
        <f>IFERROR(INDEX(DB_Savings!$H:$H,SMALL(IF((DB_Savings!$I$2:$I$5001=SelectedYear)+(SelectedYear="All Years"),ROW(DB_Savings!$H$2:$H$5001)),32))&amp;"","")</f>
        <v/>
      </c>
      <c r="I38" s="14" t="str">
        <f t="shared" si="0"/>
        <v/>
      </c>
    </row>
    <row r="39" spans="1:9" x14ac:dyDescent="0.25">
      <c r="A39" s="13">
        <v>33</v>
      </c>
      <c r="B39" s="14" t="str">
        <f>IFERROR(INDEX(DB_Savings!$B:$B,SMALL(IF((DB_Savings!$I$2:$I$5001=SelectedYear)+(SelectedYear="All Years"),ROW(DB_Savings!$B$2:$B$5001)),33))&amp;"","")</f>
        <v/>
      </c>
      <c r="C39" s="14" t="str">
        <f>IFERROR(INDEX(DB_Savings!$C:$C,SMALL(IF((DB_Savings!$I$2:$I$5001=SelectedYear)+(SelectedYear="All Years"),ROW(DB_Savings!$C$2:$C$5001)),33))&amp;"","")</f>
        <v/>
      </c>
      <c r="D39" s="14" t="str">
        <f>IFERROR(INDEX(DB_Savings!$D:$D,SMALL(IF((DB_Savings!$I$2:$I$5001=SelectedYear)+(SelectedYear="All Years"),ROW(DB_Savings!$D$2:$D$5001)),33))&amp;"","")</f>
        <v/>
      </c>
      <c r="E39" s="14" t="str">
        <f>IFERROR(INDEX(DB_Savings!$E:$E,SMALL(IF((DB_Savings!$I$2:$I$5001=SelectedYear)+(SelectedYear="All Years"),ROW(DB_Savings!$E$2:$E$5001)),33))&amp;"","")</f>
        <v/>
      </c>
      <c r="F39" s="14" t="str">
        <f>IFERROR(INDEX(DB_Savings!$F:$F,SMALL(IF((DB_Savings!$I$2:$I$5001=SelectedYear)+(SelectedYear="All Years"),ROW(DB_Savings!$F$2:$F$5001)),33)),"")</f>
        <v/>
      </c>
      <c r="G39" s="14" t="str">
        <f>IFERROR(INDEX(DB_Savings!$G:$G,SMALL(IF((DB_Savings!$I$2:$I$5001=SelectedYear)+(SelectedYear="All Years"),ROW(DB_Savings!$G$2:$G$5001)),33))&amp;"","")</f>
        <v/>
      </c>
      <c r="H39" s="14" t="str">
        <f>IFERROR(INDEX(DB_Savings!$H:$H,SMALL(IF((DB_Savings!$I$2:$I$5001=SelectedYear)+(SelectedYear="All Years"),ROW(DB_Savings!$H$2:$H$5001)),33))&amp;"","")</f>
        <v/>
      </c>
      <c r="I39" s="14" t="str">
        <f t="shared" ref="I39:I56" si="1">IF(E39="","",IFERROR(YEAR(E39),""))</f>
        <v/>
      </c>
    </row>
    <row r="40" spans="1:9" x14ac:dyDescent="0.25">
      <c r="A40" s="13">
        <v>34</v>
      </c>
      <c r="B40" s="14" t="str">
        <f>IFERROR(INDEX(DB_Savings!$B:$B,SMALL(IF((DB_Savings!$I$2:$I$5001=SelectedYear)+(SelectedYear="All Years"),ROW(DB_Savings!$B$2:$B$5001)),34))&amp;"","")</f>
        <v/>
      </c>
      <c r="C40" s="14" t="str">
        <f>IFERROR(INDEX(DB_Savings!$C:$C,SMALL(IF((DB_Savings!$I$2:$I$5001=SelectedYear)+(SelectedYear="All Years"),ROW(DB_Savings!$C$2:$C$5001)),34))&amp;"","")</f>
        <v/>
      </c>
      <c r="D40" s="14" t="str">
        <f>IFERROR(INDEX(DB_Savings!$D:$D,SMALL(IF((DB_Savings!$I$2:$I$5001=SelectedYear)+(SelectedYear="All Years"),ROW(DB_Savings!$D$2:$D$5001)),34))&amp;"","")</f>
        <v/>
      </c>
      <c r="E40" s="14" t="str">
        <f>IFERROR(INDEX(DB_Savings!$E:$E,SMALL(IF((DB_Savings!$I$2:$I$5001=SelectedYear)+(SelectedYear="All Years"),ROW(DB_Savings!$E$2:$E$5001)),34))&amp;"","")</f>
        <v/>
      </c>
      <c r="F40" s="14" t="str">
        <f>IFERROR(INDEX(DB_Savings!$F:$F,SMALL(IF((DB_Savings!$I$2:$I$5001=SelectedYear)+(SelectedYear="All Years"),ROW(DB_Savings!$F$2:$F$5001)),34)),"")</f>
        <v/>
      </c>
      <c r="G40" s="14" t="str">
        <f>IFERROR(INDEX(DB_Savings!$G:$G,SMALL(IF((DB_Savings!$I$2:$I$5001=SelectedYear)+(SelectedYear="All Years"),ROW(DB_Savings!$G$2:$G$5001)),34))&amp;"","")</f>
        <v/>
      </c>
      <c r="H40" s="14" t="str">
        <f>IFERROR(INDEX(DB_Savings!$H:$H,SMALL(IF((DB_Savings!$I$2:$I$5001=SelectedYear)+(SelectedYear="All Years"),ROW(DB_Savings!$H$2:$H$5001)),34))&amp;"","")</f>
        <v/>
      </c>
      <c r="I40" s="14" t="str">
        <f t="shared" si="1"/>
        <v/>
      </c>
    </row>
    <row r="41" spans="1:9" x14ac:dyDescent="0.25">
      <c r="A41" s="13">
        <v>35</v>
      </c>
      <c r="B41" s="14" t="str">
        <f>IFERROR(INDEX(DB_Savings!$B:$B,SMALL(IF((DB_Savings!$I$2:$I$5001=SelectedYear)+(SelectedYear="All Years"),ROW(DB_Savings!$B$2:$B$5001)),35))&amp;"","")</f>
        <v/>
      </c>
      <c r="C41" s="14" t="str">
        <f>IFERROR(INDEX(DB_Savings!$C:$C,SMALL(IF((DB_Savings!$I$2:$I$5001=SelectedYear)+(SelectedYear="All Years"),ROW(DB_Savings!$C$2:$C$5001)),35))&amp;"","")</f>
        <v/>
      </c>
      <c r="D41" s="14" t="str">
        <f>IFERROR(INDEX(DB_Savings!$D:$D,SMALL(IF((DB_Savings!$I$2:$I$5001=SelectedYear)+(SelectedYear="All Years"),ROW(DB_Savings!$D$2:$D$5001)),35))&amp;"","")</f>
        <v/>
      </c>
      <c r="E41" s="14" t="str">
        <f>IFERROR(INDEX(DB_Savings!$E:$E,SMALL(IF((DB_Savings!$I$2:$I$5001=SelectedYear)+(SelectedYear="All Years"),ROW(DB_Savings!$E$2:$E$5001)),35))&amp;"","")</f>
        <v/>
      </c>
      <c r="F41" s="14" t="str">
        <f>IFERROR(INDEX(DB_Savings!$F:$F,SMALL(IF((DB_Savings!$I$2:$I$5001=SelectedYear)+(SelectedYear="All Years"),ROW(DB_Savings!$F$2:$F$5001)),35)),"")</f>
        <v/>
      </c>
      <c r="G41" s="14" t="str">
        <f>IFERROR(INDEX(DB_Savings!$G:$G,SMALL(IF((DB_Savings!$I$2:$I$5001=SelectedYear)+(SelectedYear="All Years"),ROW(DB_Savings!$G$2:$G$5001)),35))&amp;"","")</f>
        <v/>
      </c>
      <c r="H41" s="14" t="str">
        <f>IFERROR(INDEX(DB_Savings!$H:$H,SMALL(IF((DB_Savings!$I$2:$I$5001=SelectedYear)+(SelectedYear="All Years"),ROW(DB_Savings!$H$2:$H$5001)),35))&amp;"","")</f>
        <v/>
      </c>
      <c r="I41" s="14" t="str">
        <f t="shared" si="1"/>
        <v/>
      </c>
    </row>
    <row r="42" spans="1:9" x14ac:dyDescent="0.25">
      <c r="A42" s="13">
        <v>36</v>
      </c>
      <c r="B42" s="14" t="str">
        <f>IFERROR(INDEX(DB_Savings!$B:$B,SMALL(IF((DB_Savings!$I$2:$I$5001=SelectedYear)+(SelectedYear="All Years"),ROW(DB_Savings!$B$2:$B$5001)),36))&amp;"","")</f>
        <v/>
      </c>
      <c r="C42" s="14" t="str">
        <f>IFERROR(INDEX(DB_Savings!$C:$C,SMALL(IF((DB_Savings!$I$2:$I$5001=SelectedYear)+(SelectedYear="All Years"),ROW(DB_Savings!$C$2:$C$5001)),36))&amp;"","")</f>
        <v/>
      </c>
      <c r="D42" s="14" t="str">
        <f>IFERROR(INDEX(DB_Savings!$D:$D,SMALL(IF((DB_Savings!$I$2:$I$5001=SelectedYear)+(SelectedYear="All Years"),ROW(DB_Savings!$D$2:$D$5001)),36))&amp;"","")</f>
        <v/>
      </c>
      <c r="E42" s="14" t="str">
        <f>IFERROR(INDEX(DB_Savings!$E:$E,SMALL(IF((DB_Savings!$I$2:$I$5001=SelectedYear)+(SelectedYear="All Years"),ROW(DB_Savings!$E$2:$E$5001)),36))&amp;"","")</f>
        <v/>
      </c>
      <c r="F42" s="14" t="str">
        <f>IFERROR(INDEX(DB_Savings!$F:$F,SMALL(IF((DB_Savings!$I$2:$I$5001=SelectedYear)+(SelectedYear="All Years"),ROW(DB_Savings!$F$2:$F$5001)),36)),"")</f>
        <v/>
      </c>
      <c r="G42" s="14" t="str">
        <f>IFERROR(INDEX(DB_Savings!$G:$G,SMALL(IF((DB_Savings!$I$2:$I$5001=SelectedYear)+(SelectedYear="All Years"),ROW(DB_Savings!$G$2:$G$5001)),36))&amp;"","")</f>
        <v/>
      </c>
      <c r="H42" s="14" t="str">
        <f>IFERROR(INDEX(DB_Savings!$H:$H,SMALL(IF((DB_Savings!$I$2:$I$5001=SelectedYear)+(SelectedYear="All Years"),ROW(DB_Savings!$H$2:$H$5001)),36))&amp;"","")</f>
        <v/>
      </c>
      <c r="I42" s="14" t="str">
        <f t="shared" si="1"/>
        <v/>
      </c>
    </row>
    <row r="43" spans="1:9" x14ac:dyDescent="0.25">
      <c r="A43" s="13">
        <v>37</v>
      </c>
      <c r="B43" s="14" t="str">
        <f>IFERROR(INDEX(DB_Savings!$B:$B,SMALL(IF((DB_Savings!$I$2:$I$5001=SelectedYear)+(SelectedYear="All Years"),ROW(DB_Savings!$B$2:$B$5001)),37))&amp;"","")</f>
        <v/>
      </c>
      <c r="C43" s="14" t="str">
        <f>IFERROR(INDEX(DB_Savings!$C:$C,SMALL(IF((DB_Savings!$I$2:$I$5001=SelectedYear)+(SelectedYear="All Years"),ROW(DB_Savings!$C$2:$C$5001)),37))&amp;"","")</f>
        <v/>
      </c>
      <c r="D43" s="14" t="str">
        <f>IFERROR(INDEX(DB_Savings!$D:$D,SMALL(IF((DB_Savings!$I$2:$I$5001=SelectedYear)+(SelectedYear="All Years"),ROW(DB_Savings!$D$2:$D$5001)),37))&amp;"","")</f>
        <v/>
      </c>
      <c r="E43" s="14" t="str">
        <f>IFERROR(INDEX(DB_Savings!$E:$E,SMALL(IF((DB_Savings!$I$2:$I$5001=SelectedYear)+(SelectedYear="All Years"),ROW(DB_Savings!$E$2:$E$5001)),37))&amp;"","")</f>
        <v/>
      </c>
      <c r="F43" s="14" t="str">
        <f>IFERROR(INDEX(DB_Savings!$F:$F,SMALL(IF((DB_Savings!$I$2:$I$5001=SelectedYear)+(SelectedYear="All Years"),ROW(DB_Savings!$F$2:$F$5001)),37)),"")</f>
        <v/>
      </c>
      <c r="G43" s="14" t="str">
        <f>IFERROR(INDEX(DB_Savings!$G:$G,SMALL(IF((DB_Savings!$I$2:$I$5001=SelectedYear)+(SelectedYear="All Years"),ROW(DB_Savings!$G$2:$G$5001)),37))&amp;"","")</f>
        <v/>
      </c>
      <c r="H43" s="14" t="str">
        <f>IFERROR(INDEX(DB_Savings!$H:$H,SMALL(IF((DB_Savings!$I$2:$I$5001=SelectedYear)+(SelectedYear="All Years"),ROW(DB_Savings!$H$2:$H$5001)),37))&amp;"","")</f>
        <v/>
      </c>
      <c r="I43" s="14" t="str">
        <f t="shared" si="1"/>
        <v/>
      </c>
    </row>
    <row r="44" spans="1:9" x14ac:dyDescent="0.25">
      <c r="A44" s="13">
        <v>38</v>
      </c>
      <c r="B44" s="14" t="str">
        <f>IFERROR(INDEX(DB_Savings!$B:$B,SMALL(IF((DB_Savings!$I$2:$I$5001=SelectedYear)+(SelectedYear="All Years"),ROW(DB_Savings!$B$2:$B$5001)),38))&amp;"","")</f>
        <v/>
      </c>
      <c r="C44" s="14" t="str">
        <f>IFERROR(INDEX(DB_Savings!$C:$C,SMALL(IF((DB_Savings!$I$2:$I$5001=SelectedYear)+(SelectedYear="All Years"),ROW(DB_Savings!$C$2:$C$5001)),38))&amp;"","")</f>
        <v/>
      </c>
      <c r="D44" s="14" t="str">
        <f>IFERROR(INDEX(DB_Savings!$D:$D,SMALL(IF((DB_Savings!$I$2:$I$5001=SelectedYear)+(SelectedYear="All Years"),ROW(DB_Savings!$D$2:$D$5001)),38))&amp;"","")</f>
        <v/>
      </c>
      <c r="E44" s="14" t="str">
        <f>IFERROR(INDEX(DB_Savings!$E:$E,SMALL(IF((DB_Savings!$I$2:$I$5001=SelectedYear)+(SelectedYear="All Years"),ROW(DB_Savings!$E$2:$E$5001)),38))&amp;"","")</f>
        <v/>
      </c>
      <c r="F44" s="14" t="str">
        <f>IFERROR(INDEX(DB_Savings!$F:$F,SMALL(IF((DB_Savings!$I$2:$I$5001=SelectedYear)+(SelectedYear="All Years"),ROW(DB_Savings!$F$2:$F$5001)),38)),"")</f>
        <v/>
      </c>
      <c r="G44" s="14" t="str">
        <f>IFERROR(INDEX(DB_Savings!$G:$G,SMALL(IF((DB_Savings!$I$2:$I$5001=SelectedYear)+(SelectedYear="All Years"),ROW(DB_Savings!$G$2:$G$5001)),38))&amp;"","")</f>
        <v/>
      </c>
      <c r="H44" s="14" t="str">
        <f>IFERROR(INDEX(DB_Savings!$H:$H,SMALL(IF((DB_Savings!$I$2:$I$5001=SelectedYear)+(SelectedYear="All Years"),ROW(DB_Savings!$H$2:$H$5001)),38))&amp;"","")</f>
        <v/>
      </c>
      <c r="I44" s="14" t="str">
        <f t="shared" si="1"/>
        <v/>
      </c>
    </row>
    <row r="45" spans="1:9" x14ac:dyDescent="0.25">
      <c r="A45" s="13">
        <v>39</v>
      </c>
      <c r="B45" s="14" t="str">
        <f>IFERROR(INDEX(DB_Savings!$B:$B,SMALL(IF((DB_Savings!$I$2:$I$5001=SelectedYear)+(SelectedYear="All Years"),ROW(DB_Savings!$B$2:$B$5001)),39))&amp;"","")</f>
        <v/>
      </c>
      <c r="C45" s="14" t="str">
        <f>IFERROR(INDEX(DB_Savings!$C:$C,SMALL(IF((DB_Savings!$I$2:$I$5001=SelectedYear)+(SelectedYear="All Years"),ROW(DB_Savings!$C$2:$C$5001)),39))&amp;"","")</f>
        <v/>
      </c>
      <c r="D45" s="14" t="str">
        <f>IFERROR(INDEX(DB_Savings!$D:$D,SMALL(IF((DB_Savings!$I$2:$I$5001=SelectedYear)+(SelectedYear="All Years"),ROW(DB_Savings!$D$2:$D$5001)),39))&amp;"","")</f>
        <v/>
      </c>
      <c r="E45" s="14" t="str">
        <f>IFERROR(INDEX(DB_Savings!$E:$E,SMALL(IF((DB_Savings!$I$2:$I$5001=SelectedYear)+(SelectedYear="All Years"),ROW(DB_Savings!$E$2:$E$5001)),39))&amp;"","")</f>
        <v/>
      </c>
      <c r="F45" s="14" t="str">
        <f>IFERROR(INDEX(DB_Savings!$F:$F,SMALL(IF((DB_Savings!$I$2:$I$5001=SelectedYear)+(SelectedYear="All Years"),ROW(DB_Savings!$F$2:$F$5001)),39)),"")</f>
        <v/>
      </c>
      <c r="G45" s="14" t="str">
        <f>IFERROR(INDEX(DB_Savings!$G:$G,SMALL(IF((DB_Savings!$I$2:$I$5001=SelectedYear)+(SelectedYear="All Years"),ROW(DB_Savings!$G$2:$G$5001)),39))&amp;"","")</f>
        <v/>
      </c>
      <c r="H45" s="14" t="str">
        <f>IFERROR(INDEX(DB_Savings!$H:$H,SMALL(IF((DB_Savings!$I$2:$I$5001=SelectedYear)+(SelectedYear="All Years"),ROW(DB_Savings!$H$2:$H$5001)),39))&amp;"","")</f>
        <v/>
      </c>
      <c r="I45" s="14" t="str">
        <f t="shared" si="1"/>
        <v/>
      </c>
    </row>
    <row r="46" spans="1:9" x14ac:dyDescent="0.25">
      <c r="A46" s="13">
        <v>40</v>
      </c>
      <c r="B46" s="14" t="str">
        <f>IFERROR(INDEX(DB_Savings!$B:$B,SMALL(IF((DB_Savings!$I$2:$I$5001=SelectedYear)+(SelectedYear="All Years"),ROW(DB_Savings!$B$2:$B$5001)),40))&amp;"","")</f>
        <v/>
      </c>
      <c r="C46" s="14" t="str">
        <f>IFERROR(INDEX(DB_Savings!$C:$C,SMALL(IF((DB_Savings!$I$2:$I$5001=SelectedYear)+(SelectedYear="All Years"),ROW(DB_Savings!$C$2:$C$5001)),40))&amp;"","")</f>
        <v/>
      </c>
      <c r="D46" s="14" t="str">
        <f>IFERROR(INDEX(DB_Savings!$D:$D,SMALL(IF((DB_Savings!$I$2:$I$5001=SelectedYear)+(SelectedYear="All Years"),ROW(DB_Savings!$D$2:$D$5001)),40))&amp;"","")</f>
        <v/>
      </c>
      <c r="E46" s="14" t="str">
        <f>IFERROR(INDEX(DB_Savings!$E:$E,SMALL(IF((DB_Savings!$I$2:$I$5001=SelectedYear)+(SelectedYear="All Years"),ROW(DB_Savings!$E$2:$E$5001)),40))&amp;"","")</f>
        <v/>
      </c>
      <c r="F46" s="14" t="str">
        <f>IFERROR(INDEX(DB_Savings!$F:$F,SMALL(IF((DB_Savings!$I$2:$I$5001=SelectedYear)+(SelectedYear="All Years"),ROW(DB_Savings!$F$2:$F$5001)),40)),"")</f>
        <v/>
      </c>
      <c r="G46" s="14" t="str">
        <f>IFERROR(INDEX(DB_Savings!$G:$G,SMALL(IF((DB_Savings!$I$2:$I$5001=SelectedYear)+(SelectedYear="All Years"),ROW(DB_Savings!$G$2:$G$5001)),40))&amp;"","")</f>
        <v/>
      </c>
      <c r="H46" s="14" t="str">
        <f>IFERROR(INDEX(DB_Savings!$H:$H,SMALL(IF((DB_Savings!$I$2:$I$5001=SelectedYear)+(SelectedYear="All Years"),ROW(DB_Savings!$H$2:$H$5001)),40))&amp;"","")</f>
        <v/>
      </c>
      <c r="I46" s="14" t="str">
        <f t="shared" si="1"/>
        <v/>
      </c>
    </row>
    <row r="47" spans="1:9" x14ac:dyDescent="0.25">
      <c r="A47" s="13">
        <v>41</v>
      </c>
      <c r="B47" s="14" t="str">
        <f>IFERROR(INDEX(DB_Savings!$B:$B,SMALL(IF((DB_Savings!$I$2:$I$5001=SelectedYear)+(SelectedYear="All Years"),ROW(DB_Savings!$B$2:$B$5001)),41))&amp;"","")</f>
        <v/>
      </c>
      <c r="C47" s="14" t="str">
        <f>IFERROR(INDEX(DB_Savings!$C:$C,SMALL(IF((DB_Savings!$I$2:$I$5001=SelectedYear)+(SelectedYear="All Years"),ROW(DB_Savings!$C$2:$C$5001)),41))&amp;"","")</f>
        <v/>
      </c>
      <c r="D47" s="14" t="str">
        <f>IFERROR(INDEX(DB_Savings!$D:$D,SMALL(IF((DB_Savings!$I$2:$I$5001=SelectedYear)+(SelectedYear="All Years"),ROW(DB_Savings!$D$2:$D$5001)),41))&amp;"","")</f>
        <v/>
      </c>
      <c r="E47" s="14" t="str">
        <f>IFERROR(INDEX(DB_Savings!$E:$E,SMALL(IF((DB_Savings!$I$2:$I$5001=SelectedYear)+(SelectedYear="All Years"),ROW(DB_Savings!$E$2:$E$5001)),41))&amp;"","")</f>
        <v/>
      </c>
      <c r="F47" s="14" t="str">
        <f>IFERROR(INDEX(DB_Savings!$F:$F,SMALL(IF((DB_Savings!$I$2:$I$5001=SelectedYear)+(SelectedYear="All Years"),ROW(DB_Savings!$F$2:$F$5001)),41)),"")</f>
        <v/>
      </c>
      <c r="G47" s="14" t="str">
        <f>IFERROR(INDEX(DB_Savings!$G:$G,SMALL(IF((DB_Savings!$I$2:$I$5001=SelectedYear)+(SelectedYear="All Years"),ROW(DB_Savings!$G$2:$G$5001)),41))&amp;"","")</f>
        <v/>
      </c>
      <c r="H47" s="14" t="str">
        <f>IFERROR(INDEX(DB_Savings!$H:$H,SMALL(IF((DB_Savings!$I$2:$I$5001=SelectedYear)+(SelectedYear="All Years"),ROW(DB_Savings!$H$2:$H$5001)),41))&amp;"","")</f>
        <v/>
      </c>
      <c r="I47" s="14" t="str">
        <f t="shared" si="1"/>
        <v/>
      </c>
    </row>
    <row r="48" spans="1:9" x14ac:dyDescent="0.25">
      <c r="A48" s="13">
        <v>42</v>
      </c>
      <c r="B48" s="14" t="str">
        <f>IFERROR(INDEX(DB_Savings!$B:$B,SMALL(IF((DB_Savings!$I$2:$I$5001=SelectedYear)+(SelectedYear="All Years"),ROW(DB_Savings!$B$2:$B$5001)),42))&amp;"","")</f>
        <v/>
      </c>
      <c r="C48" s="14" t="str">
        <f>IFERROR(INDEX(DB_Savings!$C:$C,SMALL(IF((DB_Savings!$I$2:$I$5001=SelectedYear)+(SelectedYear="All Years"),ROW(DB_Savings!$C$2:$C$5001)),42))&amp;"","")</f>
        <v/>
      </c>
      <c r="D48" s="14" t="str">
        <f>IFERROR(INDEX(DB_Savings!$D:$D,SMALL(IF((DB_Savings!$I$2:$I$5001=SelectedYear)+(SelectedYear="All Years"),ROW(DB_Savings!$D$2:$D$5001)),42))&amp;"","")</f>
        <v/>
      </c>
      <c r="E48" s="14" t="str">
        <f>IFERROR(INDEX(DB_Savings!$E:$E,SMALL(IF((DB_Savings!$I$2:$I$5001=SelectedYear)+(SelectedYear="All Years"),ROW(DB_Savings!$E$2:$E$5001)),42))&amp;"","")</f>
        <v/>
      </c>
      <c r="F48" s="14" t="str">
        <f>IFERROR(INDEX(DB_Savings!$F:$F,SMALL(IF((DB_Savings!$I$2:$I$5001=SelectedYear)+(SelectedYear="All Years"),ROW(DB_Savings!$F$2:$F$5001)),42)),"")</f>
        <v/>
      </c>
      <c r="G48" s="14" t="str">
        <f>IFERROR(INDEX(DB_Savings!$G:$G,SMALL(IF((DB_Savings!$I$2:$I$5001=SelectedYear)+(SelectedYear="All Years"),ROW(DB_Savings!$G$2:$G$5001)),42))&amp;"","")</f>
        <v/>
      </c>
      <c r="H48" s="14" t="str">
        <f>IFERROR(INDEX(DB_Savings!$H:$H,SMALL(IF((DB_Savings!$I$2:$I$5001=SelectedYear)+(SelectedYear="All Years"),ROW(DB_Savings!$H$2:$H$5001)),42))&amp;"","")</f>
        <v/>
      </c>
      <c r="I48" s="14" t="str">
        <f t="shared" si="1"/>
        <v/>
      </c>
    </row>
    <row r="49" spans="1:9" x14ac:dyDescent="0.25">
      <c r="A49" s="13">
        <v>43</v>
      </c>
      <c r="B49" s="14" t="str">
        <f>IFERROR(INDEX(DB_Savings!$B:$B,SMALL(IF((DB_Savings!$I$2:$I$5001=SelectedYear)+(SelectedYear="All Years"),ROW(DB_Savings!$B$2:$B$5001)),43))&amp;"","")</f>
        <v/>
      </c>
      <c r="C49" s="14" t="str">
        <f>IFERROR(INDEX(DB_Savings!$C:$C,SMALL(IF((DB_Savings!$I$2:$I$5001=SelectedYear)+(SelectedYear="All Years"),ROW(DB_Savings!$C$2:$C$5001)),43))&amp;"","")</f>
        <v/>
      </c>
      <c r="D49" s="14" t="str">
        <f>IFERROR(INDEX(DB_Savings!$D:$D,SMALL(IF((DB_Savings!$I$2:$I$5001=SelectedYear)+(SelectedYear="All Years"),ROW(DB_Savings!$D$2:$D$5001)),43))&amp;"","")</f>
        <v/>
      </c>
      <c r="E49" s="14" t="str">
        <f>IFERROR(INDEX(DB_Savings!$E:$E,SMALL(IF((DB_Savings!$I$2:$I$5001=SelectedYear)+(SelectedYear="All Years"),ROW(DB_Savings!$E$2:$E$5001)),43))&amp;"","")</f>
        <v/>
      </c>
      <c r="F49" s="14" t="str">
        <f>IFERROR(INDEX(DB_Savings!$F:$F,SMALL(IF((DB_Savings!$I$2:$I$5001=SelectedYear)+(SelectedYear="All Years"),ROW(DB_Savings!$F$2:$F$5001)),43)),"")</f>
        <v/>
      </c>
      <c r="G49" s="14" t="str">
        <f>IFERROR(INDEX(DB_Savings!$G:$G,SMALL(IF((DB_Savings!$I$2:$I$5001=SelectedYear)+(SelectedYear="All Years"),ROW(DB_Savings!$G$2:$G$5001)),43))&amp;"","")</f>
        <v/>
      </c>
      <c r="H49" s="14" t="str">
        <f>IFERROR(INDEX(DB_Savings!$H:$H,SMALL(IF((DB_Savings!$I$2:$I$5001=SelectedYear)+(SelectedYear="All Years"),ROW(DB_Savings!$H$2:$H$5001)),43))&amp;"","")</f>
        <v/>
      </c>
      <c r="I49" s="14" t="str">
        <f t="shared" si="1"/>
        <v/>
      </c>
    </row>
    <row r="50" spans="1:9" x14ac:dyDescent="0.25">
      <c r="A50" s="13">
        <v>44</v>
      </c>
      <c r="B50" s="14" t="str">
        <f>IFERROR(INDEX(DB_Savings!$B:$B,SMALL(IF((DB_Savings!$I$2:$I$5001=SelectedYear)+(SelectedYear="All Years"),ROW(DB_Savings!$B$2:$B$5001)),44))&amp;"","")</f>
        <v/>
      </c>
      <c r="C50" s="14" t="str">
        <f>IFERROR(INDEX(DB_Savings!$C:$C,SMALL(IF((DB_Savings!$I$2:$I$5001=SelectedYear)+(SelectedYear="All Years"),ROW(DB_Savings!$C$2:$C$5001)),44))&amp;"","")</f>
        <v/>
      </c>
      <c r="D50" s="14" t="str">
        <f>IFERROR(INDEX(DB_Savings!$D:$D,SMALL(IF((DB_Savings!$I$2:$I$5001=SelectedYear)+(SelectedYear="All Years"),ROW(DB_Savings!$D$2:$D$5001)),44))&amp;"","")</f>
        <v/>
      </c>
      <c r="E50" s="14" t="str">
        <f>IFERROR(INDEX(DB_Savings!$E:$E,SMALL(IF((DB_Savings!$I$2:$I$5001=SelectedYear)+(SelectedYear="All Years"),ROW(DB_Savings!$E$2:$E$5001)),44))&amp;"","")</f>
        <v/>
      </c>
      <c r="F50" s="14" t="str">
        <f>IFERROR(INDEX(DB_Savings!$F:$F,SMALL(IF((DB_Savings!$I$2:$I$5001=SelectedYear)+(SelectedYear="All Years"),ROW(DB_Savings!$F$2:$F$5001)),44)),"")</f>
        <v/>
      </c>
      <c r="G50" s="14" t="str">
        <f>IFERROR(INDEX(DB_Savings!$G:$G,SMALL(IF((DB_Savings!$I$2:$I$5001=SelectedYear)+(SelectedYear="All Years"),ROW(DB_Savings!$G$2:$G$5001)),44))&amp;"","")</f>
        <v/>
      </c>
      <c r="H50" s="14" t="str">
        <f>IFERROR(INDEX(DB_Savings!$H:$H,SMALL(IF((DB_Savings!$I$2:$I$5001=SelectedYear)+(SelectedYear="All Years"),ROW(DB_Savings!$H$2:$H$5001)),44))&amp;"","")</f>
        <v/>
      </c>
      <c r="I50" s="14" t="str">
        <f t="shared" si="1"/>
        <v/>
      </c>
    </row>
    <row r="51" spans="1:9" x14ac:dyDescent="0.25">
      <c r="A51" s="13">
        <v>45</v>
      </c>
      <c r="B51" s="14" t="str">
        <f>IFERROR(INDEX(DB_Savings!$B:$B,SMALL(IF((DB_Savings!$I$2:$I$5001=SelectedYear)+(SelectedYear="All Years"),ROW(DB_Savings!$B$2:$B$5001)),45))&amp;"","")</f>
        <v/>
      </c>
      <c r="C51" s="14" t="str">
        <f>IFERROR(INDEX(DB_Savings!$C:$C,SMALL(IF((DB_Savings!$I$2:$I$5001=SelectedYear)+(SelectedYear="All Years"),ROW(DB_Savings!$C$2:$C$5001)),45))&amp;"","")</f>
        <v/>
      </c>
      <c r="D51" s="14" t="str">
        <f>IFERROR(INDEX(DB_Savings!$D:$D,SMALL(IF((DB_Savings!$I$2:$I$5001=SelectedYear)+(SelectedYear="All Years"),ROW(DB_Savings!$D$2:$D$5001)),45))&amp;"","")</f>
        <v/>
      </c>
      <c r="E51" s="14" t="str">
        <f>IFERROR(INDEX(DB_Savings!$E:$E,SMALL(IF((DB_Savings!$I$2:$I$5001=SelectedYear)+(SelectedYear="All Years"),ROW(DB_Savings!$E$2:$E$5001)),45))&amp;"","")</f>
        <v/>
      </c>
      <c r="F51" s="14" t="str">
        <f>IFERROR(INDEX(DB_Savings!$F:$F,SMALL(IF((DB_Savings!$I$2:$I$5001=SelectedYear)+(SelectedYear="All Years"),ROW(DB_Savings!$F$2:$F$5001)),45)),"")</f>
        <v/>
      </c>
      <c r="G51" s="14" t="str">
        <f>IFERROR(INDEX(DB_Savings!$G:$G,SMALL(IF((DB_Savings!$I$2:$I$5001=SelectedYear)+(SelectedYear="All Years"),ROW(DB_Savings!$G$2:$G$5001)),45))&amp;"","")</f>
        <v/>
      </c>
      <c r="H51" s="14" t="str">
        <f>IFERROR(INDEX(DB_Savings!$H:$H,SMALL(IF((DB_Savings!$I$2:$I$5001=SelectedYear)+(SelectedYear="All Years"),ROW(DB_Savings!$H$2:$H$5001)),45))&amp;"","")</f>
        <v/>
      </c>
      <c r="I51" s="14" t="str">
        <f t="shared" si="1"/>
        <v/>
      </c>
    </row>
    <row r="52" spans="1:9" x14ac:dyDescent="0.25">
      <c r="A52" s="13">
        <v>46</v>
      </c>
      <c r="B52" s="14" t="str">
        <f>IFERROR(INDEX(DB_Savings!$B:$B,SMALL(IF((DB_Savings!$I$2:$I$5001=SelectedYear)+(SelectedYear="All Years"),ROW(DB_Savings!$B$2:$B$5001)),46))&amp;"","")</f>
        <v/>
      </c>
      <c r="C52" s="14" t="str">
        <f>IFERROR(INDEX(DB_Savings!$C:$C,SMALL(IF((DB_Savings!$I$2:$I$5001=SelectedYear)+(SelectedYear="All Years"),ROW(DB_Savings!$C$2:$C$5001)),46))&amp;"","")</f>
        <v/>
      </c>
      <c r="D52" s="14" t="str">
        <f>IFERROR(INDEX(DB_Savings!$D:$D,SMALL(IF((DB_Savings!$I$2:$I$5001=SelectedYear)+(SelectedYear="All Years"),ROW(DB_Savings!$D$2:$D$5001)),46))&amp;"","")</f>
        <v/>
      </c>
      <c r="E52" s="14" t="str">
        <f>IFERROR(INDEX(DB_Savings!$E:$E,SMALL(IF((DB_Savings!$I$2:$I$5001=SelectedYear)+(SelectedYear="All Years"),ROW(DB_Savings!$E$2:$E$5001)),46))&amp;"","")</f>
        <v/>
      </c>
      <c r="F52" s="14" t="str">
        <f>IFERROR(INDEX(DB_Savings!$F:$F,SMALL(IF((DB_Savings!$I$2:$I$5001=SelectedYear)+(SelectedYear="All Years"),ROW(DB_Savings!$F$2:$F$5001)),46)),"")</f>
        <v/>
      </c>
      <c r="G52" s="14" t="str">
        <f>IFERROR(INDEX(DB_Savings!$G:$G,SMALL(IF((DB_Savings!$I$2:$I$5001=SelectedYear)+(SelectedYear="All Years"),ROW(DB_Savings!$G$2:$G$5001)),46))&amp;"","")</f>
        <v/>
      </c>
      <c r="H52" s="14" t="str">
        <f>IFERROR(INDEX(DB_Savings!$H:$H,SMALL(IF((DB_Savings!$I$2:$I$5001=SelectedYear)+(SelectedYear="All Years"),ROW(DB_Savings!$H$2:$H$5001)),46))&amp;"","")</f>
        <v/>
      </c>
      <c r="I52" s="14" t="str">
        <f t="shared" si="1"/>
        <v/>
      </c>
    </row>
    <row r="53" spans="1:9" x14ac:dyDescent="0.25">
      <c r="A53" s="13">
        <v>47</v>
      </c>
      <c r="B53" s="14" t="str">
        <f>IFERROR(INDEX(DB_Savings!$B:$B,SMALL(IF((DB_Savings!$I$2:$I$5001=SelectedYear)+(SelectedYear="All Years"),ROW(DB_Savings!$B$2:$B$5001)),47))&amp;"","")</f>
        <v/>
      </c>
      <c r="C53" s="14" t="str">
        <f>IFERROR(INDEX(DB_Savings!$C:$C,SMALL(IF((DB_Savings!$I$2:$I$5001=SelectedYear)+(SelectedYear="All Years"),ROW(DB_Savings!$C$2:$C$5001)),47))&amp;"","")</f>
        <v/>
      </c>
      <c r="D53" s="14" t="str">
        <f>IFERROR(INDEX(DB_Savings!$D:$D,SMALL(IF((DB_Savings!$I$2:$I$5001=SelectedYear)+(SelectedYear="All Years"),ROW(DB_Savings!$D$2:$D$5001)),47))&amp;"","")</f>
        <v/>
      </c>
      <c r="E53" s="14" t="str">
        <f>IFERROR(INDEX(DB_Savings!$E:$E,SMALL(IF((DB_Savings!$I$2:$I$5001=SelectedYear)+(SelectedYear="All Years"),ROW(DB_Savings!$E$2:$E$5001)),47))&amp;"","")</f>
        <v/>
      </c>
      <c r="F53" s="14" t="str">
        <f>IFERROR(INDEX(DB_Savings!$F:$F,SMALL(IF((DB_Savings!$I$2:$I$5001=SelectedYear)+(SelectedYear="All Years"),ROW(DB_Savings!$F$2:$F$5001)),47)),"")</f>
        <v/>
      </c>
      <c r="G53" s="14" t="str">
        <f>IFERROR(INDEX(DB_Savings!$G:$G,SMALL(IF((DB_Savings!$I$2:$I$5001=SelectedYear)+(SelectedYear="All Years"),ROW(DB_Savings!$G$2:$G$5001)),47))&amp;"","")</f>
        <v/>
      </c>
      <c r="H53" s="14" t="str">
        <f>IFERROR(INDEX(DB_Savings!$H:$H,SMALL(IF((DB_Savings!$I$2:$I$5001=SelectedYear)+(SelectedYear="All Years"),ROW(DB_Savings!$H$2:$H$5001)),47))&amp;"","")</f>
        <v/>
      </c>
      <c r="I53" s="14" t="str">
        <f t="shared" si="1"/>
        <v/>
      </c>
    </row>
    <row r="54" spans="1:9" x14ac:dyDescent="0.25">
      <c r="A54" s="13">
        <v>48</v>
      </c>
      <c r="B54" s="14" t="str">
        <f>IFERROR(INDEX(DB_Savings!$B:$B,SMALL(IF((DB_Savings!$I$2:$I$5001=SelectedYear)+(SelectedYear="All Years"),ROW(DB_Savings!$B$2:$B$5001)),48))&amp;"","")</f>
        <v/>
      </c>
      <c r="C54" s="14" t="str">
        <f>IFERROR(INDEX(DB_Savings!$C:$C,SMALL(IF((DB_Savings!$I$2:$I$5001=SelectedYear)+(SelectedYear="All Years"),ROW(DB_Savings!$C$2:$C$5001)),48))&amp;"","")</f>
        <v/>
      </c>
      <c r="D54" s="14" t="str">
        <f>IFERROR(INDEX(DB_Savings!$D:$D,SMALL(IF((DB_Savings!$I$2:$I$5001=SelectedYear)+(SelectedYear="All Years"),ROW(DB_Savings!$D$2:$D$5001)),48))&amp;"","")</f>
        <v/>
      </c>
      <c r="E54" s="14" t="str">
        <f>IFERROR(INDEX(DB_Savings!$E:$E,SMALL(IF((DB_Savings!$I$2:$I$5001=SelectedYear)+(SelectedYear="All Years"),ROW(DB_Savings!$E$2:$E$5001)),48))&amp;"","")</f>
        <v/>
      </c>
      <c r="F54" s="14" t="str">
        <f>IFERROR(INDEX(DB_Savings!$F:$F,SMALL(IF((DB_Savings!$I$2:$I$5001=SelectedYear)+(SelectedYear="All Years"),ROW(DB_Savings!$F$2:$F$5001)),48)),"")</f>
        <v/>
      </c>
      <c r="G54" s="14" t="str">
        <f>IFERROR(INDEX(DB_Savings!$G:$G,SMALL(IF((DB_Savings!$I$2:$I$5001=SelectedYear)+(SelectedYear="All Years"),ROW(DB_Savings!$G$2:$G$5001)),48))&amp;"","")</f>
        <v/>
      </c>
      <c r="H54" s="14" t="str">
        <f>IFERROR(INDEX(DB_Savings!$H:$H,SMALL(IF((DB_Savings!$I$2:$I$5001=SelectedYear)+(SelectedYear="All Years"),ROW(DB_Savings!$H$2:$H$5001)),48))&amp;"","")</f>
        <v/>
      </c>
      <c r="I54" s="14" t="str">
        <f t="shared" si="1"/>
        <v/>
      </c>
    </row>
    <row r="55" spans="1:9" x14ac:dyDescent="0.25">
      <c r="A55" s="13">
        <v>49</v>
      </c>
      <c r="B55" s="14" t="str">
        <f>IFERROR(INDEX(DB_Savings!$B:$B,SMALL(IF((DB_Savings!$I$2:$I$5001=SelectedYear)+(SelectedYear="All Years"),ROW(DB_Savings!$B$2:$B$5001)),49))&amp;"","")</f>
        <v/>
      </c>
      <c r="C55" s="14" t="str">
        <f>IFERROR(INDEX(DB_Savings!$C:$C,SMALL(IF((DB_Savings!$I$2:$I$5001=SelectedYear)+(SelectedYear="All Years"),ROW(DB_Savings!$C$2:$C$5001)),49))&amp;"","")</f>
        <v/>
      </c>
      <c r="D55" s="14" t="str">
        <f>IFERROR(INDEX(DB_Savings!$D:$D,SMALL(IF((DB_Savings!$I$2:$I$5001=SelectedYear)+(SelectedYear="All Years"),ROW(DB_Savings!$D$2:$D$5001)),49))&amp;"","")</f>
        <v/>
      </c>
      <c r="E55" s="14" t="str">
        <f>IFERROR(INDEX(DB_Savings!$E:$E,SMALL(IF((DB_Savings!$I$2:$I$5001=SelectedYear)+(SelectedYear="All Years"),ROW(DB_Savings!$E$2:$E$5001)),49))&amp;"","")</f>
        <v/>
      </c>
      <c r="F55" s="14" t="str">
        <f>IFERROR(INDEX(DB_Savings!$F:$F,SMALL(IF((DB_Savings!$I$2:$I$5001=SelectedYear)+(SelectedYear="All Years"),ROW(DB_Savings!$F$2:$F$5001)),49)),"")</f>
        <v/>
      </c>
      <c r="G55" s="14" t="str">
        <f>IFERROR(INDEX(DB_Savings!$G:$G,SMALL(IF((DB_Savings!$I$2:$I$5001=SelectedYear)+(SelectedYear="All Years"),ROW(DB_Savings!$G$2:$G$5001)),49))&amp;"","")</f>
        <v/>
      </c>
      <c r="H55" s="14" t="str">
        <f>IFERROR(INDEX(DB_Savings!$H:$H,SMALL(IF((DB_Savings!$I$2:$I$5001=SelectedYear)+(SelectedYear="All Years"),ROW(DB_Savings!$H$2:$H$5001)),49))&amp;"","")</f>
        <v/>
      </c>
      <c r="I55" s="14" t="str">
        <f t="shared" si="1"/>
        <v/>
      </c>
    </row>
    <row r="56" spans="1:9" x14ac:dyDescent="0.25">
      <c r="A56" s="13">
        <v>50</v>
      </c>
      <c r="B56" s="14" t="str">
        <f>IFERROR(INDEX(DB_Savings!$B:$B,SMALL(IF((DB_Savings!$I$2:$I$5001=SelectedYear)+(SelectedYear="All Years"),ROW(DB_Savings!$B$2:$B$5001)),50))&amp;"","")</f>
        <v/>
      </c>
      <c r="C56" s="14" t="str">
        <f>IFERROR(INDEX(DB_Savings!$C:$C,SMALL(IF((DB_Savings!$I$2:$I$5001=SelectedYear)+(SelectedYear="All Years"),ROW(DB_Savings!$C$2:$C$5001)),50))&amp;"","")</f>
        <v/>
      </c>
      <c r="D56" s="14" t="str">
        <f>IFERROR(INDEX(DB_Savings!$D:$D,SMALL(IF((DB_Savings!$I$2:$I$5001=SelectedYear)+(SelectedYear="All Years"),ROW(DB_Savings!$D$2:$D$5001)),50))&amp;"","")</f>
        <v/>
      </c>
      <c r="E56" s="14" t="str">
        <f>IFERROR(INDEX(DB_Savings!$E:$E,SMALL(IF((DB_Savings!$I$2:$I$5001=SelectedYear)+(SelectedYear="All Years"),ROW(DB_Savings!$E$2:$E$5001)),50))&amp;"","")</f>
        <v/>
      </c>
      <c r="F56" s="14" t="str">
        <f>IFERROR(INDEX(DB_Savings!$F:$F,SMALL(IF((DB_Savings!$I$2:$I$5001=SelectedYear)+(SelectedYear="All Years"),ROW(DB_Savings!$F$2:$F$5001)),50)),"")</f>
        <v/>
      </c>
      <c r="G56" s="14" t="str">
        <f>IFERROR(INDEX(DB_Savings!$G:$G,SMALL(IF((DB_Savings!$I$2:$I$5001=SelectedYear)+(SelectedYear="All Years"),ROW(DB_Savings!$G$2:$G$5001)),50))&amp;"","")</f>
        <v/>
      </c>
      <c r="H56" s="14" t="str">
        <f>IFERROR(INDEX(DB_Savings!$H:$H,SMALL(IF((DB_Savings!$I$2:$I$5001=SelectedYear)+(SelectedYear="All Years"),ROW(DB_Savings!$H$2:$H$5001)),50))&amp;"","")</f>
        <v/>
      </c>
      <c r="I56" s="14" t="str">
        <f t="shared" si="1"/>
        <v/>
      </c>
    </row>
    <row r="59" spans="1:9" ht="21.75" customHeight="1" x14ac:dyDescent="0.25">
      <c r="A59" s="292" t="s">
        <v>80</v>
      </c>
      <c r="B59" s="265"/>
      <c r="C59" s="265"/>
      <c r="D59" s="265"/>
      <c r="E59" s="265"/>
      <c r="F59" s="265"/>
      <c r="G59" s="265"/>
      <c r="H59" s="265"/>
      <c r="I59" s="265"/>
    </row>
    <row r="60" spans="1:9" ht="18" customHeight="1" x14ac:dyDescent="0.25">
      <c r="A60" s="12" t="s">
        <v>74</v>
      </c>
      <c r="B60" s="12" t="s">
        <v>75</v>
      </c>
      <c r="C60" s="12" t="s">
        <v>76</v>
      </c>
      <c r="D60" s="12" t="s">
        <v>77</v>
      </c>
      <c r="E60" s="12" t="s">
        <v>78</v>
      </c>
      <c r="F60" s="12" t="s">
        <v>79</v>
      </c>
      <c r="G60" s="12" t="s">
        <v>14</v>
      </c>
      <c r="H60" s="12" t="s">
        <v>13</v>
      </c>
      <c r="I60" s="12" t="s">
        <v>1</v>
      </c>
    </row>
    <row r="61" spans="1:9" x14ac:dyDescent="0.25">
      <c r="A61" s="14">
        <v>1</v>
      </c>
      <c r="B61" s="14" t="str">
        <f>IFERROR(INDEX(DB_Withdrawals!$B:$B,SMALL(IF((DB_Withdrawals!$I$2:$I$5001=SelectedYear)+(SelectedYear="All Years"),ROW(DB_Withdrawals!$B$2:$B$5001)),1))&amp;"","")</f>
        <v/>
      </c>
      <c r="C61" s="14" t="str">
        <f>IFERROR(INDEX(DB_Withdrawals!$C:$C,SMALL(IF((DB_Withdrawals!$I$2:$I$5001=SelectedYear)+(SelectedYear="All Years"),ROW(DB_Withdrawals!$C$2:$C$5001)),1))&amp;"","")</f>
        <v/>
      </c>
      <c r="D61" s="14" t="str">
        <f>IFERROR(INDEX(DB_Withdrawals!$D:$D,SMALL(IF((DB_Withdrawals!$I$2:$I$5001=SelectedYear)+(SelectedYear="All Years"),ROW(DB_Withdrawals!$D$2:$D$5001)),1))&amp;"","")</f>
        <v/>
      </c>
      <c r="E61" s="14" t="str">
        <f>IFERROR(INDEX(DB_Withdrawals!$E:$E,SMALL(IF((DB_Withdrawals!$I$2:$I$5001=SelectedYear)+(SelectedYear="All Years"),ROW(DB_Withdrawals!$E$2:$E$5001)),1))&amp;"","")</f>
        <v/>
      </c>
      <c r="F61" s="14">
        <f>IFERROR(INDEX(DB_Withdrawals!$F:$F,SMALL(IF((DB_Withdrawals!$I$2:$I$5001=SelectedYear)+(SelectedYear="All Years"),ROW(DB_Withdrawals!$F$2:$F$5001)),1)),"")</f>
        <v>0</v>
      </c>
      <c r="G61" s="14" t="str">
        <f>IFERROR(INDEX(DB_Withdrawals!$G:$G,SMALL(IF((DB_Withdrawals!$I$2:$I$5001=SelectedYear)+(SelectedYear="All Years"),ROW(DB_Withdrawals!$G$2:$G$5001)),1))&amp;"","")</f>
        <v/>
      </c>
      <c r="H61" s="14" t="str">
        <f>IFERROR(INDEX(DB_Withdrawals!$H:$H,SMALL(IF((DB_Withdrawals!$I$2:$I$5001=SelectedYear)+(SelectedYear="All Years"),ROW(DB_Withdrawals!$H$2:$H$5001)),1))&amp;"","")</f>
        <v/>
      </c>
      <c r="I61" s="14" t="str">
        <f t="shared" ref="I61:I92" si="2">IF(E61="","",IFERROR(YEAR(E61),""))</f>
        <v/>
      </c>
    </row>
    <row r="62" spans="1:9" x14ac:dyDescent="0.25">
      <c r="A62" s="14">
        <v>2</v>
      </c>
      <c r="B62" s="14" t="str">
        <f>IFERROR(INDEX(DB_Withdrawals!$B:$B,SMALL(IF((DB_Withdrawals!$I$2:$I$5001=SelectedYear)+(SelectedYear="All Years"),ROW(DB_Withdrawals!$B$2:$B$5001)),2))&amp;"","")</f>
        <v/>
      </c>
      <c r="C62" s="14" t="str">
        <f>IFERROR(INDEX(DB_Withdrawals!$C:$C,SMALL(IF((DB_Withdrawals!$I$2:$I$5001=SelectedYear)+(SelectedYear="All Years"),ROW(DB_Withdrawals!$C$2:$C$5001)),2))&amp;"","")</f>
        <v/>
      </c>
      <c r="D62" s="14" t="str">
        <f>IFERROR(INDEX(DB_Withdrawals!$D:$D,SMALL(IF((DB_Withdrawals!$I$2:$I$5001=SelectedYear)+(SelectedYear="All Years"),ROW(DB_Withdrawals!$D$2:$D$5001)),2))&amp;"","")</f>
        <v/>
      </c>
      <c r="E62" s="14" t="str">
        <f>IFERROR(INDEX(DB_Withdrawals!$E:$E,SMALL(IF((DB_Withdrawals!$I$2:$I$5001=SelectedYear)+(SelectedYear="All Years"),ROW(DB_Withdrawals!$E$2:$E$5001)),2))&amp;"","")</f>
        <v/>
      </c>
      <c r="F62" s="14" t="str">
        <f>IFERROR(INDEX(DB_Withdrawals!$F:$F,SMALL(IF((DB_Withdrawals!$I$2:$I$5001=SelectedYear)+(SelectedYear="All Years"),ROW(DB_Withdrawals!$F$2:$F$5001)),2)),"")</f>
        <v/>
      </c>
      <c r="G62" s="14" t="str">
        <f>IFERROR(INDEX(DB_Withdrawals!$G:$G,SMALL(IF((DB_Withdrawals!$I$2:$I$5001=SelectedYear)+(SelectedYear="All Years"),ROW(DB_Withdrawals!$G$2:$G$5001)),2))&amp;"","")</f>
        <v/>
      </c>
      <c r="H62" s="14" t="str">
        <f>IFERROR(INDEX(DB_Withdrawals!$H:$H,SMALL(IF((DB_Withdrawals!$I$2:$I$5001=SelectedYear)+(SelectedYear="All Years"),ROW(DB_Withdrawals!$H$2:$H$5001)),2))&amp;"","")</f>
        <v/>
      </c>
      <c r="I62" s="14" t="str">
        <f t="shared" si="2"/>
        <v/>
      </c>
    </row>
    <row r="63" spans="1:9" x14ac:dyDescent="0.25">
      <c r="A63" s="14">
        <v>3</v>
      </c>
      <c r="B63" s="14" t="str">
        <f>IFERROR(INDEX(DB_Withdrawals!$B:$B,SMALL(IF((DB_Withdrawals!$I$2:$I$5001=SelectedYear)+(SelectedYear="All Years"),ROW(DB_Withdrawals!$B$2:$B$5001)),3))&amp;"","")</f>
        <v/>
      </c>
      <c r="C63" s="14" t="str">
        <f>IFERROR(INDEX(DB_Withdrawals!$C:$C,SMALL(IF((DB_Withdrawals!$I$2:$I$5001=SelectedYear)+(SelectedYear="All Years"),ROW(DB_Withdrawals!$C$2:$C$5001)),3))&amp;"","")</f>
        <v/>
      </c>
      <c r="D63" s="14" t="str">
        <f>IFERROR(INDEX(DB_Withdrawals!$D:$D,SMALL(IF((DB_Withdrawals!$I$2:$I$5001=SelectedYear)+(SelectedYear="All Years"),ROW(DB_Withdrawals!$D$2:$D$5001)),3))&amp;"","")</f>
        <v/>
      </c>
      <c r="E63" s="14" t="str">
        <f>IFERROR(INDEX(DB_Withdrawals!$E:$E,SMALL(IF((DB_Withdrawals!$I$2:$I$5001=SelectedYear)+(SelectedYear="All Years"),ROW(DB_Withdrawals!$E$2:$E$5001)),3))&amp;"","")</f>
        <v/>
      </c>
      <c r="F63" s="14" t="str">
        <f>IFERROR(INDEX(DB_Withdrawals!$F:$F,SMALL(IF((DB_Withdrawals!$I$2:$I$5001=SelectedYear)+(SelectedYear="All Years"),ROW(DB_Withdrawals!$F$2:$F$5001)),3)),"")</f>
        <v/>
      </c>
      <c r="G63" s="14" t="str">
        <f>IFERROR(INDEX(DB_Withdrawals!$G:$G,SMALL(IF((DB_Withdrawals!$I$2:$I$5001=SelectedYear)+(SelectedYear="All Years"),ROW(DB_Withdrawals!$G$2:$G$5001)),3))&amp;"","")</f>
        <v/>
      </c>
      <c r="H63" s="14" t="str">
        <f>IFERROR(INDEX(DB_Withdrawals!$H:$H,SMALL(IF((DB_Withdrawals!$I$2:$I$5001=SelectedYear)+(SelectedYear="All Years"),ROW(DB_Withdrawals!$H$2:$H$5001)),3))&amp;"","")</f>
        <v/>
      </c>
      <c r="I63" s="14" t="str">
        <f t="shared" si="2"/>
        <v/>
      </c>
    </row>
    <row r="64" spans="1:9" x14ac:dyDescent="0.25">
      <c r="A64" s="14">
        <v>4</v>
      </c>
      <c r="B64" s="14" t="str">
        <f>IFERROR(INDEX(DB_Withdrawals!$B:$B,SMALL(IF((DB_Withdrawals!$I$2:$I$5001=SelectedYear)+(SelectedYear="All Years"),ROW(DB_Withdrawals!$B$2:$B$5001)),4))&amp;"","")</f>
        <v/>
      </c>
      <c r="C64" s="14" t="str">
        <f>IFERROR(INDEX(DB_Withdrawals!$C:$C,SMALL(IF((DB_Withdrawals!$I$2:$I$5001=SelectedYear)+(SelectedYear="All Years"),ROW(DB_Withdrawals!$C$2:$C$5001)),4))&amp;"","")</f>
        <v/>
      </c>
      <c r="D64" s="14" t="str">
        <f>IFERROR(INDEX(DB_Withdrawals!$D:$D,SMALL(IF((DB_Withdrawals!$I$2:$I$5001=SelectedYear)+(SelectedYear="All Years"),ROW(DB_Withdrawals!$D$2:$D$5001)),4))&amp;"","")</f>
        <v/>
      </c>
      <c r="E64" s="14" t="str">
        <f>IFERROR(INDEX(DB_Withdrawals!$E:$E,SMALL(IF((DB_Withdrawals!$I$2:$I$5001=SelectedYear)+(SelectedYear="All Years"),ROW(DB_Withdrawals!$E$2:$E$5001)),4))&amp;"","")</f>
        <v/>
      </c>
      <c r="F64" s="14" t="str">
        <f>IFERROR(INDEX(DB_Withdrawals!$F:$F,SMALL(IF((DB_Withdrawals!$I$2:$I$5001=SelectedYear)+(SelectedYear="All Years"),ROW(DB_Withdrawals!$F$2:$F$5001)),4)),"")</f>
        <v/>
      </c>
      <c r="G64" s="14" t="str">
        <f>IFERROR(INDEX(DB_Withdrawals!$G:$G,SMALL(IF((DB_Withdrawals!$I$2:$I$5001=SelectedYear)+(SelectedYear="All Years"),ROW(DB_Withdrawals!$G$2:$G$5001)),4))&amp;"","")</f>
        <v/>
      </c>
      <c r="H64" s="14" t="str">
        <f>IFERROR(INDEX(DB_Withdrawals!$H:$H,SMALL(IF((DB_Withdrawals!$I$2:$I$5001=SelectedYear)+(SelectedYear="All Years"),ROW(DB_Withdrawals!$H$2:$H$5001)),4))&amp;"","")</f>
        <v/>
      </c>
      <c r="I64" s="14" t="str">
        <f t="shared" si="2"/>
        <v/>
      </c>
    </row>
    <row r="65" spans="1:9" x14ac:dyDescent="0.25">
      <c r="A65" s="14">
        <v>5</v>
      </c>
      <c r="B65" s="14" t="str">
        <f>IFERROR(INDEX(DB_Withdrawals!$B:$B,SMALL(IF((DB_Withdrawals!$I$2:$I$5001=SelectedYear)+(SelectedYear="All Years"),ROW(DB_Withdrawals!$B$2:$B$5001)),5))&amp;"","")</f>
        <v/>
      </c>
      <c r="C65" s="14" t="str">
        <f>IFERROR(INDEX(DB_Withdrawals!$C:$C,SMALL(IF((DB_Withdrawals!$I$2:$I$5001=SelectedYear)+(SelectedYear="All Years"),ROW(DB_Withdrawals!$C$2:$C$5001)),5))&amp;"","")</f>
        <v/>
      </c>
      <c r="D65" s="14" t="str">
        <f>IFERROR(INDEX(DB_Withdrawals!$D:$D,SMALL(IF((DB_Withdrawals!$I$2:$I$5001=SelectedYear)+(SelectedYear="All Years"),ROW(DB_Withdrawals!$D$2:$D$5001)),5))&amp;"","")</f>
        <v/>
      </c>
      <c r="E65" s="14" t="str">
        <f>IFERROR(INDEX(DB_Withdrawals!$E:$E,SMALL(IF((DB_Withdrawals!$I$2:$I$5001=SelectedYear)+(SelectedYear="All Years"),ROW(DB_Withdrawals!$E$2:$E$5001)),5))&amp;"","")</f>
        <v/>
      </c>
      <c r="F65" s="14" t="str">
        <f>IFERROR(INDEX(DB_Withdrawals!$F:$F,SMALL(IF((DB_Withdrawals!$I$2:$I$5001=SelectedYear)+(SelectedYear="All Years"),ROW(DB_Withdrawals!$F$2:$F$5001)),5)),"")</f>
        <v/>
      </c>
      <c r="G65" s="14" t="str">
        <f>IFERROR(INDEX(DB_Withdrawals!$G:$G,SMALL(IF((DB_Withdrawals!$I$2:$I$5001=SelectedYear)+(SelectedYear="All Years"),ROW(DB_Withdrawals!$G$2:$G$5001)),5))&amp;"","")</f>
        <v/>
      </c>
      <c r="H65" s="14" t="str">
        <f>IFERROR(INDEX(DB_Withdrawals!$H:$H,SMALL(IF((DB_Withdrawals!$I$2:$I$5001=SelectedYear)+(SelectedYear="All Years"),ROW(DB_Withdrawals!$H$2:$H$5001)),5))&amp;"","")</f>
        <v/>
      </c>
      <c r="I65" s="14" t="str">
        <f t="shared" si="2"/>
        <v/>
      </c>
    </row>
    <row r="66" spans="1:9" x14ac:dyDescent="0.25">
      <c r="A66" s="14">
        <v>6</v>
      </c>
      <c r="B66" s="14" t="str">
        <f>IFERROR(INDEX(DB_Withdrawals!$B:$B,SMALL(IF((DB_Withdrawals!$I$2:$I$5001=SelectedYear)+(SelectedYear="All Years"),ROW(DB_Withdrawals!$B$2:$B$5001)),6))&amp;"","")</f>
        <v/>
      </c>
      <c r="C66" s="14" t="str">
        <f>IFERROR(INDEX(DB_Withdrawals!$C:$C,SMALL(IF((DB_Withdrawals!$I$2:$I$5001=SelectedYear)+(SelectedYear="All Years"),ROW(DB_Withdrawals!$C$2:$C$5001)),6))&amp;"","")</f>
        <v/>
      </c>
      <c r="D66" s="14" t="str">
        <f>IFERROR(INDEX(DB_Withdrawals!$D:$D,SMALL(IF((DB_Withdrawals!$I$2:$I$5001=SelectedYear)+(SelectedYear="All Years"),ROW(DB_Withdrawals!$D$2:$D$5001)),6))&amp;"","")</f>
        <v/>
      </c>
      <c r="E66" s="14" t="str">
        <f>IFERROR(INDEX(DB_Withdrawals!$E:$E,SMALL(IF((DB_Withdrawals!$I$2:$I$5001=SelectedYear)+(SelectedYear="All Years"),ROW(DB_Withdrawals!$E$2:$E$5001)),6))&amp;"","")</f>
        <v/>
      </c>
      <c r="F66" s="14" t="str">
        <f>IFERROR(INDEX(DB_Withdrawals!$F:$F,SMALL(IF((DB_Withdrawals!$I$2:$I$5001=SelectedYear)+(SelectedYear="All Years"),ROW(DB_Withdrawals!$F$2:$F$5001)),6)),"")</f>
        <v/>
      </c>
      <c r="G66" s="14" t="str">
        <f>IFERROR(INDEX(DB_Withdrawals!$G:$G,SMALL(IF((DB_Withdrawals!$I$2:$I$5001=SelectedYear)+(SelectedYear="All Years"),ROW(DB_Withdrawals!$G$2:$G$5001)),6))&amp;"","")</f>
        <v/>
      </c>
      <c r="H66" s="14" t="str">
        <f>IFERROR(INDEX(DB_Withdrawals!$H:$H,SMALL(IF((DB_Withdrawals!$I$2:$I$5001=SelectedYear)+(SelectedYear="All Years"),ROW(DB_Withdrawals!$H$2:$H$5001)),6))&amp;"","")</f>
        <v/>
      </c>
      <c r="I66" s="14" t="str">
        <f t="shared" si="2"/>
        <v/>
      </c>
    </row>
    <row r="67" spans="1:9" x14ac:dyDescent="0.25">
      <c r="A67" s="14">
        <v>7</v>
      </c>
      <c r="B67" s="14" t="str">
        <f>IFERROR(INDEX(DB_Withdrawals!$B:$B,SMALL(IF((DB_Withdrawals!$I$2:$I$5001=SelectedYear)+(SelectedYear="All Years"),ROW(DB_Withdrawals!$B$2:$B$5001)),7))&amp;"","")</f>
        <v/>
      </c>
      <c r="C67" s="14" t="str">
        <f>IFERROR(INDEX(DB_Withdrawals!$C:$C,SMALL(IF((DB_Withdrawals!$I$2:$I$5001=SelectedYear)+(SelectedYear="All Years"),ROW(DB_Withdrawals!$C$2:$C$5001)),7))&amp;"","")</f>
        <v/>
      </c>
      <c r="D67" s="14" t="str">
        <f>IFERROR(INDEX(DB_Withdrawals!$D:$D,SMALL(IF((DB_Withdrawals!$I$2:$I$5001=SelectedYear)+(SelectedYear="All Years"),ROW(DB_Withdrawals!$D$2:$D$5001)),7))&amp;"","")</f>
        <v/>
      </c>
      <c r="E67" s="14" t="str">
        <f>IFERROR(INDEX(DB_Withdrawals!$E:$E,SMALL(IF((DB_Withdrawals!$I$2:$I$5001=SelectedYear)+(SelectedYear="All Years"),ROW(DB_Withdrawals!$E$2:$E$5001)),7))&amp;"","")</f>
        <v/>
      </c>
      <c r="F67" s="14" t="str">
        <f>IFERROR(INDEX(DB_Withdrawals!$F:$F,SMALL(IF((DB_Withdrawals!$I$2:$I$5001=SelectedYear)+(SelectedYear="All Years"),ROW(DB_Withdrawals!$F$2:$F$5001)),7)),"")</f>
        <v/>
      </c>
      <c r="G67" s="14" t="str">
        <f>IFERROR(INDEX(DB_Withdrawals!$G:$G,SMALL(IF((DB_Withdrawals!$I$2:$I$5001=SelectedYear)+(SelectedYear="All Years"),ROW(DB_Withdrawals!$G$2:$G$5001)),7))&amp;"","")</f>
        <v/>
      </c>
      <c r="H67" s="14" t="str">
        <f>IFERROR(INDEX(DB_Withdrawals!$H:$H,SMALL(IF((DB_Withdrawals!$I$2:$I$5001=SelectedYear)+(SelectedYear="All Years"),ROW(DB_Withdrawals!$H$2:$H$5001)),7))&amp;"","")</f>
        <v/>
      </c>
      <c r="I67" s="14" t="str">
        <f t="shared" si="2"/>
        <v/>
      </c>
    </row>
    <row r="68" spans="1:9" x14ac:dyDescent="0.25">
      <c r="A68" s="14">
        <v>8</v>
      </c>
      <c r="B68" s="14" t="str">
        <f>IFERROR(INDEX(DB_Withdrawals!$B:$B,SMALL(IF((DB_Withdrawals!$I$2:$I$5001=SelectedYear)+(SelectedYear="All Years"),ROW(DB_Withdrawals!$B$2:$B$5001)),8))&amp;"","")</f>
        <v/>
      </c>
      <c r="C68" s="14" t="str">
        <f>IFERROR(INDEX(DB_Withdrawals!$C:$C,SMALL(IF((DB_Withdrawals!$I$2:$I$5001=SelectedYear)+(SelectedYear="All Years"),ROW(DB_Withdrawals!$C$2:$C$5001)),8))&amp;"","")</f>
        <v/>
      </c>
      <c r="D68" s="14" t="str">
        <f>IFERROR(INDEX(DB_Withdrawals!$D:$D,SMALL(IF((DB_Withdrawals!$I$2:$I$5001=SelectedYear)+(SelectedYear="All Years"),ROW(DB_Withdrawals!$D$2:$D$5001)),8))&amp;"","")</f>
        <v/>
      </c>
      <c r="E68" s="14" t="str">
        <f>IFERROR(INDEX(DB_Withdrawals!$E:$E,SMALL(IF((DB_Withdrawals!$I$2:$I$5001=SelectedYear)+(SelectedYear="All Years"),ROW(DB_Withdrawals!$E$2:$E$5001)),8))&amp;"","")</f>
        <v/>
      </c>
      <c r="F68" s="14" t="str">
        <f>IFERROR(INDEX(DB_Withdrawals!$F:$F,SMALL(IF((DB_Withdrawals!$I$2:$I$5001=SelectedYear)+(SelectedYear="All Years"),ROW(DB_Withdrawals!$F$2:$F$5001)),8)),"")</f>
        <v/>
      </c>
      <c r="G68" s="14" t="str">
        <f>IFERROR(INDEX(DB_Withdrawals!$G:$G,SMALL(IF((DB_Withdrawals!$I$2:$I$5001=SelectedYear)+(SelectedYear="All Years"),ROW(DB_Withdrawals!$G$2:$G$5001)),8))&amp;"","")</f>
        <v/>
      </c>
      <c r="H68" s="14" t="str">
        <f>IFERROR(INDEX(DB_Withdrawals!$H:$H,SMALL(IF((DB_Withdrawals!$I$2:$I$5001=SelectedYear)+(SelectedYear="All Years"),ROW(DB_Withdrawals!$H$2:$H$5001)),8))&amp;"","")</f>
        <v/>
      </c>
      <c r="I68" s="14" t="str">
        <f t="shared" si="2"/>
        <v/>
      </c>
    </row>
    <row r="69" spans="1:9" x14ac:dyDescent="0.25">
      <c r="A69" s="14">
        <v>9</v>
      </c>
      <c r="B69" s="14" t="str">
        <f>IFERROR(INDEX(DB_Withdrawals!$B:$B,SMALL(IF((DB_Withdrawals!$I$2:$I$5001=SelectedYear)+(SelectedYear="All Years"),ROW(DB_Withdrawals!$B$2:$B$5001)),9))&amp;"","")</f>
        <v/>
      </c>
      <c r="C69" s="14" t="str">
        <f>IFERROR(INDEX(DB_Withdrawals!$C:$C,SMALL(IF((DB_Withdrawals!$I$2:$I$5001=SelectedYear)+(SelectedYear="All Years"),ROW(DB_Withdrawals!$C$2:$C$5001)),9))&amp;"","")</f>
        <v/>
      </c>
      <c r="D69" s="14" t="str">
        <f>IFERROR(INDEX(DB_Withdrawals!$D:$D,SMALL(IF((DB_Withdrawals!$I$2:$I$5001=SelectedYear)+(SelectedYear="All Years"),ROW(DB_Withdrawals!$D$2:$D$5001)),9))&amp;"","")</f>
        <v/>
      </c>
      <c r="E69" s="14" t="str">
        <f>IFERROR(INDEX(DB_Withdrawals!$E:$E,SMALL(IF((DB_Withdrawals!$I$2:$I$5001=SelectedYear)+(SelectedYear="All Years"),ROW(DB_Withdrawals!$E$2:$E$5001)),9))&amp;"","")</f>
        <v/>
      </c>
      <c r="F69" s="14" t="str">
        <f>IFERROR(INDEX(DB_Withdrawals!$F:$F,SMALL(IF((DB_Withdrawals!$I$2:$I$5001=SelectedYear)+(SelectedYear="All Years"),ROW(DB_Withdrawals!$F$2:$F$5001)),9)),"")</f>
        <v/>
      </c>
      <c r="G69" s="14" t="str">
        <f>IFERROR(INDEX(DB_Withdrawals!$G:$G,SMALL(IF((DB_Withdrawals!$I$2:$I$5001=SelectedYear)+(SelectedYear="All Years"),ROW(DB_Withdrawals!$G$2:$G$5001)),9))&amp;"","")</f>
        <v/>
      </c>
      <c r="H69" s="14" t="str">
        <f>IFERROR(INDEX(DB_Withdrawals!$H:$H,SMALL(IF((DB_Withdrawals!$I$2:$I$5001=SelectedYear)+(SelectedYear="All Years"),ROW(DB_Withdrawals!$H$2:$H$5001)),9))&amp;"","")</f>
        <v/>
      </c>
      <c r="I69" s="14" t="str">
        <f t="shared" si="2"/>
        <v/>
      </c>
    </row>
    <row r="70" spans="1:9" x14ac:dyDescent="0.25">
      <c r="A70" s="14">
        <v>10</v>
      </c>
      <c r="B70" s="14" t="str">
        <f>IFERROR(INDEX(DB_Withdrawals!$B:$B,SMALL(IF((DB_Withdrawals!$I$2:$I$5001=SelectedYear)+(SelectedYear="All Years"),ROW(DB_Withdrawals!$B$2:$B$5001)),10))&amp;"","")</f>
        <v/>
      </c>
      <c r="C70" s="14" t="str">
        <f>IFERROR(INDEX(DB_Withdrawals!$C:$C,SMALL(IF((DB_Withdrawals!$I$2:$I$5001=SelectedYear)+(SelectedYear="All Years"),ROW(DB_Withdrawals!$C$2:$C$5001)),10))&amp;"","")</f>
        <v/>
      </c>
      <c r="D70" s="14" t="str">
        <f>IFERROR(INDEX(DB_Withdrawals!$D:$D,SMALL(IF((DB_Withdrawals!$I$2:$I$5001=SelectedYear)+(SelectedYear="All Years"),ROW(DB_Withdrawals!$D$2:$D$5001)),10))&amp;"","")</f>
        <v/>
      </c>
      <c r="E70" s="14" t="str">
        <f>IFERROR(INDEX(DB_Withdrawals!$E:$E,SMALL(IF((DB_Withdrawals!$I$2:$I$5001=SelectedYear)+(SelectedYear="All Years"),ROW(DB_Withdrawals!$E$2:$E$5001)),10))&amp;"","")</f>
        <v/>
      </c>
      <c r="F70" s="14" t="str">
        <f>IFERROR(INDEX(DB_Withdrawals!$F:$F,SMALL(IF((DB_Withdrawals!$I$2:$I$5001=SelectedYear)+(SelectedYear="All Years"),ROW(DB_Withdrawals!$F$2:$F$5001)),10)),"")</f>
        <v/>
      </c>
      <c r="G70" s="14" t="str">
        <f>IFERROR(INDEX(DB_Withdrawals!$G:$G,SMALL(IF((DB_Withdrawals!$I$2:$I$5001=SelectedYear)+(SelectedYear="All Years"),ROW(DB_Withdrawals!$G$2:$G$5001)),10))&amp;"","")</f>
        <v/>
      </c>
      <c r="H70" s="14" t="str">
        <f>IFERROR(INDEX(DB_Withdrawals!$H:$H,SMALL(IF((DB_Withdrawals!$I$2:$I$5001=SelectedYear)+(SelectedYear="All Years"),ROW(DB_Withdrawals!$H$2:$H$5001)),10))&amp;"","")</f>
        <v/>
      </c>
      <c r="I70" s="14" t="str">
        <f t="shared" si="2"/>
        <v/>
      </c>
    </row>
    <row r="71" spans="1:9" x14ac:dyDescent="0.25">
      <c r="A71" s="14">
        <v>11</v>
      </c>
      <c r="B71" s="14" t="str">
        <f>IFERROR(INDEX(DB_Withdrawals!$B:$B,SMALL(IF((DB_Withdrawals!$I$2:$I$5001=SelectedYear)+(SelectedYear="All Years"),ROW(DB_Withdrawals!$B$2:$B$5001)),11))&amp;"","")</f>
        <v/>
      </c>
      <c r="C71" s="14" t="str">
        <f>IFERROR(INDEX(DB_Withdrawals!$C:$C,SMALL(IF((DB_Withdrawals!$I$2:$I$5001=SelectedYear)+(SelectedYear="All Years"),ROW(DB_Withdrawals!$C$2:$C$5001)),11))&amp;"","")</f>
        <v/>
      </c>
      <c r="D71" s="14" t="str">
        <f>IFERROR(INDEX(DB_Withdrawals!$D:$D,SMALL(IF((DB_Withdrawals!$I$2:$I$5001=SelectedYear)+(SelectedYear="All Years"),ROW(DB_Withdrawals!$D$2:$D$5001)),11))&amp;"","")</f>
        <v/>
      </c>
      <c r="E71" s="14" t="str">
        <f>IFERROR(INDEX(DB_Withdrawals!$E:$E,SMALL(IF((DB_Withdrawals!$I$2:$I$5001=SelectedYear)+(SelectedYear="All Years"),ROW(DB_Withdrawals!$E$2:$E$5001)),11))&amp;"","")</f>
        <v/>
      </c>
      <c r="F71" s="14" t="str">
        <f>IFERROR(INDEX(DB_Withdrawals!$F:$F,SMALL(IF((DB_Withdrawals!$I$2:$I$5001=SelectedYear)+(SelectedYear="All Years"),ROW(DB_Withdrawals!$F$2:$F$5001)),11)),"")</f>
        <v/>
      </c>
      <c r="G71" s="14" t="str">
        <f>IFERROR(INDEX(DB_Withdrawals!$G:$G,SMALL(IF((DB_Withdrawals!$I$2:$I$5001=SelectedYear)+(SelectedYear="All Years"),ROW(DB_Withdrawals!$G$2:$G$5001)),11))&amp;"","")</f>
        <v/>
      </c>
      <c r="H71" s="14" t="str">
        <f>IFERROR(INDEX(DB_Withdrawals!$H:$H,SMALL(IF((DB_Withdrawals!$I$2:$I$5001=SelectedYear)+(SelectedYear="All Years"),ROW(DB_Withdrawals!$H$2:$H$5001)),11))&amp;"","")</f>
        <v/>
      </c>
      <c r="I71" s="14" t="str">
        <f t="shared" si="2"/>
        <v/>
      </c>
    </row>
    <row r="72" spans="1:9" x14ac:dyDescent="0.25">
      <c r="A72" s="14">
        <v>12</v>
      </c>
      <c r="B72" s="14" t="str">
        <f>IFERROR(INDEX(DB_Withdrawals!$B:$B,SMALL(IF((DB_Withdrawals!$I$2:$I$5001=SelectedYear)+(SelectedYear="All Years"),ROW(DB_Withdrawals!$B$2:$B$5001)),12))&amp;"","")</f>
        <v/>
      </c>
      <c r="C72" s="14" t="str">
        <f>IFERROR(INDEX(DB_Withdrawals!$C:$C,SMALL(IF((DB_Withdrawals!$I$2:$I$5001=SelectedYear)+(SelectedYear="All Years"),ROW(DB_Withdrawals!$C$2:$C$5001)),12))&amp;"","")</f>
        <v/>
      </c>
      <c r="D72" s="14" t="str">
        <f>IFERROR(INDEX(DB_Withdrawals!$D:$D,SMALL(IF((DB_Withdrawals!$I$2:$I$5001=SelectedYear)+(SelectedYear="All Years"),ROW(DB_Withdrawals!$D$2:$D$5001)),12))&amp;"","")</f>
        <v/>
      </c>
      <c r="E72" s="14" t="str">
        <f>IFERROR(INDEX(DB_Withdrawals!$E:$E,SMALL(IF((DB_Withdrawals!$I$2:$I$5001=SelectedYear)+(SelectedYear="All Years"),ROW(DB_Withdrawals!$E$2:$E$5001)),12))&amp;"","")</f>
        <v/>
      </c>
      <c r="F72" s="14" t="str">
        <f>IFERROR(INDEX(DB_Withdrawals!$F:$F,SMALL(IF((DB_Withdrawals!$I$2:$I$5001=SelectedYear)+(SelectedYear="All Years"),ROW(DB_Withdrawals!$F$2:$F$5001)),12)),"")</f>
        <v/>
      </c>
      <c r="G72" s="14" t="str">
        <f>IFERROR(INDEX(DB_Withdrawals!$G:$G,SMALL(IF((DB_Withdrawals!$I$2:$I$5001=SelectedYear)+(SelectedYear="All Years"),ROW(DB_Withdrawals!$G$2:$G$5001)),12))&amp;"","")</f>
        <v/>
      </c>
      <c r="H72" s="14" t="str">
        <f>IFERROR(INDEX(DB_Withdrawals!$H:$H,SMALL(IF((DB_Withdrawals!$I$2:$I$5001=SelectedYear)+(SelectedYear="All Years"),ROW(DB_Withdrawals!$H$2:$H$5001)),12))&amp;"","")</f>
        <v/>
      </c>
      <c r="I72" s="14" t="str">
        <f t="shared" si="2"/>
        <v/>
      </c>
    </row>
    <row r="73" spans="1:9" x14ac:dyDescent="0.25">
      <c r="A73" s="14">
        <v>13</v>
      </c>
      <c r="B73" s="14" t="str">
        <f>IFERROR(INDEX(DB_Withdrawals!$B:$B,SMALL(IF((DB_Withdrawals!$I$2:$I$5001=SelectedYear)+(SelectedYear="All Years"),ROW(DB_Withdrawals!$B$2:$B$5001)),13))&amp;"","")</f>
        <v/>
      </c>
      <c r="C73" s="14" t="str">
        <f>IFERROR(INDEX(DB_Withdrawals!$C:$C,SMALL(IF((DB_Withdrawals!$I$2:$I$5001=SelectedYear)+(SelectedYear="All Years"),ROW(DB_Withdrawals!$C$2:$C$5001)),13))&amp;"","")</f>
        <v/>
      </c>
      <c r="D73" s="14" t="str">
        <f>IFERROR(INDEX(DB_Withdrawals!$D:$D,SMALL(IF((DB_Withdrawals!$I$2:$I$5001=SelectedYear)+(SelectedYear="All Years"),ROW(DB_Withdrawals!$D$2:$D$5001)),13))&amp;"","")</f>
        <v/>
      </c>
      <c r="E73" s="14" t="str">
        <f>IFERROR(INDEX(DB_Withdrawals!$E:$E,SMALL(IF((DB_Withdrawals!$I$2:$I$5001=SelectedYear)+(SelectedYear="All Years"),ROW(DB_Withdrawals!$E$2:$E$5001)),13))&amp;"","")</f>
        <v/>
      </c>
      <c r="F73" s="14" t="str">
        <f>IFERROR(INDEX(DB_Withdrawals!$F:$F,SMALL(IF((DB_Withdrawals!$I$2:$I$5001=SelectedYear)+(SelectedYear="All Years"),ROW(DB_Withdrawals!$F$2:$F$5001)),13)),"")</f>
        <v/>
      </c>
      <c r="G73" s="14" t="str">
        <f>IFERROR(INDEX(DB_Withdrawals!$G:$G,SMALL(IF((DB_Withdrawals!$I$2:$I$5001=SelectedYear)+(SelectedYear="All Years"),ROW(DB_Withdrawals!$G$2:$G$5001)),13))&amp;"","")</f>
        <v/>
      </c>
      <c r="H73" s="14" t="str">
        <f>IFERROR(INDEX(DB_Withdrawals!$H:$H,SMALL(IF((DB_Withdrawals!$I$2:$I$5001=SelectedYear)+(SelectedYear="All Years"),ROW(DB_Withdrawals!$H$2:$H$5001)),13))&amp;"","")</f>
        <v/>
      </c>
      <c r="I73" s="14" t="str">
        <f t="shared" si="2"/>
        <v/>
      </c>
    </row>
    <row r="74" spans="1:9" x14ac:dyDescent="0.25">
      <c r="A74" s="14">
        <v>14</v>
      </c>
      <c r="B74" s="14" t="str">
        <f>IFERROR(INDEX(DB_Withdrawals!$B:$B,SMALL(IF((DB_Withdrawals!$I$2:$I$5001=SelectedYear)+(SelectedYear="All Years"),ROW(DB_Withdrawals!$B$2:$B$5001)),14))&amp;"","")</f>
        <v/>
      </c>
      <c r="C74" s="14" t="str">
        <f>IFERROR(INDEX(DB_Withdrawals!$C:$C,SMALL(IF((DB_Withdrawals!$I$2:$I$5001=SelectedYear)+(SelectedYear="All Years"),ROW(DB_Withdrawals!$C$2:$C$5001)),14))&amp;"","")</f>
        <v/>
      </c>
      <c r="D74" s="14" t="str">
        <f>IFERROR(INDEX(DB_Withdrawals!$D:$D,SMALL(IF((DB_Withdrawals!$I$2:$I$5001=SelectedYear)+(SelectedYear="All Years"),ROW(DB_Withdrawals!$D$2:$D$5001)),14))&amp;"","")</f>
        <v/>
      </c>
      <c r="E74" s="14" t="str">
        <f>IFERROR(INDEX(DB_Withdrawals!$E:$E,SMALL(IF((DB_Withdrawals!$I$2:$I$5001=SelectedYear)+(SelectedYear="All Years"),ROW(DB_Withdrawals!$E$2:$E$5001)),14))&amp;"","")</f>
        <v/>
      </c>
      <c r="F74" s="14" t="str">
        <f>IFERROR(INDEX(DB_Withdrawals!$F:$F,SMALL(IF((DB_Withdrawals!$I$2:$I$5001=SelectedYear)+(SelectedYear="All Years"),ROW(DB_Withdrawals!$F$2:$F$5001)),14)),"")</f>
        <v/>
      </c>
      <c r="G74" s="14" t="str">
        <f>IFERROR(INDEX(DB_Withdrawals!$G:$G,SMALL(IF((DB_Withdrawals!$I$2:$I$5001=SelectedYear)+(SelectedYear="All Years"),ROW(DB_Withdrawals!$G$2:$G$5001)),14))&amp;"","")</f>
        <v/>
      </c>
      <c r="H74" s="14" t="str">
        <f>IFERROR(INDEX(DB_Withdrawals!$H:$H,SMALL(IF((DB_Withdrawals!$I$2:$I$5001=SelectedYear)+(SelectedYear="All Years"),ROW(DB_Withdrawals!$H$2:$H$5001)),14))&amp;"","")</f>
        <v/>
      </c>
      <c r="I74" s="14" t="str">
        <f t="shared" si="2"/>
        <v/>
      </c>
    </row>
    <row r="75" spans="1:9" x14ac:dyDescent="0.25">
      <c r="A75" s="14">
        <v>15</v>
      </c>
      <c r="B75" s="14" t="str">
        <f>IFERROR(INDEX(DB_Withdrawals!$B:$B,SMALL(IF((DB_Withdrawals!$I$2:$I$5001=SelectedYear)+(SelectedYear="All Years"),ROW(DB_Withdrawals!$B$2:$B$5001)),15))&amp;"","")</f>
        <v/>
      </c>
      <c r="C75" s="14" t="str">
        <f>IFERROR(INDEX(DB_Withdrawals!$C:$C,SMALL(IF((DB_Withdrawals!$I$2:$I$5001=SelectedYear)+(SelectedYear="All Years"),ROW(DB_Withdrawals!$C$2:$C$5001)),15))&amp;"","")</f>
        <v/>
      </c>
      <c r="D75" s="14" t="str">
        <f>IFERROR(INDEX(DB_Withdrawals!$D:$D,SMALL(IF((DB_Withdrawals!$I$2:$I$5001=SelectedYear)+(SelectedYear="All Years"),ROW(DB_Withdrawals!$D$2:$D$5001)),15))&amp;"","")</f>
        <v/>
      </c>
      <c r="E75" s="14" t="str">
        <f>IFERROR(INDEX(DB_Withdrawals!$E:$E,SMALL(IF((DB_Withdrawals!$I$2:$I$5001=SelectedYear)+(SelectedYear="All Years"),ROW(DB_Withdrawals!$E$2:$E$5001)),15))&amp;"","")</f>
        <v/>
      </c>
      <c r="F75" s="14" t="str">
        <f>IFERROR(INDEX(DB_Withdrawals!$F:$F,SMALL(IF((DB_Withdrawals!$I$2:$I$5001=SelectedYear)+(SelectedYear="All Years"),ROW(DB_Withdrawals!$F$2:$F$5001)),15)),"")</f>
        <v/>
      </c>
      <c r="G75" s="14" t="str">
        <f>IFERROR(INDEX(DB_Withdrawals!$G:$G,SMALL(IF((DB_Withdrawals!$I$2:$I$5001=SelectedYear)+(SelectedYear="All Years"),ROW(DB_Withdrawals!$G$2:$G$5001)),15))&amp;"","")</f>
        <v/>
      </c>
      <c r="H75" s="14" t="str">
        <f>IFERROR(INDEX(DB_Withdrawals!$H:$H,SMALL(IF((DB_Withdrawals!$I$2:$I$5001=SelectedYear)+(SelectedYear="All Years"),ROW(DB_Withdrawals!$H$2:$H$5001)),15))&amp;"","")</f>
        <v/>
      </c>
      <c r="I75" s="14" t="str">
        <f t="shared" si="2"/>
        <v/>
      </c>
    </row>
    <row r="76" spans="1:9" x14ac:dyDescent="0.25">
      <c r="A76" s="14">
        <v>16</v>
      </c>
      <c r="B76" s="14" t="str">
        <f>IFERROR(INDEX(DB_Withdrawals!$B:$B,SMALL(IF((DB_Withdrawals!$I$2:$I$5001=SelectedYear)+(SelectedYear="All Years"),ROW(DB_Withdrawals!$B$2:$B$5001)),16))&amp;"","")</f>
        <v/>
      </c>
      <c r="C76" s="14" t="str">
        <f>IFERROR(INDEX(DB_Withdrawals!$C:$C,SMALL(IF((DB_Withdrawals!$I$2:$I$5001=SelectedYear)+(SelectedYear="All Years"),ROW(DB_Withdrawals!$C$2:$C$5001)),16))&amp;"","")</f>
        <v/>
      </c>
      <c r="D76" s="14" t="str">
        <f>IFERROR(INDEX(DB_Withdrawals!$D:$D,SMALL(IF((DB_Withdrawals!$I$2:$I$5001=SelectedYear)+(SelectedYear="All Years"),ROW(DB_Withdrawals!$D$2:$D$5001)),16))&amp;"","")</f>
        <v/>
      </c>
      <c r="E76" s="14" t="str">
        <f>IFERROR(INDEX(DB_Withdrawals!$E:$E,SMALL(IF((DB_Withdrawals!$I$2:$I$5001=SelectedYear)+(SelectedYear="All Years"),ROW(DB_Withdrawals!$E$2:$E$5001)),16))&amp;"","")</f>
        <v/>
      </c>
      <c r="F76" s="14" t="str">
        <f>IFERROR(INDEX(DB_Withdrawals!$F:$F,SMALL(IF((DB_Withdrawals!$I$2:$I$5001=SelectedYear)+(SelectedYear="All Years"),ROW(DB_Withdrawals!$F$2:$F$5001)),16)),"")</f>
        <v/>
      </c>
      <c r="G76" s="14" t="str">
        <f>IFERROR(INDEX(DB_Withdrawals!$G:$G,SMALL(IF((DB_Withdrawals!$I$2:$I$5001=SelectedYear)+(SelectedYear="All Years"),ROW(DB_Withdrawals!$G$2:$G$5001)),16))&amp;"","")</f>
        <v/>
      </c>
      <c r="H76" s="14" t="str">
        <f>IFERROR(INDEX(DB_Withdrawals!$H:$H,SMALL(IF((DB_Withdrawals!$I$2:$I$5001=SelectedYear)+(SelectedYear="All Years"),ROW(DB_Withdrawals!$H$2:$H$5001)),16))&amp;"","")</f>
        <v/>
      </c>
      <c r="I76" s="14" t="str">
        <f t="shared" si="2"/>
        <v/>
      </c>
    </row>
    <row r="77" spans="1:9" x14ac:dyDescent="0.25">
      <c r="A77" s="14">
        <v>17</v>
      </c>
      <c r="B77" s="14" t="str">
        <f>IFERROR(INDEX(DB_Withdrawals!$B:$B,SMALL(IF((DB_Withdrawals!$I$2:$I$5001=SelectedYear)+(SelectedYear="All Years"),ROW(DB_Withdrawals!$B$2:$B$5001)),17))&amp;"","")</f>
        <v/>
      </c>
      <c r="C77" s="14" t="str">
        <f>IFERROR(INDEX(DB_Withdrawals!$C:$C,SMALL(IF((DB_Withdrawals!$I$2:$I$5001=SelectedYear)+(SelectedYear="All Years"),ROW(DB_Withdrawals!$C$2:$C$5001)),17))&amp;"","")</f>
        <v/>
      </c>
      <c r="D77" s="14" t="str">
        <f>IFERROR(INDEX(DB_Withdrawals!$D:$D,SMALL(IF((DB_Withdrawals!$I$2:$I$5001=SelectedYear)+(SelectedYear="All Years"),ROW(DB_Withdrawals!$D$2:$D$5001)),17))&amp;"","")</f>
        <v/>
      </c>
      <c r="E77" s="14" t="str">
        <f>IFERROR(INDEX(DB_Withdrawals!$E:$E,SMALL(IF((DB_Withdrawals!$I$2:$I$5001=SelectedYear)+(SelectedYear="All Years"),ROW(DB_Withdrawals!$E$2:$E$5001)),17))&amp;"","")</f>
        <v/>
      </c>
      <c r="F77" s="14" t="str">
        <f>IFERROR(INDEX(DB_Withdrawals!$F:$F,SMALL(IF((DB_Withdrawals!$I$2:$I$5001=SelectedYear)+(SelectedYear="All Years"),ROW(DB_Withdrawals!$F$2:$F$5001)),17)),"")</f>
        <v/>
      </c>
      <c r="G77" s="14" t="str">
        <f>IFERROR(INDEX(DB_Withdrawals!$G:$G,SMALL(IF((DB_Withdrawals!$I$2:$I$5001=SelectedYear)+(SelectedYear="All Years"),ROW(DB_Withdrawals!$G$2:$G$5001)),17))&amp;"","")</f>
        <v/>
      </c>
      <c r="H77" s="14" t="str">
        <f>IFERROR(INDEX(DB_Withdrawals!$H:$H,SMALL(IF((DB_Withdrawals!$I$2:$I$5001=SelectedYear)+(SelectedYear="All Years"),ROW(DB_Withdrawals!$H$2:$H$5001)),17))&amp;"","")</f>
        <v/>
      </c>
      <c r="I77" s="14" t="str">
        <f t="shared" si="2"/>
        <v/>
      </c>
    </row>
    <row r="78" spans="1:9" x14ac:dyDescent="0.25">
      <c r="A78" s="14">
        <v>18</v>
      </c>
      <c r="B78" s="14" t="str">
        <f>IFERROR(INDEX(DB_Withdrawals!$B:$B,SMALL(IF((DB_Withdrawals!$I$2:$I$5001=SelectedYear)+(SelectedYear="All Years"),ROW(DB_Withdrawals!$B$2:$B$5001)),18))&amp;"","")</f>
        <v/>
      </c>
      <c r="C78" s="14" t="str">
        <f>IFERROR(INDEX(DB_Withdrawals!$C:$C,SMALL(IF((DB_Withdrawals!$I$2:$I$5001=SelectedYear)+(SelectedYear="All Years"),ROW(DB_Withdrawals!$C$2:$C$5001)),18))&amp;"","")</f>
        <v/>
      </c>
      <c r="D78" s="14" t="str">
        <f>IFERROR(INDEX(DB_Withdrawals!$D:$D,SMALL(IF((DB_Withdrawals!$I$2:$I$5001=SelectedYear)+(SelectedYear="All Years"),ROW(DB_Withdrawals!$D$2:$D$5001)),18))&amp;"","")</f>
        <v/>
      </c>
      <c r="E78" s="14" t="str">
        <f>IFERROR(INDEX(DB_Withdrawals!$E:$E,SMALL(IF((DB_Withdrawals!$I$2:$I$5001=SelectedYear)+(SelectedYear="All Years"),ROW(DB_Withdrawals!$E$2:$E$5001)),18))&amp;"","")</f>
        <v/>
      </c>
      <c r="F78" s="14" t="str">
        <f>IFERROR(INDEX(DB_Withdrawals!$F:$F,SMALL(IF((DB_Withdrawals!$I$2:$I$5001=SelectedYear)+(SelectedYear="All Years"),ROW(DB_Withdrawals!$F$2:$F$5001)),18)),"")</f>
        <v/>
      </c>
      <c r="G78" s="14" t="str">
        <f>IFERROR(INDEX(DB_Withdrawals!$G:$G,SMALL(IF((DB_Withdrawals!$I$2:$I$5001=SelectedYear)+(SelectedYear="All Years"),ROW(DB_Withdrawals!$G$2:$G$5001)),18))&amp;"","")</f>
        <v/>
      </c>
      <c r="H78" s="14" t="str">
        <f>IFERROR(INDEX(DB_Withdrawals!$H:$H,SMALL(IF((DB_Withdrawals!$I$2:$I$5001=SelectedYear)+(SelectedYear="All Years"),ROW(DB_Withdrawals!$H$2:$H$5001)),18))&amp;"","")</f>
        <v/>
      </c>
      <c r="I78" s="14" t="str">
        <f t="shared" si="2"/>
        <v/>
      </c>
    </row>
    <row r="79" spans="1:9" x14ac:dyDescent="0.25">
      <c r="A79" s="14">
        <v>19</v>
      </c>
      <c r="B79" s="14" t="str">
        <f>IFERROR(INDEX(DB_Withdrawals!$B:$B,SMALL(IF((DB_Withdrawals!$I$2:$I$5001=SelectedYear)+(SelectedYear="All Years"),ROW(DB_Withdrawals!$B$2:$B$5001)),19))&amp;"","")</f>
        <v/>
      </c>
      <c r="C79" s="14" t="str">
        <f>IFERROR(INDEX(DB_Withdrawals!$C:$C,SMALL(IF((DB_Withdrawals!$I$2:$I$5001=SelectedYear)+(SelectedYear="All Years"),ROW(DB_Withdrawals!$C$2:$C$5001)),19))&amp;"","")</f>
        <v/>
      </c>
      <c r="D79" s="14" t="str">
        <f>IFERROR(INDEX(DB_Withdrawals!$D:$D,SMALL(IF((DB_Withdrawals!$I$2:$I$5001=SelectedYear)+(SelectedYear="All Years"),ROW(DB_Withdrawals!$D$2:$D$5001)),19))&amp;"","")</f>
        <v/>
      </c>
      <c r="E79" s="14" t="str">
        <f>IFERROR(INDEX(DB_Withdrawals!$E:$E,SMALL(IF((DB_Withdrawals!$I$2:$I$5001=SelectedYear)+(SelectedYear="All Years"),ROW(DB_Withdrawals!$E$2:$E$5001)),19))&amp;"","")</f>
        <v/>
      </c>
      <c r="F79" s="14" t="str">
        <f>IFERROR(INDEX(DB_Withdrawals!$F:$F,SMALL(IF((DB_Withdrawals!$I$2:$I$5001=SelectedYear)+(SelectedYear="All Years"),ROW(DB_Withdrawals!$F$2:$F$5001)),19)),"")</f>
        <v/>
      </c>
      <c r="G79" s="14" t="str">
        <f>IFERROR(INDEX(DB_Withdrawals!$G:$G,SMALL(IF((DB_Withdrawals!$I$2:$I$5001=SelectedYear)+(SelectedYear="All Years"),ROW(DB_Withdrawals!$G$2:$G$5001)),19))&amp;"","")</f>
        <v/>
      </c>
      <c r="H79" s="14" t="str">
        <f>IFERROR(INDEX(DB_Withdrawals!$H:$H,SMALL(IF((DB_Withdrawals!$I$2:$I$5001=SelectedYear)+(SelectedYear="All Years"),ROW(DB_Withdrawals!$H$2:$H$5001)),19))&amp;"","")</f>
        <v/>
      </c>
      <c r="I79" s="14" t="str">
        <f t="shared" si="2"/>
        <v/>
      </c>
    </row>
    <row r="80" spans="1:9" x14ac:dyDescent="0.25">
      <c r="A80" s="14">
        <v>20</v>
      </c>
      <c r="B80" s="14" t="str">
        <f>IFERROR(INDEX(DB_Withdrawals!$B:$B,SMALL(IF((DB_Withdrawals!$I$2:$I$5001=SelectedYear)+(SelectedYear="All Years"),ROW(DB_Withdrawals!$B$2:$B$5001)),20))&amp;"","")</f>
        <v/>
      </c>
      <c r="C80" s="14" t="str">
        <f>IFERROR(INDEX(DB_Withdrawals!$C:$C,SMALL(IF((DB_Withdrawals!$I$2:$I$5001=SelectedYear)+(SelectedYear="All Years"),ROW(DB_Withdrawals!$C$2:$C$5001)),20))&amp;"","")</f>
        <v/>
      </c>
      <c r="D80" s="14" t="str">
        <f>IFERROR(INDEX(DB_Withdrawals!$D:$D,SMALL(IF((DB_Withdrawals!$I$2:$I$5001=SelectedYear)+(SelectedYear="All Years"),ROW(DB_Withdrawals!$D$2:$D$5001)),20))&amp;"","")</f>
        <v/>
      </c>
      <c r="E80" s="14" t="str">
        <f>IFERROR(INDEX(DB_Withdrawals!$E:$E,SMALL(IF((DB_Withdrawals!$I$2:$I$5001=SelectedYear)+(SelectedYear="All Years"),ROW(DB_Withdrawals!$E$2:$E$5001)),20))&amp;"","")</f>
        <v/>
      </c>
      <c r="F80" s="14" t="str">
        <f>IFERROR(INDEX(DB_Withdrawals!$F:$F,SMALL(IF((DB_Withdrawals!$I$2:$I$5001=SelectedYear)+(SelectedYear="All Years"),ROW(DB_Withdrawals!$F$2:$F$5001)),20)),"")</f>
        <v/>
      </c>
      <c r="G80" s="14" t="str">
        <f>IFERROR(INDEX(DB_Withdrawals!$G:$G,SMALL(IF((DB_Withdrawals!$I$2:$I$5001=SelectedYear)+(SelectedYear="All Years"),ROW(DB_Withdrawals!$G$2:$G$5001)),20))&amp;"","")</f>
        <v/>
      </c>
      <c r="H80" s="14" t="str">
        <f>IFERROR(INDEX(DB_Withdrawals!$H:$H,SMALL(IF((DB_Withdrawals!$I$2:$I$5001=SelectedYear)+(SelectedYear="All Years"),ROW(DB_Withdrawals!$H$2:$H$5001)),20))&amp;"","")</f>
        <v/>
      </c>
      <c r="I80" s="14" t="str">
        <f t="shared" si="2"/>
        <v/>
      </c>
    </row>
    <row r="81" spans="1:9" x14ac:dyDescent="0.25">
      <c r="A81" s="14">
        <v>21</v>
      </c>
      <c r="B81" s="14" t="str">
        <f>IFERROR(INDEX(DB_Withdrawals!$B:$B,SMALL(IF((DB_Withdrawals!$I$2:$I$5001=SelectedYear)+(SelectedYear="All Years"),ROW(DB_Withdrawals!$B$2:$B$5001)),21))&amp;"","")</f>
        <v/>
      </c>
      <c r="C81" s="14" t="str">
        <f>IFERROR(INDEX(DB_Withdrawals!$C:$C,SMALL(IF((DB_Withdrawals!$I$2:$I$5001=SelectedYear)+(SelectedYear="All Years"),ROW(DB_Withdrawals!$C$2:$C$5001)),21))&amp;"","")</f>
        <v/>
      </c>
      <c r="D81" s="14" t="str">
        <f>IFERROR(INDEX(DB_Withdrawals!$D:$D,SMALL(IF((DB_Withdrawals!$I$2:$I$5001=SelectedYear)+(SelectedYear="All Years"),ROW(DB_Withdrawals!$D$2:$D$5001)),21))&amp;"","")</f>
        <v/>
      </c>
      <c r="E81" s="14" t="str">
        <f>IFERROR(INDEX(DB_Withdrawals!$E:$E,SMALL(IF((DB_Withdrawals!$I$2:$I$5001=SelectedYear)+(SelectedYear="All Years"),ROW(DB_Withdrawals!$E$2:$E$5001)),21))&amp;"","")</f>
        <v/>
      </c>
      <c r="F81" s="14" t="str">
        <f>IFERROR(INDEX(DB_Withdrawals!$F:$F,SMALL(IF((DB_Withdrawals!$I$2:$I$5001=SelectedYear)+(SelectedYear="All Years"),ROW(DB_Withdrawals!$F$2:$F$5001)),21)),"")</f>
        <v/>
      </c>
      <c r="G81" s="14" t="str">
        <f>IFERROR(INDEX(DB_Withdrawals!$G:$G,SMALL(IF((DB_Withdrawals!$I$2:$I$5001=SelectedYear)+(SelectedYear="All Years"),ROW(DB_Withdrawals!$G$2:$G$5001)),21))&amp;"","")</f>
        <v/>
      </c>
      <c r="H81" s="14" t="str">
        <f>IFERROR(INDEX(DB_Withdrawals!$H:$H,SMALL(IF((DB_Withdrawals!$I$2:$I$5001=SelectedYear)+(SelectedYear="All Years"),ROW(DB_Withdrawals!$H$2:$H$5001)),21))&amp;"","")</f>
        <v/>
      </c>
      <c r="I81" s="14" t="str">
        <f t="shared" si="2"/>
        <v/>
      </c>
    </row>
    <row r="82" spans="1:9" x14ac:dyDescent="0.25">
      <c r="A82" s="14">
        <v>22</v>
      </c>
      <c r="B82" s="14" t="str">
        <f>IFERROR(INDEX(DB_Withdrawals!$B:$B,SMALL(IF((DB_Withdrawals!$I$2:$I$5001=SelectedYear)+(SelectedYear="All Years"),ROW(DB_Withdrawals!$B$2:$B$5001)),22))&amp;"","")</f>
        <v/>
      </c>
      <c r="C82" s="14" t="str">
        <f>IFERROR(INDEX(DB_Withdrawals!$C:$C,SMALL(IF((DB_Withdrawals!$I$2:$I$5001=SelectedYear)+(SelectedYear="All Years"),ROW(DB_Withdrawals!$C$2:$C$5001)),22))&amp;"","")</f>
        <v/>
      </c>
      <c r="D82" s="14" t="str">
        <f>IFERROR(INDEX(DB_Withdrawals!$D:$D,SMALL(IF((DB_Withdrawals!$I$2:$I$5001=SelectedYear)+(SelectedYear="All Years"),ROW(DB_Withdrawals!$D$2:$D$5001)),22))&amp;"","")</f>
        <v/>
      </c>
      <c r="E82" s="14" t="str">
        <f>IFERROR(INDEX(DB_Withdrawals!$E:$E,SMALL(IF((DB_Withdrawals!$I$2:$I$5001=SelectedYear)+(SelectedYear="All Years"),ROW(DB_Withdrawals!$E$2:$E$5001)),22))&amp;"","")</f>
        <v/>
      </c>
      <c r="F82" s="14" t="str">
        <f>IFERROR(INDEX(DB_Withdrawals!$F:$F,SMALL(IF((DB_Withdrawals!$I$2:$I$5001=SelectedYear)+(SelectedYear="All Years"),ROW(DB_Withdrawals!$F$2:$F$5001)),22)),"")</f>
        <v/>
      </c>
      <c r="G82" s="14" t="str">
        <f>IFERROR(INDEX(DB_Withdrawals!$G:$G,SMALL(IF((DB_Withdrawals!$I$2:$I$5001=SelectedYear)+(SelectedYear="All Years"),ROW(DB_Withdrawals!$G$2:$G$5001)),22))&amp;"","")</f>
        <v/>
      </c>
      <c r="H82" s="14" t="str">
        <f>IFERROR(INDEX(DB_Withdrawals!$H:$H,SMALL(IF((DB_Withdrawals!$I$2:$I$5001=SelectedYear)+(SelectedYear="All Years"),ROW(DB_Withdrawals!$H$2:$H$5001)),22))&amp;"","")</f>
        <v/>
      </c>
      <c r="I82" s="14" t="str">
        <f t="shared" si="2"/>
        <v/>
      </c>
    </row>
    <row r="83" spans="1:9" x14ac:dyDescent="0.25">
      <c r="A83" s="14">
        <v>23</v>
      </c>
      <c r="B83" s="14" t="str">
        <f>IFERROR(INDEX(DB_Withdrawals!$B:$B,SMALL(IF((DB_Withdrawals!$I$2:$I$5001=SelectedYear)+(SelectedYear="All Years"),ROW(DB_Withdrawals!$B$2:$B$5001)),23))&amp;"","")</f>
        <v/>
      </c>
      <c r="C83" s="14" t="str">
        <f>IFERROR(INDEX(DB_Withdrawals!$C:$C,SMALL(IF((DB_Withdrawals!$I$2:$I$5001=SelectedYear)+(SelectedYear="All Years"),ROW(DB_Withdrawals!$C$2:$C$5001)),23))&amp;"","")</f>
        <v/>
      </c>
      <c r="D83" s="14" t="str">
        <f>IFERROR(INDEX(DB_Withdrawals!$D:$D,SMALL(IF((DB_Withdrawals!$I$2:$I$5001=SelectedYear)+(SelectedYear="All Years"),ROW(DB_Withdrawals!$D$2:$D$5001)),23))&amp;"","")</f>
        <v/>
      </c>
      <c r="E83" s="14" t="str">
        <f>IFERROR(INDEX(DB_Withdrawals!$E:$E,SMALL(IF((DB_Withdrawals!$I$2:$I$5001=SelectedYear)+(SelectedYear="All Years"),ROW(DB_Withdrawals!$E$2:$E$5001)),23))&amp;"","")</f>
        <v/>
      </c>
      <c r="F83" s="14" t="str">
        <f>IFERROR(INDEX(DB_Withdrawals!$F:$F,SMALL(IF((DB_Withdrawals!$I$2:$I$5001=SelectedYear)+(SelectedYear="All Years"),ROW(DB_Withdrawals!$F$2:$F$5001)),23)),"")</f>
        <v/>
      </c>
      <c r="G83" s="14" t="str">
        <f>IFERROR(INDEX(DB_Withdrawals!$G:$G,SMALL(IF((DB_Withdrawals!$I$2:$I$5001=SelectedYear)+(SelectedYear="All Years"),ROW(DB_Withdrawals!$G$2:$G$5001)),23))&amp;"","")</f>
        <v/>
      </c>
      <c r="H83" s="14" t="str">
        <f>IFERROR(INDEX(DB_Withdrawals!$H:$H,SMALL(IF((DB_Withdrawals!$I$2:$I$5001=SelectedYear)+(SelectedYear="All Years"),ROW(DB_Withdrawals!$H$2:$H$5001)),23))&amp;"","")</f>
        <v/>
      </c>
      <c r="I83" s="14" t="str">
        <f t="shared" si="2"/>
        <v/>
      </c>
    </row>
    <row r="84" spans="1:9" x14ac:dyDescent="0.25">
      <c r="A84" s="14">
        <v>24</v>
      </c>
      <c r="B84" s="14" t="str">
        <f>IFERROR(INDEX(DB_Withdrawals!$B:$B,SMALL(IF((DB_Withdrawals!$I$2:$I$5001=SelectedYear)+(SelectedYear="All Years"),ROW(DB_Withdrawals!$B$2:$B$5001)),24))&amp;"","")</f>
        <v/>
      </c>
      <c r="C84" s="14" t="str">
        <f>IFERROR(INDEX(DB_Withdrawals!$C:$C,SMALL(IF((DB_Withdrawals!$I$2:$I$5001=SelectedYear)+(SelectedYear="All Years"),ROW(DB_Withdrawals!$C$2:$C$5001)),24))&amp;"","")</f>
        <v/>
      </c>
      <c r="D84" s="14" t="str">
        <f>IFERROR(INDEX(DB_Withdrawals!$D:$D,SMALL(IF((DB_Withdrawals!$I$2:$I$5001=SelectedYear)+(SelectedYear="All Years"),ROW(DB_Withdrawals!$D$2:$D$5001)),24))&amp;"","")</f>
        <v/>
      </c>
      <c r="E84" s="14" t="str">
        <f>IFERROR(INDEX(DB_Withdrawals!$E:$E,SMALL(IF((DB_Withdrawals!$I$2:$I$5001=SelectedYear)+(SelectedYear="All Years"),ROW(DB_Withdrawals!$E$2:$E$5001)),24))&amp;"","")</f>
        <v/>
      </c>
      <c r="F84" s="14" t="str">
        <f>IFERROR(INDEX(DB_Withdrawals!$F:$F,SMALL(IF((DB_Withdrawals!$I$2:$I$5001=SelectedYear)+(SelectedYear="All Years"),ROW(DB_Withdrawals!$F$2:$F$5001)),24)),"")</f>
        <v/>
      </c>
      <c r="G84" s="14" t="str">
        <f>IFERROR(INDEX(DB_Withdrawals!$G:$G,SMALL(IF((DB_Withdrawals!$I$2:$I$5001=SelectedYear)+(SelectedYear="All Years"),ROW(DB_Withdrawals!$G$2:$G$5001)),24))&amp;"","")</f>
        <v/>
      </c>
      <c r="H84" s="14" t="str">
        <f>IFERROR(INDEX(DB_Withdrawals!$H:$H,SMALL(IF((DB_Withdrawals!$I$2:$I$5001=SelectedYear)+(SelectedYear="All Years"),ROW(DB_Withdrawals!$H$2:$H$5001)),24))&amp;"","")</f>
        <v/>
      </c>
      <c r="I84" s="14" t="str">
        <f t="shared" si="2"/>
        <v/>
      </c>
    </row>
    <row r="85" spans="1:9" x14ac:dyDescent="0.25">
      <c r="A85" s="14">
        <v>25</v>
      </c>
      <c r="B85" s="14" t="str">
        <f>IFERROR(INDEX(DB_Withdrawals!$B:$B,SMALL(IF((DB_Withdrawals!$I$2:$I$5001=SelectedYear)+(SelectedYear="All Years"),ROW(DB_Withdrawals!$B$2:$B$5001)),25))&amp;"","")</f>
        <v/>
      </c>
      <c r="C85" s="14" t="str">
        <f>IFERROR(INDEX(DB_Withdrawals!$C:$C,SMALL(IF((DB_Withdrawals!$I$2:$I$5001=SelectedYear)+(SelectedYear="All Years"),ROW(DB_Withdrawals!$C$2:$C$5001)),25))&amp;"","")</f>
        <v/>
      </c>
      <c r="D85" s="14" t="str">
        <f>IFERROR(INDEX(DB_Withdrawals!$D:$D,SMALL(IF((DB_Withdrawals!$I$2:$I$5001=SelectedYear)+(SelectedYear="All Years"),ROW(DB_Withdrawals!$D$2:$D$5001)),25))&amp;"","")</f>
        <v/>
      </c>
      <c r="E85" s="14" t="str">
        <f>IFERROR(INDEX(DB_Withdrawals!$E:$E,SMALL(IF((DB_Withdrawals!$I$2:$I$5001=SelectedYear)+(SelectedYear="All Years"),ROW(DB_Withdrawals!$E$2:$E$5001)),25))&amp;"","")</f>
        <v/>
      </c>
      <c r="F85" s="14" t="str">
        <f>IFERROR(INDEX(DB_Withdrawals!$F:$F,SMALL(IF((DB_Withdrawals!$I$2:$I$5001=SelectedYear)+(SelectedYear="All Years"),ROW(DB_Withdrawals!$F$2:$F$5001)),25)),"")</f>
        <v/>
      </c>
      <c r="G85" s="14" t="str">
        <f>IFERROR(INDEX(DB_Withdrawals!$G:$G,SMALL(IF((DB_Withdrawals!$I$2:$I$5001=SelectedYear)+(SelectedYear="All Years"),ROW(DB_Withdrawals!$G$2:$G$5001)),25))&amp;"","")</f>
        <v/>
      </c>
      <c r="H85" s="14" t="str">
        <f>IFERROR(INDEX(DB_Withdrawals!$H:$H,SMALL(IF((DB_Withdrawals!$I$2:$I$5001=SelectedYear)+(SelectedYear="All Years"),ROW(DB_Withdrawals!$H$2:$H$5001)),25))&amp;"","")</f>
        <v/>
      </c>
      <c r="I85" s="14" t="str">
        <f t="shared" si="2"/>
        <v/>
      </c>
    </row>
    <row r="86" spans="1:9" x14ac:dyDescent="0.25">
      <c r="A86" s="14">
        <v>26</v>
      </c>
      <c r="B86" s="14" t="str">
        <f>IFERROR(INDEX(DB_Withdrawals!$B:$B,SMALL(IF((DB_Withdrawals!$I$2:$I$5001=SelectedYear)+(SelectedYear="All Years"),ROW(DB_Withdrawals!$B$2:$B$5001)),26))&amp;"","")</f>
        <v/>
      </c>
      <c r="C86" s="14" t="str">
        <f>IFERROR(INDEX(DB_Withdrawals!$C:$C,SMALL(IF((DB_Withdrawals!$I$2:$I$5001=SelectedYear)+(SelectedYear="All Years"),ROW(DB_Withdrawals!$C$2:$C$5001)),26))&amp;"","")</f>
        <v/>
      </c>
      <c r="D86" s="14" t="str">
        <f>IFERROR(INDEX(DB_Withdrawals!$D:$D,SMALL(IF((DB_Withdrawals!$I$2:$I$5001=SelectedYear)+(SelectedYear="All Years"),ROW(DB_Withdrawals!$D$2:$D$5001)),26))&amp;"","")</f>
        <v/>
      </c>
      <c r="E86" s="14" t="str">
        <f>IFERROR(INDEX(DB_Withdrawals!$E:$E,SMALL(IF((DB_Withdrawals!$I$2:$I$5001=SelectedYear)+(SelectedYear="All Years"),ROW(DB_Withdrawals!$E$2:$E$5001)),26))&amp;"","")</f>
        <v/>
      </c>
      <c r="F86" s="14" t="str">
        <f>IFERROR(INDEX(DB_Withdrawals!$F:$F,SMALL(IF((DB_Withdrawals!$I$2:$I$5001=SelectedYear)+(SelectedYear="All Years"),ROW(DB_Withdrawals!$F$2:$F$5001)),26)),"")</f>
        <v/>
      </c>
      <c r="G86" s="14" t="str">
        <f>IFERROR(INDEX(DB_Withdrawals!$G:$G,SMALL(IF((DB_Withdrawals!$I$2:$I$5001=SelectedYear)+(SelectedYear="All Years"),ROW(DB_Withdrawals!$G$2:$G$5001)),26))&amp;"","")</f>
        <v/>
      </c>
      <c r="H86" s="14" t="str">
        <f>IFERROR(INDEX(DB_Withdrawals!$H:$H,SMALL(IF((DB_Withdrawals!$I$2:$I$5001=SelectedYear)+(SelectedYear="All Years"),ROW(DB_Withdrawals!$H$2:$H$5001)),26))&amp;"","")</f>
        <v/>
      </c>
      <c r="I86" s="14" t="str">
        <f t="shared" si="2"/>
        <v/>
      </c>
    </row>
    <row r="87" spans="1:9" x14ac:dyDescent="0.25">
      <c r="A87" s="14">
        <v>27</v>
      </c>
      <c r="B87" s="14" t="str">
        <f>IFERROR(INDEX(DB_Withdrawals!$B:$B,SMALL(IF((DB_Withdrawals!$I$2:$I$5001=SelectedYear)+(SelectedYear="All Years"),ROW(DB_Withdrawals!$B$2:$B$5001)),27))&amp;"","")</f>
        <v/>
      </c>
      <c r="C87" s="14" t="str">
        <f>IFERROR(INDEX(DB_Withdrawals!$C:$C,SMALL(IF((DB_Withdrawals!$I$2:$I$5001=SelectedYear)+(SelectedYear="All Years"),ROW(DB_Withdrawals!$C$2:$C$5001)),27))&amp;"","")</f>
        <v/>
      </c>
      <c r="D87" s="14" t="str">
        <f>IFERROR(INDEX(DB_Withdrawals!$D:$D,SMALL(IF((DB_Withdrawals!$I$2:$I$5001=SelectedYear)+(SelectedYear="All Years"),ROW(DB_Withdrawals!$D$2:$D$5001)),27))&amp;"","")</f>
        <v/>
      </c>
      <c r="E87" s="14" t="str">
        <f>IFERROR(INDEX(DB_Withdrawals!$E:$E,SMALL(IF((DB_Withdrawals!$I$2:$I$5001=SelectedYear)+(SelectedYear="All Years"),ROW(DB_Withdrawals!$E$2:$E$5001)),27))&amp;"","")</f>
        <v/>
      </c>
      <c r="F87" s="14" t="str">
        <f>IFERROR(INDEX(DB_Withdrawals!$F:$F,SMALL(IF((DB_Withdrawals!$I$2:$I$5001=SelectedYear)+(SelectedYear="All Years"),ROW(DB_Withdrawals!$F$2:$F$5001)),27)),"")</f>
        <v/>
      </c>
      <c r="G87" s="14" t="str">
        <f>IFERROR(INDEX(DB_Withdrawals!$G:$G,SMALL(IF((DB_Withdrawals!$I$2:$I$5001=SelectedYear)+(SelectedYear="All Years"),ROW(DB_Withdrawals!$G$2:$G$5001)),27))&amp;"","")</f>
        <v/>
      </c>
      <c r="H87" s="14" t="str">
        <f>IFERROR(INDEX(DB_Withdrawals!$H:$H,SMALL(IF((DB_Withdrawals!$I$2:$I$5001=SelectedYear)+(SelectedYear="All Years"),ROW(DB_Withdrawals!$H$2:$H$5001)),27))&amp;"","")</f>
        <v/>
      </c>
      <c r="I87" s="14" t="str">
        <f t="shared" si="2"/>
        <v/>
      </c>
    </row>
    <row r="88" spans="1:9" x14ac:dyDescent="0.25">
      <c r="A88" s="14">
        <v>28</v>
      </c>
      <c r="B88" s="14" t="str">
        <f>IFERROR(INDEX(DB_Withdrawals!$B:$B,SMALL(IF((DB_Withdrawals!$I$2:$I$5001=SelectedYear)+(SelectedYear="All Years"),ROW(DB_Withdrawals!$B$2:$B$5001)),28))&amp;"","")</f>
        <v/>
      </c>
      <c r="C88" s="14" t="str">
        <f>IFERROR(INDEX(DB_Withdrawals!$C:$C,SMALL(IF((DB_Withdrawals!$I$2:$I$5001=SelectedYear)+(SelectedYear="All Years"),ROW(DB_Withdrawals!$C$2:$C$5001)),28))&amp;"","")</f>
        <v/>
      </c>
      <c r="D88" s="14" t="str">
        <f>IFERROR(INDEX(DB_Withdrawals!$D:$D,SMALL(IF((DB_Withdrawals!$I$2:$I$5001=SelectedYear)+(SelectedYear="All Years"),ROW(DB_Withdrawals!$D$2:$D$5001)),28))&amp;"","")</f>
        <v/>
      </c>
      <c r="E88" s="14" t="str">
        <f>IFERROR(INDEX(DB_Withdrawals!$E:$E,SMALL(IF((DB_Withdrawals!$I$2:$I$5001=SelectedYear)+(SelectedYear="All Years"),ROW(DB_Withdrawals!$E$2:$E$5001)),28))&amp;"","")</f>
        <v/>
      </c>
      <c r="F88" s="14" t="str">
        <f>IFERROR(INDEX(DB_Withdrawals!$F:$F,SMALL(IF((DB_Withdrawals!$I$2:$I$5001=SelectedYear)+(SelectedYear="All Years"),ROW(DB_Withdrawals!$F$2:$F$5001)),28)),"")</f>
        <v/>
      </c>
      <c r="G88" s="14" t="str">
        <f>IFERROR(INDEX(DB_Withdrawals!$G:$G,SMALL(IF((DB_Withdrawals!$I$2:$I$5001=SelectedYear)+(SelectedYear="All Years"),ROW(DB_Withdrawals!$G$2:$G$5001)),28))&amp;"","")</f>
        <v/>
      </c>
      <c r="H88" s="14" t="str">
        <f>IFERROR(INDEX(DB_Withdrawals!$H:$H,SMALL(IF((DB_Withdrawals!$I$2:$I$5001=SelectedYear)+(SelectedYear="All Years"),ROW(DB_Withdrawals!$H$2:$H$5001)),28))&amp;"","")</f>
        <v/>
      </c>
      <c r="I88" s="14" t="str">
        <f t="shared" si="2"/>
        <v/>
      </c>
    </row>
    <row r="89" spans="1:9" x14ac:dyDescent="0.25">
      <c r="A89" s="14">
        <v>29</v>
      </c>
      <c r="B89" s="14" t="str">
        <f>IFERROR(INDEX(DB_Withdrawals!$B:$B,SMALL(IF((DB_Withdrawals!$I$2:$I$5001=SelectedYear)+(SelectedYear="All Years"),ROW(DB_Withdrawals!$B$2:$B$5001)),29))&amp;"","")</f>
        <v/>
      </c>
      <c r="C89" s="14" t="str">
        <f>IFERROR(INDEX(DB_Withdrawals!$C:$C,SMALL(IF((DB_Withdrawals!$I$2:$I$5001=SelectedYear)+(SelectedYear="All Years"),ROW(DB_Withdrawals!$C$2:$C$5001)),29))&amp;"","")</f>
        <v/>
      </c>
      <c r="D89" s="14" t="str">
        <f>IFERROR(INDEX(DB_Withdrawals!$D:$D,SMALL(IF((DB_Withdrawals!$I$2:$I$5001=SelectedYear)+(SelectedYear="All Years"),ROW(DB_Withdrawals!$D$2:$D$5001)),29))&amp;"","")</f>
        <v/>
      </c>
      <c r="E89" s="14" t="str">
        <f>IFERROR(INDEX(DB_Withdrawals!$E:$E,SMALL(IF((DB_Withdrawals!$I$2:$I$5001=SelectedYear)+(SelectedYear="All Years"),ROW(DB_Withdrawals!$E$2:$E$5001)),29))&amp;"","")</f>
        <v/>
      </c>
      <c r="F89" s="14" t="str">
        <f>IFERROR(INDEX(DB_Withdrawals!$F:$F,SMALL(IF((DB_Withdrawals!$I$2:$I$5001=SelectedYear)+(SelectedYear="All Years"),ROW(DB_Withdrawals!$F$2:$F$5001)),29)),"")</f>
        <v/>
      </c>
      <c r="G89" s="14" t="str">
        <f>IFERROR(INDEX(DB_Withdrawals!$G:$G,SMALL(IF((DB_Withdrawals!$I$2:$I$5001=SelectedYear)+(SelectedYear="All Years"),ROW(DB_Withdrawals!$G$2:$G$5001)),29))&amp;"","")</f>
        <v/>
      </c>
      <c r="H89" s="14" t="str">
        <f>IFERROR(INDEX(DB_Withdrawals!$H:$H,SMALL(IF((DB_Withdrawals!$I$2:$I$5001=SelectedYear)+(SelectedYear="All Years"),ROW(DB_Withdrawals!$H$2:$H$5001)),29))&amp;"","")</f>
        <v/>
      </c>
      <c r="I89" s="14" t="str">
        <f t="shared" si="2"/>
        <v/>
      </c>
    </row>
    <row r="90" spans="1:9" x14ac:dyDescent="0.25">
      <c r="A90" s="14">
        <v>30</v>
      </c>
      <c r="B90" s="14" t="str">
        <f>IFERROR(INDEX(DB_Withdrawals!$B:$B,SMALL(IF((DB_Withdrawals!$I$2:$I$5001=SelectedYear)+(SelectedYear="All Years"),ROW(DB_Withdrawals!$B$2:$B$5001)),30))&amp;"","")</f>
        <v/>
      </c>
      <c r="C90" s="14" t="str">
        <f>IFERROR(INDEX(DB_Withdrawals!$C:$C,SMALL(IF((DB_Withdrawals!$I$2:$I$5001=SelectedYear)+(SelectedYear="All Years"),ROW(DB_Withdrawals!$C$2:$C$5001)),30))&amp;"","")</f>
        <v/>
      </c>
      <c r="D90" s="14" t="str">
        <f>IFERROR(INDEX(DB_Withdrawals!$D:$D,SMALL(IF((DB_Withdrawals!$I$2:$I$5001=SelectedYear)+(SelectedYear="All Years"),ROW(DB_Withdrawals!$D$2:$D$5001)),30))&amp;"","")</f>
        <v/>
      </c>
      <c r="E90" s="14" t="str">
        <f>IFERROR(INDEX(DB_Withdrawals!$E:$E,SMALL(IF((DB_Withdrawals!$I$2:$I$5001=SelectedYear)+(SelectedYear="All Years"),ROW(DB_Withdrawals!$E$2:$E$5001)),30))&amp;"","")</f>
        <v/>
      </c>
      <c r="F90" s="14" t="str">
        <f>IFERROR(INDEX(DB_Withdrawals!$F:$F,SMALL(IF((DB_Withdrawals!$I$2:$I$5001=SelectedYear)+(SelectedYear="All Years"),ROW(DB_Withdrawals!$F$2:$F$5001)),30)),"")</f>
        <v/>
      </c>
      <c r="G90" s="14" t="str">
        <f>IFERROR(INDEX(DB_Withdrawals!$G:$G,SMALL(IF((DB_Withdrawals!$I$2:$I$5001=SelectedYear)+(SelectedYear="All Years"),ROW(DB_Withdrawals!$G$2:$G$5001)),30))&amp;"","")</f>
        <v/>
      </c>
      <c r="H90" s="14" t="str">
        <f>IFERROR(INDEX(DB_Withdrawals!$H:$H,SMALL(IF((DB_Withdrawals!$I$2:$I$5001=SelectedYear)+(SelectedYear="All Years"),ROW(DB_Withdrawals!$H$2:$H$5001)),30))&amp;"","")</f>
        <v/>
      </c>
      <c r="I90" s="14" t="str">
        <f t="shared" si="2"/>
        <v/>
      </c>
    </row>
    <row r="91" spans="1:9" x14ac:dyDescent="0.25">
      <c r="A91" s="14">
        <v>31</v>
      </c>
      <c r="B91" s="14" t="str">
        <f>IFERROR(INDEX(DB_Withdrawals!$B:$B,SMALL(IF((DB_Withdrawals!$I$2:$I$5001=SelectedYear)+(SelectedYear="All Years"),ROW(DB_Withdrawals!$B$2:$B$5001)),31))&amp;"","")</f>
        <v/>
      </c>
      <c r="C91" s="14" t="str">
        <f>IFERROR(INDEX(DB_Withdrawals!$C:$C,SMALL(IF((DB_Withdrawals!$I$2:$I$5001=SelectedYear)+(SelectedYear="All Years"),ROW(DB_Withdrawals!$C$2:$C$5001)),31))&amp;"","")</f>
        <v/>
      </c>
      <c r="D91" s="14" t="str">
        <f>IFERROR(INDEX(DB_Withdrawals!$D:$D,SMALL(IF((DB_Withdrawals!$I$2:$I$5001=SelectedYear)+(SelectedYear="All Years"),ROW(DB_Withdrawals!$D$2:$D$5001)),31))&amp;"","")</f>
        <v/>
      </c>
      <c r="E91" s="14" t="str">
        <f>IFERROR(INDEX(DB_Withdrawals!$E:$E,SMALL(IF((DB_Withdrawals!$I$2:$I$5001=SelectedYear)+(SelectedYear="All Years"),ROW(DB_Withdrawals!$E$2:$E$5001)),31))&amp;"","")</f>
        <v/>
      </c>
      <c r="F91" s="14" t="str">
        <f>IFERROR(INDEX(DB_Withdrawals!$F:$F,SMALL(IF((DB_Withdrawals!$I$2:$I$5001=SelectedYear)+(SelectedYear="All Years"),ROW(DB_Withdrawals!$F$2:$F$5001)),31)),"")</f>
        <v/>
      </c>
      <c r="G91" s="14" t="str">
        <f>IFERROR(INDEX(DB_Withdrawals!$G:$G,SMALL(IF((DB_Withdrawals!$I$2:$I$5001=SelectedYear)+(SelectedYear="All Years"),ROW(DB_Withdrawals!$G$2:$G$5001)),31))&amp;"","")</f>
        <v/>
      </c>
      <c r="H91" s="14" t="str">
        <f>IFERROR(INDEX(DB_Withdrawals!$H:$H,SMALL(IF((DB_Withdrawals!$I$2:$I$5001=SelectedYear)+(SelectedYear="All Years"),ROW(DB_Withdrawals!$H$2:$H$5001)),31))&amp;"","")</f>
        <v/>
      </c>
      <c r="I91" s="14" t="str">
        <f t="shared" si="2"/>
        <v/>
      </c>
    </row>
    <row r="92" spans="1:9" x14ac:dyDescent="0.25">
      <c r="A92" s="14">
        <v>32</v>
      </c>
      <c r="B92" s="14" t="str">
        <f>IFERROR(INDEX(DB_Withdrawals!$B:$B,SMALL(IF((DB_Withdrawals!$I$2:$I$5001=SelectedYear)+(SelectedYear="All Years"),ROW(DB_Withdrawals!$B$2:$B$5001)),32))&amp;"","")</f>
        <v/>
      </c>
      <c r="C92" s="14" t="str">
        <f>IFERROR(INDEX(DB_Withdrawals!$C:$C,SMALL(IF((DB_Withdrawals!$I$2:$I$5001=SelectedYear)+(SelectedYear="All Years"),ROW(DB_Withdrawals!$C$2:$C$5001)),32))&amp;"","")</f>
        <v/>
      </c>
      <c r="D92" s="14" t="str">
        <f>IFERROR(INDEX(DB_Withdrawals!$D:$D,SMALL(IF((DB_Withdrawals!$I$2:$I$5001=SelectedYear)+(SelectedYear="All Years"),ROW(DB_Withdrawals!$D$2:$D$5001)),32))&amp;"","")</f>
        <v/>
      </c>
      <c r="E92" s="14" t="str">
        <f>IFERROR(INDEX(DB_Withdrawals!$E:$E,SMALL(IF((DB_Withdrawals!$I$2:$I$5001=SelectedYear)+(SelectedYear="All Years"),ROW(DB_Withdrawals!$E$2:$E$5001)),32))&amp;"","")</f>
        <v/>
      </c>
      <c r="F92" s="14" t="str">
        <f>IFERROR(INDEX(DB_Withdrawals!$F:$F,SMALL(IF((DB_Withdrawals!$I$2:$I$5001=SelectedYear)+(SelectedYear="All Years"),ROW(DB_Withdrawals!$F$2:$F$5001)),32)),"")</f>
        <v/>
      </c>
      <c r="G92" s="14" t="str">
        <f>IFERROR(INDEX(DB_Withdrawals!$G:$G,SMALL(IF((DB_Withdrawals!$I$2:$I$5001=SelectedYear)+(SelectedYear="All Years"),ROW(DB_Withdrawals!$G$2:$G$5001)),32))&amp;"","")</f>
        <v/>
      </c>
      <c r="H92" s="14" t="str">
        <f>IFERROR(INDEX(DB_Withdrawals!$H:$H,SMALL(IF((DB_Withdrawals!$I$2:$I$5001=SelectedYear)+(SelectedYear="All Years"),ROW(DB_Withdrawals!$H$2:$H$5001)),32))&amp;"","")</f>
        <v/>
      </c>
      <c r="I92" s="14" t="str">
        <f t="shared" si="2"/>
        <v/>
      </c>
    </row>
    <row r="93" spans="1:9" x14ac:dyDescent="0.25">
      <c r="A93" s="14">
        <v>33</v>
      </c>
      <c r="B93" s="14" t="str">
        <f>IFERROR(INDEX(DB_Withdrawals!$B:$B,SMALL(IF((DB_Withdrawals!$I$2:$I$5001=SelectedYear)+(SelectedYear="All Years"),ROW(DB_Withdrawals!$B$2:$B$5001)),33))&amp;"","")</f>
        <v/>
      </c>
      <c r="C93" s="14" t="str">
        <f>IFERROR(INDEX(DB_Withdrawals!$C:$C,SMALL(IF((DB_Withdrawals!$I$2:$I$5001=SelectedYear)+(SelectedYear="All Years"),ROW(DB_Withdrawals!$C$2:$C$5001)),33))&amp;"","")</f>
        <v/>
      </c>
      <c r="D93" s="14" t="str">
        <f>IFERROR(INDEX(DB_Withdrawals!$D:$D,SMALL(IF((DB_Withdrawals!$I$2:$I$5001=SelectedYear)+(SelectedYear="All Years"),ROW(DB_Withdrawals!$D$2:$D$5001)),33))&amp;"","")</f>
        <v/>
      </c>
      <c r="E93" s="14" t="str">
        <f>IFERROR(INDEX(DB_Withdrawals!$E:$E,SMALL(IF((DB_Withdrawals!$I$2:$I$5001=SelectedYear)+(SelectedYear="All Years"),ROW(DB_Withdrawals!$E$2:$E$5001)),33))&amp;"","")</f>
        <v/>
      </c>
      <c r="F93" s="14" t="str">
        <f>IFERROR(INDEX(DB_Withdrawals!$F:$F,SMALL(IF((DB_Withdrawals!$I$2:$I$5001=SelectedYear)+(SelectedYear="All Years"),ROW(DB_Withdrawals!$F$2:$F$5001)),33)),"")</f>
        <v/>
      </c>
      <c r="G93" s="14" t="str">
        <f>IFERROR(INDEX(DB_Withdrawals!$G:$G,SMALL(IF((DB_Withdrawals!$I$2:$I$5001=SelectedYear)+(SelectedYear="All Years"),ROW(DB_Withdrawals!$G$2:$G$5001)),33))&amp;"","")</f>
        <v/>
      </c>
      <c r="H93" s="14" t="str">
        <f>IFERROR(INDEX(DB_Withdrawals!$H:$H,SMALL(IF((DB_Withdrawals!$I$2:$I$5001=SelectedYear)+(SelectedYear="All Years"),ROW(DB_Withdrawals!$H$2:$H$5001)),33))&amp;"","")</f>
        <v/>
      </c>
      <c r="I93" s="14" t="str">
        <f t="shared" ref="I93:I110" si="3">IF(E93="","",IFERROR(YEAR(E93),""))</f>
        <v/>
      </c>
    </row>
    <row r="94" spans="1:9" x14ac:dyDescent="0.25">
      <c r="A94" s="14">
        <v>34</v>
      </c>
      <c r="B94" s="14" t="str">
        <f>IFERROR(INDEX(DB_Withdrawals!$B:$B,SMALL(IF((DB_Withdrawals!$I$2:$I$5001=SelectedYear)+(SelectedYear="All Years"),ROW(DB_Withdrawals!$B$2:$B$5001)),34))&amp;"","")</f>
        <v/>
      </c>
      <c r="C94" s="14" t="str">
        <f>IFERROR(INDEX(DB_Withdrawals!$C:$C,SMALL(IF((DB_Withdrawals!$I$2:$I$5001=SelectedYear)+(SelectedYear="All Years"),ROW(DB_Withdrawals!$C$2:$C$5001)),34))&amp;"","")</f>
        <v/>
      </c>
      <c r="D94" s="14" t="str">
        <f>IFERROR(INDEX(DB_Withdrawals!$D:$D,SMALL(IF((DB_Withdrawals!$I$2:$I$5001=SelectedYear)+(SelectedYear="All Years"),ROW(DB_Withdrawals!$D$2:$D$5001)),34))&amp;"","")</f>
        <v/>
      </c>
      <c r="E94" s="14" t="str">
        <f>IFERROR(INDEX(DB_Withdrawals!$E:$E,SMALL(IF((DB_Withdrawals!$I$2:$I$5001=SelectedYear)+(SelectedYear="All Years"),ROW(DB_Withdrawals!$E$2:$E$5001)),34))&amp;"","")</f>
        <v/>
      </c>
      <c r="F94" s="14" t="str">
        <f>IFERROR(INDEX(DB_Withdrawals!$F:$F,SMALL(IF((DB_Withdrawals!$I$2:$I$5001=SelectedYear)+(SelectedYear="All Years"),ROW(DB_Withdrawals!$F$2:$F$5001)),34)),"")</f>
        <v/>
      </c>
      <c r="G94" s="14" t="str">
        <f>IFERROR(INDEX(DB_Withdrawals!$G:$G,SMALL(IF((DB_Withdrawals!$I$2:$I$5001=SelectedYear)+(SelectedYear="All Years"),ROW(DB_Withdrawals!$G$2:$G$5001)),34))&amp;"","")</f>
        <v/>
      </c>
      <c r="H94" s="14" t="str">
        <f>IFERROR(INDEX(DB_Withdrawals!$H:$H,SMALL(IF((DB_Withdrawals!$I$2:$I$5001=SelectedYear)+(SelectedYear="All Years"),ROW(DB_Withdrawals!$H$2:$H$5001)),34))&amp;"","")</f>
        <v/>
      </c>
      <c r="I94" s="14" t="str">
        <f t="shared" si="3"/>
        <v/>
      </c>
    </row>
    <row r="95" spans="1:9" x14ac:dyDescent="0.25">
      <c r="A95" s="14">
        <v>35</v>
      </c>
      <c r="B95" s="14" t="str">
        <f>IFERROR(INDEX(DB_Withdrawals!$B:$B,SMALL(IF((DB_Withdrawals!$I$2:$I$5001=SelectedYear)+(SelectedYear="All Years"),ROW(DB_Withdrawals!$B$2:$B$5001)),35))&amp;"","")</f>
        <v/>
      </c>
      <c r="C95" s="14" t="str">
        <f>IFERROR(INDEX(DB_Withdrawals!$C:$C,SMALL(IF((DB_Withdrawals!$I$2:$I$5001=SelectedYear)+(SelectedYear="All Years"),ROW(DB_Withdrawals!$C$2:$C$5001)),35))&amp;"","")</f>
        <v/>
      </c>
      <c r="D95" s="14" t="str">
        <f>IFERROR(INDEX(DB_Withdrawals!$D:$D,SMALL(IF((DB_Withdrawals!$I$2:$I$5001=SelectedYear)+(SelectedYear="All Years"),ROW(DB_Withdrawals!$D$2:$D$5001)),35))&amp;"","")</f>
        <v/>
      </c>
      <c r="E95" s="14" t="str">
        <f>IFERROR(INDEX(DB_Withdrawals!$E:$E,SMALL(IF((DB_Withdrawals!$I$2:$I$5001=SelectedYear)+(SelectedYear="All Years"),ROW(DB_Withdrawals!$E$2:$E$5001)),35))&amp;"","")</f>
        <v/>
      </c>
      <c r="F95" s="14" t="str">
        <f>IFERROR(INDEX(DB_Withdrawals!$F:$F,SMALL(IF((DB_Withdrawals!$I$2:$I$5001=SelectedYear)+(SelectedYear="All Years"),ROW(DB_Withdrawals!$F$2:$F$5001)),35)),"")</f>
        <v/>
      </c>
      <c r="G95" s="14" t="str">
        <f>IFERROR(INDEX(DB_Withdrawals!$G:$G,SMALL(IF((DB_Withdrawals!$I$2:$I$5001=SelectedYear)+(SelectedYear="All Years"),ROW(DB_Withdrawals!$G$2:$G$5001)),35))&amp;"","")</f>
        <v/>
      </c>
      <c r="H95" s="14" t="str">
        <f>IFERROR(INDEX(DB_Withdrawals!$H:$H,SMALL(IF((DB_Withdrawals!$I$2:$I$5001=SelectedYear)+(SelectedYear="All Years"),ROW(DB_Withdrawals!$H$2:$H$5001)),35))&amp;"","")</f>
        <v/>
      </c>
      <c r="I95" s="14" t="str">
        <f t="shared" si="3"/>
        <v/>
      </c>
    </row>
    <row r="96" spans="1:9" x14ac:dyDescent="0.25">
      <c r="A96" s="14">
        <v>36</v>
      </c>
      <c r="B96" s="14" t="str">
        <f>IFERROR(INDEX(DB_Withdrawals!$B:$B,SMALL(IF((DB_Withdrawals!$I$2:$I$5001=SelectedYear)+(SelectedYear="All Years"),ROW(DB_Withdrawals!$B$2:$B$5001)),36))&amp;"","")</f>
        <v/>
      </c>
      <c r="C96" s="14" t="str">
        <f>IFERROR(INDEX(DB_Withdrawals!$C:$C,SMALL(IF((DB_Withdrawals!$I$2:$I$5001=SelectedYear)+(SelectedYear="All Years"),ROW(DB_Withdrawals!$C$2:$C$5001)),36))&amp;"","")</f>
        <v/>
      </c>
      <c r="D96" s="14" t="str">
        <f>IFERROR(INDEX(DB_Withdrawals!$D:$D,SMALL(IF((DB_Withdrawals!$I$2:$I$5001=SelectedYear)+(SelectedYear="All Years"),ROW(DB_Withdrawals!$D$2:$D$5001)),36))&amp;"","")</f>
        <v/>
      </c>
      <c r="E96" s="14" t="str">
        <f>IFERROR(INDEX(DB_Withdrawals!$E:$E,SMALL(IF((DB_Withdrawals!$I$2:$I$5001=SelectedYear)+(SelectedYear="All Years"),ROW(DB_Withdrawals!$E$2:$E$5001)),36))&amp;"","")</f>
        <v/>
      </c>
      <c r="F96" s="14" t="str">
        <f>IFERROR(INDEX(DB_Withdrawals!$F:$F,SMALL(IF((DB_Withdrawals!$I$2:$I$5001=SelectedYear)+(SelectedYear="All Years"),ROW(DB_Withdrawals!$F$2:$F$5001)),36)),"")</f>
        <v/>
      </c>
      <c r="G96" s="14" t="str">
        <f>IFERROR(INDEX(DB_Withdrawals!$G:$G,SMALL(IF((DB_Withdrawals!$I$2:$I$5001=SelectedYear)+(SelectedYear="All Years"),ROW(DB_Withdrawals!$G$2:$G$5001)),36))&amp;"","")</f>
        <v/>
      </c>
      <c r="H96" s="14" t="str">
        <f>IFERROR(INDEX(DB_Withdrawals!$H:$H,SMALL(IF((DB_Withdrawals!$I$2:$I$5001=SelectedYear)+(SelectedYear="All Years"),ROW(DB_Withdrawals!$H$2:$H$5001)),36))&amp;"","")</f>
        <v/>
      </c>
      <c r="I96" s="14" t="str">
        <f t="shared" si="3"/>
        <v/>
      </c>
    </row>
    <row r="97" spans="1:9" x14ac:dyDescent="0.25">
      <c r="A97" s="14">
        <v>37</v>
      </c>
      <c r="B97" s="14" t="str">
        <f>IFERROR(INDEX(DB_Withdrawals!$B:$B,SMALL(IF((DB_Withdrawals!$I$2:$I$5001=SelectedYear)+(SelectedYear="All Years"),ROW(DB_Withdrawals!$B$2:$B$5001)),37))&amp;"","")</f>
        <v/>
      </c>
      <c r="C97" s="14" t="str">
        <f>IFERROR(INDEX(DB_Withdrawals!$C:$C,SMALL(IF((DB_Withdrawals!$I$2:$I$5001=SelectedYear)+(SelectedYear="All Years"),ROW(DB_Withdrawals!$C$2:$C$5001)),37))&amp;"","")</f>
        <v/>
      </c>
      <c r="D97" s="14" t="str">
        <f>IFERROR(INDEX(DB_Withdrawals!$D:$D,SMALL(IF((DB_Withdrawals!$I$2:$I$5001=SelectedYear)+(SelectedYear="All Years"),ROW(DB_Withdrawals!$D$2:$D$5001)),37))&amp;"","")</f>
        <v/>
      </c>
      <c r="E97" s="14" t="str">
        <f>IFERROR(INDEX(DB_Withdrawals!$E:$E,SMALL(IF((DB_Withdrawals!$I$2:$I$5001=SelectedYear)+(SelectedYear="All Years"),ROW(DB_Withdrawals!$E$2:$E$5001)),37))&amp;"","")</f>
        <v/>
      </c>
      <c r="F97" s="14" t="str">
        <f>IFERROR(INDEX(DB_Withdrawals!$F:$F,SMALL(IF((DB_Withdrawals!$I$2:$I$5001=SelectedYear)+(SelectedYear="All Years"),ROW(DB_Withdrawals!$F$2:$F$5001)),37)),"")</f>
        <v/>
      </c>
      <c r="G97" s="14" t="str">
        <f>IFERROR(INDEX(DB_Withdrawals!$G:$G,SMALL(IF((DB_Withdrawals!$I$2:$I$5001=SelectedYear)+(SelectedYear="All Years"),ROW(DB_Withdrawals!$G$2:$G$5001)),37))&amp;"","")</f>
        <v/>
      </c>
      <c r="H97" s="14" t="str">
        <f>IFERROR(INDEX(DB_Withdrawals!$H:$H,SMALL(IF((DB_Withdrawals!$I$2:$I$5001=SelectedYear)+(SelectedYear="All Years"),ROW(DB_Withdrawals!$H$2:$H$5001)),37))&amp;"","")</f>
        <v/>
      </c>
      <c r="I97" s="14" t="str">
        <f t="shared" si="3"/>
        <v/>
      </c>
    </row>
    <row r="98" spans="1:9" x14ac:dyDescent="0.25">
      <c r="A98" s="14">
        <v>38</v>
      </c>
      <c r="B98" s="14" t="str">
        <f>IFERROR(INDEX(DB_Withdrawals!$B:$B,SMALL(IF((DB_Withdrawals!$I$2:$I$5001=SelectedYear)+(SelectedYear="All Years"),ROW(DB_Withdrawals!$B$2:$B$5001)),38))&amp;"","")</f>
        <v/>
      </c>
      <c r="C98" s="14" t="str">
        <f>IFERROR(INDEX(DB_Withdrawals!$C:$C,SMALL(IF((DB_Withdrawals!$I$2:$I$5001=SelectedYear)+(SelectedYear="All Years"),ROW(DB_Withdrawals!$C$2:$C$5001)),38))&amp;"","")</f>
        <v/>
      </c>
      <c r="D98" s="14" t="str">
        <f>IFERROR(INDEX(DB_Withdrawals!$D:$D,SMALL(IF((DB_Withdrawals!$I$2:$I$5001=SelectedYear)+(SelectedYear="All Years"),ROW(DB_Withdrawals!$D$2:$D$5001)),38))&amp;"","")</f>
        <v/>
      </c>
      <c r="E98" s="14" t="str">
        <f>IFERROR(INDEX(DB_Withdrawals!$E:$E,SMALL(IF((DB_Withdrawals!$I$2:$I$5001=SelectedYear)+(SelectedYear="All Years"),ROW(DB_Withdrawals!$E$2:$E$5001)),38))&amp;"","")</f>
        <v/>
      </c>
      <c r="F98" s="14" t="str">
        <f>IFERROR(INDEX(DB_Withdrawals!$F:$F,SMALL(IF((DB_Withdrawals!$I$2:$I$5001=SelectedYear)+(SelectedYear="All Years"),ROW(DB_Withdrawals!$F$2:$F$5001)),38)),"")</f>
        <v/>
      </c>
      <c r="G98" s="14" t="str">
        <f>IFERROR(INDEX(DB_Withdrawals!$G:$G,SMALL(IF((DB_Withdrawals!$I$2:$I$5001=SelectedYear)+(SelectedYear="All Years"),ROW(DB_Withdrawals!$G$2:$G$5001)),38))&amp;"","")</f>
        <v/>
      </c>
      <c r="H98" s="14" t="str">
        <f>IFERROR(INDEX(DB_Withdrawals!$H:$H,SMALL(IF((DB_Withdrawals!$I$2:$I$5001=SelectedYear)+(SelectedYear="All Years"),ROW(DB_Withdrawals!$H$2:$H$5001)),38))&amp;"","")</f>
        <v/>
      </c>
      <c r="I98" s="14" t="str">
        <f t="shared" si="3"/>
        <v/>
      </c>
    </row>
    <row r="99" spans="1:9" x14ac:dyDescent="0.25">
      <c r="A99" s="14">
        <v>39</v>
      </c>
      <c r="B99" s="14" t="str">
        <f>IFERROR(INDEX(DB_Withdrawals!$B:$B,SMALL(IF((DB_Withdrawals!$I$2:$I$5001=SelectedYear)+(SelectedYear="All Years"),ROW(DB_Withdrawals!$B$2:$B$5001)),39))&amp;"","")</f>
        <v/>
      </c>
      <c r="C99" s="14" t="str">
        <f>IFERROR(INDEX(DB_Withdrawals!$C:$C,SMALL(IF((DB_Withdrawals!$I$2:$I$5001=SelectedYear)+(SelectedYear="All Years"),ROW(DB_Withdrawals!$C$2:$C$5001)),39))&amp;"","")</f>
        <v/>
      </c>
      <c r="D99" s="14" t="str">
        <f>IFERROR(INDEX(DB_Withdrawals!$D:$D,SMALL(IF((DB_Withdrawals!$I$2:$I$5001=SelectedYear)+(SelectedYear="All Years"),ROW(DB_Withdrawals!$D$2:$D$5001)),39))&amp;"","")</f>
        <v/>
      </c>
      <c r="E99" s="14" t="str">
        <f>IFERROR(INDEX(DB_Withdrawals!$E:$E,SMALL(IF((DB_Withdrawals!$I$2:$I$5001=SelectedYear)+(SelectedYear="All Years"),ROW(DB_Withdrawals!$E$2:$E$5001)),39))&amp;"","")</f>
        <v/>
      </c>
      <c r="F99" s="14" t="str">
        <f>IFERROR(INDEX(DB_Withdrawals!$F:$F,SMALL(IF((DB_Withdrawals!$I$2:$I$5001=SelectedYear)+(SelectedYear="All Years"),ROW(DB_Withdrawals!$F$2:$F$5001)),39)),"")</f>
        <v/>
      </c>
      <c r="G99" s="14" t="str">
        <f>IFERROR(INDEX(DB_Withdrawals!$G:$G,SMALL(IF((DB_Withdrawals!$I$2:$I$5001=SelectedYear)+(SelectedYear="All Years"),ROW(DB_Withdrawals!$G$2:$G$5001)),39))&amp;"","")</f>
        <v/>
      </c>
      <c r="H99" s="14" t="str">
        <f>IFERROR(INDEX(DB_Withdrawals!$H:$H,SMALL(IF((DB_Withdrawals!$I$2:$I$5001=SelectedYear)+(SelectedYear="All Years"),ROW(DB_Withdrawals!$H$2:$H$5001)),39))&amp;"","")</f>
        <v/>
      </c>
      <c r="I99" s="14" t="str">
        <f t="shared" si="3"/>
        <v/>
      </c>
    </row>
    <row r="100" spans="1:9" x14ac:dyDescent="0.25">
      <c r="A100" s="14">
        <v>40</v>
      </c>
      <c r="B100" s="14" t="str">
        <f>IFERROR(INDEX(DB_Withdrawals!$B:$B,SMALL(IF((DB_Withdrawals!$I$2:$I$5001=SelectedYear)+(SelectedYear="All Years"),ROW(DB_Withdrawals!$B$2:$B$5001)),40))&amp;"","")</f>
        <v/>
      </c>
      <c r="C100" s="14" t="str">
        <f>IFERROR(INDEX(DB_Withdrawals!$C:$C,SMALL(IF((DB_Withdrawals!$I$2:$I$5001=SelectedYear)+(SelectedYear="All Years"),ROW(DB_Withdrawals!$C$2:$C$5001)),40))&amp;"","")</f>
        <v/>
      </c>
      <c r="D100" s="14" t="str">
        <f>IFERROR(INDEX(DB_Withdrawals!$D:$D,SMALL(IF((DB_Withdrawals!$I$2:$I$5001=SelectedYear)+(SelectedYear="All Years"),ROW(DB_Withdrawals!$D$2:$D$5001)),40))&amp;"","")</f>
        <v/>
      </c>
      <c r="E100" s="14" t="str">
        <f>IFERROR(INDEX(DB_Withdrawals!$E:$E,SMALL(IF((DB_Withdrawals!$I$2:$I$5001=SelectedYear)+(SelectedYear="All Years"),ROW(DB_Withdrawals!$E$2:$E$5001)),40))&amp;"","")</f>
        <v/>
      </c>
      <c r="F100" s="14" t="str">
        <f>IFERROR(INDEX(DB_Withdrawals!$F:$F,SMALL(IF((DB_Withdrawals!$I$2:$I$5001=SelectedYear)+(SelectedYear="All Years"),ROW(DB_Withdrawals!$F$2:$F$5001)),40)),"")</f>
        <v/>
      </c>
      <c r="G100" s="14" t="str">
        <f>IFERROR(INDEX(DB_Withdrawals!$G:$G,SMALL(IF((DB_Withdrawals!$I$2:$I$5001=SelectedYear)+(SelectedYear="All Years"),ROW(DB_Withdrawals!$G$2:$G$5001)),40))&amp;"","")</f>
        <v/>
      </c>
      <c r="H100" s="14" t="str">
        <f>IFERROR(INDEX(DB_Withdrawals!$H:$H,SMALL(IF((DB_Withdrawals!$I$2:$I$5001=SelectedYear)+(SelectedYear="All Years"),ROW(DB_Withdrawals!$H$2:$H$5001)),40))&amp;"","")</f>
        <v/>
      </c>
      <c r="I100" s="14" t="str">
        <f t="shared" si="3"/>
        <v/>
      </c>
    </row>
    <row r="101" spans="1:9" x14ac:dyDescent="0.25">
      <c r="A101" s="14">
        <v>41</v>
      </c>
      <c r="B101" s="14" t="str">
        <f>IFERROR(INDEX(DB_Withdrawals!$B:$B,SMALL(IF((DB_Withdrawals!$I$2:$I$5001=SelectedYear)+(SelectedYear="All Years"),ROW(DB_Withdrawals!$B$2:$B$5001)),41))&amp;"","")</f>
        <v/>
      </c>
      <c r="C101" s="14" t="str">
        <f>IFERROR(INDEX(DB_Withdrawals!$C:$C,SMALL(IF((DB_Withdrawals!$I$2:$I$5001=SelectedYear)+(SelectedYear="All Years"),ROW(DB_Withdrawals!$C$2:$C$5001)),41))&amp;"","")</f>
        <v/>
      </c>
      <c r="D101" s="14" t="str">
        <f>IFERROR(INDEX(DB_Withdrawals!$D:$D,SMALL(IF((DB_Withdrawals!$I$2:$I$5001=SelectedYear)+(SelectedYear="All Years"),ROW(DB_Withdrawals!$D$2:$D$5001)),41))&amp;"","")</f>
        <v/>
      </c>
      <c r="E101" s="14" t="str">
        <f>IFERROR(INDEX(DB_Withdrawals!$E:$E,SMALL(IF((DB_Withdrawals!$I$2:$I$5001=SelectedYear)+(SelectedYear="All Years"),ROW(DB_Withdrawals!$E$2:$E$5001)),41))&amp;"","")</f>
        <v/>
      </c>
      <c r="F101" s="14" t="str">
        <f>IFERROR(INDEX(DB_Withdrawals!$F:$F,SMALL(IF((DB_Withdrawals!$I$2:$I$5001=SelectedYear)+(SelectedYear="All Years"),ROW(DB_Withdrawals!$F$2:$F$5001)),41)),"")</f>
        <v/>
      </c>
      <c r="G101" s="14" t="str">
        <f>IFERROR(INDEX(DB_Withdrawals!$G:$G,SMALL(IF((DB_Withdrawals!$I$2:$I$5001=SelectedYear)+(SelectedYear="All Years"),ROW(DB_Withdrawals!$G$2:$G$5001)),41))&amp;"","")</f>
        <v/>
      </c>
      <c r="H101" s="14" t="str">
        <f>IFERROR(INDEX(DB_Withdrawals!$H:$H,SMALL(IF((DB_Withdrawals!$I$2:$I$5001=SelectedYear)+(SelectedYear="All Years"),ROW(DB_Withdrawals!$H$2:$H$5001)),41))&amp;"","")</f>
        <v/>
      </c>
      <c r="I101" s="14" t="str">
        <f t="shared" si="3"/>
        <v/>
      </c>
    </row>
    <row r="102" spans="1:9" x14ac:dyDescent="0.25">
      <c r="A102" s="14">
        <v>42</v>
      </c>
      <c r="B102" s="14" t="str">
        <f>IFERROR(INDEX(DB_Withdrawals!$B:$B,SMALL(IF((DB_Withdrawals!$I$2:$I$5001=SelectedYear)+(SelectedYear="All Years"),ROW(DB_Withdrawals!$B$2:$B$5001)),42))&amp;"","")</f>
        <v/>
      </c>
      <c r="C102" s="14" t="str">
        <f>IFERROR(INDEX(DB_Withdrawals!$C:$C,SMALL(IF((DB_Withdrawals!$I$2:$I$5001=SelectedYear)+(SelectedYear="All Years"),ROW(DB_Withdrawals!$C$2:$C$5001)),42))&amp;"","")</f>
        <v/>
      </c>
      <c r="D102" s="14" t="str">
        <f>IFERROR(INDEX(DB_Withdrawals!$D:$D,SMALL(IF((DB_Withdrawals!$I$2:$I$5001=SelectedYear)+(SelectedYear="All Years"),ROW(DB_Withdrawals!$D$2:$D$5001)),42))&amp;"","")</f>
        <v/>
      </c>
      <c r="E102" s="14" t="str">
        <f>IFERROR(INDEX(DB_Withdrawals!$E:$E,SMALL(IF((DB_Withdrawals!$I$2:$I$5001=SelectedYear)+(SelectedYear="All Years"),ROW(DB_Withdrawals!$E$2:$E$5001)),42))&amp;"","")</f>
        <v/>
      </c>
      <c r="F102" s="14" t="str">
        <f>IFERROR(INDEX(DB_Withdrawals!$F:$F,SMALL(IF((DB_Withdrawals!$I$2:$I$5001=SelectedYear)+(SelectedYear="All Years"),ROW(DB_Withdrawals!$F$2:$F$5001)),42)),"")</f>
        <v/>
      </c>
      <c r="G102" s="14" t="str">
        <f>IFERROR(INDEX(DB_Withdrawals!$G:$G,SMALL(IF((DB_Withdrawals!$I$2:$I$5001=SelectedYear)+(SelectedYear="All Years"),ROW(DB_Withdrawals!$G$2:$G$5001)),42))&amp;"","")</f>
        <v/>
      </c>
      <c r="H102" s="14" t="str">
        <f>IFERROR(INDEX(DB_Withdrawals!$H:$H,SMALL(IF((DB_Withdrawals!$I$2:$I$5001=SelectedYear)+(SelectedYear="All Years"),ROW(DB_Withdrawals!$H$2:$H$5001)),42))&amp;"","")</f>
        <v/>
      </c>
      <c r="I102" s="14" t="str">
        <f t="shared" si="3"/>
        <v/>
      </c>
    </row>
    <row r="103" spans="1:9" x14ac:dyDescent="0.25">
      <c r="A103" s="14">
        <v>43</v>
      </c>
      <c r="B103" s="14" t="str">
        <f>IFERROR(INDEX(DB_Withdrawals!$B:$B,SMALL(IF((DB_Withdrawals!$I$2:$I$5001=SelectedYear)+(SelectedYear="All Years"),ROW(DB_Withdrawals!$B$2:$B$5001)),43))&amp;"","")</f>
        <v/>
      </c>
      <c r="C103" s="14" t="str">
        <f>IFERROR(INDEX(DB_Withdrawals!$C:$C,SMALL(IF((DB_Withdrawals!$I$2:$I$5001=SelectedYear)+(SelectedYear="All Years"),ROW(DB_Withdrawals!$C$2:$C$5001)),43))&amp;"","")</f>
        <v/>
      </c>
      <c r="D103" s="14" t="str">
        <f>IFERROR(INDEX(DB_Withdrawals!$D:$D,SMALL(IF((DB_Withdrawals!$I$2:$I$5001=SelectedYear)+(SelectedYear="All Years"),ROW(DB_Withdrawals!$D$2:$D$5001)),43))&amp;"","")</f>
        <v/>
      </c>
      <c r="E103" s="14" t="str">
        <f>IFERROR(INDEX(DB_Withdrawals!$E:$E,SMALL(IF((DB_Withdrawals!$I$2:$I$5001=SelectedYear)+(SelectedYear="All Years"),ROW(DB_Withdrawals!$E$2:$E$5001)),43))&amp;"","")</f>
        <v/>
      </c>
      <c r="F103" s="14" t="str">
        <f>IFERROR(INDEX(DB_Withdrawals!$F:$F,SMALL(IF((DB_Withdrawals!$I$2:$I$5001=SelectedYear)+(SelectedYear="All Years"),ROW(DB_Withdrawals!$F$2:$F$5001)),43)),"")</f>
        <v/>
      </c>
      <c r="G103" s="14" t="str">
        <f>IFERROR(INDEX(DB_Withdrawals!$G:$G,SMALL(IF((DB_Withdrawals!$I$2:$I$5001=SelectedYear)+(SelectedYear="All Years"),ROW(DB_Withdrawals!$G$2:$G$5001)),43))&amp;"","")</f>
        <v/>
      </c>
      <c r="H103" s="14" t="str">
        <f>IFERROR(INDEX(DB_Withdrawals!$H:$H,SMALL(IF((DB_Withdrawals!$I$2:$I$5001=SelectedYear)+(SelectedYear="All Years"),ROW(DB_Withdrawals!$H$2:$H$5001)),43))&amp;"","")</f>
        <v/>
      </c>
      <c r="I103" s="14" t="str">
        <f t="shared" si="3"/>
        <v/>
      </c>
    </row>
    <row r="104" spans="1:9" x14ac:dyDescent="0.25">
      <c r="A104" s="14">
        <v>44</v>
      </c>
      <c r="B104" s="14" t="str">
        <f>IFERROR(INDEX(DB_Withdrawals!$B:$B,SMALL(IF((DB_Withdrawals!$I$2:$I$5001=SelectedYear)+(SelectedYear="All Years"),ROW(DB_Withdrawals!$B$2:$B$5001)),44))&amp;"","")</f>
        <v/>
      </c>
      <c r="C104" s="14" t="str">
        <f>IFERROR(INDEX(DB_Withdrawals!$C:$C,SMALL(IF((DB_Withdrawals!$I$2:$I$5001=SelectedYear)+(SelectedYear="All Years"),ROW(DB_Withdrawals!$C$2:$C$5001)),44))&amp;"","")</f>
        <v/>
      </c>
      <c r="D104" s="14" t="str">
        <f>IFERROR(INDEX(DB_Withdrawals!$D:$D,SMALL(IF((DB_Withdrawals!$I$2:$I$5001=SelectedYear)+(SelectedYear="All Years"),ROW(DB_Withdrawals!$D$2:$D$5001)),44))&amp;"","")</f>
        <v/>
      </c>
      <c r="E104" s="14" t="str">
        <f>IFERROR(INDEX(DB_Withdrawals!$E:$E,SMALL(IF((DB_Withdrawals!$I$2:$I$5001=SelectedYear)+(SelectedYear="All Years"),ROW(DB_Withdrawals!$E$2:$E$5001)),44))&amp;"","")</f>
        <v/>
      </c>
      <c r="F104" s="14" t="str">
        <f>IFERROR(INDEX(DB_Withdrawals!$F:$F,SMALL(IF((DB_Withdrawals!$I$2:$I$5001=SelectedYear)+(SelectedYear="All Years"),ROW(DB_Withdrawals!$F$2:$F$5001)),44)),"")</f>
        <v/>
      </c>
      <c r="G104" s="14" t="str">
        <f>IFERROR(INDEX(DB_Withdrawals!$G:$G,SMALL(IF((DB_Withdrawals!$I$2:$I$5001=SelectedYear)+(SelectedYear="All Years"),ROW(DB_Withdrawals!$G$2:$G$5001)),44))&amp;"","")</f>
        <v/>
      </c>
      <c r="H104" s="14" t="str">
        <f>IFERROR(INDEX(DB_Withdrawals!$H:$H,SMALL(IF((DB_Withdrawals!$I$2:$I$5001=SelectedYear)+(SelectedYear="All Years"),ROW(DB_Withdrawals!$H$2:$H$5001)),44))&amp;"","")</f>
        <v/>
      </c>
      <c r="I104" s="14" t="str">
        <f t="shared" si="3"/>
        <v/>
      </c>
    </row>
    <row r="105" spans="1:9" x14ac:dyDescent="0.25">
      <c r="A105" s="14">
        <v>45</v>
      </c>
      <c r="B105" s="14" t="str">
        <f>IFERROR(INDEX(DB_Withdrawals!$B:$B,SMALL(IF((DB_Withdrawals!$I$2:$I$5001=SelectedYear)+(SelectedYear="All Years"),ROW(DB_Withdrawals!$B$2:$B$5001)),45))&amp;"","")</f>
        <v/>
      </c>
      <c r="C105" s="14" t="str">
        <f>IFERROR(INDEX(DB_Withdrawals!$C:$C,SMALL(IF((DB_Withdrawals!$I$2:$I$5001=SelectedYear)+(SelectedYear="All Years"),ROW(DB_Withdrawals!$C$2:$C$5001)),45))&amp;"","")</f>
        <v/>
      </c>
      <c r="D105" s="14" t="str">
        <f>IFERROR(INDEX(DB_Withdrawals!$D:$D,SMALL(IF((DB_Withdrawals!$I$2:$I$5001=SelectedYear)+(SelectedYear="All Years"),ROW(DB_Withdrawals!$D$2:$D$5001)),45))&amp;"","")</f>
        <v/>
      </c>
      <c r="E105" s="14" t="str">
        <f>IFERROR(INDEX(DB_Withdrawals!$E:$E,SMALL(IF((DB_Withdrawals!$I$2:$I$5001=SelectedYear)+(SelectedYear="All Years"),ROW(DB_Withdrawals!$E$2:$E$5001)),45))&amp;"","")</f>
        <v/>
      </c>
      <c r="F105" s="14" t="str">
        <f>IFERROR(INDEX(DB_Withdrawals!$F:$F,SMALL(IF((DB_Withdrawals!$I$2:$I$5001=SelectedYear)+(SelectedYear="All Years"),ROW(DB_Withdrawals!$F$2:$F$5001)),45)),"")</f>
        <v/>
      </c>
      <c r="G105" s="14" t="str">
        <f>IFERROR(INDEX(DB_Withdrawals!$G:$G,SMALL(IF((DB_Withdrawals!$I$2:$I$5001=SelectedYear)+(SelectedYear="All Years"),ROW(DB_Withdrawals!$G$2:$G$5001)),45))&amp;"","")</f>
        <v/>
      </c>
      <c r="H105" s="14" t="str">
        <f>IFERROR(INDEX(DB_Withdrawals!$H:$H,SMALL(IF((DB_Withdrawals!$I$2:$I$5001=SelectedYear)+(SelectedYear="All Years"),ROW(DB_Withdrawals!$H$2:$H$5001)),45))&amp;"","")</f>
        <v/>
      </c>
      <c r="I105" s="14" t="str">
        <f t="shared" si="3"/>
        <v/>
      </c>
    </row>
    <row r="106" spans="1:9" x14ac:dyDescent="0.25">
      <c r="A106" s="14">
        <v>46</v>
      </c>
      <c r="B106" s="14" t="str">
        <f>IFERROR(INDEX(DB_Withdrawals!$B:$B,SMALL(IF((DB_Withdrawals!$I$2:$I$5001=SelectedYear)+(SelectedYear="All Years"),ROW(DB_Withdrawals!$B$2:$B$5001)),46))&amp;"","")</f>
        <v/>
      </c>
      <c r="C106" s="14" t="str">
        <f>IFERROR(INDEX(DB_Withdrawals!$C:$C,SMALL(IF((DB_Withdrawals!$I$2:$I$5001=SelectedYear)+(SelectedYear="All Years"),ROW(DB_Withdrawals!$C$2:$C$5001)),46))&amp;"","")</f>
        <v/>
      </c>
      <c r="D106" s="14" t="str">
        <f>IFERROR(INDEX(DB_Withdrawals!$D:$D,SMALL(IF((DB_Withdrawals!$I$2:$I$5001=SelectedYear)+(SelectedYear="All Years"),ROW(DB_Withdrawals!$D$2:$D$5001)),46))&amp;"","")</f>
        <v/>
      </c>
      <c r="E106" s="14" t="str">
        <f>IFERROR(INDEX(DB_Withdrawals!$E:$E,SMALL(IF((DB_Withdrawals!$I$2:$I$5001=SelectedYear)+(SelectedYear="All Years"),ROW(DB_Withdrawals!$E$2:$E$5001)),46))&amp;"","")</f>
        <v/>
      </c>
      <c r="F106" s="14" t="str">
        <f>IFERROR(INDEX(DB_Withdrawals!$F:$F,SMALL(IF((DB_Withdrawals!$I$2:$I$5001=SelectedYear)+(SelectedYear="All Years"),ROW(DB_Withdrawals!$F$2:$F$5001)),46)),"")</f>
        <v/>
      </c>
      <c r="G106" s="14" t="str">
        <f>IFERROR(INDEX(DB_Withdrawals!$G:$G,SMALL(IF((DB_Withdrawals!$I$2:$I$5001=SelectedYear)+(SelectedYear="All Years"),ROW(DB_Withdrawals!$G$2:$G$5001)),46))&amp;"","")</f>
        <v/>
      </c>
      <c r="H106" s="14" t="str">
        <f>IFERROR(INDEX(DB_Withdrawals!$H:$H,SMALL(IF((DB_Withdrawals!$I$2:$I$5001=SelectedYear)+(SelectedYear="All Years"),ROW(DB_Withdrawals!$H$2:$H$5001)),46))&amp;"","")</f>
        <v/>
      </c>
      <c r="I106" s="14" t="str">
        <f t="shared" si="3"/>
        <v/>
      </c>
    </row>
    <row r="107" spans="1:9" x14ac:dyDescent="0.25">
      <c r="A107" s="14">
        <v>47</v>
      </c>
      <c r="B107" s="14" t="str">
        <f>IFERROR(INDEX(DB_Withdrawals!$B:$B,SMALL(IF((DB_Withdrawals!$I$2:$I$5001=SelectedYear)+(SelectedYear="All Years"),ROW(DB_Withdrawals!$B$2:$B$5001)),47))&amp;"","")</f>
        <v/>
      </c>
      <c r="C107" s="14" t="str">
        <f>IFERROR(INDEX(DB_Withdrawals!$C:$C,SMALL(IF((DB_Withdrawals!$I$2:$I$5001=SelectedYear)+(SelectedYear="All Years"),ROW(DB_Withdrawals!$C$2:$C$5001)),47))&amp;"","")</f>
        <v/>
      </c>
      <c r="D107" s="14" t="str">
        <f>IFERROR(INDEX(DB_Withdrawals!$D:$D,SMALL(IF((DB_Withdrawals!$I$2:$I$5001=SelectedYear)+(SelectedYear="All Years"),ROW(DB_Withdrawals!$D$2:$D$5001)),47))&amp;"","")</f>
        <v/>
      </c>
      <c r="E107" s="14" t="str">
        <f>IFERROR(INDEX(DB_Withdrawals!$E:$E,SMALL(IF((DB_Withdrawals!$I$2:$I$5001=SelectedYear)+(SelectedYear="All Years"),ROW(DB_Withdrawals!$E$2:$E$5001)),47))&amp;"","")</f>
        <v/>
      </c>
      <c r="F107" s="14" t="str">
        <f>IFERROR(INDEX(DB_Withdrawals!$F:$F,SMALL(IF((DB_Withdrawals!$I$2:$I$5001=SelectedYear)+(SelectedYear="All Years"),ROW(DB_Withdrawals!$F$2:$F$5001)),47)),"")</f>
        <v/>
      </c>
      <c r="G107" s="14" t="str">
        <f>IFERROR(INDEX(DB_Withdrawals!$G:$G,SMALL(IF((DB_Withdrawals!$I$2:$I$5001=SelectedYear)+(SelectedYear="All Years"),ROW(DB_Withdrawals!$G$2:$G$5001)),47))&amp;"","")</f>
        <v/>
      </c>
      <c r="H107" s="14" t="str">
        <f>IFERROR(INDEX(DB_Withdrawals!$H:$H,SMALL(IF((DB_Withdrawals!$I$2:$I$5001=SelectedYear)+(SelectedYear="All Years"),ROW(DB_Withdrawals!$H$2:$H$5001)),47))&amp;"","")</f>
        <v/>
      </c>
      <c r="I107" s="14" t="str">
        <f t="shared" si="3"/>
        <v/>
      </c>
    </row>
    <row r="108" spans="1:9" x14ac:dyDescent="0.25">
      <c r="A108" s="14">
        <v>48</v>
      </c>
      <c r="B108" s="14" t="str">
        <f>IFERROR(INDEX(DB_Withdrawals!$B:$B,SMALL(IF((DB_Withdrawals!$I$2:$I$5001=SelectedYear)+(SelectedYear="All Years"),ROW(DB_Withdrawals!$B$2:$B$5001)),48))&amp;"","")</f>
        <v/>
      </c>
      <c r="C108" s="14" t="str">
        <f>IFERROR(INDEX(DB_Withdrawals!$C:$C,SMALL(IF((DB_Withdrawals!$I$2:$I$5001=SelectedYear)+(SelectedYear="All Years"),ROW(DB_Withdrawals!$C$2:$C$5001)),48))&amp;"","")</f>
        <v/>
      </c>
      <c r="D108" s="14" t="str">
        <f>IFERROR(INDEX(DB_Withdrawals!$D:$D,SMALL(IF((DB_Withdrawals!$I$2:$I$5001=SelectedYear)+(SelectedYear="All Years"),ROW(DB_Withdrawals!$D$2:$D$5001)),48))&amp;"","")</f>
        <v/>
      </c>
      <c r="E108" s="14" t="str">
        <f>IFERROR(INDEX(DB_Withdrawals!$E:$E,SMALL(IF((DB_Withdrawals!$I$2:$I$5001=SelectedYear)+(SelectedYear="All Years"),ROW(DB_Withdrawals!$E$2:$E$5001)),48))&amp;"","")</f>
        <v/>
      </c>
      <c r="F108" s="14" t="str">
        <f>IFERROR(INDEX(DB_Withdrawals!$F:$F,SMALL(IF((DB_Withdrawals!$I$2:$I$5001=SelectedYear)+(SelectedYear="All Years"),ROW(DB_Withdrawals!$F$2:$F$5001)),48)),"")</f>
        <v/>
      </c>
      <c r="G108" s="14" t="str">
        <f>IFERROR(INDEX(DB_Withdrawals!$G:$G,SMALL(IF((DB_Withdrawals!$I$2:$I$5001=SelectedYear)+(SelectedYear="All Years"),ROW(DB_Withdrawals!$G$2:$G$5001)),48))&amp;"","")</f>
        <v/>
      </c>
      <c r="H108" s="14" t="str">
        <f>IFERROR(INDEX(DB_Withdrawals!$H:$H,SMALL(IF((DB_Withdrawals!$I$2:$I$5001=SelectedYear)+(SelectedYear="All Years"),ROW(DB_Withdrawals!$H$2:$H$5001)),48))&amp;"","")</f>
        <v/>
      </c>
      <c r="I108" s="14" t="str">
        <f t="shared" si="3"/>
        <v/>
      </c>
    </row>
    <row r="109" spans="1:9" x14ac:dyDescent="0.25">
      <c r="A109" s="14">
        <v>49</v>
      </c>
      <c r="B109" s="14" t="str">
        <f>IFERROR(INDEX(DB_Withdrawals!$B:$B,SMALL(IF((DB_Withdrawals!$I$2:$I$5001=SelectedYear)+(SelectedYear="All Years"),ROW(DB_Withdrawals!$B$2:$B$5001)),49))&amp;"","")</f>
        <v/>
      </c>
      <c r="C109" s="14" t="str">
        <f>IFERROR(INDEX(DB_Withdrawals!$C:$C,SMALL(IF((DB_Withdrawals!$I$2:$I$5001=SelectedYear)+(SelectedYear="All Years"),ROW(DB_Withdrawals!$C$2:$C$5001)),49))&amp;"","")</f>
        <v/>
      </c>
      <c r="D109" s="14" t="str">
        <f>IFERROR(INDEX(DB_Withdrawals!$D:$D,SMALL(IF((DB_Withdrawals!$I$2:$I$5001=SelectedYear)+(SelectedYear="All Years"),ROW(DB_Withdrawals!$D$2:$D$5001)),49))&amp;"","")</f>
        <v/>
      </c>
      <c r="E109" s="14" t="str">
        <f>IFERROR(INDEX(DB_Withdrawals!$E:$E,SMALL(IF((DB_Withdrawals!$I$2:$I$5001=SelectedYear)+(SelectedYear="All Years"),ROW(DB_Withdrawals!$E$2:$E$5001)),49))&amp;"","")</f>
        <v/>
      </c>
      <c r="F109" s="14" t="str">
        <f>IFERROR(INDEX(DB_Withdrawals!$F:$F,SMALL(IF((DB_Withdrawals!$I$2:$I$5001=SelectedYear)+(SelectedYear="All Years"),ROW(DB_Withdrawals!$F$2:$F$5001)),49)),"")</f>
        <v/>
      </c>
      <c r="G109" s="14" t="str">
        <f>IFERROR(INDEX(DB_Withdrawals!$G:$G,SMALL(IF((DB_Withdrawals!$I$2:$I$5001=SelectedYear)+(SelectedYear="All Years"),ROW(DB_Withdrawals!$G$2:$G$5001)),49))&amp;"","")</f>
        <v/>
      </c>
      <c r="H109" s="14" t="str">
        <f>IFERROR(INDEX(DB_Withdrawals!$H:$H,SMALL(IF((DB_Withdrawals!$I$2:$I$5001=SelectedYear)+(SelectedYear="All Years"),ROW(DB_Withdrawals!$H$2:$H$5001)),49))&amp;"","")</f>
        <v/>
      </c>
      <c r="I109" s="14" t="str">
        <f t="shared" si="3"/>
        <v/>
      </c>
    </row>
    <row r="110" spans="1:9" x14ac:dyDescent="0.25">
      <c r="A110" s="14">
        <v>50</v>
      </c>
      <c r="B110" s="14" t="str">
        <f>IFERROR(INDEX(DB_Withdrawals!$B:$B,SMALL(IF((DB_Withdrawals!$I$2:$I$5001=SelectedYear)+(SelectedYear="All Years"),ROW(DB_Withdrawals!$B$2:$B$5001)),50))&amp;"","")</f>
        <v/>
      </c>
      <c r="C110" s="14" t="str">
        <f>IFERROR(INDEX(DB_Withdrawals!$C:$C,SMALL(IF((DB_Withdrawals!$I$2:$I$5001=SelectedYear)+(SelectedYear="All Years"),ROW(DB_Withdrawals!$C$2:$C$5001)),50))&amp;"","")</f>
        <v/>
      </c>
      <c r="D110" s="14" t="str">
        <f>IFERROR(INDEX(DB_Withdrawals!$D:$D,SMALL(IF((DB_Withdrawals!$I$2:$I$5001=SelectedYear)+(SelectedYear="All Years"),ROW(DB_Withdrawals!$D$2:$D$5001)),50))&amp;"","")</f>
        <v/>
      </c>
      <c r="E110" s="14" t="str">
        <f>IFERROR(INDEX(DB_Withdrawals!$E:$E,SMALL(IF((DB_Withdrawals!$I$2:$I$5001=SelectedYear)+(SelectedYear="All Years"),ROW(DB_Withdrawals!$E$2:$E$5001)),50))&amp;"","")</f>
        <v/>
      </c>
      <c r="F110" s="14" t="str">
        <f>IFERROR(INDEX(DB_Withdrawals!$F:$F,SMALL(IF((DB_Withdrawals!$I$2:$I$5001=SelectedYear)+(SelectedYear="All Years"),ROW(DB_Withdrawals!$F$2:$F$5001)),50)),"")</f>
        <v/>
      </c>
      <c r="G110" s="14" t="str">
        <f>IFERROR(INDEX(DB_Withdrawals!$G:$G,SMALL(IF((DB_Withdrawals!$I$2:$I$5001=SelectedYear)+(SelectedYear="All Years"),ROW(DB_Withdrawals!$G$2:$G$5001)),50))&amp;"","")</f>
        <v/>
      </c>
      <c r="H110" s="14" t="str">
        <f>IFERROR(INDEX(DB_Withdrawals!$H:$H,SMALL(IF((DB_Withdrawals!$I$2:$I$5001=SelectedYear)+(SelectedYear="All Years"),ROW(DB_Withdrawals!$H$2:$H$5001)),50))&amp;"","")</f>
        <v/>
      </c>
      <c r="I110" s="14" t="str">
        <f t="shared" si="3"/>
        <v/>
      </c>
    </row>
    <row r="113" spans="1:9" ht="21.75" customHeight="1" x14ac:dyDescent="0.25">
      <c r="A113" s="293" t="s">
        <v>81</v>
      </c>
      <c r="B113" s="265"/>
      <c r="C113" s="265"/>
      <c r="D113" s="265"/>
      <c r="E113" s="265"/>
      <c r="F113" s="265"/>
      <c r="G113" s="265"/>
      <c r="H113" s="265"/>
      <c r="I113" s="265"/>
    </row>
    <row r="114" spans="1:9" ht="18" customHeight="1" x14ac:dyDescent="0.25">
      <c r="A114" s="12" t="s">
        <v>74</v>
      </c>
      <c r="B114" s="12" t="s">
        <v>82</v>
      </c>
      <c r="C114" s="12" t="s">
        <v>76</v>
      </c>
      <c r="D114" s="12" t="s">
        <v>83</v>
      </c>
      <c r="E114" s="12" t="s">
        <v>84</v>
      </c>
      <c r="F114" s="12" t="s">
        <v>85</v>
      </c>
      <c r="G114" s="12" t="s">
        <v>86</v>
      </c>
      <c r="H114" s="12" t="s">
        <v>13</v>
      </c>
      <c r="I114" s="12" t="s">
        <v>1</v>
      </c>
    </row>
    <row r="115" spans="1:9" x14ac:dyDescent="0.25">
      <c r="A115" s="14">
        <v>1</v>
      </c>
      <c r="B115" s="14" t="str">
        <f>IFERROR(INDEX(DB_Loans!$A:$A,SMALL(IF((DB_Loans!$P$2:$P$5001=SelectedYear)+(SelectedYear="All Years"),ROW(DB_Loans!$A$2:$A$5001)),1))&amp;"","")</f>
        <v/>
      </c>
      <c r="C115" s="14" t="str">
        <f>IFERROR(INDEX(DB_Loans!$B:$B,SMALL(IF((DB_Loans!$P$2:$P$5001=SelectedYear)+(SelectedYear="All Years"),ROW(DB_Loans!$B$2:$B$5001)),1))&amp;"","")</f>
        <v/>
      </c>
      <c r="D115" s="14" t="str">
        <f>IFERROR(INDEX(DB_Loans!$C:$C,SMALL(IF((DB_Loans!$P$2:$P$5001=SelectedYear)+(SelectedYear="All Years"),ROW(DB_Loans!$C$2:$C$5001)),1))&amp;"","")</f>
        <v/>
      </c>
      <c r="E115" s="14" t="str">
        <f>IFERROR(INDEX(DB_Loans!$D:$D,SMALL(IF((DB_Loans!$P$2:$P$5001=SelectedYear)+(SelectedYear="All Years"),ROW(DB_Loans!$D$2:$D$5001)),1))&amp;"","")</f>
        <v/>
      </c>
      <c r="F115" s="14">
        <f>IFERROR(INDEX(DB_Loans!$E:$E,SMALL(IF((DB_Loans!$P$2:$P$5001=SelectedYear)+(SelectedYear="All Years"),ROW(DB_Loans!$E$2:$E$5001)),1)),"")</f>
        <v>0</v>
      </c>
      <c r="G115" s="14">
        <f>IFERROR(INDEX(DB_Loans!$H:$H,SMALL(IF((DB_Loans!$P$2:$P$5001=SelectedYear)+(SelectedYear="All Years"),ROW(DB_Loans!$H$2:$H$5001)),1)),"")</f>
        <v>0</v>
      </c>
      <c r="H115" s="14">
        <f>IFERROR(INDEX(DB_Loans!$I:$I,SMALL(IF((DB_Loans!$P$2:$P$5001=SelectedYear)+(SelectedYear="All Years"),ROW(DB_Loans!$I$2:$I$5001)),1)),"")</f>
        <v>0</v>
      </c>
      <c r="I115" s="14" t="str">
        <f t="shared" ref="I115:I146" si="4">IF(E115="","",IFERROR(YEAR(E115),""))</f>
        <v/>
      </c>
    </row>
    <row r="116" spans="1:9" x14ac:dyDescent="0.25">
      <c r="A116" s="14">
        <v>2</v>
      </c>
      <c r="B116" s="14" t="str">
        <f>IFERROR(INDEX(DB_Loans!$A:$A,SMALL(IF((DB_Loans!$P$2:$P$5001=SelectedYear)+(SelectedYear="All Years"),ROW(DB_Loans!$A$2:$A$5001)),2))&amp;"","")</f>
        <v/>
      </c>
      <c r="C116" s="14" t="str">
        <f>IFERROR(INDEX(DB_Loans!$B:$B,SMALL(IF((DB_Loans!$P$2:$P$5001=SelectedYear)+(SelectedYear="All Years"),ROW(DB_Loans!$B$2:$B$5001)),2))&amp;"","")</f>
        <v/>
      </c>
      <c r="D116" s="14" t="str">
        <f>IFERROR(INDEX(DB_Loans!$C:$C,SMALL(IF((DB_Loans!$P$2:$P$5001=SelectedYear)+(SelectedYear="All Years"),ROW(DB_Loans!$C$2:$C$5001)),2))&amp;"","")</f>
        <v/>
      </c>
      <c r="E116" s="14" t="str">
        <f>IFERROR(INDEX(DB_Loans!$D:$D,SMALL(IF((DB_Loans!$P$2:$P$5001=SelectedYear)+(SelectedYear="All Years"),ROW(DB_Loans!$D$2:$D$5001)),2))&amp;"","")</f>
        <v/>
      </c>
      <c r="F116" s="14" t="str">
        <f>IFERROR(INDEX(DB_Loans!$E:$E,SMALL(IF((DB_Loans!$P$2:$P$5001=SelectedYear)+(SelectedYear="All Years"),ROW(DB_Loans!$E$2:$E$5001)),2)),"")</f>
        <v/>
      </c>
      <c r="G116" s="14" t="str">
        <f>IFERROR(INDEX(DB_Loans!$H:$H,SMALL(IF((DB_Loans!$P$2:$P$5001=SelectedYear)+(SelectedYear="All Years"),ROW(DB_Loans!$H$2:$H$5001)),2)),"")</f>
        <v/>
      </c>
      <c r="H116" s="14" t="str">
        <f>IFERROR(INDEX(DB_Loans!$I:$I,SMALL(IF((DB_Loans!$P$2:$P$5001=SelectedYear)+(SelectedYear="All Years"),ROW(DB_Loans!$I$2:$I$5001)),2)),"")</f>
        <v/>
      </c>
      <c r="I116" s="14" t="str">
        <f t="shared" si="4"/>
        <v/>
      </c>
    </row>
    <row r="117" spans="1:9" x14ac:dyDescent="0.25">
      <c r="A117" s="14">
        <v>3</v>
      </c>
      <c r="B117" s="14" t="str">
        <f>IFERROR(INDEX(DB_Loans!$A:$A,SMALL(IF((DB_Loans!$P$2:$P$5001=SelectedYear)+(SelectedYear="All Years"),ROW(DB_Loans!$A$2:$A$5001)),3))&amp;"","")</f>
        <v/>
      </c>
      <c r="C117" s="14" t="str">
        <f>IFERROR(INDEX(DB_Loans!$B:$B,SMALL(IF((DB_Loans!$P$2:$P$5001=SelectedYear)+(SelectedYear="All Years"),ROW(DB_Loans!$B$2:$B$5001)),3))&amp;"","")</f>
        <v/>
      </c>
      <c r="D117" s="14" t="str">
        <f>IFERROR(INDEX(DB_Loans!$C:$C,SMALL(IF((DB_Loans!$P$2:$P$5001=SelectedYear)+(SelectedYear="All Years"),ROW(DB_Loans!$C$2:$C$5001)),3))&amp;"","")</f>
        <v/>
      </c>
      <c r="E117" s="14" t="str">
        <f>IFERROR(INDEX(DB_Loans!$D:$D,SMALL(IF((DB_Loans!$P$2:$P$5001=SelectedYear)+(SelectedYear="All Years"),ROW(DB_Loans!$D$2:$D$5001)),3))&amp;"","")</f>
        <v/>
      </c>
      <c r="F117" s="14" t="str">
        <f>IFERROR(INDEX(DB_Loans!$E:$E,SMALL(IF((DB_Loans!$P$2:$P$5001=SelectedYear)+(SelectedYear="All Years"),ROW(DB_Loans!$E$2:$E$5001)),3)),"")</f>
        <v/>
      </c>
      <c r="G117" s="14" t="str">
        <f>IFERROR(INDEX(DB_Loans!$H:$H,SMALL(IF((DB_Loans!$P$2:$P$5001=SelectedYear)+(SelectedYear="All Years"),ROW(DB_Loans!$H$2:$H$5001)),3)),"")</f>
        <v/>
      </c>
      <c r="H117" s="14" t="str">
        <f>IFERROR(INDEX(DB_Loans!$I:$I,SMALL(IF((DB_Loans!$P$2:$P$5001=SelectedYear)+(SelectedYear="All Years"),ROW(DB_Loans!$I$2:$I$5001)),3)),"")</f>
        <v/>
      </c>
      <c r="I117" s="14" t="str">
        <f t="shared" si="4"/>
        <v/>
      </c>
    </row>
    <row r="118" spans="1:9" x14ac:dyDescent="0.25">
      <c r="A118" s="14">
        <v>4</v>
      </c>
      <c r="B118" s="14" t="str">
        <f>IFERROR(INDEX(DB_Loans!$A:$A,SMALL(IF((DB_Loans!$P$2:$P$5001=SelectedYear)+(SelectedYear="All Years"),ROW(DB_Loans!$A$2:$A$5001)),4))&amp;"","")</f>
        <v/>
      </c>
      <c r="C118" s="14" t="str">
        <f>IFERROR(INDEX(DB_Loans!$B:$B,SMALL(IF((DB_Loans!$P$2:$P$5001=SelectedYear)+(SelectedYear="All Years"),ROW(DB_Loans!$B$2:$B$5001)),4))&amp;"","")</f>
        <v/>
      </c>
      <c r="D118" s="14" t="str">
        <f>IFERROR(INDEX(DB_Loans!$C:$C,SMALL(IF((DB_Loans!$P$2:$P$5001=SelectedYear)+(SelectedYear="All Years"),ROW(DB_Loans!$C$2:$C$5001)),4))&amp;"","")</f>
        <v/>
      </c>
      <c r="E118" s="14" t="str">
        <f>IFERROR(INDEX(DB_Loans!$D:$D,SMALL(IF((DB_Loans!$P$2:$P$5001=SelectedYear)+(SelectedYear="All Years"),ROW(DB_Loans!$D$2:$D$5001)),4))&amp;"","")</f>
        <v/>
      </c>
      <c r="F118" s="14" t="str">
        <f>IFERROR(INDEX(DB_Loans!$E:$E,SMALL(IF((DB_Loans!$P$2:$P$5001=SelectedYear)+(SelectedYear="All Years"),ROW(DB_Loans!$E$2:$E$5001)),4)),"")</f>
        <v/>
      </c>
      <c r="G118" s="14" t="str">
        <f>IFERROR(INDEX(DB_Loans!$H:$H,SMALL(IF((DB_Loans!$P$2:$P$5001=SelectedYear)+(SelectedYear="All Years"),ROW(DB_Loans!$H$2:$H$5001)),4)),"")</f>
        <v/>
      </c>
      <c r="H118" s="14" t="str">
        <f>IFERROR(INDEX(DB_Loans!$I:$I,SMALL(IF((DB_Loans!$P$2:$P$5001=SelectedYear)+(SelectedYear="All Years"),ROW(DB_Loans!$I$2:$I$5001)),4)),"")</f>
        <v/>
      </c>
      <c r="I118" s="14" t="str">
        <f t="shared" si="4"/>
        <v/>
      </c>
    </row>
    <row r="119" spans="1:9" x14ac:dyDescent="0.25">
      <c r="A119" s="14">
        <v>5</v>
      </c>
      <c r="B119" s="14" t="str">
        <f>IFERROR(INDEX(DB_Loans!$A:$A,SMALL(IF((DB_Loans!$P$2:$P$5001=SelectedYear)+(SelectedYear="All Years"),ROW(DB_Loans!$A$2:$A$5001)),5))&amp;"","")</f>
        <v/>
      </c>
      <c r="C119" s="14" t="str">
        <f>IFERROR(INDEX(DB_Loans!$B:$B,SMALL(IF((DB_Loans!$P$2:$P$5001=SelectedYear)+(SelectedYear="All Years"),ROW(DB_Loans!$B$2:$B$5001)),5))&amp;"","")</f>
        <v/>
      </c>
      <c r="D119" s="14" t="str">
        <f>IFERROR(INDEX(DB_Loans!$C:$C,SMALL(IF((DB_Loans!$P$2:$P$5001=SelectedYear)+(SelectedYear="All Years"),ROW(DB_Loans!$C$2:$C$5001)),5))&amp;"","")</f>
        <v/>
      </c>
      <c r="E119" s="14" t="str">
        <f>IFERROR(INDEX(DB_Loans!$D:$D,SMALL(IF((DB_Loans!$P$2:$P$5001=SelectedYear)+(SelectedYear="All Years"),ROW(DB_Loans!$D$2:$D$5001)),5))&amp;"","")</f>
        <v/>
      </c>
      <c r="F119" s="14" t="str">
        <f>IFERROR(INDEX(DB_Loans!$E:$E,SMALL(IF((DB_Loans!$P$2:$P$5001=SelectedYear)+(SelectedYear="All Years"),ROW(DB_Loans!$E$2:$E$5001)),5)),"")</f>
        <v/>
      </c>
      <c r="G119" s="14" t="str">
        <f>IFERROR(INDEX(DB_Loans!$H:$H,SMALL(IF((DB_Loans!$P$2:$P$5001=SelectedYear)+(SelectedYear="All Years"),ROW(DB_Loans!$H$2:$H$5001)),5)),"")</f>
        <v/>
      </c>
      <c r="H119" s="14" t="str">
        <f>IFERROR(INDEX(DB_Loans!$I:$I,SMALL(IF((DB_Loans!$P$2:$P$5001=SelectedYear)+(SelectedYear="All Years"),ROW(DB_Loans!$I$2:$I$5001)),5)),"")</f>
        <v/>
      </c>
      <c r="I119" s="14" t="str">
        <f t="shared" si="4"/>
        <v/>
      </c>
    </row>
    <row r="120" spans="1:9" x14ac:dyDescent="0.25">
      <c r="A120" s="14">
        <v>6</v>
      </c>
      <c r="B120" s="14" t="str">
        <f>IFERROR(INDEX(DB_Loans!$A:$A,SMALL(IF((DB_Loans!$P$2:$P$5001=SelectedYear)+(SelectedYear="All Years"),ROW(DB_Loans!$A$2:$A$5001)),6))&amp;"","")</f>
        <v/>
      </c>
      <c r="C120" s="14" t="str">
        <f>IFERROR(INDEX(DB_Loans!$B:$B,SMALL(IF((DB_Loans!$P$2:$P$5001=SelectedYear)+(SelectedYear="All Years"),ROW(DB_Loans!$B$2:$B$5001)),6))&amp;"","")</f>
        <v/>
      </c>
      <c r="D120" s="14" t="str">
        <f>IFERROR(INDEX(DB_Loans!$C:$C,SMALL(IF((DB_Loans!$P$2:$P$5001=SelectedYear)+(SelectedYear="All Years"),ROW(DB_Loans!$C$2:$C$5001)),6))&amp;"","")</f>
        <v/>
      </c>
      <c r="E120" s="14" t="str">
        <f>IFERROR(INDEX(DB_Loans!$D:$D,SMALL(IF((DB_Loans!$P$2:$P$5001=SelectedYear)+(SelectedYear="All Years"),ROW(DB_Loans!$D$2:$D$5001)),6))&amp;"","")</f>
        <v/>
      </c>
      <c r="F120" s="14" t="str">
        <f>IFERROR(INDEX(DB_Loans!$E:$E,SMALL(IF((DB_Loans!$P$2:$P$5001=SelectedYear)+(SelectedYear="All Years"),ROW(DB_Loans!$E$2:$E$5001)),6)),"")</f>
        <v/>
      </c>
      <c r="G120" s="14" t="str">
        <f>IFERROR(INDEX(DB_Loans!$H:$H,SMALL(IF((DB_Loans!$P$2:$P$5001=SelectedYear)+(SelectedYear="All Years"),ROW(DB_Loans!$H$2:$H$5001)),6)),"")</f>
        <v/>
      </c>
      <c r="H120" s="14" t="str">
        <f>IFERROR(INDEX(DB_Loans!$I:$I,SMALL(IF((DB_Loans!$P$2:$P$5001=SelectedYear)+(SelectedYear="All Years"),ROW(DB_Loans!$I$2:$I$5001)),6)),"")</f>
        <v/>
      </c>
      <c r="I120" s="14" t="str">
        <f t="shared" si="4"/>
        <v/>
      </c>
    </row>
    <row r="121" spans="1:9" x14ac:dyDescent="0.25">
      <c r="A121" s="14">
        <v>7</v>
      </c>
      <c r="B121" s="14" t="str">
        <f>IFERROR(INDEX(DB_Loans!$A:$A,SMALL(IF((DB_Loans!$P$2:$P$5001=SelectedYear)+(SelectedYear="All Years"),ROW(DB_Loans!$A$2:$A$5001)),7))&amp;"","")</f>
        <v/>
      </c>
      <c r="C121" s="14" t="str">
        <f>IFERROR(INDEX(DB_Loans!$B:$B,SMALL(IF((DB_Loans!$P$2:$P$5001=SelectedYear)+(SelectedYear="All Years"),ROW(DB_Loans!$B$2:$B$5001)),7))&amp;"","")</f>
        <v/>
      </c>
      <c r="D121" s="14" t="str">
        <f>IFERROR(INDEX(DB_Loans!$C:$C,SMALL(IF((DB_Loans!$P$2:$P$5001=SelectedYear)+(SelectedYear="All Years"),ROW(DB_Loans!$C$2:$C$5001)),7))&amp;"","")</f>
        <v/>
      </c>
      <c r="E121" s="14" t="str">
        <f>IFERROR(INDEX(DB_Loans!$D:$D,SMALL(IF((DB_Loans!$P$2:$P$5001=SelectedYear)+(SelectedYear="All Years"),ROW(DB_Loans!$D$2:$D$5001)),7))&amp;"","")</f>
        <v/>
      </c>
      <c r="F121" s="14" t="str">
        <f>IFERROR(INDEX(DB_Loans!$E:$E,SMALL(IF((DB_Loans!$P$2:$P$5001=SelectedYear)+(SelectedYear="All Years"),ROW(DB_Loans!$E$2:$E$5001)),7)),"")</f>
        <v/>
      </c>
      <c r="G121" s="14" t="str">
        <f>IFERROR(INDEX(DB_Loans!$H:$H,SMALL(IF((DB_Loans!$P$2:$P$5001=SelectedYear)+(SelectedYear="All Years"),ROW(DB_Loans!$H$2:$H$5001)),7)),"")</f>
        <v/>
      </c>
      <c r="H121" s="14" t="str">
        <f>IFERROR(INDEX(DB_Loans!$I:$I,SMALL(IF((DB_Loans!$P$2:$P$5001=SelectedYear)+(SelectedYear="All Years"),ROW(DB_Loans!$I$2:$I$5001)),7)),"")</f>
        <v/>
      </c>
      <c r="I121" s="14" t="str">
        <f t="shared" si="4"/>
        <v/>
      </c>
    </row>
    <row r="122" spans="1:9" x14ac:dyDescent="0.25">
      <c r="A122" s="14">
        <v>8</v>
      </c>
      <c r="B122" s="14" t="str">
        <f>IFERROR(INDEX(DB_Loans!$A:$A,SMALL(IF((DB_Loans!$P$2:$P$5001=SelectedYear)+(SelectedYear="All Years"),ROW(DB_Loans!$A$2:$A$5001)),8))&amp;"","")</f>
        <v/>
      </c>
      <c r="C122" s="14" t="str">
        <f>IFERROR(INDEX(DB_Loans!$B:$B,SMALL(IF((DB_Loans!$P$2:$P$5001=SelectedYear)+(SelectedYear="All Years"),ROW(DB_Loans!$B$2:$B$5001)),8))&amp;"","")</f>
        <v/>
      </c>
      <c r="D122" s="14" t="str">
        <f>IFERROR(INDEX(DB_Loans!$C:$C,SMALL(IF((DB_Loans!$P$2:$P$5001=SelectedYear)+(SelectedYear="All Years"),ROW(DB_Loans!$C$2:$C$5001)),8))&amp;"","")</f>
        <v/>
      </c>
      <c r="E122" s="14" t="str">
        <f>IFERROR(INDEX(DB_Loans!$D:$D,SMALL(IF((DB_Loans!$P$2:$P$5001=SelectedYear)+(SelectedYear="All Years"),ROW(DB_Loans!$D$2:$D$5001)),8))&amp;"","")</f>
        <v/>
      </c>
      <c r="F122" s="14" t="str">
        <f>IFERROR(INDEX(DB_Loans!$E:$E,SMALL(IF((DB_Loans!$P$2:$P$5001=SelectedYear)+(SelectedYear="All Years"),ROW(DB_Loans!$E$2:$E$5001)),8)),"")</f>
        <v/>
      </c>
      <c r="G122" s="14" t="str">
        <f>IFERROR(INDEX(DB_Loans!$H:$H,SMALL(IF((DB_Loans!$P$2:$P$5001=SelectedYear)+(SelectedYear="All Years"),ROW(DB_Loans!$H$2:$H$5001)),8)),"")</f>
        <v/>
      </c>
      <c r="H122" s="14" t="str">
        <f>IFERROR(INDEX(DB_Loans!$I:$I,SMALL(IF((DB_Loans!$P$2:$P$5001=SelectedYear)+(SelectedYear="All Years"),ROW(DB_Loans!$I$2:$I$5001)),8)),"")</f>
        <v/>
      </c>
      <c r="I122" s="14" t="str">
        <f t="shared" si="4"/>
        <v/>
      </c>
    </row>
    <row r="123" spans="1:9" x14ac:dyDescent="0.25">
      <c r="A123" s="14">
        <v>9</v>
      </c>
      <c r="B123" s="14" t="str">
        <f>IFERROR(INDEX(DB_Loans!$A:$A,SMALL(IF((DB_Loans!$P$2:$P$5001=SelectedYear)+(SelectedYear="All Years"),ROW(DB_Loans!$A$2:$A$5001)),9))&amp;"","")</f>
        <v/>
      </c>
      <c r="C123" s="14" t="str">
        <f>IFERROR(INDEX(DB_Loans!$B:$B,SMALL(IF((DB_Loans!$P$2:$P$5001=SelectedYear)+(SelectedYear="All Years"),ROW(DB_Loans!$B$2:$B$5001)),9))&amp;"","")</f>
        <v/>
      </c>
      <c r="D123" s="14" t="str">
        <f>IFERROR(INDEX(DB_Loans!$C:$C,SMALL(IF((DB_Loans!$P$2:$P$5001=SelectedYear)+(SelectedYear="All Years"),ROW(DB_Loans!$C$2:$C$5001)),9))&amp;"","")</f>
        <v/>
      </c>
      <c r="E123" s="14" t="str">
        <f>IFERROR(INDEX(DB_Loans!$D:$D,SMALL(IF((DB_Loans!$P$2:$P$5001=SelectedYear)+(SelectedYear="All Years"),ROW(DB_Loans!$D$2:$D$5001)),9))&amp;"","")</f>
        <v/>
      </c>
      <c r="F123" s="14" t="str">
        <f>IFERROR(INDEX(DB_Loans!$E:$E,SMALL(IF((DB_Loans!$P$2:$P$5001=SelectedYear)+(SelectedYear="All Years"),ROW(DB_Loans!$E$2:$E$5001)),9)),"")</f>
        <v/>
      </c>
      <c r="G123" s="14" t="str">
        <f>IFERROR(INDEX(DB_Loans!$H:$H,SMALL(IF((DB_Loans!$P$2:$P$5001=SelectedYear)+(SelectedYear="All Years"),ROW(DB_Loans!$H$2:$H$5001)),9)),"")</f>
        <v/>
      </c>
      <c r="H123" s="14" t="str">
        <f>IFERROR(INDEX(DB_Loans!$I:$I,SMALL(IF((DB_Loans!$P$2:$P$5001=SelectedYear)+(SelectedYear="All Years"),ROW(DB_Loans!$I$2:$I$5001)),9)),"")</f>
        <v/>
      </c>
      <c r="I123" s="14" t="str">
        <f t="shared" si="4"/>
        <v/>
      </c>
    </row>
    <row r="124" spans="1:9" x14ac:dyDescent="0.25">
      <c r="A124" s="14">
        <v>10</v>
      </c>
      <c r="B124" s="14" t="str">
        <f>IFERROR(INDEX(DB_Loans!$A:$A,SMALL(IF((DB_Loans!$P$2:$P$5001=SelectedYear)+(SelectedYear="All Years"),ROW(DB_Loans!$A$2:$A$5001)),10))&amp;"","")</f>
        <v/>
      </c>
      <c r="C124" s="14" t="str">
        <f>IFERROR(INDEX(DB_Loans!$B:$B,SMALL(IF((DB_Loans!$P$2:$P$5001=SelectedYear)+(SelectedYear="All Years"),ROW(DB_Loans!$B$2:$B$5001)),10))&amp;"","")</f>
        <v/>
      </c>
      <c r="D124" s="14" t="str">
        <f>IFERROR(INDEX(DB_Loans!$C:$C,SMALL(IF((DB_Loans!$P$2:$P$5001=SelectedYear)+(SelectedYear="All Years"),ROW(DB_Loans!$C$2:$C$5001)),10))&amp;"","")</f>
        <v/>
      </c>
      <c r="E124" s="14" t="str">
        <f>IFERROR(INDEX(DB_Loans!$D:$D,SMALL(IF((DB_Loans!$P$2:$P$5001=SelectedYear)+(SelectedYear="All Years"),ROW(DB_Loans!$D$2:$D$5001)),10))&amp;"","")</f>
        <v/>
      </c>
      <c r="F124" s="14" t="str">
        <f>IFERROR(INDEX(DB_Loans!$E:$E,SMALL(IF((DB_Loans!$P$2:$P$5001=SelectedYear)+(SelectedYear="All Years"),ROW(DB_Loans!$E$2:$E$5001)),10)),"")</f>
        <v/>
      </c>
      <c r="G124" s="14" t="str">
        <f>IFERROR(INDEX(DB_Loans!$H:$H,SMALL(IF((DB_Loans!$P$2:$P$5001=SelectedYear)+(SelectedYear="All Years"),ROW(DB_Loans!$H$2:$H$5001)),10)),"")</f>
        <v/>
      </c>
      <c r="H124" s="14" t="str">
        <f>IFERROR(INDEX(DB_Loans!$I:$I,SMALL(IF((DB_Loans!$P$2:$P$5001=SelectedYear)+(SelectedYear="All Years"),ROW(DB_Loans!$I$2:$I$5001)),10)),"")</f>
        <v/>
      </c>
      <c r="I124" s="14" t="str">
        <f t="shared" si="4"/>
        <v/>
      </c>
    </row>
    <row r="125" spans="1:9" x14ac:dyDescent="0.25">
      <c r="A125" s="14">
        <v>11</v>
      </c>
      <c r="B125" s="14" t="str">
        <f>IFERROR(INDEX(DB_Loans!$A:$A,SMALL(IF((DB_Loans!$P$2:$P$5001=SelectedYear)+(SelectedYear="All Years"),ROW(DB_Loans!$A$2:$A$5001)),11))&amp;"","")</f>
        <v/>
      </c>
      <c r="C125" s="14" t="str">
        <f>IFERROR(INDEX(DB_Loans!$B:$B,SMALL(IF((DB_Loans!$P$2:$P$5001=SelectedYear)+(SelectedYear="All Years"),ROW(DB_Loans!$B$2:$B$5001)),11))&amp;"","")</f>
        <v/>
      </c>
      <c r="D125" s="14" t="str">
        <f>IFERROR(INDEX(DB_Loans!$C:$C,SMALL(IF((DB_Loans!$P$2:$P$5001=SelectedYear)+(SelectedYear="All Years"),ROW(DB_Loans!$C$2:$C$5001)),11))&amp;"","")</f>
        <v/>
      </c>
      <c r="E125" s="14" t="str">
        <f>IFERROR(INDEX(DB_Loans!$D:$D,SMALL(IF((DB_Loans!$P$2:$P$5001=SelectedYear)+(SelectedYear="All Years"),ROW(DB_Loans!$D$2:$D$5001)),11))&amp;"","")</f>
        <v/>
      </c>
      <c r="F125" s="14" t="str">
        <f>IFERROR(INDEX(DB_Loans!$E:$E,SMALL(IF((DB_Loans!$P$2:$P$5001=SelectedYear)+(SelectedYear="All Years"),ROW(DB_Loans!$E$2:$E$5001)),11)),"")</f>
        <v/>
      </c>
      <c r="G125" s="14" t="str">
        <f>IFERROR(INDEX(DB_Loans!$H:$H,SMALL(IF((DB_Loans!$P$2:$P$5001=SelectedYear)+(SelectedYear="All Years"),ROW(DB_Loans!$H$2:$H$5001)),11)),"")</f>
        <v/>
      </c>
      <c r="H125" s="14" t="str">
        <f>IFERROR(INDEX(DB_Loans!$I:$I,SMALL(IF((DB_Loans!$P$2:$P$5001=SelectedYear)+(SelectedYear="All Years"),ROW(DB_Loans!$I$2:$I$5001)),11)),"")</f>
        <v/>
      </c>
      <c r="I125" s="14" t="str">
        <f t="shared" si="4"/>
        <v/>
      </c>
    </row>
    <row r="126" spans="1:9" x14ac:dyDescent="0.25">
      <c r="A126" s="14">
        <v>12</v>
      </c>
      <c r="B126" s="14" t="str">
        <f>IFERROR(INDEX(DB_Loans!$A:$A,SMALL(IF((DB_Loans!$P$2:$P$5001=SelectedYear)+(SelectedYear="All Years"),ROW(DB_Loans!$A$2:$A$5001)),12))&amp;"","")</f>
        <v/>
      </c>
      <c r="C126" s="14" t="str">
        <f>IFERROR(INDEX(DB_Loans!$B:$B,SMALL(IF((DB_Loans!$P$2:$P$5001=SelectedYear)+(SelectedYear="All Years"),ROW(DB_Loans!$B$2:$B$5001)),12))&amp;"","")</f>
        <v/>
      </c>
      <c r="D126" s="14" t="str">
        <f>IFERROR(INDEX(DB_Loans!$C:$C,SMALL(IF((DB_Loans!$P$2:$P$5001=SelectedYear)+(SelectedYear="All Years"),ROW(DB_Loans!$C$2:$C$5001)),12))&amp;"","")</f>
        <v/>
      </c>
      <c r="E126" s="14" t="str">
        <f>IFERROR(INDEX(DB_Loans!$D:$D,SMALL(IF((DB_Loans!$P$2:$P$5001=SelectedYear)+(SelectedYear="All Years"),ROW(DB_Loans!$D$2:$D$5001)),12))&amp;"","")</f>
        <v/>
      </c>
      <c r="F126" s="14" t="str">
        <f>IFERROR(INDEX(DB_Loans!$E:$E,SMALL(IF((DB_Loans!$P$2:$P$5001=SelectedYear)+(SelectedYear="All Years"),ROW(DB_Loans!$E$2:$E$5001)),12)),"")</f>
        <v/>
      </c>
      <c r="G126" s="14" t="str">
        <f>IFERROR(INDEX(DB_Loans!$H:$H,SMALL(IF((DB_Loans!$P$2:$P$5001=SelectedYear)+(SelectedYear="All Years"),ROW(DB_Loans!$H$2:$H$5001)),12)),"")</f>
        <v/>
      </c>
      <c r="H126" s="14" t="str">
        <f>IFERROR(INDEX(DB_Loans!$I:$I,SMALL(IF((DB_Loans!$P$2:$P$5001=SelectedYear)+(SelectedYear="All Years"),ROW(DB_Loans!$I$2:$I$5001)),12)),"")</f>
        <v/>
      </c>
      <c r="I126" s="14" t="str">
        <f t="shared" si="4"/>
        <v/>
      </c>
    </row>
    <row r="127" spans="1:9" x14ac:dyDescent="0.25">
      <c r="A127" s="14">
        <v>13</v>
      </c>
      <c r="B127" s="14" t="str">
        <f>IFERROR(INDEX(DB_Loans!$A:$A,SMALL(IF((DB_Loans!$P$2:$P$5001=SelectedYear)+(SelectedYear="All Years"),ROW(DB_Loans!$A$2:$A$5001)),13))&amp;"","")</f>
        <v/>
      </c>
      <c r="C127" s="14" t="str">
        <f>IFERROR(INDEX(DB_Loans!$B:$B,SMALL(IF((DB_Loans!$P$2:$P$5001=SelectedYear)+(SelectedYear="All Years"),ROW(DB_Loans!$B$2:$B$5001)),13))&amp;"","")</f>
        <v/>
      </c>
      <c r="D127" s="14" t="str">
        <f>IFERROR(INDEX(DB_Loans!$C:$C,SMALL(IF((DB_Loans!$P$2:$P$5001=SelectedYear)+(SelectedYear="All Years"),ROW(DB_Loans!$C$2:$C$5001)),13))&amp;"","")</f>
        <v/>
      </c>
      <c r="E127" s="14" t="str">
        <f>IFERROR(INDEX(DB_Loans!$D:$D,SMALL(IF((DB_Loans!$P$2:$P$5001=SelectedYear)+(SelectedYear="All Years"),ROW(DB_Loans!$D$2:$D$5001)),13))&amp;"","")</f>
        <v/>
      </c>
      <c r="F127" s="14" t="str">
        <f>IFERROR(INDEX(DB_Loans!$E:$E,SMALL(IF((DB_Loans!$P$2:$P$5001=SelectedYear)+(SelectedYear="All Years"),ROW(DB_Loans!$E$2:$E$5001)),13)),"")</f>
        <v/>
      </c>
      <c r="G127" s="14" t="str">
        <f>IFERROR(INDEX(DB_Loans!$H:$H,SMALL(IF((DB_Loans!$P$2:$P$5001=SelectedYear)+(SelectedYear="All Years"),ROW(DB_Loans!$H$2:$H$5001)),13)),"")</f>
        <v/>
      </c>
      <c r="H127" s="14" t="str">
        <f>IFERROR(INDEX(DB_Loans!$I:$I,SMALL(IF((DB_Loans!$P$2:$P$5001=SelectedYear)+(SelectedYear="All Years"),ROW(DB_Loans!$I$2:$I$5001)),13)),"")</f>
        <v/>
      </c>
      <c r="I127" s="14" t="str">
        <f t="shared" si="4"/>
        <v/>
      </c>
    </row>
    <row r="128" spans="1:9" x14ac:dyDescent="0.25">
      <c r="A128" s="14">
        <v>14</v>
      </c>
      <c r="B128" s="14" t="str">
        <f>IFERROR(INDEX(DB_Loans!$A:$A,SMALL(IF((DB_Loans!$P$2:$P$5001=SelectedYear)+(SelectedYear="All Years"),ROW(DB_Loans!$A$2:$A$5001)),14))&amp;"","")</f>
        <v/>
      </c>
      <c r="C128" s="14" t="str">
        <f>IFERROR(INDEX(DB_Loans!$B:$B,SMALL(IF((DB_Loans!$P$2:$P$5001=SelectedYear)+(SelectedYear="All Years"),ROW(DB_Loans!$B$2:$B$5001)),14))&amp;"","")</f>
        <v/>
      </c>
      <c r="D128" s="14" t="str">
        <f>IFERROR(INDEX(DB_Loans!$C:$C,SMALL(IF((DB_Loans!$P$2:$P$5001=SelectedYear)+(SelectedYear="All Years"),ROW(DB_Loans!$C$2:$C$5001)),14))&amp;"","")</f>
        <v/>
      </c>
      <c r="E128" s="14" t="str">
        <f>IFERROR(INDEX(DB_Loans!$D:$D,SMALL(IF((DB_Loans!$P$2:$P$5001=SelectedYear)+(SelectedYear="All Years"),ROW(DB_Loans!$D$2:$D$5001)),14))&amp;"","")</f>
        <v/>
      </c>
      <c r="F128" s="14" t="str">
        <f>IFERROR(INDEX(DB_Loans!$E:$E,SMALL(IF((DB_Loans!$P$2:$P$5001=SelectedYear)+(SelectedYear="All Years"),ROW(DB_Loans!$E$2:$E$5001)),14)),"")</f>
        <v/>
      </c>
      <c r="G128" s="14" t="str">
        <f>IFERROR(INDEX(DB_Loans!$H:$H,SMALL(IF((DB_Loans!$P$2:$P$5001=SelectedYear)+(SelectedYear="All Years"),ROW(DB_Loans!$H$2:$H$5001)),14)),"")</f>
        <v/>
      </c>
      <c r="H128" s="14" t="str">
        <f>IFERROR(INDEX(DB_Loans!$I:$I,SMALL(IF((DB_Loans!$P$2:$P$5001=SelectedYear)+(SelectedYear="All Years"),ROW(DB_Loans!$I$2:$I$5001)),14)),"")</f>
        <v/>
      </c>
      <c r="I128" s="14" t="str">
        <f t="shared" si="4"/>
        <v/>
      </c>
    </row>
    <row r="129" spans="1:9" x14ac:dyDescent="0.25">
      <c r="A129" s="14">
        <v>15</v>
      </c>
      <c r="B129" s="14" t="str">
        <f>IFERROR(INDEX(DB_Loans!$A:$A,SMALL(IF((DB_Loans!$P$2:$P$5001=SelectedYear)+(SelectedYear="All Years"),ROW(DB_Loans!$A$2:$A$5001)),15))&amp;"","")</f>
        <v/>
      </c>
      <c r="C129" s="14" t="str">
        <f>IFERROR(INDEX(DB_Loans!$B:$B,SMALL(IF((DB_Loans!$P$2:$P$5001=SelectedYear)+(SelectedYear="All Years"),ROW(DB_Loans!$B$2:$B$5001)),15))&amp;"","")</f>
        <v/>
      </c>
      <c r="D129" s="14" t="str">
        <f>IFERROR(INDEX(DB_Loans!$C:$C,SMALL(IF((DB_Loans!$P$2:$P$5001=SelectedYear)+(SelectedYear="All Years"),ROW(DB_Loans!$C$2:$C$5001)),15))&amp;"","")</f>
        <v/>
      </c>
      <c r="E129" s="14" t="str">
        <f>IFERROR(INDEX(DB_Loans!$D:$D,SMALL(IF((DB_Loans!$P$2:$P$5001=SelectedYear)+(SelectedYear="All Years"),ROW(DB_Loans!$D$2:$D$5001)),15))&amp;"","")</f>
        <v/>
      </c>
      <c r="F129" s="14" t="str">
        <f>IFERROR(INDEX(DB_Loans!$E:$E,SMALL(IF((DB_Loans!$P$2:$P$5001=SelectedYear)+(SelectedYear="All Years"),ROW(DB_Loans!$E$2:$E$5001)),15)),"")</f>
        <v/>
      </c>
      <c r="G129" s="14" t="str">
        <f>IFERROR(INDEX(DB_Loans!$H:$H,SMALL(IF((DB_Loans!$P$2:$P$5001=SelectedYear)+(SelectedYear="All Years"),ROW(DB_Loans!$H$2:$H$5001)),15)),"")</f>
        <v/>
      </c>
      <c r="H129" s="14" t="str">
        <f>IFERROR(INDEX(DB_Loans!$I:$I,SMALL(IF((DB_Loans!$P$2:$P$5001=SelectedYear)+(SelectedYear="All Years"),ROW(DB_Loans!$I$2:$I$5001)),15)),"")</f>
        <v/>
      </c>
      <c r="I129" s="14" t="str">
        <f t="shared" si="4"/>
        <v/>
      </c>
    </row>
    <row r="130" spans="1:9" x14ac:dyDescent="0.25">
      <c r="A130" s="14">
        <v>16</v>
      </c>
      <c r="B130" s="14" t="str">
        <f>IFERROR(INDEX(DB_Loans!$A:$A,SMALL(IF((DB_Loans!$P$2:$P$5001=SelectedYear)+(SelectedYear="All Years"),ROW(DB_Loans!$A$2:$A$5001)),16))&amp;"","")</f>
        <v/>
      </c>
      <c r="C130" s="14" t="str">
        <f>IFERROR(INDEX(DB_Loans!$B:$B,SMALL(IF((DB_Loans!$P$2:$P$5001=SelectedYear)+(SelectedYear="All Years"),ROW(DB_Loans!$B$2:$B$5001)),16))&amp;"","")</f>
        <v/>
      </c>
      <c r="D130" s="14" t="str">
        <f>IFERROR(INDEX(DB_Loans!$C:$C,SMALL(IF((DB_Loans!$P$2:$P$5001=SelectedYear)+(SelectedYear="All Years"),ROW(DB_Loans!$C$2:$C$5001)),16))&amp;"","")</f>
        <v/>
      </c>
      <c r="E130" s="14" t="str">
        <f>IFERROR(INDEX(DB_Loans!$D:$D,SMALL(IF((DB_Loans!$P$2:$P$5001=SelectedYear)+(SelectedYear="All Years"),ROW(DB_Loans!$D$2:$D$5001)),16))&amp;"","")</f>
        <v/>
      </c>
      <c r="F130" s="14" t="str">
        <f>IFERROR(INDEX(DB_Loans!$E:$E,SMALL(IF((DB_Loans!$P$2:$P$5001=SelectedYear)+(SelectedYear="All Years"),ROW(DB_Loans!$E$2:$E$5001)),16)),"")</f>
        <v/>
      </c>
      <c r="G130" s="14" t="str">
        <f>IFERROR(INDEX(DB_Loans!$H:$H,SMALL(IF((DB_Loans!$P$2:$P$5001=SelectedYear)+(SelectedYear="All Years"),ROW(DB_Loans!$H$2:$H$5001)),16)),"")</f>
        <v/>
      </c>
      <c r="H130" s="14" t="str">
        <f>IFERROR(INDEX(DB_Loans!$I:$I,SMALL(IF((DB_Loans!$P$2:$P$5001=SelectedYear)+(SelectedYear="All Years"),ROW(DB_Loans!$I$2:$I$5001)),16)),"")</f>
        <v/>
      </c>
      <c r="I130" s="14" t="str">
        <f t="shared" si="4"/>
        <v/>
      </c>
    </row>
    <row r="131" spans="1:9" x14ac:dyDescent="0.25">
      <c r="A131" s="14">
        <v>17</v>
      </c>
      <c r="B131" s="14" t="str">
        <f>IFERROR(INDEX(DB_Loans!$A:$A,SMALL(IF((DB_Loans!$P$2:$P$5001=SelectedYear)+(SelectedYear="All Years"),ROW(DB_Loans!$A$2:$A$5001)),17))&amp;"","")</f>
        <v/>
      </c>
      <c r="C131" s="14" t="str">
        <f>IFERROR(INDEX(DB_Loans!$B:$B,SMALL(IF((DB_Loans!$P$2:$P$5001=SelectedYear)+(SelectedYear="All Years"),ROW(DB_Loans!$B$2:$B$5001)),17))&amp;"","")</f>
        <v/>
      </c>
      <c r="D131" s="14" t="str">
        <f>IFERROR(INDEX(DB_Loans!$C:$C,SMALL(IF((DB_Loans!$P$2:$P$5001=SelectedYear)+(SelectedYear="All Years"),ROW(DB_Loans!$C$2:$C$5001)),17))&amp;"","")</f>
        <v/>
      </c>
      <c r="E131" s="14" t="str">
        <f>IFERROR(INDEX(DB_Loans!$D:$D,SMALL(IF((DB_Loans!$P$2:$P$5001=SelectedYear)+(SelectedYear="All Years"),ROW(DB_Loans!$D$2:$D$5001)),17))&amp;"","")</f>
        <v/>
      </c>
      <c r="F131" s="14" t="str">
        <f>IFERROR(INDEX(DB_Loans!$E:$E,SMALL(IF((DB_Loans!$P$2:$P$5001=SelectedYear)+(SelectedYear="All Years"),ROW(DB_Loans!$E$2:$E$5001)),17)),"")</f>
        <v/>
      </c>
      <c r="G131" s="14" t="str">
        <f>IFERROR(INDEX(DB_Loans!$H:$H,SMALL(IF((DB_Loans!$P$2:$P$5001=SelectedYear)+(SelectedYear="All Years"),ROW(DB_Loans!$H$2:$H$5001)),17)),"")</f>
        <v/>
      </c>
      <c r="H131" s="14" t="str">
        <f>IFERROR(INDEX(DB_Loans!$I:$I,SMALL(IF((DB_Loans!$P$2:$P$5001=SelectedYear)+(SelectedYear="All Years"),ROW(DB_Loans!$I$2:$I$5001)),17)),"")</f>
        <v/>
      </c>
      <c r="I131" s="14" t="str">
        <f t="shared" si="4"/>
        <v/>
      </c>
    </row>
    <row r="132" spans="1:9" x14ac:dyDescent="0.25">
      <c r="A132" s="14">
        <v>18</v>
      </c>
      <c r="B132" s="14" t="str">
        <f>IFERROR(INDEX(DB_Loans!$A:$A,SMALL(IF((DB_Loans!$P$2:$P$5001=SelectedYear)+(SelectedYear="All Years"),ROW(DB_Loans!$A$2:$A$5001)),18))&amp;"","")</f>
        <v/>
      </c>
      <c r="C132" s="14" t="str">
        <f>IFERROR(INDEX(DB_Loans!$B:$B,SMALL(IF((DB_Loans!$P$2:$P$5001=SelectedYear)+(SelectedYear="All Years"),ROW(DB_Loans!$B$2:$B$5001)),18))&amp;"","")</f>
        <v/>
      </c>
      <c r="D132" s="14" t="str">
        <f>IFERROR(INDEX(DB_Loans!$C:$C,SMALL(IF((DB_Loans!$P$2:$P$5001=SelectedYear)+(SelectedYear="All Years"),ROW(DB_Loans!$C$2:$C$5001)),18))&amp;"","")</f>
        <v/>
      </c>
      <c r="E132" s="14" t="str">
        <f>IFERROR(INDEX(DB_Loans!$D:$D,SMALL(IF((DB_Loans!$P$2:$P$5001=SelectedYear)+(SelectedYear="All Years"),ROW(DB_Loans!$D$2:$D$5001)),18))&amp;"","")</f>
        <v/>
      </c>
      <c r="F132" s="14" t="str">
        <f>IFERROR(INDEX(DB_Loans!$E:$E,SMALL(IF((DB_Loans!$P$2:$P$5001=SelectedYear)+(SelectedYear="All Years"),ROW(DB_Loans!$E$2:$E$5001)),18)),"")</f>
        <v/>
      </c>
      <c r="G132" s="14" t="str">
        <f>IFERROR(INDEX(DB_Loans!$H:$H,SMALL(IF((DB_Loans!$P$2:$P$5001=SelectedYear)+(SelectedYear="All Years"),ROW(DB_Loans!$H$2:$H$5001)),18)),"")</f>
        <v/>
      </c>
      <c r="H132" s="14" t="str">
        <f>IFERROR(INDEX(DB_Loans!$I:$I,SMALL(IF((DB_Loans!$P$2:$P$5001=SelectedYear)+(SelectedYear="All Years"),ROW(DB_Loans!$I$2:$I$5001)),18)),"")</f>
        <v/>
      </c>
      <c r="I132" s="14" t="str">
        <f t="shared" si="4"/>
        <v/>
      </c>
    </row>
    <row r="133" spans="1:9" x14ac:dyDescent="0.25">
      <c r="A133" s="14">
        <v>19</v>
      </c>
      <c r="B133" s="14" t="str">
        <f>IFERROR(INDEX(DB_Loans!$A:$A,SMALL(IF((DB_Loans!$P$2:$P$5001=SelectedYear)+(SelectedYear="All Years"),ROW(DB_Loans!$A$2:$A$5001)),19))&amp;"","")</f>
        <v/>
      </c>
      <c r="C133" s="14" t="str">
        <f>IFERROR(INDEX(DB_Loans!$B:$B,SMALL(IF((DB_Loans!$P$2:$P$5001=SelectedYear)+(SelectedYear="All Years"),ROW(DB_Loans!$B$2:$B$5001)),19))&amp;"","")</f>
        <v/>
      </c>
      <c r="D133" s="14" t="str">
        <f>IFERROR(INDEX(DB_Loans!$C:$C,SMALL(IF((DB_Loans!$P$2:$P$5001=SelectedYear)+(SelectedYear="All Years"),ROW(DB_Loans!$C$2:$C$5001)),19))&amp;"","")</f>
        <v/>
      </c>
      <c r="E133" s="14" t="str">
        <f>IFERROR(INDEX(DB_Loans!$D:$D,SMALL(IF((DB_Loans!$P$2:$P$5001=SelectedYear)+(SelectedYear="All Years"),ROW(DB_Loans!$D$2:$D$5001)),19))&amp;"","")</f>
        <v/>
      </c>
      <c r="F133" s="14" t="str">
        <f>IFERROR(INDEX(DB_Loans!$E:$E,SMALL(IF((DB_Loans!$P$2:$P$5001=SelectedYear)+(SelectedYear="All Years"),ROW(DB_Loans!$E$2:$E$5001)),19)),"")</f>
        <v/>
      </c>
      <c r="G133" s="14" t="str">
        <f>IFERROR(INDEX(DB_Loans!$H:$H,SMALL(IF((DB_Loans!$P$2:$P$5001=SelectedYear)+(SelectedYear="All Years"),ROW(DB_Loans!$H$2:$H$5001)),19)),"")</f>
        <v/>
      </c>
      <c r="H133" s="14" t="str">
        <f>IFERROR(INDEX(DB_Loans!$I:$I,SMALL(IF((DB_Loans!$P$2:$P$5001=SelectedYear)+(SelectedYear="All Years"),ROW(DB_Loans!$I$2:$I$5001)),19)),"")</f>
        <v/>
      </c>
      <c r="I133" s="14" t="str">
        <f t="shared" si="4"/>
        <v/>
      </c>
    </row>
    <row r="134" spans="1:9" x14ac:dyDescent="0.25">
      <c r="A134" s="14">
        <v>20</v>
      </c>
      <c r="B134" s="14" t="str">
        <f>IFERROR(INDEX(DB_Loans!$A:$A,SMALL(IF((DB_Loans!$P$2:$P$5001=SelectedYear)+(SelectedYear="All Years"),ROW(DB_Loans!$A$2:$A$5001)),20))&amp;"","")</f>
        <v/>
      </c>
      <c r="C134" s="14" t="str">
        <f>IFERROR(INDEX(DB_Loans!$B:$B,SMALL(IF((DB_Loans!$P$2:$P$5001=SelectedYear)+(SelectedYear="All Years"),ROW(DB_Loans!$B$2:$B$5001)),20))&amp;"","")</f>
        <v/>
      </c>
      <c r="D134" s="14" t="str">
        <f>IFERROR(INDEX(DB_Loans!$C:$C,SMALL(IF((DB_Loans!$P$2:$P$5001=SelectedYear)+(SelectedYear="All Years"),ROW(DB_Loans!$C$2:$C$5001)),20))&amp;"","")</f>
        <v/>
      </c>
      <c r="E134" s="14" t="str">
        <f>IFERROR(INDEX(DB_Loans!$D:$D,SMALL(IF((DB_Loans!$P$2:$P$5001=SelectedYear)+(SelectedYear="All Years"),ROW(DB_Loans!$D$2:$D$5001)),20))&amp;"","")</f>
        <v/>
      </c>
      <c r="F134" s="14" t="str">
        <f>IFERROR(INDEX(DB_Loans!$E:$E,SMALL(IF((DB_Loans!$P$2:$P$5001=SelectedYear)+(SelectedYear="All Years"),ROW(DB_Loans!$E$2:$E$5001)),20)),"")</f>
        <v/>
      </c>
      <c r="G134" s="14" t="str">
        <f>IFERROR(INDEX(DB_Loans!$H:$H,SMALL(IF((DB_Loans!$P$2:$P$5001=SelectedYear)+(SelectedYear="All Years"),ROW(DB_Loans!$H$2:$H$5001)),20)),"")</f>
        <v/>
      </c>
      <c r="H134" s="14" t="str">
        <f>IFERROR(INDEX(DB_Loans!$I:$I,SMALL(IF((DB_Loans!$P$2:$P$5001=SelectedYear)+(SelectedYear="All Years"),ROW(DB_Loans!$I$2:$I$5001)),20)),"")</f>
        <v/>
      </c>
      <c r="I134" s="14" t="str">
        <f t="shared" si="4"/>
        <v/>
      </c>
    </row>
    <row r="135" spans="1:9" x14ac:dyDescent="0.25">
      <c r="A135" s="14">
        <v>21</v>
      </c>
      <c r="B135" s="14" t="str">
        <f>IFERROR(INDEX(DB_Loans!$A:$A,SMALL(IF((DB_Loans!$P$2:$P$5001=SelectedYear)+(SelectedYear="All Years"),ROW(DB_Loans!$A$2:$A$5001)),21))&amp;"","")</f>
        <v/>
      </c>
      <c r="C135" s="14" t="str">
        <f>IFERROR(INDEX(DB_Loans!$B:$B,SMALL(IF((DB_Loans!$P$2:$P$5001=SelectedYear)+(SelectedYear="All Years"),ROW(DB_Loans!$B$2:$B$5001)),21))&amp;"","")</f>
        <v/>
      </c>
      <c r="D135" s="14" t="str">
        <f>IFERROR(INDEX(DB_Loans!$C:$C,SMALL(IF((DB_Loans!$P$2:$P$5001=SelectedYear)+(SelectedYear="All Years"),ROW(DB_Loans!$C$2:$C$5001)),21))&amp;"","")</f>
        <v/>
      </c>
      <c r="E135" s="14" t="str">
        <f>IFERROR(INDEX(DB_Loans!$D:$D,SMALL(IF((DB_Loans!$P$2:$P$5001=SelectedYear)+(SelectedYear="All Years"),ROW(DB_Loans!$D$2:$D$5001)),21))&amp;"","")</f>
        <v/>
      </c>
      <c r="F135" s="14" t="str">
        <f>IFERROR(INDEX(DB_Loans!$E:$E,SMALL(IF((DB_Loans!$P$2:$P$5001=SelectedYear)+(SelectedYear="All Years"),ROW(DB_Loans!$E$2:$E$5001)),21)),"")</f>
        <v/>
      </c>
      <c r="G135" s="14" t="str">
        <f>IFERROR(INDEX(DB_Loans!$H:$H,SMALL(IF((DB_Loans!$P$2:$P$5001=SelectedYear)+(SelectedYear="All Years"),ROW(DB_Loans!$H$2:$H$5001)),21)),"")</f>
        <v/>
      </c>
      <c r="H135" s="14" t="str">
        <f>IFERROR(INDEX(DB_Loans!$I:$I,SMALL(IF((DB_Loans!$P$2:$P$5001=SelectedYear)+(SelectedYear="All Years"),ROW(DB_Loans!$I$2:$I$5001)),21)),"")</f>
        <v/>
      </c>
      <c r="I135" s="14" t="str">
        <f t="shared" si="4"/>
        <v/>
      </c>
    </row>
    <row r="136" spans="1:9" x14ac:dyDescent="0.25">
      <c r="A136" s="14">
        <v>22</v>
      </c>
      <c r="B136" s="14" t="str">
        <f>IFERROR(INDEX(DB_Loans!$A:$A,SMALL(IF((DB_Loans!$P$2:$P$5001=SelectedYear)+(SelectedYear="All Years"),ROW(DB_Loans!$A$2:$A$5001)),22))&amp;"","")</f>
        <v/>
      </c>
      <c r="C136" s="14" t="str">
        <f>IFERROR(INDEX(DB_Loans!$B:$B,SMALL(IF((DB_Loans!$P$2:$P$5001=SelectedYear)+(SelectedYear="All Years"),ROW(DB_Loans!$B$2:$B$5001)),22))&amp;"","")</f>
        <v/>
      </c>
      <c r="D136" s="14" t="str">
        <f>IFERROR(INDEX(DB_Loans!$C:$C,SMALL(IF((DB_Loans!$P$2:$P$5001=SelectedYear)+(SelectedYear="All Years"),ROW(DB_Loans!$C$2:$C$5001)),22))&amp;"","")</f>
        <v/>
      </c>
      <c r="E136" s="14" t="str">
        <f>IFERROR(INDEX(DB_Loans!$D:$D,SMALL(IF((DB_Loans!$P$2:$P$5001=SelectedYear)+(SelectedYear="All Years"),ROW(DB_Loans!$D$2:$D$5001)),22))&amp;"","")</f>
        <v/>
      </c>
      <c r="F136" s="14" t="str">
        <f>IFERROR(INDEX(DB_Loans!$E:$E,SMALL(IF((DB_Loans!$P$2:$P$5001=SelectedYear)+(SelectedYear="All Years"),ROW(DB_Loans!$E$2:$E$5001)),22)),"")</f>
        <v/>
      </c>
      <c r="G136" s="14" t="str">
        <f>IFERROR(INDEX(DB_Loans!$H:$H,SMALL(IF((DB_Loans!$P$2:$P$5001=SelectedYear)+(SelectedYear="All Years"),ROW(DB_Loans!$H$2:$H$5001)),22)),"")</f>
        <v/>
      </c>
      <c r="H136" s="14" t="str">
        <f>IFERROR(INDEX(DB_Loans!$I:$I,SMALL(IF((DB_Loans!$P$2:$P$5001=SelectedYear)+(SelectedYear="All Years"),ROW(DB_Loans!$I$2:$I$5001)),22)),"")</f>
        <v/>
      </c>
      <c r="I136" s="14" t="str">
        <f t="shared" si="4"/>
        <v/>
      </c>
    </row>
    <row r="137" spans="1:9" x14ac:dyDescent="0.25">
      <c r="A137" s="14">
        <v>23</v>
      </c>
      <c r="B137" s="14" t="str">
        <f>IFERROR(INDEX(DB_Loans!$A:$A,SMALL(IF((DB_Loans!$P$2:$P$5001=SelectedYear)+(SelectedYear="All Years"),ROW(DB_Loans!$A$2:$A$5001)),23))&amp;"","")</f>
        <v/>
      </c>
      <c r="C137" s="14" t="str">
        <f>IFERROR(INDEX(DB_Loans!$B:$B,SMALL(IF((DB_Loans!$P$2:$P$5001=SelectedYear)+(SelectedYear="All Years"),ROW(DB_Loans!$B$2:$B$5001)),23))&amp;"","")</f>
        <v/>
      </c>
      <c r="D137" s="14" t="str">
        <f>IFERROR(INDEX(DB_Loans!$C:$C,SMALL(IF((DB_Loans!$P$2:$P$5001=SelectedYear)+(SelectedYear="All Years"),ROW(DB_Loans!$C$2:$C$5001)),23))&amp;"","")</f>
        <v/>
      </c>
      <c r="E137" s="14" t="str">
        <f>IFERROR(INDEX(DB_Loans!$D:$D,SMALL(IF((DB_Loans!$P$2:$P$5001=SelectedYear)+(SelectedYear="All Years"),ROW(DB_Loans!$D$2:$D$5001)),23))&amp;"","")</f>
        <v/>
      </c>
      <c r="F137" s="14" t="str">
        <f>IFERROR(INDEX(DB_Loans!$E:$E,SMALL(IF((DB_Loans!$P$2:$P$5001=SelectedYear)+(SelectedYear="All Years"),ROW(DB_Loans!$E$2:$E$5001)),23)),"")</f>
        <v/>
      </c>
      <c r="G137" s="14" t="str">
        <f>IFERROR(INDEX(DB_Loans!$H:$H,SMALL(IF((DB_Loans!$P$2:$P$5001=SelectedYear)+(SelectedYear="All Years"),ROW(DB_Loans!$H$2:$H$5001)),23)),"")</f>
        <v/>
      </c>
      <c r="H137" s="14" t="str">
        <f>IFERROR(INDEX(DB_Loans!$I:$I,SMALL(IF((DB_Loans!$P$2:$P$5001=SelectedYear)+(SelectedYear="All Years"),ROW(DB_Loans!$I$2:$I$5001)),23)),"")</f>
        <v/>
      </c>
      <c r="I137" s="14" t="str">
        <f t="shared" si="4"/>
        <v/>
      </c>
    </row>
    <row r="138" spans="1:9" x14ac:dyDescent="0.25">
      <c r="A138" s="14">
        <v>24</v>
      </c>
      <c r="B138" s="14" t="str">
        <f>IFERROR(INDEX(DB_Loans!$A:$A,SMALL(IF((DB_Loans!$P$2:$P$5001=SelectedYear)+(SelectedYear="All Years"),ROW(DB_Loans!$A$2:$A$5001)),24))&amp;"","")</f>
        <v/>
      </c>
      <c r="C138" s="14" t="str">
        <f>IFERROR(INDEX(DB_Loans!$B:$B,SMALL(IF((DB_Loans!$P$2:$P$5001=SelectedYear)+(SelectedYear="All Years"),ROW(DB_Loans!$B$2:$B$5001)),24))&amp;"","")</f>
        <v/>
      </c>
      <c r="D138" s="14" t="str">
        <f>IFERROR(INDEX(DB_Loans!$C:$C,SMALL(IF((DB_Loans!$P$2:$P$5001=SelectedYear)+(SelectedYear="All Years"),ROW(DB_Loans!$C$2:$C$5001)),24))&amp;"","")</f>
        <v/>
      </c>
      <c r="E138" s="14" t="str">
        <f>IFERROR(INDEX(DB_Loans!$D:$D,SMALL(IF((DB_Loans!$P$2:$P$5001=SelectedYear)+(SelectedYear="All Years"),ROW(DB_Loans!$D$2:$D$5001)),24))&amp;"","")</f>
        <v/>
      </c>
      <c r="F138" s="14" t="str">
        <f>IFERROR(INDEX(DB_Loans!$E:$E,SMALL(IF((DB_Loans!$P$2:$P$5001=SelectedYear)+(SelectedYear="All Years"),ROW(DB_Loans!$E$2:$E$5001)),24)),"")</f>
        <v/>
      </c>
      <c r="G138" s="14" t="str">
        <f>IFERROR(INDEX(DB_Loans!$H:$H,SMALL(IF((DB_Loans!$P$2:$P$5001=SelectedYear)+(SelectedYear="All Years"),ROW(DB_Loans!$H$2:$H$5001)),24)),"")</f>
        <v/>
      </c>
      <c r="H138" s="14" t="str">
        <f>IFERROR(INDEX(DB_Loans!$I:$I,SMALL(IF((DB_Loans!$P$2:$P$5001=SelectedYear)+(SelectedYear="All Years"),ROW(DB_Loans!$I$2:$I$5001)),24)),"")</f>
        <v/>
      </c>
      <c r="I138" s="14" t="str">
        <f t="shared" si="4"/>
        <v/>
      </c>
    </row>
    <row r="139" spans="1:9" x14ac:dyDescent="0.25">
      <c r="A139" s="14">
        <v>25</v>
      </c>
      <c r="B139" s="14" t="str">
        <f>IFERROR(INDEX(DB_Loans!$A:$A,SMALL(IF((DB_Loans!$P$2:$P$5001=SelectedYear)+(SelectedYear="All Years"),ROW(DB_Loans!$A$2:$A$5001)),25))&amp;"","")</f>
        <v/>
      </c>
      <c r="C139" s="14" t="str">
        <f>IFERROR(INDEX(DB_Loans!$B:$B,SMALL(IF((DB_Loans!$P$2:$P$5001=SelectedYear)+(SelectedYear="All Years"),ROW(DB_Loans!$B$2:$B$5001)),25))&amp;"","")</f>
        <v/>
      </c>
      <c r="D139" s="14" t="str">
        <f>IFERROR(INDEX(DB_Loans!$C:$C,SMALL(IF((DB_Loans!$P$2:$P$5001=SelectedYear)+(SelectedYear="All Years"),ROW(DB_Loans!$C$2:$C$5001)),25))&amp;"","")</f>
        <v/>
      </c>
      <c r="E139" s="14" t="str">
        <f>IFERROR(INDEX(DB_Loans!$D:$D,SMALL(IF((DB_Loans!$P$2:$P$5001=SelectedYear)+(SelectedYear="All Years"),ROW(DB_Loans!$D$2:$D$5001)),25))&amp;"","")</f>
        <v/>
      </c>
      <c r="F139" s="14" t="str">
        <f>IFERROR(INDEX(DB_Loans!$E:$E,SMALL(IF((DB_Loans!$P$2:$P$5001=SelectedYear)+(SelectedYear="All Years"),ROW(DB_Loans!$E$2:$E$5001)),25)),"")</f>
        <v/>
      </c>
      <c r="G139" s="14" t="str">
        <f>IFERROR(INDEX(DB_Loans!$H:$H,SMALL(IF((DB_Loans!$P$2:$P$5001=SelectedYear)+(SelectedYear="All Years"),ROW(DB_Loans!$H$2:$H$5001)),25)),"")</f>
        <v/>
      </c>
      <c r="H139" s="14" t="str">
        <f>IFERROR(INDEX(DB_Loans!$I:$I,SMALL(IF((DB_Loans!$P$2:$P$5001=SelectedYear)+(SelectedYear="All Years"),ROW(DB_Loans!$I$2:$I$5001)),25)),"")</f>
        <v/>
      </c>
      <c r="I139" s="14" t="str">
        <f t="shared" si="4"/>
        <v/>
      </c>
    </row>
    <row r="140" spans="1:9" x14ac:dyDescent="0.25">
      <c r="A140" s="14">
        <v>26</v>
      </c>
      <c r="B140" s="14" t="str">
        <f>IFERROR(INDEX(DB_Loans!$A:$A,SMALL(IF((DB_Loans!$P$2:$P$5001=SelectedYear)+(SelectedYear="All Years"),ROW(DB_Loans!$A$2:$A$5001)),26))&amp;"","")</f>
        <v/>
      </c>
      <c r="C140" s="14" t="str">
        <f>IFERROR(INDEX(DB_Loans!$B:$B,SMALL(IF((DB_Loans!$P$2:$P$5001=SelectedYear)+(SelectedYear="All Years"),ROW(DB_Loans!$B$2:$B$5001)),26))&amp;"","")</f>
        <v/>
      </c>
      <c r="D140" s="14" t="str">
        <f>IFERROR(INDEX(DB_Loans!$C:$C,SMALL(IF((DB_Loans!$P$2:$P$5001=SelectedYear)+(SelectedYear="All Years"),ROW(DB_Loans!$C$2:$C$5001)),26))&amp;"","")</f>
        <v/>
      </c>
      <c r="E140" s="14" t="str">
        <f>IFERROR(INDEX(DB_Loans!$D:$D,SMALL(IF((DB_Loans!$P$2:$P$5001=SelectedYear)+(SelectedYear="All Years"),ROW(DB_Loans!$D$2:$D$5001)),26))&amp;"","")</f>
        <v/>
      </c>
      <c r="F140" s="14" t="str">
        <f>IFERROR(INDEX(DB_Loans!$E:$E,SMALL(IF((DB_Loans!$P$2:$P$5001=SelectedYear)+(SelectedYear="All Years"),ROW(DB_Loans!$E$2:$E$5001)),26)),"")</f>
        <v/>
      </c>
      <c r="G140" s="14" t="str">
        <f>IFERROR(INDEX(DB_Loans!$H:$H,SMALL(IF((DB_Loans!$P$2:$P$5001=SelectedYear)+(SelectedYear="All Years"),ROW(DB_Loans!$H$2:$H$5001)),26)),"")</f>
        <v/>
      </c>
      <c r="H140" s="14" t="str">
        <f>IFERROR(INDEX(DB_Loans!$I:$I,SMALL(IF((DB_Loans!$P$2:$P$5001=SelectedYear)+(SelectedYear="All Years"),ROW(DB_Loans!$I$2:$I$5001)),26)),"")</f>
        <v/>
      </c>
      <c r="I140" s="14" t="str">
        <f t="shared" si="4"/>
        <v/>
      </c>
    </row>
    <row r="141" spans="1:9" x14ac:dyDescent="0.25">
      <c r="A141" s="14">
        <v>27</v>
      </c>
      <c r="B141" s="14" t="str">
        <f>IFERROR(INDEX(DB_Loans!$A:$A,SMALL(IF((DB_Loans!$P$2:$P$5001=SelectedYear)+(SelectedYear="All Years"),ROW(DB_Loans!$A$2:$A$5001)),27))&amp;"","")</f>
        <v/>
      </c>
      <c r="C141" s="14" t="str">
        <f>IFERROR(INDEX(DB_Loans!$B:$B,SMALL(IF((DB_Loans!$P$2:$P$5001=SelectedYear)+(SelectedYear="All Years"),ROW(DB_Loans!$B$2:$B$5001)),27))&amp;"","")</f>
        <v/>
      </c>
      <c r="D141" s="14" t="str">
        <f>IFERROR(INDEX(DB_Loans!$C:$C,SMALL(IF((DB_Loans!$P$2:$P$5001=SelectedYear)+(SelectedYear="All Years"),ROW(DB_Loans!$C$2:$C$5001)),27))&amp;"","")</f>
        <v/>
      </c>
      <c r="E141" s="14" t="str">
        <f>IFERROR(INDEX(DB_Loans!$D:$D,SMALL(IF((DB_Loans!$P$2:$P$5001=SelectedYear)+(SelectedYear="All Years"),ROW(DB_Loans!$D$2:$D$5001)),27))&amp;"","")</f>
        <v/>
      </c>
      <c r="F141" s="14" t="str">
        <f>IFERROR(INDEX(DB_Loans!$E:$E,SMALL(IF((DB_Loans!$P$2:$P$5001=SelectedYear)+(SelectedYear="All Years"),ROW(DB_Loans!$E$2:$E$5001)),27)),"")</f>
        <v/>
      </c>
      <c r="G141" s="14" t="str">
        <f>IFERROR(INDEX(DB_Loans!$H:$H,SMALL(IF((DB_Loans!$P$2:$P$5001=SelectedYear)+(SelectedYear="All Years"),ROW(DB_Loans!$H$2:$H$5001)),27)),"")</f>
        <v/>
      </c>
      <c r="H141" s="14" t="str">
        <f>IFERROR(INDEX(DB_Loans!$I:$I,SMALL(IF((DB_Loans!$P$2:$P$5001=SelectedYear)+(SelectedYear="All Years"),ROW(DB_Loans!$I$2:$I$5001)),27)),"")</f>
        <v/>
      </c>
      <c r="I141" s="14" t="str">
        <f t="shared" si="4"/>
        <v/>
      </c>
    </row>
    <row r="142" spans="1:9" x14ac:dyDescent="0.25">
      <c r="A142" s="14">
        <v>28</v>
      </c>
      <c r="B142" s="14" t="str">
        <f>IFERROR(INDEX(DB_Loans!$A:$A,SMALL(IF((DB_Loans!$P$2:$P$5001=SelectedYear)+(SelectedYear="All Years"),ROW(DB_Loans!$A$2:$A$5001)),28))&amp;"","")</f>
        <v/>
      </c>
      <c r="C142" s="14" t="str">
        <f>IFERROR(INDEX(DB_Loans!$B:$B,SMALL(IF((DB_Loans!$P$2:$P$5001=SelectedYear)+(SelectedYear="All Years"),ROW(DB_Loans!$B$2:$B$5001)),28))&amp;"","")</f>
        <v/>
      </c>
      <c r="D142" s="14" t="str">
        <f>IFERROR(INDEX(DB_Loans!$C:$C,SMALL(IF((DB_Loans!$P$2:$P$5001=SelectedYear)+(SelectedYear="All Years"),ROW(DB_Loans!$C$2:$C$5001)),28))&amp;"","")</f>
        <v/>
      </c>
      <c r="E142" s="14" t="str">
        <f>IFERROR(INDEX(DB_Loans!$D:$D,SMALL(IF((DB_Loans!$P$2:$P$5001=SelectedYear)+(SelectedYear="All Years"),ROW(DB_Loans!$D$2:$D$5001)),28))&amp;"","")</f>
        <v/>
      </c>
      <c r="F142" s="14" t="str">
        <f>IFERROR(INDEX(DB_Loans!$E:$E,SMALL(IF((DB_Loans!$P$2:$P$5001=SelectedYear)+(SelectedYear="All Years"),ROW(DB_Loans!$E$2:$E$5001)),28)),"")</f>
        <v/>
      </c>
      <c r="G142" s="14" t="str">
        <f>IFERROR(INDEX(DB_Loans!$H:$H,SMALL(IF((DB_Loans!$P$2:$P$5001=SelectedYear)+(SelectedYear="All Years"),ROW(DB_Loans!$H$2:$H$5001)),28)),"")</f>
        <v/>
      </c>
      <c r="H142" s="14" t="str">
        <f>IFERROR(INDEX(DB_Loans!$I:$I,SMALL(IF((DB_Loans!$P$2:$P$5001=SelectedYear)+(SelectedYear="All Years"),ROW(DB_Loans!$I$2:$I$5001)),28)),"")</f>
        <v/>
      </c>
      <c r="I142" s="14" t="str">
        <f t="shared" si="4"/>
        <v/>
      </c>
    </row>
    <row r="143" spans="1:9" x14ac:dyDescent="0.25">
      <c r="A143" s="14">
        <v>29</v>
      </c>
      <c r="B143" s="14" t="str">
        <f>IFERROR(INDEX(DB_Loans!$A:$A,SMALL(IF((DB_Loans!$P$2:$P$5001=SelectedYear)+(SelectedYear="All Years"),ROW(DB_Loans!$A$2:$A$5001)),29))&amp;"","")</f>
        <v/>
      </c>
      <c r="C143" s="14" t="str">
        <f>IFERROR(INDEX(DB_Loans!$B:$B,SMALL(IF((DB_Loans!$P$2:$P$5001=SelectedYear)+(SelectedYear="All Years"),ROW(DB_Loans!$B$2:$B$5001)),29))&amp;"","")</f>
        <v/>
      </c>
      <c r="D143" s="14" t="str">
        <f>IFERROR(INDEX(DB_Loans!$C:$C,SMALL(IF((DB_Loans!$P$2:$P$5001=SelectedYear)+(SelectedYear="All Years"),ROW(DB_Loans!$C$2:$C$5001)),29))&amp;"","")</f>
        <v/>
      </c>
      <c r="E143" s="14" t="str">
        <f>IFERROR(INDEX(DB_Loans!$D:$D,SMALL(IF((DB_Loans!$P$2:$P$5001=SelectedYear)+(SelectedYear="All Years"),ROW(DB_Loans!$D$2:$D$5001)),29))&amp;"","")</f>
        <v/>
      </c>
      <c r="F143" s="14" t="str">
        <f>IFERROR(INDEX(DB_Loans!$E:$E,SMALL(IF((DB_Loans!$P$2:$P$5001=SelectedYear)+(SelectedYear="All Years"),ROW(DB_Loans!$E$2:$E$5001)),29)),"")</f>
        <v/>
      </c>
      <c r="G143" s="14" t="str">
        <f>IFERROR(INDEX(DB_Loans!$H:$H,SMALL(IF((DB_Loans!$P$2:$P$5001=SelectedYear)+(SelectedYear="All Years"),ROW(DB_Loans!$H$2:$H$5001)),29)),"")</f>
        <v/>
      </c>
      <c r="H143" s="14" t="str">
        <f>IFERROR(INDEX(DB_Loans!$I:$I,SMALL(IF((DB_Loans!$P$2:$P$5001=SelectedYear)+(SelectedYear="All Years"),ROW(DB_Loans!$I$2:$I$5001)),29)),"")</f>
        <v/>
      </c>
      <c r="I143" s="14" t="str">
        <f t="shared" si="4"/>
        <v/>
      </c>
    </row>
    <row r="144" spans="1:9" x14ac:dyDescent="0.25">
      <c r="A144" s="14">
        <v>30</v>
      </c>
      <c r="B144" s="14" t="str">
        <f>IFERROR(INDEX(DB_Loans!$A:$A,SMALL(IF((DB_Loans!$P$2:$P$5001=SelectedYear)+(SelectedYear="All Years"),ROW(DB_Loans!$A$2:$A$5001)),30))&amp;"","")</f>
        <v/>
      </c>
      <c r="C144" s="14" t="str">
        <f>IFERROR(INDEX(DB_Loans!$B:$B,SMALL(IF((DB_Loans!$P$2:$P$5001=SelectedYear)+(SelectedYear="All Years"),ROW(DB_Loans!$B$2:$B$5001)),30))&amp;"","")</f>
        <v/>
      </c>
      <c r="D144" s="14" t="str">
        <f>IFERROR(INDEX(DB_Loans!$C:$C,SMALL(IF((DB_Loans!$P$2:$P$5001=SelectedYear)+(SelectedYear="All Years"),ROW(DB_Loans!$C$2:$C$5001)),30))&amp;"","")</f>
        <v/>
      </c>
      <c r="E144" s="14" t="str">
        <f>IFERROR(INDEX(DB_Loans!$D:$D,SMALL(IF((DB_Loans!$P$2:$P$5001=SelectedYear)+(SelectedYear="All Years"),ROW(DB_Loans!$D$2:$D$5001)),30))&amp;"","")</f>
        <v/>
      </c>
      <c r="F144" s="14" t="str">
        <f>IFERROR(INDEX(DB_Loans!$E:$E,SMALL(IF((DB_Loans!$P$2:$P$5001=SelectedYear)+(SelectedYear="All Years"),ROW(DB_Loans!$E$2:$E$5001)),30)),"")</f>
        <v/>
      </c>
      <c r="G144" s="14" t="str">
        <f>IFERROR(INDEX(DB_Loans!$H:$H,SMALL(IF((DB_Loans!$P$2:$P$5001=SelectedYear)+(SelectedYear="All Years"),ROW(DB_Loans!$H$2:$H$5001)),30)),"")</f>
        <v/>
      </c>
      <c r="H144" s="14" t="str">
        <f>IFERROR(INDEX(DB_Loans!$I:$I,SMALL(IF((DB_Loans!$P$2:$P$5001=SelectedYear)+(SelectedYear="All Years"),ROW(DB_Loans!$I$2:$I$5001)),30)),"")</f>
        <v/>
      </c>
      <c r="I144" s="14" t="str">
        <f t="shared" si="4"/>
        <v/>
      </c>
    </row>
    <row r="145" spans="1:9" x14ac:dyDescent="0.25">
      <c r="A145" s="14">
        <v>31</v>
      </c>
      <c r="B145" s="14" t="str">
        <f>IFERROR(INDEX(DB_Loans!$A:$A,SMALL(IF((DB_Loans!$P$2:$P$5001=SelectedYear)+(SelectedYear="All Years"),ROW(DB_Loans!$A$2:$A$5001)),31))&amp;"","")</f>
        <v/>
      </c>
      <c r="C145" s="14" t="str">
        <f>IFERROR(INDEX(DB_Loans!$B:$B,SMALL(IF((DB_Loans!$P$2:$P$5001=SelectedYear)+(SelectedYear="All Years"),ROW(DB_Loans!$B$2:$B$5001)),31))&amp;"","")</f>
        <v/>
      </c>
      <c r="D145" s="14" t="str">
        <f>IFERROR(INDEX(DB_Loans!$C:$C,SMALL(IF((DB_Loans!$P$2:$P$5001=SelectedYear)+(SelectedYear="All Years"),ROW(DB_Loans!$C$2:$C$5001)),31))&amp;"","")</f>
        <v/>
      </c>
      <c r="E145" s="14" t="str">
        <f>IFERROR(INDEX(DB_Loans!$D:$D,SMALL(IF((DB_Loans!$P$2:$P$5001=SelectedYear)+(SelectedYear="All Years"),ROW(DB_Loans!$D$2:$D$5001)),31))&amp;"","")</f>
        <v/>
      </c>
      <c r="F145" s="14" t="str">
        <f>IFERROR(INDEX(DB_Loans!$E:$E,SMALL(IF((DB_Loans!$P$2:$P$5001=SelectedYear)+(SelectedYear="All Years"),ROW(DB_Loans!$E$2:$E$5001)),31)),"")</f>
        <v/>
      </c>
      <c r="G145" s="14" t="str">
        <f>IFERROR(INDEX(DB_Loans!$H:$H,SMALL(IF((DB_Loans!$P$2:$P$5001=SelectedYear)+(SelectedYear="All Years"),ROW(DB_Loans!$H$2:$H$5001)),31)),"")</f>
        <v/>
      </c>
      <c r="H145" s="14" t="str">
        <f>IFERROR(INDEX(DB_Loans!$I:$I,SMALL(IF((DB_Loans!$P$2:$P$5001=SelectedYear)+(SelectedYear="All Years"),ROW(DB_Loans!$I$2:$I$5001)),31)),"")</f>
        <v/>
      </c>
      <c r="I145" s="14" t="str">
        <f t="shared" si="4"/>
        <v/>
      </c>
    </row>
    <row r="146" spans="1:9" x14ac:dyDescent="0.25">
      <c r="A146" s="14">
        <v>32</v>
      </c>
      <c r="B146" s="14" t="str">
        <f>IFERROR(INDEX(DB_Loans!$A:$A,SMALL(IF((DB_Loans!$P$2:$P$5001=SelectedYear)+(SelectedYear="All Years"),ROW(DB_Loans!$A$2:$A$5001)),32))&amp;"","")</f>
        <v/>
      </c>
      <c r="C146" s="14" t="str">
        <f>IFERROR(INDEX(DB_Loans!$B:$B,SMALL(IF((DB_Loans!$P$2:$P$5001=SelectedYear)+(SelectedYear="All Years"),ROW(DB_Loans!$B$2:$B$5001)),32))&amp;"","")</f>
        <v/>
      </c>
      <c r="D146" s="14" t="str">
        <f>IFERROR(INDEX(DB_Loans!$C:$C,SMALL(IF((DB_Loans!$P$2:$P$5001=SelectedYear)+(SelectedYear="All Years"),ROW(DB_Loans!$C$2:$C$5001)),32))&amp;"","")</f>
        <v/>
      </c>
      <c r="E146" s="14" t="str">
        <f>IFERROR(INDEX(DB_Loans!$D:$D,SMALL(IF((DB_Loans!$P$2:$P$5001=SelectedYear)+(SelectedYear="All Years"),ROW(DB_Loans!$D$2:$D$5001)),32))&amp;"","")</f>
        <v/>
      </c>
      <c r="F146" s="14" t="str">
        <f>IFERROR(INDEX(DB_Loans!$E:$E,SMALL(IF((DB_Loans!$P$2:$P$5001=SelectedYear)+(SelectedYear="All Years"),ROW(DB_Loans!$E$2:$E$5001)),32)),"")</f>
        <v/>
      </c>
      <c r="G146" s="14" t="str">
        <f>IFERROR(INDEX(DB_Loans!$H:$H,SMALL(IF((DB_Loans!$P$2:$P$5001=SelectedYear)+(SelectedYear="All Years"),ROW(DB_Loans!$H$2:$H$5001)),32)),"")</f>
        <v/>
      </c>
      <c r="H146" s="14" t="str">
        <f>IFERROR(INDEX(DB_Loans!$I:$I,SMALL(IF((DB_Loans!$P$2:$P$5001=SelectedYear)+(SelectedYear="All Years"),ROW(DB_Loans!$I$2:$I$5001)),32)),"")</f>
        <v/>
      </c>
      <c r="I146" s="14" t="str">
        <f t="shared" si="4"/>
        <v/>
      </c>
    </row>
    <row r="147" spans="1:9" x14ac:dyDescent="0.25">
      <c r="A147" s="14">
        <v>33</v>
      </c>
      <c r="B147" s="14" t="str">
        <f>IFERROR(INDEX(DB_Loans!$A:$A,SMALL(IF((DB_Loans!$P$2:$P$5001=SelectedYear)+(SelectedYear="All Years"),ROW(DB_Loans!$A$2:$A$5001)),33))&amp;"","")</f>
        <v/>
      </c>
      <c r="C147" s="14" t="str">
        <f>IFERROR(INDEX(DB_Loans!$B:$B,SMALL(IF((DB_Loans!$P$2:$P$5001=SelectedYear)+(SelectedYear="All Years"),ROW(DB_Loans!$B$2:$B$5001)),33))&amp;"","")</f>
        <v/>
      </c>
      <c r="D147" s="14" t="str">
        <f>IFERROR(INDEX(DB_Loans!$C:$C,SMALL(IF((DB_Loans!$P$2:$P$5001=SelectedYear)+(SelectedYear="All Years"),ROW(DB_Loans!$C$2:$C$5001)),33))&amp;"","")</f>
        <v/>
      </c>
      <c r="E147" s="14" t="str">
        <f>IFERROR(INDEX(DB_Loans!$D:$D,SMALL(IF((DB_Loans!$P$2:$P$5001=SelectedYear)+(SelectedYear="All Years"),ROW(DB_Loans!$D$2:$D$5001)),33))&amp;"","")</f>
        <v/>
      </c>
      <c r="F147" s="14" t="str">
        <f>IFERROR(INDEX(DB_Loans!$E:$E,SMALL(IF((DB_Loans!$P$2:$P$5001=SelectedYear)+(SelectedYear="All Years"),ROW(DB_Loans!$E$2:$E$5001)),33)),"")</f>
        <v/>
      </c>
      <c r="G147" s="14" t="str">
        <f>IFERROR(INDEX(DB_Loans!$H:$H,SMALL(IF((DB_Loans!$P$2:$P$5001=SelectedYear)+(SelectedYear="All Years"),ROW(DB_Loans!$H$2:$H$5001)),33)),"")</f>
        <v/>
      </c>
      <c r="H147" s="14" t="str">
        <f>IFERROR(INDEX(DB_Loans!$I:$I,SMALL(IF((DB_Loans!$P$2:$P$5001=SelectedYear)+(SelectedYear="All Years"),ROW(DB_Loans!$I$2:$I$5001)),33)),"")</f>
        <v/>
      </c>
      <c r="I147" s="14" t="str">
        <f t="shared" ref="I147:I164" si="5">IF(E147="","",IFERROR(YEAR(E147),""))</f>
        <v/>
      </c>
    </row>
    <row r="148" spans="1:9" x14ac:dyDescent="0.25">
      <c r="A148" s="14">
        <v>34</v>
      </c>
      <c r="B148" s="14" t="str">
        <f>IFERROR(INDEX(DB_Loans!$A:$A,SMALL(IF((DB_Loans!$P$2:$P$5001=SelectedYear)+(SelectedYear="All Years"),ROW(DB_Loans!$A$2:$A$5001)),34))&amp;"","")</f>
        <v/>
      </c>
      <c r="C148" s="14" t="str">
        <f>IFERROR(INDEX(DB_Loans!$B:$B,SMALL(IF((DB_Loans!$P$2:$P$5001=SelectedYear)+(SelectedYear="All Years"),ROW(DB_Loans!$B$2:$B$5001)),34))&amp;"","")</f>
        <v/>
      </c>
      <c r="D148" s="14" t="str">
        <f>IFERROR(INDEX(DB_Loans!$C:$C,SMALL(IF((DB_Loans!$P$2:$P$5001=SelectedYear)+(SelectedYear="All Years"),ROW(DB_Loans!$C$2:$C$5001)),34))&amp;"","")</f>
        <v/>
      </c>
      <c r="E148" s="14" t="str">
        <f>IFERROR(INDEX(DB_Loans!$D:$D,SMALL(IF((DB_Loans!$P$2:$P$5001=SelectedYear)+(SelectedYear="All Years"),ROW(DB_Loans!$D$2:$D$5001)),34))&amp;"","")</f>
        <v/>
      </c>
      <c r="F148" s="14" t="str">
        <f>IFERROR(INDEX(DB_Loans!$E:$E,SMALL(IF((DB_Loans!$P$2:$P$5001=SelectedYear)+(SelectedYear="All Years"),ROW(DB_Loans!$E$2:$E$5001)),34)),"")</f>
        <v/>
      </c>
      <c r="G148" s="14" t="str">
        <f>IFERROR(INDEX(DB_Loans!$H:$H,SMALL(IF((DB_Loans!$P$2:$P$5001=SelectedYear)+(SelectedYear="All Years"),ROW(DB_Loans!$H$2:$H$5001)),34)),"")</f>
        <v/>
      </c>
      <c r="H148" s="14" t="str">
        <f>IFERROR(INDEX(DB_Loans!$I:$I,SMALL(IF((DB_Loans!$P$2:$P$5001=SelectedYear)+(SelectedYear="All Years"),ROW(DB_Loans!$I$2:$I$5001)),34)),"")</f>
        <v/>
      </c>
      <c r="I148" s="14" t="str">
        <f t="shared" si="5"/>
        <v/>
      </c>
    </row>
    <row r="149" spans="1:9" x14ac:dyDescent="0.25">
      <c r="A149" s="14">
        <v>35</v>
      </c>
      <c r="B149" s="14" t="str">
        <f>IFERROR(INDEX(DB_Loans!$A:$A,SMALL(IF((DB_Loans!$P$2:$P$5001=SelectedYear)+(SelectedYear="All Years"),ROW(DB_Loans!$A$2:$A$5001)),35))&amp;"","")</f>
        <v/>
      </c>
      <c r="C149" s="14" t="str">
        <f>IFERROR(INDEX(DB_Loans!$B:$B,SMALL(IF((DB_Loans!$P$2:$P$5001=SelectedYear)+(SelectedYear="All Years"),ROW(DB_Loans!$B$2:$B$5001)),35))&amp;"","")</f>
        <v/>
      </c>
      <c r="D149" s="14" t="str">
        <f>IFERROR(INDEX(DB_Loans!$C:$C,SMALL(IF((DB_Loans!$P$2:$P$5001=SelectedYear)+(SelectedYear="All Years"),ROW(DB_Loans!$C$2:$C$5001)),35))&amp;"","")</f>
        <v/>
      </c>
      <c r="E149" s="14" t="str">
        <f>IFERROR(INDEX(DB_Loans!$D:$D,SMALL(IF((DB_Loans!$P$2:$P$5001=SelectedYear)+(SelectedYear="All Years"),ROW(DB_Loans!$D$2:$D$5001)),35))&amp;"","")</f>
        <v/>
      </c>
      <c r="F149" s="14" t="str">
        <f>IFERROR(INDEX(DB_Loans!$E:$E,SMALL(IF((DB_Loans!$P$2:$P$5001=SelectedYear)+(SelectedYear="All Years"),ROW(DB_Loans!$E$2:$E$5001)),35)),"")</f>
        <v/>
      </c>
      <c r="G149" s="14" t="str">
        <f>IFERROR(INDEX(DB_Loans!$H:$H,SMALL(IF((DB_Loans!$P$2:$P$5001=SelectedYear)+(SelectedYear="All Years"),ROW(DB_Loans!$H$2:$H$5001)),35)),"")</f>
        <v/>
      </c>
      <c r="H149" s="14" t="str">
        <f>IFERROR(INDEX(DB_Loans!$I:$I,SMALL(IF((DB_Loans!$P$2:$P$5001=SelectedYear)+(SelectedYear="All Years"),ROW(DB_Loans!$I$2:$I$5001)),35)),"")</f>
        <v/>
      </c>
      <c r="I149" s="14" t="str">
        <f t="shared" si="5"/>
        <v/>
      </c>
    </row>
    <row r="150" spans="1:9" x14ac:dyDescent="0.25">
      <c r="A150" s="14">
        <v>36</v>
      </c>
      <c r="B150" s="14" t="str">
        <f>IFERROR(INDEX(DB_Loans!$A:$A,SMALL(IF((DB_Loans!$P$2:$P$5001=SelectedYear)+(SelectedYear="All Years"),ROW(DB_Loans!$A$2:$A$5001)),36))&amp;"","")</f>
        <v/>
      </c>
      <c r="C150" s="14" t="str">
        <f>IFERROR(INDEX(DB_Loans!$B:$B,SMALL(IF((DB_Loans!$P$2:$P$5001=SelectedYear)+(SelectedYear="All Years"),ROW(DB_Loans!$B$2:$B$5001)),36))&amp;"","")</f>
        <v/>
      </c>
      <c r="D150" s="14" t="str">
        <f>IFERROR(INDEX(DB_Loans!$C:$C,SMALL(IF((DB_Loans!$P$2:$P$5001=SelectedYear)+(SelectedYear="All Years"),ROW(DB_Loans!$C$2:$C$5001)),36))&amp;"","")</f>
        <v/>
      </c>
      <c r="E150" s="14" t="str">
        <f>IFERROR(INDEX(DB_Loans!$D:$D,SMALL(IF((DB_Loans!$P$2:$P$5001=SelectedYear)+(SelectedYear="All Years"),ROW(DB_Loans!$D$2:$D$5001)),36))&amp;"","")</f>
        <v/>
      </c>
      <c r="F150" s="14" t="str">
        <f>IFERROR(INDEX(DB_Loans!$E:$E,SMALL(IF((DB_Loans!$P$2:$P$5001=SelectedYear)+(SelectedYear="All Years"),ROW(DB_Loans!$E$2:$E$5001)),36)),"")</f>
        <v/>
      </c>
      <c r="G150" s="14" t="str">
        <f>IFERROR(INDEX(DB_Loans!$H:$H,SMALL(IF((DB_Loans!$P$2:$P$5001=SelectedYear)+(SelectedYear="All Years"),ROW(DB_Loans!$H$2:$H$5001)),36)),"")</f>
        <v/>
      </c>
      <c r="H150" s="14" t="str">
        <f>IFERROR(INDEX(DB_Loans!$I:$I,SMALL(IF((DB_Loans!$P$2:$P$5001=SelectedYear)+(SelectedYear="All Years"),ROW(DB_Loans!$I$2:$I$5001)),36)),"")</f>
        <v/>
      </c>
      <c r="I150" s="14" t="str">
        <f t="shared" si="5"/>
        <v/>
      </c>
    </row>
    <row r="151" spans="1:9" x14ac:dyDescent="0.25">
      <c r="A151" s="14">
        <v>37</v>
      </c>
      <c r="B151" s="14" t="str">
        <f>IFERROR(INDEX(DB_Loans!$A:$A,SMALL(IF((DB_Loans!$P$2:$P$5001=SelectedYear)+(SelectedYear="All Years"),ROW(DB_Loans!$A$2:$A$5001)),37))&amp;"","")</f>
        <v/>
      </c>
      <c r="C151" s="14" t="str">
        <f>IFERROR(INDEX(DB_Loans!$B:$B,SMALL(IF((DB_Loans!$P$2:$P$5001=SelectedYear)+(SelectedYear="All Years"),ROW(DB_Loans!$B$2:$B$5001)),37))&amp;"","")</f>
        <v/>
      </c>
      <c r="D151" s="14" t="str">
        <f>IFERROR(INDEX(DB_Loans!$C:$C,SMALL(IF((DB_Loans!$P$2:$P$5001=SelectedYear)+(SelectedYear="All Years"),ROW(DB_Loans!$C$2:$C$5001)),37))&amp;"","")</f>
        <v/>
      </c>
      <c r="E151" s="14" t="str">
        <f>IFERROR(INDEX(DB_Loans!$D:$D,SMALL(IF((DB_Loans!$P$2:$P$5001=SelectedYear)+(SelectedYear="All Years"),ROW(DB_Loans!$D$2:$D$5001)),37))&amp;"","")</f>
        <v/>
      </c>
      <c r="F151" s="14" t="str">
        <f>IFERROR(INDEX(DB_Loans!$E:$E,SMALL(IF((DB_Loans!$P$2:$P$5001=SelectedYear)+(SelectedYear="All Years"),ROW(DB_Loans!$E$2:$E$5001)),37)),"")</f>
        <v/>
      </c>
      <c r="G151" s="14" t="str">
        <f>IFERROR(INDEX(DB_Loans!$H:$H,SMALL(IF((DB_Loans!$P$2:$P$5001=SelectedYear)+(SelectedYear="All Years"),ROW(DB_Loans!$H$2:$H$5001)),37)),"")</f>
        <v/>
      </c>
      <c r="H151" s="14" t="str">
        <f>IFERROR(INDEX(DB_Loans!$I:$I,SMALL(IF((DB_Loans!$P$2:$P$5001=SelectedYear)+(SelectedYear="All Years"),ROW(DB_Loans!$I$2:$I$5001)),37)),"")</f>
        <v/>
      </c>
      <c r="I151" s="14" t="str">
        <f t="shared" si="5"/>
        <v/>
      </c>
    </row>
    <row r="152" spans="1:9" x14ac:dyDescent="0.25">
      <c r="A152" s="14">
        <v>38</v>
      </c>
      <c r="B152" s="14" t="str">
        <f>IFERROR(INDEX(DB_Loans!$A:$A,SMALL(IF((DB_Loans!$P$2:$P$5001=SelectedYear)+(SelectedYear="All Years"),ROW(DB_Loans!$A$2:$A$5001)),38))&amp;"","")</f>
        <v/>
      </c>
      <c r="C152" s="14" t="str">
        <f>IFERROR(INDEX(DB_Loans!$B:$B,SMALL(IF((DB_Loans!$P$2:$P$5001=SelectedYear)+(SelectedYear="All Years"),ROW(DB_Loans!$B$2:$B$5001)),38))&amp;"","")</f>
        <v/>
      </c>
      <c r="D152" s="14" t="str">
        <f>IFERROR(INDEX(DB_Loans!$C:$C,SMALL(IF((DB_Loans!$P$2:$P$5001=SelectedYear)+(SelectedYear="All Years"),ROW(DB_Loans!$C$2:$C$5001)),38))&amp;"","")</f>
        <v/>
      </c>
      <c r="E152" s="14" t="str">
        <f>IFERROR(INDEX(DB_Loans!$D:$D,SMALL(IF((DB_Loans!$P$2:$P$5001=SelectedYear)+(SelectedYear="All Years"),ROW(DB_Loans!$D$2:$D$5001)),38))&amp;"","")</f>
        <v/>
      </c>
      <c r="F152" s="14" t="str">
        <f>IFERROR(INDEX(DB_Loans!$E:$E,SMALL(IF((DB_Loans!$P$2:$P$5001=SelectedYear)+(SelectedYear="All Years"),ROW(DB_Loans!$E$2:$E$5001)),38)),"")</f>
        <v/>
      </c>
      <c r="G152" s="14" t="str">
        <f>IFERROR(INDEX(DB_Loans!$H:$H,SMALL(IF((DB_Loans!$P$2:$P$5001=SelectedYear)+(SelectedYear="All Years"),ROW(DB_Loans!$H$2:$H$5001)),38)),"")</f>
        <v/>
      </c>
      <c r="H152" s="14" t="str">
        <f>IFERROR(INDEX(DB_Loans!$I:$I,SMALL(IF((DB_Loans!$P$2:$P$5001=SelectedYear)+(SelectedYear="All Years"),ROW(DB_Loans!$I$2:$I$5001)),38)),"")</f>
        <v/>
      </c>
      <c r="I152" s="14" t="str">
        <f t="shared" si="5"/>
        <v/>
      </c>
    </row>
    <row r="153" spans="1:9" x14ac:dyDescent="0.25">
      <c r="A153" s="14">
        <v>39</v>
      </c>
      <c r="B153" s="14" t="str">
        <f>IFERROR(INDEX(DB_Loans!$A:$A,SMALL(IF((DB_Loans!$P$2:$P$5001=SelectedYear)+(SelectedYear="All Years"),ROW(DB_Loans!$A$2:$A$5001)),39))&amp;"","")</f>
        <v/>
      </c>
      <c r="C153" s="14" t="str">
        <f>IFERROR(INDEX(DB_Loans!$B:$B,SMALL(IF((DB_Loans!$P$2:$P$5001=SelectedYear)+(SelectedYear="All Years"),ROW(DB_Loans!$B$2:$B$5001)),39))&amp;"","")</f>
        <v/>
      </c>
      <c r="D153" s="14" t="str">
        <f>IFERROR(INDEX(DB_Loans!$C:$C,SMALL(IF((DB_Loans!$P$2:$P$5001=SelectedYear)+(SelectedYear="All Years"),ROW(DB_Loans!$C$2:$C$5001)),39))&amp;"","")</f>
        <v/>
      </c>
      <c r="E153" s="14" t="str">
        <f>IFERROR(INDEX(DB_Loans!$D:$D,SMALL(IF((DB_Loans!$P$2:$P$5001=SelectedYear)+(SelectedYear="All Years"),ROW(DB_Loans!$D$2:$D$5001)),39))&amp;"","")</f>
        <v/>
      </c>
      <c r="F153" s="14" t="str">
        <f>IFERROR(INDEX(DB_Loans!$E:$E,SMALL(IF((DB_Loans!$P$2:$P$5001=SelectedYear)+(SelectedYear="All Years"),ROW(DB_Loans!$E$2:$E$5001)),39)),"")</f>
        <v/>
      </c>
      <c r="G153" s="14" t="str">
        <f>IFERROR(INDEX(DB_Loans!$H:$H,SMALL(IF((DB_Loans!$P$2:$P$5001=SelectedYear)+(SelectedYear="All Years"),ROW(DB_Loans!$H$2:$H$5001)),39)),"")</f>
        <v/>
      </c>
      <c r="H153" s="14" t="str">
        <f>IFERROR(INDEX(DB_Loans!$I:$I,SMALL(IF((DB_Loans!$P$2:$P$5001=SelectedYear)+(SelectedYear="All Years"),ROW(DB_Loans!$I$2:$I$5001)),39)),"")</f>
        <v/>
      </c>
      <c r="I153" s="14" t="str">
        <f t="shared" si="5"/>
        <v/>
      </c>
    </row>
    <row r="154" spans="1:9" x14ac:dyDescent="0.25">
      <c r="A154" s="14">
        <v>40</v>
      </c>
      <c r="B154" s="14" t="str">
        <f>IFERROR(INDEX(DB_Loans!$A:$A,SMALL(IF((DB_Loans!$P$2:$P$5001=SelectedYear)+(SelectedYear="All Years"),ROW(DB_Loans!$A$2:$A$5001)),40))&amp;"","")</f>
        <v/>
      </c>
      <c r="C154" s="14" t="str">
        <f>IFERROR(INDEX(DB_Loans!$B:$B,SMALL(IF((DB_Loans!$P$2:$P$5001=SelectedYear)+(SelectedYear="All Years"),ROW(DB_Loans!$B$2:$B$5001)),40))&amp;"","")</f>
        <v/>
      </c>
      <c r="D154" s="14" t="str">
        <f>IFERROR(INDEX(DB_Loans!$C:$C,SMALL(IF((DB_Loans!$P$2:$P$5001=SelectedYear)+(SelectedYear="All Years"),ROW(DB_Loans!$C$2:$C$5001)),40))&amp;"","")</f>
        <v/>
      </c>
      <c r="E154" s="14" t="str">
        <f>IFERROR(INDEX(DB_Loans!$D:$D,SMALL(IF((DB_Loans!$P$2:$P$5001=SelectedYear)+(SelectedYear="All Years"),ROW(DB_Loans!$D$2:$D$5001)),40))&amp;"","")</f>
        <v/>
      </c>
      <c r="F154" s="14" t="str">
        <f>IFERROR(INDEX(DB_Loans!$E:$E,SMALL(IF((DB_Loans!$P$2:$P$5001=SelectedYear)+(SelectedYear="All Years"),ROW(DB_Loans!$E$2:$E$5001)),40)),"")</f>
        <v/>
      </c>
      <c r="G154" s="14" t="str">
        <f>IFERROR(INDEX(DB_Loans!$H:$H,SMALL(IF((DB_Loans!$P$2:$P$5001=SelectedYear)+(SelectedYear="All Years"),ROW(DB_Loans!$H$2:$H$5001)),40)),"")</f>
        <v/>
      </c>
      <c r="H154" s="14" t="str">
        <f>IFERROR(INDEX(DB_Loans!$I:$I,SMALL(IF((DB_Loans!$P$2:$P$5001=SelectedYear)+(SelectedYear="All Years"),ROW(DB_Loans!$I$2:$I$5001)),40)),"")</f>
        <v/>
      </c>
      <c r="I154" s="14" t="str">
        <f t="shared" si="5"/>
        <v/>
      </c>
    </row>
    <row r="155" spans="1:9" x14ac:dyDescent="0.25">
      <c r="A155" s="14">
        <v>41</v>
      </c>
      <c r="B155" s="14" t="str">
        <f>IFERROR(INDEX(DB_Loans!$A:$A,SMALL(IF((DB_Loans!$P$2:$P$5001=SelectedYear)+(SelectedYear="All Years"),ROW(DB_Loans!$A$2:$A$5001)),41))&amp;"","")</f>
        <v/>
      </c>
      <c r="C155" s="14" t="str">
        <f>IFERROR(INDEX(DB_Loans!$B:$B,SMALL(IF((DB_Loans!$P$2:$P$5001=SelectedYear)+(SelectedYear="All Years"),ROW(DB_Loans!$B$2:$B$5001)),41))&amp;"","")</f>
        <v/>
      </c>
      <c r="D155" s="14" t="str">
        <f>IFERROR(INDEX(DB_Loans!$C:$C,SMALL(IF((DB_Loans!$P$2:$P$5001=SelectedYear)+(SelectedYear="All Years"),ROW(DB_Loans!$C$2:$C$5001)),41))&amp;"","")</f>
        <v/>
      </c>
      <c r="E155" s="14" t="str">
        <f>IFERROR(INDEX(DB_Loans!$D:$D,SMALL(IF((DB_Loans!$P$2:$P$5001=SelectedYear)+(SelectedYear="All Years"),ROW(DB_Loans!$D$2:$D$5001)),41))&amp;"","")</f>
        <v/>
      </c>
      <c r="F155" s="14" t="str">
        <f>IFERROR(INDEX(DB_Loans!$E:$E,SMALL(IF((DB_Loans!$P$2:$P$5001=SelectedYear)+(SelectedYear="All Years"),ROW(DB_Loans!$E$2:$E$5001)),41)),"")</f>
        <v/>
      </c>
      <c r="G155" s="14" t="str">
        <f>IFERROR(INDEX(DB_Loans!$H:$H,SMALL(IF((DB_Loans!$P$2:$P$5001=SelectedYear)+(SelectedYear="All Years"),ROW(DB_Loans!$H$2:$H$5001)),41)),"")</f>
        <v/>
      </c>
      <c r="H155" s="14" t="str">
        <f>IFERROR(INDEX(DB_Loans!$I:$I,SMALL(IF((DB_Loans!$P$2:$P$5001=SelectedYear)+(SelectedYear="All Years"),ROW(DB_Loans!$I$2:$I$5001)),41)),"")</f>
        <v/>
      </c>
      <c r="I155" s="14" t="str">
        <f t="shared" si="5"/>
        <v/>
      </c>
    </row>
    <row r="156" spans="1:9" x14ac:dyDescent="0.25">
      <c r="A156" s="14">
        <v>42</v>
      </c>
      <c r="B156" s="14" t="str">
        <f>IFERROR(INDEX(DB_Loans!$A:$A,SMALL(IF((DB_Loans!$P$2:$P$5001=SelectedYear)+(SelectedYear="All Years"),ROW(DB_Loans!$A$2:$A$5001)),42))&amp;"","")</f>
        <v/>
      </c>
      <c r="C156" s="14" t="str">
        <f>IFERROR(INDEX(DB_Loans!$B:$B,SMALL(IF((DB_Loans!$P$2:$P$5001=SelectedYear)+(SelectedYear="All Years"),ROW(DB_Loans!$B$2:$B$5001)),42))&amp;"","")</f>
        <v/>
      </c>
      <c r="D156" s="14" t="str">
        <f>IFERROR(INDEX(DB_Loans!$C:$C,SMALL(IF((DB_Loans!$P$2:$P$5001=SelectedYear)+(SelectedYear="All Years"),ROW(DB_Loans!$C$2:$C$5001)),42))&amp;"","")</f>
        <v/>
      </c>
      <c r="E156" s="14" t="str">
        <f>IFERROR(INDEX(DB_Loans!$D:$D,SMALL(IF((DB_Loans!$P$2:$P$5001=SelectedYear)+(SelectedYear="All Years"),ROW(DB_Loans!$D$2:$D$5001)),42))&amp;"","")</f>
        <v/>
      </c>
      <c r="F156" s="14" t="str">
        <f>IFERROR(INDEX(DB_Loans!$E:$E,SMALL(IF((DB_Loans!$P$2:$P$5001=SelectedYear)+(SelectedYear="All Years"),ROW(DB_Loans!$E$2:$E$5001)),42)),"")</f>
        <v/>
      </c>
      <c r="G156" s="14" t="str">
        <f>IFERROR(INDEX(DB_Loans!$H:$H,SMALL(IF((DB_Loans!$P$2:$P$5001=SelectedYear)+(SelectedYear="All Years"),ROW(DB_Loans!$H$2:$H$5001)),42)),"")</f>
        <v/>
      </c>
      <c r="H156" s="14" t="str">
        <f>IFERROR(INDEX(DB_Loans!$I:$I,SMALL(IF((DB_Loans!$P$2:$P$5001=SelectedYear)+(SelectedYear="All Years"),ROW(DB_Loans!$I$2:$I$5001)),42)),"")</f>
        <v/>
      </c>
      <c r="I156" s="14" t="str">
        <f t="shared" si="5"/>
        <v/>
      </c>
    </row>
    <row r="157" spans="1:9" x14ac:dyDescent="0.25">
      <c r="A157" s="14">
        <v>43</v>
      </c>
      <c r="B157" s="14" t="str">
        <f>IFERROR(INDEX(DB_Loans!$A:$A,SMALL(IF((DB_Loans!$P$2:$P$5001=SelectedYear)+(SelectedYear="All Years"),ROW(DB_Loans!$A$2:$A$5001)),43))&amp;"","")</f>
        <v/>
      </c>
      <c r="C157" s="14" t="str">
        <f>IFERROR(INDEX(DB_Loans!$B:$B,SMALL(IF((DB_Loans!$P$2:$P$5001=SelectedYear)+(SelectedYear="All Years"),ROW(DB_Loans!$B$2:$B$5001)),43))&amp;"","")</f>
        <v/>
      </c>
      <c r="D157" s="14" t="str">
        <f>IFERROR(INDEX(DB_Loans!$C:$C,SMALL(IF((DB_Loans!$P$2:$P$5001=SelectedYear)+(SelectedYear="All Years"),ROW(DB_Loans!$C$2:$C$5001)),43))&amp;"","")</f>
        <v/>
      </c>
      <c r="E157" s="14" t="str">
        <f>IFERROR(INDEX(DB_Loans!$D:$D,SMALL(IF((DB_Loans!$P$2:$P$5001=SelectedYear)+(SelectedYear="All Years"),ROW(DB_Loans!$D$2:$D$5001)),43))&amp;"","")</f>
        <v/>
      </c>
      <c r="F157" s="14" t="str">
        <f>IFERROR(INDEX(DB_Loans!$E:$E,SMALL(IF((DB_Loans!$P$2:$P$5001=SelectedYear)+(SelectedYear="All Years"),ROW(DB_Loans!$E$2:$E$5001)),43)),"")</f>
        <v/>
      </c>
      <c r="G157" s="14" t="str">
        <f>IFERROR(INDEX(DB_Loans!$H:$H,SMALL(IF((DB_Loans!$P$2:$P$5001=SelectedYear)+(SelectedYear="All Years"),ROW(DB_Loans!$H$2:$H$5001)),43)),"")</f>
        <v/>
      </c>
      <c r="H157" s="14" t="str">
        <f>IFERROR(INDEX(DB_Loans!$I:$I,SMALL(IF((DB_Loans!$P$2:$P$5001=SelectedYear)+(SelectedYear="All Years"),ROW(DB_Loans!$I$2:$I$5001)),43)),"")</f>
        <v/>
      </c>
      <c r="I157" s="14" t="str">
        <f t="shared" si="5"/>
        <v/>
      </c>
    </row>
    <row r="158" spans="1:9" x14ac:dyDescent="0.25">
      <c r="A158" s="14">
        <v>44</v>
      </c>
      <c r="B158" s="14" t="str">
        <f>IFERROR(INDEX(DB_Loans!$A:$A,SMALL(IF((DB_Loans!$P$2:$P$5001=SelectedYear)+(SelectedYear="All Years"),ROW(DB_Loans!$A$2:$A$5001)),44))&amp;"","")</f>
        <v/>
      </c>
      <c r="C158" s="14" t="str">
        <f>IFERROR(INDEX(DB_Loans!$B:$B,SMALL(IF((DB_Loans!$P$2:$P$5001=SelectedYear)+(SelectedYear="All Years"),ROW(DB_Loans!$B$2:$B$5001)),44))&amp;"","")</f>
        <v/>
      </c>
      <c r="D158" s="14" t="str">
        <f>IFERROR(INDEX(DB_Loans!$C:$C,SMALL(IF((DB_Loans!$P$2:$P$5001=SelectedYear)+(SelectedYear="All Years"),ROW(DB_Loans!$C$2:$C$5001)),44))&amp;"","")</f>
        <v/>
      </c>
      <c r="E158" s="14" t="str">
        <f>IFERROR(INDEX(DB_Loans!$D:$D,SMALL(IF((DB_Loans!$P$2:$P$5001=SelectedYear)+(SelectedYear="All Years"),ROW(DB_Loans!$D$2:$D$5001)),44))&amp;"","")</f>
        <v/>
      </c>
      <c r="F158" s="14" t="str">
        <f>IFERROR(INDEX(DB_Loans!$E:$E,SMALL(IF((DB_Loans!$P$2:$P$5001=SelectedYear)+(SelectedYear="All Years"),ROW(DB_Loans!$E$2:$E$5001)),44)),"")</f>
        <v/>
      </c>
      <c r="G158" s="14" t="str">
        <f>IFERROR(INDEX(DB_Loans!$H:$H,SMALL(IF((DB_Loans!$P$2:$P$5001=SelectedYear)+(SelectedYear="All Years"),ROW(DB_Loans!$H$2:$H$5001)),44)),"")</f>
        <v/>
      </c>
      <c r="H158" s="14" t="str">
        <f>IFERROR(INDEX(DB_Loans!$I:$I,SMALL(IF((DB_Loans!$P$2:$P$5001=SelectedYear)+(SelectedYear="All Years"),ROW(DB_Loans!$I$2:$I$5001)),44)),"")</f>
        <v/>
      </c>
      <c r="I158" s="14" t="str">
        <f t="shared" si="5"/>
        <v/>
      </c>
    </row>
    <row r="159" spans="1:9" x14ac:dyDescent="0.25">
      <c r="A159" s="14">
        <v>45</v>
      </c>
      <c r="B159" s="14" t="str">
        <f>IFERROR(INDEX(DB_Loans!$A:$A,SMALL(IF((DB_Loans!$P$2:$P$5001=SelectedYear)+(SelectedYear="All Years"),ROW(DB_Loans!$A$2:$A$5001)),45))&amp;"","")</f>
        <v/>
      </c>
      <c r="C159" s="14" t="str">
        <f>IFERROR(INDEX(DB_Loans!$B:$B,SMALL(IF((DB_Loans!$P$2:$P$5001=SelectedYear)+(SelectedYear="All Years"),ROW(DB_Loans!$B$2:$B$5001)),45))&amp;"","")</f>
        <v/>
      </c>
      <c r="D159" s="14" t="str">
        <f>IFERROR(INDEX(DB_Loans!$C:$C,SMALL(IF((DB_Loans!$P$2:$P$5001=SelectedYear)+(SelectedYear="All Years"),ROW(DB_Loans!$C$2:$C$5001)),45))&amp;"","")</f>
        <v/>
      </c>
      <c r="E159" s="14" t="str">
        <f>IFERROR(INDEX(DB_Loans!$D:$D,SMALL(IF((DB_Loans!$P$2:$P$5001=SelectedYear)+(SelectedYear="All Years"),ROW(DB_Loans!$D$2:$D$5001)),45))&amp;"","")</f>
        <v/>
      </c>
      <c r="F159" s="14" t="str">
        <f>IFERROR(INDEX(DB_Loans!$E:$E,SMALL(IF((DB_Loans!$P$2:$P$5001=SelectedYear)+(SelectedYear="All Years"),ROW(DB_Loans!$E$2:$E$5001)),45)),"")</f>
        <v/>
      </c>
      <c r="G159" s="14" t="str">
        <f>IFERROR(INDEX(DB_Loans!$H:$H,SMALL(IF((DB_Loans!$P$2:$P$5001=SelectedYear)+(SelectedYear="All Years"),ROW(DB_Loans!$H$2:$H$5001)),45)),"")</f>
        <v/>
      </c>
      <c r="H159" s="14" t="str">
        <f>IFERROR(INDEX(DB_Loans!$I:$I,SMALL(IF((DB_Loans!$P$2:$P$5001=SelectedYear)+(SelectedYear="All Years"),ROW(DB_Loans!$I$2:$I$5001)),45)),"")</f>
        <v/>
      </c>
      <c r="I159" s="14" t="str">
        <f t="shared" si="5"/>
        <v/>
      </c>
    </row>
    <row r="160" spans="1:9" x14ac:dyDescent="0.25">
      <c r="A160" s="14">
        <v>46</v>
      </c>
      <c r="B160" s="14" t="str">
        <f>IFERROR(INDEX(DB_Loans!$A:$A,SMALL(IF((DB_Loans!$P$2:$P$5001=SelectedYear)+(SelectedYear="All Years"),ROW(DB_Loans!$A$2:$A$5001)),46))&amp;"","")</f>
        <v/>
      </c>
      <c r="C160" s="14" t="str">
        <f>IFERROR(INDEX(DB_Loans!$B:$B,SMALL(IF((DB_Loans!$P$2:$P$5001=SelectedYear)+(SelectedYear="All Years"),ROW(DB_Loans!$B$2:$B$5001)),46))&amp;"","")</f>
        <v/>
      </c>
      <c r="D160" s="14" t="str">
        <f>IFERROR(INDEX(DB_Loans!$C:$C,SMALL(IF((DB_Loans!$P$2:$P$5001=SelectedYear)+(SelectedYear="All Years"),ROW(DB_Loans!$C$2:$C$5001)),46))&amp;"","")</f>
        <v/>
      </c>
      <c r="E160" s="14" t="str">
        <f>IFERROR(INDEX(DB_Loans!$D:$D,SMALL(IF((DB_Loans!$P$2:$P$5001=SelectedYear)+(SelectedYear="All Years"),ROW(DB_Loans!$D$2:$D$5001)),46))&amp;"","")</f>
        <v/>
      </c>
      <c r="F160" s="14" t="str">
        <f>IFERROR(INDEX(DB_Loans!$E:$E,SMALL(IF((DB_Loans!$P$2:$P$5001=SelectedYear)+(SelectedYear="All Years"),ROW(DB_Loans!$E$2:$E$5001)),46)),"")</f>
        <v/>
      </c>
      <c r="G160" s="14" t="str">
        <f>IFERROR(INDEX(DB_Loans!$H:$H,SMALL(IF((DB_Loans!$P$2:$P$5001=SelectedYear)+(SelectedYear="All Years"),ROW(DB_Loans!$H$2:$H$5001)),46)),"")</f>
        <v/>
      </c>
      <c r="H160" s="14" t="str">
        <f>IFERROR(INDEX(DB_Loans!$I:$I,SMALL(IF((DB_Loans!$P$2:$P$5001=SelectedYear)+(SelectedYear="All Years"),ROW(DB_Loans!$I$2:$I$5001)),46)),"")</f>
        <v/>
      </c>
      <c r="I160" s="14" t="str">
        <f t="shared" si="5"/>
        <v/>
      </c>
    </row>
    <row r="161" spans="1:9" x14ac:dyDescent="0.25">
      <c r="A161" s="14">
        <v>47</v>
      </c>
      <c r="B161" s="14" t="str">
        <f>IFERROR(INDEX(DB_Loans!$A:$A,SMALL(IF((DB_Loans!$P$2:$P$5001=SelectedYear)+(SelectedYear="All Years"),ROW(DB_Loans!$A$2:$A$5001)),47))&amp;"","")</f>
        <v/>
      </c>
      <c r="C161" s="14" t="str">
        <f>IFERROR(INDEX(DB_Loans!$B:$B,SMALL(IF((DB_Loans!$P$2:$P$5001=SelectedYear)+(SelectedYear="All Years"),ROW(DB_Loans!$B$2:$B$5001)),47))&amp;"","")</f>
        <v/>
      </c>
      <c r="D161" s="14" t="str">
        <f>IFERROR(INDEX(DB_Loans!$C:$C,SMALL(IF((DB_Loans!$P$2:$P$5001=SelectedYear)+(SelectedYear="All Years"),ROW(DB_Loans!$C$2:$C$5001)),47))&amp;"","")</f>
        <v/>
      </c>
      <c r="E161" s="14" t="str">
        <f>IFERROR(INDEX(DB_Loans!$D:$D,SMALL(IF((DB_Loans!$P$2:$P$5001=SelectedYear)+(SelectedYear="All Years"),ROW(DB_Loans!$D$2:$D$5001)),47))&amp;"","")</f>
        <v/>
      </c>
      <c r="F161" s="14" t="str">
        <f>IFERROR(INDEX(DB_Loans!$E:$E,SMALL(IF((DB_Loans!$P$2:$P$5001=SelectedYear)+(SelectedYear="All Years"),ROW(DB_Loans!$E$2:$E$5001)),47)),"")</f>
        <v/>
      </c>
      <c r="G161" s="14" t="str">
        <f>IFERROR(INDEX(DB_Loans!$H:$H,SMALL(IF((DB_Loans!$P$2:$P$5001=SelectedYear)+(SelectedYear="All Years"),ROW(DB_Loans!$H$2:$H$5001)),47)),"")</f>
        <v/>
      </c>
      <c r="H161" s="14" t="str">
        <f>IFERROR(INDEX(DB_Loans!$I:$I,SMALL(IF((DB_Loans!$P$2:$P$5001=SelectedYear)+(SelectedYear="All Years"),ROW(DB_Loans!$I$2:$I$5001)),47)),"")</f>
        <v/>
      </c>
      <c r="I161" s="14" t="str">
        <f t="shared" si="5"/>
        <v/>
      </c>
    </row>
    <row r="162" spans="1:9" x14ac:dyDescent="0.25">
      <c r="A162" s="14">
        <v>48</v>
      </c>
      <c r="B162" s="14" t="str">
        <f>IFERROR(INDEX(DB_Loans!$A:$A,SMALL(IF((DB_Loans!$P$2:$P$5001=SelectedYear)+(SelectedYear="All Years"),ROW(DB_Loans!$A$2:$A$5001)),48))&amp;"","")</f>
        <v/>
      </c>
      <c r="C162" s="14" t="str">
        <f>IFERROR(INDEX(DB_Loans!$B:$B,SMALL(IF((DB_Loans!$P$2:$P$5001=SelectedYear)+(SelectedYear="All Years"),ROW(DB_Loans!$B$2:$B$5001)),48))&amp;"","")</f>
        <v/>
      </c>
      <c r="D162" s="14" t="str">
        <f>IFERROR(INDEX(DB_Loans!$C:$C,SMALL(IF((DB_Loans!$P$2:$P$5001=SelectedYear)+(SelectedYear="All Years"),ROW(DB_Loans!$C$2:$C$5001)),48))&amp;"","")</f>
        <v/>
      </c>
      <c r="E162" s="14" t="str">
        <f>IFERROR(INDEX(DB_Loans!$D:$D,SMALL(IF((DB_Loans!$P$2:$P$5001=SelectedYear)+(SelectedYear="All Years"),ROW(DB_Loans!$D$2:$D$5001)),48))&amp;"","")</f>
        <v/>
      </c>
      <c r="F162" s="14" t="str">
        <f>IFERROR(INDEX(DB_Loans!$E:$E,SMALL(IF((DB_Loans!$P$2:$P$5001=SelectedYear)+(SelectedYear="All Years"),ROW(DB_Loans!$E$2:$E$5001)),48)),"")</f>
        <v/>
      </c>
      <c r="G162" s="14" t="str">
        <f>IFERROR(INDEX(DB_Loans!$H:$H,SMALL(IF((DB_Loans!$P$2:$P$5001=SelectedYear)+(SelectedYear="All Years"),ROW(DB_Loans!$H$2:$H$5001)),48)),"")</f>
        <v/>
      </c>
      <c r="H162" s="14" t="str">
        <f>IFERROR(INDEX(DB_Loans!$I:$I,SMALL(IF((DB_Loans!$P$2:$P$5001=SelectedYear)+(SelectedYear="All Years"),ROW(DB_Loans!$I$2:$I$5001)),48)),"")</f>
        <v/>
      </c>
      <c r="I162" s="14" t="str">
        <f t="shared" si="5"/>
        <v/>
      </c>
    </row>
    <row r="163" spans="1:9" x14ac:dyDescent="0.25">
      <c r="A163" s="14">
        <v>49</v>
      </c>
      <c r="B163" s="14" t="str">
        <f>IFERROR(INDEX(DB_Loans!$A:$A,SMALL(IF((DB_Loans!$P$2:$P$5001=SelectedYear)+(SelectedYear="All Years"),ROW(DB_Loans!$A$2:$A$5001)),49))&amp;"","")</f>
        <v/>
      </c>
      <c r="C163" s="14" t="str">
        <f>IFERROR(INDEX(DB_Loans!$B:$B,SMALL(IF((DB_Loans!$P$2:$P$5001=SelectedYear)+(SelectedYear="All Years"),ROW(DB_Loans!$B$2:$B$5001)),49))&amp;"","")</f>
        <v/>
      </c>
      <c r="D163" s="14" t="str">
        <f>IFERROR(INDEX(DB_Loans!$C:$C,SMALL(IF((DB_Loans!$P$2:$P$5001=SelectedYear)+(SelectedYear="All Years"),ROW(DB_Loans!$C$2:$C$5001)),49))&amp;"","")</f>
        <v/>
      </c>
      <c r="E163" s="14" t="str">
        <f>IFERROR(INDEX(DB_Loans!$D:$D,SMALL(IF((DB_Loans!$P$2:$P$5001=SelectedYear)+(SelectedYear="All Years"),ROW(DB_Loans!$D$2:$D$5001)),49))&amp;"","")</f>
        <v/>
      </c>
      <c r="F163" s="14" t="str">
        <f>IFERROR(INDEX(DB_Loans!$E:$E,SMALL(IF((DB_Loans!$P$2:$P$5001=SelectedYear)+(SelectedYear="All Years"),ROW(DB_Loans!$E$2:$E$5001)),49)),"")</f>
        <v/>
      </c>
      <c r="G163" s="14" t="str">
        <f>IFERROR(INDEX(DB_Loans!$H:$H,SMALL(IF((DB_Loans!$P$2:$P$5001=SelectedYear)+(SelectedYear="All Years"),ROW(DB_Loans!$H$2:$H$5001)),49)),"")</f>
        <v/>
      </c>
      <c r="H163" s="14" t="str">
        <f>IFERROR(INDEX(DB_Loans!$I:$I,SMALL(IF((DB_Loans!$P$2:$P$5001=SelectedYear)+(SelectedYear="All Years"),ROW(DB_Loans!$I$2:$I$5001)),49)),"")</f>
        <v/>
      </c>
      <c r="I163" s="14" t="str">
        <f t="shared" si="5"/>
        <v/>
      </c>
    </row>
    <row r="164" spans="1:9" x14ac:dyDescent="0.25">
      <c r="A164" s="14">
        <v>50</v>
      </c>
      <c r="B164" s="14" t="str">
        <f>IFERROR(INDEX(DB_Loans!$A:$A,SMALL(IF((DB_Loans!$P$2:$P$5001=SelectedYear)+(SelectedYear="All Years"),ROW(DB_Loans!$A$2:$A$5001)),50))&amp;"","")</f>
        <v/>
      </c>
      <c r="C164" s="14" t="str">
        <f>IFERROR(INDEX(DB_Loans!$B:$B,SMALL(IF((DB_Loans!$P$2:$P$5001=SelectedYear)+(SelectedYear="All Years"),ROW(DB_Loans!$B$2:$B$5001)),50))&amp;"","")</f>
        <v/>
      </c>
      <c r="D164" s="14" t="str">
        <f>IFERROR(INDEX(DB_Loans!$C:$C,SMALL(IF((DB_Loans!$P$2:$P$5001=SelectedYear)+(SelectedYear="All Years"),ROW(DB_Loans!$C$2:$C$5001)),50))&amp;"","")</f>
        <v/>
      </c>
      <c r="E164" s="14" t="str">
        <f>IFERROR(INDEX(DB_Loans!$D:$D,SMALL(IF((DB_Loans!$P$2:$P$5001=SelectedYear)+(SelectedYear="All Years"),ROW(DB_Loans!$D$2:$D$5001)),50))&amp;"","")</f>
        <v/>
      </c>
      <c r="F164" s="14" t="str">
        <f>IFERROR(INDEX(DB_Loans!$E:$E,SMALL(IF((DB_Loans!$P$2:$P$5001=SelectedYear)+(SelectedYear="All Years"),ROW(DB_Loans!$E$2:$E$5001)),50)),"")</f>
        <v/>
      </c>
      <c r="G164" s="14" t="str">
        <f>IFERROR(INDEX(DB_Loans!$H:$H,SMALL(IF((DB_Loans!$P$2:$P$5001=SelectedYear)+(SelectedYear="All Years"),ROW(DB_Loans!$H$2:$H$5001)),50)),"")</f>
        <v/>
      </c>
      <c r="H164" s="14" t="str">
        <f>IFERROR(INDEX(DB_Loans!$I:$I,SMALL(IF((DB_Loans!$P$2:$P$5001=SelectedYear)+(SelectedYear="All Years"),ROW(DB_Loans!$I$2:$I$5001)),50)),"")</f>
        <v/>
      </c>
      <c r="I164" s="14" t="str">
        <f t="shared" si="5"/>
        <v/>
      </c>
    </row>
  </sheetData>
  <mergeCells count="5">
    <mergeCell ref="A59:I59"/>
    <mergeCell ref="A113:I113"/>
    <mergeCell ref="A2:I2"/>
    <mergeCell ref="A5:I5"/>
    <mergeCell ref="A1:I1"/>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9"/>
  <sheetViews>
    <sheetView zoomScaleNormal="100" workbookViewId="0">
      <selection sqref="A1:D1"/>
    </sheetView>
  </sheetViews>
  <sheetFormatPr defaultColWidth="8.7109375" defaultRowHeight="15" x14ac:dyDescent="0.25"/>
  <cols>
    <col min="1" max="1" width="32" customWidth="1"/>
    <col min="2" max="2" width="24" customWidth="1"/>
    <col min="3" max="3" width="30" customWidth="1"/>
    <col min="4" max="4" width="18" customWidth="1"/>
  </cols>
  <sheetData>
    <row r="1" spans="1:4" ht="45" customHeight="1" x14ac:dyDescent="0.25">
      <c r="A1" s="295" t="s">
        <v>87</v>
      </c>
      <c r="B1" s="265"/>
      <c r="C1" s="265"/>
      <c r="D1" s="265"/>
    </row>
    <row r="2" spans="1:4" ht="18" customHeight="1" x14ac:dyDescent="0.25">
      <c r="A2" s="289" t="s">
        <v>88</v>
      </c>
      <c r="B2" s="265"/>
      <c r="C2" s="265"/>
      <c r="D2" s="265"/>
    </row>
    <row r="3" spans="1:4" x14ac:dyDescent="0.25">
      <c r="A3" s="16" t="s">
        <v>89</v>
      </c>
      <c r="B3" s="11">
        <f>'📅 Year Control'!B3</f>
        <v>2026</v>
      </c>
    </row>
    <row r="5" spans="1:4" ht="21.75" customHeight="1" x14ac:dyDescent="0.25">
      <c r="A5" s="294" t="s">
        <v>90</v>
      </c>
      <c r="B5" s="265"/>
      <c r="C5" s="265"/>
      <c r="D5" s="265"/>
    </row>
    <row r="6" spans="1:4" ht="18" customHeight="1" x14ac:dyDescent="0.25">
      <c r="A6" s="12" t="s">
        <v>91</v>
      </c>
      <c r="B6" s="12" t="s">
        <v>92</v>
      </c>
      <c r="C6" s="12" t="s">
        <v>93</v>
      </c>
      <c r="D6" s="12"/>
    </row>
    <row r="7" spans="1:4" ht="19.5" customHeight="1" x14ac:dyDescent="0.25">
      <c r="A7" s="17" t="s">
        <v>94</v>
      </c>
      <c r="B7" s="18">
        <f ca="1">SUMPRODUCT((ISNUMBER(DB_Savings!E2:E5001))*(YEAR(IF(ISNUMBER(DB_Savings!E2:E5001),DB_Savings!E2:E5001,TODAY()))=IF(SelectedYear="All Years",YEAR(IF(ISNUMBER(DB_Savings!E2:E5001),DB_Savings!E2:E5001,TODAY())),SelectedYear+0))*IF(ISNUMBER(DB_Savings!F2:F5001),DB_Savings!F2:F5001,0))</f>
        <v>0</v>
      </c>
      <c r="C7" s="19" t="s">
        <v>95</v>
      </c>
    </row>
    <row r="8" spans="1:4" ht="19.5" customHeight="1" x14ac:dyDescent="0.25">
      <c r="A8" s="9" t="s">
        <v>96</v>
      </c>
      <c r="B8" s="20">
        <f ca="1">SUMPRODUCT((ISNUMBER(DB_Savings!E2:E5001))*(YEAR(IF(ISNUMBER(DB_Savings!E2:E5001),DB_Savings!E2:E5001,TODAY()))=IF(SelectedYear="All Years",YEAR(TODAY()),SelectedYear+0))*(MONTH(IF(ISNUMBER(DB_Savings!E2:E5001),DB_Savings!E2:E5001,TODAY()))&lt;=MONTH(TODAY()))*IF(ISNUMBER(DB_Savings!F2:F5001),DB_Savings!F2:F5001,0))</f>
        <v>0</v>
      </c>
      <c r="C8" s="19" t="s">
        <v>97</v>
      </c>
    </row>
    <row r="9" spans="1:4" ht="19.5" customHeight="1" x14ac:dyDescent="0.25">
      <c r="A9" s="9" t="s">
        <v>98</v>
      </c>
      <c r="B9" s="20">
        <f ca="1">SUMPRODUCT((ISNUMBER(DB_Savings!E2:E5001))*(IF(ISNUMBER(DB_Savings!E2:E5001),DB_Savings!E2:E5001,0)&gt;=TODAY()-365)*IF(ISNUMBER(DB_Savings!F2:F5001),DB_Savings!F2:F5001,0))</f>
        <v>0</v>
      </c>
      <c r="C9" s="19" t="s">
        <v>99</v>
      </c>
    </row>
    <row r="10" spans="1:4" ht="19.5" customHeight="1" x14ac:dyDescent="0.25">
      <c r="A10" s="9" t="s">
        <v>100</v>
      </c>
      <c r="B10" s="20">
        <f ca="1">SUMPRODUCT((ISNUMBER(DB_Savings!E2:E5001))*(YEAR(IF(ISNUMBER(DB_Savings!E2:E5001),DB_Savings!E2:E5001,TODAY()))=IF(SelectedYear="All Years",YEAR(TODAY())-1,(SelectedYear+0)-1))*IF(ISNUMBER(DB_Savings!F2:F5001),DB_Savings!F2:F5001,0))</f>
        <v>0</v>
      </c>
      <c r="C10" s="19" t="s">
        <v>101</v>
      </c>
    </row>
    <row r="11" spans="1:4" ht="19.5" customHeight="1" x14ac:dyDescent="0.25">
      <c r="A11" s="9" t="s">
        <v>102</v>
      </c>
      <c r="B11" s="21" t="str">
        <f ca="1">IFERROR((B7-B10)/ABS(B10),"")</f>
        <v/>
      </c>
      <c r="C11" s="19" t="s">
        <v>103</v>
      </c>
    </row>
    <row r="12" spans="1:4" ht="19.5" customHeight="1" x14ac:dyDescent="0.25">
      <c r="A12" s="9" t="s">
        <v>104</v>
      </c>
      <c r="B12" s="20">
        <f ca="1">IFERROR(B7/12,0)</f>
        <v>0</v>
      </c>
      <c r="C12" s="19" t="s">
        <v>105</v>
      </c>
    </row>
    <row r="13" spans="1:4" ht="19.5" customHeight="1" x14ac:dyDescent="0.25">
      <c r="A13" s="9" t="s">
        <v>106</v>
      </c>
      <c r="B13" s="20">
        <f ca="1">IFERROR(B7/365,0)</f>
        <v>0</v>
      </c>
      <c r="C13" s="19" t="s">
        <v>107</v>
      </c>
    </row>
    <row r="15" spans="1:4" ht="21.75" customHeight="1" x14ac:dyDescent="0.25">
      <c r="A15" s="292" t="s">
        <v>108</v>
      </c>
      <c r="B15" s="265"/>
      <c r="C15" s="265"/>
      <c r="D15" s="265"/>
    </row>
    <row r="16" spans="1:4" ht="18" customHeight="1" x14ac:dyDescent="0.25">
      <c r="A16" s="12" t="s">
        <v>91</v>
      </c>
      <c r="B16" s="12" t="s">
        <v>92</v>
      </c>
      <c r="C16" s="12" t="s">
        <v>93</v>
      </c>
      <c r="D16" s="12"/>
    </row>
    <row r="17" spans="1:4" ht="19.5" customHeight="1" x14ac:dyDescent="0.25">
      <c r="A17" s="17" t="s">
        <v>109</v>
      </c>
      <c r="B17" s="18">
        <f ca="1">SUMPRODUCT((ISNUMBER(DB_Withdrawals!E2:E5001))*(YEAR(IF(ISNUMBER(DB_Withdrawals!E2:E5001),DB_Withdrawals!E2:E5001,TODAY()))=IF(SelectedYear="All Years",YEAR(IF(ISNUMBER(DB_Withdrawals!E2:E5001),DB_Withdrawals!E2:E5001,TODAY())),SelectedYear+0))*IF(ISNUMBER(DB_Withdrawals!F2:F5001),DB_Withdrawals!F2:F5001,0))</f>
        <v>0</v>
      </c>
      <c r="C17" s="19" t="s">
        <v>110</v>
      </c>
    </row>
    <row r="18" spans="1:4" ht="19.5" customHeight="1" x14ac:dyDescent="0.25">
      <c r="A18" s="9" t="s">
        <v>111</v>
      </c>
      <c r="B18" s="20">
        <f ca="1">SUMPRODUCT((ISNUMBER(DB_Withdrawals!E2:E5001))*(YEAR(IF(ISNUMBER(DB_Withdrawals!E2:E5001),DB_Withdrawals!E2:E5001,TODAY()))=IF(SelectedYear="All Years",YEAR(TODAY()),SelectedYear+0))*(MONTH(IF(ISNUMBER(DB_Withdrawals!E2:E5001),DB_Withdrawals!E2:E5001,TODAY()))&lt;=MONTH(TODAY()))*IF(ISNUMBER(DB_Withdrawals!F2:F5001),DB_Withdrawals!F2:F5001,0))</f>
        <v>0</v>
      </c>
      <c r="C18" s="19" t="s">
        <v>112</v>
      </c>
    </row>
    <row r="19" spans="1:4" ht="19.5" customHeight="1" x14ac:dyDescent="0.25">
      <c r="A19" s="9" t="s">
        <v>113</v>
      </c>
      <c r="B19" s="20">
        <f ca="1">B7-B17</f>
        <v>0</v>
      </c>
      <c r="C19" s="19" t="s">
        <v>114</v>
      </c>
    </row>
    <row r="20" spans="1:4" ht="19.5" customHeight="1" x14ac:dyDescent="0.25">
      <c r="A20" s="9" t="s">
        <v>115</v>
      </c>
      <c r="B20" s="20">
        <f ca="1">SUMPRODUCT((ISNUMBER(DB_Withdrawals!E2:E5001))*(YEAR(IF(ISNUMBER(DB_Withdrawals!E2:E5001),DB_Withdrawals!E2:E5001,TODAY()))=IF(SelectedYear="All Years",YEAR(TODAY())-1,(SelectedYear+0)-1))*IF(ISNUMBER(DB_Withdrawals!F2:F5001),DB_Withdrawals!F2:F5001,0))</f>
        <v>0</v>
      </c>
      <c r="C20" s="19" t="s">
        <v>116</v>
      </c>
    </row>
    <row r="21" spans="1:4" ht="19.5" customHeight="1" x14ac:dyDescent="0.25">
      <c r="A21" s="9" t="s">
        <v>117</v>
      </c>
      <c r="B21" s="21" t="str">
        <f ca="1">IFERROR((B17-B20)/ABS(B20),"")</f>
        <v/>
      </c>
      <c r="C21" s="19" t="s">
        <v>103</v>
      </c>
    </row>
    <row r="23" spans="1:4" ht="21.75" customHeight="1" x14ac:dyDescent="0.25">
      <c r="A23" s="293" t="s">
        <v>118</v>
      </c>
      <c r="B23" s="265"/>
      <c r="C23" s="265"/>
      <c r="D23" s="265"/>
    </row>
    <row r="24" spans="1:4" ht="18" customHeight="1" x14ac:dyDescent="0.25">
      <c r="A24" s="12" t="s">
        <v>91</v>
      </c>
      <c r="B24" s="12" t="s">
        <v>92</v>
      </c>
      <c r="C24" s="12" t="s">
        <v>93</v>
      </c>
      <c r="D24" s="12"/>
    </row>
    <row r="25" spans="1:4" ht="19.5" customHeight="1" x14ac:dyDescent="0.25">
      <c r="A25" s="17" t="s">
        <v>119</v>
      </c>
      <c r="B25" s="18">
        <f ca="1">SUMPRODUCT((ISNUMBER(DB_Loans!D2:D5001))*(YEAR(IF(ISNUMBER(DB_Loans!D2:D5001),DB_Loans!D2:D5001,TODAY()))=IF(SelectedYear="All Years",YEAR(IF(ISNUMBER(DB_Loans!D2:D5001),DB_Loans!D2:D5001,TODAY())),SelectedYear+0))*IF(ISNUMBER(DB_Loans!E2:E5001),DB_Loans!E2:E5001,0))</f>
        <v>0</v>
      </c>
      <c r="C25" s="19" t="s">
        <v>120</v>
      </c>
    </row>
    <row r="26" spans="1:4" ht="19.5" customHeight="1" x14ac:dyDescent="0.25">
      <c r="A26" s="9" t="s">
        <v>121</v>
      </c>
      <c r="B26" s="22">
        <f ca="1">SUMPRODUCT((ISNUMBER(DB_Loans!D2:D5001))*(YEAR(IF(ISNUMBER(DB_Loans!D2:D5001),DB_Loans!D2:D5001,TODAY()))=IF(SelectedYear="All Years",YEAR(IF(ISNUMBER(DB_Loans!D2:D5001),DB_Loans!D2:D5001,TODAY())),SelectedYear+0))*1)</f>
        <v>0</v>
      </c>
      <c r="C26" s="19" t="s">
        <v>122</v>
      </c>
    </row>
    <row r="27" spans="1:4" ht="19.5" customHeight="1" x14ac:dyDescent="0.25">
      <c r="A27" s="9" t="s">
        <v>123</v>
      </c>
      <c r="B27" s="20">
        <f ca="1">IFERROR(B25/B26,0)</f>
        <v>0</v>
      </c>
      <c r="C27" s="19" t="s">
        <v>124</v>
      </c>
    </row>
    <row r="28" spans="1:4" ht="19.5" customHeight="1" x14ac:dyDescent="0.25">
      <c r="A28" s="9" t="s">
        <v>125</v>
      </c>
      <c r="B28" s="20">
        <f ca="1">SUMPRODUCT((ISNUMBER(DB_Loans!D2:D5001))*(YEAR(IF(ISNUMBER(DB_Loans!D2:D5001),DB_Loans!D2:D5001,TODAY()))=IF(SelectedYear="All Years",YEAR(IF(ISNUMBER(DB_Loans!D2:D5001),DB_Loans!D2:D5001,TODAY())),SelectedYear+0))*IF(ISNUMBER(DB_Loans!I2:I5001),DB_Loans!I2:I5001,0))</f>
        <v>0</v>
      </c>
      <c r="C28" s="19" t="s">
        <v>126</v>
      </c>
    </row>
    <row r="29" spans="1:4" ht="19.5" customHeight="1" x14ac:dyDescent="0.25">
      <c r="A29" s="9" t="s">
        <v>127</v>
      </c>
      <c r="B29" s="20">
        <f ca="1">B28-B25</f>
        <v>0</v>
      </c>
      <c r="C29" s="19" t="s">
        <v>128</v>
      </c>
    </row>
    <row r="31" spans="1:4" ht="21.75" customHeight="1" x14ac:dyDescent="0.25">
      <c r="A31" s="296" t="s">
        <v>129</v>
      </c>
      <c r="B31" s="265"/>
      <c r="C31" s="265"/>
      <c r="D31" s="265"/>
    </row>
    <row r="32" spans="1:4" ht="18" customHeight="1" x14ac:dyDescent="0.25">
      <c r="A32" s="12" t="s">
        <v>14</v>
      </c>
      <c r="B32" s="12" t="s">
        <v>130</v>
      </c>
      <c r="C32" s="12" t="s">
        <v>131</v>
      </c>
      <c r="D32" s="12" t="s">
        <v>132</v>
      </c>
    </row>
    <row r="33" spans="1:4" ht="18" customHeight="1" x14ac:dyDescent="0.25">
      <c r="A33" s="23" t="s">
        <v>133</v>
      </c>
      <c r="B33" s="24">
        <f ca="1">SUMPRODUCT((DB_Savings!G2:G5001="Agent 01")*(ISNUMBER(DB_Savings!E2:E5001))*(YEAR(IF(ISNUMBER(DB_Savings!E2:E5001),DB_Savings!E2:E5001,TODAY()))=IF(SelectedYear="All Years",YEAR(TODAY()),SelectedYear+0))*IF(ISNUMBER(DB_Savings!F2:F5001),DB_Savings!F2:F5001,0))</f>
        <v>0</v>
      </c>
      <c r="C33" s="24">
        <f ca="1">SUMPRODUCT((DB_Withdrawals!G2:G5001="Agent 01")*(ISNUMBER(DB_Withdrawals!E2:E5001))*(YEAR(IF(ISNUMBER(DB_Withdrawals!E2:E5001),DB_Withdrawals!E2:E5001,TODAY()))=IF(SelectedYear="All Years",YEAR(TODAY()),SelectedYear+0))*IF(ISNUMBER(DB_Withdrawals!F2:F5001),DB_Withdrawals!F2:F5001,0))</f>
        <v>0</v>
      </c>
      <c r="D33" s="25">
        <f ca="1">SUMPRODUCT((DB_Loans!L2:L5001="Agent 01")*(ISNUMBER(DB_Loans!D2:D5001))*(YEAR(IF(ISNUMBER(DB_Loans!D2:D5001),DB_Loans!D2:D5001,TODAY()))=IF(SelectedYear="All Years",YEAR(TODAY()),SelectedYear+0))*1)</f>
        <v>0</v>
      </c>
    </row>
    <row r="34" spans="1:4" ht="18" customHeight="1" x14ac:dyDescent="0.25">
      <c r="A34" s="23" t="s">
        <v>134</v>
      </c>
      <c r="B34" s="24">
        <f ca="1">SUMPRODUCT((DB_Savings!G2:G5001="Agent 02")*(ISNUMBER(DB_Savings!E2:E5001))*(YEAR(IF(ISNUMBER(DB_Savings!E2:E5001),DB_Savings!E2:E5001,TODAY()))=IF(SelectedYear="All Years",YEAR(TODAY()),SelectedYear+0))*IF(ISNUMBER(DB_Savings!F2:F5001),DB_Savings!F2:F5001,0))</f>
        <v>0</v>
      </c>
      <c r="C34" s="24">
        <f ca="1">SUMPRODUCT((DB_Withdrawals!G2:G5001="Agent 02")*(ISNUMBER(DB_Withdrawals!E2:E5001))*(YEAR(IF(ISNUMBER(DB_Withdrawals!E2:E5001),DB_Withdrawals!E2:E5001,TODAY()))=IF(SelectedYear="All Years",YEAR(TODAY()),SelectedYear+0))*IF(ISNUMBER(DB_Withdrawals!F2:F5001),DB_Withdrawals!F2:F5001,0))</f>
        <v>0</v>
      </c>
      <c r="D34" s="25">
        <f ca="1">SUMPRODUCT((DB_Loans!L2:L5001="Agent 02")*(ISNUMBER(DB_Loans!D2:D5001))*(YEAR(IF(ISNUMBER(DB_Loans!D2:D5001),DB_Loans!D2:D5001,TODAY()))=IF(SelectedYear="All Years",YEAR(TODAY()),SelectedYear+0))*1)</f>
        <v>0</v>
      </c>
    </row>
    <row r="35" spans="1:4" ht="18" customHeight="1" x14ac:dyDescent="0.25">
      <c r="A35" s="23" t="s">
        <v>135</v>
      </c>
      <c r="B35" s="24">
        <f ca="1">SUMPRODUCT((DB_Savings!G2:G5001="Agent 03")*(ISNUMBER(DB_Savings!E2:E5001))*(YEAR(IF(ISNUMBER(DB_Savings!E2:E5001),DB_Savings!E2:E5001,TODAY()))=IF(SelectedYear="All Years",YEAR(TODAY()),SelectedYear+0))*IF(ISNUMBER(DB_Savings!F2:F5001),DB_Savings!F2:F5001,0))</f>
        <v>0</v>
      </c>
      <c r="C35" s="24">
        <f ca="1">SUMPRODUCT((DB_Withdrawals!G2:G5001="Agent 03")*(ISNUMBER(DB_Withdrawals!E2:E5001))*(YEAR(IF(ISNUMBER(DB_Withdrawals!E2:E5001),DB_Withdrawals!E2:E5001,TODAY()))=IF(SelectedYear="All Years",YEAR(TODAY()),SelectedYear+0))*IF(ISNUMBER(DB_Withdrawals!F2:F5001),DB_Withdrawals!F2:F5001,0))</f>
        <v>0</v>
      </c>
      <c r="D35" s="25">
        <f ca="1">SUMPRODUCT((DB_Loans!L2:L5001="Agent 03")*(ISNUMBER(DB_Loans!D2:D5001))*(YEAR(IF(ISNUMBER(DB_Loans!D2:D5001),DB_Loans!D2:D5001,TODAY()))=IF(SelectedYear="All Years",YEAR(TODAY()),SelectedYear+0))*1)</f>
        <v>0</v>
      </c>
    </row>
    <row r="36" spans="1:4" ht="18" customHeight="1" x14ac:dyDescent="0.25">
      <c r="A36" s="23" t="s">
        <v>136</v>
      </c>
      <c r="B36" s="24">
        <f ca="1">SUMPRODUCT((DB_Savings!G2:G5001="Agent 04")*(ISNUMBER(DB_Savings!E2:E5001))*(YEAR(IF(ISNUMBER(DB_Savings!E2:E5001),DB_Savings!E2:E5001,TODAY()))=IF(SelectedYear="All Years",YEAR(TODAY()),SelectedYear+0))*IF(ISNUMBER(DB_Savings!F2:F5001),DB_Savings!F2:F5001,0))</f>
        <v>0</v>
      </c>
      <c r="C36" s="24">
        <f ca="1">SUMPRODUCT((DB_Withdrawals!G2:G5001="Agent 04")*(ISNUMBER(DB_Withdrawals!E2:E5001))*(YEAR(IF(ISNUMBER(DB_Withdrawals!E2:E5001),DB_Withdrawals!E2:E5001,TODAY()))=IF(SelectedYear="All Years",YEAR(TODAY()),SelectedYear+0))*IF(ISNUMBER(DB_Withdrawals!F2:F5001),DB_Withdrawals!F2:F5001,0))</f>
        <v>0</v>
      </c>
      <c r="D36" s="25">
        <f ca="1">SUMPRODUCT((DB_Loans!L2:L5001="Agent 04")*(ISNUMBER(DB_Loans!D2:D5001))*(YEAR(IF(ISNUMBER(DB_Loans!D2:D5001),DB_Loans!D2:D5001,TODAY()))=IF(SelectedYear="All Years",YEAR(TODAY()),SelectedYear+0))*1)</f>
        <v>0</v>
      </c>
    </row>
    <row r="37" spans="1:4" ht="18" customHeight="1" x14ac:dyDescent="0.25">
      <c r="A37" s="23" t="s">
        <v>137</v>
      </c>
      <c r="B37" s="24">
        <f ca="1">SUMPRODUCT((DB_Savings!G2:G5001="Agent 05")*(ISNUMBER(DB_Savings!E2:E5001))*(YEAR(IF(ISNUMBER(DB_Savings!E2:E5001),DB_Savings!E2:E5001,TODAY()))=IF(SelectedYear="All Years",YEAR(TODAY()),SelectedYear+0))*IF(ISNUMBER(DB_Savings!F2:F5001),DB_Savings!F2:F5001,0))</f>
        <v>0</v>
      </c>
      <c r="C37" s="24">
        <f ca="1">SUMPRODUCT((DB_Withdrawals!G2:G5001="Agent 05")*(ISNUMBER(DB_Withdrawals!E2:E5001))*(YEAR(IF(ISNUMBER(DB_Withdrawals!E2:E5001),DB_Withdrawals!E2:E5001,TODAY()))=IF(SelectedYear="All Years",YEAR(TODAY()),SelectedYear+0))*IF(ISNUMBER(DB_Withdrawals!F2:F5001),DB_Withdrawals!F2:F5001,0))</f>
        <v>0</v>
      </c>
      <c r="D37" s="25">
        <f ca="1">SUMPRODUCT((DB_Loans!L2:L5001="Agent 05")*(ISNUMBER(DB_Loans!D2:D5001))*(YEAR(IF(ISNUMBER(DB_Loans!D2:D5001),DB_Loans!D2:D5001,TODAY()))=IF(SelectedYear="All Years",YEAR(TODAY()),SelectedYear+0))*1)</f>
        <v>0</v>
      </c>
    </row>
    <row r="38" spans="1:4" ht="18" customHeight="1" x14ac:dyDescent="0.25">
      <c r="A38" s="23" t="s">
        <v>138</v>
      </c>
      <c r="B38" s="24">
        <f ca="1">SUMPRODUCT((DB_Savings!G2:G5001="Agent 06")*(ISNUMBER(DB_Savings!E2:E5001))*(YEAR(IF(ISNUMBER(DB_Savings!E2:E5001),DB_Savings!E2:E5001,TODAY()))=IF(SelectedYear="All Years",YEAR(TODAY()),SelectedYear+0))*IF(ISNUMBER(DB_Savings!F2:F5001),DB_Savings!F2:F5001,0))</f>
        <v>0</v>
      </c>
      <c r="C38" s="24">
        <f ca="1">SUMPRODUCT((DB_Withdrawals!G2:G5001="Agent 06")*(ISNUMBER(DB_Withdrawals!E2:E5001))*(YEAR(IF(ISNUMBER(DB_Withdrawals!E2:E5001),DB_Withdrawals!E2:E5001,TODAY()))=IF(SelectedYear="All Years",YEAR(TODAY()),SelectedYear+0))*IF(ISNUMBER(DB_Withdrawals!F2:F5001),DB_Withdrawals!F2:F5001,0))</f>
        <v>0</v>
      </c>
      <c r="D38" s="25">
        <f ca="1">SUMPRODUCT((DB_Loans!L2:L5001="Agent 06")*(ISNUMBER(DB_Loans!D2:D5001))*(YEAR(IF(ISNUMBER(DB_Loans!D2:D5001),DB_Loans!D2:D5001,TODAY()))=IF(SelectedYear="All Years",YEAR(TODAY()),SelectedYear+0))*1)</f>
        <v>0</v>
      </c>
    </row>
    <row r="39" spans="1:4" ht="18" customHeight="1" x14ac:dyDescent="0.25">
      <c r="A39" s="23" t="s">
        <v>139</v>
      </c>
      <c r="B39" s="24">
        <f ca="1">SUMPRODUCT((DB_Savings!G2:G5001="Agent 07")*(ISNUMBER(DB_Savings!E2:E5001))*(YEAR(IF(ISNUMBER(DB_Savings!E2:E5001),DB_Savings!E2:E5001,TODAY()))=IF(SelectedYear="All Years",YEAR(TODAY()),SelectedYear+0))*IF(ISNUMBER(DB_Savings!F2:F5001),DB_Savings!F2:F5001,0))</f>
        <v>0</v>
      </c>
      <c r="C39" s="24">
        <f ca="1">SUMPRODUCT((DB_Withdrawals!G2:G5001="Agent 07")*(ISNUMBER(DB_Withdrawals!E2:E5001))*(YEAR(IF(ISNUMBER(DB_Withdrawals!E2:E5001),DB_Withdrawals!E2:E5001,TODAY()))=IF(SelectedYear="All Years",YEAR(TODAY()),SelectedYear+0))*IF(ISNUMBER(DB_Withdrawals!F2:F5001),DB_Withdrawals!F2:F5001,0))</f>
        <v>0</v>
      </c>
      <c r="D39" s="25">
        <f ca="1">SUMPRODUCT((DB_Loans!L2:L5001="Agent 07")*(ISNUMBER(DB_Loans!D2:D5001))*(YEAR(IF(ISNUMBER(DB_Loans!D2:D5001),DB_Loans!D2:D5001,TODAY()))=IF(SelectedYear="All Years",YEAR(TODAY()),SelectedYear+0))*1)</f>
        <v>0</v>
      </c>
    </row>
    <row r="40" spans="1:4" ht="18" customHeight="1" x14ac:dyDescent="0.25">
      <c r="A40" s="23" t="s">
        <v>140</v>
      </c>
      <c r="B40" s="24">
        <f ca="1">SUMPRODUCT((DB_Savings!G2:G5001="Agent 08")*(ISNUMBER(DB_Savings!E2:E5001))*(YEAR(IF(ISNUMBER(DB_Savings!E2:E5001),DB_Savings!E2:E5001,TODAY()))=IF(SelectedYear="All Years",YEAR(TODAY()),SelectedYear+0))*IF(ISNUMBER(DB_Savings!F2:F5001),DB_Savings!F2:F5001,0))</f>
        <v>0</v>
      </c>
      <c r="C40" s="24">
        <f ca="1">SUMPRODUCT((DB_Withdrawals!G2:G5001="Agent 08")*(ISNUMBER(DB_Withdrawals!E2:E5001))*(YEAR(IF(ISNUMBER(DB_Withdrawals!E2:E5001),DB_Withdrawals!E2:E5001,TODAY()))=IF(SelectedYear="All Years",YEAR(TODAY()),SelectedYear+0))*IF(ISNUMBER(DB_Withdrawals!F2:F5001),DB_Withdrawals!F2:F5001,0))</f>
        <v>0</v>
      </c>
      <c r="D40" s="25">
        <f ca="1">SUMPRODUCT((DB_Loans!L2:L5001="Agent 08")*(ISNUMBER(DB_Loans!D2:D5001))*(YEAR(IF(ISNUMBER(DB_Loans!D2:D5001),DB_Loans!D2:D5001,TODAY()))=IF(SelectedYear="All Years",YEAR(TODAY()),SelectedYear+0))*1)</f>
        <v>0</v>
      </c>
    </row>
    <row r="41" spans="1:4" ht="18" customHeight="1" x14ac:dyDescent="0.25">
      <c r="A41" s="23" t="s">
        <v>141</v>
      </c>
      <c r="B41" s="24">
        <f ca="1">SUMPRODUCT((DB_Savings!G2:G5001="Agent 09")*(ISNUMBER(DB_Savings!E2:E5001))*(YEAR(IF(ISNUMBER(DB_Savings!E2:E5001),DB_Savings!E2:E5001,TODAY()))=IF(SelectedYear="All Years",YEAR(TODAY()),SelectedYear+0))*IF(ISNUMBER(DB_Savings!F2:F5001),DB_Savings!F2:F5001,0))</f>
        <v>0</v>
      </c>
      <c r="C41" s="24">
        <f ca="1">SUMPRODUCT((DB_Withdrawals!G2:G5001="Agent 09")*(ISNUMBER(DB_Withdrawals!E2:E5001))*(YEAR(IF(ISNUMBER(DB_Withdrawals!E2:E5001),DB_Withdrawals!E2:E5001,TODAY()))=IF(SelectedYear="All Years",YEAR(TODAY()),SelectedYear+0))*IF(ISNUMBER(DB_Withdrawals!F2:F5001),DB_Withdrawals!F2:F5001,0))</f>
        <v>0</v>
      </c>
      <c r="D41" s="25">
        <f ca="1">SUMPRODUCT((DB_Loans!L2:L5001="Agent 09")*(ISNUMBER(DB_Loans!D2:D5001))*(YEAR(IF(ISNUMBER(DB_Loans!D2:D5001),DB_Loans!D2:D5001,TODAY()))=IF(SelectedYear="All Years",YEAR(TODAY()),SelectedYear+0))*1)</f>
        <v>0</v>
      </c>
    </row>
    <row r="42" spans="1:4" ht="18" customHeight="1" x14ac:dyDescent="0.25">
      <c r="A42" s="23" t="s">
        <v>142</v>
      </c>
      <c r="B42" s="24">
        <f ca="1">SUMPRODUCT((DB_Savings!G2:G5001="Agent 10")*(ISNUMBER(DB_Savings!E2:E5001))*(YEAR(IF(ISNUMBER(DB_Savings!E2:E5001),DB_Savings!E2:E5001,TODAY()))=IF(SelectedYear="All Years",YEAR(TODAY()),SelectedYear+0))*IF(ISNUMBER(DB_Savings!F2:F5001),DB_Savings!F2:F5001,0))</f>
        <v>0</v>
      </c>
      <c r="C42" s="24">
        <f ca="1">SUMPRODUCT((DB_Withdrawals!G2:G5001="Agent 10")*(ISNUMBER(DB_Withdrawals!E2:E5001))*(YEAR(IF(ISNUMBER(DB_Withdrawals!E2:E5001),DB_Withdrawals!E2:E5001,TODAY()))=IF(SelectedYear="All Years",YEAR(TODAY()),SelectedYear+0))*IF(ISNUMBER(DB_Withdrawals!F2:F5001),DB_Withdrawals!F2:F5001,0))</f>
        <v>0</v>
      </c>
      <c r="D42" s="25">
        <f ca="1">SUMPRODUCT((DB_Loans!L2:L5001="Agent 10")*(ISNUMBER(DB_Loans!D2:D5001))*(YEAR(IF(ISNUMBER(DB_Loans!D2:D5001),DB_Loans!D2:D5001,TODAY()))=IF(SelectedYear="All Years",YEAR(TODAY()),SelectedYear+0))*1)</f>
        <v>0</v>
      </c>
    </row>
    <row r="43" spans="1:4" ht="19.5" customHeight="1" x14ac:dyDescent="0.25">
      <c r="A43" s="26" t="s">
        <v>143</v>
      </c>
      <c r="B43" s="27">
        <f ca="1">SUM(B33:B42)</f>
        <v>0</v>
      </c>
      <c r="C43" s="27">
        <f ca="1">SUM(C33:C42)</f>
        <v>0</v>
      </c>
      <c r="D43" s="28">
        <f ca="1">SUM(D33:D42)</f>
        <v>0</v>
      </c>
    </row>
    <row r="45" spans="1:4" ht="21.75" customHeight="1" x14ac:dyDescent="0.25">
      <c r="A45" s="294" t="s">
        <v>144</v>
      </c>
      <c r="B45" s="265"/>
      <c r="C45" s="265"/>
      <c r="D45" s="265"/>
    </row>
    <row r="46" spans="1:4" ht="18" customHeight="1" x14ac:dyDescent="0.25">
      <c r="A46" s="12" t="s">
        <v>145</v>
      </c>
      <c r="B46" s="12" t="s">
        <v>130</v>
      </c>
      <c r="C46" s="12" t="s">
        <v>131</v>
      </c>
      <c r="D46" s="12" t="s">
        <v>146</v>
      </c>
    </row>
    <row r="47" spans="1:4" ht="18" customHeight="1" x14ac:dyDescent="0.25">
      <c r="A47" s="23" t="s">
        <v>147</v>
      </c>
      <c r="B47" s="24">
        <f ca="1">SUMPRODUCT((ISNUMBER(DB_Savings!E2:E5001))*(YEAR(IF(ISNUMBER(DB_Savings!E2:E5001),DB_Savings!E2:E5001,TODAY()))=IF(SelectedYear="All Years",YEAR(TODAY()),SelectedYear+0))*(MONTH(IF(ISNUMBER(DB_Savings!E2:E5001),DB_Savings!E2:E5001,TODAY()))=1)*IF(ISNUMBER(DB_Savings!F2:F5001),DB_Savings!F2:F5001,0))</f>
        <v>0</v>
      </c>
      <c r="C47" s="24">
        <f ca="1">SUMPRODUCT((ISNUMBER(DB_Withdrawals!E2:E5001))*(YEAR(IF(ISNUMBER(DB_Withdrawals!E2:E5001),DB_Withdrawals!E2:E5001,TODAY()))=IF(SelectedYear="All Years",YEAR(TODAY()),SelectedYear+0))*(MONTH(IF(ISNUMBER(DB_Withdrawals!E2:E5001),DB_Withdrawals!E2:E5001,TODAY()))=1)*IF(ISNUMBER(DB_Withdrawals!F2:F5001),DB_Withdrawals!F2:F5001,0))</f>
        <v>0</v>
      </c>
      <c r="D47" s="24">
        <f t="shared" ref="D47:D58" ca="1" si="0">B47-C47</f>
        <v>0</v>
      </c>
    </row>
    <row r="48" spans="1:4" ht="18" customHeight="1" x14ac:dyDescent="0.25">
      <c r="A48" s="23" t="s">
        <v>148</v>
      </c>
      <c r="B48" s="24">
        <f ca="1">SUMPRODUCT((ISNUMBER(DB_Savings!E2:E5001))*(YEAR(IF(ISNUMBER(DB_Savings!E2:E5001),DB_Savings!E2:E5001,TODAY()))=IF(SelectedYear="All Years",YEAR(TODAY()),SelectedYear+0))*(MONTH(IF(ISNUMBER(DB_Savings!E2:E5001),DB_Savings!E2:E5001,TODAY()))=2)*IF(ISNUMBER(DB_Savings!F2:F5001),DB_Savings!F2:F5001,0))</f>
        <v>0</v>
      </c>
      <c r="C48" s="24">
        <f ca="1">SUMPRODUCT((ISNUMBER(DB_Withdrawals!E2:E5001))*(YEAR(IF(ISNUMBER(DB_Withdrawals!E2:E5001),DB_Withdrawals!E2:E5001,TODAY()))=IF(SelectedYear="All Years",YEAR(TODAY()),SelectedYear+0))*(MONTH(IF(ISNUMBER(DB_Withdrawals!E2:E5001),DB_Withdrawals!E2:E5001,TODAY()))=2)*IF(ISNUMBER(DB_Withdrawals!F2:F5001),DB_Withdrawals!F2:F5001,0))</f>
        <v>0</v>
      </c>
      <c r="D48" s="24">
        <f t="shared" ca="1" si="0"/>
        <v>0</v>
      </c>
    </row>
    <row r="49" spans="1:4" ht="18" customHeight="1" x14ac:dyDescent="0.25">
      <c r="A49" s="23" t="s">
        <v>149</v>
      </c>
      <c r="B49" s="24">
        <f ca="1">SUMPRODUCT((ISNUMBER(DB_Savings!E2:E5001))*(YEAR(IF(ISNUMBER(DB_Savings!E2:E5001),DB_Savings!E2:E5001,TODAY()))=IF(SelectedYear="All Years",YEAR(TODAY()),SelectedYear+0))*(MONTH(IF(ISNUMBER(DB_Savings!E2:E5001),DB_Savings!E2:E5001,TODAY()))=3)*IF(ISNUMBER(DB_Savings!F2:F5001),DB_Savings!F2:F5001,0))</f>
        <v>0</v>
      </c>
      <c r="C49" s="24">
        <f ca="1">SUMPRODUCT((ISNUMBER(DB_Withdrawals!E2:E5001))*(YEAR(IF(ISNUMBER(DB_Withdrawals!E2:E5001),DB_Withdrawals!E2:E5001,TODAY()))=IF(SelectedYear="All Years",YEAR(TODAY()),SelectedYear+0))*(MONTH(IF(ISNUMBER(DB_Withdrawals!E2:E5001),DB_Withdrawals!E2:E5001,TODAY()))=3)*IF(ISNUMBER(DB_Withdrawals!F2:F5001),DB_Withdrawals!F2:F5001,0))</f>
        <v>0</v>
      </c>
      <c r="D49" s="24">
        <f t="shared" ca="1" si="0"/>
        <v>0</v>
      </c>
    </row>
    <row r="50" spans="1:4" ht="18" customHeight="1" x14ac:dyDescent="0.25">
      <c r="A50" s="23" t="s">
        <v>150</v>
      </c>
      <c r="B50" s="24">
        <f ca="1">SUMPRODUCT((ISNUMBER(DB_Savings!E2:E5001))*(YEAR(IF(ISNUMBER(DB_Savings!E2:E5001),DB_Savings!E2:E5001,TODAY()))=IF(SelectedYear="All Years",YEAR(TODAY()),SelectedYear+0))*(MONTH(IF(ISNUMBER(DB_Savings!E2:E5001),DB_Savings!E2:E5001,TODAY()))=4)*IF(ISNUMBER(DB_Savings!F2:F5001),DB_Savings!F2:F5001,0))</f>
        <v>0</v>
      </c>
      <c r="C50" s="24">
        <f ca="1">SUMPRODUCT((ISNUMBER(DB_Withdrawals!E2:E5001))*(YEAR(IF(ISNUMBER(DB_Withdrawals!E2:E5001),DB_Withdrawals!E2:E5001,TODAY()))=IF(SelectedYear="All Years",YEAR(TODAY()),SelectedYear+0))*(MONTH(IF(ISNUMBER(DB_Withdrawals!E2:E5001),DB_Withdrawals!E2:E5001,TODAY()))=4)*IF(ISNUMBER(DB_Withdrawals!F2:F5001),DB_Withdrawals!F2:F5001,0))</f>
        <v>0</v>
      </c>
      <c r="D50" s="24">
        <f t="shared" ca="1" si="0"/>
        <v>0</v>
      </c>
    </row>
    <row r="51" spans="1:4" ht="18" customHeight="1" x14ac:dyDescent="0.25">
      <c r="A51" s="23" t="s">
        <v>151</v>
      </c>
      <c r="B51" s="24">
        <f ca="1">SUMPRODUCT((ISNUMBER(DB_Savings!E2:E5001))*(YEAR(IF(ISNUMBER(DB_Savings!E2:E5001),DB_Savings!E2:E5001,TODAY()))=IF(SelectedYear="All Years",YEAR(TODAY()),SelectedYear+0))*(MONTH(IF(ISNUMBER(DB_Savings!E2:E5001),DB_Savings!E2:E5001,TODAY()))=5)*IF(ISNUMBER(DB_Savings!F2:F5001),DB_Savings!F2:F5001,0))</f>
        <v>0</v>
      </c>
      <c r="C51" s="24">
        <f ca="1">SUMPRODUCT((ISNUMBER(DB_Withdrawals!E2:E5001))*(YEAR(IF(ISNUMBER(DB_Withdrawals!E2:E5001),DB_Withdrawals!E2:E5001,TODAY()))=IF(SelectedYear="All Years",YEAR(TODAY()),SelectedYear+0))*(MONTH(IF(ISNUMBER(DB_Withdrawals!E2:E5001),DB_Withdrawals!E2:E5001,TODAY()))=5)*IF(ISNUMBER(DB_Withdrawals!F2:F5001),DB_Withdrawals!F2:F5001,0))</f>
        <v>0</v>
      </c>
      <c r="D51" s="24">
        <f t="shared" ca="1" si="0"/>
        <v>0</v>
      </c>
    </row>
    <row r="52" spans="1:4" ht="18" customHeight="1" x14ac:dyDescent="0.25">
      <c r="A52" s="23" t="s">
        <v>152</v>
      </c>
      <c r="B52" s="24">
        <f ca="1">SUMPRODUCT((ISNUMBER(DB_Savings!E2:E5001))*(YEAR(IF(ISNUMBER(DB_Savings!E2:E5001),DB_Savings!E2:E5001,TODAY()))=IF(SelectedYear="All Years",YEAR(TODAY()),SelectedYear+0))*(MONTH(IF(ISNUMBER(DB_Savings!E2:E5001),DB_Savings!E2:E5001,TODAY()))=6)*IF(ISNUMBER(DB_Savings!F2:F5001),DB_Savings!F2:F5001,0))</f>
        <v>0</v>
      </c>
      <c r="C52" s="24">
        <f ca="1">SUMPRODUCT((ISNUMBER(DB_Withdrawals!E2:E5001))*(YEAR(IF(ISNUMBER(DB_Withdrawals!E2:E5001),DB_Withdrawals!E2:E5001,TODAY()))=IF(SelectedYear="All Years",YEAR(TODAY()),SelectedYear+0))*(MONTH(IF(ISNUMBER(DB_Withdrawals!E2:E5001),DB_Withdrawals!E2:E5001,TODAY()))=6)*IF(ISNUMBER(DB_Withdrawals!F2:F5001),DB_Withdrawals!F2:F5001,0))</f>
        <v>0</v>
      </c>
      <c r="D52" s="24">
        <f t="shared" ca="1" si="0"/>
        <v>0</v>
      </c>
    </row>
    <row r="53" spans="1:4" ht="18" customHeight="1" x14ac:dyDescent="0.25">
      <c r="A53" s="23" t="s">
        <v>153</v>
      </c>
      <c r="B53" s="24">
        <f ca="1">SUMPRODUCT((ISNUMBER(DB_Savings!E2:E5001))*(YEAR(IF(ISNUMBER(DB_Savings!E2:E5001),DB_Savings!E2:E5001,TODAY()))=IF(SelectedYear="All Years",YEAR(TODAY()),SelectedYear+0))*(MONTH(IF(ISNUMBER(DB_Savings!E2:E5001),DB_Savings!E2:E5001,TODAY()))=7)*IF(ISNUMBER(DB_Savings!F2:F5001),DB_Savings!F2:F5001,0))</f>
        <v>0</v>
      </c>
      <c r="C53" s="24">
        <f ca="1">SUMPRODUCT((ISNUMBER(DB_Withdrawals!E2:E5001))*(YEAR(IF(ISNUMBER(DB_Withdrawals!E2:E5001),DB_Withdrawals!E2:E5001,TODAY()))=IF(SelectedYear="All Years",YEAR(TODAY()),SelectedYear+0))*(MONTH(IF(ISNUMBER(DB_Withdrawals!E2:E5001),DB_Withdrawals!E2:E5001,TODAY()))=7)*IF(ISNUMBER(DB_Withdrawals!F2:F5001),DB_Withdrawals!F2:F5001,0))</f>
        <v>0</v>
      </c>
      <c r="D53" s="24">
        <f t="shared" ca="1" si="0"/>
        <v>0</v>
      </c>
    </row>
    <row r="54" spans="1:4" ht="18" customHeight="1" x14ac:dyDescent="0.25">
      <c r="A54" s="23" t="s">
        <v>154</v>
      </c>
      <c r="B54" s="24">
        <f ca="1">SUMPRODUCT((ISNUMBER(DB_Savings!E2:E5001))*(YEAR(IF(ISNUMBER(DB_Savings!E2:E5001),DB_Savings!E2:E5001,TODAY()))=IF(SelectedYear="All Years",YEAR(TODAY()),SelectedYear+0))*(MONTH(IF(ISNUMBER(DB_Savings!E2:E5001),DB_Savings!E2:E5001,TODAY()))=8)*IF(ISNUMBER(DB_Savings!F2:F5001),DB_Savings!F2:F5001,0))</f>
        <v>0</v>
      </c>
      <c r="C54" s="24">
        <f ca="1">SUMPRODUCT((ISNUMBER(DB_Withdrawals!E2:E5001))*(YEAR(IF(ISNUMBER(DB_Withdrawals!E2:E5001),DB_Withdrawals!E2:E5001,TODAY()))=IF(SelectedYear="All Years",YEAR(TODAY()),SelectedYear+0))*(MONTH(IF(ISNUMBER(DB_Withdrawals!E2:E5001),DB_Withdrawals!E2:E5001,TODAY()))=8)*IF(ISNUMBER(DB_Withdrawals!F2:F5001),DB_Withdrawals!F2:F5001,0))</f>
        <v>0</v>
      </c>
      <c r="D54" s="24">
        <f t="shared" ca="1" si="0"/>
        <v>0</v>
      </c>
    </row>
    <row r="55" spans="1:4" ht="18" customHeight="1" x14ac:dyDescent="0.25">
      <c r="A55" s="23" t="s">
        <v>155</v>
      </c>
      <c r="B55" s="24">
        <f ca="1">SUMPRODUCT((ISNUMBER(DB_Savings!E2:E5001))*(YEAR(IF(ISNUMBER(DB_Savings!E2:E5001),DB_Savings!E2:E5001,TODAY()))=IF(SelectedYear="All Years",YEAR(TODAY()),SelectedYear+0))*(MONTH(IF(ISNUMBER(DB_Savings!E2:E5001),DB_Savings!E2:E5001,TODAY()))=9)*IF(ISNUMBER(DB_Savings!F2:F5001),DB_Savings!F2:F5001,0))</f>
        <v>0</v>
      </c>
      <c r="C55" s="24">
        <f ca="1">SUMPRODUCT((ISNUMBER(DB_Withdrawals!E2:E5001))*(YEAR(IF(ISNUMBER(DB_Withdrawals!E2:E5001),DB_Withdrawals!E2:E5001,TODAY()))=IF(SelectedYear="All Years",YEAR(TODAY()),SelectedYear+0))*(MONTH(IF(ISNUMBER(DB_Withdrawals!E2:E5001),DB_Withdrawals!E2:E5001,TODAY()))=9)*IF(ISNUMBER(DB_Withdrawals!F2:F5001),DB_Withdrawals!F2:F5001,0))</f>
        <v>0</v>
      </c>
      <c r="D55" s="24">
        <f t="shared" ca="1" si="0"/>
        <v>0</v>
      </c>
    </row>
    <row r="56" spans="1:4" ht="18" customHeight="1" x14ac:dyDescent="0.25">
      <c r="A56" s="23" t="s">
        <v>156</v>
      </c>
      <c r="B56" s="24">
        <f ca="1">SUMPRODUCT((ISNUMBER(DB_Savings!E2:E5001))*(YEAR(IF(ISNUMBER(DB_Savings!E2:E5001),DB_Savings!E2:E5001,TODAY()))=IF(SelectedYear="All Years",YEAR(TODAY()),SelectedYear+0))*(MONTH(IF(ISNUMBER(DB_Savings!E2:E5001),DB_Savings!E2:E5001,TODAY()))=10)*IF(ISNUMBER(DB_Savings!F2:F5001),DB_Savings!F2:F5001,0))</f>
        <v>0</v>
      </c>
      <c r="C56" s="24">
        <f ca="1">SUMPRODUCT((ISNUMBER(DB_Withdrawals!E2:E5001))*(YEAR(IF(ISNUMBER(DB_Withdrawals!E2:E5001),DB_Withdrawals!E2:E5001,TODAY()))=IF(SelectedYear="All Years",YEAR(TODAY()),SelectedYear+0))*(MONTH(IF(ISNUMBER(DB_Withdrawals!E2:E5001),DB_Withdrawals!E2:E5001,TODAY()))=10)*IF(ISNUMBER(DB_Withdrawals!F2:F5001),DB_Withdrawals!F2:F5001,0))</f>
        <v>0</v>
      </c>
      <c r="D56" s="24">
        <f t="shared" ca="1" si="0"/>
        <v>0</v>
      </c>
    </row>
    <row r="57" spans="1:4" ht="18" customHeight="1" x14ac:dyDescent="0.25">
      <c r="A57" s="23" t="s">
        <v>157</v>
      </c>
      <c r="B57" s="24">
        <f ca="1">SUMPRODUCT((ISNUMBER(DB_Savings!E2:E5001))*(YEAR(IF(ISNUMBER(DB_Savings!E2:E5001),DB_Savings!E2:E5001,TODAY()))=IF(SelectedYear="All Years",YEAR(TODAY()),SelectedYear+0))*(MONTH(IF(ISNUMBER(DB_Savings!E2:E5001),DB_Savings!E2:E5001,TODAY()))=11)*IF(ISNUMBER(DB_Savings!F2:F5001),DB_Savings!F2:F5001,0))</f>
        <v>0</v>
      </c>
      <c r="C57" s="24">
        <f ca="1">SUMPRODUCT((ISNUMBER(DB_Withdrawals!E2:E5001))*(YEAR(IF(ISNUMBER(DB_Withdrawals!E2:E5001),DB_Withdrawals!E2:E5001,TODAY()))=IF(SelectedYear="All Years",YEAR(TODAY()),SelectedYear+0))*(MONTH(IF(ISNUMBER(DB_Withdrawals!E2:E5001),DB_Withdrawals!E2:E5001,TODAY()))=11)*IF(ISNUMBER(DB_Withdrawals!F2:F5001),DB_Withdrawals!F2:F5001,0))</f>
        <v>0</v>
      </c>
      <c r="D57" s="24">
        <f t="shared" ca="1" si="0"/>
        <v>0</v>
      </c>
    </row>
    <row r="58" spans="1:4" ht="18" customHeight="1" x14ac:dyDescent="0.25">
      <c r="A58" s="23" t="s">
        <v>158</v>
      </c>
      <c r="B58" s="24">
        <f ca="1">SUMPRODUCT((ISNUMBER(DB_Savings!E2:E5001))*(YEAR(IF(ISNUMBER(DB_Savings!E2:E5001),DB_Savings!E2:E5001,TODAY()))=IF(SelectedYear="All Years",YEAR(TODAY()),SelectedYear+0))*(MONTH(IF(ISNUMBER(DB_Savings!E2:E5001),DB_Savings!E2:E5001,TODAY()))=12)*IF(ISNUMBER(DB_Savings!F2:F5001),DB_Savings!F2:F5001,0))</f>
        <v>0</v>
      </c>
      <c r="C58" s="24">
        <f ca="1">SUMPRODUCT((ISNUMBER(DB_Withdrawals!E2:E5001))*(YEAR(IF(ISNUMBER(DB_Withdrawals!E2:E5001),DB_Withdrawals!E2:E5001,TODAY()))=IF(SelectedYear="All Years",YEAR(TODAY()),SelectedYear+0))*(MONTH(IF(ISNUMBER(DB_Withdrawals!E2:E5001),DB_Withdrawals!E2:E5001,TODAY()))=12)*IF(ISNUMBER(DB_Withdrawals!F2:F5001),DB_Withdrawals!F2:F5001,0))</f>
        <v>0</v>
      </c>
      <c r="D58" s="24">
        <f t="shared" ca="1" si="0"/>
        <v>0</v>
      </c>
    </row>
    <row r="59" spans="1:4" x14ac:dyDescent="0.25">
      <c r="A59" s="29" t="s">
        <v>159</v>
      </c>
      <c r="B59" s="30">
        <f ca="1">SUM(B47:B58)</f>
        <v>0</v>
      </c>
      <c r="C59" s="30">
        <f ca="1">SUM(C47:C58)</f>
        <v>0</v>
      </c>
      <c r="D59" s="30">
        <f ca="1">SUM(D47:D58)</f>
        <v>0</v>
      </c>
    </row>
  </sheetData>
  <mergeCells count="7">
    <mergeCell ref="A45:D45"/>
    <mergeCell ref="A1:D1"/>
    <mergeCell ref="A23:D23"/>
    <mergeCell ref="A5:D5"/>
    <mergeCell ref="A31:D31"/>
    <mergeCell ref="A15:D15"/>
    <mergeCell ref="A2:D2"/>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42"/>
  <sheetViews>
    <sheetView zoomScaleNormal="100" workbookViewId="0">
      <selection sqref="A1:J1"/>
    </sheetView>
  </sheetViews>
  <sheetFormatPr defaultColWidth="8.7109375" defaultRowHeight="15" x14ac:dyDescent="0.25"/>
  <cols>
    <col min="1" max="1" width="20" customWidth="1"/>
    <col min="2" max="9" width="16" customWidth="1"/>
    <col min="10" max="10" width="20" customWidth="1"/>
  </cols>
  <sheetData>
    <row r="1" spans="1:10" ht="49.5" customHeight="1" x14ac:dyDescent="0.25">
      <c r="A1" s="305" t="s">
        <v>160</v>
      </c>
      <c r="B1" s="265"/>
      <c r="C1" s="265"/>
      <c r="D1" s="265"/>
      <c r="E1" s="265"/>
      <c r="F1" s="265"/>
      <c r="G1" s="265"/>
      <c r="H1" s="265"/>
      <c r="I1" s="265"/>
      <c r="J1" s="265"/>
    </row>
    <row r="2" spans="1:10" ht="19.5" customHeight="1" x14ac:dyDescent="0.25">
      <c r="A2" s="289" t="s">
        <v>161</v>
      </c>
      <c r="B2" s="265"/>
      <c r="C2" s="265"/>
      <c r="D2" s="265"/>
      <c r="E2" s="265"/>
      <c r="F2" s="265"/>
      <c r="G2" s="265"/>
      <c r="H2" s="265"/>
      <c r="I2" s="265"/>
      <c r="J2" s="265"/>
    </row>
    <row r="3" spans="1:10" ht="30" customHeight="1" x14ac:dyDescent="0.25">
      <c r="A3" s="31" t="s">
        <v>162</v>
      </c>
      <c r="B3" s="302">
        <f>'📅 Year Control'!B3</f>
        <v>2026</v>
      </c>
      <c r="C3" s="265"/>
      <c r="D3" s="303" t="s">
        <v>163</v>
      </c>
      <c r="E3" s="265"/>
      <c r="F3" s="265"/>
      <c r="G3" s="265"/>
      <c r="H3" s="265"/>
      <c r="I3" s="265"/>
      <c r="J3" s="265"/>
    </row>
    <row r="5" spans="1:10" ht="18" customHeight="1" x14ac:dyDescent="0.25">
      <c r="A5" s="306" t="s">
        <v>164</v>
      </c>
      <c r="B5" s="265"/>
      <c r="C5" s="265"/>
      <c r="D5" s="265"/>
      <c r="E5" s="265"/>
      <c r="F5" s="265"/>
      <c r="G5" s="265"/>
      <c r="H5" s="265"/>
      <c r="I5" s="265"/>
      <c r="J5" s="265"/>
    </row>
    <row r="6" spans="1:10" ht="15" customHeight="1" x14ac:dyDescent="0.25">
      <c r="A6" s="298" t="s">
        <v>165</v>
      </c>
      <c r="B6" s="265"/>
      <c r="C6" s="298" t="s">
        <v>166</v>
      </c>
      <c r="D6" s="265"/>
      <c r="E6" s="298" t="s">
        <v>167</v>
      </c>
      <c r="F6" s="265"/>
      <c r="G6" s="298" t="s">
        <v>168</v>
      </c>
      <c r="H6" s="265"/>
      <c r="I6" s="298" t="s">
        <v>169</v>
      </c>
      <c r="J6" s="265"/>
    </row>
    <row r="7" spans="1:10" ht="30" customHeight="1" x14ac:dyDescent="0.25">
      <c r="A7" s="300">
        <f ca="1">'🧮 TimeCalc'!B7</f>
        <v>0</v>
      </c>
      <c r="B7" s="301"/>
      <c r="C7" s="300">
        <f ca="1">'🧮 TimeCalc'!B17</f>
        <v>0</v>
      </c>
      <c r="D7" s="301"/>
      <c r="E7" s="300">
        <f ca="1">'🧮 TimeCalc'!B19</f>
        <v>0</v>
      </c>
      <c r="F7" s="301"/>
      <c r="G7" s="300">
        <f ca="1">'🧮 TimeCalc'!B25</f>
        <v>0</v>
      </c>
      <c r="H7" s="301"/>
      <c r="I7" s="300">
        <f ca="1">'🧮 TimeCalc'!B26</f>
        <v>0</v>
      </c>
      <c r="J7" s="301"/>
    </row>
    <row r="9" spans="1:10" ht="21.75" customHeight="1" x14ac:dyDescent="0.25">
      <c r="A9" s="299" t="s">
        <v>170</v>
      </c>
      <c r="B9" s="265"/>
      <c r="C9" s="265"/>
      <c r="D9" s="265"/>
      <c r="E9" s="265"/>
      <c r="F9" s="265"/>
      <c r="G9" s="265"/>
      <c r="H9" s="265"/>
      <c r="I9" s="265"/>
      <c r="J9" s="265"/>
    </row>
    <row r="10" spans="1:10" ht="18" customHeight="1" x14ac:dyDescent="0.25">
      <c r="A10" s="12" t="s">
        <v>91</v>
      </c>
      <c r="B10" s="12" t="s">
        <v>171</v>
      </c>
      <c r="C10" s="12" t="s">
        <v>44</v>
      </c>
      <c r="D10" s="12" t="s">
        <v>172</v>
      </c>
      <c r="E10" s="12" t="s">
        <v>173</v>
      </c>
      <c r="F10" s="12"/>
      <c r="G10" s="12"/>
      <c r="H10" s="12"/>
      <c r="I10" s="12"/>
      <c r="J10" s="12"/>
    </row>
    <row r="11" spans="1:10" ht="18" customHeight="1" x14ac:dyDescent="0.25">
      <c r="A11" s="23" t="s">
        <v>174</v>
      </c>
      <c r="B11" s="24">
        <f ca="1">'🧮 TimeCalc'!B10</f>
        <v>0</v>
      </c>
      <c r="C11" s="24">
        <f ca="1">'🧮 TimeCalc'!B7</f>
        <v>0</v>
      </c>
      <c r="D11" s="24">
        <f ca="1">C11-B11</f>
        <v>0</v>
      </c>
      <c r="E11" s="32" t="str">
        <f ca="1">IFERROR((C11-B11)/ABS(B11),"")</f>
        <v/>
      </c>
    </row>
    <row r="12" spans="1:10" ht="18" customHeight="1" x14ac:dyDescent="0.25">
      <c r="A12" s="23" t="s">
        <v>175</v>
      </c>
      <c r="B12" s="24">
        <f ca="1">'🧮 TimeCalc'!B20</f>
        <v>0</v>
      </c>
      <c r="C12" s="24">
        <f ca="1">'🧮 TimeCalc'!B17</f>
        <v>0</v>
      </c>
      <c r="D12" s="24">
        <f ca="1">C12-B12</f>
        <v>0</v>
      </c>
      <c r="E12" s="32" t="str">
        <f ca="1">IFERROR((C12-B12)/ABS(B12),"")</f>
        <v/>
      </c>
    </row>
    <row r="13" spans="1:10" ht="18" customHeight="1" x14ac:dyDescent="0.25">
      <c r="A13" s="23" t="s">
        <v>176</v>
      </c>
      <c r="B13" s="24">
        <f ca="1">SUMPRODUCT((ISNUMBER(DB_Loans!D2:D5001))*(YEAR(IF(ISNUMBER(DB_Loans!D2:D5001),DB_Loans!D2:D5001,TODAY()))=IF(SelectedYear="All Years",YEAR(TODAY())-1,(SelectedYear+0)-1))*IF(ISNUMBER(DB_Loans!E2:E5001),DB_Loans!E2:E5001,0))</f>
        <v>0</v>
      </c>
      <c r="C13" s="24">
        <f ca="1">'🧮 TimeCalc'!B25</f>
        <v>0</v>
      </c>
      <c r="D13" s="24">
        <f ca="1">C13-B13</f>
        <v>0</v>
      </c>
      <c r="E13" s="32" t="str">
        <f ca="1">IFERROR((C13-B13)/ABS(B13),"")</f>
        <v/>
      </c>
    </row>
    <row r="15" spans="1:10" ht="21.75" customHeight="1" x14ac:dyDescent="0.25">
      <c r="A15" s="304" t="s">
        <v>177</v>
      </c>
      <c r="B15" s="265"/>
      <c r="C15" s="265"/>
      <c r="D15" s="265"/>
      <c r="E15" s="265"/>
      <c r="F15" s="265"/>
      <c r="G15" s="265"/>
      <c r="H15" s="265"/>
      <c r="I15" s="265"/>
      <c r="J15" s="265"/>
    </row>
    <row r="16" spans="1:10" ht="18" customHeight="1" x14ac:dyDescent="0.25">
      <c r="A16" s="12" t="s">
        <v>1</v>
      </c>
      <c r="B16" s="12" t="s">
        <v>130</v>
      </c>
      <c r="C16" s="12" t="s">
        <v>131</v>
      </c>
      <c r="D16" s="12" t="s">
        <v>178</v>
      </c>
      <c r="E16" s="12" t="s">
        <v>179</v>
      </c>
      <c r="F16" s="12" t="s">
        <v>180</v>
      </c>
      <c r="G16" s="12" t="s">
        <v>181</v>
      </c>
      <c r="H16" s="12" t="s">
        <v>182</v>
      </c>
      <c r="I16" s="12" t="s">
        <v>183</v>
      </c>
      <c r="J16" s="12"/>
    </row>
    <row r="17" spans="1:10" ht="18" customHeight="1" x14ac:dyDescent="0.25">
      <c r="A17" s="33">
        <v>2026</v>
      </c>
      <c r="B17" s="24">
        <f ca="1">SUMPRODUCT((ISNUMBER(DB_Savings!E2:E5001))*(YEAR(IF(ISNUMBER(DB_Savings!E2:E5001),DB_Savings!E2:E5001,TODAY()))=2026)*IF(ISNUMBER(DB_Savings!F2:F5001),DB_Savings!F2:F5001,0))</f>
        <v>0</v>
      </c>
      <c r="C17" s="24">
        <f ca="1">SUMPRODUCT((ISNUMBER(DB_Withdrawals!E2:E5001))*(YEAR(IF(ISNUMBER(DB_Withdrawals!E2:E5001),DB_Withdrawals!E2:E5001,TODAY()))=2026)*IF(ISNUMBER(DB_Withdrawals!F2:F5001),DB_Withdrawals!F2:F5001,0))</f>
        <v>0</v>
      </c>
      <c r="D17" s="24">
        <f t="shared" ref="D17:D27" ca="1" si="0">B17-C17</f>
        <v>0</v>
      </c>
      <c r="E17" s="24">
        <f ca="1">SUMPRODUCT((ISNUMBER(DB_Loans!D2:D5001))*(YEAR(IF(ISNUMBER(DB_Loans!D2:D5001),DB_Loans!D2:D5001,TODAY()))=2026)*IF(ISNUMBER(DB_Loans!E2:E5001),DB_Loans!E2:E5001,0))</f>
        <v>0</v>
      </c>
      <c r="F17" s="25">
        <f ca="1">SUMPRODUCT((ISNUMBER(DB_Loans!D2:D5001))*(YEAR(IF(ISNUMBER(DB_Loans!D2:D5001),DB_Loans!D2:D5001,TODAY()))=2026)*1)</f>
        <v>0</v>
      </c>
      <c r="G17" s="24">
        <f t="shared" ref="G17:G27" ca="1" si="1">IFERROR(E17/F17,0)</f>
        <v>0</v>
      </c>
      <c r="H17" s="24">
        <v>0</v>
      </c>
      <c r="I17" s="32" t="str">
        <f t="shared" ref="I17:I27" ca="1" si="2">IFERROR((B17-H17)/ABS(H17),"")</f>
        <v/>
      </c>
    </row>
    <row r="18" spans="1:10" ht="18" customHeight="1" x14ac:dyDescent="0.25">
      <c r="A18" s="34">
        <v>2027</v>
      </c>
      <c r="B18" s="24">
        <f ca="1">SUMPRODUCT((ISNUMBER(DB_Savings!E2:E5001))*(YEAR(IF(ISNUMBER(DB_Savings!E2:E5001),DB_Savings!E2:E5001,TODAY()))=2027)*IF(ISNUMBER(DB_Savings!F2:F5001),DB_Savings!F2:F5001,0))</f>
        <v>0</v>
      </c>
      <c r="C18" s="24">
        <f ca="1">SUMPRODUCT((ISNUMBER(DB_Withdrawals!E2:E5001))*(YEAR(IF(ISNUMBER(DB_Withdrawals!E2:E5001),DB_Withdrawals!E2:E5001,TODAY()))=2027)*IF(ISNUMBER(DB_Withdrawals!F2:F5001),DB_Withdrawals!F2:F5001,0))</f>
        <v>0</v>
      </c>
      <c r="D18" s="24">
        <f t="shared" ca="1" si="0"/>
        <v>0</v>
      </c>
      <c r="E18" s="24">
        <f ca="1">SUMPRODUCT((ISNUMBER(DB_Loans!D2:D5001))*(YEAR(IF(ISNUMBER(DB_Loans!D2:D5001),DB_Loans!D2:D5001,TODAY()))=2027)*IF(ISNUMBER(DB_Loans!E2:E5001),DB_Loans!E2:E5001,0))</f>
        <v>0</v>
      </c>
      <c r="F18" s="25">
        <f ca="1">SUMPRODUCT((ISNUMBER(DB_Loans!D2:D5001))*(YEAR(IF(ISNUMBER(DB_Loans!D2:D5001),DB_Loans!D2:D5001,TODAY()))=2027)*1)</f>
        <v>0</v>
      </c>
      <c r="G18" s="24">
        <f t="shared" ca="1" si="1"/>
        <v>0</v>
      </c>
      <c r="H18" s="24">
        <f t="shared" ref="H18:H27" ca="1" si="3">B17</f>
        <v>0</v>
      </c>
      <c r="I18" s="32" t="str">
        <f t="shared" ca="1" si="2"/>
        <v/>
      </c>
    </row>
    <row r="19" spans="1:10" ht="18" customHeight="1" x14ac:dyDescent="0.25">
      <c r="A19" s="34">
        <v>2028</v>
      </c>
      <c r="B19" s="24">
        <f ca="1">SUMPRODUCT((ISNUMBER(DB_Savings!E2:E5001))*(YEAR(IF(ISNUMBER(DB_Savings!E2:E5001),DB_Savings!E2:E5001,TODAY()))=2028)*IF(ISNUMBER(DB_Savings!F2:F5001),DB_Savings!F2:F5001,0))</f>
        <v>0</v>
      </c>
      <c r="C19" s="24">
        <f ca="1">SUMPRODUCT((ISNUMBER(DB_Withdrawals!E2:E5001))*(YEAR(IF(ISNUMBER(DB_Withdrawals!E2:E5001),DB_Withdrawals!E2:E5001,TODAY()))=2028)*IF(ISNUMBER(DB_Withdrawals!F2:F5001),DB_Withdrawals!F2:F5001,0))</f>
        <v>0</v>
      </c>
      <c r="D19" s="24">
        <f t="shared" ca="1" si="0"/>
        <v>0</v>
      </c>
      <c r="E19" s="24">
        <f ca="1">SUMPRODUCT((ISNUMBER(DB_Loans!D2:D5001))*(YEAR(IF(ISNUMBER(DB_Loans!D2:D5001),DB_Loans!D2:D5001,TODAY()))=2028)*IF(ISNUMBER(DB_Loans!E2:E5001),DB_Loans!E2:E5001,0))</f>
        <v>0</v>
      </c>
      <c r="F19" s="25">
        <f ca="1">SUMPRODUCT((ISNUMBER(DB_Loans!D2:D5001))*(YEAR(IF(ISNUMBER(DB_Loans!D2:D5001),DB_Loans!D2:D5001,TODAY()))=2028)*1)</f>
        <v>0</v>
      </c>
      <c r="G19" s="24">
        <f t="shared" ca="1" si="1"/>
        <v>0</v>
      </c>
      <c r="H19" s="24">
        <f t="shared" ca="1" si="3"/>
        <v>0</v>
      </c>
      <c r="I19" s="32" t="str">
        <f t="shared" ca="1" si="2"/>
        <v/>
      </c>
    </row>
    <row r="20" spans="1:10" ht="18" customHeight="1" x14ac:dyDescent="0.25">
      <c r="A20" s="34">
        <v>2029</v>
      </c>
      <c r="B20" s="24">
        <f ca="1">SUMPRODUCT((ISNUMBER(DB_Savings!E2:E5001))*(YEAR(IF(ISNUMBER(DB_Savings!E2:E5001),DB_Savings!E2:E5001,TODAY()))=2029)*IF(ISNUMBER(DB_Savings!F2:F5001),DB_Savings!F2:F5001,0))</f>
        <v>0</v>
      </c>
      <c r="C20" s="24">
        <f ca="1">SUMPRODUCT((ISNUMBER(DB_Withdrawals!E2:E5001))*(YEAR(IF(ISNUMBER(DB_Withdrawals!E2:E5001),DB_Withdrawals!E2:E5001,TODAY()))=2029)*IF(ISNUMBER(DB_Withdrawals!F2:F5001),DB_Withdrawals!F2:F5001,0))</f>
        <v>0</v>
      </c>
      <c r="D20" s="24">
        <f t="shared" ca="1" si="0"/>
        <v>0</v>
      </c>
      <c r="E20" s="24">
        <f ca="1">SUMPRODUCT((ISNUMBER(DB_Loans!D2:D5001))*(YEAR(IF(ISNUMBER(DB_Loans!D2:D5001),DB_Loans!D2:D5001,TODAY()))=2029)*IF(ISNUMBER(DB_Loans!E2:E5001),DB_Loans!E2:E5001,0))</f>
        <v>0</v>
      </c>
      <c r="F20" s="25">
        <f ca="1">SUMPRODUCT((ISNUMBER(DB_Loans!D2:D5001))*(YEAR(IF(ISNUMBER(DB_Loans!D2:D5001),DB_Loans!D2:D5001,TODAY()))=2029)*1)</f>
        <v>0</v>
      </c>
      <c r="G20" s="24">
        <f t="shared" ca="1" si="1"/>
        <v>0</v>
      </c>
      <c r="H20" s="24">
        <f t="shared" ca="1" si="3"/>
        <v>0</v>
      </c>
      <c r="I20" s="32" t="str">
        <f t="shared" ca="1" si="2"/>
        <v/>
      </c>
    </row>
    <row r="21" spans="1:10" ht="18" customHeight="1" x14ac:dyDescent="0.25">
      <c r="A21" s="34">
        <v>2030</v>
      </c>
      <c r="B21" s="24">
        <f ca="1">SUMPRODUCT((ISNUMBER(DB_Savings!E2:E5001))*(YEAR(IF(ISNUMBER(DB_Savings!E2:E5001),DB_Savings!E2:E5001,TODAY()))=2030)*IF(ISNUMBER(DB_Savings!F2:F5001),DB_Savings!F2:F5001,0))</f>
        <v>0</v>
      </c>
      <c r="C21" s="24">
        <f ca="1">SUMPRODUCT((ISNUMBER(DB_Withdrawals!E2:E5001))*(YEAR(IF(ISNUMBER(DB_Withdrawals!E2:E5001),DB_Withdrawals!E2:E5001,TODAY()))=2030)*IF(ISNUMBER(DB_Withdrawals!F2:F5001),DB_Withdrawals!F2:F5001,0))</f>
        <v>0</v>
      </c>
      <c r="D21" s="24">
        <f t="shared" ca="1" si="0"/>
        <v>0</v>
      </c>
      <c r="E21" s="24">
        <f ca="1">SUMPRODUCT((ISNUMBER(DB_Loans!D2:D5001))*(YEAR(IF(ISNUMBER(DB_Loans!D2:D5001),DB_Loans!D2:D5001,TODAY()))=2030)*IF(ISNUMBER(DB_Loans!E2:E5001),DB_Loans!E2:E5001,0))</f>
        <v>0</v>
      </c>
      <c r="F21" s="25">
        <f ca="1">SUMPRODUCT((ISNUMBER(DB_Loans!D2:D5001))*(YEAR(IF(ISNUMBER(DB_Loans!D2:D5001),DB_Loans!D2:D5001,TODAY()))=2030)*1)</f>
        <v>0</v>
      </c>
      <c r="G21" s="24">
        <f t="shared" ca="1" si="1"/>
        <v>0</v>
      </c>
      <c r="H21" s="24">
        <f t="shared" ca="1" si="3"/>
        <v>0</v>
      </c>
      <c r="I21" s="32" t="str">
        <f t="shared" ca="1" si="2"/>
        <v/>
      </c>
    </row>
    <row r="22" spans="1:10" ht="18" customHeight="1" x14ac:dyDescent="0.25">
      <c r="A22" s="34">
        <v>2031</v>
      </c>
      <c r="B22" s="24">
        <f ca="1">SUMPRODUCT((ISNUMBER(DB_Savings!E2:E5001))*(YEAR(IF(ISNUMBER(DB_Savings!E2:E5001),DB_Savings!E2:E5001,TODAY()))=2031)*IF(ISNUMBER(DB_Savings!F2:F5001),DB_Savings!F2:F5001,0))</f>
        <v>0</v>
      </c>
      <c r="C22" s="24">
        <f ca="1">SUMPRODUCT((ISNUMBER(DB_Withdrawals!E2:E5001))*(YEAR(IF(ISNUMBER(DB_Withdrawals!E2:E5001),DB_Withdrawals!E2:E5001,TODAY()))=2031)*IF(ISNUMBER(DB_Withdrawals!F2:F5001),DB_Withdrawals!F2:F5001,0))</f>
        <v>0</v>
      </c>
      <c r="D22" s="24">
        <f t="shared" ca="1" si="0"/>
        <v>0</v>
      </c>
      <c r="E22" s="24">
        <f ca="1">SUMPRODUCT((ISNUMBER(DB_Loans!D2:D5001))*(YEAR(IF(ISNUMBER(DB_Loans!D2:D5001),DB_Loans!D2:D5001,TODAY()))=2031)*IF(ISNUMBER(DB_Loans!E2:E5001),DB_Loans!E2:E5001,0))</f>
        <v>0</v>
      </c>
      <c r="F22" s="25">
        <f ca="1">SUMPRODUCT((ISNUMBER(DB_Loans!D2:D5001))*(YEAR(IF(ISNUMBER(DB_Loans!D2:D5001),DB_Loans!D2:D5001,TODAY()))=2031)*1)</f>
        <v>0</v>
      </c>
      <c r="G22" s="24">
        <f t="shared" ca="1" si="1"/>
        <v>0</v>
      </c>
      <c r="H22" s="24">
        <f t="shared" ca="1" si="3"/>
        <v>0</v>
      </c>
      <c r="I22" s="32" t="str">
        <f t="shared" ca="1" si="2"/>
        <v/>
      </c>
    </row>
    <row r="23" spans="1:10" ht="18" customHeight="1" x14ac:dyDescent="0.25">
      <c r="A23" s="34">
        <v>2032</v>
      </c>
      <c r="B23" s="24">
        <f ca="1">SUMPRODUCT((ISNUMBER(DB_Savings!E2:E5001))*(YEAR(IF(ISNUMBER(DB_Savings!E2:E5001),DB_Savings!E2:E5001,TODAY()))=2032)*IF(ISNUMBER(DB_Savings!F2:F5001),DB_Savings!F2:F5001,0))</f>
        <v>0</v>
      </c>
      <c r="C23" s="24">
        <f ca="1">SUMPRODUCT((ISNUMBER(DB_Withdrawals!E2:E5001))*(YEAR(IF(ISNUMBER(DB_Withdrawals!E2:E5001),DB_Withdrawals!E2:E5001,TODAY()))=2032)*IF(ISNUMBER(DB_Withdrawals!F2:F5001),DB_Withdrawals!F2:F5001,0))</f>
        <v>0</v>
      </c>
      <c r="D23" s="24">
        <f t="shared" ca="1" si="0"/>
        <v>0</v>
      </c>
      <c r="E23" s="24">
        <f ca="1">SUMPRODUCT((ISNUMBER(DB_Loans!D2:D5001))*(YEAR(IF(ISNUMBER(DB_Loans!D2:D5001),DB_Loans!D2:D5001,TODAY()))=2032)*IF(ISNUMBER(DB_Loans!E2:E5001),DB_Loans!E2:E5001,0))</f>
        <v>0</v>
      </c>
      <c r="F23" s="25">
        <f ca="1">SUMPRODUCT((ISNUMBER(DB_Loans!D2:D5001))*(YEAR(IF(ISNUMBER(DB_Loans!D2:D5001),DB_Loans!D2:D5001,TODAY()))=2032)*1)</f>
        <v>0</v>
      </c>
      <c r="G23" s="24">
        <f t="shared" ca="1" si="1"/>
        <v>0</v>
      </c>
      <c r="H23" s="24">
        <f t="shared" ca="1" si="3"/>
        <v>0</v>
      </c>
      <c r="I23" s="32" t="str">
        <f t="shared" ca="1" si="2"/>
        <v/>
      </c>
    </row>
    <row r="24" spans="1:10" ht="18" customHeight="1" x14ac:dyDescent="0.25">
      <c r="A24" s="34">
        <v>2033</v>
      </c>
      <c r="B24" s="24">
        <f ca="1">SUMPRODUCT((ISNUMBER(DB_Savings!E2:E5001))*(YEAR(IF(ISNUMBER(DB_Savings!E2:E5001),DB_Savings!E2:E5001,TODAY()))=2033)*IF(ISNUMBER(DB_Savings!F2:F5001),DB_Savings!F2:F5001,0))</f>
        <v>0</v>
      </c>
      <c r="C24" s="24">
        <f ca="1">SUMPRODUCT((ISNUMBER(DB_Withdrawals!E2:E5001))*(YEAR(IF(ISNUMBER(DB_Withdrawals!E2:E5001),DB_Withdrawals!E2:E5001,TODAY()))=2033)*IF(ISNUMBER(DB_Withdrawals!F2:F5001),DB_Withdrawals!F2:F5001,0))</f>
        <v>0</v>
      </c>
      <c r="D24" s="24">
        <f t="shared" ca="1" si="0"/>
        <v>0</v>
      </c>
      <c r="E24" s="24">
        <f ca="1">SUMPRODUCT((ISNUMBER(DB_Loans!D2:D5001))*(YEAR(IF(ISNUMBER(DB_Loans!D2:D5001),DB_Loans!D2:D5001,TODAY()))=2033)*IF(ISNUMBER(DB_Loans!E2:E5001),DB_Loans!E2:E5001,0))</f>
        <v>0</v>
      </c>
      <c r="F24" s="25">
        <f ca="1">SUMPRODUCT((ISNUMBER(DB_Loans!D2:D5001))*(YEAR(IF(ISNUMBER(DB_Loans!D2:D5001),DB_Loans!D2:D5001,TODAY()))=2033)*1)</f>
        <v>0</v>
      </c>
      <c r="G24" s="24">
        <f t="shared" ca="1" si="1"/>
        <v>0</v>
      </c>
      <c r="H24" s="24">
        <f t="shared" ca="1" si="3"/>
        <v>0</v>
      </c>
      <c r="I24" s="32" t="str">
        <f t="shared" ca="1" si="2"/>
        <v/>
      </c>
    </row>
    <row r="25" spans="1:10" ht="18" customHeight="1" x14ac:dyDescent="0.25">
      <c r="A25" s="34">
        <v>2034</v>
      </c>
      <c r="B25" s="24">
        <f ca="1">SUMPRODUCT((ISNUMBER(DB_Savings!E2:E5001))*(YEAR(IF(ISNUMBER(DB_Savings!E2:E5001),DB_Savings!E2:E5001,TODAY()))=2034)*IF(ISNUMBER(DB_Savings!F2:F5001),DB_Savings!F2:F5001,0))</f>
        <v>0</v>
      </c>
      <c r="C25" s="24">
        <f ca="1">SUMPRODUCT((ISNUMBER(DB_Withdrawals!E2:E5001))*(YEAR(IF(ISNUMBER(DB_Withdrawals!E2:E5001),DB_Withdrawals!E2:E5001,TODAY()))=2034)*IF(ISNUMBER(DB_Withdrawals!F2:F5001),DB_Withdrawals!F2:F5001,0))</f>
        <v>0</v>
      </c>
      <c r="D25" s="24">
        <f t="shared" ca="1" si="0"/>
        <v>0</v>
      </c>
      <c r="E25" s="24">
        <f ca="1">SUMPRODUCT((ISNUMBER(DB_Loans!D2:D5001))*(YEAR(IF(ISNUMBER(DB_Loans!D2:D5001),DB_Loans!D2:D5001,TODAY()))=2034)*IF(ISNUMBER(DB_Loans!E2:E5001),DB_Loans!E2:E5001,0))</f>
        <v>0</v>
      </c>
      <c r="F25" s="25">
        <f ca="1">SUMPRODUCT((ISNUMBER(DB_Loans!D2:D5001))*(YEAR(IF(ISNUMBER(DB_Loans!D2:D5001),DB_Loans!D2:D5001,TODAY()))=2034)*1)</f>
        <v>0</v>
      </c>
      <c r="G25" s="24">
        <f t="shared" ca="1" si="1"/>
        <v>0</v>
      </c>
      <c r="H25" s="24">
        <f t="shared" ca="1" si="3"/>
        <v>0</v>
      </c>
      <c r="I25" s="32" t="str">
        <f t="shared" ca="1" si="2"/>
        <v/>
      </c>
    </row>
    <row r="26" spans="1:10" ht="18" customHeight="1" x14ac:dyDescent="0.25">
      <c r="A26" s="34">
        <v>2035</v>
      </c>
      <c r="B26" s="24">
        <f ca="1">SUMPRODUCT((ISNUMBER(DB_Savings!E2:E5001))*(YEAR(IF(ISNUMBER(DB_Savings!E2:E5001),DB_Savings!E2:E5001,TODAY()))=2035)*IF(ISNUMBER(DB_Savings!F2:F5001),DB_Savings!F2:F5001,0))</f>
        <v>0</v>
      </c>
      <c r="C26" s="24">
        <f ca="1">SUMPRODUCT((ISNUMBER(DB_Withdrawals!E2:E5001))*(YEAR(IF(ISNUMBER(DB_Withdrawals!E2:E5001),DB_Withdrawals!E2:E5001,TODAY()))=2035)*IF(ISNUMBER(DB_Withdrawals!F2:F5001),DB_Withdrawals!F2:F5001,0))</f>
        <v>0</v>
      </c>
      <c r="D26" s="24">
        <f t="shared" ca="1" si="0"/>
        <v>0</v>
      </c>
      <c r="E26" s="24">
        <f ca="1">SUMPRODUCT((ISNUMBER(DB_Loans!D2:D5001))*(YEAR(IF(ISNUMBER(DB_Loans!D2:D5001),DB_Loans!D2:D5001,TODAY()))=2035)*IF(ISNUMBER(DB_Loans!E2:E5001),DB_Loans!E2:E5001,0))</f>
        <v>0</v>
      </c>
      <c r="F26" s="25">
        <f ca="1">SUMPRODUCT((ISNUMBER(DB_Loans!D2:D5001))*(YEAR(IF(ISNUMBER(DB_Loans!D2:D5001),DB_Loans!D2:D5001,TODAY()))=2035)*1)</f>
        <v>0</v>
      </c>
      <c r="G26" s="24">
        <f t="shared" ca="1" si="1"/>
        <v>0</v>
      </c>
      <c r="H26" s="24">
        <f t="shared" ca="1" si="3"/>
        <v>0</v>
      </c>
      <c r="I26" s="32" t="str">
        <f t="shared" ca="1" si="2"/>
        <v/>
      </c>
    </row>
    <row r="27" spans="1:10" ht="18" customHeight="1" x14ac:dyDescent="0.25">
      <c r="A27" s="34">
        <v>2036</v>
      </c>
      <c r="B27" s="24">
        <f ca="1">SUMPRODUCT((ISNUMBER(DB_Savings!E2:E5001))*(YEAR(IF(ISNUMBER(DB_Savings!E2:E5001),DB_Savings!E2:E5001,TODAY()))=2036)*IF(ISNUMBER(DB_Savings!F2:F5001),DB_Savings!F2:F5001,0))</f>
        <v>0</v>
      </c>
      <c r="C27" s="24">
        <f ca="1">SUMPRODUCT((ISNUMBER(DB_Withdrawals!E2:E5001))*(YEAR(IF(ISNUMBER(DB_Withdrawals!E2:E5001),DB_Withdrawals!E2:E5001,TODAY()))=2036)*IF(ISNUMBER(DB_Withdrawals!F2:F5001),DB_Withdrawals!F2:F5001,0))</f>
        <v>0</v>
      </c>
      <c r="D27" s="24">
        <f t="shared" ca="1" si="0"/>
        <v>0</v>
      </c>
      <c r="E27" s="24">
        <f ca="1">SUMPRODUCT((ISNUMBER(DB_Loans!D2:D5001))*(YEAR(IF(ISNUMBER(DB_Loans!D2:D5001),DB_Loans!D2:D5001,TODAY()))=2036)*IF(ISNUMBER(DB_Loans!E2:E5001),DB_Loans!E2:E5001,0))</f>
        <v>0</v>
      </c>
      <c r="F27" s="25">
        <f ca="1">SUMPRODUCT((ISNUMBER(DB_Loans!D2:D5001))*(YEAR(IF(ISNUMBER(DB_Loans!D2:D5001),DB_Loans!D2:D5001,TODAY()))=2036)*1)</f>
        <v>0</v>
      </c>
      <c r="G27" s="24">
        <f t="shared" ca="1" si="1"/>
        <v>0</v>
      </c>
      <c r="H27" s="24">
        <f t="shared" ca="1" si="3"/>
        <v>0</v>
      </c>
      <c r="I27" s="32" t="str">
        <f t="shared" ca="1" si="2"/>
        <v/>
      </c>
    </row>
    <row r="29" spans="1:10" ht="21.75" customHeight="1" x14ac:dyDescent="0.25">
      <c r="A29" s="297" t="s">
        <v>184</v>
      </c>
      <c r="B29" s="265"/>
      <c r="C29" s="265"/>
      <c r="D29" s="265"/>
      <c r="E29" s="265"/>
      <c r="F29" s="265"/>
      <c r="G29" s="265"/>
      <c r="H29" s="265"/>
      <c r="I29" s="265"/>
      <c r="J29" s="265"/>
    </row>
    <row r="30" spans="1:10" ht="18" customHeight="1" x14ac:dyDescent="0.25">
      <c r="A30" s="12" t="s">
        <v>145</v>
      </c>
      <c r="B30" s="12" t="s">
        <v>130</v>
      </c>
      <c r="C30" s="12" t="s">
        <v>131</v>
      </c>
      <c r="D30" s="12" t="s">
        <v>146</v>
      </c>
      <c r="E30" s="12"/>
      <c r="F30" s="12"/>
      <c r="G30" s="12"/>
      <c r="H30" s="12"/>
      <c r="I30" s="12"/>
      <c r="J30" s="12"/>
    </row>
    <row r="31" spans="1:10" ht="18" customHeight="1" x14ac:dyDescent="0.25">
      <c r="A31" s="23" t="s">
        <v>147</v>
      </c>
      <c r="B31" s="24">
        <f ca="1">'🧮 TimeCalc'!B47</f>
        <v>0</v>
      </c>
      <c r="C31" s="24">
        <f ca="1">'🧮 TimeCalc'!C47</f>
        <v>0</v>
      </c>
      <c r="D31" s="24">
        <f ca="1">'🧮 TimeCalc'!D47</f>
        <v>0</v>
      </c>
    </row>
    <row r="32" spans="1:10" ht="18" customHeight="1" x14ac:dyDescent="0.25">
      <c r="A32" s="23" t="s">
        <v>148</v>
      </c>
      <c r="B32" s="24">
        <f ca="1">'🧮 TimeCalc'!B48</f>
        <v>0</v>
      </c>
      <c r="C32" s="24">
        <f ca="1">'🧮 TimeCalc'!C48</f>
        <v>0</v>
      </c>
      <c r="D32" s="24">
        <f ca="1">'🧮 TimeCalc'!D48</f>
        <v>0</v>
      </c>
    </row>
    <row r="33" spans="1:4" ht="18" customHeight="1" x14ac:dyDescent="0.25">
      <c r="A33" s="23" t="s">
        <v>149</v>
      </c>
      <c r="B33" s="24">
        <f ca="1">'🧮 TimeCalc'!B49</f>
        <v>0</v>
      </c>
      <c r="C33" s="24">
        <f ca="1">'🧮 TimeCalc'!C49</f>
        <v>0</v>
      </c>
      <c r="D33" s="24">
        <f ca="1">'🧮 TimeCalc'!D49</f>
        <v>0</v>
      </c>
    </row>
    <row r="34" spans="1:4" ht="18" customHeight="1" x14ac:dyDescent="0.25">
      <c r="A34" s="23" t="s">
        <v>150</v>
      </c>
      <c r="B34" s="24">
        <f ca="1">'🧮 TimeCalc'!B50</f>
        <v>0</v>
      </c>
      <c r="C34" s="24">
        <f ca="1">'🧮 TimeCalc'!C50</f>
        <v>0</v>
      </c>
      <c r="D34" s="24">
        <f ca="1">'🧮 TimeCalc'!D50</f>
        <v>0</v>
      </c>
    </row>
    <row r="35" spans="1:4" ht="18" customHeight="1" x14ac:dyDescent="0.25">
      <c r="A35" s="23" t="s">
        <v>151</v>
      </c>
      <c r="B35" s="24">
        <f ca="1">'🧮 TimeCalc'!B51</f>
        <v>0</v>
      </c>
      <c r="C35" s="24">
        <f ca="1">'🧮 TimeCalc'!C51</f>
        <v>0</v>
      </c>
      <c r="D35" s="24">
        <f ca="1">'🧮 TimeCalc'!D51</f>
        <v>0</v>
      </c>
    </row>
    <row r="36" spans="1:4" ht="18" customHeight="1" x14ac:dyDescent="0.25">
      <c r="A36" s="23" t="s">
        <v>152</v>
      </c>
      <c r="B36" s="24">
        <f ca="1">'🧮 TimeCalc'!B52</f>
        <v>0</v>
      </c>
      <c r="C36" s="24">
        <f ca="1">'🧮 TimeCalc'!C52</f>
        <v>0</v>
      </c>
      <c r="D36" s="24">
        <f ca="1">'🧮 TimeCalc'!D52</f>
        <v>0</v>
      </c>
    </row>
    <row r="37" spans="1:4" ht="18" customHeight="1" x14ac:dyDescent="0.25">
      <c r="A37" s="23" t="s">
        <v>153</v>
      </c>
      <c r="B37" s="24">
        <f ca="1">'🧮 TimeCalc'!B53</f>
        <v>0</v>
      </c>
      <c r="C37" s="24">
        <f ca="1">'🧮 TimeCalc'!C53</f>
        <v>0</v>
      </c>
      <c r="D37" s="24">
        <f ca="1">'🧮 TimeCalc'!D53</f>
        <v>0</v>
      </c>
    </row>
    <row r="38" spans="1:4" ht="18" customHeight="1" x14ac:dyDescent="0.25">
      <c r="A38" s="23" t="s">
        <v>154</v>
      </c>
      <c r="B38" s="24">
        <f ca="1">'🧮 TimeCalc'!B54</f>
        <v>0</v>
      </c>
      <c r="C38" s="24">
        <f ca="1">'🧮 TimeCalc'!C54</f>
        <v>0</v>
      </c>
      <c r="D38" s="24">
        <f ca="1">'🧮 TimeCalc'!D54</f>
        <v>0</v>
      </c>
    </row>
    <row r="39" spans="1:4" ht="18" customHeight="1" x14ac:dyDescent="0.25">
      <c r="A39" s="23" t="s">
        <v>155</v>
      </c>
      <c r="B39" s="24">
        <f ca="1">'🧮 TimeCalc'!B55</f>
        <v>0</v>
      </c>
      <c r="C39" s="24">
        <f ca="1">'🧮 TimeCalc'!C55</f>
        <v>0</v>
      </c>
      <c r="D39" s="24">
        <f ca="1">'🧮 TimeCalc'!D55</f>
        <v>0</v>
      </c>
    </row>
    <row r="40" spans="1:4" ht="18" customHeight="1" x14ac:dyDescent="0.25">
      <c r="A40" s="23" t="s">
        <v>156</v>
      </c>
      <c r="B40" s="24">
        <f ca="1">'🧮 TimeCalc'!B56</f>
        <v>0</v>
      </c>
      <c r="C40" s="24">
        <f ca="1">'🧮 TimeCalc'!C56</f>
        <v>0</v>
      </c>
      <c r="D40" s="24">
        <f ca="1">'🧮 TimeCalc'!D56</f>
        <v>0</v>
      </c>
    </row>
    <row r="41" spans="1:4" ht="18" customHeight="1" x14ac:dyDescent="0.25">
      <c r="A41" s="23" t="s">
        <v>157</v>
      </c>
      <c r="B41" s="24">
        <f ca="1">'🧮 TimeCalc'!B57</f>
        <v>0</v>
      </c>
      <c r="C41" s="24">
        <f ca="1">'🧮 TimeCalc'!C57</f>
        <v>0</v>
      </c>
      <c r="D41" s="24">
        <f ca="1">'🧮 TimeCalc'!D57</f>
        <v>0</v>
      </c>
    </row>
    <row r="42" spans="1:4" ht="18" customHeight="1" x14ac:dyDescent="0.25">
      <c r="A42" s="23" t="s">
        <v>158</v>
      </c>
      <c r="B42" s="24">
        <f ca="1">'🧮 TimeCalc'!B58</f>
        <v>0</v>
      </c>
      <c r="C42" s="24">
        <f ca="1">'🧮 TimeCalc'!C58</f>
        <v>0</v>
      </c>
      <c r="D42" s="24">
        <f ca="1">'🧮 TimeCalc'!D58</f>
        <v>0</v>
      </c>
    </row>
  </sheetData>
  <mergeCells count="18">
    <mergeCell ref="A1:J1"/>
    <mergeCell ref="A5:J5"/>
    <mergeCell ref="E6:F6"/>
    <mergeCell ref="C6:D6"/>
    <mergeCell ref="C7:D7"/>
    <mergeCell ref="A7:B7"/>
    <mergeCell ref="G7:H7"/>
    <mergeCell ref="E7:F7"/>
    <mergeCell ref="I6:J6"/>
    <mergeCell ref="A29:J29"/>
    <mergeCell ref="G6:H6"/>
    <mergeCell ref="A2:J2"/>
    <mergeCell ref="A6:B6"/>
    <mergeCell ref="A9:J9"/>
    <mergeCell ref="I7:J7"/>
    <mergeCell ref="B3:C3"/>
    <mergeCell ref="D3:J3"/>
    <mergeCell ref="A15:J15"/>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6AE2D"/>
  </sheetPr>
  <dimension ref="A1:M44"/>
  <sheetViews>
    <sheetView zoomScaleNormal="100" workbookViewId="0">
      <pane ySplit="7" topLeftCell="A8" activePane="bottomLeft" state="frozen"/>
      <selection pane="bottomLeft" activeCell="B32" sqref="B32:M32"/>
    </sheetView>
  </sheetViews>
  <sheetFormatPr defaultColWidth="8.7109375" defaultRowHeight="15" x14ac:dyDescent="0.25"/>
  <cols>
    <col min="1" max="1" width="13" customWidth="1"/>
    <col min="2" max="2" width="15" customWidth="1"/>
    <col min="3" max="3" width="18" customWidth="1"/>
    <col min="4" max="4" width="14" customWidth="1"/>
    <col min="5" max="5" width="13" customWidth="1"/>
    <col min="6" max="7" width="12" customWidth="1"/>
    <col min="8" max="8" width="14" customWidth="1"/>
    <col min="9" max="9" width="12" customWidth="1"/>
    <col min="10" max="13" width="10" customWidth="1"/>
  </cols>
  <sheetData>
    <row r="1" spans="1:13" ht="45" customHeight="1" x14ac:dyDescent="0.25">
      <c r="A1" s="309" t="s">
        <v>185</v>
      </c>
      <c r="B1" s="265"/>
      <c r="C1" s="265"/>
      <c r="D1" s="265"/>
      <c r="E1" s="265"/>
      <c r="F1" s="265"/>
      <c r="G1" s="265"/>
      <c r="H1" s="265"/>
      <c r="I1" s="265"/>
      <c r="J1" s="265"/>
      <c r="K1" s="265"/>
      <c r="L1" s="265"/>
      <c r="M1" s="265"/>
    </row>
    <row r="2" spans="1:13" ht="21.75" customHeight="1" x14ac:dyDescent="0.25">
      <c r="A2" s="307" t="str">
        <f ca="1">UPPER(TEXT(TODAY(),"DDDD, DD MMMM YYYY"))&amp;"  |  Live data from centralized DB — All 10 agents unified"</f>
        <v>FRIDAY, 24 APRIL 2026  |  Live data from centralized DB — All 10 agents unified</v>
      </c>
      <c r="B2" s="265"/>
      <c r="C2" s="265"/>
      <c r="D2" s="265"/>
      <c r="E2" s="265"/>
      <c r="F2" s="265"/>
      <c r="G2" s="265"/>
      <c r="H2" s="265"/>
      <c r="I2" s="265"/>
      <c r="J2" s="265"/>
      <c r="K2" s="265"/>
      <c r="L2" s="265"/>
      <c r="M2" s="265"/>
    </row>
    <row r="3" spans="1:13" ht="7.5" customHeight="1" x14ac:dyDescent="0.25"/>
    <row r="4" spans="1:13" ht="19.5" customHeight="1" x14ac:dyDescent="0.25">
      <c r="A4" s="323" t="s">
        <v>186</v>
      </c>
      <c r="B4" s="265"/>
      <c r="C4" s="328" t="s">
        <v>187</v>
      </c>
      <c r="D4" s="265"/>
      <c r="E4" s="329" t="s">
        <v>188</v>
      </c>
      <c r="F4" s="265"/>
      <c r="G4" s="324" t="s">
        <v>189</v>
      </c>
      <c r="H4" s="265"/>
      <c r="I4" s="325" t="s">
        <v>190</v>
      </c>
      <c r="J4" s="265"/>
      <c r="K4" s="312" t="s">
        <v>191</v>
      </c>
      <c r="L4" s="265"/>
      <c r="M4" s="265"/>
    </row>
    <row r="5" spans="1:13" ht="31.5" customHeight="1" x14ac:dyDescent="0.25">
      <c r="A5" s="313">
        <f ca="1">Daily_Balancing!B14</f>
        <v>0</v>
      </c>
      <c r="B5" s="265"/>
      <c r="C5" s="331">
        <f ca="1">Daily_Balancing!C14</f>
        <v>0</v>
      </c>
      <c r="D5" s="265"/>
      <c r="E5" s="332">
        <f ca="1">Daily_Balancing!D14</f>
        <v>0</v>
      </c>
      <c r="F5" s="265"/>
      <c r="G5" s="315">
        <f>COUNTIF(DB_Customers!K2:K500,"Active")</f>
        <v>0</v>
      </c>
      <c r="H5" s="265"/>
      <c r="I5" s="320">
        <f>COUNTIF(DB_Loans!K2:K500,"Pending")</f>
        <v>0</v>
      </c>
      <c r="J5" s="265"/>
      <c r="K5" s="330">
        <f>SUMIF(DB_Loans!K2:K500,"Approved",DB_Loans!E2:E500)</f>
        <v>0</v>
      </c>
      <c r="L5" s="265"/>
      <c r="M5" s="265"/>
    </row>
    <row r="6" spans="1:13" ht="7.5" customHeight="1" x14ac:dyDescent="0.25"/>
    <row r="7" spans="1:13" ht="21.75" customHeight="1" x14ac:dyDescent="0.25">
      <c r="A7" s="321" t="s">
        <v>192</v>
      </c>
      <c r="B7" s="265"/>
      <c r="C7" s="265"/>
      <c r="D7" s="265"/>
      <c r="E7" s="265"/>
      <c r="F7" s="265"/>
      <c r="G7" s="265"/>
      <c r="H7" s="265"/>
      <c r="I7" s="265"/>
      <c r="J7" s="265"/>
      <c r="K7" s="265"/>
      <c r="L7" s="265"/>
      <c r="M7" s="265"/>
    </row>
    <row r="8" spans="1:13" ht="19.5" customHeight="1" x14ac:dyDescent="0.25">
      <c r="A8" s="36" t="s">
        <v>14</v>
      </c>
      <c r="B8" s="36" t="s">
        <v>193</v>
      </c>
      <c r="C8" s="36" t="s">
        <v>194</v>
      </c>
      <c r="D8" s="36" t="s">
        <v>195</v>
      </c>
      <c r="E8" s="36" t="s">
        <v>196</v>
      </c>
      <c r="F8" s="36" t="s">
        <v>197</v>
      </c>
      <c r="G8" s="36" t="s">
        <v>198</v>
      </c>
      <c r="H8" s="36" t="s">
        <v>199</v>
      </c>
      <c r="I8" s="36" t="s">
        <v>200</v>
      </c>
    </row>
    <row r="9" spans="1:13" ht="15" customHeight="1" x14ac:dyDescent="0.25">
      <c r="A9" s="37" t="s">
        <v>133</v>
      </c>
      <c r="B9" s="38">
        <f ca="1">Daily_Balancing!B4</f>
        <v>0</v>
      </c>
      <c r="C9" s="38">
        <f ca="1">Daily_Balancing!C4</f>
        <v>0</v>
      </c>
      <c r="D9" s="38">
        <f t="shared" ref="D9:D18" ca="1" si="0">B9-C9</f>
        <v>0</v>
      </c>
      <c r="E9" s="39">
        <f ca="1">Daily_Balancing!E4</f>
        <v>0</v>
      </c>
      <c r="F9" s="38">
        <v>5000</v>
      </c>
      <c r="G9" s="40">
        <f t="shared" ref="G9:G19" ca="1" si="1">IFERROR(B9/F9,0)</f>
        <v>0</v>
      </c>
      <c r="H9" s="38">
        <f>SUMIF(DB_Savings!$G:$G,"Agent 01",DB_Savings!$F:$F)</f>
        <v>0</v>
      </c>
      <c r="I9" s="39">
        <f>COUNTIF(DB_Customers!$H:$H,"Agent 01")</f>
        <v>0</v>
      </c>
    </row>
    <row r="10" spans="1:13" ht="15" customHeight="1" x14ac:dyDescent="0.25">
      <c r="A10" s="41" t="s">
        <v>134</v>
      </c>
      <c r="B10" s="42">
        <f ca="1">Daily_Balancing!B5</f>
        <v>0</v>
      </c>
      <c r="C10" s="42">
        <f ca="1">Daily_Balancing!C5</f>
        <v>0</v>
      </c>
      <c r="D10" s="42">
        <f t="shared" ca="1" si="0"/>
        <v>0</v>
      </c>
      <c r="E10" s="43">
        <f ca="1">Daily_Balancing!E5</f>
        <v>0</v>
      </c>
      <c r="F10" s="42">
        <v>5000</v>
      </c>
      <c r="G10" s="44">
        <f t="shared" ca="1" si="1"/>
        <v>0</v>
      </c>
      <c r="H10" s="42">
        <f>SUMIF(DB_Savings!$G:$G,"Agent 02",DB_Savings!$F:$F)</f>
        <v>0</v>
      </c>
      <c r="I10" s="43">
        <f>COUNTIF(DB_Customers!$H:$H,"Agent 02")</f>
        <v>0</v>
      </c>
    </row>
    <row r="11" spans="1:13" ht="15" customHeight="1" x14ac:dyDescent="0.25">
      <c r="A11" s="37" t="s">
        <v>135</v>
      </c>
      <c r="B11" s="38">
        <f ca="1">Daily_Balancing!B6</f>
        <v>0</v>
      </c>
      <c r="C11" s="38">
        <f ca="1">Daily_Balancing!C6</f>
        <v>0</v>
      </c>
      <c r="D11" s="38">
        <f t="shared" ca="1" si="0"/>
        <v>0</v>
      </c>
      <c r="E11" s="39">
        <f ca="1">Daily_Balancing!E6</f>
        <v>0</v>
      </c>
      <c r="F11" s="38">
        <v>5000</v>
      </c>
      <c r="G11" s="40">
        <f t="shared" ca="1" si="1"/>
        <v>0</v>
      </c>
      <c r="H11" s="38">
        <f>SUMIF(DB_Savings!$G:$G,"Agent 03",DB_Savings!$F:$F)</f>
        <v>0</v>
      </c>
      <c r="I11" s="39">
        <f>COUNTIF(DB_Customers!$H:$H,"Agent 03")</f>
        <v>0</v>
      </c>
    </row>
    <row r="12" spans="1:13" ht="15" customHeight="1" x14ac:dyDescent="0.25">
      <c r="A12" s="41" t="s">
        <v>136</v>
      </c>
      <c r="B12" s="42">
        <f ca="1">Daily_Balancing!B7</f>
        <v>0</v>
      </c>
      <c r="C12" s="42">
        <f ca="1">Daily_Balancing!C7</f>
        <v>0</v>
      </c>
      <c r="D12" s="42">
        <f t="shared" ca="1" si="0"/>
        <v>0</v>
      </c>
      <c r="E12" s="43">
        <f ca="1">Daily_Balancing!E7</f>
        <v>0</v>
      </c>
      <c r="F12" s="42">
        <v>5000</v>
      </c>
      <c r="G12" s="44">
        <f t="shared" ca="1" si="1"/>
        <v>0</v>
      </c>
      <c r="H12" s="42">
        <f>SUMIF(DB_Savings!$G:$G,"Agent 04",DB_Savings!$F:$F)</f>
        <v>0</v>
      </c>
      <c r="I12" s="43">
        <f>COUNTIF(DB_Customers!$H:$H,"Agent 04")</f>
        <v>0</v>
      </c>
    </row>
    <row r="13" spans="1:13" ht="15" customHeight="1" x14ac:dyDescent="0.25">
      <c r="A13" s="37" t="s">
        <v>137</v>
      </c>
      <c r="B13" s="38">
        <f ca="1">Daily_Balancing!B8</f>
        <v>0</v>
      </c>
      <c r="C13" s="38">
        <f ca="1">Daily_Balancing!C8</f>
        <v>0</v>
      </c>
      <c r="D13" s="38">
        <f t="shared" ca="1" si="0"/>
        <v>0</v>
      </c>
      <c r="E13" s="39">
        <f ca="1">Daily_Balancing!E8</f>
        <v>0</v>
      </c>
      <c r="F13" s="38">
        <v>5000</v>
      </c>
      <c r="G13" s="40">
        <f t="shared" ca="1" si="1"/>
        <v>0</v>
      </c>
      <c r="H13" s="38">
        <f>SUMIF(DB_Savings!$G:$G,"Agent 05",DB_Savings!$F:$F)</f>
        <v>0</v>
      </c>
      <c r="I13" s="39">
        <f>COUNTIF(DB_Customers!$H:$H,"Agent 05")</f>
        <v>0</v>
      </c>
    </row>
    <row r="14" spans="1:13" ht="15" customHeight="1" x14ac:dyDescent="0.25">
      <c r="A14" s="41" t="s">
        <v>138</v>
      </c>
      <c r="B14" s="42">
        <f ca="1">Daily_Balancing!B9</f>
        <v>0</v>
      </c>
      <c r="C14" s="42">
        <f ca="1">Daily_Balancing!C9</f>
        <v>0</v>
      </c>
      <c r="D14" s="42">
        <f t="shared" ca="1" si="0"/>
        <v>0</v>
      </c>
      <c r="E14" s="43">
        <f ca="1">Daily_Balancing!E9</f>
        <v>0</v>
      </c>
      <c r="F14" s="42">
        <v>5000</v>
      </c>
      <c r="G14" s="44">
        <f t="shared" ca="1" si="1"/>
        <v>0</v>
      </c>
      <c r="H14" s="42">
        <f>SUMIF(DB_Savings!$G:$G,"Agent 06",DB_Savings!$F:$F)</f>
        <v>0</v>
      </c>
      <c r="I14" s="43">
        <f>COUNTIF(DB_Customers!$H:$H,"Agent 06")</f>
        <v>0</v>
      </c>
    </row>
    <row r="15" spans="1:13" ht="15" customHeight="1" x14ac:dyDescent="0.25">
      <c r="A15" s="37" t="s">
        <v>139</v>
      </c>
      <c r="B15" s="38">
        <f ca="1">Daily_Balancing!B10</f>
        <v>0</v>
      </c>
      <c r="C15" s="38">
        <f ca="1">Daily_Balancing!C10</f>
        <v>0</v>
      </c>
      <c r="D15" s="38">
        <f t="shared" ca="1" si="0"/>
        <v>0</v>
      </c>
      <c r="E15" s="39">
        <f ca="1">Daily_Balancing!E10</f>
        <v>0</v>
      </c>
      <c r="F15" s="38">
        <v>5000</v>
      </c>
      <c r="G15" s="40">
        <f t="shared" ca="1" si="1"/>
        <v>0</v>
      </c>
      <c r="H15" s="38">
        <f>SUMIF(DB_Savings!$G:$G,"Agent 07",DB_Savings!$F:$F)</f>
        <v>0</v>
      </c>
      <c r="I15" s="39">
        <f>COUNTIF(DB_Customers!$H:$H,"Agent 07")</f>
        <v>0</v>
      </c>
    </row>
    <row r="16" spans="1:13" ht="15" customHeight="1" x14ac:dyDescent="0.25">
      <c r="A16" s="41" t="s">
        <v>140</v>
      </c>
      <c r="B16" s="42">
        <f ca="1">Daily_Balancing!B11</f>
        <v>0</v>
      </c>
      <c r="C16" s="42">
        <f ca="1">Daily_Balancing!C11</f>
        <v>0</v>
      </c>
      <c r="D16" s="42">
        <f t="shared" ca="1" si="0"/>
        <v>0</v>
      </c>
      <c r="E16" s="43">
        <f ca="1">Daily_Balancing!E11</f>
        <v>0</v>
      </c>
      <c r="F16" s="42">
        <v>5000</v>
      </c>
      <c r="G16" s="44">
        <f t="shared" ca="1" si="1"/>
        <v>0</v>
      </c>
      <c r="H16" s="42">
        <f>SUMIF(DB_Savings!$G:$G,"Agent 08",DB_Savings!$F:$F)</f>
        <v>0</v>
      </c>
      <c r="I16" s="43">
        <f>COUNTIF(DB_Customers!$H:$H,"Agent 08")</f>
        <v>0</v>
      </c>
    </row>
    <row r="17" spans="1:13" ht="15" customHeight="1" x14ac:dyDescent="0.25">
      <c r="A17" s="37" t="s">
        <v>141</v>
      </c>
      <c r="B17" s="38">
        <f ca="1">Daily_Balancing!B12</f>
        <v>0</v>
      </c>
      <c r="C17" s="38">
        <f ca="1">Daily_Balancing!C12</f>
        <v>0</v>
      </c>
      <c r="D17" s="38">
        <f t="shared" ca="1" si="0"/>
        <v>0</v>
      </c>
      <c r="E17" s="39">
        <f ca="1">Daily_Balancing!E12</f>
        <v>0</v>
      </c>
      <c r="F17" s="38">
        <v>5000</v>
      </c>
      <c r="G17" s="40">
        <f t="shared" ca="1" si="1"/>
        <v>0</v>
      </c>
      <c r="H17" s="38">
        <f>SUMIF(DB_Savings!$G:$G,"Agent 09",DB_Savings!$F:$F)</f>
        <v>0</v>
      </c>
      <c r="I17" s="39">
        <f>COUNTIF(DB_Customers!$H:$H,"Agent 09")</f>
        <v>0</v>
      </c>
    </row>
    <row r="18" spans="1:13" ht="15" customHeight="1" x14ac:dyDescent="0.25">
      <c r="A18" s="41" t="s">
        <v>142</v>
      </c>
      <c r="B18" s="42">
        <f ca="1">Daily_Balancing!B13</f>
        <v>0</v>
      </c>
      <c r="C18" s="42">
        <f ca="1">Daily_Balancing!C13</f>
        <v>0</v>
      </c>
      <c r="D18" s="42">
        <f t="shared" ca="1" si="0"/>
        <v>0</v>
      </c>
      <c r="E18" s="43">
        <f ca="1">Daily_Balancing!E13</f>
        <v>0</v>
      </c>
      <c r="F18" s="42">
        <v>5000</v>
      </c>
      <c r="G18" s="44">
        <f t="shared" ca="1" si="1"/>
        <v>0</v>
      </c>
      <c r="H18" s="42">
        <f>SUMIF(DB_Savings!$G:$G,"Agent 10",DB_Savings!$F:$F)</f>
        <v>0</v>
      </c>
      <c r="I18" s="43">
        <f>COUNTIF(DB_Customers!$H:$H,"Agent 10")</f>
        <v>0</v>
      </c>
    </row>
    <row r="19" spans="1:13" ht="15" customHeight="1" x14ac:dyDescent="0.25">
      <c r="A19" s="45" t="s">
        <v>143</v>
      </c>
      <c r="B19" s="46">
        <f ca="1">SUM(B9:B18)</f>
        <v>0</v>
      </c>
      <c r="C19" s="46">
        <f ca="1">SUM(C9:C18)</f>
        <v>0</v>
      </c>
      <c r="D19" s="46">
        <f ca="1">SUM(D9:D18)</f>
        <v>0</v>
      </c>
      <c r="E19" s="46">
        <f ca="1">SUM(E9:E18)</f>
        <v>0</v>
      </c>
      <c r="F19" s="46">
        <f>SUM(F9:F18)</f>
        <v>50000</v>
      </c>
      <c r="G19" s="47">
        <f t="shared" ca="1" si="1"/>
        <v>0</v>
      </c>
      <c r="H19" s="46">
        <f>SUM(H9:H18)</f>
        <v>0</v>
      </c>
      <c r="I19" s="45">
        <f>SUM(I9:I18)</f>
        <v>0</v>
      </c>
    </row>
    <row r="20" spans="1:13" ht="7.5" customHeight="1" x14ac:dyDescent="0.25"/>
    <row r="21" spans="1:13" ht="21.75" customHeight="1" x14ac:dyDescent="0.25">
      <c r="A21" s="327" t="s">
        <v>201</v>
      </c>
      <c r="B21" s="265"/>
      <c r="C21" s="265"/>
      <c r="D21" s="265"/>
      <c r="E21" s="265"/>
      <c r="F21" s="265"/>
      <c r="G21" s="316" t="s">
        <v>202</v>
      </c>
      <c r="H21" s="317"/>
      <c r="I21" s="317"/>
      <c r="J21" s="317"/>
      <c r="K21" s="317"/>
      <c r="L21" s="317"/>
      <c r="M21" s="317"/>
    </row>
    <row r="22" spans="1:13" ht="21.75" customHeight="1" x14ac:dyDescent="0.25">
      <c r="A22" s="322" t="s">
        <v>203</v>
      </c>
      <c r="B22" s="311"/>
      <c r="C22" s="311"/>
      <c r="D22" s="319">
        <f>COUNTA(DB_Customers!A2:A500)</f>
        <v>2</v>
      </c>
      <c r="E22" s="311"/>
      <c r="F22" s="311"/>
      <c r="G22" s="318"/>
      <c r="H22" s="265"/>
      <c r="I22" s="265"/>
      <c r="J22" s="265"/>
      <c r="K22" s="265"/>
      <c r="L22" s="265"/>
      <c r="M22" s="265"/>
    </row>
    <row r="23" spans="1:13" ht="21.75" customHeight="1" x14ac:dyDescent="0.25">
      <c r="A23" s="322" t="s">
        <v>204</v>
      </c>
      <c r="B23" s="311"/>
      <c r="C23" s="311"/>
      <c r="D23" s="310">
        <f>SUM(DB_Customers!L2:L500)</f>
        <v>0</v>
      </c>
      <c r="E23" s="311"/>
      <c r="F23" s="311"/>
      <c r="G23" s="318"/>
      <c r="H23" s="265"/>
      <c r="I23" s="265"/>
      <c r="J23" s="265"/>
      <c r="K23" s="265"/>
      <c r="L23" s="265"/>
      <c r="M23" s="265"/>
    </row>
    <row r="24" spans="1:13" ht="21.75" customHeight="1" x14ac:dyDescent="0.25">
      <c r="A24" s="322" t="s">
        <v>175</v>
      </c>
      <c r="B24" s="311"/>
      <c r="C24" s="311"/>
      <c r="D24" s="310">
        <f>SUM(DB_Customers!M2:M500)</f>
        <v>0</v>
      </c>
      <c r="E24" s="311"/>
      <c r="F24" s="311"/>
      <c r="G24" s="318"/>
      <c r="H24" s="265"/>
      <c r="I24" s="265"/>
      <c r="J24" s="265"/>
      <c r="K24" s="265"/>
      <c r="L24" s="265"/>
      <c r="M24" s="265"/>
    </row>
    <row r="25" spans="1:13" ht="21.75" customHeight="1" x14ac:dyDescent="0.25">
      <c r="A25" s="322" t="s">
        <v>205</v>
      </c>
      <c r="B25" s="311"/>
      <c r="C25" s="311"/>
      <c r="D25" s="319">
        <f>COUNTIF(DB_Customers!K2:K500,"Pending")</f>
        <v>0</v>
      </c>
      <c r="E25" s="311"/>
      <c r="F25" s="311"/>
      <c r="G25" s="318"/>
      <c r="H25" s="265"/>
      <c r="I25" s="265"/>
      <c r="J25" s="265"/>
      <c r="K25" s="265"/>
      <c r="L25" s="265"/>
      <c r="M25" s="265"/>
    </row>
    <row r="26" spans="1:13" ht="21.75" customHeight="1" x14ac:dyDescent="0.25">
      <c r="A26" s="322" t="s">
        <v>206</v>
      </c>
      <c r="B26" s="311"/>
      <c r="C26" s="311"/>
      <c r="D26" s="319">
        <f>COUNTIF(DB_Loans!K2:K500,"Pending")</f>
        <v>0</v>
      </c>
      <c r="E26" s="311"/>
      <c r="F26" s="311"/>
      <c r="G26" s="318"/>
      <c r="H26" s="265"/>
      <c r="I26" s="265"/>
      <c r="J26" s="265"/>
      <c r="K26" s="265"/>
      <c r="L26" s="265"/>
      <c r="M26" s="265"/>
    </row>
    <row r="27" spans="1:13" ht="21.75" customHeight="1" x14ac:dyDescent="0.25">
      <c r="A27" s="322" t="s">
        <v>207</v>
      </c>
      <c r="B27" s="311"/>
      <c r="C27" s="311"/>
      <c r="D27" s="319">
        <f>COUNTIF(DB_Loans!K2:K500,"Approved")</f>
        <v>0</v>
      </c>
      <c r="E27" s="311"/>
      <c r="F27" s="311"/>
      <c r="G27" s="318"/>
      <c r="H27" s="265"/>
      <c r="I27" s="265"/>
      <c r="J27" s="265"/>
      <c r="K27" s="265"/>
      <c r="L27" s="265"/>
      <c r="M27" s="265"/>
    </row>
    <row r="29" spans="1:13" ht="18" customHeight="1" x14ac:dyDescent="0.25">
      <c r="A29" s="326" t="s">
        <v>208</v>
      </c>
      <c r="B29" s="265"/>
      <c r="C29" s="265"/>
      <c r="D29" s="265"/>
      <c r="E29" s="265"/>
      <c r="F29" s="265"/>
      <c r="G29" s="265"/>
      <c r="H29" s="265"/>
      <c r="I29" s="265"/>
      <c r="J29" s="265"/>
      <c r="K29" s="265"/>
      <c r="L29" s="265"/>
      <c r="M29" s="265"/>
    </row>
    <row r="30" spans="1:13" ht="15" customHeight="1" x14ac:dyDescent="0.25">
      <c r="A30" s="48" t="s">
        <v>209</v>
      </c>
      <c r="B30" s="314" t="s">
        <v>210</v>
      </c>
      <c r="C30" s="265"/>
      <c r="D30" s="265"/>
      <c r="E30" s="265"/>
      <c r="F30" s="265"/>
      <c r="G30" s="265"/>
      <c r="H30" s="265"/>
      <c r="I30" s="265"/>
      <c r="J30" s="265"/>
      <c r="K30" s="265"/>
      <c r="L30" s="265"/>
      <c r="M30" s="265"/>
    </row>
    <row r="31" spans="1:13" ht="15" customHeight="1" x14ac:dyDescent="0.25">
      <c r="A31" s="48" t="s">
        <v>209</v>
      </c>
      <c r="B31" s="314" t="s">
        <v>211</v>
      </c>
      <c r="C31" s="265"/>
      <c r="D31" s="265"/>
      <c r="E31" s="265"/>
      <c r="F31" s="265"/>
      <c r="G31" s="265"/>
      <c r="H31" s="265"/>
      <c r="I31" s="265"/>
      <c r="J31" s="265"/>
      <c r="K31" s="265"/>
      <c r="L31" s="265"/>
      <c r="M31" s="265"/>
    </row>
    <row r="32" spans="1:13" ht="15" customHeight="1" x14ac:dyDescent="0.25">
      <c r="A32" s="48" t="s">
        <v>209</v>
      </c>
      <c r="B32" s="314" t="s">
        <v>212</v>
      </c>
      <c r="C32" s="265"/>
      <c r="D32" s="265"/>
      <c r="E32" s="265"/>
      <c r="F32" s="265"/>
      <c r="G32" s="265"/>
      <c r="H32" s="265"/>
      <c r="I32" s="265"/>
      <c r="J32" s="265"/>
      <c r="K32" s="265"/>
      <c r="L32" s="265"/>
      <c r="M32" s="265"/>
    </row>
    <row r="33" spans="1:13" ht="15" customHeight="1" x14ac:dyDescent="0.25">
      <c r="A33" s="48" t="s">
        <v>209</v>
      </c>
      <c r="B33" s="314" t="s">
        <v>213</v>
      </c>
      <c r="C33" s="265"/>
      <c r="D33" s="265"/>
      <c r="E33" s="265"/>
      <c r="F33" s="265"/>
      <c r="G33" s="265"/>
      <c r="H33" s="265"/>
      <c r="I33" s="265"/>
      <c r="J33" s="265"/>
      <c r="K33" s="265"/>
      <c r="L33" s="265"/>
      <c r="M33" s="265"/>
    </row>
    <row r="34" spans="1:13" ht="15" customHeight="1" x14ac:dyDescent="0.25">
      <c r="A34" s="48" t="s">
        <v>209</v>
      </c>
      <c r="B34" s="314" t="s">
        <v>214</v>
      </c>
      <c r="C34" s="265"/>
      <c r="D34" s="265"/>
      <c r="E34" s="265"/>
      <c r="F34" s="265"/>
      <c r="G34" s="265"/>
      <c r="H34" s="265"/>
      <c r="I34" s="265"/>
      <c r="J34" s="265"/>
      <c r="K34" s="265"/>
      <c r="L34" s="265"/>
      <c r="M34" s="265"/>
    </row>
    <row r="35" spans="1:13" ht="15" customHeight="1" x14ac:dyDescent="0.25">
      <c r="A35" s="48" t="s">
        <v>209</v>
      </c>
      <c r="B35" s="314" t="s">
        <v>215</v>
      </c>
      <c r="C35" s="265"/>
      <c r="D35" s="265"/>
      <c r="E35" s="265"/>
      <c r="F35" s="265"/>
      <c r="G35" s="265"/>
      <c r="H35" s="265"/>
      <c r="I35" s="265"/>
      <c r="J35" s="265"/>
      <c r="K35" s="265"/>
      <c r="L35" s="265"/>
      <c r="M35" s="265"/>
    </row>
    <row r="36" spans="1:13" ht="15" customHeight="1" x14ac:dyDescent="0.25">
      <c r="A36" s="48" t="s">
        <v>209</v>
      </c>
      <c r="B36" s="314" t="s">
        <v>216</v>
      </c>
      <c r="C36" s="265"/>
      <c r="D36" s="265"/>
      <c r="E36" s="265"/>
      <c r="F36" s="265"/>
      <c r="G36" s="265"/>
      <c r="H36" s="265"/>
      <c r="I36" s="265"/>
      <c r="J36" s="265"/>
      <c r="K36" s="265"/>
      <c r="L36" s="265"/>
      <c r="M36" s="265"/>
    </row>
    <row r="37" spans="1:13" ht="15" customHeight="1" x14ac:dyDescent="0.25">
      <c r="A37" s="48" t="s">
        <v>209</v>
      </c>
      <c r="B37" s="314" t="s">
        <v>217</v>
      </c>
      <c r="C37" s="265"/>
      <c r="D37" s="265"/>
      <c r="E37" s="265"/>
      <c r="F37" s="265"/>
      <c r="G37" s="265"/>
      <c r="H37" s="265"/>
      <c r="I37" s="265"/>
      <c r="J37" s="265"/>
      <c r="K37" s="265"/>
      <c r="L37" s="265"/>
      <c r="M37" s="265"/>
    </row>
    <row r="38" spans="1:13" ht="15" customHeight="1" x14ac:dyDescent="0.25">
      <c r="A38" s="48" t="s">
        <v>209</v>
      </c>
      <c r="B38" s="314" t="s">
        <v>218</v>
      </c>
      <c r="C38" s="265"/>
      <c r="D38" s="265"/>
      <c r="E38" s="265"/>
      <c r="F38" s="265"/>
      <c r="G38" s="265"/>
      <c r="H38" s="265"/>
      <c r="I38" s="265"/>
      <c r="J38" s="265"/>
      <c r="K38" s="265"/>
      <c r="L38" s="265"/>
      <c r="M38" s="265"/>
    </row>
    <row r="39" spans="1:13" ht="15" customHeight="1" x14ac:dyDescent="0.25">
      <c r="A39" s="48" t="s">
        <v>209</v>
      </c>
      <c r="B39" s="49" t="s">
        <v>219</v>
      </c>
    </row>
    <row r="40" spans="1:13" ht="15" customHeight="1" x14ac:dyDescent="0.25">
      <c r="A40" s="48" t="s">
        <v>209</v>
      </c>
      <c r="B40" s="49" t="s">
        <v>220</v>
      </c>
    </row>
    <row r="42" spans="1:13" ht="21.75" customHeight="1" x14ac:dyDescent="0.25">
      <c r="A42" s="308" t="s">
        <v>221</v>
      </c>
      <c r="B42" s="265"/>
      <c r="C42" s="265"/>
      <c r="D42" s="265"/>
      <c r="E42" s="265"/>
      <c r="F42" s="265"/>
      <c r="G42" s="265"/>
      <c r="H42" s="265"/>
      <c r="I42" s="265"/>
      <c r="J42" s="265"/>
      <c r="K42" s="265"/>
      <c r="L42" s="265"/>
      <c r="M42" s="265"/>
    </row>
    <row r="43" spans="1:13" ht="18" customHeight="1" x14ac:dyDescent="0.25">
      <c r="A43" s="50" t="s">
        <v>222</v>
      </c>
      <c r="D43" s="51" t="s">
        <v>223</v>
      </c>
      <c r="G43" s="52" t="s">
        <v>224</v>
      </c>
      <c r="J43" s="53" t="s">
        <v>225</v>
      </c>
    </row>
    <row r="44" spans="1:13" ht="24.75" customHeight="1" x14ac:dyDescent="0.25">
      <c r="A44" s="54">
        <f>AI_Intelligence!B5</f>
        <v>0</v>
      </c>
      <c r="D44" s="55">
        <f>AI_Intelligence!D5</f>
        <v>0</v>
      </c>
      <c r="G44" s="56">
        <f>AI_Intelligence!F5</f>
        <v>0</v>
      </c>
      <c r="J44" s="57">
        <f ca="1">COUNTIF(AI_Intelligence!C31:C36,"⚠️*")+COUNTIF(AI_Intelligence!C31:C36,"🚨*")</f>
        <v>1</v>
      </c>
    </row>
  </sheetData>
  <mergeCells count="40">
    <mergeCell ref="B38:M38"/>
    <mergeCell ref="E4:F4"/>
    <mergeCell ref="B34:M34"/>
    <mergeCell ref="A23:C23"/>
    <mergeCell ref="B37:M37"/>
    <mergeCell ref="A22:C22"/>
    <mergeCell ref="D25:F25"/>
    <mergeCell ref="B30:M30"/>
    <mergeCell ref="D24:F24"/>
    <mergeCell ref="B33:M33"/>
    <mergeCell ref="K5:M5"/>
    <mergeCell ref="B31:M31"/>
    <mergeCell ref="A25:C25"/>
    <mergeCell ref="D27:F27"/>
    <mergeCell ref="C5:D5"/>
    <mergeCell ref="E5:F5"/>
    <mergeCell ref="G4:H4"/>
    <mergeCell ref="I4:J4"/>
    <mergeCell ref="A29:M29"/>
    <mergeCell ref="A21:F21"/>
    <mergeCell ref="A26:C26"/>
    <mergeCell ref="C4:D4"/>
    <mergeCell ref="A27:C27"/>
    <mergeCell ref="D22:F22"/>
    <mergeCell ref="A2:M2"/>
    <mergeCell ref="A42:M42"/>
    <mergeCell ref="A1:M1"/>
    <mergeCell ref="D23:F23"/>
    <mergeCell ref="K4:M4"/>
    <mergeCell ref="A5:B5"/>
    <mergeCell ref="B36:M36"/>
    <mergeCell ref="G5:H5"/>
    <mergeCell ref="B32:M32"/>
    <mergeCell ref="G21:M27"/>
    <mergeCell ref="D26:F26"/>
    <mergeCell ref="I5:J5"/>
    <mergeCell ref="A7:M7"/>
    <mergeCell ref="B35:M35"/>
    <mergeCell ref="A24:C24"/>
    <mergeCell ref="A4:B4"/>
  </mergeCells>
  <conditionalFormatting sqref="G9:G18">
    <cfRule type="cellIs" dxfId="104" priority="2" operator="greaterThanOrEqual">
      <formula>1</formula>
    </cfRule>
    <cfRule type="cellIs" dxfId="103" priority="3" operator="lessThan">
      <formula>0.5</formula>
    </cfRule>
  </conditionalFormatting>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ABC9C"/>
  </sheetPr>
  <dimension ref="A1:E56"/>
  <sheetViews>
    <sheetView tabSelected="1" zoomScaleNormal="100" workbookViewId="0">
      <selection activeCell="C5" sqref="C5:E5"/>
    </sheetView>
  </sheetViews>
  <sheetFormatPr defaultColWidth="8.7109375" defaultRowHeight="15" x14ac:dyDescent="0.25"/>
  <cols>
    <col min="1" max="1" width="28" customWidth="1"/>
    <col min="2" max="2" width="6" customWidth="1"/>
    <col min="3" max="3" width="28" customWidth="1"/>
    <col min="4" max="5" width="18" customWidth="1"/>
  </cols>
  <sheetData>
    <row r="1" spans="1:5" ht="38.1" customHeight="1" x14ac:dyDescent="0.25">
      <c r="A1" s="347" t="s">
        <v>226</v>
      </c>
      <c r="B1" s="265"/>
      <c r="C1" s="265"/>
      <c r="D1" s="265"/>
      <c r="E1" s="265"/>
    </row>
    <row r="2" spans="1:5" ht="21.95" customHeight="1" x14ac:dyDescent="0.25">
      <c r="A2" s="341" t="s">
        <v>227</v>
      </c>
      <c r="B2" s="265"/>
      <c r="C2" s="265"/>
      <c r="D2" s="265"/>
      <c r="E2" s="265"/>
    </row>
    <row r="3" spans="1:5" ht="18" customHeight="1" x14ac:dyDescent="0.25">
      <c r="A3" s="354" t="s">
        <v>228</v>
      </c>
      <c r="B3" s="265"/>
      <c r="C3" s="265"/>
      <c r="D3" s="265"/>
      <c r="E3" s="265"/>
    </row>
    <row r="4" spans="1:5" ht="7.5" customHeight="1" x14ac:dyDescent="0.25">
      <c r="A4" s="58"/>
      <c r="B4" s="58"/>
      <c r="C4" s="58"/>
      <c r="D4" s="58"/>
      <c r="E4" s="58"/>
    </row>
    <row r="5" spans="1:5" ht="21.95" customHeight="1" x14ac:dyDescent="0.25">
      <c r="A5" s="206" t="s">
        <v>229</v>
      </c>
      <c r="B5" s="58"/>
      <c r="C5" s="346"/>
      <c r="D5" s="339"/>
      <c r="E5" s="339"/>
    </row>
    <row r="6" spans="1:5" ht="21.95" customHeight="1" x14ac:dyDescent="0.25">
      <c r="A6" s="206" t="s">
        <v>230</v>
      </c>
      <c r="B6" s="58"/>
      <c r="C6" s="346" t="s">
        <v>1374</v>
      </c>
      <c r="D6" s="339"/>
      <c r="E6" s="339"/>
    </row>
    <row r="7" spans="1:5" ht="21.95" customHeight="1" x14ac:dyDescent="0.25">
      <c r="A7" s="206" t="s">
        <v>231</v>
      </c>
      <c r="B7" s="58"/>
      <c r="C7" s="352">
        <v>31930</v>
      </c>
      <c r="D7" s="339"/>
      <c r="E7" s="339"/>
    </row>
    <row r="8" spans="1:5" ht="21.95" customHeight="1" x14ac:dyDescent="0.25">
      <c r="A8" s="206" t="s">
        <v>232</v>
      </c>
      <c r="B8" s="58"/>
      <c r="C8" s="346">
        <v>241911273</v>
      </c>
      <c r="D8" s="339"/>
      <c r="E8" s="339"/>
    </row>
    <row r="9" spans="1:5" ht="21.95" customHeight="1" x14ac:dyDescent="0.25">
      <c r="A9" s="206" t="s">
        <v>233</v>
      </c>
      <c r="B9" s="58"/>
      <c r="C9" s="346" t="s">
        <v>1375</v>
      </c>
      <c r="D9" s="339"/>
      <c r="E9" s="339"/>
    </row>
    <row r="10" spans="1:5" ht="21.95" customHeight="1" x14ac:dyDescent="0.25">
      <c r="A10" s="206" t="s">
        <v>234</v>
      </c>
      <c r="B10" s="58"/>
      <c r="C10" s="346" t="s">
        <v>1376</v>
      </c>
      <c r="D10" s="339"/>
      <c r="E10" s="339"/>
    </row>
    <row r="11" spans="1:5" ht="21.95" customHeight="1" x14ac:dyDescent="0.25">
      <c r="A11" s="206" t="s">
        <v>235</v>
      </c>
      <c r="B11" s="58"/>
      <c r="C11" s="346" t="s">
        <v>133</v>
      </c>
      <c r="D11" s="339"/>
      <c r="E11" s="339"/>
    </row>
    <row r="12" spans="1:5" ht="21.95" customHeight="1" x14ac:dyDescent="0.25">
      <c r="A12" s="206" t="s">
        <v>236</v>
      </c>
      <c r="B12" s="58"/>
      <c r="C12" s="349">
        <v>230</v>
      </c>
      <c r="D12" s="339"/>
      <c r="E12" s="350"/>
    </row>
    <row r="13" spans="1:5" ht="21.95" customHeight="1" x14ac:dyDescent="0.25">
      <c r="A13" s="207" t="s">
        <v>237</v>
      </c>
      <c r="C13" s="345" t="s">
        <v>1377</v>
      </c>
      <c r="D13" s="339"/>
      <c r="E13" s="339"/>
    </row>
    <row r="14" spans="1:5" ht="21.95" customHeight="1" x14ac:dyDescent="0.25">
      <c r="A14" s="207" t="s">
        <v>238</v>
      </c>
      <c r="C14" s="345"/>
      <c r="D14" s="339"/>
      <c r="E14" s="339"/>
    </row>
    <row r="15" spans="1:5" ht="21.95" customHeight="1" x14ac:dyDescent="0.25">
      <c r="A15" s="208" t="s">
        <v>239</v>
      </c>
      <c r="C15" s="345"/>
      <c r="D15" s="339"/>
      <c r="E15" s="339"/>
    </row>
    <row r="16" spans="1:5" ht="27.95" customHeight="1" x14ac:dyDescent="0.25">
      <c r="A16" s="209" t="s">
        <v>240</v>
      </c>
      <c r="C16" s="355" t="str">
        <f>IF(OR(C5="",C7="",C8=""),"",UPPER(LEFT(TRIM(C5),3))&amp;TEXT(IF(ISNUMBER(C7),YEAR(C7),YEAR(DATEVALUE(TEXT(C7,"DD/MM/YYYY")))),"0000")&amp;RIGHT(TEXT(C8,"0000000000"),4))</f>
        <v/>
      </c>
      <c r="D16" s="334"/>
      <c r="E16" s="334"/>
    </row>
    <row r="17" spans="1:5" ht="20.100000000000001" customHeight="1" x14ac:dyDescent="0.25">
      <c r="A17" s="344" t="str">
        <f>IF(AND(C5&lt;&gt;"",C6&lt;&gt;"",C7&lt;&gt;"",C8&lt;&gt;"",C9&lt;&gt;"",C10&lt;&gt;"",C11&lt;&gt;"",C12&lt;&gt;""),IF(C12&lt;10,"⚠️  Opening Balance must be at least GHC 10.00",IF(AND(C14&lt;&gt;"",LEN(C15)&lt;6),"⚠️  ID Card Number required (min 6 chars)","✅  All fields complete — Click GENERATE ACCOUNT to save permanently")),"📝  Fill all required (*) fields to generate Account Number")</f>
        <v>📝  Fill all required (*) fields to generate Account Number</v>
      </c>
      <c r="B17" s="265"/>
      <c r="C17" s="265"/>
      <c r="D17" s="265"/>
      <c r="E17" s="265"/>
    </row>
    <row r="18" spans="1:5" ht="18" customHeight="1" x14ac:dyDescent="0.25">
      <c r="A18" s="353" t="str">
        <f>IF(AND(C5&lt;&gt;"",C6&lt;&gt;"",C7&lt;&gt;"",C8&lt;&gt;"",C9&lt;&gt;"",C10&lt;&gt;"",C11&lt;&gt;"",C12&lt;&gt;""),"✅  Ready — Record writes PERMANENTLY (survives form clear)","" )</f>
        <v/>
      </c>
      <c r="B18" s="265"/>
      <c r="C18" s="265"/>
      <c r="D18" s="265"/>
      <c r="E18" s="265"/>
    </row>
    <row r="19" spans="1:5" ht="30" customHeight="1" x14ac:dyDescent="0.25">
      <c r="A19" s="335" t="s">
        <v>241</v>
      </c>
      <c r="B19" s="336"/>
      <c r="C19" s="336"/>
      <c r="D19" s="336"/>
      <c r="E19" s="336"/>
    </row>
    <row r="20" spans="1:5" ht="34.5" customHeight="1" x14ac:dyDescent="0.25">
      <c r="A20" s="58"/>
    </row>
    <row r="21" spans="1:5" ht="9.75" customHeight="1" x14ac:dyDescent="0.25">
      <c r="A21" s="199"/>
    </row>
    <row r="22" spans="1:5" ht="21.75" customHeight="1" x14ac:dyDescent="0.25">
      <c r="A22" s="60"/>
      <c r="B22" s="59"/>
      <c r="C22" s="59"/>
      <c r="D22" s="59"/>
      <c r="E22" s="59"/>
    </row>
    <row r="23" spans="1:5" ht="21.75" customHeight="1" x14ac:dyDescent="0.25">
      <c r="A23" s="337"/>
      <c r="B23" s="265"/>
      <c r="C23" s="265"/>
      <c r="D23" s="265"/>
      <c r="E23" s="265"/>
    </row>
    <row r="24" spans="1:5" ht="21.75" customHeight="1" x14ac:dyDescent="0.25">
      <c r="A24" s="61" t="s">
        <v>242</v>
      </c>
      <c r="B24" s="265"/>
      <c r="C24" s="265"/>
      <c r="D24" s="265"/>
      <c r="E24" s="265"/>
    </row>
    <row r="25" spans="1:5" ht="21.75" customHeight="1" x14ac:dyDescent="0.25">
      <c r="A25" s="62" t="s">
        <v>243</v>
      </c>
      <c r="B25" s="338" t="s">
        <v>244</v>
      </c>
      <c r="C25" s="339"/>
      <c r="D25" s="339"/>
      <c r="E25" s="339"/>
    </row>
    <row r="26" spans="1:5" ht="21.75" customHeight="1" x14ac:dyDescent="0.25">
      <c r="A26" s="62" t="s">
        <v>245</v>
      </c>
      <c r="B26" s="338" t="s">
        <v>246</v>
      </c>
      <c r="C26" s="339"/>
      <c r="D26" s="339"/>
      <c r="E26" s="339"/>
    </row>
    <row r="27" spans="1:5" ht="21.75" customHeight="1" x14ac:dyDescent="0.25">
      <c r="A27" s="62" t="s">
        <v>247</v>
      </c>
      <c r="B27" s="338" t="s">
        <v>248</v>
      </c>
      <c r="C27" s="339"/>
      <c r="D27" s="339"/>
      <c r="E27" s="339"/>
    </row>
    <row r="28" spans="1:5" ht="15" customHeight="1" x14ac:dyDescent="0.25">
      <c r="A28" s="62" t="s">
        <v>249</v>
      </c>
      <c r="B28" s="338" t="s">
        <v>250</v>
      </c>
      <c r="C28" s="339"/>
      <c r="D28" s="339"/>
      <c r="E28" s="339"/>
    </row>
    <row r="29" spans="1:5" ht="9.75" customHeight="1" x14ac:dyDescent="0.25">
      <c r="A29" s="62" t="s">
        <v>251</v>
      </c>
      <c r="B29" s="63" t="s">
        <v>252</v>
      </c>
      <c r="C29" s="64"/>
      <c r="D29" s="64"/>
      <c r="E29" s="64"/>
    </row>
    <row r="30" spans="1:5" ht="21.75" customHeight="1" x14ac:dyDescent="0.25">
      <c r="A30" s="58"/>
      <c r="B30" s="58"/>
      <c r="C30" s="58"/>
      <c r="D30" s="58"/>
      <c r="E30" s="58"/>
    </row>
    <row r="31" spans="1:5" ht="19.5" customHeight="1" x14ac:dyDescent="0.25">
      <c r="A31" s="337"/>
      <c r="B31" s="265"/>
      <c r="C31" s="265"/>
      <c r="D31" s="265"/>
      <c r="E31" s="265"/>
    </row>
    <row r="32" spans="1:5" ht="3.75" customHeight="1" x14ac:dyDescent="0.25">
      <c r="A32" s="65"/>
      <c r="B32" s="65"/>
      <c r="C32" s="65"/>
      <c r="D32" s="65"/>
      <c r="E32" s="65"/>
    </row>
    <row r="33" spans="1:5" ht="25.5" customHeight="1" x14ac:dyDescent="0.25">
      <c r="A33" s="343" t="s">
        <v>253</v>
      </c>
      <c r="B33" s="265"/>
      <c r="C33" s="265"/>
      <c r="D33" s="265"/>
      <c r="E33" s="265"/>
    </row>
    <row r="34" spans="1:5" ht="36" customHeight="1" x14ac:dyDescent="0.25">
      <c r="A34" s="356" t="s">
        <v>254</v>
      </c>
      <c r="B34" s="265"/>
      <c r="C34" s="265"/>
      <c r="D34" s="265"/>
      <c r="E34" s="265"/>
    </row>
    <row r="35" spans="1:5" ht="7.5" customHeight="1" x14ac:dyDescent="0.25"/>
    <row r="36" spans="1:5" ht="19.5" customHeight="1" x14ac:dyDescent="0.25">
      <c r="A36" s="351" t="s">
        <v>255</v>
      </c>
      <c r="B36" s="265"/>
      <c r="C36" s="351" t="s">
        <v>256</v>
      </c>
      <c r="D36" s="265"/>
      <c r="E36" s="265"/>
    </row>
    <row r="37" spans="1:5" ht="15.75" customHeight="1" x14ac:dyDescent="0.25">
      <c r="A37" s="342" t="s">
        <v>257</v>
      </c>
      <c r="B37" s="334"/>
      <c r="C37" s="342" t="s">
        <v>258</v>
      </c>
      <c r="D37" s="334"/>
      <c r="E37" s="334"/>
    </row>
    <row r="38" spans="1:5" ht="21.75" customHeight="1" x14ac:dyDescent="0.25">
      <c r="A38" s="340" t="s">
        <v>259</v>
      </c>
      <c r="B38" s="334"/>
      <c r="C38" s="340" t="s">
        <v>260</v>
      </c>
      <c r="D38" s="334"/>
      <c r="E38" s="334"/>
    </row>
    <row r="39" spans="1:5" ht="21.75" customHeight="1" x14ac:dyDescent="0.25">
      <c r="A39" s="340"/>
      <c r="B39" s="334"/>
      <c r="C39" s="340"/>
      <c r="D39" s="334"/>
      <c r="E39" s="334"/>
    </row>
    <row r="40" spans="1:5" ht="7.5" customHeight="1" x14ac:dyDescent="0.25"/>
    <row r="41" spans="1:5" ht="19.5" customHeight="1" x14ac:dyDescent="0.25">
      <c r="A41" s="351" t="s">
        <v>78</v>
      </c>
      <c r="B41" s="265"/>
      <c r="C41" s="351" t="s">
        <v>261</v>
      </c>
      <c r="D41" s="265"/>
      <c r="E41" s="265"/>
    </row>
    <row r="42" spans="1:5" ht="15.75" customHeight="1" x14ac:dyDescent="0.25">
      <c r="A42" s="342" t="s">
        <v>262</v>
      </c>
      <c r="B42" s="334"/>
      <c r="C42" s="342" t="s">
        <v>263</v>
      </c>
      <c r="D42" s="334"/>
      <c r="E42" s="334"/>
    </row>
    <row r="43" spans="1:5" ht="25.5" customHeight="1" x14ac:dyDescent="0.25">
      <c r="A43" s="333" t="str">
        <f ca="1">IF(C16&lt;&gt;"",TODAY(),"")</f>
        <v/>
      </c>
      <c r="B43" s="334"/>
      <c r="C43" s="348" t="s">
        <v>264</v>
      </c>
      <c r="D43" s="334"/>
      <c r="E43" s="334"/>
    </row>
    <row r="44" spans="1:5" ht="7.5" customHeight="1" x14ac:dyDescent="0.25"/>
    <row r="45" spans="1:5" ht="3.75" customHeight="1" x14ac:dyDescent="0.25">
      <c r="A45" s="5"/>
      <c r="B45" s="5"/>
      <c r="C45" s="5"/>
      <c r="D45" s="5"/>
      <c r="E45" s="5"/>
    </row>
    <row r="50" spans="1:5" ht="15" customHeight="1" x14ac:dyDescent="0.25">
      <c r="A50" s="61" t="s">
        <v>265</v>
      </c>
    </row>
    <row r="51" spans="1:5" ht="15" customHeight="1" x14ac:dyDescent="0.25">
      <c r="A51" s="66" t="s">
        <v>76</v>
      </c>
      <c r="B51" s="66" t="s">
        <v>77</v>
      </c>
      <c r="C51" s="66" t="s">
        <v>266</v>
      </c>
      <c r="D51" s="66" t="s">
        <v>14</v>
      </c>
      <c r="E51" s="66" t="s">
        <v>267</v>
      </c>
    </row>
    <row r="52" spans="1:5" ht="15" customHeight="1" x14ac:dyDescent="0.25">
      <c r="A52" s="67" t="s">
        <v>268</v>
      </c>
      <c r="B52" s="67" t="s">
        <v>269</v>
      </c>
      <c r="C52" s="67" t="s">
        <v>270</v>
      </c>
      <c r="D52" s="67" t="s">
        <v>142</v>
      </c>
      <c r="E52" s="67" t="s">
        <v>271</v>
      </c>
    </row>
    <row r="53" spans="1:5" ht="15" customHeight="1" x14ac:dyDescent="0.25">
      <c r="A53" s="68" t="s">
        <v>272</v>
      </c>
      <c r="B53" s="68" t="s">
        <v>273</v>
      </c>
      <c r="C53" s="68" t="s">
        <v>270</v>
      </c>
      <c r="D53" s="68" t="s">
        <v>142</v>
      </c>
      <c r="E53" s="68" t="s">
        <v>274</v>
      </c>
    </row>
    <row r="54" spans="1:5" ht="15" customHeight="1" x14ac:dyDescent="0.25">
      <c r="A54" s="67" t="s">
        <v>275</v>
      </c>
      <c r="B54" s="67" t="s">
        <v>276</v>
      </c>
      <c r="C54" s="67" t="s">
        <v>270</v>
      </c>
      <c r="D54" s="67" t="s">
        <v>141</v>
      </c>
      <c r="E54" s="67" t="s">
        <v>277</v>
      </c>
    </row>
    <row r="55" spans="1:5" ht="15" customHeight="1" x14ac:dyDescent="0.25">
      <c r="A55" s="68" t="s">
        <v>278</v>
      </c>
      <c r="B55" s="68" t="s">
        <v>279</v>
      </c>
      <c r="C55" s="68" t="s">
        <v>270</v>
      </c>
      <c r="D55" s="68" t="s">
        <v>141</v>
      </c>
      <c r="E55" s="68" t="s">
        <v>280</v>
      </c>
    </row>
    <row r="56" spans="1:5" ht="15" customHeight="1" x14ac:dyDescent="0.25">
      <c r="A56" s="67" t="s">
        <v>281</v>
      </c>
      <c r="B56" s="67" t="s">
        <v>282</v>
      </c>
      <c r="C56" s="67" t="s">
        <v>270</v>
      </c>
      <c r="D56" s="67" t="s">
        <v>140</v>
      </c>
      <c r="E56" s="67" t="s">
        <v>283</v>
      </c>
    </row>
  </sheetData>
  <mergeCells count="41">
    <mergeCell ref="C13:E13"/>
    <mergeCell ref="C37:E37"/>
    <mergeCell ref="A1:E1"/>
    <mergeCell ref="B24:E24"/>
    <mergeCell ref="C43:E43"/>
    <mergeCell ref="C12:E12"/>
    <mergeCell ref="B26:E26"/>
    <mergeCell ref="C36:E36"/>
    <mergeCell ref="C11:E11"/>
    <mergeCell ref="A41:B41"/>
    <mergeCell ref="C39:E39"/>
    <mergeCell ref="C8:E8"/>
    <mergeCell ref="A37:B37"/>
    <mergeCell ref="B25:E25"/>
    <mergeCell ref="C7:E7"/>
    <mergeCell ref="A18:E18"/>
    <mergeCell ref="C38:E38"/>
    <mergeCell ref="A3:E3"/>
    <mergeCell ref="A2:E2"/>
    <mergeCell ref="A42:B42"/>
    <mergeCell ref="A33:E33"/>
    <mergeCell ref="A23:E23"/>
    <mergeCell ref="A17:E17"/>
    <mergeCell ref="C15:E15"/>
    <mergeCell ref="C6:E6"/>
    <mergeCell ref="C42:E42"/>
    <mergeCell ref="A38:B38"/>
    <mergeCell ref="C14:E14"/>
    <mergeCell ref="C5:E5"/>
    <mergeCell ref="C10:E10"/>
    <mergeCell ref="C16:E16"/>
    <mergeCell ref="A34:E34"/>
    <mergeCell ref="C41:E41"/>
    <mergeCell ref="C9:E9"/>
    <mergeCell ref="A43:B43"/>
    <mergeCell ref="A19:E19"/>
    <mergeCell ref="A31:E31"/>
    <mergeCell ref="B28:E28"/>
    <mergeCell ref="A39:B39"/>
    <mergeCell ref="A36:B36"/>
    <mergeCell ref="B27:E27"/>
  </mergeCells>
  <dataValidations count="6">
    <dataValidation type="list" allowBlank="1" showInputMessage="1" showErrorMessage="1" errorTitle="Invalid Agent" error="Please select a valid agent (Agent 01 to Agent 10)" promptTitle="Assign Agent" prompt="Select an agent" sqref="C11:E11" xr:uid="{00000000-0002-0000-0700-000000000000}">
      <formula1>"Agent 01,Agent 02,Agent 03,Agent 04,Agent 05,Agent 06,Agent 07,Agent 08,Agent 09,Agent 10"</formula1>
      <formula2>0</formula2>
    </dataValidation>
    <dataValidation type="list" allowBlank="1" sqref="C14:D14" xr:uid="{00000000-0002-0000-0700-000001000000}">
      <formula1>"Ghana Card,Voter's ID,Passport,Driver's License,None"</formula1>
      <formula2>0</formula2>
    </dataValidation>
    <dataValidation type="date" operator="greaterThan" allowBlank="1" showErrorMessage="1" errorTitle="Invalid Date" error="Enter a valid date (DD/MM/YYYY or Excel date)" sqref="C7" xr:uid="{00000000-0002-0000-0700-000002000000}">
      <formula1>DATE(1900,1,1)</formula1>
      <formula2>0</formula2>
    </dataValidation>
    <dataValidation type="list" allowBlank="1" sqref="C43" xr:uid="{00000000-0002-0000-0700-000003000000}">
      <formula1>"Manager,Headmaster,Deputy Head,Accountant,Director"</formula1>
      <formula2>0</formula2>
    </dataValidation>
    <dataValidation type="list" sqref="C11" xr:uid="{00000000-0002-0000-0700-000004000000}">
      <formula1>"Agent 01,Agent 02,Agent 03,Agent 04,Agent 05,Agent 06,Agent 07,Agent 08,Agent 09,Agent 10"</formula1>
    </dataValidation>
    <dataValidation type="list" allowBlank="1" sqref="C14" xr:uid="{00000000-0002-0000-0700-000005000000}">
      <formula1>"Ghana Card,Voter ID,Passport,NHIS Card,Driver License"</formula1>
    </dataValidation>
  </dataValidation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1E3A5F"/>
  </sheetPr>
  <dimension ref="A1:N518"/>
  <sheetViews>
    <sheetView showGridLines="0" zoomScaleNormal="100" workbookViewId="0">
      <pane ySplit="8" topLeftCell="A9" activePane="bottomLeft" state="frozen"/>
      <selection pane="bottomLeft" activeCell="G5" sqref="G5:N5"/>
    </sheetView>
  </sheetViews>
  <sheetFormatPr defaultColWidth="8.7109375" defaultRowHeight="15" x14ac:dyDescent="0.25"/>
  <cols>
    <col min="1" max="1" width="5" customWidth="1"/>
    <col min="2" max="2" width="16" customWidth="1"/>
    <col min="3" max="3" width="22" customWidth="1"/>
    <col min="4" max="6" width="14" customWidth="1"/>
    <col min="7" max="7" width="16" customWidth="1"/>
    <col min="8" max="9" width="14" customWidth="1"/>
    <col min="10" max="10" width="13" customWidth="1"/>
    <col min="11" max="11" width="14" customWidth="1"/>
    <col min="12" max="13" width="16" customWidth="1"/>
    <col min="14" max="14" width="12" customWidth="1"/>
  </cols>
  <sheetData>
    <row r="1" spans="1:14" ht="36" customHeight="1" x14ac:dyDescent="0.25">
      <c r="A1" s="269" t="s">
        <v>284</v>
      </c>
      <c r="B1" s="265"/>
      <c r="C1" s="265"/>
      <c r="D1" s="265"/>
      <c r="E1" s="265"/>
      <c r="F1" s="265"/>
      <c r="G1" s="265"/>
      <c r="H1" s="265"/>
      <c r="I1" s="265"/>
      <c r="J1" s="265"/>
      <c r="K1" s="265"/>
      <c r="L1" s="265"/>
      <c r="M1" s="265"/>
      <c r="N1" s="265"/>
    </row>
    <row r="2" spans="1:14" ht="20.100000000000001" customHeight="1" x14ac:dyDescent="0.25">
      <c r="A2" s="267" t="s">
        <v>285</v>
      </c>
      <c r="B2" s="265"/>
      <c r="C2" s="265"/>
      <c r="D2" s="265"/>
      <c r="E2" s="265"/>
      <c r="F2" s="265"/>
      <c r="G2" s="265"/>
      <c r="H2" s="265"/>
      <c r="I2" s="265"/>
      <c r="J2" s="265"/>
      <c r="K2" s="265"/>
      <c r="L2" s="265"/>
      <c r="M2" s="265"/>
      <c r="N2" s="265"/>
    </row>
    <row r="3" spans="1:14" ht="8.1" customHeight="1" x14ac:dyDescent="0.25">
      <c r="A3" s="69"/>
    </row>
    <row r="4" spans="1:14" ht="26.1" customHeight="1" x14ac:dyDescent="0.25">
      <c r="A4" s="266" t="s">
        <v>286</v>
      </c>
      <c r="B4" s="265"/>
      <c r="C4" s="265"/>
      <c r="D4" s="265"/>
      <c r="E4" s="265"/>
      <c r="F4" s="265"/>
      <c r="G4" s="265"/>
      <c r="H4" s="265"/>
      <c r="I4" s="265"/>
      <c r="J4" s="265"/>
      <c r="K4" s="265"/>
      <c r="L4" s="265"/>
      <c r="M4" s="265"/>
      <c r="N4" s="265"/>
    </row>
    <row r="5" spans="1:14" ht="24" customHeight="1" x14ac:dyDescent="0.25">
      <c r="A5" s="210" t="s">
        <v>287</v>
      </c>
      <c r="B5" s="211"/>
      <c r="C5" s="200"/>
      <c r="G5" s="268" t="s">
        <v>288</v>
      </c>
      <c r="H5" s="265"/>
      <c r="I5" s="265"/>
      <c r="J5" s="265"/>
      <c r="K5" s="265"/>
      <c r="L5" s="265"/>
      <c r="M5" s="265"/>
      <c r="N5" s="265"/>
    </row>
    <row r="6" spans="1:14" ht="18" customHeight="1" x14ac:dyDescent="0.25">
      <c r="A6" s="264" t="s">
        <v>289</v>
      </c>
      <c r="B6" s="265"/>
      <c r="C6" s="265"/>
      <c r="D6" s="265"/>
      <c r="E6" s="265"/>
      <c r="F6" s="265"/>
      <c r="G6" s="265"/>
      <c r="H6" s="265"/>
      <c r="I6" s="265"/>
      <c r="J6" s="265"/>
      <c r="K6" s="265"/>
      <c r="L6" s="265"/>
      <c r="M6" s="265"/>
      <c r="N6" s="265"/>
    </row>
    <row r="7" spans="1:14" ht="6" customHeight="1" x14ac:dyDescent="0.25">
      <c r="A7" s="69"/>
      <c r="B7" s="69"/>
      <c r="C7" s="69"/>
      <c r="D7" s="69"/>
      <c r="E7" s="69"/>
      <c r="F7" s="69"/>
      <c r="G7" s="69"/>
      <c r="H7" s="69"/>
      <c r="I7" s="69"/>
      <c r="J7" s="69"/>
      <c r="K7" s="69"/>
      <c r="L7" s="69"/>
      <c r="M7" s="69"/>
      <c r="N7" s="69"/>
    </row>
    <row r="8" spans="1:14" ht="38.1" customHeight="1" x14ac:dyDescent="0.25">
      <c r="A8" s="212" t="s">
        <v>74</v>
      </c>
      <c r="B8" s="212" t="s">
        <v>290</v>
      </c>
      <c r="C8" s="212" t="s">
        <v>291</v>
      </c>
      <c r="D8" s="212" t="s">
        <v>292</v>
      </c>
      <c r="E8" s="212" t="s">
        <v>293</v>
      </c>
      <c r="F8" s="212" t="s">
        <v>294</v>
      </c>
      <c r="G8" s="212" t="s">
        <v>295</v>
      </c>
      <c r="H8" s="212" t="s">
        <v>296</v>
      </c>
      <c r="I8" s="212" t="s">
        <v>297</v>
      </c>
      <c r="J8" s="212" t="s">
        <v>267</v>
      </c>
      <c r="K8" s="212" t="s">
        <v>298</v>
      </c>
      <c r="L8" s="212" t="s">
        <v>299</v>
      </c>
      <c r="M8" s="212" t="s">
        <v>300</v>
      </c>
      <c r="N8" s="212" t="s">
        <v>13</v>
      </c>
    </row>
    <row r="9" spans="1:14" ht="20.100000000000001" customHeight="1" x14ac:dyDescent="0.25">
      <c r="A9" s="213" t="str">
        <f>IF('Customer Account Database'!B9&lt;&gt;"","LIVE","")</f>
        <v/>
      </c>
      <c r="B9" s="213" t="str">
        <f>IF(Account_Opening!C16&lt;&gt;"",Account_Opening!C16,"")</f>
        <v/>
      </c>
      <c r="C9" s="213" t="str">
        <f>IF(Account_Opening!C5&lt;&gt;"",TRIM(Account_Opening!C5)&amp;" "&amp;TRIM(Account_Opening!C6),"")</f>
        <v/>
      </c>
      <c r="D9" s="214">
        <f>IF(Account_Opening!C7&lt;&gt;"",Account_Opening!C7,"")</f>
        <v>31930</v>
      </c>
      <c r="E9" s="213">
        <f>IF(Account_Opening!C8&lt;&gt;"",Account_Opening!C8,"")</f>
        <v>241911273</v>
      </c>
      <c r="F9" s="213" t="str">
        <f>IF(Account_Opening!C9&lt;&gt;"",Account_Opening!C9,"")</f>
        <v>Mankessim</v>
      </c>
      <c r="G9" s="213" t="str">
        <f>IF(Account_Opening!C10&lt;&gt;"",Account_Opening!C10,"")</f>
        <v>Developer</v>
      </c>
      <c r="H9" s="213" t="str">
        <f>IF(Account_Opening!C11&lt;&gt;"",Account_Opening!C11,"")</f>
        <v>Agent 01</v>
      </c>
      <c r="I9" s="215">
        <f>IF(ISNUMBER(Account_Opening!C12),Account_Opening!C12,"")</f>
        <v>230</v>
      </c>
      <c r="J9" s="214" t="str">
        <f ca="1">IF(Account_Opening!C16&lt;&gt;"",TODAY(),"")</f>
        <v/>
      </c>
      <c r="K9" s="213" t="str">
        <f>IF(Account_Opening!C14&lt;&gt;"",Account_Opening!C14,"")</f>
        <v/>
      </c>
      <c r="L9" s="213" t="str">
        <f>IF(Account_Opening!C15&lt;&gt;"",Account_Opening!C15,"")</f>
        <v/>
      </c>
      <c r="M9" s="213" t="str">
        <f>IF(Account_Opening!C13&lt;&gt;"",Account_Opening!C13,"")</f>
        <v>Kadmiel  Abban</v>
      </c>
      <c r="N9" s="213" t="str">
        <f>IF(Account_Opening!C16&lt;&gt;"",IF(ISNUMBER(Account_Opening!C12),IF(Account_Opening!C12&gt;=10,"Active","Inactive"),""),"Pending")</f>
        <v>Pending</v>
      </c>
    </row>
    <row r="10" spans="1:14" ht="18" customHeight="1" x14ac:dyDescent="0.25">
      <c r="A10" s="216" t="str">
        <f>IF(DB_Customers!A4&lt;&gt;"",ROW()-9,"")</f>
        <v/>
      </c>
      <c r="B10" s="216" t="str">
        <f>IFERROR(IF(DB_Customers!A4&lt;&gt;"",DB_Customers!A4,""),"")</f>
        <v/>
      </c>
      <c r="C10" s="217" t="str">
        <f>IFERROR(IF(DB_Customers!D4&lt;&gt;"",DB_Customers!D4,""),"")</f>
        <v/>
      </c>
      <c r="D10" s="218" t="str">
        <f>IFERROR(IF(DB_Customers!Q4&lt;&gt;"",DB_Customers!Q4,""),"")</f>
        <v/>
      </c>
      <c r="E10" s="216" t="str">
        <f>IFERROR(IF(DB_Customers!R4&lt;&gt;"",DB_Customers!R4,""),"")</f>
        <v/>
      </c>
      <c r="F10" s="217" t="str">
        <f>IFERROR(IF(DB_Customers!S4&lt;&gt;"",DB_Customers!S4,""),"")</f>
        <v/>
      </c>
      <c r="G10" s="217" t="str">
        <f>IFERROR(IF(DB_Customers!G4&lt;&gt;"",DB_Customers!G4,""),"")</f>
        <v/>
      </c>
      <c r="H10" s="216" t="str">
        <f>IFERROR(IF(DB_Customers!H4&lt;&gt;"",DB_Customers!H4,""),"")</f>
        <v/>
      </c>
      <c r="I10" s="219" t="str">
        <f>IFERROR(IF(DB_Customers!I4&lt;&gt;"",DB_Customers!I4,""),"")</f>
        <v/>
      </c>
      <c r="J10" s="220" t="str">
        <f>IFERROR(IF(DB_Customers!J4&lt;&gt;"",DB_Customers!J4,""),"")</f>
        <v/>
      </c>
      <c r="K10" s="217" t="str">
        <f>IFERROR(IF(DB_Customers!E4&lt;&gt;"",DB_Customers!E4,""),"")</f>
        <v/>
      </c>
      <c r="L10" s="217" t="str">
        <f>IFERROR(IF(DB_Customers!F4&lt;&gt;"",DB_Customers!F4,""),"")</f>
        <v/>
      </c>
      <c r="M10" s="217" t="str">
        <f>IFERROR(IF(DB_Customers!T4&lt;&gt;"",DB_Customers!T4,""),"")</f>
        <v/>
      </c>
      <c r="N10" s="216" t="str">
        <f>IFERROR(IF(DB_Customers!A4&lt;&gt;"",IF(DB_Customers!I4&gt;=10,"Active","Inactive"),""),"")</f>
        <v/>
      </c>
    </row>
    <row r="11" spans="1:14" ht="18" customHeight="1" x14ac:dyDescent="0.25">
      <c r="A11" s="221" t="str">
        <f>IF(DB_Customers!A5&lt;&gt;"",ROW()-9,"")</f>
        <v/>
      </c>
      <c r="B11" s="221" t="str">
        <f>IFERROR(IF(DB_Customers!A5&lt;&gt;"",DB_Customers!A5,""),"")</f>
        <v/>
      </c>
      <c r="C11" s="222" t="str">
        <f>IFERROR(IF(DB_Customers!D5&lt;&gt;"",DB_Customers!D5,""),"")</f>
        <v/>
      </c>
      <c r="D11" s="223" t="str">
        <f>IFERROR(IF(DB_Customers!Q5&lt;&gt;"",DB_Customers!Q5,""),"")</f>
        <v/>
      </c>
      <c r="E11" s="221" t="str">
        <f>IFERROR(IF(DB_Customers!R5&lt;&gt;"",DB_Customers!R5,""),"")</f>
        <v/>
      </c>
      <c r="F11" s="222" t="str">
        <f>IFERROR(IF(DB_Customers!S5&lt;&gt;"",DB_Customers!S5,""),"")</f>
        <v/>
      </c>
      <c r="G11" s="222" t="str">
        <f>IFERROR(IF(DB_Customers!G5&lt;&gt;"",DB_Customers!G5,""),"")</f>
        <v/>
      </c>
      <c r="H11" s="221" t="str">
        <f>IFERROR(IF(DB_Customers!H5&lt;&gt;"",DB_Customers!H5,""),"")</f>
        <v/>
      </c>
      <c r="I11" s="224" t="str">
        <f>IFERROR(IF(DB_Customers!I5&lt;&gt;"",DB_Customers!I5,""),"")</f>
        <v/>
      </c>
      <c r="J11" s="225" t="str">
        <f>IFERROR(IF(DB_Customers!J5&lt;&gt;"",DB_Customers!J5,""),"")</f>
        <v/>
      </c>
      <c r="K11" s="222" t="str">
        <f>IFERROR(IF(DB_Customers!E5&lt;&gt;"",DB_Customers!E5,""),"")</f>
        <v/>
      </c>
      <c r="L11" s="222" t="str">
        <f>IFERROR(IF(DB_Customers!F5&lt;&gt;"",DB_Customers!F5,""),"")</f>
        <v/>
      </c>
      <c r="M11" s="222" t="str">
        <f>IFERROR(IF(DB_Customers!T5&lt;&gt;"",DB_Customers!T5,""),"")</f>
        <v/>
      </c>
      <c r="N11" s="221" t="str">
        <f>IFERROR(IF(DB_Customers!A5&lt;&gt;"",IF(DB_Customers!I5&gt;=10,"Active","Inactive"),""),"")</f>
        <v/>
      </c>
    </row>
    <row r="12" spans="1:14" ht="18" customHeight="1" x14ac:dyDescent="0.25">
      <c r="A12" s="216" t="str">
        <f>IF(DB_Customers!A6&lt;&gt;"",ROW()-9,"")</f>
        <v/>
      </c>
      <c r="B12" s="216" t="str">
        <f>IFERROR(IF(DB_Customers!A6&lt;&gt;"",DB_Customers!A6,""),"")</f>
        <v/>
      </c>
      <c r="C12" s="217" t="str">
        <f>IFERROR(IF(DB_Customers!D6&lt;&gt;"",DB_Customers!D6,""),"")</f>
        <v/>
      </c>
      <c r="D12" s="218" t="str">
        <f>IFERROR(IF(DB_Customers!Q6&lt;&gt;"",DB_Customers!Q6,""),"")</f>
        <v/>
      </c>
      <c r="E12" s="216" t="str">
        <f>IFERROR(IF(DB_Customers!R6&lt;&gt;"",DB_Customers!R6,""),"")</f>
        <v/>
      </c>
      <c r="F12" s="217" t="str">
        <f>IFERROR(IF(DB_Customers!S6&lt;&gt;"",DB_Customers!S6,""),"")</f>
        <v/>
      </c>
      <c r="G12" s="217" t="str">
        <f>IFERROR(IF(DB_Customers!G6&lt;&gt;"",DB_Customers!G6,""),"")</f>
        <v/>
      </c>
      <c r="H12" s="216" t="str">
        <f>IFERROR(IF(DB_Customers!H6&lt;&gt;"",DB_Customers!H6,""),"")</f>
        <v/>
      </c>
      <c r="I12" s="219" t="str">
        <f>IFERROR(IF(DB_Customers!I6&lt;&gt;"",DB_Customers!I6,""),"")</f>
        <v/>
      </c>
      <c r="J12" s="220" t="str">
        <f>IFERROR(IF(DB_Customers!J6&lt;&gt;"",DB_Customers!J6,""),"")</f>
        <v/>
      </c>
      <c r="K12" s="217" t="str">
        <f>IFERROR(IF(DB_Customers!E6&lt;&gt;"",DB_Customers!E6,""),"")</f>
        <v/>
      </c>
      <c r="L12" s="217" t="str">
        <f>IFERROR(IF(DB_Customers!F6&lt;&gt;"",DB_Customers!F6,""),"")</f>
        <v/>
      </c>
      <c r="M12" s="217" t="str">
        <f>IFERROR(IF(DB_Customers!T6&lt;&gt;"",DB_Customers!T6,""),"")</f>
        <v/>
      </c>
      <c r="N12" s="216" t="str">
        <f>IFERROR(IF(DB_Customers!A6&lt;&gt;"",IF(DB_Customers!I6&gt;=10,"Active","Inactive"),""),"")</f>
        <v/>
      </c>
    </row>
    <row r="13" spans="1:14" ht="18" customHeight="1" x14ac:dyDescent="0.25">
      <c r="A13" s="221" t="str">
        <f>IF(DB_Customers!A7&lt;&gt;"",ROW()-9,"")</f>
        <v/>
      </c>
      <c r="B13" s="221" t="str">
        <f>IFERROR(IF(DB_Customers!A7&lt;&gt;"",DB_Customers!A7,""),"")</f>
        <v/>
      </c>
      <c r="C13" s="222" t="str">
        <f>IFERROR(IF(DB_Customers!D7&lt;&gt;"",DB_Customers!D7,""),"")</f>
        <v/>
      </c>
      <c r="D13" s="223" t="str">
        <f>IFERROR(IF(DB_Customers!Q7&lt;&gt;"",DB_Customers!Q7,""),"")</f>
        <v/>
      </c>
      <c r="E13" s="221" t="str">
        <f>IFERROR(IF(DB_Customers!R7&lt;&gt;"",DB_Customers!R7,""),"")</f>
        <v/>
      </c>
      <c r="F13" s="222" t="str">
        <f>IFERROR(IF(DB_Customers!S7&lt;&gt;"",DB_Customers!S7,""),"")</f>
        <v/>
      </c>
      <c r="G13" s="222" t="str">
        <f>IFERROR(IF(DB_Customers!G7&lt;&gt;"",DB_Customers!G7,""),"")</f>
        <v/>
      </c>
      <c r="H13" s="221" t="str">
        <f>IFERROR(IF(DB_Customers!H7&lt;&gt;"",DB_Customers!H7,""),"")</f>
        <v/>
      </c>
      <c r="I13" s="224" t="str">
        <f>IFERROR(IF(DB_Customers!I7&lt;&gt;"",DB_Customers!I7,""),"")</f>
        <v/>
      </c>
      <c r="J13" s="225" t="str">
        <f>IFERROR(IF(DB_Customers!J7&lt;&gt;"",DB_Customers!J7,""),"")</f>
        <v/>
      </c>
      <c r="K13" s="222" t="str">
        <f>IFERROR(IF(DB_Customers!E7&lt;&gt;"",DB_Customers!E7,""),"")</f>
        <v/>
      </c>
      <c r="L13" s="222" t="str">
        <f>IFERROR(IF(DB_Customers!F7&lt;&gt;"",DB_Customers!F7,""),"")</f>
        <v/>
      </c>
      <c r="M13" s="222" t="str">
        <f>IFERROR(IF(DB_Customers!T7&lt;&gt;"",DB_Customers!T7,""),"")</f>
        <v/>
      </c>
      <c r="N13" s="221" t="str">
        <f>IFERROR(IF(DB_Customers!A7&lt;&gt;"",IF(DB_Customers!I7&gt;=10,"Active","Inactive"),""),"")</f>
        <v/>
      </c>
    </row>
    <row r="14" spans="1:14" ht="18" customHeight="1" x14ac:dyDescent="0.25">
      <c r="A14" s="216" t="str">
        <f>IF(DB_Customers!A8&lt;&gt;"",ROW()-9,"")</f>
        <v/>
      </c>
      <c r="B14" s="216" t="str">
        <f>IFERROR(IF(DB_Customers!A8&lt;&gt;"",DB_Customers!A8,""),"")</f>
        <v/>
      </c>
      <c r="C14" s="217" t="str">
        <f>IFERROR(IF(DB_Customers!D8&lt;&gt;"",DB_Customers!D8,""),"")</f>
        <v/>
      </c>
      <c r="D14" s="218" t="str">
        <f>IFERROR(IF(DB_Customers!Q8&lt;&gt;"",DB_Customers!Q8,""),"")</f>
        <v/>
      </c>
      <c r="E14" s="216" t="str">
        <f>IFERROR(IF(DB_Customers!R8&lt;&gt;"",DB_Customers!R8,""),"")</f>
        <v/>
      </c>
      <c r="F14" s="217" t="str">
        <f>IFERROR(IF(DB_Customers!S8&lt;&gt;"",DB_Customers!S8,""),"")</f>
        <v/>
      </c>
      <c r="G14" s="217" t="str">
        <f>IFERROR(IF(DB_Customers!G8&lt;&gt;"",DB_Customers!G8,""),"")</f>
        <v/>
      </c>
      <c r="H14" s="216" t="str">
        <f>IFERROR(IF(DB_Customers!H8&lt;&gt;"",DB_Customers!H8,""),"")</f>
        <v/>
      </c>
      <c r="I14" s="219" t="str">
        <f>IFERROR(IF(DB_Customers!I8&lt;&gt;"",DB_Customers!I8,""),"")</f>
        <v/>
      </c>
      <c r="J14" s="220" t="str">
        <f>IFERROR(IF(DB_Customers!J8&lt;&gt;"",DB_Customers!J8,""),"")</f>
        <v/>
      </c>
      <c r="K14" s="217" t="str">
        <f>IFERROR(IF(DB_Customers!E8&lt;&gt;"",DB_Customers!E8,""),"")</f>
        <v/>
      </c>
      <c r="L14" s="217" t="str">
        <f>IFERROR(IF(DB_Customers!F8&lt;&gt;"",DB_Customers!F8,""),"")</f>
        <v/>
      </c>
      <c r="M14" s="217" t="str">
        <f>IFERROR(IF(DB_Customers!T8&lt;&gt;"",DB_Customers!T8,""),"")</f>
        <v/>
      </c>
      <c r="N14" s="216" t="str">
        <f>IFERROR(IF(DB_Customers!A8&lt;&gt;"",IF(DB_Customers!I8&gt;=10,"Active","Inactive"),""),"")</f>
        <v/>
      </c>
    </row>
    <row r="15" spans="1:14" ht="18" customHeight="1" x14ac:dyDescent="0.25">
      <c r="A15" s="221" t="str">
        <f>IF(DB_Customers!A9&lt;&gt;"",ROW()-9,"")</f>
        <v/>
      </c>
      <c r="B15" s="221" t="str">
        <f>IFERROR(IF(DB_Customers!A9&lt;&gt;"",DB_Customers!A9,""),"")</f>
        <v/>
      </c>
      <c r="C15" s="222" t="str">
        <f>IFERROR(IF(DB_Customers!D9&lt;&gt;"",DB_Customers!D9,""),"")</f>
        <v/>
      </c>
      <c r="D15" s="223" t="str">
        <f>IFERROR(IF(DB_Customers!Q9&lt;&gt;"",DB_Customers!Q9,""),"")</f>
        <v/>
      </c>
      <c r="E15" s="221" t="str">
        <f>IFERROR(IF(DB_Customers!R9&lt;&gt;"",DB_Customers!R9,""),"")</f>
        <v/>
      </c>
      <c r="F15" s="222" t="str">
        <f>IFERROR(IF(DB_Customers!S9&lt;&gt;"",DB_Customers!S9,""),"")</f>
        <v/>
      </c>
      <c r="G15" s="222" t="str">
        <f>IFERROR(IF(DB_Customers!G9&lt;&gt;"",DB_Customers!G9,""),"")</f>
        <v/>
      </c>
      <c r="H15" s="221" t="str">
        <f>IFERROR(IF(DB_Customers!H9&lt;&gt;"",DB_Customers!H9,""),"")</f>
        <v/>
      </c>
      <c r="I15" s="224" t="str">
        <f>IFERROR(IF(DB_Customers!I9&lt;&gt;"",DB_Customers!I9,""),"")</f>
        <v/>
      </c>
      <c r="J15" s="225" t="str">
        <f>IFERROR(IF(DB_Customers!J9&lt;&gt;"",DB_Customers!J9,""),"")</f>
        <v/>
      </c>
      <c r="K15" s="222" t="str">
        <f>IFERROR(IF(DB_Customers!E9&lt;&gt;"",DB_Customers!E9,""),"")</f>
        <v/>
      </c>
      <c r="L15" s="222" t="str">
        <f>IFERROR(IF(DB_Customers!F9&lt;&gt;"",DB_Customers!F9,""),"")</f>
        <v/>
      </c>
      <c r="M15" s="222" t="str">
        <f>IFERROR(IF(DB_Customers!T9&lt;&gt;"",DB_Customers!T9,""),"")</f>
        <v/>
      </c>
      <c r="N15" s="221" t="str">
        <f>IFERROR(IF(DB_Customers!A9&lt;&gt;"",IF(DB_Customers!I9&gt;=10,"Active","Inactive"),""),"")</f>
        <v/>
      </c>
    </row>
    <row r="16" spans="1:14" ht="18" customHeight="1" x14ac:dyDescent="0.25">
      <c r="A16" s="216" t="str">
        <f>IF(DB_Customers!A10&lt;&gt;"",ROW()-9,"")</f>
        <v/>
      </c>
      <c r="B16" s="216" t="str">
        <f>IFERROR(IF(DB_Customers!A10&lt;&gt;"",DB_Customers!A10,""),"")</f>
        <v/>
      </c>
      <c r="C16" s="217" t="str">
        <f>IFERROR(IF(DB_Customers!D10&lt;&gt;"",DB_Customers!D10,""),"")</f>
        <v/>
      </c>
      <c r="D16" s="218" t="str">
        <f>IFERROR(IF(DB_Customers!Q10&lt;&gt;"",DB_Customers!Q10,""),"")</f>
        <v/>
      </c>
      <c r="E16" s="216" t="str">
        <f>IFERROR(IF(DB_Customers!R10&lt;&gt;"",DB_Customers!R10,""),"")</f>
        <v/>
      </c>
      <c r="F16" s="217" t="str">
        <f>IFERROR(IF(DB_Customers!S10&lt;&gt;"",DB_Customers!S10,""),"")</f>
        <v/>
      </c>
      <c r="G16" s="217" t="str">
        <f>IFERROR(IF(DB_Customers!G10&lt;&gt;"",DB_Customers!G10,""),"")</f>
        <v/>
      </c>
      <c r="H16" s="216" t="str">
        <f>IFERROR(IF(DB_Customers!H10&lt;&gt;"",DB_Customers!H10,""),"")</f>
        <v/>
      </c>
      <c r="I16" s="219" t="str">
        <f>IFERROR(IF(DB_Customers!I10&lt;&gt;"",DB_Customers!I10,""),"")</f>
        <v/>
      </c>
      <c r="J16" s="220" t="str">
        <f>IFERROR(IF(DB_Customers!J10&lt;&gt;"",DB_Customers!J10,""),"")</f>
        <v/>
      </c>
      <c r="K16" s="217" t="str">
        <f>IFERROR(IF(DB_Customers!E10&lt;&gt;"",DB_Customers!E10,""),"")</f>
        <v/>
      </c>
      <c r="L16" s="217" t="str">
        <f>IFERROR(IF(DB_Customers!F10&lt;&gt;"",DB_Customers!F10,""),"")</f>
        <v/>
      </c>
      <c r="M16" s="217" t="str">
        <f>IFERROR(IF(DB_Customers!T10&lt;&gt;"",DB_Customers!T10,""),"")</f>
        <v/>
      </c>
      <c r="N16" s="216" t="str">
        <f>IFERROR(IF(DB_Customers!A10&lt;&gt;"",IF(DB_Customers!I10&gt;=10,"Active","Inactive"),""),"")</f>
        <v/>
      </c>
    </row>
    <row r="17" spans="1:14" ht="18" customHeight="1" x14ac:dyDescent="0.25">
      <c r="A17" s="221" t="str">
        <f>IF(DB_Customers!A11&lt;&gt;"",ROW()-9,"")</f>
        <v/>
      </c>
      <c r="B17" s="221" t="str">
        <f>IFERROR(IF(DB_Customers!A11&lt;&gt;"",DB_Customers!A11,""),"")</f>
        <v/>
      </c>
      <c r="C17" s="222" t="str">
        <f>IFERROR(IF(DB_Customers!D11&lt;&gt;"",DB_Customers!D11,""),"")</f>
        <v/>
      </c>
      <c r="D17" s="223" t="str">
        <f>IFERROR(IF(DB_Customers!Q11&lt;&gt;"",DB_Customers!Q11,""),"")</f>
        <v/>
      </c>
      <c r="E17" s="221" t="str">
        <f>IFERROR(IF(DB_Customers!R11&lt;&gt;"",DB_Customers!R11,""),"")</f>
        <v/>
      </c>
      <c r="F17" s="222" t="str">
        <f>IFERROR(IF(DB_Customers!S11&lt;&gt;"",DB_Customers!S11,""),"")</f>
        <v/>
      </c>
      <c r="G17" s="222" t="str">
        <f>IFERROR(IF(DB_Customers!G11&lt;&gt;"",DB_Customers!G11,""),"")</f>
        <v/>
      </c>
      <c r="H17" s="221" t="str">
        <f>IFERROR(IF(DB_Customers!H11&lt;&gt;"",DB_Customers!H11,""),"")</f>
        <v/>
      </c>
      <c r="I17" s="224" t="str">
        <f>IFERROR(IF(DB_Customers!I11&lt;&gt;"",DB_Customers!I11,""),"")</f>
        <v/>
      </c>
      <c r="J17" s="225" t="str">
        <f>IFERROR(IF(DB_Customers!J11&lt;&gt;"",DB_Customers!J11,""),"")</f>
        <v/>
      </c>
      <c r="K17" s="222" t="str">
        <f>IFERROR(IF(DB_Customers!E11&lt;&gt;"",DB_Customers!E11,""),"")</f>
        <v/>
      </c>
      <c r="L17" s="222" t="str">
        <f>IFERROR(IF(DB_Customers!F11&lt;&gt;"",DB_Customers!F11,""),"")</f>
        <v/>
      </c>
      <c r="M17" s="222" t="str">
        <f>IFERROR(IF(DB_Customers!T11&lt;&gt;"",DB_Customers!T11,""),"")</f>
        <v/>
      </c>
      <c r="N17" s="221" t="str">
        <f>IFERROR(IF(DB_Customers!A11&lt;&gt;"",IF(DB_Customers!I11&gt;=10,"Active","Inactive"),""),"")</f>
        <v/>
      </c>
    </row>
    <row r="18" spans="1:14" ht="18" customHeight="1" x14ac:dyDescent="0.25">
      <c r="A18" s="216" t="str">
        <f>IF(DB_Customers!A12&lt;&gt;"",ROW()-9,"")</f>
        <v/>
      </c>
      <c r="B18" s="216" t="str">
        <f>IFERROR(IF(DB_Customers!A12&lt;&gt;"",DB_Customers!A12,""),"")</f>
        <v/>
      </c>
      <c r="C18" s="217" t="str">
        <f>IFERROR(IF(DB_Customers!D12&lt;&gt;"",DB_Customers!D12,""),"")</f>
        <v/>
      </c>
      <c r="D18" s="218" t="str">
        <f>IFERROR(IF(DB_Customers!Q12&lt;&gt;"",DB_Customers!Q12,""),"")</f>
        <v/>
      </c>
      <c r="E18" s="216" t="str">
        <f>IFERROR(IF(DB_Customers!R12&lt;&gt;"",DB_Customers!R12,""),"")</f>
        <v/>
      </c>
      <c r="F18" s="217" t="str">
        <f>IFERROR(IF(DB_Customers!S12&lt;&gt;"",DB_Customers!S12,""),"")</f>
        <v/>
      </c>
      <c r="G18" s="217" t="str">
        <f>IFERROR(IF(DB_Customers!G12&lt;&gt;"",DB_Customers!G12,""),"")</f>
        <v/>
      </c>
      <c r="H18" s="216" t="str">
        <f>IFERROR(IF(DB_Customers!H12&lt;&gt;"",DB_Customers!H12,""),"")</f>
        <v/>
      </c>
      <c r="I18" s="219" t="str">
        <f>IFERROR(IF(DB_Customers!I12&lt;&gt;"",DB_Customers!I12,""),"")</f>
        <v/>
      </c>
      <c r="J18" s="220" t="str">
        <f>IFERROR(IF(DB_Customers!J12&lt;&gt;"",DB_Customers!J12,""),"")</f>
        <v/>
      </c>
      <c r="K18" s="217" t="str">
        <f>IFERROR(IF(DB_Customers!E12&lt;&gt;"",DB_Customers!E12,""),"")</f>
        <v/>
      </c>
      <c r="L18" s="217" t="str">
        <f>IFERROR(IF(DB_Customers!F12&lt;&gt;"",DB_Customers!F12,""),"")</f>
        <v/>
      </c>
      <c r="M18" s="217" t="str">
        <f>IFERROR(IF(DB_Customers!T12&lt;&gt;"",DB_Customers!T12,""),"")</f>
        <v/>
      </c>
      <c r="N18" s="216" t="str">
        <f>IFERROR(IF(DB_Customers!A12&lt;&gt;"",IF(DB_Customers!I12&gt;=10,"Active","Inactive"),""),"")</f>
        <v/>
      </c>
    </row>
    <row r="19" spans="1:14" ht="18" customHeight="1" x14ac:dyDescent="0.25">
      <c r="A19" s="221" t="str">
        <f>IF(DB_Customers!A13&lt;&gt;"",ROW()-9,"")</f>
        <v/>
      </c>
      <c r="B19" s="221" t="str">
        <f>IFERROR(IF(DB_Customers!A13&lt;&gt;"",DB_Customers!A13,""),"")</f>
        <v/>
      </c>
      <c r="C19" s="222" t="str">
        <f>IFERROR(IF(DB_Customers!D13&lt;&gt;"",DB_Customers!D13,""),"")</f>
        <v/>
      </c>
      <c r="D19" s="223" t="str">
        <f>IFERROR(IF(DB_Customers!Q13&lt;&gt;"",DB_Customers!Q13,""),"")</f>
        <v/>
      </c>
      <c r="E19" s="221" t="str">
        <f>IFERROR(IF(DB_Customers!R13&lt;&gt;"",DB_Customers!R13,""),"")</f>
        <v/>
      </c>
      <c r="F19" s="222" t="str">
        <f>IFERROR(IF(DB_Customers!S13&lt;&gt;"",DB_Customers!S13,""),"")</f>
        <v/>
      </c>
      <c r="G19" s="222" t="str">
        <f>IFERROR(IF(DB_Customers!G13&lt;&gt;"",DB_Customers!G13,""),"")</f>
        <v/>
      </c>
      <c r="H19" s="221" t="str">
        <f>IFERROR(IF(DB_Customers!H13&lt;&gt;"",DB_Customers!H13,""),"")</f>
        <v/>
      </c>
      <c r="I19" s="224" t="str">
        <f>IFERROR(IF(DB_Customers!I13&lt;&gt;"",DB_Customers!I13,""),"")</f>
        <v/>
      </c>
      <c r="J19" s="225" t="str">
        <f>IFERROR(IF(DB_Customers!J13&lt;&gt;"",DB_Customers!J13,""),"")</f>
        <v/>
      </c>
      <c r="K19" s="222" t="str">
        <f>IFERROR(IF(DB_Customers!E13&lt;&gt;"",DB_Customers!E13,""),"")</f>
        <v/>
      </c>
      <c r="L19" s="222" t="str">
        <f>IFERROR(IF(DB_Customers!F13&lt;&gt;"",DB_Customers!F13,""),"")</f>
        <v/>
      </c>
      <c r="M19" s="222" t="str">
        <f>IFERROR(IF(DB_Customers!T13&lt;&gt;"",DB_Customers!T13,""),"")</f>
        <v/>
      </c>
      <c r="N19" s="221" t="str">
        <f>IFERROR(IF(DB_Customers!A13&lt;&gt;"",IF(DB_Customers!I13&gt;=10,"Active","Inactive"),""),"")</f>
        <v/>
      </c>
    </row>
    <row r="20" spans="1:14" ht="18" customHeight="1" x14ac:dyDescent="0.25">
      <c r="A20" s="216" t="str">
        <f>IF(DB_Customers!A14&lt;&gt;"",ROW()-9,"")</f>
        <v/>
      </c>
      <c r="B20" s="216" t="str">
        <f>IFERROR(IF(DB_Customers!A14&lt;&gt;"",DB_Customers!A14,""),"")</f>
        <v/>
      </c>
      <c r="C20" s="217" t="str">
        <f>IFERROR(IF(DB_Customers!D14&lt;&gt;"",DB_Customers!D14,""),"")</f>
        <v/>
      </c>
      <c r="D20" s="218" t="str">
        <f>IFERROR(IF(DB_Customers!Q14&lt;&gt;"",DB_Customers!Q14,""),"")</f>
        <v/>
      </c>
      <c r="E20" s="216" t="str">
        <f>IFERROR(IF(DB_Customers!R14&lt;&gt;"",DB_Customers!R14,""),"")</f>
        <v/>
      </c>
      <c r="F20" s="217" t="str">
        <f>IFERROR(IF(DB_Customers!S14&lt;&gt;"",DB_Customers!S14,""),"")</f>
        <v/>
      </c>
      <c r="G20" s="217" t="str">
        <f>IFERROR(IF(DB_Customers!G14&lt;&gt;"",DB_Customers!G14,""),"")</f>
        <v/>
      </c>
      <c r="H20" s="216" t="str">
        <f>IFERROR(IF(DB_Customers!H14&lt;&gt;"",DB_Customers!H14,""),"")</f>
        <v/>
      </c>
      <c r="I20" s="219" t="str">
        <f>IFERROR(IF(DB_Customers!I14&lt;&gt;"",DB_Customers!I14,""),"")</f>
        <v/>
      </c>
      <c r="J20" s="220" t="str">
        <f>IFERROR(IF(DB_Customers!J14&lt;&gt;"",DB_Customers!J14,""),"")</f>
        <v/>
      </c>
      <c r="K20" s="217" t="str">
        <f>IFERROR(IF(DB_Customers!E14&lt;&gt;"",DB_Customers!E14,""),"")</f>
        <v/>
      </c>
      <c r="L20" s="217" t="str">
        <f>IFERROR(IF(DB_Customers!F14&lt;&gt;"",DB_Customers!F14,""),"")</f>
        <v/>
      </c>
      <c r="M20" s="217" t="str">
        <f>IFERROR(IF(DB_Customers!T14&lt;&gt;"",DB_Customers!T14,""),"")</f>
        <v/>
      </c>
      <c r="N20" s="216" t="str">
        <f>IFERROR(IF(DB_Customers!A14&lt;&gt;"",IF(DB_Customers!I14&gt;=10,"Active","Inactive"),""),"")</f>
        <v/>
      </c>
    </row>
    <row r="21" spans="1:14" ht="18" customHeight="1" x14ac:dyDescent="0.25">
      <c r="A21" s="221" t="str">
        <f>IF(DB_Customers!A15&lt;&gt;"",ROW()-9,"")</f>
        <v/>
      </c>
      <c r="B21" s="221" t="str">
        <f>IFERROR(IF(DB_Customers!A15&lt;&gt;"",DB_Customers!A15,""),"")</f>
        <v/>
      </c>
      <c r="C21" s="222" t="str">
        <f>IFERROR(IF(DB_Customers!D15&lt;&gt;"",DB_Customers!D15,""),"")</f>
        <v/>
      </c>
      <c r="D21" s="223" t="str">
        <f>IFERROR(IF(DB_Customers!Q15&lt;&gt;"",DB_Customers!Q15,""),"")</f>
        <v/>
      </c>
      <c r="E21" s="221" t="str">
        <f>IFERROR(IF(DB_Customers!R15&lt;&gt;"",DB_Customers!R15,""),"")</f>
        <v/>
      </c>
      <c r="F21" s="222" t="str">
        <f>IFERROR(IF(DB_Customers!S15&lt;&gt;"",DB_Customers!S15,""),"")</f>
        <v/>
      </c>
      <c r="G21" s="222" t="str">
        <f>IFERROR(IF(DB_Customers!G15&lt;&gt;"",DB_Customers!G15,""),"")</f>
        <v/>
      </c>
      <c r="H21" s="221" t="str">
        <f>IFERROR(IF(DB_Customers!H15&lt;&gt;"",DB_Customers!H15,""),"")</f>
        <v/>
      </c>
      <c r="I21" s="224" t="str">
        <f>IFERROR(IF(DB_Customers!I15&lt;&gt;"",DB_Customers!I15,""),"")</f>
        <v/>
      </c>
      <c r="J21" s="225" t="str">
        <f>IFERROR(IF(DB_Customers!J15&lt;&gt;"",DB_Customers!J15,""),"")</f>
        <v/>
      </c>
      <c r="K21" s="222" t="str">
        <f>IFERROR(IF(DB_Customers!E15&lt;&gt;"",DB_Customers!E15,""),"")</f>
        <v/>
      </c>
      <c r="L21" s="222" t="str">
        <f>IFERROR(IF(DB_Customers!F15&lt;&gt;"",DB_Customers!F15,""),"")</f>
        <v/>
      </c>
      <c r="M21" s="222" t="str">
        <f>IFERROR(IF(DB_Customers!T15&lt;&gt;"",DB_Customers!T15,""),"")</f>
        <v/>
      </c>
      <c r="N21" s="221" t="str">
        <f>IFERROR(IF(DB_Customers!A15&lt;&gt;"",IF(DB_Customers!I15&gt;=10,"Active","Inactive"),""),"")</f>
        <v/>
      </c>
    </row>
    <row r="22" spans="1:14" ht="18" customHeight="1" x14ac:dyDescent="0.25">
      <c r="A22" s="216" t="str">
        <f>IF(DB_Customers!A16&lt;&gt;"",ROW()-9,"")</f>
        <v/>
      </c>
      <c r="B22" s="216" t="str">
        <f>IFERROR(IF(DB_Customers!A16&lt;&gt;"",DB_Customers!A16,""),"")</f>
        <v/>
      </c>
      <c r="C22" s="217" t="str">
        <f>IFERROR(IF(DB_Customers!D16&lt;&gt;"",DB_Customers!D16,""),"")</f>
        <v/>
      </c>
      <c r="D22" s="218" t="str">
        <f>IFERROR(IF(DB_Customers!Q16&lt;&gt;"",DB_Customers!Q16,""),"")</f>
        <v/>
      </c>
      <c r="E22" s="216" t="str">
        <f>IFERROR(IF(DB_Customers!R16&lt;&gt;"",DB_Customers!R16,""),"")</f>
        <v/>
      </c>
      <c r="F22" s="217" t="str">
        <f>IFERROR(IF(DB_Customers!S16&lt;&gt;"",DB_Customers!S16,""),"")</f>
        <v/>
      </c>
      <c r="G22" s="217" t="str">
        <f>IFERROR(IF(DB_Customers!G16&lt;&gt;"",DB_Customers!G16,""),"")</f>
        <v/>
      </c>
      <c r="H22" s="216" t="str">
        <f>IFERROR(IF(DB_Customers!H16&lt;&gt;"",DB_Customers!H16,""),"")</f>
        <v/>
      </c>
      <c r="I22" s="219" t="str">
        <f>IFERROR(IF(DB_Customers!I16&lt;&gt;"",DB_Customers!I16,""),"")</f>
        <v/>
      </c>
      <c r="J22" s="220" t="str">
        <f>IFERROR(IF(DB_Customers!J16&lt;&gt;"",DB_Customers!J16,""),"")</f>
        <v/>
      </c>
      <c r="K22" s="217" t="str">
        <f>IFERROR(IF(DB_Customers!E16&lt;&gt;"",DB_Customers!E16,""),"")</f>
        <v/>
      </c>
      <c r="L22" s="217" t="str">
        <f>IFERROR(IF(DB_Customers!F16&lt;&gt;"",DB_Customers!F16,""),"")</f>
        <v/>
      </c>
      <c r="M22" s="217" t="str">
        <f>IFERROR(IF(DB_Customers!T16&lt;&gt;"",DB_Customers!T16,""),"")</f>
        <v/>
      </c>
      <c r="N22" s="216" t="str">
        <f>IFERROR(IF(DB_Customers!A16&lt;&gt;"",IF(DB_Customers!I16&gt;=10,"Active","Inactive"),""),"")</f>
        <v/>
      </c>
    </row>
    <row r="23" spans="1:14" ht="18" customHeight="1" x14ac:dyDescent="0.25">
      <c r="A23" s="221" t="str">
        <f>IF(DB_Customers!A17&lt;&gt;"",ROW()-9,"")</f>
        <v/>
      </c>
      <c r="B23" s="221" t="str">
        <f>IFERROR(IF(DB_Customers!A17&lt;&gt;"",DB_Customers!A17,""),"")</f>
        <v/>
      </c>
      <c r="C23" s="222" t="str">
        <f>IFERROR(IF(DB_Customers!D17&lt;&gt;"",DB_Customers!D17,""),"")</f>
        <v/>
      </c>
      <c r="D23" s="223" t="str">
        <f>IFERROR(IF(DB_Customers!Q17&lt;&gt;"",DB_Customers!Q17,""),"")</f>
        <v/>
      </c>
      <c r="E23" s="221" t="str">
        <f>IFERROR(IF(DB_Customers!R17&lt;&gt;"",DB_Customers!R17,""),"")</f>
        <v/>
      </c>
      <c r="F23" s="222" t="str">
        <f>IFERROR(IF(DB_Customers!S17&lt;&gt;"",DB_Customers!S17,""),"")</f>
        <v/>
      </c>
      <c r="G23" s="222" t="str">
        <f>IFERROR(IF(DB_Customers!G17&lt;&gt;"",DB_Customers!G17,""),"")</f>
        <v/>
      </c>
      <c r="H23" s="221" t="str">
        <f>IFERROR(IF(DB_Customers!H17&lt;&gt;"",DB_Customers!H17,""),"")</f>
        <v/>
      </c>
      <c r="I23" s="224" t="str">
        <f>IFERROR(IF(DB_Customers!I17&lt;&gt;"",DB_Customers!I17,""),"")</f>
        <v/>
      </c>
      <c r="J23" s="225" t="str">
        <f>IFERROR(IF(DB_Customers!J17&lt;&gt;"",DB_Customers!J17,""),"")</f>
        <v/>
      </c>
      <c r="K23" s="222" t="str">
        <f>IFERROR(IF(DB_Customers!E17&lt;&gt;"",DB_Customers!E17,""),"")</f>
        <v/>
      </c>
      <c r="L23" s="222" t="str">
        <f>IFERROR(IF(DB_Customers!F17&lt;&gt;"",DB_Customers!F17,""),"")</f>
        <v/>
      </c>
      <c r="M23" s="222" t="str">
        <f>IFERROR(IF(DB_Customers!T17&lt;&gt;"",DB_Customers!T17,""),"")</f>
        <v/>
      </c>
      <c r="N23" s="221" t="str">
        <f>IFERROR(IF(DB_Customers!A17&lt;&gt;"",IF(DB_Customers!I17&gt;=10,"Active","Inactive"),""),"")</f>
        <v/>
      </c>
    </row>
    <row r="24" spans="1:14" ht="18" customHeight="1" x14ac:dyDescent="0.25">
      <c r="A24" s="216" t="str">
        <f>IF(DB_Customers!A18&lt;&gt;"",ROW()-9,"")</f>
        <v/>
      </c>
      <c r="B24" s="216" t="str">
        <f>IFERROR(IF(DB_Customers!A18&lt;&gt;"",DB_Customers!A18,""),"")</f>
        <v/>
      </c>
      <c r="C24" s="217" t="str">
        <f>IFERROR(IF(DB_Customers!D18&lt;&gt;"",DB_Customers!D18,""),"")</f>
        <v/>
      </c>
      <c r="D24" s="218" t="str">
        <f>IFERROR(IF(DB_Customers!Q18&lt;&gt;"",DB_Customers!Q18,""),"")</f>
        <v/>
      </c>
      <c r="E24" s="216" t="str">
        <f>IFERROR(IF(DB_Customers!R18&lt;&gt;"",DB_Customers!R18,""),"")</f>
        <v/>
      </c>
      <c r="F24" s="217" t="str">
        <f>IFERROR(IF(DB_Customers!S18&lt;&gt;"",DB_Customers!S18,""),"")</f>
        <v/>
      </c>
      <c r="G24" s="217" t="str">
        <f>IFERROR(IF(DB_Customers!G18&lt;&gt;"",DB_Customers!G18,""),"")</f>
        <v/>
      </c>
      <c r="H24" s="216" t="str">
        <f>IFERROR(IF(DB_Customers!H18&lt;&gt;"",DB_Customers!H18,""),"")</f>
        <v/>
      </c>
      <c r="I24" s="219" t="str">
        <f>IFERROR(IF(DB_Customers!I18&lt;&gt;"",DB_Customers!I18,""),"")</f>
        <v/>
      </c>
      <c r="J24" s="220" t="str">
        <f>IFERROR(IF(DB_Customers!J18&lt;&gt;"",DB_Customers!J18,""),"")</f>
        <v/>
      </c>
      <c r="K24" s="217" t="str">
        <f>IFERROR(IF(DB_Customers!E18&lt;&gt;"",DB_Customers!E18,""),"")</f>
        <v/>
      </c>
      <c r="L24" s="217" t="str">
        <f>IFERROR(IF(DB_Customers!F18&lt;&gt;"",DB_Customers!F18,""),"")</f>
        <v/>
      </c>
      <c r="M24" s="217" t="str">
        <f>IFERROR(IF(DB_Customers!T18&lt;&gt;"",DB_Customers!T18,""),"")</f>
        <v/>
      </c>
      <c r="N24" s="216" t="str">
        <f>IFERROR(IF(DB_Customers!A18&lt;&gt;"",IF(DB_Customers!I18&gt;=10,"Active","Inactive"),""),"")</f>
        <v/>
      </c>
    </row>
    <row r="25" spans="1:14" ht="18" customHeight="1" x14ac:dyDescent="0.25">
      <c r="A25" s="221" t="str">
        <f>IF(DB_Customers!A19&lt;&gt;"",ROW()-9,"")</f>
        <v/>
      </c>
      <c r="B25" s="221" t="str">
        <f>IFERROR(IF(DB_Customers!A19&lt;&gt;"",DB_Customers!A19,""),"")</f>
        <v/>
      </c>
      <c r="C25" s="222" t="str">
        <f>IFERROR(IF(DB_Customers!D19&lt;&gt;"",DB_Customers!D19,""),"")</f>
        <v/>
      </c>
      <c r="D25" s="223" t="str">
        <f>IFERROR(IF(DB_Customers!Q19&lt;&gt;"",DB_Customers!Q19,""),"")</f>
        <v/>
      </c>
      <c r="E25" s="221" t="str">
        <f>IFERROR(IF(DB_Customers!R19&lt;&gt;"",DB_Customers!R19,""),"")</f>
        <v/>
      </c>
      <c r="F25" s="222" t="str">
        <f>IFERROR(IF(DB_Customers!S19&lt;&gt;"",DB_Customers!S19,""),"")</f>
        <v/>
      </c>
      <c r="G25" s="222" t="str">
        <f>IFERROR(IF(DB_Customers!G19&lt;&gt;"",DB_Customers!G19,""),"")</f>
        <v/>
      </c>
      <c r="H25" s="221" t="str">
        <f>IFERROR(IF(DB_Customers!H19&lt;&gt;"",DB_Customers!H19,""),"")</f>
        <v/>
      </c>
      <c r="I25" s="224" t="str">
        <f>IFERROR(IF(DB_Customers!I19&lt;&gt;"",DB_Customers!I19,""),"")</f>
        <v/>
      </c>
      <c r="J25" s="225" t="str">
        <f>IFERROR(IF(DB_Customers!J19&lt;&gt;"",DB_Customers!J19,""),"")</f>
        <v/>
      </c>
      <c r="K25" s="222" t="str">
        <f>IFERROR(IF(DB_Customers!E19&lt;&gt;"",DB_Customers!E19,""),"")</f>
        <v/>
      </c>
      <c r="L25" s="222" t="str">
        <f>IFERROR(IF(DB_Customers!F19&lt;&gt;"",DB_Customers!F19,""),"")</f>
        <v/>
      </c>
      <c r="M25" s="222" t="str">
        <f>IFERROR(IF(DB_Customers!T19&lt;&gt;"",DB_Customers!T19,""),"")</f>
        <v/>
      </c>
      <c r="N25" s="221" t="str">
        <f>IFERROR(IF(DB_Customers!A19&lt;&gt;"",IF(DB_Customers!I19&gt;=10,"Active","Inactive"),""),"")</f>
        <v/>
      </c>
    </row>
    <row r="26" spans="1:14" ht="18" customHeight="1" x14ac:dyDescent="0.25">
      <c r="A26" s="216" t="str">
        <f>IF(DB_Customers!A20&lt;&gt;"",ROW()-9,"")</f>
        <v/>
      </c>
      <c r="B26" s="216" t="str">
        <f>IFERROR(IF(DB_Customers!A20&lt;&gt;"",DB_Customers!A20,""),"")</f>
        <v/>
      </c>
      <c r="C26" s="217" t="str">
        <f>IFERROR(IF(DB_Customers!D20&lt;&gt;"",DB_Customers!D20,""),"")</f>
        <v/>
      </c>
      <c r="D26" s="218" t="str">
        <f>IFERROR(IF(DB_Customers!Q20&lt;&gt;"",DB_Customers!Q20,""),"")</f>
        <v/>
      </c>
      <c r="E26" s="216" t="str">
        <f>IFERROR(IF(DB_Customers!R20&lt;&gt;"",DB_Customers!R20,""),"")</f>
        <v/>
      </c>
      <c r="F26" s="217" t="str">
        <f>IFERROR(IF(DB_Customers!S20&lt;&gt;"",DB_Customers!S20,""),"")</f>
        <v/>
      </c>
      <c r="G26" s="217" t="str">
        <f>IFERROR(IF(DB_Customers!G20&lt;&gt;"",DB_Customers!G20,""),"")</f>
        <v/>
      </c>
      <c r="H26" s="216" t="str">
        <f>IFERROR(IF(DB_Customers!H20&lt;&gt;"",DB_Customers!H20,""),"")</f>
        <v/>
      </c>
      <c r="I26" s="219" t="str">
        <f>IFERROR(IF(DB_Customers!I20&lt;&gt;"",DB_Customers!I20,""),"")</f>
        <v/>
      </c>
      <c r="J26" s="220" t="str">
        <f>IFERROR(IF(DB_Customers!J20&lt;&gt;"",DB_Customers!J20,""),"")</f>
        <v/>
      </c>
      <c r="K26" s="217" t="str">
        <f>IFERROR(IF(DB_Customers!E20&lt;&gt;"",DB_Customers!E20,""),"")</f>
        <v/>
      </c>
      <c r="L26" s="217" t="str">
        <f>IFERROR(IF(DB_Customers!F20&lt;&gt;"",DB_Customers!F20,""),"")</f>
        <v/>
      </c>
      <c r="M26" s="217" t="str">
        <f>IFERROR(IF(DB_Customers!T20&lt;&gt;"",DB_Customers!T20,""),"")</f>
        <v/>
      </c>
      <c r="N26" s="216" t="str">
        <f>IFERROR(IF(DB_Customers!A20&lt;&gt;"",IF(DB_Customers!I20&gt;=10,"Active","Inactive"),""),"")</f>
        <v/>
      </c>
    </row>
    <row r="27" spans="1:14" ht="18" customHeight="1" x14ac:dyDescent="0.25">
      <c r="A27" s="221" t="str">
        <f>IF(DB_Customers!A21&lt;&gt;"",ROW()-9,"")</f>
        <v/>
      </c>
      <c r="B27" s="221" t="str">
        <f>IFERROR(IF(DB_Customers!A21&lt;&gt;"",DB_Customers!A21,""),"")</f>
        <v/>
      </c>
      <c r="C27" s="222" t="str">
        <f>IFERROR(IF(DB_Customers!D21&lt;&gt;"",DB_Customers!D21,""),"")</f>
        <v/>
      </c>
      <c r="D27" s="223" t="str">
        <f>IFERROR(IF(DB_Customers!Q21&lt;&gt;"",DB_Customers!Q21,""),"")</f>
        <v/>
      </c>
      <c r="E27" s="221" t="str">
        <f>IFERROR(IF(DB_Customers!R21&lt;&gt;"",DB_Customers!R21,""),"")</f>
        <v/>
      </c>
      <c r="F27" s="222" t="str">
        <f>IFERROR(IF(DB_Customers!S21&lt;&gt;"",DB_Customers!S21,""),"")</f>
        <v/>
      </c>
      <c r="G27" s="222" t="str">
        <f>IFERROR(IF(DB_Customers!G21&lt;&gt;"",DB_Customers!G21,""),"")</f>
        <v/>
      </c>
      <c r="H27" s="221" t="str">
        <f>IFERROR(IF(DB_Customers!H21&lt;&gt;"",DB_Customers!H21,""),"")</f>
        <v/>
      </c>
      <c r="I27" s="224" t="str">
        <f>IFERROR(IF(DB_Customers!I21&lt;&gt;"",DB_Customers!I21,""),"")</f>
        <v/>
      </c>
      <c r="J27" s="225" t="str">
        <f>IFERROR(IF(DB_Customers!J21&lt;&gt;"",DB_Customers!J21,""),"")</f>
        <v/>
      </c>
      <c r="K27" s="222" t="str">
        <f>IFERROR(IF(DB_Customers!E21&lt;&gt;"",DB_Customers!E21,""),"")</f>
        <v/>
      </c>
      <c r="L27" s="222" t="str">
        <f>IFERROR(IF(DB_Customers!F21&lt;&gt;"",DB_Customers!F21,""),"")</f>
        <v/>
      </c>
      <c r="M27" s="222" t="str">
        <f>IFERROR(IF(DB_Customers!T21&lt;&gt;"",DB_Customers!T21,""),"")</f>
        <v/>
      </c>
      <c r="N27" s="221" t="str">
        <f>IFERROR(IF(DB_Customers!A21&lt;&gt;"",IF(DB_Customers!I21&gt;=10,"Active","Inactive"),""),"")</f>
        <v/>
      </c>
    </row>
    <row r="28" spans="1:14" ht="18" customHeight="1" x14ac:dyDescent="0.25">
      <c r="A28" s="216" t="str">
        <f>IF(DB_Customers!A22&lt;&gt;"",ROW()-9,"")</f>
        <v/>
      </c>
      <c r="B28" s="216" t="str">
        <f>IFERROR(IF(DB_Customers!A22&lt;&gt;"",DB_Customers!A22,""),"")</f>
        <v/>
      </c>
      <c r="C28" s="217" t="str">
        <f>IFERROR(IF(DB_Customers!D22&lt;&gt;"",DB_Customers!D22,""),"")</f>
        <v/>
      </c>
      <c r="D28" s="218" t="str">
        <f>IFERROR(IF(DB_Customers!Q22&lt;&gt;"",DB_Customers!Q22,""),"")</f>
        <v/>
      </c>
      <c r="E28" s="216" t="str">
        <f>IFERROR(IF(DB_Customers!R22&lt;&gt;"",DB_Customers!R22,""),"")</f>
        <v/>
      </c>
      <c r="F28" s="217" t="str">
        <f>IFERROR(IF(DB_Customers!S22&lt;&gt;"",DB_Customers!S22,""),"")</f>
        <v/>
      </c>
      <c r="G28" s="217" t="str">
        <f>IFERROR(IF(DB_Customers!G22&lt;&gt;"",DB_Customers!G22,""),"")</f>
        <v/>
      </c>
      <c r="H28" s="216" t="str">
        <f>IFERROR(IF(DB_Customers!H22&lt;&gt;"",DB_Customers!H22,""),"")</f>
        <v/>
      </c>
      <c r="I28" s="219" t="str">
        <f>IFERROR(IF(DB_Customers!I22&lt;&gt;"",DB_Customers!I22,""),"")</f>
        <v/>
      </c>
      <c r="J28" s="220" t="str">
        <f>IFERROR(IF(DB_Customers!J22&lt;&gt;"",DB_Customers!J22,""),"")</f>
        <v/>
      </c>
      <c r="K28" s="217" t="str">
        <f>IFERROR(IF(DB_Customers!E22&lt;&gt;"",DB_Customers!E22,""),"")</f>
        <v/>
      </c>
      <c r="L28" s="217" t="str">
        <f>IFERROR(IF(DB_Customers!F22&lt;&gt;"",DB_Customers!F22,""),"")</f>
        <v/>
      </c>
      <c r="M28" s="217" t="str">
        <f>IFERROR(IF(DB_Customers!T22&lt;&gt;"",DB_Customers!T22,""),"")</f>
        <v/>
      </c>
      <c r="N28" s="216" t="str">
        <f>IFERROR(IF(DB_Customers!A22&lt;&gt;"",IF(DB_Customers!I22&gt;=10,"Active","Inactive"),""),"")</f>
        <v/>
      </c>
    </row>
    <row r="29" spans="1:14" ht="18" customHeight="1" x14ac:dyDescent="0.25">
      <c r="A29" s="221" t="str">
        <f>IF(DB_Customers!A23&lt;&gt;"",ROW()-9,"")</f>
        <v/>
      </c>
      <c r="B29" s="221" t="str">
        <f>IFERROR(IF(DB_Customers!A23&lt;&gt;"",DB_Customers!A23,""),"")</f>
        <v/>
      </c>
      <c r="C29" s="222" t="str">
        <f>IFERROR(IF(DB_Customers!D23&lt;&gt;"",DB_Customers!D23,""),"")</f>
        <v/>
      </c>
      <c r="D29" s="223" t="str">
        <f>IFERROR(IF(DB_Customers!Q23&lt;&gt;"",DB_Customers!Q23,""),"")</f>
        <v/>
      </c>
      <c r="E29" s="221" t="str">
        <f>IFERROR(IF(DB_Customers!R23&lt;&gt;"",DB_Customers!R23,""),"")</f>
        <v/>
      </c>
      <c r="F29" s="222" t="str">
        <f>IFERROR(IF(DB_Customers!S23&lt;&gt;"",DB_Customers!S23,""),"")</f>
        <v/>
      </c>
      <c r="G29" s="222" t="str">
        <f>IFERROR(IF(DB_Customers!G23&lt;&gt;"",DB_Customers!G23,""),"")</f>
        <v/>
      </c>
      <c r="H29" s="221" t="str">
        <f>IFERROR(IF(DB_Customers!H23&lt;&gt;"",DB_Customers!H23,""),"")</f>
        <v/>
      </c>
      <c r="I29" s="224" t="str">
        <f>IFERROR(IF(DB_Customers!I23&lt;&gt;"",DB_Customers!I23,""),"")</f>
        <v/>
      </c>
      <c r="J29" s="225" t="str">
        <f>IFERROR(IF(DB_Customers!J23&lt;&gt;"",DB_Customers!J23,""),"")</f>
        <v/>
      </c>
      <c r="K29" s="222" t="str">
        <f>IFERROR(IF(DB_Customers!E23&lt;&gt;"",DB_Customers!E23,""),"")</f>
        <v/>
      </c>
      <c r="L29" s="222" t="str">
        <f>IFERROR(IF(DB_Customers!F23&lt;&gt;"",DB_Customers!F23,""),"")</f>
        <v/>
      </c>
      <c r="M29" s="222" t="str">
        <f>IFERROR(IF(DB_Customers!T23&lt;&gt;"",DB_Customers!T23,""),"")</f>
        <v/>
      </c>
      <c r="N29" s="221" t="str">
        <f>IFERROR(IF(DB_Customers!A23&lt;&gt;"",IF(DB_Customers!I23&gt;=10,"Active","Inactive"),""),"")</f>
        <v/>
      </c>
    </row>
    <row r="30" spans="1:14" ht="18" customHeight="1" x14ac:dyDescent="0.25">
      <c r="A30" s="216" t="str">
        <f>IF(DB_Customers!A24&lt;&gt;"",ROW()-9,"")</f>
        <v/>
      </c>
      <c r="B30" s="216" t="str">
        <f>IFERROR(IF(DB_Customers!A24&lt;&gt;"",DB_Customers!A24,""),"")</f>
        <v/>
      </c>
      <c r="C30" s="217" t="str">
        <f>IFERROR(IF(DB_Customers!D24&lt;&gt;"",DB_Customers!D24,""),"")</f>
        <v/>
      </c>
      <c r="D30" s="218" t="str">
        <f>IFERROR(IF(DB_Customers!Q24&lt;&gt;"",DB_Customers!Q24,""),"")</f>
        <v/>
      </c>
      <c r="E30" s="216" t="str">
        <f>IFERROR(IF(DB_Customers!R24&lt;&gt;"",DB_Customers!R24,""),"")</f>
        <v/>
      </c>
      <c r="F30" s="217" t="str">
        <f>IFERROR(IF(DB_Customers!S24&lt;&gt;"",DB_Customers!S24,""),"")</f>
        <v/>
      </c>
      <c r="G30" s="217" t="str">
        <f>IFERROR(IF(DB_Customers!G24&lt;&gt;"",DB_Customers!G24,""),"")</f>
        <v/>
      </c>
      <c r="H30" s="216" t="str">
        <f>IFERROR(IF(DB_Customers!H24&lt;&gt;"",DB_Customers!H24,""),"")</f>
        <v/>
      </c>
      <c r="I30" s="219" t="str">
        <f>IFERROR(IF(DB_Customers!I24&lt;&gt;"",DB_Customers!I24,""),"")</f>
        <v/>
      </c>
      <c r="J30" s="220" t="str">
        <f>IFERROR(IF(DB_Customers!J24&lt;&gt;"",DB_Customers!J24,""),"")</f>
        <v/>
      </c>
      <c r="K30" s="217" t="str">
        <f>IFERROR(IF(DB_Customers!E24&lt;&gt;"",DB_Customers!E24,""),"")</f>
        <v/>
      </c>
      <c r="L30" s="217" t="str">
        <f>IFERROR(IF(DB_Customers!F24&lt;&gt;"",DB_Customers!F24,""),"")</f>
        <v/>
      </c>
      <c r="M30" s="217" t="str">
        <f>IFERROR(IF(DB_Customers!T24&lt;&gt;"",DB_Customers!T24,""),"")</f>
        <v/>
      </c>
      <c r="N30" s="216" t="str">
        <f>IFERROR(IF(DB_Customers!A24&lt;&gt;"",IF(DB_Customers!I24&gt;=10,"Active","Inactive"),""),"")</f>
        <v/>
      </c>
    </row>
    <row r="31" spans="1:14" ht="18" customHeight="1" x14ac:dyDescent="0.25">
      <c r="A31" s="221" t="str">
        <f>IF(DB_Customers!A25&lt;&gt;"",ROW()-9,"")</f>
        <v/>
      </c>
      <c r="B31" s="221" t="str">
        <f>IFERROR(IF(DB_Customers!A25&lt;&gt;"",DB_Customers!A25,""),"")</f>
        <v/>
      </c>
      <c r="C31" s="222" t="str">
        <f>IFERROR(IF(DB_Customers!D25&lt;&gt;"",DB_Customers!D25,""),"")</f>
        <v/>
      </c>
      <c r="D31" s="223" t="str">
        <f>IFERROR(IF(DB_Customers!Q25&lt;&gt;"",DB_Customers!Q25,""),"")</f>
        <v/>
      </c>
      <c r="E31" s="221" t="str">
        <f>IFERROR(IF(DB_Customers!R25&lt;&gt;"",DB_Customers!R25,""),"")</f>
        <v/>
      </c>
      <c r="F31" s="222" t="str">
        <f>IFERROR(IF(DB_Customers!S25&lt;&gt;"",DB_Customers!S25,""),"")</f>
        <v/>
      </c>
      <c r="G31" s="222" t="str">
        <f>IFERROR(IF(DB_Customers!G25&lt;&gt;"",DB_Customers!G25,""),"")</f>
        <v/>
      </c>
      <c r="H31" s="221" t="str">
        <f>IFERROR(IF(DB_Customers!H25&lt;&gt;"",DB_Customers!H25,""),"")</f>
        <v/>
      </c>
      <c r="I31" s="224" t="str">
        <f>IFERROR(IF(DB_Customers!I25&lt;&gt;"",DB_Customers!I25,""),"")</f>
        <v/>
      </c>
      <c r="J31" s="225" t="str">
        <f>IFERROR(IF(DB_Customers!J25&lt;&gt;"",DB_Customers!J25,""),"")</f>
        <v/>
      </c>
      <c r="K31" s="222" t="str">
        <f>IFERROR(IF(DB_Customers!E25&lt;&gt;"",DB_Customers!E25,""),"")</f>
        <v/>
      </c>
      <c r="L31" s="222" t="str">
        <f>IFERROR(IF(DB_Customers!F25&lt;&gt;"",DB_Customers!F25,""),"")</f>
        <v/>
      </c>
      <c r="M31" s="222" t="str">
        <f>IFERROR(IF(DB_Customers!T25&lt;&gt;"",DB_Customers!T25,""),"")</f>
        <v/>
      </c>
      <c r="N31" s="221" t="str">
        <f>IFERROR(IF(DB_Customers!A25&lt;&gt;"",IF(DB_Customers!I25&gt;=10,"Active","Inactive"),""),"")</f>
        <v/>
      </c>
    </row>
    <row r="32" spans="1:14" ht="18" customHeight="1" x14ac:dyDescent="0.25">
      <c r="A32" s="216" t="str">
        <f>IF(DB_Customers!A26&lt;&gt;"",ROW()-9,"")</f>
        <v/>
      </c>
      <c r="B32" s="216" t="str">
        <f>IFERROR(IF(DB_Customers!A26&lt;&gt;"",DB_Customers!A26,""),"")</f>
        <v/>
      </c>
      <c r="C32" s="217" t="str">
        <f>IFERROR(IF(DB_Customers!D26&lt;&gt;"",DB_Customers!D26,""),"")</f>
        <v/>
      </c>
      <c r="D32" s="218" t="str">
        <f>IFERROR(IF(DB_Customers!Q26&lt;&gt;"",DB_Customers!Q26,""),"")</f>
        <v/>
      </c>
      <c r="E32" s="216" t="str">
        <f>IFERROR(IF(DB_Customers!R26&lt;&gt;"",DB_Customers!R26,""),"")</f>
        <v/>
      </c>
      <c r="F32" s="217" t="str">
        <f>IFERROR(IF(DB_Customers!S26&lt;&gt;"",DB_Customers!S26,""),"")</f>
        <v/>
      </c>
      <c r="G32" s="217" t="str">
        <f>IFERROR(IF(DB_Customers!G26&lt;&gt;"",DB_Customers!G26,""),"")</f>
        <v/>
      </c>
      <c r="H32" s="216" t="str">
        <f>IFERROR(IF(DB_Customers!H26&lt;&gt;"",DB_Customers!H26,""),"")</f>
        <v/>
      </c>
      <c r="I32" s="219" t="str">
        <f>IFERROR(IF(DB_Customers!I26&lt;&gt;"",DB_Customers!I26,""),"")</f>
        <v/>
      </c>
      <c r="J32" s="220" t="str">
        <f>IFERROR(IF(DB_Customers!J26&lt;&gt;"",DB_Customers!J26,""),"")</f>
        <v/>
      </c>
      <c r="K32" s="217" t="str">
        <f>IFERROR(IF(DB_Customers!E26&lt;&gt;"",DB_Customers!E26,""),"")</f>
        <v/>
      </c>
      <c r="L32" s="217" t="str">
        <f>IFERROR(IF(DB_Customers!F26&lt;&gt;"",DB_Customers!F26,""),"")</f>
        <v/>
      </c>
      <c r="M32" s="217" t="str">
        <f>IFERROR(IF(DB_Customers!T26&lt;&gt;"",DB_Customers!T26,""),"")</f>
        <v/>
      </c>
      <c r="N32" s="216" t="str">
        <f>IFERROR(IF(DB_Customers!A26&lt;&gt;"",IF(DB_Customers!I26&gt;=10,"Active","Inactive"),""),"")</f>
        <v/>
      </c>
    </row>
    <row r="33" spans="1:14" ht="18" customHeight="1" x14ac:dyDescent="0.25">
      <c r="A33" s="221" t="str">
        <f>IF(DB_Customers!A27&lt;&gt;"",ROW()-9,"")</f>
        <v/>
      </c>
      <c r="B33" s="221" t="str">
        <f>IFERROR(IF(DB_Customers!A27&lt;&gt;"",DB_Customers!A27,""),"")</f>
        <v/>
      </c>
      <c r="C33" s="222" t="str">
        <f>IFERROR(IF(DB_Customers!D27&lt;&gt;"",DB_Customers!D27,""),"")</f>
        <v/>
      </c>
      <c r="D33" s="223" t="str">
        <f>IFERROR(IF(DB_Customers!Q27&lt;&gt;"",DB_Customers!Q27,""),"")</f>
        <v/>
      </c>
      <c r="E33" s="221" t="str">
        <f>IFERROR(IF(DB_Customers!R27&lt;&gt;"",DB_Customers!R27,""),"")</f>
        <v/>
      </c>
      <c r="F33" s="222" t="str">
        <f>IFERROR(IF(DB_Customers!S27&lt;&gt;"",DB_Customers!S27,""),"")</f>
        <v/>
      </c>
      <c r="G33" s="222" t="str">
        <f>IFERROR(IF(DB_Customers!G27&lt;&gt;"",DB_Customers!G27,""),"")</f>
        <v/>
      </c>
      <c r="H33" s="221" t="str">
        <f>IFERROR(IF(DB_Customers!H27&lt;&gt;"",DB_Customers!H27,""),"")</f>
        <v/>
      </c>
      <c r="I33" s="224" t="str">
        <f>IFERROR(IF(DB_Customers!I27&lt;&gt;"",DB_Customers!I27,""),"")</f>
        <v/>
      </c>
      <c r="J33" s="225" t="str">
        <f>IFERROR(IF(DB_Customers!J27&lt;&gt;"",DB_Customers!J27,""),"")</f>
        <v/>
      </c>
      <c r="K33" s="222" t="str">
        <f>IFERROR(IF(DB_Customers!E27&lt;&gt;"",DB_Customers!E27,""),"")</f>
        <v/>
      </c>
      <c r="L33" s="222" t="str">
        <f>IFERROR(IF(DB_Customers!F27&lt;&gt;"",DB_Customers!F27,""),"")</f>
        <v/>
      </c>
      <c r="M33" s="222" t="str">
        <f>IFERROR(IF(DB_Customers!T27&lt;&gt;"",DB_Customers!T27,""),"")</f>
        <v/>
      </c>
      <c r="N33" s="221" t="str">
        <f>IFERROR(IF(DB_Customers!A27&lt;&gt;"",IF(DB_Customers!I27&gt;=10,"Active","Inactive"),""),"")</f>
        <v/>
      </c>
    </row>
    <row r="34" spans="1:14" ht="18" customHeight="1" x14ac:dyDescent="0.25">
      <c r="A34" s="216" t="str">
        <f>IF(DB_Customers!A28&lt;&gt;"",ROW()-9,"")</f>
        <v/>
      </c>
      <c r="B34" s="216" t="str">
        <f>IFERROR(IF(DB_Customers!A28&lt;&gt;"",DB_Customers!A28,""),"")</f>
        <v/>
      </c>
      <c r="C34" s="217" t="str">
        <f>IFERROR(IF(DB_Customers!D28&lt;&gt;"",DB_Customers!D28,""),"")</f>
        <v/>
      </c>
      <c r="D34" s="218" t="str">
        <f>IFERROR(IF(DB_Customers!Q28&lt;&gt;"",DB_Customers!Q28,""),"")</f>
        <v/>
      </c>
      <c r="E34" s="216" t="str">
        <f>IFERROR(IF(DB_Customers!R28&lt;&gt;"",DB_Customers!R28,""),"")</f>
        <v/>
      </c>
      <c r="F34" s="217" t="str">
        <f>IFERROR(IF(DB_Customers!S28&lt;&gt;"",DB_Customers!S28,""),"")</f>
        <v/>
      </c>
      <c r="G34" s="217" t="str">
        <f>IFERROR(IF(DB_Customers!G28&lt;&gt;"",DB_Customers!G28,""),"")</f>
        <v/>
      </c>
      <c r="H34" s="216" t="str">
        <f>IFERROR(IF(DB_Customers!H28&lt;&gt;"",DB_Customers!H28,""),"")</f>
        <v/>
      </c>
      <c r="I34" s="219" t="str">
        <f>IFERROR(IF(DB_Customers!I28&lt;&gt;"",DB_Customers!I28,""),"")</f>
        <v/>
      </c>
      <c r="J34" s="220" t="str">
        <f>IFERROR(IF(DB_Customers!J28&lt;&gt;"",DB_Customers!J28,""),"")</f>
        <v/>
      </c>
      <c r="K34" s="217" t="str">
        <f>IFERROR(IF(DB_Customers!E28&lt;&gt;"",DB_Customers!E28,""),"")</f>
        <v/>
      </c>
      <c r="L34" s="217" t="str">
        <f>IFERROR(IF(DB_Customers!F28&lt;&gt;"",DB_Customers!F28,""),"")</f>
        <v/>
      </c>
      <c r="M34" s="217" t="str">
        <f>IFERROR(IF(DB_Customers!T28&lt;&gt;"",DB_Customers!T28,""),"")</f>
        <v/>
      </c>
      <c r="N34" s="216" t="str">
        <f>IFERROR(IF(DB_Customers!A28&lt;&gt;"",IF(DB_Customers!I28&gt;=10,"Active","Inactive"),""),"")</f>
        <v/>
      </c>
    </row>
    <row r="35" spans="1:14" ht="18" customHeight="1" x14ac:dyDescent="0.25">
      <c r="A35" s="221" t="str">
        <f>IF(DB_Customers!A29&lt;&gt;"",ROW()-9,"")</f>
        <v/>
      </c>
      <c r="B35" s="221" t="str">
        <f>IFERROR(IF(DB_Customers!A29&lt;&gt;"",DB_Customers!A29,""),"")</f>
        <v/>
      </c>
      <c r="C35" s="222" t="str">
        <f>IFERROR(IF(DB_Customers!D29&lt;&gt;"",DB_Customers!D29,""),"")</f>
        <v/>
      </c>
      <c r="D35" s="223" t="str">
        <f>IFERROR(IF(DB_Customers!Q29&lt;&gt;"",DB_Customers!Q29,""),"")</f>
        <v/>
      </c>
      <c r="E35" s="221" t="str">
        <f>IFERROR(IF(DB_Customers!R29&lt;&gt;"",DB_Customers!R29,""),"")</f>
        <v/>
      </c>
      <c r="F35" s="222" t="str">
        <f>IFERROR(IF(DB_Customers!S29&lt;&gt;"",DB_Customers!S29,""),"")</f>
        <v/>
      </c>
      <c r="G35" s="222" t="str">
        <f>IFERROR(IF(DB_Customers!G29&lt;&gt;"",DB_Customers!G29,""),"")</f>
        <v/>
      </c>
      <c r="H35" s="221" t="str">
        <f>IFERROR(IF(DB_Customers!H29&lt;&gt;"",DB_Customers!H29,""),"")</f>
        <v/>
      </c>
      <c r="I35" s="224" t="str">
        <f>IFERROR(IF(DB_Customers!I29&lt;&gt;"",DB_Customers!I29,""),"")</f>
        <v/>
      </c>
      <c r="J35" s="225" t="str">
        <f>IFERROR(IF(DB_Customers!J29&lt;&gt;"",DB_Customers!J29,""),"")</f>
        <v/>
      </c>
      <c r="K35" s="222" t="str">
        <f>IFERROR(IF(DB_Customers!E29&lt;&gt;"",DB_Customers!E29,""),"")</f>
        <v/>
      </c>
      <c r="L35" s="222" t="str">
        <f>IFERROR(IF(DB_Customers!F29&lt;&gt;"",DB_Customers!F29,""),"")</f>
        <v/>
      </c>
      <c r="M35" s="222" t="str">
        <f>IFERROR(IF(DB_Customers!T29&lt;&gt;"",DB_Customers!T29,""),"")</f>
        <v/>
      </c>
      <c r="N35" s="221" t="str">
        <f>IFERROR(IF(DB_Customers!A29&lt;&gt;"",IF(DB_Customers!I29&gt;=10,"Active","Inactive"),""),"")</f>
        <v/>
      </c>
    </row>
    <row r="36" spans="1:14" ht="18" customHeight="1" x14ac:dyDescent="0.25">
      <c r="A36" s="216" t="str">
        <f>IF(DB_Customers!A30&lt;&gt;"",ROW()-9,"")</f>
        <v/>
      </c>
      <c r="B36" s="216" t="str">
        <f>IFERROR(IF(DB_Customers!A30&lt;&gt;"",DB_Customers!A30,""),"")</f>
        <v/>
      </c>
      <c r="C36" s="217" t="str">
        <f>IFERROR(IF(DB_Customers!D30&lt;&gt;"",DB_Customers!D30,""),"")</f>
        <v/>
      </c>
      <c r="D36" s="218" t="str">
        <f>IFERROR(IF(DB_Customers!Q30&lt;&gt;"",DB_Customers!Q30,""),"")</f>
        <v/>
      </c>
      <c r="E36" s="216" t="str">
        <f>IFERROR(IF(DB_Customers!R30&lt;&gt;"",DB_Customers!R30,""),"")</f>
        <v/>
      </c>
      <c r="F36" s="217" t="str">
        <f>IFERROR(IF(DB_Customers!S30&lt;&gt;"",DB_Customers!S30,""),"")</f>
        <v/>
      </c>
      <c r="G36" s="217" t="str">
        <f>IFERROR(IF(DB_Customers!G30&lt;&gt;"",DB_Customers!G30,""),"")</f>
        <v/>
      </c>
      <c r="H36" s="216" t="str">
        <f>IFERROR(IF(DB_Customers!H30&lt;&gt;"",DB_Customers!H30,""),"")</f>
        <v/>
      </c>
      <c r="I36" s="219" t="str">
        <f>IFERROR(IF(DB_Customers!I30&lt;&gt;"",DB_Customers!I30,""),"")</f>
        <v/>
      </c>
      <c r="J36" s="220" t="str">
        <f>IFERROR(IF(DB_Customers!J30&lt;&gt;"",DB_Customers!J30,""),"")</f>
        <v/>
      </c>
      <c r="K36" s="217" t="str">
        <f>IFERROR(IF(DB_Customers!E30&lt;&gt;"",DB_Customers!E30,""),"")</f>
        <v/>
      </c>
      <c r="L36" s="217" t="str">
        <f>IFERROR(IF(DB_Customers!F30&lt;&gt;"",DB_Customers!F30,""),"")</f>
        <v/>
      </c>
      <c r="M36" s="217" t="str">
        <f>IFERROR(IF(DB_Customers!T30&lt;&gt;"",DB_Customers!T30,""),"")</f>
        <v/>
      </c>
      <c r="N36" s="216" t="str">
        <f>IFERROR(IF(DB_Customers!A30&lt;&gt;"",IF(DB_Customers!I30&gt;=10,"Active","Inactive"),""),"")</f>
        <v/>
      </c>
    </row>
    <row r="37" spans="1:14" ht="18" customHeight="1" x14ac:dyDescent="0.25">
      <c r="A37" s="221" t="str">
        <f>IF(DB_Customers!A31&lt;&gt;"",ROW()-9,"")</f>
        <v/>
      </c>
      <c r="B37" s="221" t="str">
        <f>IFERROR(IF(DB_Customers!A31&lt;&gt;"",DB_Customers!A31,""),"")</f>
        <v/>
      </c>
      <c r="C37" s="222" t="str">
        <f>IFERROR(IF(DB_Customers!D31&lt;&gt;"",DB_Customers!D31,""),"")</f>
        <v/>
      </c>
      <c r="D37" s="223" t="str">
        <f>IFERROR(IF(DB_Customers!Q31&lt;&gt;"",DB_Customers!Q31,""),"")</f>
        <v/>
      </c>
      <c r="E37" s="221" t="str">
        <f>IFERROR(IF(DB_Customers!R31&lt;&gt;"",DB_Customers!R31,""),"")</f>
        <v/>
      </c>
      <c r="F37" s="222" t="str">
        <f>IFERROR(IF(DB_Customers!S31&lt;&gt;"",DB_Customers!S31,""),"")</f>
        <v/>
      </c>
      <c r="G37" s="222" t="str">
        <f>IFERROR(IF(DB_Customers!G31&lt;&gt;"",DB_Customers!G31,""),"")</f>
        <v/>
      </c>
      <c r="H37" s="221" t="str">
        <f>IFERROR(IF(DB_Customers!H31&lt;&gt;"",DB_Customers!H31,""),"")</f>
        <v/>
      </c>
      <c r="I37" s="224" t="str">
        <f>IFERROR(IF(DB_Customers!I31&lt;&gt;"",DB_Customers!I31,""),"")</f>
        <v/>
      </c>
      <c r="J37" s="225" t="str">
        <f>IFERROR(IF(DB_Customers!J31&lt;&gt;"",DB_Customers!J31,""),"")</f>
        <v/>
      </c>
      <c r="K37" s="222" t="str">
        <f>IFERROR(IF(DB_Customers!E31&lt;&gt;"",DB_Customers!E31,""),"")</f>
        <v/>
      </c>
      <c r="L37" s="222" t="str">
        <f>IFERROR(IF(DB_Customers!F31&lt;&gt;"",DB_Customers!F31,""),"")</f>
        <v/>
      </c>
      <c r="M37" s="222" t="str">
        <f>IFERROR(IF(DB_Customers!T31&lt;&gt;"",DB_Customers!T31,""),"")</f>
        <v/>
      </c>
      <c r="N37" s="221" t="str">
        <f>IFERROR(IF(DB_Customers!A31&lt;&gt;"",IF(DB_Customers!I31&gt;=10,"Active","Inactive"),""),"")</f>
        <v/>
      </c>
    </row>
    <row r="38" spans="1:14" ht="18" customHeight="1" x14ac:dyDescent="0.25">
      <c r="A38" s="216" t="str">
        <f>IF(DB_Customers!A32&lt;&gt;"",ROW()-9,"")</f>
        <v/>
      </c>
      <c r="B38" s="216" t="str">
        <f>IFERROR(IF(DB_Customers!A32&lt;&gt;"",DB_Customers!A32,""),"")</f>
        <v/>
      </c>
      <c r="C38" s="217" t="str">
        <f>IFERROR(IF(DB_Customers!D32&lt;&gt;"",DB_Customers!D32,""),"")</f>
        <v/>
      </c>
      <c r="D38" s="218" t="str">
        <f>IFERROR(IF(DB_Customers!Q32&lt;&gt;"",DB_Customers!Q32,""),"")</f>
        <v/>
      </c>
      <c r="E38" s="216" t="str">
        <f>IFERROR(IF(DB_Customers!R32&lt;&gt;"",DB_Customers!R32,""),"")</f>
        <v/>
      </c>
      <c r="F38" s="217" t="str">
        <f>IFERROR(IF(DB_Customers!S32&lt;&gt;"",DB_Customers!S32,""),"")</f>
        <v/>
      </c>
      <c r="G38" s="217" t="str">
        <f>IFERROR(IF(DB_Customers!G32&lt;&gt;"",DB_Customers!G32,""),"")</f>
        <v/>
      </c>
      <c r="H38" s="216" t="str">
        <f>IFERROR(IF(DB_Customers!H32&lt;&gt;"",DB_Customers!H32,""),"")</f>
        <v/>
      </c>
      <c r="I38" s="219" t="str">
        <f>IFERROR(IF(DB_Customers!I32&lt;&gt;"",DB_Customers!I32,""),"")</f>
        <v/>
      </c>
      <c r="J38" s="220" t="str">
        <f>IFERROR(IF(DB_Customers!J32&lt;&gt;"",DB_Customers!J32,""),"")</f>
        <v/>
      </c>
      <c r="K38" s="217" t="str">
        <f>IFERROR(IF(DB_Customers!E32&lt;&gt;"",DB_Customers!E32,""),"")</f>
        <v/>
      </c>
      <c r="L38" s="217" t="str">
        <f>IFERROR(IF(DB_Customers!F32&lt;&gt;"",DB_Customers!F32,""),"")</f>
        <v/>
      </c>
      <c r="M38" s="217" t="str">
        <f>IFERROR(IF(DB_Customers!T32&lt;&gt;"",DB_Customers!T32,""),"")</f>
        <v/>
      </c>
      <c r="N38" s="216" t="str">
        <f>IFERROR(IF(DB_Customers!A32&lt;&gt;"",IF(DB_Customers!I32&gt;=10,"Active","Inactive"),""),"")</f>
        <v/>
      </c>
    </row>
    <row r="39" spans="1:14" ht="18" customHeight="1" x14ac:dyDescent="0.25">
      <c r="A39" s="221" t="str">
        <f>IF(DB_Customers!A33&lt;&gt;"",ROW()-9,"")</f>
        <v/>
      </c>
      <c r="B39" s="221" t="str">
        <f>IFERROR(IF(DB_Customers!A33&lt;&gt;"",DB_Customers!A33,""),"")</f>
        <v/>
      </c>
      <c r="C39" s="222" t="str">
        <f>IFERROR(IF(DB_Customers!D33&lt;&gt;"",DB_Customers!D33,""),"")</f>
        <v/>
      </c>
      <c r="D39" s="223" t="str">
        <f>IFERROR(IF(DB_Customers!Q33&lt;&gt;"",DB_Customers!Q33,""),"")</f>
        <v/>
      </c>
      <c r="E39" s="221" t="str">
        <f>IFERROR(IF(DB_Customers!R33&lt;&gt;"",DB_Customers!R33,""),"")</f>
        <v/>
      </c>
      <c r="F39" s="222" t="str">
        <f>IFERROR(IF(DB_Customers!S33&lt;&gt;"",DB_Customers!S33,""),"")</f>
        <v/>
      </c>
      <c r="G39" s="222" t="str">
        <f>IFERROR(IF(DB_Customers!G33&lt;&gt;"",DB_Customers!G33,""),"")</f>
        <v/>
      </c>
      <c r="H39" s="221" t="str">
        <f>IFERROR(IF(DB_Customers!H33&lt;&gt;"",DB_Customers!H33,""),"")</f>
        <v/>
      </c>
      <c r="I39" s="224" t="str">
        <f>IFERROR(IF(DB_Customers!I33&lt;&gt;"",DB_Customers!I33,""),"")</f>
        <v/>
      </c>
      <c r="J39" s="225" t="str">
        <f>IFERROR(IF(DB_Customers!J33&lt;&gt;"",DB_Customers!J33,""),"")</f>
        <v/>
      </c>
      <c r="K39" s="222" t="str">
        <f>IFERROR(IF(DB_Customers!E33&lt;&gt;"",DB_Customers!E33,""),"")</f>
        <v/>
      </c>
      <c r="L39" s="222" t="str">
        <f>IFERROR(IF(DB_Customers!F33&lt;&gt;"",DB_Customers!F33,""),"")</f>
        <v/>
      </c>
      <c r="M39" s="222" t="str">
        <f>IFERROR(IF(DB_Customers!T33&lt;&gt;"",DB_Customers!T33,""),"")</f>
        <v/>
      </c>
      <c r="N39" s="221" t="str">
        <f>IFERROR(IF(DB_Customers!A33&lt;&gt;"",IF(DB_Customers!I33&gt;=10,"Active","Inactive"),""),"")</f>
        <v/>
      </c>
    </row>
    <row r="40" spans="1:14" ht="18" customHeight="1" x14ac:dyDescent="0.25">
      <c r="A40" s="216" t="str">
        <f>IF(DB_Customers!A34&lt;&gt;"",ROW()-9,"")</f>
        <v/>
      </c>
      <c r="B40" s="216" t="str">
        <f>IFERROR(IF(DB_Customers!A34&lt;&gt;"",DB_Customers!A34,""),"")</f>
        <v/>
      </c>
      <c r="C40" s="217" t="str">
        <f>IFERROR(IF(DB_Customers!D34&lt;&gt;"",DB_Customers!D34,""),"")</f>
        <v/>
      </c>
      <c r="D40" s="218" t="str">
        <f>IFERROR(IF(DB_Customers!Q34&lt;&gt;"",DB_Customers!Q34,""),"")</f>
        <v/>
      </c>
      <c r="E40" s="216" t="str">
        <f>IFERROR(IF(DB_Customers!R34&lt;&gt;"",DB_Customers!R34,""),"")</f>
        <v/>
      </c>
      <c r="F40" s="217" t="str">
        <f>IFERROR(IF(DB_Customers!S34&lt;&gt;"",DB_Customers!S34,""),"")</f>
        <v/>
      </c>
      <c r="G40" s="217" t="str">
        <f>IFERROR(IF(DB_Customers!G34&lt;&gt;"",DB_Customers!G34,""),"")</f>
        <v/>
      </c>
      <c r="H40" s="216" t="str">
        <f>IFERROR(IF(DB_Customers!H34&lt;&gt;"",DB_Customers!H34,""),"")</f>
        <v/>
      </c>
      <c r="I40" s="219" t="str">
        <f>IFERROR(IF(DB_Customers!I34&lt;&gt;"",DB_Customers!I34,""),"")</f>
        <v/>
      </c>
      <c r="J40" s="220" t="str">
        <f>IFERROR(IF(DB_Customers!J34&lt;&gt;"",DB_Customers!J34,""),"")</f>
        <v/>
      </c>
      <c r="K40" s="217" t="str">
        <f>IFERROR(IF(DB_Customers!E34&lt;&gt;"",DB_Customers!E34,""),"")</f>
        <v/>
      </c>
      <c r="L40" s="217" t="str">
        <f>IFERROR(IF(DB_Customers!F34&lt;&gt;"",DB_Customers!F34,""),"")</f>
        <v/>
      </c>
      <c r="M40" s="217" t="str">
        <f>IFERROR(IF(DB_Customers!T34&lt;&gt;"",DB_Customers!T34,""),"")</f>
        <v/>
      </c>
      <c r="N40" s="216" t="str">
        <f>IFERROR(IF(DB_Customers!A34&lt;&gt;"",IF(DB_Customers!I34&gt;=10,"Active","Inactive"),""),"")</f>
        <v/>
      </c>
    </row>
    <row r="41" spans="1:14" ht="18" customHeight="1" x14ac:dyDescent="0.25">
      <c r="A41" s="221" t="str">
        <f>IF(DB_Customers!A35&lt;&gt;"",ROW()-9,"")</f>
        <v/>
      </c>
      <c r="B41" s="221" t="str">
        <f>IFERROR(IF(DB_Customers!A35&lt;&gt;"",DB_Customers!A35,""),"")</f>
        <v/>
      </c>
      <c r="C41" s="222" t="str">
        <f>IFERROR(IF(DB_Customers!D35&lt;&gt;"",DB_Customers!D35,""),"")</f>
        <v/>
      </c>
      <c r="D41" s="223" t="str">
        <f>IFERROR(IF(DB_Customers!Q35&lt;&gt;"",DB_Customers!Q35,""),"")</f>
        <v/>
      </c>
      <c r="E41" s="221" t="str">
        <f>IFERROR(IF(DB_Customers!R35&lt;&gt;"",DB_Customers!R35,""),"")</f>
        <v/>
      </c>
      <c r="F41" s="222" t="str">
        <f>IFERROR(IF(DB_Customers!S35&lt;&gt;"",DB_Customers!S35,""),"")</f>
        <v/>
      </c>
      <c r="G41" s="222" t="str">
        <f>IFERROR(IF(DB_Customers!G35&lt;&gt;"",DB_Customers!G35,""),"")</f>
        <v/>
      </c>
      <c r="H41" s="221" t="str">
        <f>IFERROR(IF(DB_Customers!H35&lt;&gt;"",DB_Customers!H35,""),"")</f>
        <v/>
      </c>
      <c r="I41" s="224" t="str">
        <f>IFERROR(IF(DB_Customers!I35&lt;&gt;"",DB_Customers!I35,""),"")</f>
        <v/>
      </c>
      <c r="J41" s="225" t="str">
        <f>IFERROR(IF(DB_Customers!J35&lt;&gt;"",DB_Customers!J35,""),"")</f>
        <v/>
      </c>
      <c r="K41" s="222" t="str">
        <f>IFERROR(IF(DB_Customers!E35&lt;&gt;"",DB_Customers!E35,""),"")</f>
        <v/>
      </c>
      <c r="L41" s="222" t="str">
        <f>IFERROR(IF(DB_Customers!F35&lt;&gt;"",DB_Customers!F35,""),"")</f>
        <v/>
      </c>
      <c r="M41" s="222" t="str">
        <f>IFERROR(IF(DB_Customers!T35&lt;&gt;"",DB_Customers!T35,""),"")</f>
        <v/>
      </c>
      <c r="N41" s="221" t="str">
        <f>IFERROR(IF(DB_Customers!A35&lt;&gt;"",IF(DB_Customers!I35&gt;=10,"Active","Inactive"),""),"")</f>
        <v/>
      </c>
    </row>
    <row r="42" spans="1:14" ht="18" customHeight="1" x14ac:dyDescent="0.25">
      <c r="A42" s="216" t="str">
        <f>IF(DB_Customers!A36&lt;&gt;"",ROW()-9,"")</f>
        <v/>
      </c>
      <c r="B42" s="216" t="str">
        <f>IFERROR(IF(DB_Customers!A36&lt;&gt;"",DB_Customers!A36,""),"")</f>
        <v/>
      </c>
      <c r="C42" s="217" t="str">
        <f>IFERROR(IF(DB_Customers!D36&lt;&gt;"",DB_Customers!D36,""),"")</f>
        <v/>
      </c>
      <c r="D42" s="218" t="str">
        <f>IFERROR(IF(DB_Customers!Q36&lt;&gt;"",DB_Customers!Q36,""),"")</f>
        <v/>
      </c>
      <c r="E42" s="216" t="str">
        <f>IFERROR(IF(DB_Customers!R36&lt;&gt;"",DB_Customers!R36,""),"")</f>
        <v/>
      </c>
      <c r="F42" s="217" t="str">
        <f>IFERROR(IF(DB_Customers!S36&lt;&gt;"",DB_Customers!S36,""),"")</f>
        <v/>
      </c>
      <c r="G42" s="217" t="str">
        <f>IFERROR(IF(DB_Customers!G36&lt;&gt;"",DB_Customers!G36,""),"")</f>
        <v/>
      </c>
      <c r="H42" s="216" t="str">
        <f>IFERROR(IF(DB_Customers!H36&lt;&gt;"",DB_Customers!H36,""),"")</f>
        <v/>
      </c>
      <c r="I42" s="219" t="str">
        <f>IFERROR(IF(DB_Customers!I36&lt;&gt;"",DB_Customers!I36,""),"")</f>
        <v/>
      </c>
      <c r="J42" s="220" t="str">
        <f>IFERROR(IF(DB_Customers!J36&lt;&gt;"",DB_Customers!J36,""),"")</f>
        <v/>
      </c>
      <c r="K42" s="217" t="str">
        <f>IFERROR(IF(DB_Customers!E36&lt;&gt;"",DB_Customers!E36,""),"")</f>
        <v/>
      </c>
      <c r="L42" s="217" t="str">
        <f>IFERROR(IF(DB_Customers!F36&lt;&gt;"",DB_Customers!F36,""),"")</f>
        <v/>
      </c>
      <c r="M42" s="217" t="str">
        <f>IFERROR(IF(DB_Customers!T36&lt;&gt;"",DB_Customers!T36,""),"")</f>
        <v/>
      </c>
      <c r="N42" s="216" t="str">
        <f>IFERROR(IF(DB_Customers!A36&lt;&gt;"",IF(DB_Customers!I36&gt;=10,"Active","Inactive"),""),"")</f>
        <v/>
      </c>
    </row>
    <row r="43" spans="1:14" ht="18" customHeight="1" x14ac:dyDescent="0.25">
      <c r="A43" s="221" t="str">
        <f>IF(DB_Customers!A37&lt;&gt;"",ROW()-9,"")</f>
        <v/>
      </c>
      <c r="B43" s="221" t="str">
        <f>IFERROR(IF(DB_Customers!A37&lt;&gt;"",DB_Customers!A37,""),"")</f>
        <v/>
      </c>
      <c r="C43" s="222" t="str">
        <f>IFERROR(IF(DB_Customers!D37&lt;&gt;"",DB_Customers!D37,""),"")</f>
        <v/>
      </c>
      <c r="D43" s="223" t="str">
        <f>IFERROR(IF(DB_Customers!Q37&lt;&gt;"",DB_Customers!Q37,""),"")</f>
        <v/>
      </c>
      <c r="E43" s="221" t="str">
        <f>IFERROR(IF(DB_Customers!R37&lt;&gt;"",DB_Customers!R37,""),"")</f>
        <v/>
      </c>
      <c r="F43" s="222" t="str">
        <f>IFERROR(IF(DB_Customers!S37&lt;&gt;"",DB_Customers!S37,""),"")</f>
        <v/>
      </c>
      <c r="G43" s="222" t="str">
        <f>IFERROR(IF(DB_Customers!G37&lt;&gt;"",DB_Customers!G37,""),"")</f>
        <v/>
      </c>
      <c r="H43" s="221" t="str">
        <f>IFERROR(IF(DB_Customers!H37&lt;&gt;"",DB_Customers!H37,""),"")</f>
        <v/>
      </c>
      <c r="I43" s="224" t="str">
        <f>IFERROR(IF(DB_Customers!I37&lt;&gt;"",DB_Customers!I37,""),"")</f>
        <v/>
      </c>
      <c r="J43" s="225" t="str">
        <f>IFERROR(IF(DB_Customers!J37&lt;&gt;"",DB_Customers!J37,""),"")</f>
        <v/>
      </c>
      <c r="K43" s="222" t="str">
        <f>IFERROR(IF(DB_Customers!E37&lt;&gt;"",DB_Customers!E37,""),"")</f>
        <v/>
      </c>
      <c r="L43" s="222" t="str">
        <f>IFERROR(IF(DB_Customers!F37&lt;&gt;"",DB_Customers!F37,""),"")</f>
        <v/>
      </c>
      <c r="M43" s="222" t="str">
        <f>IFERROR(IF(DB_Customers!T37&lt;&gt;"",DB_Customers!T37,""),"")</f>
        <v/>
      </c>
      <c r="N43" s="221" t="str">
        <f>IFERROR(IF(DB_Customers!A37&lt;&gt;"",IF(DB_Customers!I37&gt;=10,"Active","Inactive"),""),"")</f>
        <v/>
      </c>
    </row>
    <row r="44" spans="1:14" ht="18" customHeight="1" x14ac:dyDescent="0.25">
      <c r="A44" s="216" t="str">
        <f>IF(DB_Customers!A38&lt;&gt;"",ROW()-9,"")</f>
        <v/>
      </c>
      <c r="B44" s="216" t="str">
        <f>IFERROR(IF(DB_Customers!A38&lt;&gt;"",DB_Customers!A38,""),"")</f>
        <v/>
      </c>
      <c r="C44" s="217" t="str">
        <f>IFERROR(IF(DB_Customers!D38&lt;&gt;"",DB_Customers!D38,""),"")</f>
        <v/>
      </c>
      <c r="D44" s="218" t="str">
        <f>IFERROR(IF(DB_Customers!Q38&lt;&gt;"",DB_Customers!Q38,""),"")</f>
        <v/>
      </c>
      <c r="E44" s="216" t="str">
        <f>IFERROR(IF(DB_Customers!R38&lt;&gt;"",DB_Customers!R38,""),"")</f>
        <v/>
      </c>
      <c r="F44" s="217" t="str">
        <f>IFERROR(IF(DB_Customers!S38&lt;&gt;"",DB_Customers!S38,""),"")</f>
        <v/>
      </c>
      <c r="G44" s="217" t="str">
        <f>IFERROR(IF(DB_Customers!G38&lt;&gt;"",DB_Customers!G38,""),"")</f>
        <v/>
      </c>
      <c r="H44" s="216" t="str">
        <f>IFERROR(IF(DB_Customers!H38&lt;&gt;"",DB_Customers!H38,""),"")</f>
        <v/>
      </c>
      <c r="I44" s="219" t="str">
        <f>IFERROR(IF(DB_Customers!I38&lt;&gt;"",DB_Customers!I38,""),"")</f>
        <v/>
      </c>
      <c r="J44" s="220" t="str">
        <f>IFERROR(IF(DB_Customers!J38&lt;&gt;"",DB_Customers!J38,""),"")</f>
        <v/>
      </c>
      <c r="K44" s="217" t="str">
        <f>IFERROR(IF(DB_Customers!E38&lt;&gt;"",DB_Customers!E38,""),"")</f>
        <v/>
      </c>
      <c r="L44" s="217" t="str">
        <f>IFERROR(IF(DB_Customers!F38&lt;&gt;"",DB_Customers!F38,""),"")</f>
        <v/>
      </c>
      <c r="M44" s="217" t="str">
        <f>IFERROR(IF(DB_Customers!T38&lt;&gt;"",DB_Customers!T38,""),"")</f>
        <v/>
      </c>
      <c r="N44" s="216" t="str">
        <f>IFERROR(IF(DB_Customers!A38&lt;&gt;"",IF(DB_Customers!I38&gt;=10,"Active","Inactive"),""),"")</f>
        <v/>
      </c>
    </row>
    <row r="45" spans="1:14" ht="18" customHeight="1" x14ac:dyDescent="0.25">
      <c r="A45" s="221" t="str">
        <f>IF(DB_Customers!A39&lt;&gt;"",ROW()-9,"")</f>
        <v/>
      </c>
      <c r="B45" s="221" t="str">
        <f>IFERROR(IF(DB_Customers!A39&lt;&gt;"",DB_Customers!A39,""),"")</f>
        <v/>
      </c>
      <c r="C45" s="222" t="str">
        <f>IFERROR(IF(DB_Customers!D39&lt;&gt;"",DB_Customers!D39,""),"")</f>
        <v/>
      </c>
      <c r="D45" s="223" t="str">
        <f>IFERROR(IF(DB_Customers!Q39&lt;&gt;"",DB_Customers!Q39,""),"")</f>
        <v/>
      </c>
      <c r="E45" s="221" t="str">
        <f>IFERROR(IF(DB_Customers!R39&lt;&gt;"",DB_Customers!R39,""),"")</f>
        <v/>
      </c>
      <c r="F45" s="222" t="str">
        <f>IFERROR(IF(DB_Customers!S39&lt;&gt;"",DB_Customers!S39,""),"")</f>
        <v/>
      </c>
      <c r="G45" s="222" t="str">
        <f>IFERROR(IF(DB_Customers!G39&lt;&gt;"",DB_Customers!G39,""),"")</f>
        <v/>
      </c>
      <c r="H45" s="221" t="str">
        <f>IFERROR(IF(DB_Customers!H39&lt;&gt;"",DB_Customers!H39,""),"")</f>
        <v/>
      </c>
      <c r="I45" s="224" t="str">
        <f>IFERROR(IF(DB_Customers!I39&lt;&gt;"",DB_Customers!I39,""),"")</f>
        <v/>
      </c>
      <c r="J45" s="225" t="str">
        <f>IFERROR(IF(DB_Customers!J39&lt;&gt;"",DB_Customers!J39,""),"")</f>
        <v/>
      </c>
      <c r="K45" s="222" t="str">
        <f>IFERROR(IF(DB_Customers!E39&lt;&gt;"",DB_Customers!E39,""),"")</f>
        <v/>
      </c>
      <c r="L45" s="222" t="str">
        <f>IFERROR(IF(DB_Customers!F39&lt;&gt;"",DB_Customers!F39,""),"")</f>
        <v/>
      </c>
      <c r="M45" s="222" t="str">
        <f>IFERROR(IF(DB_Customers!T39&lt;&gt;"",DB_Customers!T39,""),"")</f>
        <v/>
      </c>
      <c r="N45" s="221" t="str">
        <f>IFERROR(IF(DB_Customers!A39&lt;&gt;"",IF(DB_Customers!I39&gt;=10,"Active","Inactive"),""),"")</f>
        <v/>
      </c>
    </row>
    <row r="46" spans="1:14" ht="18" customHeight="1" x14ac:dyDescent="0.25">
      <c r="A46" s="216" t="str">
        <f>IF(DB_Customers!A40&lt;&gt;"",ROW()-9,"")</f>
        <v/>
      </c>
      <c r="B46" s="216" t="str">
        <f>IFERROR(IF(DB_Customers!A40&lt;&gt;"",DB_Customers!A40,""),"")</f>
        <v/>
      </c>
      <c r="C46" s="217" t="str">
        <f>IFERROR(IF(DB_Customers!D40&lt;&gt;"",DB_Customers!D40,""),"")</f>
        <v/>
      </c>
      <c r="D46" s="218" t="str">
        <f>IFERROR(IF(DB_Customers!Q40&lt;&gt;"",DB_Customers!Q40,""),"")</f>
        <v/>
      </c>
      <c r="E46" s="216" t="str">
        <f>IFERROR(IF(DB_Customers!R40&lt;&gt;"",DB_Customers!R40,""),"")</f>
        <v/>
      </c>
      <c r="F46" s="217" t="str">
        <f>IFERROR(IF(DB_Customers!S40&lt;&gt;"",DB_Customers!S40,""),"")</f>
        <v/>
      </c>
      <c r="G46" s="217" t="str">
        <f>IFERROR(IF(DB_Customers!G40&lt;&gt;"",DB_Customers!G40,""),"")</f>
        <v/>
      </c>
      <c r="H46" s="216" t="str">
        <f>IFERROR(IF(DB_Customers!H40&lt;&gt;"",DB_Customers!H40,""),"")</f>
        <v/>
      </c>
      <c r="I46" s="219" t="str">
        <f>IFERROR(IF(DB_Customers!I40&lt;&gt;"",DB_Customers!I40,""),"")</f>
        <v/>
      </c>
      <c r="J46" s="220" t="str">
        <f>IFERROR(IF(DB_Customers!J40&lt;&gt;"",DB_Customers!J40,""),"")</f>
        <v/>
      </c>
      <c r="K46" s="217" t="str">
        <f>IFERROR(IF(DB_Customers!E40&lt;&gt;"",DB_Customers!E40,""),"")</f>
        <v/>
      </c>
      <c r="L46" s="217" t="str">
        <f>IFERROR(IF(DB_Customers!F40&lt;&gt;"",DB_Customers!F40,""),"")</f>
        <v/>
      </c>
      <c r="M46" s="217" t="str">
        <f>IFERROR(IF(DB_Customers!T40&lt;&gt;"",DB_Customers!T40,""),"")</f>
        <v/>
      </c>
      <c r="N46" s="216" t="str">
        <f>IFERROR(IF(DB_Customers!A40&lt;&gt;"",IF(DB_Customers!I40&gt;=10,"Active","Inactive"),""),"")</f>
        <v/>
      </c>
    </row>
    <row r="47" spans="1:14" ht="18" customHeight="1" x14ac:dyDescent="0.25">
      <c r="A47" s="221" t="str">
        <f>IF(DB_Customers!A41&lt;&gt;"",ROW()-9,"")</f>
        <v/>
      </c>
      <c r="B47" s="221" t="str">
        <f>IFERROR(IF(DB_Customers!A41&lt;&gt;"",DB_Customers!A41,""),"")</f>
        <v/>
      </c>
      <c r="C47" s="222" t="str">
        <f>IFERROR(IF(DB_Customers!D41&lt;&gt;"",DB_Customers!D41,""),"")</f>
        <v/>
      </c>
      <c r="D47" s="223" t="str">
        <f>IFERROR(IF(DB_Customers!Q41&lt;&gt;"",DB_Customers!Q41,""),"")</f>
        <v/>
      </c>
      <c r="E47" s="221" t="str">
        <f>IFERROR(IF(DB_Customers!R41&lt;&gt;"",DB_Customers!R41,""),"")</f>
        <v/>
      </c>
      <c r="F47" s="222" t="str">
        <f>IFERROR(IF(DB_Customers!S41&lt;&gt;"",DB_Customers!S41,""),"")</f>
        <v/>
      </c>
      <c r="G47" s="222" t="str">
        <f>IFERROR(IF(DB_Customers!G41&lt;&gt;"",DB_Customers!G41,""),"")</f>
        <v/>
      </c>
      <c r="H47" s="221" t="str">
        <f>IFERROR(IF(DB_Customers!H41&lt;&gt;"",DB_Customers!H41,""),"")</f>
        <v/>
      </c>
      <c r="I47" s="224" t="str">
        <f>IFERROR(IF(DB_Customers!I41&lt;&gt;"",DB_Customers!I41,""),"")</f>
        <v/>
      </c>
      <c r="J47" s="225" t="str">
        <f>IFERROR(IF(DB_Customers!J41&lt;&gt;"",DB_Customers!J41,""),"")</f>
        <v/>
      </c>
      <c r="K47" s="222" t="str">
        <f>IFERROR(IF(DB_Customers!E41&lt;&gt;"",DB_Customers!E41,""),"")</f>
        <v/>
      </c>
      <c r="L47" s="222" t="str">
        <f>IFERROR(IF(DB_Customers!F41&lt;&gt;"",DB_Customers!F41,""),"")</f>
        <v/>
      </c>
      <c r="M47" s="222" t="str">
        <f>IFERROR(IF(DB_Customers!T41&lt;&gt;"",DB_Customers!T41,""),"")</f>
        <v/>
      </c>
      <c r="N47" s="221" t="str">
        <f>IFERROR(IF(DB_Customers!A41&lt;&gt;"",IF(DB_Customers!I41&gt;=10,"Active","Inactive"),""),"")</f>
        <v/>
      </c>
    </row>
    <row r="48" spans="1:14" ht="18" customHeight="1" x14ac:dyDescent="0.25">
      <c r="A48" s="216" t="str">
        <f>IF(DB_Customers!A42&lt;&gt;"",ROW()-9,"")</f>
        <v/>
      </c>
      <c r="B48" s="216" t="str">
        <f>IFERROR(IF(DB_Customers!A42&lt;&gt;"",DB_Customers!A42,""),"")</f>
        <v/>
      </c>
      <c r="C48" s="217" t="str">
        <f>IFERROR(IF(DB_Customers!D42&lt;&gt;"",DB_Customers!D42,""),"")</f>
        <v/>
      </c>
      <c r="D48" s="218" t="str">
        <f>IFERROR(IF(DB_Customers!Q42&lt;&gt;"",DB_Customers!Q42,""),"")</f>
        <v/>
      </c>
      <c r="E48" s="216" t="str">
        <f>IFERROR(IF(DB_Customers!R42&lt;&gt;"",DB_Customers!R42,""),"")</f>
        <v/>
      </c>
      <c r="F48" s="217" t="str">
        <f>IFERROR(IF(DB_Customers!S42&lt;&gt;"",DB_Customers!S42,""),"")</f>
        <v/>
      </c>
      <c r="G48" s="217" t="str">
        <f>IFERROR(IF(DB_Customers!G42&lt;&gt;"",DB_Customers!G42,""),"")</f>
        <v/>
      </c>
      <c r="H48" s="216" t="str">
        <f>IFERROR(IF(DB_Customers!H42&lt;&gt;"",DB_Customers!H42,""),"")</f>
        <v/>
      </c>
      <c r="I48" s="219" t="str">
        <f>IFERROR(IF(DB_Customers!I42&lt;&gt;"",DB_Customers!I42,""),"")</f>
        <v/>
      </c>
      <c r="J48" s="220" t="str">
        <f>IFERROR(IF(DB_Customers!J42&lt;&gt;"",DB_Customers!J42,""),"")</f>
        <v/>
      </c>
      <c r="K48" s="217" t="str">
        <f>IFERROR(IF(DB_Customers!E42&lt;&gt;"",DB_Customers!E42,""),"")</f>
        <v/>
      </c>
      <c r="L48" s="217" t="str">
        <f>IFERROR(IF(DB_Customers!F42&lt;&gt;"",DB_Customers!F42,""),"")</f>
        <v/>
      </c>
      <c r="M48" s="217" t="str">
        <f>IFERROR(IF(DB_Customers!T42&lt;&gt;"",DB_Customers!T42,""),"")</f>
        <v/>
      </c>
      <c r="N48" s="216" t="str">
        <f>IFERROR(IF(DB_Customers!A42&lt;&gt;"",IF(DB_Customers!I42&gt;=10,"Active","Inactive"),""),"")</f>
        <v/>
      </c>
    </row>
    <row r="49" spans="1:14" ht="18" customHeight="1" x14ac:dyDescent="0.25">
      <c r="A49" s="221" t="str">
        <f>IF(DB_Customers!A43&lt;&gt;"",ROW()-9,"")</f>
        <v/>
      </c>
      <c r="B49" s="221" t="str">
        <f>IFERROR(IF(DB_Customers!A43&lt;&gt;"",DB_Customers!A43,""),"")</f>
        <v/>
      </c>
      <c r="C49" s="222" t="str">
        <f>IFERROR(IF(DB_Customers!D43&lt;&gt;"",DB_Customers!D43,""),"")</f>
        <v/>
      </c>
      <c r="D49" s="223" t="str">
        <f>IFERROR(IF(DB_Customers!Q43&lt;&gt;"",DB_Customers!Q43,""),"")</f>
        <v/>
      </c>
      <c r="E49" s="221" t="str">
        <f>IFERROR(IF(DB_Customers!R43&lt;&gt;"",DB_Customers!R43,""),"")</f>
        <v/>
      </c>
      <c r="F49" s="222" t="str">
        <f>IFERROR(IF(DB_Customers!S43&lt;&gt;"",DB_Customers!S43,""),"")</f>
        <v/>
      </c>
      <c r="G49" s="222" t="str">
        <f>IFERROR(IF(DB_Customers!G43&lt;&gt;"",DB_Customers!G43,""),"")</f>
        <v/>
      </c>
      <c r="H49" s="221" t="str">
        <f>IFERROR(IF(DB_Customers!H43&lt;&gt;"",DB_Customers!H43,""),"")</f>
        <v/>
      </c>
      <c r="I49" s="224" t="str">
        <f>IFERROR(IF(DB_Customers!I43&lt;&gt;"",DB_Customers!I43,""),"")</f>
        <v/>
      </c>
      <c r="J49" s="225" t="str">
        <f>IFERROR(IF(DB_Customers!J43&lt;&gt;"",DB_Customers!J43,""),"")</f>
        <v/>
      </c>
      <c r="K49" s="222" t="str">
        <f>IFERROR(IF(DB_Customers!E43&lt;&gt;"",DB_Customers!E43,""),"")</f>
        <v/>
      </c>
      <c r="L49" s="222" t="str">
        <f>IFERROR(IF(DB_Customers!F43&lt;&gt;"",DB_Customers!F43,""),"")</f>
        <v/>
      </c>
      <c r="M49" s="222" t="str">
        <f>IFERROR(IF(DB_Customers!T43&lt;&gt;"",DB_Customers!T43,""),"")</f>
        <v/>
      </c>
      <c r="N49" s="221" t="str">
        <f>IFERROR(IF(DB_Customers!A43&lt;&gt;"",IF(DB_Customers!I43&gt;=10,"Active","Inactive"),""),"")</f>
        <v/>
      </c>
    </row>
    <row r="50" spans="1:14" ht="18" customHeight="1" x14ac:dyDescent="0.25">
      <c r="A50" s="216" t="str">
        <f>IF(DB_Customers!A44&lt;&gt;"",ROW()-9,"")</f>
        <v/>
      </c>
      <c r="B50" s="216" t="str">
        <f>IFERROR(IF(DB_Customers!A44&lt;&gt;"",DB_Customers!A44,""),"")</f>
        <v/>
      </c>
      <c r="C50" s="217" t="str">
        <f>IFERROR(IF(DB_Customers!D44&lt;&gt;"",DB_Customers!D44,""),"")</f>
        <v/>
      </c>
      <c r="D50" s="218" t="str">
        <f>IFERROR(IF(DB_Customers!Q44&lt;&gt;"",DB_Customers!Q44,""),"")</f>
        <v/>
      </c>
      <c r="E50" s="216" t="str">
        <f>IFERROR(IF(DB_Customers!R44&lt;&gt;"",DB_Customers!R44,""),"")</f>
        <v/>
      </c>
      <c r="F50" s="217" t="str">
        <f>IFERROR(IF(DB_Customers!S44&lt;&gt;"",DB_Customers!S44,""),"")</f>
        <v/>
      </c>
      <c r="G50" s="217" t="str">
        <f>IFERROR(IF(DB_Customers!G44&lt;&gt;"",DB_Customers!G44,""),"")</f>
        <v/>
      </c>
      <c r="H50" s="216" t="str">
        <f>IFERROR(IF(DB_Customers!H44&lt;&gt;"",DB_Customers!H44,""),"")</f>
        <v/>
      </c>
      <c r="I50" s="219" t="str">
        <f>IFERROR(IF(DB_Customers!I44&lt;&gt;"",DB_Customers!I44,""),"")</f>
        <v/>
      </c>
      <c r="J50" s="220" t="str">
        <f>IFERROR(IF(DB_Customers!J44&lt;&gt;"",DB_Customers!J44,""),"")</f>
        <v/>
      </c>
      <c r="K50" s="217" t="str">
        <f>IFERROR(IF(DB_Customers!E44&lt;&gt;"",DB_Customers!E44,""),"")</f>
        <v/>
      </c>
      <c r="L50" s="217" t="str">
        <f>IFERROR(IF(DB_Customers!F44&lt;&gt;"",DB_Customers!F44,""),"")</f>
        <v/>
      </c>
      <c r="M50" s="217" t="str">
        <f>IFERROR(IF(DB_Customers!T44&lt;&gt;"",DB_Customers!T44,""),"")</f>
        <v/>
      </c>
      <c r="N50" s="216" t="str">
        <f>IFERROR(IF(DB_Customers!A44&lt;&gt;"",IF(DB_Customers!I44&gt;=10,"Active","Inactive"),""),"")</f>
        <v/>
      </c>
    </row>
    <row r="51" spans="1:14" ht="18" customHeight="1" x14ac:dyDescent="0.25">
      <c r="A51" s="221" t="str">
        <f>IF(DB_Customers!A45&lt;&gt;"",ROW()-9,"")</f>
        <v/>
      </c>
      <c r="B51" s="221" t="str">
        <f>IFERROR(IF(DB_Customers!A45&lt;&gt;"",DB_Customers!A45,""),"")</f>
        <v/>
      </c>
      <c r="C51" s="222" t="str">
        <f>IFERROR(IF(DB_Customers!D45&lt;&gt;"",DB_Customers!D45,""),"")</f>
        <v/>
      </c>
      <c r="D51" s="223" t="str">
        <f>IFERROR(IF(DB_Customers!Q45&lt;&gt;"",DB_Customers!Q45,""),"")</f>
        <v/>
      </c>
      <c r="E51" s="221" t="str">
        <f>IFERROR(IF(DB_Customers!R45&lt;&gt;"",DB_Customers!R45,""),"")</f>
        <v/>
      </c>
      <c r="F51" s="222" t="str">
        <f>IFERROR(IF(DB_Customers!S45&lt;&gt;"",DB_Customers!S45,""),"")</f>
        <v/>
      </c>
      <c r="G51" s="222" t="str">
        <f>IFERROR(IF(DB_Customers!G45&lt;&gt;"",DB_Customers!G45,""),"")</f>
        <v/>
      </c>
      <c r="H51" s="221" t="str">
        <f>IFERROR(IF(DB_Customers!H45&lt;&gt;"",DB_Customers!H45,""),"")</f>
        <v/>
      </c>
      <c r="I51" s="224" t="str">
        <f>IFERROR(IF(DB_Customers!I45&lt;&gt;"",DB_Customers!I45,""),"")</f>
        <v/>
      </c>
      <c r="J51" s="225" t="str">
        <f>IFERROR(IF(DB_Customers!J45&lt;&gt;"",DB_Customers!J45,""),"")</f>
        <v/>
      </c>
      <c r="K51" s="222" t="str">
        <f>IFERROR(IF(DB_Customers!E45&lt;&gt;"",DB_Customers!E45,""),"")</f>
        <v/>
      </c>
      <c r="L51" s="222" t="str">
        <f>IFERROR(IF(DB_Customers!F45&lt;&gt;"",DB_Customers!F45,""),"")</f>
        <v/>
      </c>
      <c r="M51" s="222" t="str">
        <f>IFERROR(IF(DB_Customers!T45&lt;&gt;"",DB_Customers!T45,""),"")</f>
        <v/>
      </c>
      <c r="N51" s="221" t="str">
        <f>IFERROR(IF(DB_Customers!A45&lt;&gt;"",IF(DB_Customers!I45&gt;=10,"Active","Inactive"),""),"")</f>
        <v/>
      </c>
    </row>
    <row r="52" spans="1:14" ht="18" customHeight="1" x14ac:dyDescent="0.25">
      <c r="A52" s="216" t="str">
        <f>IF(DB_Customers!A46&lt;&gt;"",ROW()-9,"")</f>
        <v/>
      </c>
      <c r="B52" s="216" t="str">
        <f>IFERROR(IF(DB_Customers!A46&lt;&gt;"",DB_Customers!A46,""),"")</f>
        <v/>
      </c>
      <c r="C52" s="217" t="str">
        <f>IFERROR(IF(DB_Customers!D46&lt;&gt;"",DB_Customers!D46,""),"")</f>
        <v/>
      </c>
      <c r="D52" s="218" t="str">
        <f>IFERROR(IF(DB_Customers!Q46&lt;&gt;"",DB_Customers!Q46,""),"")</f>
        <v/>
      </c>
      <c r="E52" s="216" t="str">
        <f>IFERROR(IF(DB_Customers!R46&lt;&gt;"",DB_Customers!R46,""),"")</f>
        <v/>
      </c>
      <c r="F52" s="217" t="str">
        <f>IFERROR(IF(DB_Customers!S46&lt;&gt;"",DB_Customers!S46,""),"")</f>
        <v/>
      </c>
      <c r="G52" s="217" t="str">
        <f>IFERROR(IF(DB_Customers!G46&lt;&gt;"",DB_Customers!G46,""),"")</f>
        <v/>
      </c>
      <c r="H52" s="216" t="str">
        <f>IFERROR(IF(DB_Customers!H46&lt;&gt;"",DB_Customers!H46,""),"")</f>
        <v/>
      </c>
      <c r="I52" s="219" t="str">
        <f>IFERROR(IF(DB_Customers!I46&lt;&gt;"",DB_Customers!I46,""),"")</f>
        <v/>
      </c>
      <c r="J52" s="220" t="str">
        <f>IFERROR(IF(DB_Customers!J46&lt;&gt;"",DB_Customers!J46,""),"")</f>
        <v/>
      </c>
      <c r="K52" s="217" t="str">
        <f>IFERROR(IF(DB_Customers!E46&lt;&gt;"",DB_Customers!E46,""),"")</f>
        <v/>
      </c>
      <c r="L52" s="217" t="str">
        <f>IFERROR(IF(DB_Customers!F46&lt;&gt;"",DB_Customers!F46,""),"")</f>
        <v/>
      </c>
      <c r="M52" s="217" t="str">
        <f>IFERROR(IF(DB_Customers!T46&lt;&gt;"",DB_Customers!T46,""),"")</f>
        <v/>
      </c>
      <c r="N52" s="216" t="str">
        <f>IFERROR(IF(DB_Customers!A46&lt;&gt;"",IF(DB_Customers!I46&gt;=10,"Active","Inactive"),""),"")</f>
        <v/>
      </c>
    </row>
    <row r="53" spans="1:14" ht="18" customHeight="1" x14ac:dyDescent="0.25">
      <c r="A53" s="221" t="str">
        <f>IF(DB_Customers!A47&lt;&gt;"",ROW()-9,"")</f>
        <v/>
      </c>
      <c r="B53" s="221" t="str">
        <f>IFERROR(IF(DB_Customers!A47&lt;&gt;"",DB_Customers!A47,""),"")</f>
        <v/>
      </c>
      <c r="C53" s="222" t="str">
        <f>IFERROR(IF(DB_Customers!D47&lt;&gt;"",DB_Customers!D47,""),"")</f>
        <v/>
      </c>
      <c r="D53" s="223" t="str">
        <f>IFERROR(IF(DB_Customers!Q47&lt;&gt;"",DB_Customers!Q47,""),"")</f>
        <v/>
      </c>
      <c r="E53" s="221" t="str">
        <f>IFERROR(IF(DB_Customers!R47&lt;&gt;"",DB_Customers!R47,""),"")</f>
        <v/>
      </c>
      <c r="F53" s="222" t="str">
        <f>IFERROR(IF(DB_Customers!S47&lt;&gt;"",DB_Customers!S47,""),"")</f>
        <v/>
      </c>
      <c r="G53" s="222" t="str">
        <f>IFERROR(IF(DB_Customers!G47&lt;&gt;"",DB_Customers!G47,""),"")</f>
        <v/>
      </c>
      <c r="H53" s="221" t="str">
        <f>IFERROR(IF(DB_Customers!H47&lt;&gt;"",DB_Customers!H47,""),"")</f>
        <v/>
      </c>
      <c r="I53" s="224" t="str">
        <f>IFERROR(IF(DB_Customers!I47&lt;&gt;"",DB_Customers!I47,""),"")</f>
        <v/>
      </c>
      <c r="J53" s="225" t="str">
        <f>IFERROR(IF(DB_Customers!J47&lt;&gt;"",DB_Customers!J47,""),"")</f>
        <v/>
      </c>
      <c r="K53" s="222" t="str">
        <f>IFERROR(IF(DB_Customers!E47&lt;&gt;"",DB_Customers!E47,""),"")</f>
        <v/>
      </c>
      <c r="L53" s="222" t="str">
        <f>IFERROR(IF(DB_Customers!F47&lt;&gt;"",DB_Customers!F47,""),"")</f>
        <v/>
      </c>
      <c r="M53" s="222" t="str">
        <f>IFERROR(IF(DB_Customers!T47&lt;&gt;"",DB_Customers!T47,""),"")</f>
        <v/>
      </c>
      <c r="N53" s="221" t="str">
        <f>IFERROR(IF(DB_Customers!A47&lt;&gt;"",IF(DB_Customers!I47&gt;=10,"Active","Inactive"),""),"")</f>
        <v/>
      </c>
    </row>
    <row r="54" spans="1:14" ht="18" customHeight="1" x14ac:dyDescent="0.25">
      <c r="A54" s="216" t="str">
        <f>IF(DB_Customers!A48&lt;&gt;"",ROW()-9,"")</f>
        <v/>
      </c>
      <c r="B54" s="216" t="str">
        <f>IFERROR(IF(DB_Customers!A48&lt;&gt;"",DB_Customers!A48,""),"")</f>
        <v/>
      </c>
      <c r="C54" s="217" t="str">
        <f>IFERROR(IF(DB_Customers!D48&lt;&gt;"",DB_Customers!D48,""),"")</f>
        <v/>
      </c>
      <c r="D54" s="218" t="str">
        <f>IFERROR(IF(DB_Customers!Q48&lt;&gt;"",DB_Customers!Q48,""),"")</f>
        <v/>
      </c>
      <c r="E54" s="216" t="str">
        <f>IFERROR(IF(DB_Customers!R48&lt;&gt;"",DB_Customers!R48,""),"")</f>
        <v/>
      </c>
      <c r="F54" s="217" t="str">
        <f>IFERROR(IF(DB_Customers!S48&lt;&gt;"",DB_Customers!S48,""),"")</f>
        <v/>
      </c>
      <c r="G54" s="217" t="str">
        <f>IFERROR(IF(DB_Customers!G48&lt;&gt;"",DB_Customers!G48,""),"")</f>
        <v/>
      </c>
      <c r="H54" s="216" t="str">
        <f>IFERROR(IF(DB_Customers!H48&lt;&gt;"",DB_Customers!H48,""),"")</f>
        <v/>
      </c>
      <c r="I54" s="219" t="str">
        <f>IFERROR(IF(DB_Customers!I48&lt;&gt;"",DB_Customers!I48,""),"")</f>
        <v/>
      </c>
      <c r="J54" s="220" t="str">
        <f>IFERROR(IF(DB_Customers!J48&lt;&gt;"",DB_Customers!J48,""),"")</f>
        <v/>
      </c>
      <c r="K54" s="217" t="str">
        <f>IFERROR(IF(DB_Customers!E48&lt;&gt;"",DB_Customers!E48,""),"")</f>
        <v/>
      </c>
      <c r="L54" s="217" t="str">
        <f>IFERROR(IF(DB_Customers!F48&lt;&gt;"",DB_Customers!F48,""),"")</f>
        <v/>
      </c>
      <c r="M54" s="217" t="str">
        <f>IFERROR(IF(DB_Customers!T48&lt;&gt;"",DB_Customers!T48,""),"")</f>
        <v/>
      </c>
      <c r="N54" s="216" t="str">
        <f>IFERROR(IF(DB_Customers!A48&lt;&gt;"",IF(DB_Customers!I48&gt;=10,"Active","Inactive"),""),"")</f>
        <v/>
      </c>
    </row>
    <row r="55" spans="1:14" ht="18" customHeight="1" x14ac:dyDescent="0.25">
      <c r="A55" s="221" t="str">
        <f>IF(DB_Customers!A49&lt;&gt;"",ROW()-9,"")</f>
        <v/>
      </c>
      <c r="B55" s="221" t="str">
        <f>IFERROR(IF(DB_Customers!A49&lt;&gt;"",DB_Customers!A49,""),"")</f>
        <v/>
      </c>
      <c r="C55" s="222" t="str">
        <f>IFERROR(IF(DB_Customers!D49&lt;&gt;"",DB_Customers!D49,""),"")</f>
        <v/>
      </c>
      <c r="D55" s="223" t="str">
        <f>IFERROR(IF(DB_Customers!Q49&lt;&gt;"",DB_Customers!Q49,""),"")</f>
        <v/>
      </c>
      <c r="E55" s="221" t="str">
        <f>IFERROR(IF(DB_Customers!R49&lt;&gt;"",DB_Customers!R49,""),"")</f>
        <v/>
      </c>
      <c r="F55" s="222" t="str">
        <f>IFERROR(IF(DB_Customers!S49&lt;&gt;"",DB_Customers!S49,""),"")</f>
        <v/>
      </c>
      <c r="G55" s="222" t="str">
        <f>IFERROR(IF(DB_Customers!G49&lt;&gt;"",DB_Customers!G49,""),"")</f>
        <v/>
      </c>
      <c r="H55" s="221" t="str">
        <f>IFERROR(IF(DB_Customers!H49&lt;&gt;"",DB_Customers!H49,""),"")</f>
        <v/>
      </c>
      <c r="I55" s="224" t="str">
        <f>IFERROR(IF(DB_Customers!I49&lt;&gt;"",DB_Customers!I49,""),"")</f>
        <v/>
      </c>
      <c r="J55" s="225" t="str">
        <f>IFERROR(IF(DB_Customers!J49&lt;&gt;"",DB_Customers!J49,""),"")</f>
        <v/>
      </c>
      <c r="K55" s="222" t="str">
        <f>IFERROR(IF(DB_Customers!E49&lt;&gt;"",DB_Customers!E49,""),"")</f>
        <v/>
      </c>
      <c r="L55" s="222" t="str">
        <f>IFERROR(IF(DB_Customers!F49&lt;&gt;"",DB_Customers!F49,""),"")</f>
        <v/>
      </c>
      <c r="M55" s="222" t="str">
        <f>IFERROR(IF(DB_Customers!T49&lt;&gt;"",DB_Customers!T49,""),"")</f>
        <v/>
      </c>
      <c r="N55" s="221" t="str">
        <f>IFERROR(IF(DB_Customers!A49&lt;&gt;"",IF(DB_Customers!I49&gt;=10,"Active","Inactive"),""),"")</f>
        <v/>
      </c>
    </row>
    <row r="56" spans="1:14" ht="18" customHeight="1" x14ac:dyDescent="0.25">
      <c r="A56" s="216" t="str">
        <f>IF(DB_Customers!A50&lt;&gt;"",ROW()-9,"")</f>
        <v/>
      </c>
      <c r="B56" s="216" t="str">
        <f>IFERROR(IF(DB_Customers!A50&lt;&gt;"",DB_Customers!A50,""),"")</f>
        <v/>
      </c>
      <c r="C56" s="217" t="str">
        <f>IFERROR(IF(DB_Customers!D50&lt;&gt;"",DB_Customers!D50,""),"")</f>
        <v/>
      </c>
      <c r="D56" s="218" t="str">
        <f>IFERROR(IF(DB_Customers!Q50&lt;&gt;"",DB_Customers!Q50,""),"")</f>
        <v/>
      </c>
      <c r="E56" s="216" t="str">
        <f>IFERROR(IF(DB_Customers!R50&lt;&gt;"",DB_Customers!R50,""),"")</f>
        <v/>
      </c>
      <c r="F56" s="217" t="str">
        <f>IFERROR(IF(DB_Customers!S50&lt;&gt;"",DB_Customers!S50,""),"")</f>
        <v/>
      </c>
      <c r="G56" s="217" t="str">
        <f>IFERROR(IF(DB_Customers!G50&lt;&gt;"",DB_Customers!G50,""),"")</f>
        <v/>
      </c>
      <c r="H56" s="216" t="str">
        <f>IFERROR(IF(DB_Customers!H50&lt;&gt;"",DB_Customers!H50,""),"")</f>
        <v/>
      </c>
      <c r="I56" s="219" t="str">
        <f>IFERROR(IF(DB_Customers!I50&lt;&gt;"",DB_Customers!I50,""),"")</f>
        <v/>
      </c>
      <c r="J56" s="220" t="str">
        <f>IFERROR(IF(DB_Customers!J50&lt;&gt;"",DB_Customers!J50,""),"")</f>
        <v/>
      </c>
      <c r="K56" s="217" t="str">
        <f>IFERROR(IF(DB_Customers!E50&lt;&gt;"",DB_Customers!E50,""),"")</f>
        <v/>
      </c>
      <c r="L56" s="217" t="str">
        <f>IFERROR(IF(DB_Customers!F50&lt;&gt;"",DB_Customers!F50,""),"")</f>
        <v/>
      </c>
      <c r="M56" s="217" t="str">
        <f>IFERROR(IF(DB_Customers!T50&lt;&gt;"",DB_Customers!T50,""),"")</f>
        <v/>
      </c>
      <c r="N56" s="216" t="str">
        <f>IFERROR(IF(DB_Customers!A50&lt;&gt;"",IF(DB_Customers!I50&gt;=10,"Active","Inactive"),""),"")</f>
        <v/>
      </c>
    </row>
    <row r="57" spans="1:14" ht="18" customHeight="1" x14ac:dyDescent="0.25">
      <c r="A57" s="221" t="str">
        <f>IF(DB_Customers!A51&lt;&gt;"",ROW()-9,"")</f>
        <v/>
      </c>
      <c r="B57" s="221" t="str">
        <f>IFERROR(IF(DB_Customers!A51&lt;&gt;"",DB_Customers!A51,""),"")</f>
        <v/>
      </c>
      <c r="C57" s="222" t="str">
        <f>IFERROR(IF(DB_Customers!D51&lt;&gt;"",DB_Customers!D51,""),"")</f>
        <v/>
      </c>
      <c r="D57" s="223" t="str">
        <f>IFERROR(IF(DB_Customers!Q51&lt;&gt;"",DB_Customers!Q51,""),"")</f>
        <v/>
      </c>
      <c r="E57" s="221" t="str">
        <f>IFERROR(IF(DB_Customers!R51&lt;&gt;"",DB_Customers!R51,""),"")</f>
        <v/>
      </c>
      <c r="F57" s="222" t="str">
        <f>IFERROR(IF(DB_Customers!S51&lt;&gt;"",DB_Customers!S51,""),"")</f>
        <v/>
      </c>
      <c r="G57" s="222" t="str">
        <f>IFERROR(IF(DB_Customers!G51&lt;&gt;"",DB_Customers!G51,""),"")</f>
        <v/>
      </c>
      <c r="H57" s="221" t="str">
        <f>IFERROR(IF(DB_Customers!H51&lt;&gt;"",DB_Customers!H51,""),"")</f>
        <v/>
      </c>
      <c r="I57" s="224" t="str">
        <f>IFERROR(IF(DB_Customers!I51&lt;&gt;"",DB_Customers!I51,""),"")</f>
        <v/>
      </c>
      <c r="J57" s="225" t="str">
        <f>IFERROR(IF(DB_Customers!J51&lt;&gt;"",DB_Customers!J51,""),"")</f>
        <v/>
      </c>
      <c r="K57" s="222" t="str">
        <f>IFERROR(IF(DB_Customers!E51&lt;&gt;"",DB_Customers!E51,""),"")</f>
        <v/>
      </c>
      <c r="L57" s="222" t="str">
        <f>IFERROR(IF(DB_Customers!F51&lt;&gt;"",DB_Customers!F51,""),"")</f>
        <v/>
      </c>
      <c r="M57" s="222" t="str">
        <f>IFERROR(IF(DB_Customers!T51&lt;&gt;"",DB_Customers!T51,""),"")</f>
        <v/>
      </c>
      <c r="N57" s="221" t="str">
        <f>IFERROR(IF(DB_Customers!A51&lt;&gt;"",IF(DB_Customers!I51&gt;=10,"Active","Inactive"),""),"")</f>
        <v/>
      </c>
    </row>
    <row r="58" spans="1:14" ht="18" customHeight="1" x14ac:dyDescent="0.25">
      <c r="A58" s="216" t="str">
        <f>IF(DB_Customers!A52&lt;&gt;"",ROW()-9,"")</f>
        <v/>
      </c>
      <c r="B58" s="216" t="str">
        <f>IFERROR(IF(DB_Customers!A52&lt;&gt;"",DB_Customers!A52,""),"")</f>
        <v/>
      </c>
      <c r="C58" s="217" t="str">
        <f>IFERROR(IF(DB_Customers!D52&lt;&gt;"",DB_Customers!D52,""),"")</f>
        <v/>
      </c>
      <c r="D58" s="218" t="str">
        <f>IFERROR(IF(DB_Customers!Q52&lt;&gt;"",DB_Customers!Q52,""),"")</f>
        <v/>
      </c>
      <c r="E58" s="216" t="str">
        <f>IFERROR(IF(DB_Customers!R52&lt;&gt;"",DB_Customers!R52,""),"")</f>
        <v/>
      </c>
      <c r="F58" s="217" t="str">
        <f>IFERROR(IF(DB_Customers!S52&lt;&gt;"",DB_Customers!S52,""),"")</f>
        <v/>
      </c>
      <c r="G58" s="217" t="str">
        <f>IFERROR(IF(DB_Customers!G52&lt;&gt;"",DB_Customers!G52,""),"")</f>
        <v/>
      </c>
      <c r="H58" s="216" t="str">
        <f>IFERROR(IF(DB_Customers!H52&lt;&gt;"",DB_Customers!H52,""),"")</f>
        <v/>
      </c>
      <c r="I58" s="219" t="str">
        <f>IFERROR(IF(DB_Customers!I52&lt;&gt;"",DB_Customers!I52,""),"")</f>
        <v/>
      </c>
      <c r="J58" s="220" t="str">
        <f>IFERROR(IF(DB_Customers!J52&lt;&gt;"",DB_Customers!J52,""),"")</f>
        <v/>
      </c>
      <c r="K58" s="217" t="str">
        <f>IFERROR(IF(DB_Customers!E52&lt;&gt;"",DB_Customers!E52,""),"")</f>
        <v/>
      </c>
      <c r="L58" s="217" t="str">
        <f>IFERROR(IF(DB_Customers!F52&lt;&gt;"",DB_Customers!F52,""),"")</f>
        <v/>
      </c>
      <c r="M58" s="217" t="str">
        <f>IFERROR(IF(DB_Customers!T52&lt;&gt;"",DB_Customers!T52,""),"")</f>
        <v/>
      </c>
      <c r="N58" s="216" t="str">
        <f>IFERROR(IF(DB_Customers!A52&lt;&gt;"",IF(DB_Customers!I52&gt;=10,"Active","Inactive"),""),"")</f>
        <v/>
      </c>
    </row>
    <row r="59" spans="1:14" ht="18" customHeight="1" x14ac:dyDescent="0.25">
      <c r="A59" s="221" t="str">
        <f>IF(DB_Customers!A53&lt;&gt;"",ROW()-9,"")</f>
        <v/>
      </c>
      <c r="B59" s="221" t="str">
        <f>IFERROR(IF(DB_Customers!A53&lt;&gt;"",DB_Customers!A53,""),"")</f>
        <v/>
      </c>
      <c r="C59" s="222" t="str">
        <f>IFERROR(IF(DB_Customers!D53&lt;&gt;"",DB_Customers!D53,""),"")</f>
        <v/>
      </c>
      <c r="D59" s="223" t="str">
        <f>IFERROR(IF(DB_Customers!Q53&lt;&gt;"",DB_Customers!Q53,""),"")</f>
        <v/>
      </c>
      <c r="E59" s="221" t="str">
        <f>IFERROR(IF(DB_Customers!R53&lt;&gt;"",DB_Customers!R53,""),"")</f>
        <v/>
      </c>
      <c r="F59" s="222" t="str">
        <f>IFERROR(IF(DB_Customers!S53&lt;&gt;"",DB_Customers!S53,""),"")</f>
        <v/>
      </c>
      <c r="G59" s="222" t="str">
        <f>IFERROR(IF(DB_Customers!G53&lt;&gt;"",DB_Customers!G53,""),"")</f>
        <v/>
      </c>
      <c r="H59" s="221" t="str">
        <f>IFERROR(IF(DB_Customers!H53&lt;&gt;"",DB_Customers!H53,""),"")</f>
        <v/>
      </c>
      <c r="I59" s="224" t="str">
        <f>IFERROR(IF(DB_Customers!I53&lt;&gt;"",DB_Customers!I53,""),"")</f>
        <v/>
      </c>
      <c r="J59" s="225" t="str">
        <f>IFERROR(IF(DB_Customers!J53&lt;&gt;"",DB_Customers!J53,""),"")</f>
        <v/>
      </c>
      <c r="K59" s="222" t="str">
        <f>IFERROR(IF(DB_Customers!E53&lt;&gt;"",DB_Customers!E53,""),"")</f>
        <v/>
      </c>
      <c r="L59" s="222" t="str">
        <f>IFERROR(IF(DB_Customers!F53&lt;&gt;"",DB_Customers!F53,""),"")</f>
        <v/>
      </c>
      <c r="M59" s="222" t="str">
        <f>IFERROR(IF(DB_Customers!T53&lt;&gt;"",DB_Customers!T53,""),"")</f>
        <v/>
      </c>
      <c r="N59" s="221" t="str">
        <f>IFERROR(IF(DB_Customers!A53&lt;&gt;"",IF(DB_Customers!I53&gt;=10,"Active","Inactive"),""),"")</f>
        <v/>
      </c>
    </row>
    <row r="60" spans="1:14" ht="18" customHeight="1" x14ac:dyDescent="0.25">
      <c r="A60" s="216" t="str">
        <f>IF(DB_Customers!A54&lt;&gt;"",ROW()-9,"")</f>
        <v/>
      </c>
      <c r="B60" s="216" t="str">
        <f>IFERROR(IF(DB_Customers!A54&lt;&gt;"",DB_Customers!A54,""),"")</f>
        <v/>
      </c>
      <c r="C60" s="217" t="str">
        <f>IFERROR(IF(DB_Customers!D54&lt;&gt;"",DB_Customers!D54,""),"")</f>
        <v/>
      </c>
      <c r="D60" s="218" t="str">
        <f>IFERROR(IF(DB_Customers!Q54&lt;&gt;"",DB_Customers!Q54,""),"")</f>
        <v/>
      </c>
      <c r="E60" s="216" t="str">
        <f>IFERROR(IF(DB_Customers!R54&lt;&gt;"",DB_Customers!R54,""),"")</f>
        <v/>
      </c>
      <c r="F60" s="217" t="str">
        <f>IFERROR(IF(DB_Customers!S54&lt;&gt;"",DB_Customers!S54,""),"")</f>
        <v/>
      </c>
      <c r="G60" s="217" t="str">
        <f>IFERROR(IF(DB_Customers!G54&lt;&gt;"",DB_Customers!G54,""),"")</f>
        <v/>
      </c>
      <c r="H60" s="216" t="str">
        <f>IFERROR(IF(DB_Customers!H54&lt;&gt;"",DB_Customers!H54,""),"")</f>
        <v/>
      </c>
      <c r="I60" s="219" t="str">
        <f>IFERROR(IF(DB_Customers!I54&lt;&gt;"",DB_Customers!I54,""),"")</f>
        <v/>
      </c>
      <c r="J60" s="220" t="str">
        <f>IFERROR(IF(DB_Customers!J54&lt;&gt;"",DB_Customers!J54,""),"")</f>
        <v/>
      </c>
      <c r="K60" s="217" t="str">
        <f>IFERROR(IF(DB_Customers!E54&lt;&gt;"",DB_Customers!E54,""),"")</f>
        <v/>
      </c>
      <c r="L60" s="217" t="str">
        <f>IFERROR(IF(DB_Customers!F54&lt;&gt;"",DB_Customers!F54,""),"")</f>
        <v/>
      </c>
      <c r="M60" s="217" t="str">
        <f>IFERROR(IF(DB_Customers!T54&lt;&gt;"",DB_Customers!T54,""),"")</f>
        <v/>
      </c>
      <c r="N60" s="216" t="str">
        <f>IFERROR(IF(DB_Customers!A54&lt;&gt;"",IF(DB_Customers!I54&gt;=10,"Active","Inactive"),""),"")</f>
        <v/>
      </c>
    </row>
    <row r="61" spans="1:14" ht="18" customHeight="1" x14ac:dyDescent="0.25">
      <c r="A61" s="221" t="str">
        <f>IF(DB_Customers!A55&lt;&gt;"",ROW()-9,"")</f>
        <v/>
      </c>
      <c r="B61" s="221" t="str">
        <f>IFERROR(IF(DB_Customers!A55&lt;&gt;"",DB_Customers!A55,""),"")</f>
        <v/>
      </c>
      <c r="C61" s="222" t="str">
        <f>IFERROR(IF(DB_Customers!D55&lt;&gt;"",DB_Customers!D55,""),"")</f>
        <v/>
      </c>
      <c r="D61" s="223" t="str">
        <f>IFERROR(IF(DB_Customers!Q55&lt;&gt;"",DB_Customers!Q55,""),"")</f>
        <v/>
      </c>
      <c r="E61" s="221" t="str">
        <f>IFERROR(IF(DB_Customers!R55&lt;&gt;"",DB_Customers!R55,""),"")</f>
        <v/>
      </c>
      <c r="F61" s="222" t="str">
        <f>IFERROR(IF(DB_Customers!S55&lt;&gt;"",DB_Customers!S55,""),"")</f>
        <v/>
      </c>
      <c r="G61" s="222" t="str">
        <f>IFERROR(IF(DB_Customers!G55&lt;&gt;"",DB_Customers!G55,""),"")</f>
        <v/>
      </c>
      <c r="H61" s="221" t="str">
        <f>IFERROR(IF(DB_Customers!H55&lt;&gt;"",DB_Customers!H55,""),"")</f>
        <v/>
      </c>
      <c r="I61" s="224" t="str">
        <f>IFERROR(IF(DB_Customers!I55&lt;&gt;"",DB_Customers!I55,""),"")</f>
        <v/>
      </c>
      <c r="J61" s="225" t="str">
        <f>IFERROR(IF(DB_Customers!J55&lt;&gt;"",DB_Customers!J55,""),"")</f>
        <v/>
      </c>
      <c r="K61" s="222" t="str">
        <f>IFERROR(IF(DB_Customers!E55&lt;&gt;"",DB_Customers!E55,""),"")</f>
        <v/>
      </c>
      <c r="L61" s="222" t="str">
        <f>IFERROR(IF(DB_Customers!F55&lt;&gt;"",DB_Customers!F55,""),"")</f>
        <v/>
      </c>
      <c r="M61" s="222" t="str">
        <f>IFERROR(IF(DB_Customers!T55&lt;&gt;"",DB_Customers!T55,""),"")</f>
        <v/>
      </c>
      <c r="N61" s="221" t="str">
        <f>IFERROR(IF(DB_Customers!A55&lt;&gt;"",IF(DB_Customers!I55&gt;=10,"Active","Inactive"),""),"")</f>
        <v/>
      </c>
    </row>
    <row r="62" spans="1:14" ht="18" customHeight="1" x14ac:dyDescent="0.25">
      <c r="A62" s="216" t="str">
        <f>IF(DB_Customers!A56&lt;&gt;"",ROW()-9,"")</f>
        <v/>
      </c>
      <c r="B62" s="216" t="str">
        <f>IFERROR(IF(DB_Customers!A56&lt;&gt;"",DB_Customers!A56,""),"")</f>
        <v/>
      </c>
      <c r="C62" s="217" t="str">
        <f>IFERROR(IF(DB_Customers!D56&lt;&gt;"",DB_Customers!D56,""),"")</f>
        <v/>
      </c>
      <c r="D62" s="218" t="str">
        <f>IFERROR(IF(DB_Customers!Q56&lt;&gt;"",DB_Customers!Q56,""),"")</f>
        <v/>
      </c>
      <c r="E62" s="216" t="str">
        <f>IFERROR(IF(DB_Customers!R56&lt;&gt;"",DB_Customers!R56,""),"")</f>
        <v/>
      </c>
      <c r="F62" s="217" t="str">
        <f>IFERROR(IF(DB_Customers!S56&lt;&gt;"",DB_Customers!S56,""),"")</f>
        <v/>
      </c>
      <c r="G62" s="217" t="str">
        <f>IFERROR(IF(DB_Customers!G56&lt;&gt;"",DB_Customers!G56,""),"")</f>
        <v/>
      </c>
      <c r="H62" s="216" t="str">
        <f>IFERROR(IF(DB_Customers!H56&lt;&gt;"",DB_Customers!H56,""),"")</f>
        <v/>
      </c>
      <c r="I62" s="219" t="str">
        <f>IFERROR(IF(DB_Customers!I56&lt;&gt;"",DB_Customers!I56,""),"")</f>
        <v/>
      </c>
      <c r="J62" s="220" t="str">
        <f>IFERROR(IF(DB_Customers!J56&lt;&gt;"",DB_Customers!J56,""),"")</f>
        <v/>
      </c>
      <c r="K62" s="217" t="str">
        <f>IFERROR(IF(DB_Customers!E56&lt;&gt;"",DB_Customers!E56,""),"")</f>
        <v/>
      </c>
      <c r="L62" s="217" t="str">
        <f>IFERROR(IF(DB_Customers!F56&lt;&gt;"",DB_Customers!F56,""),"")</f>
        <v/>
      </c>
      <c r="M62" s="217" t="str">
        <f>IFERROR(IF(DB_Customers!T56&lt;&gt;"",DB_Customers!T56,""),"")</f>
        <v/>
      </c>
      <c r="N62" s="216" t="str">
        <f>IFERROR(IF(DB_Customers!A56&lt;&gt;"",IF(DB_Customers!I56&gt;=10,"Active","Inactive"),""),"")</f>
        <v/>
      </c>
    </row>
    <row r="63" spans="1:14" ht="18" customHeight="1" x14ac:dyDescent="0.25">
      <c r="A63" s="221" t="str">
        <f>IF(DB_Customers!A57&lt;&gt;"",ROW()-9,"")</f>
        <v/>
      </c>
      <c r="B63" s="221" t="str">
        <f>IFERROR(IF(DB_Customers!A57&lt;&gt;"",DB_Customers!A57,""),"")</f>
        <v/>
      </c>
      <c r="C63" s="222" t="str">
        <f>IFERROR(IF(DB_Customers!D57&lt;&gt;"",DB_Customers!D57,""),"")</f>
        <v/>
      </c>
      <c r="D63" s="223" t="str">
        <f>IFERROR(IF(DB_Customers!Q57&lt;&gt;"",DB_Customers!Q57,""),"")</f>
        <v/>
      </c>
      <c r="E63" s="221" t="str">
        <f>IFERROR(IF(DB_Customers!R57&lt;&gt;"",DB_Customers!R57,""),"")</f>
        <v/>
      </c>
      <c r="F63" s="222" t="str">
        <f>IFERROR(IF(DB_Customers!S57&lt;&gt;"",DB_Customers!S57,""),"")</f>
        <v/>
      </c>
      <c r="G63" s="222" t="str">
        <f>IFERROR(IF(DB_Customers!G57&lt;&gt;"",DB_Customers!G57,""),"")</f>
        <v/>
      </c>
      <c r="H63" s="221" t="str">
        <f>IFERROR(IF(DB_Customers!H57&lt;&gt;"",DB_Customers!H57,""),"")</f>
        <v/>
      </c>
      <c r="I63" s="224" t="str">
        <f>IFERROR(IF(DB_Customers!I57&lt;&gt;"",DB_Customers!I57,""),"")</f>
        <v/>
      </c>
      <c r="J63" s="225" t="str">
        <f>IFERROR(IF(DB_Customers!J57&lt;&gt;"",DB_Customers!J57,""),"")</f>
        <v/>
      </c>
      <c r="K63" s="222" t="str">
        <f>IFERROR(IF(DB_Customers!E57&lt;&gt;"",DB_Customers!E57,""),"")</f>
        <v/>
      </c>
      <c r="L63" s="222" t="str">
        <f>IFERROR(IF(DB_Customers!F57&lt;&gt;"",DB_Customers!F57,""),"")</f>
        <v/>
      </c>
      <c r="M63" s="222" t="str">
        <f>IFERROR(IF(DB_Customers!T57&lt;&gt;"",DB_Customers!T57,""),"")</f>
        <v/>
      </c>
      <c r="N63" s="221" t="str">
        <f>IFERROR(IF(DB_Customers!A57&lt;&gt;"",IF(DB_Customers!I57&gt;=10,"Active","Inactive"),""),"")</f>
        <v/>
      </c>
    </row>
    <row r="64" spans="1:14" ht="18" customHeight="1" x14ac:dyDescent="0.25">
      <c r="A64" s="216" t="str">
        <f>IF(DB_Customers!A58&lt;&gt;"",ROW()-9,"")</f>
        <v/>
      </c>
      <c r="B64" s="216" t="str">
        <f>IFERROR(IF(DB_Customers!A58&lt;&gt;"",DB_Customers!A58,""),"")</f>
        <v/>
      </c>
      <c r="C64" s="217" t="str">
        <f>IFERROR(IF(DB_Customers!D58&lt;&gt;"",DB_Customers!D58,""),"")</f>
        <v/>
      </c>
      <c r="D64" s="218" t="str">
        <f>IFERROR(IF(DB_Customers!Q58&lt;&gt;"",DB_Customers!Q58,""),"")</f>
        <v/>
      </c>
      <c r="E64" s="216" t="str">
        <f>IFERROR(IF(DB_Customers!R58&lt;&gt;"",DB_Customers!R58,""),"")</f>
        <v/>
      </c>
      <c r="F64" s="217" t="str">
        <f>IFERROR(IF(DB_Customers!S58&lt;&gt;"",DB_Customers!S58,""),"")</f>
        <v/>
      </c>
      <c r="G64" s="217" t="str">
        <f>IFERROR(IF(DB_Customers!G58&lt;&gt;"",DB_Customers!G58,""),"")</f>
        <v/>
      </c>
      <c r="H64" s="216" t="str">
        <f>IFERROR(IF(DB_Customers!H58&lt;&gt;"",DB_Customers!H58,""),"")</f>
        <v/>
      </c>
      <c r="I64" s="219" t="str">
        <f>IFERROR(IF(DB_Customers!I58&lt;&gt;"",DB_Customers!I58,""),"")</f>
        <v/>
      </c>
      <c r="J64" s="220" t="str">
        <f>IFERROR(IF(DB_Customers!J58&lt;&gt;"",DB_Customers!J58,""),"")</f>
        <v/>
      </c>
      <c r="K64" s="217" t="str">
        <f>IFERROR(IF(DB_Customers!E58&lt;&gt;"",DB_Customers!E58,""),"")</f>
        <v/>
      </c>
      <c r="L64" s="217" t="str">
        <f>IFERROR(IF(DB_Customers!F58&lt;&gt;"",DB_Customers!F58,""),"")</f>
        <v/>
      </c>
      <c r="M64" s="217" t="str">
        <f>IFERROR(IF(DB_Customers!T58&lt;&gt;"",DB_Customers!T58,""),"")</f>
        <v/>
      </c>
      <c r="N64" s="216" t="str">
        <f>IFERROR(IF(DB_Customers!A58&lt;&gt;"",IF(DB_Customers!I58&gt;=10,"Active","Inactive"),""),"")</f>
        <v/>
      </c>
    </row>
    <row r="65" spans="1:14" ht="18" customHeight="1" x14ac:dyDescent="0.25">
      <c r="A65" s="221" t="str">
        <f>IF(DB_Customers!A59&lt;&gt;"",ROW()-9,"")</f>
        <v/>
      </c>
      <c r="B65" s="221" t="str">
        <f>IFERROR(IF(DB_Customers!A59&lt;&gt;"",DB_Customers!A59,""),"")</f>
        <v/>
      </c>
      <c r="C65" s="222" t="str">
        <f>IFERROR(IF(DB_Customers!D59&lt;&gt;"",DB_Customers!D59,""),"")</f>
        <v/>
      </c>
      <c r="D65" s="223" t="str">
        <f>IFERROR(IF(DB_Customers!Q59&lt;&gt;"",DB_Customers!Q59,""),"")</f>
        <v/>
      </c>
      <c r="E65" s="221" t="str">
        <f>IFERROR(IF(DB_Customers!R59&lt;&gt;"",DB_Customers!R59,""),"")</f>
        <v/>
      </c>
      <c r="F65" s="222" t="str">
        <f>IFERROR(IF(DB_Customers!S59&lt;&gt;"",DB_Customers!S59,""),"")</f>
        <v/>
      </c>
      <c r="G65" s="222" t="str">
        <f>IFERROR(IF(DB_Customers!G59&lt;&gt;"",DB_Customers!G59,""),"")</f>
        <v/>
      </c>
      <c r="H65" s="221" t="str">
        <f>IFERROR(IF(DB_Customers!H59&lt;&gt;"",DB_Customers!H59,""),"")</f>
        <v/>
      </c>
      <c r="I65" s="224" t="str">
        <f>IFERROR(IF(DB_Customers!I59&lt;&gt;"",DB_Customers!I59,""),"")</f>
        <v/>
      </c>
      <c r="J65" s="225" t="str">
        <f>IFERROR(IF(DB_Customers!J59&lt;&gt;"",DB_Customers!J59,""),"")</f>
        <v/>
      </c>
      <c r="K65" s="222" t="str">
        <f>IFERROR(IF(DB_Customers!E59&lt;&gt;"",DB_Customers!E59,""),"")</f>
        <v/>
      </c>
      <c r="L65" s="222" t="str">
        <f>IFERROR(IF(DB_Customers!F59&lt;&gt;"",DB_Customers!F59,""),"")</f>
        <v/>
      </c>
      <c r="M65" s="222" t="str">
        <f>IFERROR(IF(DB_Customers!T59&lt;&gt;"",DB_Customers!T59,""),"")</f>
        <v/>
      </c>
      <c r="N65" s="221" t="str">
        <f>IFERROR(IF(DB_Customers!A59&lt;&gt;"",IF(DB_Customers!I59&gt;=10,"Active","Inactive"),""),"")</f>
        <v/>
      </c>
    </row>
    <row r="66" spans="1:14" ht="18" customHeight="1" x14ac:dyDescent="0.25">
      <c r="A66" s="216" t="str">
        <f>IF(DB_Customers!A60&lt;&gt;"",ROW()-9,"")</f>
        <v/>
      </c>
      <c r="B66" s="216" t="str">
        <f>IFERROR(IF(DB_Customers!A60&lt;&gt;"",DB_Customers!A60,""),"")</f>
        <v/>
      </c>
      <c r="C66" s="217" t="str">
        <f>IFERROR(IF(DB_Customers!D60&lt;&gt;"",DB_Customers!D60,""),"")</f>
        <v/>
      </c>
      <c r="D66" s="218" t="str">
        <f>IFERROR(IF(DB_Customers!Q60&lt;&gt;"",DB_Customers!Q60,""),"")</f>
        <v/>
      </c>
      <c r="E66" s="216" t="str">
        <f>IFERROR(IF(DB_Customers!R60&lt;&gt;"",DB_Customers!R60,""),"")</f>
        <v/>
      </c>
      <c r="F66" s="217" t="str">
        <f>IFERROR(IF(DB_Customers!S60&lt;&gt;"",DB_Customers!S60,""),"")</f>
        <v/>
      </c>
      <c r="G66" s="217" t="str">
        <f>IFERROR(IF(DB_Customers!G60&lt;&gt;"",DB_Customers!G60,""),"")</f>
        <v/>
      </c>
      <c r="H66" s="216" t="str">
        <f>IFERROR(IF(DB_Customers!H60&lt;&gt;"",DB_Customers!H60,""),"")</f>
        <v/>
      </c>
      <c r="I66" s="219" t="str">
        <f>IFERROR(IF(DB_Customers!I60&lt;&gt;"",DB_Customers!I60,""),"")</f>
        <v/>
      </c>
      <c r="J66" s="220" t="str">
        <f>IFERROR(IF(DB_Customers!J60&lt;&gt;"",DB_Customers!J60,""),"")</f>
        <v/>
      </c>
      <c r="K66" s="217" t="str">
        <f>IFERROR(IF(DB_Customers!E60&lt;&gt;"",DB_Customers!E60,""),"")</f>
        <v/>
      </c>
      <c r="L66" s="217" t="str">
        <f>IFERROR(IF(DB_Customers!F60&lt;&gt;"",DB_Customers!F60,""),"")</f>
        <v/>
      </c>
      <c r="M66" s="217" t="str">
        <f>IFERROR(IF(DB_Customers!T60&lt;&gt;"",DB_Customers!T60,""),"")</f>
        <v/>
      </c>
      <c r="N66" s="216" t="str">
        <f>IFERROR(IF(DB_Customers!A60&lt;&gt;"",IF(DB_Customers!I60&gt;=10,"Active","Inactive"),""),"")</f>
        <v/>
      </c>
    </row>
    <row r="67" spans="1:14" ht="18" customHeight="1" x14ac:dyDescent="0.25">
      <c r="A67" s="221" t="str">
        <f>IF(DB_Customers!A61&lt;&gt;"",ROW()-9,"")</f>
        <v/>
      </c>
      <c r="B67" s="221" t="str">
        <f>IFERROR(IF(DB_Customers!A61&lt;&gt;"",DB_Customers!A61,""),"")</f>
        <v/>
      </c>
      <c r="C67" s="222" t="str">
        <f>IFERROR(IF(DB_Customers!D61&lt;&gt;"",DB_Customers!D61,""),"")</f>
        <v/>
      </c>
      <c r="D67" s="223" t="str">
        <f>IFERROR(IF(DB_Customers!Q61&lt;&gt;"",DB_Customers!Q61,""),"")</f>
        <v/>
      </c>
      <c r="E67" s="221" t="str">
        <f>IFERROR(IF(DB_Customers!R61&lt;&gt;"",DB_Customers!R61,""),"")</f>
        <v/>
      </c>
      <c r="F67" s="222" t="str">
        <f>IFERROR(IF(DB_Customers!S61&lt;&gt;"",DB_Customers!S61,""),"")</f>
        <v/>
      </c>
      <c r="G67" s="222" t="str">
        <f>IFERROR(IF(DB_Customers!G61&lt;&gt;"",DB_Customers!G61,""),"")</f>
        <v/>
      </c>
      <c r="H67" s="221" t="str">
        <f>IFERROR(IF(DB_Customers!H61&lt;&gt;"",DB_Customers!H61,""),"")</f>
        <v/>
      </c>
      <c r="I67" s="224" t="str">
        <f>IFERROR(IF(DB_Customers!I61&lt;&gt;"",DB_Customers!I61,""),"")</f>
        <v/>
      </c>
      <c r="J67" s="225" t="str">
        <f>IFERROR(IF(DB_Customers!J61&lt;&gt;"",DB_Customers!J61,""),"")</f>
        <v/>
      </c>
      <c r="K67" s="222" t="str">
        <f>IFERROR(IF(DB_Customers!E61&lt;&gt;"",DB_Customers!E61,""),"")</f>
        <v/>
      </c>
      <c r="L67" s="222" t="str">
        <f>IFERROR(IF(DB_Customers!F61&lt;&gt;"",DB_Customers!F61,""),"")</f>
        <v/>
      </c>
      <c r="M67" s="222" t="str">
        <f>IFERROR(IF(DB_Customers!T61&lt;&gt;"",DB_Customers!T61,""),"")</f>
        <v/>
      </c>
      <c r="N67" s="221" t="str">
        <f>IFERROR(IF(DB_Customers!A61&lt;&gt;"",IF(DB_Customers!I61&gt;=10,"Active","Inactive"),""),"")</f>
        <v/>
      </c>
    </row>
    <row r="68" spans="1:14" ht="18" customHeight="1" x14ac:dyDescent="0.25">
      <c r="A68" s="216" t="str">
        <f>IF(DB_Customers!A62&lt;&gt;"",ROW()-9,"")</f>
        <v/>
      </c>
      <c r="B68" s="216" t="str">
        <f>IFERROR(IF(DB_Customers!A62&lt;&gt;"",DB_Customers!A62,""),"")</f>
        <v/>
      </c>
      <c r="C68" s="217" t="str">
        <f>IFERROR(IF(DB_Customers!D62&lt;&gt;"",DB_Customers!D62,""),"")</f>
        <v/>
      </c>
      <c r="D68" s="218" t="str">
        <f>IFERROR(IF(DB_Customers!Q62&lt;&gt;"",DB_Customers!Q62,""),"")</f>
        <v/>
      </c>
      <c r="E68" s="216" t="str">
        <f>IFERROR(IF(DB_Customers!R62&lt;&gt;"",DB_Customers!R62,""),"")</f>
        <v/>
      </c>
      <c r="F68" s="217" t="str">
        <f>IFERROR(IF(DB_Customers!S62&lt;&gt;"",DB_Customers!S62,""),"")</f>
        <v/>
      </c>
      <c r="G68" s="217" t="str">
        <f>IFERROR(IF(DB_Customers!G62&lt;&gt;"",DB_Customers!G62,""),"")</f>
        <v/>
      </c>
      <c r="H68" s="216" t="str">
        <f>IFERROR(IF(DB_Customers!H62&lt;&gt;"",DB_Customers!H62,""),"")</f>
        <v/>
      </c>
      <c r="I68" s="219" t="str">
        <f>IFERROR(IF(DB_Customers!I62&lt;&gt;"",DB_Customers!I62,""),"")</f>
        <v/>
      </c>
      <c r="J68" s="220" t="str">
        <f>IFERROR(IF(DB_Customers!J62&lt;&gt;"",DB_Customers!J62,""),"")</f>
        <v/>
      </c>
      <c r="K68" s="217" t="str">
        <f>IFERROR(IF(DB_Customers!E62&lt;&gt;"",DB_Customers!E62,""),"")</f>
        <v/>
      </c>
      <c r="L68" s="217" t="str">
        <f>IFERROR(IF(DB_Customers!F62&lt;&gt;"",DB_Customers!F62,""),"")</f>
        <v/>
      </c>
      <c r="M68" s="217" t="str">
        <f>IFERROR(IF(DB_Customers!T62&lt;&gt;"",DB_Customers!T62,""),"")</f>
        <v/>
      </c>
      <c r="N68" s="216" t="str">
        <f>IFERROR(IF(DB_Customers!A62&lt;&gt;"",IF(DB_Customers!I62&gt;=10,"Active","Inactive"),""),"")</f>
        <v/>
      </c>
    </row>
    <row r="69" spans="1:14" ht="18" customHeight="1" x14ac:dyDescent="0.25">
      <c r="A69" s="221" t="str">
        <f>IF(DB_Customers!A63&lt;&gt;"",ROW()-9,"")</f>
        <v/>
      </c>
      <c r="B69" s="221" t="str">
        <f>IFERROR(IF(DB_Customers!A63&lt;&gt;"",DB_Customers!A63,""),"")</f>
        <v/>
      </c>
      <c r="C69" s="222" t="str">
        <f>IFERROR(IF(DB_Customers!D63&lt;&gt;"",DB_Customers!D63,""),"")</f>
        <v/>
      </c>
      <c r="D69" s="223" t="str">
        <f>IFERROR(IF(DB_Customers!Q63&lt;&gt;"",DB_Customers!Q63,""),"")</f>
        <v/>
      </c>
      <c r="E69" s="221" t="str">
        <f>IFERROR(IF(DB_Customers!R63&lt;&gt;"",DB_Customers!R63,""),"")</f>
        <v/>
      </c>
      <c r="F69" s="222" t="str">
        <f>IFERROR(IF(DB_Customers!S63&lt;&gt;"",DB_Customers!S63,""),"")</f>
        <v/>
      </c>
      <c r="G69" s="222" t="str">
        <f>IFERROR(IF(DB_Customers!G63&lt;&gt;"",DB_Customers!G63,""),"")</f>
        <v/>
      </c>
      <c r="H69" s="221" t="str">
        <f>IFERROR(IF(DB_Customers!H63&lt;&gt;"",DB_Customers!H63,""),"")</f>
        <v/>
      </c>
      <c r="I69" s="224" t="str">
        <f>IFERROR(IF(DB_Customers!I63&lt;&gt;"",DB_Customers!I63,""),"")</f>
        <v/>
      </c>
      <c r="J69" s="225" t="str">
        <f>IFERROR(IF(DB_Customers!J63&lt;&gt;"",DB_Customers!J63,""),"")</f>
        <v/>
      </c>
      <c r="K69" s="222" t="str">
        <f>IFERROR(IF(DB_Customers!E63&lt;&gt;"",DB_Customers!E63,""),"")</f>
        <v/>
      </c>
      <c r="L69" s="222" t="str">
        <f>IFERROR(IF(DB_Customers!F63&lt;&gt;"",DB_Customers!F63,""),"")</f>
        <v/>
      </c>
      <c r="M69" s="222" t="str">
        <f>IFERROR(IF(DB_Customers!T63&lt;&gt;"",DB_Customers!T63,""),"")</f>
        <v/>
      </c>
      <c r="N69" s="221" t="str">
        <f>IFERROR(IF(DB_Customers!A63&lt;&gt;"",IF(DB_Customers!I63&gt;=10,"Active","Inactive"),""),"")</f>
        <v/>
      </c>
    </row>
    <row r="70" spans="1:14" ht="18" customHeight="1" x14ac:dyDescent="0.25">
      <c r="A70" s="216" t="str">
        <f>IF(DB_Customers!A64&lt;&gt;"",ROW()-9,"")</f>
        <v/>
      </c>
      <c r="B70" s="216" t="str">
        <f>IFERROR(IF(DB_Customers!A64&lt;&gt;"",DB_Customers!A64,""),"")</f>
        <v/>
      </c>
      <c r="C70" s="217" t="str">
        <f>IFERROR(IF(DB_Customers!D64&lt;&gt;"",DB_Customers!D64,""),"")</f>
        <v/>
      </c>
      <c r="D70" s="218" t="str">
        <f>IFERROR(IF(DB_Customers!Q64&lt;&gt;"",DB_Customers!Q64,""),"")</f>
        <v/>
      </c>
      <c r="E70" s="216" t="str">
        <f>IFERROR(IF(DB_Customers!R64&lt;&gt;"",DB_Customers!R64,""),"")</f>
        <v/>
      </c>
      <c r="F70" s="217" t="str">
        <f>IFERROR(IF(DB_Customers!S64&lt;&gt;"",DB_Customers!S64,""),"")</f>
        <v/>
      </c>
      <c r="G70" s="217" t="str">
        <f>IFERROR(IF(DB_Customers!G64&lt;&gt;"",DB_Customers!G64,""),"")</f>
        <v/>
      </c>
      <c r="H70" s="216" t="str">
        <f>IFERROR(IF(DB_Customers!H64&lt;&gt;"",DB_Customers!H64,""),"")</f>
        <v/>
      </c>
      <c r="I70" s="219" t="str">
        <f>IFERROR(IF(DB_Customers!I64&lt;&gt;"",DB_Customers!I64,""),"")</f>
        <v/>
      </c>
      <c r="J70" s="220" t="str">
        <f>IFERROR(IF(DB_Customers!J64&lt;&gt;"",DB_Customers!J64,""),"")</f>
        <v/>
      </c>
      <c r="K70" s="217" t="str">
        <f>IFERROR(IF(DB_Customers!E64&lt;&gt;"",DB_Customers!E64,""),"")</f>
        <v/>
      </c>
      <c r="L70" s="217" t="str">
        <f>IFERROR(IF(DB_Customers!F64&lt;&gt;"",DB_Customers!F64,""),"")</f>
        <v/>
      </c>
      <c r="M70" s="217" t="str">
        <f>IFERROR(IF(DB_Customers!T64&lt;&gt;"",DB_Customers!T64,""),"")</f>
        <v/>
      </c>
      <c r="N70" s="216" t="str">
        <f>IFERROR(IF(DB_Customers!A64&lt;&gt;"",IF(DB_Customers!I64&gt;=10,"Active","Inactive"),""),"")</f>
        <v/>
      </c>
    </row>
    <row r="71" spans="1:14" ht="18" customHeight="1" x14ac:dyDescent="0.25">
      <c r="A71" s="221" t="str">
        <f>IF(DB_Customers!A65&lt;&gt;"",ROW()-9,"")</f>
        <v/>
      </c>
      <c r="B71" s="221" t="str">
        <f>IFERROR(IF(DB_Customers!A65&lt;&gt;"",DB_Customers!A65,""),"")</f>
        <v/>
      </c>
      <c r="C71" s="222" t="str">
        <f>IFERROR(IF(DB_Customers!D65&lt;&gt;"",DB_Customers!D65,""),"")</f>
        <v/>
      </c>
      <c r="D71" s="223" t="str">
        <f>IFERROR(IF(DB_Customers!Q65&lt;&gt;"",DB_Customers!Q65,""),"")</f>
        <v/>
      </c>
      <c r="E71" s="221" t="str">
        <f>IFERROR(IF(DB_Customers!R65&lt;&gt;"",DB_Customers!R65,""),"")</f>
        <v/>
      </c>
      <c r="F71" s="222" t="str">
        <f>IFERROR(IF(DB_Customers!S65&lt;&gt;"",DB_Customers!S65,""),"")</f>
        <v/>
      </c>
      <c r="G71" s="222" t="str">
        <f>IFERROR(IF(DB_Customers!G65&lt;&gt;"",DB_Customers!G65,""),"")</f>
        <v/>
      </c>
      <c r="H71" s="221" t="str">
        <f>IFERROR(IF(DB_Customers!H65&lt;&gt;"",DB_Customers!H65,""),"")</f>
        <v/>
      </c>
      <c r="I71" s="224" t="str">
        <f>IFERROR(IF(DB_Customers!I65&lt;&gt;"",DB_Customers!I65,""),"")</f>
        <v/>
      </c>
      <c r="J71" s="225" t="str">
        <f>IFERROR(IF(DB_Customers!J65&lt;&gt;"",DB_Customers!J65,""),"")</f>
        <v/>
      </c>
      <c r="K71" s="222" t="str">
        <f>IFERROR(IF(DB_Customers!E65&lt;&gt;"",DB_Customers!E65,""),"")</f>
        <v/>
      </c>
      <c r="L71" s="222" t="str">
        <f>IFERROR(IF(DB_Customers!F65&lt;&gt;"",DB_Customers!F65,""),"")</f>
        <v/>
      </c>
      <c r="M71" s="222" t="str">
        <f>IFERROR(IF(DB_Customers!T65&lt;&gt;"",DB_Customers!T65,""),"")</f>
        <v/>
      </c>
      <c r="N71" s="221" t="str">
        <f>IFERROR(IF(DB_Customers!A65&lt;&gt;"",IF(DB_Customers!I65&gt;=10,"Active","Inactive"),""),"")</f>
        <v/>
      </c>
    </row>
    <row r="72" spans="1:14" ht="18" customHeight="1" x14ac:dyDescent="0.25">
      <c r="A72" s="216" t="str">
        <f>IF(DB_Customers!A66&lt;&gt;"",ROW()-9,"")</f>
        <v/>
      </c>
      <c r="B72" s="216" t="str">
        <f>IFERROR(IF(DB_Customers!A66&lt;&gt;"",DB_Customers!A66,""),"")</f>
        <v/>
      </c>
      <c r="C72" s="217" t="str">
        <f>IFERROR(IF(DB_Customers!D66&lt;&gt;"",DB_Customers!D66,""),"")</f>
        <v/>
      </c>
      <c r="D72" s="218" t="str">
        <f>IFERROR(IF(DB_Customers!Q66&lt;&gt;"",DB_Customers!Q66,""),"")</f>
        <v/>
      </c>
      <c r="E72" s="216" t="str">
        <f>IFERROR(IF(DB_Customers!R66&lt;&gt;"",DB_Customers!R66,""),"")</f>
        <v/>
      </c>
      <c r="F72" s="217" t="str">
        <f>IFERROR(IF(DB_Customers!S66&lt;&gt;"",DB_Customers!S66,""),"")</f>
        <v/>
      </c>
      <c r="G72" s="217" t="str">
        <f>IFERROR(IF(DB_Customers!G66&lt;&gt;"",DB_Customers!G66,""),"")</f>
        <v/>
      </c>
      <c r="H72" s="216" t="str">
        <f>IFERROR(IF(DB_Customers!H66&lt;&gt;"",DB_Customers!H66,""),"")</f>
        <v/>
      </c>
      <c r="I72" s="219" t="str">
        <f>IFERROR(IF(DB_Customers!I66&lt;&gt;"",DB_Customers!I66,""),"")</f>
        <v/>
      </c>
      <c r="J72" s="220" t="str">
        <f>IFERROR(IF(DB_Customers!J66&lt;&gt;"",DB_Customers!J66,""),"")</f>
        <v/>
      </c>
      <c r="K72" s="217" t="str">
        <f>IFERROR(IF(DB_Customers!E66&lt;&gt;"",DB_Customers!E66,""),"")</f>
        <v/>
      </c>
      <c r="L72" s="217" t="str">
        <f>IFERROR(IF(DB_Customers!F66&lt;&gt;"",DB_Customers!F66,""),"")</f>
        <v/>
      </c>
      <c r="M72" s="217" t="str">
        <f>IFERROR(IF(DB_Customers!T66&lt;&gt;"",DB_Customers!T66,""),"")</f>
        <v/>
      </c>
      <c r="N72" s="216" t="str">
        <f>IFERROR(IF(DB_Customers!A66&lt;&gt;"",IF(DB_Customers!I66&gt;=10,"Active","Inactive"),""),"")</f>
        <v/>
      </c>
    </row>
    <row r="73" spans="1:14" ht="18" customHeight="1" x14ac:dyDescent="0.25">
      <c r="A73" s="221" t="str">
        <f>IF(DB_Customers!A67&lt;&gt;"",ROW()-9,"")</f>
        <v/>
      </c>
      <c r="B73" s="221" t="str">
        <f>IFERROR(IF(DB_Customers!A67&lt;&gt;"",DB_Customers!A67,""),"")</f>
        <v/>
      </c>
      <c r="C73" s="222" t="str">
        <f>IFERROR(IF(DB_Customers!D67&lt;&gt;"",DB_Customers!D67,""),"")</f>
        <v/>
      </c>
      <c r="D73" s="223" t="str">
        <f>IFERROR(IF(DB_Customers!Q67&lt;&gt;"",DB_Customers!Q67,""),"")</f>
        <v/>
      </c>
      <c r="E73" s="221" t="str">
        <f>IFERROR(IF(DB_Customers!R67&lt;&gt;"",DB_Customers!R67,""),"")</f>
        <v/>
      </c>
      <c r="F73" s="222" t="str">
        <f>IFERROR(IF(DB_Customers!S67&lt;&gt;"",DB_Customers!S67,""),"")</f>
        <v/>
      </c>
      <c r="G73" s="222" t="str">
        <f>IFERROR(IF(DB_Customers!G67&lt;&gt;"",DB_Customers!G67,""),"")</f>
        <v/>
      </c>
      <c r="H73" s="221" t="str">
        <f>IFERROR(IF(DB_Customers!H67&lt;&gt;"",DB_Customers!H67,""),"")</f>
        <v/>
      </c>
      <c r="I73" s="224" t="str">
        <f>IFERROR(IF(DB_Customers!I67&lt;&gt;"",DB_Customers!I67,""),"")</f>
        <v/>
      </c>
      <c r="J73" s="225" t="str">
        <f>IFERROR(IF(DB_Customers!J67&lt;&gt;"",DB_Customers!J67,""),"")</f>
        <v/>
      </c>
      <c r="K73" s="222" t="str">
        <f>IFERROR(IF(DB_Customers!E67&lt;&gt;"",DB_Customers!E67,""),"")</f>
        <v/>
      </c>
      <c r="L73" s="222" t="str">
        <f>IFERROR(IF(DB_Customers!F67&lt;&gt;"",DB_Customers!F67,""),"")</f>
        <v/>
      </c>
      <c r="M73" s="222" t="str">
        <f>IFERROR(IF(DB_Customers!T67&lt;&gt;"",DB_Customers!T67,""),"")</f>
        <v/>
      </c>
      <c r="N73" s="221" t="str">
        <f>IFERROR(IF(DB_Customers!A67&lt;&gt;"",IF(DB_Customers!I67&gt;=10,"Active","Inactive"),""),"")</f>
        <v/>
      </c>
    </row>
    <row r="74" spans="1:14" ht="18" customHeight="1" x14ac:dyDescent="0.25">
      <c r="A74" s="216" t="str">
        <f>IF(DB_Customers!A68&lt;&gt;"",ROW()-9,"")</f>
        <v/>
      </c>
      <c r="B74" s="216" t="str">
        <f>IFERROR(IF(DB_Customers!A68&lt;&gt;"",DB_Customers!A68,""),"")</f>
        <v/>
      </c>
      <c r="C74" s="217" t="str">
        <f>IFERROR(IF(DB_Customers!D68&lt;&gt;"",DB_Customers!D68,""),"")</f>
        <v/>
      </c>
      <c r="D74" s="218" t="str">
        <f>IFERROR(IF(DB_Customers!Q68&lt;&gt;"",DB_Customers!Q68,""),"")</f>
        <v/>
      </c>
      <c r="E74" s="216" t="str">
        <f>IFERROR(IF(DB_Customers!R68&lt;&gt;"",DB_Customers!R68,""),"")</f>
        <v/>
      </c>
      <c r="F74" s="217" t="str">
        <f>IFERROR(IF(DB_Customers!S68&lt;&gt;"",DB_Customers!S68,""),"")</f>
        <v/>
      </c>
      <c r="G74" s="217" t="str">
        <f>IFERROR(IF(DB_Customers!G68&lt;&gt;"",DB_Customers!G68,""),"")</f>
        <v/>
      </c>
      <c r="H74" s="216" t="str">
        <f>IFERROR(IF(DB_Customers!H68&lt;&gt;"",DB_Customers!H68,""),"")</f>
        <v/>
      </c>
      <c r="I74" s="219" t="str">
        <f>IFERROR(IF(DB_Customers!I68&lt;&gt;"",DB_Customers!I68,""),"")</f>
        <v/>
      </c>
      <c r="J74" s="220" t="str">
        <f>IFERROR(IF(DB_Customers!J68&lt;&gt;"",DB_Customers!J68,""),"")</f>
        <v/>
      </c>
      <c r="K74" s="217" t="str">
        <f>IFERROR(IF(DB_Customers!E68&lt;&gt;"",DB_Customers!E68,""),"")</f>
        <v/>
      </c>
      <c r="L74" s="217" t="str">
        <f>IFERROR(IF(DB_Customers!F68&lt;&gt;"",DB_Customers!F68,""),"")</f>
        <v/>
      </c>
      <c r="M74" s="217" t="str">
        <f>IFERROR(IF(DB_Customers!T68&lt;&gt;"",DB_Customers!T68,""),"")</f>
        <v/>
      </c>
      <c r="N74" s="216" t="str">
        <f>IFERROR(IF(DB_Customers!A68&lt;&gt;"",IF(DB_Customers!I68&gt;=10,"Active","Inactive"),""),"")</f>
        <v/>
      </c>
    </row>
    <row r="75" spans="1:14" ht="18" customHeight="1" x14ac:dyDescent="0.25">
      <c r="A75" s="221" t="str">
        <f>IF(DB_Customers!A69&lt;&gt;"",ROW()-9,"")</f>
        <v/>
      </c>
      <c r="B75" s="221" t="str">
        <f>IFERROR(IF(DB_Customers!A69&lt;&gt;"",DB_Customers!A69,""),"")</f>
        <v/>
      </c>
      <c r="C75" s="222" t="str">
        <f>IFERROR(IF(DB_Customers!D69&lt;&gt;"",DB_Customers!D69,""),"")</f>
        <v/>
      </c>
      <c r="D75" s="223" t="str">
        <f>IFERROR(IF(DB_Customers!Q69&lt;&gt;"",DB_Customers!Q69,""),"")</f>
        <v/>
      </c>
      <c r="E75" s="221" t="str">
        <f>IFERROR(IF(DB_Customers!R69&lt;&gt;"",DB_Customers!R69,""),"")</f>
        <v/>
      </c>
      <c r="F75" s="222" t="str">
        <f>IFERROR(IF(DB_Customers!S69&lt;&gt;"",DB_Customers!S69,""),"")</f>
        <v/>
      </c>
      <c r="G75" s="222" t="str">
        <f>IFERROR(IF(DB_Customers!G69&lt;&gt;"",DB_Customers!G69,""),"")</f>
        <v/>
      </c>
      <c r="H75" s="221" t="str">
        <f>IFERROR(IF(DB_Customers!H69&lt;&gt;"",DB_Customers!H69,""),"")</f>
        <v/>
      </c>
      <c r="I75" s="224" t="str">
        <f>IFERROR(IF(DB_Customers!I69&lt;&gt;"",DB_Customers!I69,""),"")</f>
        <v/>
      </c>
      <c r="J75" s="225" t="str">
        <f>IFERROR(IF(DB_Customers!J69&lt;&gt;"",DB_Customers!J69,""),"")</f>
        <v/>
      </c>
      <c r="K75" s="222" t="str">
        <f>IFERROR(IF(DB_Customers!E69&lt;&gt;"",DB_Customers!E69,""),"")</f>
        <v/>
      </c>
      <c r="L75" s="222" t="str">
        <f>IFERROR(IF(DB_Customers!F69&lt;&gt;"",DB_Customers!F69,""),"")</f>
        <v/>
      </c>
      <c r="M75" s="222" t="str">
        <f>IFERROR(IF(DB_Customers!T69&lt;&gt;"",DB_Customers!T69,""),"")</f>
        <v/>
      </c>
      <c r="N75" s="221" t="str">
        <f>IFERROR(IF(DB_Customers!A69&lt;&gt;"",IF(DB_Customers!I69&gt;=10,"Active","Inactive"),""),"")</f>
        <v/>
      </c>
    </row>
    <row r="76" spans="1:14" ht="18" customHeight="1" x14ac:dyDescent="0.25">
      <c r="A76" s="216" t="str">
        <f>IF(DB_Customers!A70&lt;&gt;"",ROW()-9,"")</f>
        <v/>
      </c>
      <c r="B76" s="216" t="str">
        <f>IFERROR(IF(DB_Customers!A70&lt;&gt;"",DB_Customers!A70,""),"")</f>
        <v/>
      </c>
      <c r="C76" s="217" t="str">
        <f>IFERROR(IF(DB_Customers!D70&lt;&gt;"",DB_Customers!D70,""),"")</f>
        <v/>
      </c>
      <c r="D76" s="218" t="str">
        <f>IFERROR(IF(DB_Customers!Q70&lt;&gt;"",DB_Customers!Q70,""),"")</f>
        <v/>
      </c>
      <c r="E76" s="216" t="str">
        <f>IFERROR(IF(DB_Customers!R70&lt;&gt;"",DB_Customers!R70,""),"")</f>
        <v/>
      </c>
      <c r="F76" s="217" t="str">
        <f>IFERROR(IF(DB_Customers!S70&lt;&gt;"",DB_Customers!S70,""),"")</f>
        <v/>
      </c>
      <c r="G76" s="217" t="str">
        <f>IFERROR(IF(DB_Customers!G70&lt;&gt;"",DB_Customers!G70,""),"")</f>
        <v/>
      </c>
      <c r="H76" s="216" t="str">
        <f>IFERROR(IF(DB_Customers!H70&lt;&gt;"",DB_Customers!H70,""),"")</f>
        <v/>
      </c>
      <c r="I76" s="219" t="str">
        <f>IFERROR(IF(DB_Customers!I70&lt;&gt;"",DB_Customers!I70,""),"")</f>
        <v/>
      </c>
      <c r="J76" s="220" t="str">
        <f>IFERROR(IF(DB_Customers!J70&lt;&gt;"",DB_Customers!J70,""),"")</f>
        <v/>
      </c>
      <c r="K76" s="217" t="str">
        <f>IFERROR(IF(DB_Customers!E70&lt;&gt;"",DB_Customers!E70,""),"")</f>
        <v/>
      </c>
      <c r="L76" s="217" t="str">
        <f>IFERROR(IF(DB_Customers!F70&lt;&gt;"",DB_Customers!F70,""),"")</f>
        <v/>
      </c>
      <c r="M76" s="217" t="str">
        <f>IFERROR(IF(DB_Customers!T70&lt;&gt;"",DB_Customers!T70,""),"")</f>
        <v/>
      </c>
      <c r="N76" s="216" t="str">
        <f>IFERROR(IF(DB_Customers!A70&lt;&gt;"",IF(DB_Customers!I70&gt;=10,"Active","Inactive"),""),"")</f>
        <v/>
      </c>
    </row>
    <row r="77" spans="1:14" ht="18" customHeight="1" x14ac:dyDescent="0.25">
      <c r="A77" s="221" t="str">
        <f>IF(DB_Customers!A71&lt;&gt;"",ROW()-9,"")</f>
        <v/>
      </c>
      <c r="B77" s="221" t="str">
        <f>IFERROR(IF(DB_Customers!A71&lt;&gt;"",DB_Customers!A71,""),"")</f>
        <v/>
      </c>
      <c r="C77" s="222" t="str">
        <f>IFERROR(IF(DB_Customers!D71&lt;&gt;"",DB_Customers!D71,""),"")</f>
        <v/>
      </c>
      <c r="D77" s="223" t="str">
        <f>IFERROR(IF(DB_Customers!Q71&lt;&gt;"",DB_Customers!Q71,""),"")</f>
        <v/>
      </c>
      <c r="E77" s="221" t="str">
        <f>IFERROR(IF(DB_Customers!R71&lt;&gt;"",DB_Customers!R71,""),"")</f>
        <v/>
      </c>
      <c r="F77" s="222" t="str">
        <f>IFERROR(IF(DB_Customers!S71&lt;&gt;"",DB_Customers!S71,""),"")</f>
        <v/>
      </c>
      <c r="G77" s="222" t="str">
        <f>IFERROR(IF(DB_Customers!G71&lt;&gt;"",DB_Customers!G71,""),"")</f>
        <v/>
      </c>
      <c r="H77" s="221" t="str">
        <f>IFERROR(IF(DB_Customers!H71&lt;&gt;"",DB_Customers!H71,""),"")</f>
        <v/>
      </c>
      <c r="I77" s="224" t="str">
        <f>IFERROR(IF(DB_Customers!I71&lt;&gt;"",DB_Customers!I71,""),"")</f>
        <v/>
      </c>
      <c r="J77" s="225" t="str">
        <f>IFERROR(IF(DB_Customers!J71&lt;&gt;"",DB_Customers!J71,""),"")</f>
        <v/>
      </c>
      <c r="K77" s="222" t="str">
        <f>IFERROR(IF(DB_Customers!E71&lt;&gt;"",DB_Customers!E71,""),"")</f>
        <v/>
      </c>
      <c r="L77" s="222" t="str">
        <f>IFERROR(IF(DB_Customers!F71&lt;&gt;"",DB_Customers!F71,""),"")</f>
        <v/>
      </c>
      <c r="M77" s="222" t="str">
        <f>IFERROR(IF(DB_Customers!T71&lt;&gt;"",DB_Customers!T71,""),"")</f>
        <v/>
      </c>
      <c r="N77" s="221" t="str">
        <f>IFERROR(IF(DB_Customers!A71&lt;&gt;"",IF(DB_Customers!I71&gt;=10,"Active","Inactive"),""),"")</f>
        <v/>
      </c>
    </row>
    <row r="78" spans="1:14" ht="18" customHeight="1" x14ac:dyDescent="0.25">
      <c r="A78" s="216" t="str">
        <f>IF(DB_Customers!A72&lt;&gt;"",ROW()-9,"")</f>
        <v/>
      </c>
      <c r="B78" s="216" t="str">
        <f>IFERROR(IF(DB_Customers!A72&lt;&gt;"",DB_Customers!A72,""),"")</f>
        <v/>
      </c>
      <c r="C78" s="217" t="str">
        <f>IFERROR(IF(DB_Customers!D72&lt;&gt;"",DB_Customers!D72,""),"")</f>
        <v/>
      </c>
      <c r="D78" s="218" t="str">
        <f>IFERROR(IF(DB_Customers!Q72&lt;&gt;"",DB_Customers!Q72,""),"")</f>
        <v/>
      </c>
      <c r="E78" s="216" t="str">
        <f>IFERROR(IF(DB_Customers!R72&lt;&gt;"",DB_Customers!R72,""),"")</f>
        <v/>
      </c>
      <c r="F78" s="217" t="str">
        <f>IFERROR(IF(DB_Customers!S72&lt;&gt;"",DB_Customers!S72,""),"")</f>
        <v/>
      </c>
      <c r="G78" s="217" t="str">
        <f>IFERROR(IF(DB_Customers!G72&lt;&gt;"",DB_Customers!G72,""),"")</f>
        <v/>
      </c>
      <c r="H78" s="216" t="str">
        <f>IFERROR(IF(DB_Customers!H72&lt;&gt;"",DB_Customers!H72,""),"")</f>
        <v/>
      </c>
      <c r="I78" s="219" t="str">
        <f>IFERROR(IF(DB_Customers!I72&lt;&gt;"",DB_Customers!I72,""),"")</f>
        <v/>
      </c>
      <c r="J78" s="220" t="str">
        <f>IFERROR(IF(DB_Customers!J72&lt;&gt;"",DB_Customers!J72,""),"")</f>
        <v/>
      </c>
      <c r="K78" s="217" t="str">
        <f>IFERROR(IF(DB_Customers!E72&lt;&gt;"",DB_Customers!E72,""),"")</f>
        <v/>
      </c>
      <c r="L78" s="217" t="str">
        <f>IFERROR(IF(DB_Customers!F72&lt;&gt;"",DB_Customers!F72,""),"")</f>
        <v/>
      </c>
      <c r="M78" s="217" t="str">
        <f>IFERROR(IF(DB_Customers!T72&lt;&gt;"",DB_Customers!T72,""),"")</f>
        <v/>
      </c>
      <c r="N78" s="216" t="str">
        <f>IFERROR(IF(DB_Customers!A72&lt;&gt;"",IF(DB_Customers!I72&gt;=10,"Active","Inactive"),""),"")</f>
        <v/>
      </c>
    </row>
    <row r="79" spans="1:14" ht="18" customHeight="1" x14ac:dyDescent="0.25">
      <c r="A79" s="221" t="str">
        <f>IF(DB_Customers!A73&lt;&gt;"",ROW()-9,"")</f>
        <v/>
      </c>
      <c r="B79" s="221" t="str">
        <f>IFERROR(IF(DB_Customers!A73&lt;&gt;"",DB_Customers!A73,""),"")</f>
        <v/>
      </c>
      <c r="C79" s="222" t="str">
        <f>IFERROR(IF(DB_Customers!D73&lt;&gt;"",DB_Customers!D73,""),"")</f>
        <v/>
      </c>
      <c r="D79" s="223" t="str">
        <f>IFERROR(IF(DB_Customers!Q73&lt;&gt;"",DB_Customers!Q73,""),"")</f>
        <v/>
      </c>
      <c r="E79" s="221" t="str">
        <f>IFERROR(IF(DB_Customers!R73&lt;&gt;"",DB_Customers!R73,""),"")</f>
        <v/>
      </c>
      <c r="F79" s="222" t="str">
        <f>IFERROR(IF(DB_Customers!S73&lt;&gt;"",DB_Customers!S73,""),"")</f>
        <v/>
      </c>
      <c r="G79" s="222" t="str">
        <f>IFERROR(IF(DB_Customers!G73&lt;&gt;"",DB_Customers!G73,""),"")</f>
        <v/>
      </c>
      <c r="H79" s="221" t="str">
        <f>IFERROR(IF(DB_Customers!H73&lt;&gt;"",DB_Customers!H73,""),"")</f>
        <v/>
      </c>
      <c r="I79" s="224" t="str">
        <f>IFERROR(IF(DB_Customers!I73&lt;&gt;"",DB_Customers!I73,""),"")</f>
        <v/>
      </c>
      <c r="J79" s="225" t="str">
        <f>IFERROR(IF(DB_Customers!J73&lt;&gt;"",DB_Customers!J73,""),"")</f>
        <v/>
      </c>
      <c r="K79" s="222" t="str">
        <f>IFERROR(IF(DB_Customers!E73&lt;&gt;"",DB_Customers!E73,""),"")</f>
        <v/>
      </c>
      <c r="L79" s="222" t="str">
        <f>IFERROR(IF(DB_Customers!F73&lt;&gt;"",DB_Customers!F73,""),"")</f>
        <v/>
      </c>
      <c r="M79" s="222" t="str">
        <f>IFERROR(IF(DB_Customers!T73&lt;&gt;"",DB_Customers!T73,""),"")</f>
        <v/>
      </c>
      <c r="N79" s="221" t="str">
        <f>IFERROR(IF(DB_Customers!A73&lt;&gt;"",IF(DB_Customers!I73&gt;=10,"Active","Inactive"),""),"")</f>
        <v/>
      </c>
    </row>
    <row r="80" spans="1:14" ht="18" customHeight="1" x14ac:dyDescent="0.25">
      <c r="A80" s="216" t="str">
        <f>IF(DB_Customers!A74&lt;&gt;"",ROW()-9,"")</f>
        <v/>
      </c>
      <c r="B80" s="216" t="str">
        <f>IFERROR(IF(DB_Customers!A74&lt;&gt;"",DB_Customers!A74,""),"")</f>
        <v/>
      </c>
      <c r="C80" s="217" t="str">
        <f>IFERROR(IF(DB_Customers!D74&lt;&gt;"",DB_Customers!D74,""),"")</f>
        <v/>
      </c>
      <c r="D80" s="218" t="str">
        <f>IFERROR(IF(DB_Customers!Q74&lt;&gt;"",DB_Customers!Q74,""),"")</f>
        <v/>
      </c>
      <c r="E80" s="216" t="str">
        <f>IFERROR(IF(DB_Customers!R74&lt;&gt;"",DB_Customers!R74,""),"")</f>
        <v/>
      </c>
      <c r="F80" s="217" t="str">
        <f>IFERROR(IF(DB_Customers!S74&lt;&gt;"",DB_Customers!S74,""),"")</f>
        <v/>
      </c>
      <c r="G80" s="217" t="str">
        <f>IFERROR(IF(DB_Customers!G74&lt;&gt;"",DB_Customers!G74,""),"")</f>
        <v/>
      </c>
      <c r="H80" s="216" t="str">
        <f>IFERROR(IF(DB_Customers!H74&lt;&gt;"",DB_Customers!H74,""),"")</f>
        <v/>
      </c>
      <c r="I80" s="219" t="str">
        <f>IFERROR(IF(DB_Customers!I74&lt;&gt;"",DB_Customers!I74,""),"")</f>
        <v/>
      </c>
      <c r="J80" s="220" t="str">
        <f>IFERROR(IF(DB_Customers!J74&lt;&gt;"",DB_Customers!J74,""),"")</f>
        <v/>
      </c>
      <c r="K80" s="217" t="str">
        <f>IFERROR(IF(DB_Customers!E74&lt;&gt;"",DB_Customers!E74,""),"")</f>
        <v/>
      </c>
      <c r="L80" s="217" t="str">
        <f>IFERROR(IF(DB_Customers!F74&lt;&gt;"",DB_Customers!F74,""),"")</f>
        <v/>
      </c>
      <c r="M80" s="217" t="str">
        <f>IFERROR(IF(DB_Customers!T74&lt;&gt;"",DB_Customers!T74,""),"")</f>
        <v/>
      </c>
      <c r="N80" s="216" t="str">
        <f>IFERROR(IF(DB_Customers!A74&lt;&gt;"",IF(DB_Customers!I74&gt;=10,"Active","Inactive"),""),"")</f>
        <v/>
      </c>
    </row>
    <row r="81" spans="1:14" ht="18" customHeight="1" x14ac:dyDescent="0.25">
      <c r="A81" s="221" t="str">
        <f>IF(DB_Customers!A75&lt;&gt;"",ROW()-9,"")</f>
        <v/>
      </c>
      <c r="B81" s="221" t="str">
        <f>IFERROR(IF(DB_Customers!A75&lt;&gt;"",DB_Customers!A75,""),"")</f>
        <v/>
      </c>
      <c r="C81" s="222" t="str">
        <f>IFERROR(IF(DB_Customers!D75&lt;&gt;"",DB_Customers!D75,""),"")</f>
        <v/>
      </c>
      <c r="D81" s="223" t="str">
        <f>IFERROR(IF(DB_Customers!Q75&lt;&gt;"",DB_Customers!Q75,""),"")</f>
        <v/>
      </c>
      <c r="E81" s="221" t="str">
        <f>IFERROR(IF(DB_Customers!R75&lt;&gt;"",DB_Customers!R75,""),"")</f>
        <v/>
      </c>
      <c r="F81" s="222" t="str">
        <f>IFERROR(IF(DB_Customers!S75&lt;&gt;"",DB_Customers!S75,""),"")</f>
        <v/>
      </c>
      <c r="G81" s="222" t="str">
        <f>IFERROR(IF(DB_Customers!G75&lt;&gt;"",DB_Customers!G75,""),"")</f>
        <v/>
      </c>
      <c r="H81" s="221" t="str">
        <f>IFERROR(IF(DB_Customers!H75&lt;&gt;"",DB_Customers!H75,""),"")</f>
        <v/>
      </c>
      <c r="I81" s="224" t="str">
        <f>IFERROR(IF(DB_Customers!I75&lt;&gt;"",DB_Customers!I75,""),"")</f>
        <v/>
      </c>
      <c r="J81" s="225" t="str">
        <f>IFERROR(IF(DB_Customers!J75&lt;&gt;"",DB_Customers!J75,""),"")</f>
        <v/>
      </c>
      <c r="K81" s="222" t="str">
        <f>IFERROR(IF(DB_Customers!E75&lt;&gt;"",DB_Customers!E75,""),"")</f>
        <v/>
      </c>
      <c r="L81" s="222" t="str">
        <f>IFERROR(IF(DB_Customers!F75&lt;&gt;"",DB_Customers!F75,""),"")</f>
        <v/>
      </c>
      <c r="M81" s="222" t="str">
        <f>IFERROR(IF(DB_Customers!T75&lt;&gt;"",DB_Customers!T75,""),"")</f>
        <v/>
      </c>
      <c r="N81" s="221" t="str">
        <f>IFERROR(IF(DB_Customers!A75&lt;&gt;"",IF(DB_Customers!I75&gt;=10,"Active","Inactive"),""),"")</f>
        <v/>
      </c>
    </row>
    <row r="82" spans="1:14" ht="18" customHeight="1" x14ac:dyDescent="0.25">
      <c r="A82" s="216" t="str">
        <f>IF(DB_Customers!A76&lt;&gt;"",ROW()-9,"")</f>
        <v/>
      </c>
      <c r="B82" s="216" t="str">
        <f>IFERROR(IF(DB_Customers!A76&lt;&gt;"",DB_Customers!A76,""),"")</f>
        <v/>
      </c>
      <c r="C82" s="217" t="str">
        <f>IFERROR(IF(DB_Customers!D76&lt;&gt;"",DB_Customers!D76,""),"")</f>
        <v/>
      </c>
      <c r="D82" s="218" t="str">
        <f>IFERROR(IF(DB_Customers!Q76&lt;&gt;"",DB_Customers!Q76,""),"")</f>
        <v/>
      </c>
      <c r="E82" s="216" t="str">
        <f>IFERROR(IF(DB_Customers!R76&lt;&gt;"",DB_Customers!R76,""),"")</f>
        <v/>
      </c>
      <c r="F82" s="217" t="str">
        <f>IFERROR(IF(DB_Customers!S76&lt;&gt;"",DB_Customers!S76,""),"")</f>
        <v/>
      </c>
      <c r="G82" s="217" t="str">
        <f>IFERROR(IF(DB_Customers!G76&lt;&gt;"",DB_Customers!G76,""),"")</f>
        <v/>
      </c>
      <c r="H82" s="216" t="str">
        <f>IFERROR(IF(DB_Customers!H76&lt;&gt;"",DB_Customers!H76,""),"")</f>
        <v/>
      </c>
      <c r="I82" s="219" t="str">
        <f>IFERROR(IF(DB_Customers!I76&lt;&gt;"",DB_Customers!I76,""),"")</f>
        <v/>
      </c>
      <c r="J82" s="220" t="str">
        <f>IFERROR(IF(DB_Customers!J76&lt;&gt;"",DB_Customers!J76,""),"")</f>
        <v/>
      </c>
      <c r="K82" s="217" t="str">
        <f>IFERROR(IF(DB_Customers!E76&lt;&gt;"",DB_Customers!E76,""),"")</f>
        <v/>
      </c>
      <c r="L82" s="217" t="str">
        <f>IFERROR(IF(DB_Customers!F76&lt;&gt;"",DB_Customers!F76,""),"")</f>
        <v/>
      </c>
      <c r="M82" s="217" t="str">
        <f>IFERROR(IF(DB_Customers!T76&lt;&gt;"",DB_Customers!T76,""),"")</f>
        <v/>
      </c>
      <c r="N82" s="216" t="str">
        <f>IFERROR(IF(DB_Customers!A76&lt;&gt;"",IF(DB_Customers!I76&gt;=10,"Active","Inactive"),""),"")</f>
        <v/>
      </c>
    </row>
    <row r="83" spans="1:14" ht="18" customHeight="1" x14ac:dyDescent="0.25">
      <c r="A83" s="221" t="str">
        <f>IF(DB_Customers!A77&lt;&gt;"",ROW()-9,"")</f>
        <v/>
      </c>
      <c r="B83" s="221" t="str">
        <f>IFERROR(IF(DB_Customers!A77&lt;&gt;"",DB_Customers!A77,""),"")</f>
        <v/>
      </c>
      <c r="C83" s="222" t="str">
        <f>IFERROR(IF(DB_Customers!D77&lt;&gt;"",DB_Customers!D77,""),"")</f>
        <v/>
      </c>
      <c r="D83" s="223" t="str">
        <f>IFERROR(IF(DB_Customers!Q77&lt;&gt;"",DB_Customers!Q77,""),"")</f>
        <v/>
      </c>
      <c r="E83" s="221" t="str">
        <f>IFERROR(IF(DB_Customers!R77&lt;&gt;"",DB_Customers!R77,""),"")</f>
        <v/>
      </c>
      <c r="F83" s="222" t="str">
        <f>IFERROR(IF(DB_Customers!S77&lt;&gt;"",DB_Customers!S77,""),"")</f>
        <v/>
      </c>
      <c r="G83" s="222" t="str">
        <f>IFERROR(IF(DB_Customers!G77&lt;&gt;"",DB_Customers!G77,""),"")</f>
        <v/>
      </c>
      <c r="H83" s="221" t="str">
        <f>IFERROR(IF(DB_Customers!H77&lt;&gt;"",DB_Customers!H77,""),"")</f>
        <v/>
      </c>
      <c r="I83" s="224" t="str">
        <f>IFERROR(IF(DB_Customers!I77&lt;&gt;"",DB_Customers!I77,""),"")</f>
        <v/>
      </c>
      <c r="J83" s="225" t="str">
        <f>IFERROR(IF(DB_Customers!J77&lt;&gt;"",DB_Customers!J77,""),"")</f>
        <v/>
      </c>
      <c r="K83" s="222" t="str">
        <f>IFERROR(IF(DB_Customers!E77&lt;&gt;"",DB_Customers!E77,""),"")</f>
        <v/>
      </c>
      <c r="L83" s="222" t="str">
        <f>IFERROR(IF(DB_Customers!F77&lt;&gt;"",DB_Customers!F77,""),"")</f>
        <v/>
      </c>
      <c r="M83" s="222" t="str">
        <f>IFERROR(IF(DB_Customers!T77&lt;&gt;"",DB_Customers!T77,""),"")</f>
        <v/>
      </c>
      <c r="N83" s="221" t="str">
        <f>IFERROR(IF(DB_Customers!A77&lt;&gt;"",IF(DB_Customers!I77&gt;=10,"Active","Inactive"),""),"")</f>
        <v/>
      </c>
    </row>
    <row r="84" spans="1:14" ht="18" customHeight="1" x14ac:dyDescent="0.25">
      <c r="A84" s="216" t="str">
        <f>IF(DB_Customers!A78&lt;&gt;"",ROW()-9,"")</f>
        <v/>
      </c>
      <c r="B84" s="216" t="str">
        <f>IFERROR(IF(DB_Customers!A78&lt;&gt;"",DB_Customers!A78,""),"")</f>
        <v/>
      </c>
      <c r="C84" s="217" t="str">
        <f>IFERROR(IF(DB_Customers!D78&lt;&gt;"",DB_Customers!D78,""),"")</f>
        <v/>
      </c>
      <c r="D84" s="218" t="str">
        <f>IFERROR(IF(DB_Customers!Q78&lt;&gt;"",DB_Customers!Q78,""),"")</f>
        <v/>
      </c>
      <c r="E84" s="216" t="str">
        <f>IFERROR(IF(DB_Customers!R78&lt;&gt;"",DB_Customers!R78,""),"")</f>
        <v/>
      </c>
      <c r="F84" s="217" t="str">
        <f>IFERROR(IF(DB_Customers!S78&lt;&gt;"",DB_Customers!S78,""),"")</f>
        <v/>
      </c>
      <c r="G84" s="217" t="str">
        <f>IFERROR(IF(DB_Customers!G78&lt;&gt;"",DB_Customers!G78,""),"")</f>
        <v/>
      </c>
      <c r="H84" s="216" t="str">
        <f>IFERROR(IF(DB_Customers!H78&lt;&gt;"",DB_Customers!H78,""),"")</f>
        <v/>
      </c>
      <c r="I84" s="219" t="str">
        <f>IFERROR(IF(DB_Customers!I78&lt;&gt;"",DB_Customers!I78,""),"")</f>
        <v/>
      </c>
      <c r="J84" s="220" t="str">
        <f>IFERROR(IF(DB_Customers!J78&lt;&gt;"",DB_Customers!J78,""),"")</f>
        <v/>
      </c>
      <c r="K84" s="217" t="str">
        <f>IFERROR(IF(DB_Customers!E78&lt;&gt;"",DB_Customers!E78,""),"")</f>
        <v/>
      </c>
      <c r="L84" s="217" t="str">
        <f>IFERROR(IF(DB_Customers!F78&lt;&gt;"",DB_Customers!F78,""),"")</f>
        <v/>
      </c>
      <c r="M84" s="217" t="str">
        <f>IFERROR(IF(DB_Customers!T78&lt;&gt;"",DB_Customers!T78,""),"")</f>
        <v/>
      </c>
      <c r="N84" s="216" t="str">
        <f>IFERROR(IF(DB_Customers!A78&lt;&gt;"",IF(DB_Customers!I78&gt;=10,"Active","Inactive"),""),"")</f>
        <v/>
      </c>
    </row>
    <row r="85" spans="1:14" ht="18" customHeight="1" x14ac:dyDescent="0.25">
      <c r="A85" s="221" t="str">
        <f>IF(DB_Customers!A79&lt;&gt;"",ROW()-9,"")</f>
        <v/>
      </c>
      <c r="B85" s="221" t="str">
        <f>IFERROR(IF(DB_Customers!A79&lt;&gt;"",DB_Customers!A79,""),"")</f>
        <v/>
      </c>
      <c r="C85" s="222" t="str">
        <f>IFERROR(IF(DB_Customers!D79&lt;&gt;"",DB_Customers!D79,""),"")</f>
        <v/>
      </c>
      <c r="D85" s="223" t="str">
        <f>IFERROR(IF(DB_Customers!Q79&lt;&gt;"",DB_Customers!Q79,""),"")</f>
        <v/>
      </c>
      <c r="E85" s="221" t="str">
        <f>IFERROR(IF(DB_Customers!R79&lt;&gt;"",DB_Customers!R79,""),"")</f>
        <v/>
      </c>
      <c r="F85" s="222" t="str">
        <f>IFERROR(IF(DB_Customers!S79&lt;&gt;"",DB_Customers!S79,""),"")</f>
        <v/>
      </c>
      <c r="G85" s="222" t="str">
        <f>IFERROR(IF(DB_Customers!G79&lt;&gt;"",DB_Customers!G79,""),"")</f>
        <v/>
      </c>
      <c r="H85" s="221" t="str">
        <f>IFERROR(IF(DB_Customers!H79&lt;&gt;"",DB_Customers!H79,""),"")</f>
        <v/>
      </c>
      <c r="I85" s="224" t="str">
        <f>IFERROR(IF(DB_Customers!I79&lt;&gt;"",DB_Customers!I79,""),"")</f>
        <v/>
      </c>
      <c r="J85" s="225" t="str">
        <f>IFERROR(IF(DB_Customers!J79&lt;&gt;"",DB_Customers!J79,""),"")</f>
        <v/>
      </c>
      <c r="K85" s="222" t="str">
        <f>IFERROR(IF(DB_Customers!E79&lt;&gt;"",DB_Customers!E79,""),"")</f>
        <v/>
      </c>
      <c r="L85" s="222" t="str">
        <f>IFERROR(IF(DB_Customers!F79&lt;&gt;"",DB_Customers!F79,""),"")</f>
        <v/>
      </c>
      <c r="M85" s="222" t="str">
        <f>IFERROR(IF(DB_Customers!T79&lt;&gt;"",DB_Customers!T79,""),"")</f>
        <v/>
      </c>
      <c r="N85" s="221" t="str">
        <f>IFERROR(IF(DB_Customers!A79&lt;&gt;"",IF(DB_Customers!I79&gt;=10,"Active","Inactive"),""),"")</f>
        <v/>
      </c>
    </row>
    <row r="86" spans="1:14" ht="18" customHeight="1" x14ac:dyDescent="0.25">
      <c r="A86" s="216" t="str">
        <f>IF(DB_Customers!A80&lt;&gt;"",ROW()-9,"")</f>
        <v/>
      </c>
      <c r="B86" s="216" t="str">
        <f>IFERROR(IF(DB_Customers!A80&lt;&gt;"",DB_Customers!A80,""),"")</f>
        <v/>
      </c>
      <c r="C86" s="217" t="str">
        <f>IFERROR(IF(DB_Customers!D80&lt;&gt;"",DB_Customers!D80,""),"")</f>
        <v/>
      </c>
      <c r="D86" s="218" t="str">
        <f>IFERROR(IF(DB_Customers!Q80&lt;&gt;"",DB_Customers!Q80,""),"")</f>
        <v/>
      </c>
      <c r="E86" s="216" t="str">
        <f>IFERROR(IF(DB_Customers!R80&lt;&gt;"",DB_Customers!R80,""),"")</f>
        <v/>
      </c>
      <c r="F86" s="217" t="str">
        <f>IFERROR(IF(DB_Customers!S80&lt;&gt;"",DB_Customers!S80,""),"")</f>
        <v/>
      </c>
      <c r="G86" s="217" t="str">
        <f>IFERROR(IF(DB_Customers!G80&lt;&gt;"",DB_Customers!G80,""),"")</f>
        <v/>
      </c>
      <c r="H86" s="216" t="str">
        <f>IFERROR(IF(DB_Customers!H80&lt;&gt;"",DB_Customers!H80,""),"")</f>
        <v/>
      </c>
      <c r="I86" s="219" t="str">
        <f>IFERROR(IF(DB_Customers!I80&lt;&gt;"",DB_Customers!I80,""),"")</f>
        <v/>
      </c>
      <c r="J86" s="220" t="str">
        <f>IFERROR(IF(DB_Customers!J80&lt;&gt;"",DB_Customers!J80,""),"")</f>
        <v/>
      </c>
      <c r="K86" s="217" t="str">
        <f>IFERROR(IF(DB_Customers!E80&lt;&gt;"",DB_Customers!E80,""),"")</f>
        <v/>
      </c>
      <c r="L86" s="217" t="str">
        <f>IFERROR(IF(DB_Customers!F80&lt;&gt;"",DB_Customers!F80,""),"")</f>
        <v/>
      </c>
      <c r="M86" s="217" t="str">
        <f>IFERROR(IF(DB_Customers!T80&lt;&gt;"",DB_Customers!T80,""),"")</f>
        <v/>
      </c>
      <c r="N86" s="216" t="str">
        <f>IFERROR(IF(DB_Customers!A80&lt;&gt;"",IF(DB_Customers!I80&gt;=10,"Active","Inactive"),""),"")</f>
        <v/>
      </c>
    </row>
    <row r="87" spans="1:14" ht="18" customHeight="1" x14ac:dyDescent="0.25">
      <c r="A87" s="221" t="str">
        <f>IF(DB_Customers!A81&lt;&gt;"",ROW()-9,"")</f>
        <v/>
      </c>
      <c r="B87" s="221" t="str">
        <f>IFERROR(IF(DB_Customers!A81&lt;&gt;"",DB_Customers!A81,""),"")</f>
        <v/>
      </c>
      <c r="C87" s="222" t="str">
        <f>IFERROR(IF(DB_Customers!D81&lt;&gt;"",DB_Customers!D81,""),"")</f>
        <v/>
      </c>
      <c r="D87" s="223" t="str">
        <f>IFERROR(IF(DB_Customers!Q81&lt;&gt;"",DB_Customers!Q81,""),"")</f>
        <v/>
      </c>
      <c r="E87" s="221" t="str">
        <f>IFERROR(IF(DB_Customers!R81&lt;&gt;"",DB_Customers!R81,""),"")</f>
        <v/>
      </c>
      <c r="F87" s="222" t="str">
        <f>IFERROR(IF(DB_Customers!S81&lt;&gt;"",DB_Customers!S81,""),"")</f>
        <v/>
      </c>
      <c r="G87" s="222" t="str">
        <f>IFERROR(IF(DB_Customers!G81&lt;&gt;"",DB_Customers!G81,""),"")</f>
        <v/>
      </c>
      <c r="H87" s="221" t="str">
        <f>IFERROR(IF(DB_Customers!H81&lt;&gt;"",DB_Customers!H81,""),"")</f>
        <v/>
      </c>
      <c r="I87" s="224" t="str">
        <f>IFERROR(IF(DB_Customers!I81&lt;&gt;"",DB_Customers!I81,""),"")</f>
        <v/>
      </c>
      <c r="J87" s="225" t="str">
        <f>IFERROR(IF(DB_Customers!J81&lt;&gt;"",DB_Customers!J81,""),"")</f>
        <v/>
      </c>
      <c r="K87" s="222" t="str">
        <f>IFERROR(IF(DB_Customers!E81&lt;&gt;"",DB_Customers!E81,""),"")</f>
        <v/>
      </c>
      <c r="L87" s="222" t="str">
        <f>IFERROR(IF(DB_Customers!F81&lt;&gt;"",DB_Customers!F81,""),"")</f>
        <v/>
      </c>
      <c r="M87" s="222" t="str">
        <f>IFERROR(IF(DB_Customers!T81&lt;&gt;"",DB_Customers!T81,""),"")</f>
        <v/>
      </c>
      <c r="N87" s="221" t="str">
        <f>IFERROR(IF(DB_Customers!A81&lt;&gt;"",IF(DB_Customers!I81&gt;=10,"Active","Inactive"),""),"")</f>
        <v/>
      </c>
    </row>
    <row r="88" spans="1:14" ht="18" customHeight="1" x14ac:dyDescent="0.25">
      <c r="A88" s="216" t="str">
        <f>IF(DB_Customers!A82&lt;&gt;"",ROW()-9,"")</f>
        <v/>
      </c>
      <c r="B88" s="216" t="str">
        <f>IFERROR(IF(DB_Customers!A82&lt;&gt;"",DB_Customers!A82,""),"")</f>
        <v/>
      </c>
      <c r="C88" s="217" t="str">
        <f>IFERROR(IF(DB_Customers!D82&lt;&gt;"",DB_Customers!D82,""),"")</f>
        <v/>
      </c>
      <c r="D88" s="218" t="str">
        <f>IFERROR(IF(DB_Customers!Q82&lt;&gt;"",DB_Customers!Q82,""),"")</f>
        <v/>
      </c>
      <c r="E88" s="216" t="str">
        <f>IFERROR(IF(DB_Customers!R82&lt;&gt;"",DB_Customers!R82,""),"")</f>
        <v/>
      </c>
      <c r="F88" s="217" t="str">
        <f>IFERROR(IF(DB_Customers!S82&lt;&gt;"",DB_Customers!S82,""),"")</f>
        <v/>
      </c>
      <c r="G88" s="217" t="str">
        <f>IFERROR(IF(DB_Customers!G82&lt;&gt;"",DB_Customers!G82,""),"")</f>
        <v/>
      </c>
      <c r="H88" s="216" t="str">
        <f>IFERROR(IF(DB_Customers!H82&lt;&gt;"",DB_Customers!H82,""),"")</f>
        <v/>
      </c>
      <c r="I88" s="219" t="str">
        <f>IFERROR(IF(DB_Customers!I82&lt;&gt;"",DB_Customers!I82,""),"")</f>
        <v/>
      </c>
      <c r="J88" s="220" t="str">
        <f>IFERROR(IF(DB_Customers!J82&lt;&gt;"",DB_Customers!J82,""),"")</f>
        <v/>
      </c>
      <c r="K88" s="217" t="str">
        <f>IFERROR(IF(DB_Customers!E82&lt;&gt;"",DB_Customers!E82,""),"")</f>
        <v/>
      </c>
      <c r="L88" s="217" t="str">
        <f>IFERROR(IF(DB_Customers!F82&lt;&gt;"",DB_Customers!F82,""),"")</f>
        <v/>
      </c>
      <c r="M88" s="217" t="str">
        <f>IFERROR(IF(DB_Customers!T82&lt;&gt;"",DB_Customers!T82,""),"")</f>
        <v/>
      </c>
      <c r="N88" s="216" t="str">
        <f>IFERROR(IF(DB_Customers!A82&lt;&gt;"",IF(DB_Customers!I82&gt;=10,"Active","Inactive"),""),"")</f>
        <v/>
      </c>
    </row>
    <row r="89" spans="1:14" ht="18" customHeight="1" x14ac:dyDescent="0.25">
      <c r="A89" s="221" t="str">
        <f>IF(DB_Customers!A83&lt;&gt;"",ROW()-9,"")</f>
        <v/>
      </c>
      <c r="B89" s="221" t="str">
        <f>IFERROR(IF(DB_Customers!A83&lt;&gt;"",DB_Customers!A83,""),"")</f>
        <v/>
      </c>
      <c r="C89" s="222" t="str">
        <f>IFERROR(IF(DB_Customers!D83&lt;&gt;"",DB_Customers!D83,""),"")</f>
        <v/>
      </c>
      <c r="D89" s="223" t="str">
        <f>IFERROR(IF(DB_Customers!Q83&lt;&gt;"",DB_Customers!Q83,""),"")</f>
        <v/>
      </c>
      <c r="E89" s="221" t="str">
        <f>IFERROR(IF(DB_Customers!R83&lt;&gt;"",DB_Customers!R83,""),"")</f>
        <v/>
      </c>
      <c r="F89" s="222" t="str">
        <f>IFERROR(IF(DB_Customers!S83&lt;&gt;"",DB_Customers!S83,""),"")</f>
        <v/>
      </c>
      <c r="G89" s="222" t="str">
        <f>IFERROR(IF(DB_Customers!G83&lt;&gt;"",DB_Customers!G83,""),"")</f>
        <v/>
      </c>
      <c r="H89" s="221" t="str">
        <f>IFERROR(IF(DB_Customers!H83&lt;&gt;"",DB_Customers!H83,""),"")</f>
        <v/>
      </c>
      <c r="I89" s="224" t="str">
        <f>IFERROR(IF(DB_Customers!I83&lt;&gt;"",DB_Customers!I83,""),"")</f>
        <v/>
      </c>
      <c r="J89" s="225" t="str">
        <f>IFERROR(IF(DB_Customers!J83&lt;&gt;"",DB_Customers!J83,""),"")</f>
        <v/>
      </c>
      <c r="K89" s="222" t="str">
        <f>IFERROR(IF(DB_Customers!E83&lt;&gt;"",DB_Customers!E83,""),"")</f>
        <v/>
      </c>
      <c r="L89" s="222" t="str">
        <f>IFERROR(IF(DB_Customers!F83&lt;&gt;"",DB_Customers!F83,""),"")</f>
        <v/>
      </c>
      <c r="M89" s="222" t="str">
        <f>IFERROR(IF(DB_Customers!T83&lt;&gt;"",DB_Customers!T83,""),"")</f>
        <v/>
      </c>
      <c r="N89" s="221" t="str">
        <f>IFERROR(IF(DB_Customers!A83&lt;&gt;"",IF(DB_Customers!I83&gt;=10,"Active","Inactive"),""),"")</f>
        <v/>
      </c>
    </row>
    <row r="90" spans="1:14" ht="18" customHeight="1" x14ac:dyDescent="0.25">
      <c r="A90" s="216" t="str">
        <f>IF(DB_Customers!A84&lt;&gt;"",ROW()-9,"")</f>
        <v/>
      </c>
      <c r="B90" s="216" t="str">
        <f>IFERROR(IF(DB_Customers!A84&lt;&gt;"",DB_Customers!A84,""),"")</f>
        <v/>
      </c>
      <c r="C90" s="217" t="str">
        <f>IFERROR(IF(DB_Customers!D84&lt;&gt;"",DB_Customers!D84,""),"")</f>
        <v/>
      </c>
      <c r="D90" s="218" t="str">
        <f>IFERROR(IF(DB_Customers!Q84&lt;&gt;"",DB_Customers!Q84,""),"")</f>
        <v/>
      </c>
      <c r="E90" s="216" t="str">
        <f>IFERROR(IF(DB_Customers!R84&lt;&gt;"",DB_Customers!R84,""),"")</f>
        <v/>
      </c>
      <c r="F90" s="217" t="str">
        <f>IFERROR(IF(DB_Customers!S84&lt;&gt;"",DB_Customers!S84,""),"")</f>
        <v/>
      </c>
      <c r="G90" s="217" t="str">
        <f>IFERROR(IF(DB_Customers!G84&lt;&gt;"",DB_Customers!G84,""),"")</f>
        <v/>
      </c>
      <c r="H90" s="216" t="str">
        <f>IFERROR(IF(DB_Customers!H84&lt;&gt;"",DB_Customers!H84,""),"")</f>
        <v/>
      </c>
      <c r="I90" s="219" t="str">
        <f>IFERROR(IF(DB_Customers!I84&lt;&gt;"",DB_Customers!I84,""),"")</f>
        <v/>
      </c>
      <c r="J90" s="220" t="str">
        <f>IFERROR(IF(DB_Customers!J84&lt;&gt;"",DB_Customers!J84,""),"")</f>
        <v/>
      </c>
      <c r="K90" s="217" t="str">
        <f>IFERROR(IF(DB_Customers!E84&lt;&gt;"",DB_Customers!E84,""),"")</f>
        <v/>
      </c>
      <c r="L90" s="217" t="str">
        <f>IFERROR(IF(DB_Customers!F84&lt;&gt;"",DB_Customers!F84,""),"")</f>
        <v/>
      </c>
      <c r="M90" s="217" t="str">
        <f>IFERROR(IF(DB_Customers!T84&lt;&gt;"",DB_Customers!T84,""),"")</f>
        <v/>
      </c>
      <c r="N90" s="216" t="str">
        <f>IFERROR(IF(DB_Customers!A84&lt;&gt;"",IF(DB_Customers!I84&gt;=10,"Active","Inactive"),""),"")</f>
        <v/>
      </c>
    </row>
    <row r="91" spans="1:14" ht="18" customHeight="1" x14ac:dyDescent="0.25">
      <c r="A91" s="221" t="str">
        <f>IF(DB_Customers!A85&lt;&gt;"",ROW()-9,"")</f>
        <v/>
      </c>
      <c r="B91" s="221" t="str">
        <f>IFERROR(IF(DB_Customers!A85&lt;&gt;"",DB_Customers!A85,""),"")</f>
        <v/>
      </c>
      <c r="C91" s="222" t="str">
        <f>IFERROR(IF(DB_Customers!D85&lt;&gt;"",DB_Customers!D85,""),"")</f>
        <v/>
      </c>
      <c r="D91" s="223" t="str">
        <f>IFERROR(IF(DB_Customers!Q85&lt;&gt;"",DB_Customers!Q85,""),"")</f>
        <v/>
      </c>
      <c r="E91" s="221" t="str">
        <f>IFERROR(IF(DB_Customers!R85&lt;&gt;"",DB_Customers!R85,""),"")</f>
        <v/>
      </c>
      <c r="F91" s="222" t="str">
        <f>IFERROR(IF(DB_Customers!S85&lt;&gt;"",DB_Customers!S85,""),"")</f>
        <v/>
      </c>
      <c r="G91" s="222" t="str">
        <f>IFERROR(IF(DB_Customers!G85&lt;&gt;"",DB_Customers!G85,""),"")</f>
        <v/>
      </c>
      <c r="H91" s="221" t="str">
        <f>IFERROR(IF(DB_Customers!H85&lt;&gt;"",DB_Customers!H85,""),"")</f>
        <v/>
      </c>
      <c r="I91" s="224" t="str">
        <f>IFERROR(IF(DB_Customers!I85&lt;&gt;"",DB_Customers!I85,""),"")</f>
        <v/>
      </c>
      <c r="J91" s="225" t="str">
        <f>IFERROR(IF(DB_Customers!J85&lt;&gt;"",DB_Customers!J85,""),"")</f>
        <v/>
      </c>
      <c r="K91" s="222" t="str">
        <f>IFERROR(IF(DB_Customers!E85&lt;&gt;"",DB_Customers!E85,""),"")</f>
        <v/>
      </c>
      <c r="L91" s="222" t="str">
        <f>IFERROR(IF(DB_Customers!F85&lt;&gt;"",DB_Customers!F85,""),"")</f>
        <v/>
      </c>
      <c r="M91" s="222" t="str">
        <f>IFERROR(IF(DB_Customers!T85&lt;&gt;"",DB_Customers!T85,""),"")</f>
        <v/>
      </c>
      <c r="N91" s="221" t="str">
        <f>IFERROR(IF(DB_Customers!A85&lt;&gt;"",IF(DB_Customers!I85&gt;=10,"Active","Inactive"),""),"")</f>
        <v/>
      </c>
    </row>
    <row r="92" spans="1:14" ht="18" customHeight="1" x14ac:dyDescent="0.25">
      <c r="A92" s="216" t="str">
        <f>IF(DB_Customers!A86&lt;&gt;"",ROW()-9,"")</f>
        <v/>
      </c>
      <c r="B92" s="216" t="str">
        <f>IFERROR(IF(DB_Customers!A86&lt;&gt;"",DB_Customers!A86,""),"")</f>
        <v/>
      </c>
      <c r="C92" s="217" t="str">
        <f>IFERROR(IF(DB_Customers!D86&lt;&gt;"",DB_Customers!D86,""),"")</f>
        <v/>
      </c>
      <c r="D92" s="218" t="str">
        <f>IFERROR(IF(DB_Customers!Q86&lt;&gt;"",DB_Customers!Q86,""),"")</f>
        <v/>
      </c>
      <c r="E92" s="216" t="str">
        <f>IFERROR(IF(DB_Customers!R86&lt;&gt;"",DB_Customers!R86,""),"")</f>
        <v/>
      </c>
      <c r="F92" s="217" t="str">
        <f>IFERROR(IF(DB_Customers!S86&lt;&gt;"",DB_Customers!S86,""),"")</f>
        <v/>
      </c>
      <c r="G92" s="217" t="str">
        <f>IFERROR(IF(DB_Customers!G86&lt;&gt;"",DB_Customers!G86,""),"")</f>
        <v/>
      </c>
      <c r="H92" s="216" t="str">
        <f>IFERROR(IF(DB_Customers!H86&lt;&gt;"",DB_Customers!H86,""),"")</f>
        <v/>
      </c>
      <c r="I92" s="219" t="str">
        <f>IFERROR(IF(DB_Customers!I86&lt;&gt;"",DB_Customers!I86,""),"")</f>
        <v/>
      </c>
      <c r="J92" s="220" t="str">
        <f>IFERROR(IF(DB_Customers!J86&lt;&gt;"",DB_Customers!J86,""),"")</f>
        <v/>
      </c>
      <c r="K92" s="217" t="str">
        <f>IFERROR(IF(DB_Customers!E86&lt;&gt;"",DB_Customers!E86,""),"")</f>
        <v/>
      </c>
      <c r="L92" s="217" t="str">
        <f>IFERROR(IF(DB_Customers!F86&lt;&gt;"",DB_Customers!F86,""),"")</f>
        <v/>
      </c>
      <c r="M92" s="217" t="str">
        <f>IFERROR(IF(DB_Customers!T86&lt;&gt;"",DB_Customers!T86,""),"")</f>
        <v/>
      </c>
      <c r="N92" s="216" t="str">
        <f>IFERROR(IF(DB_Customers!A86&lt;&gt;"",IF(DB_Customers!I86&gt;=10,"Active","Inactive"),""),"")</f>
        <v/>
      </c>
    </row>
    <row r="93" spans="1:14" ht="18" customHeight="1" x14ac:dyDescent="0.25">
      <c r="A93" s="221" t="str">
        <f>IF(DB_Customers!A87&lt;&gt;"",ROW()-9,"")</f>
        <v/>
      </c>
      <c r="B93" s="221" t="str">
        <f>IFERROR(IF(DB_Customers!A87&lt;&gt;"",DB_Customers!A87,""),"")</f>
        <v/>
      </c>
      <c r="C93" s="222" t="str">
        <f>IFERROR(IF(DB_Customers!D87&lt;&gt;"",DB_Customers!D87,""),"")</f>
        <v/>
      </c>
      <c r="D93" s="223" t="str">
        <f>IFERROR(IF(DB_Customers!Q87&lt;&gt;"",DB_Customers!Q87,""),"")</f>
        <v/>
      </c>
      <c r="E93" s="221" t="str">
        <f>IFERROR(IF(DB_Customers!R87&lt;&gt;"",DB_Customers!R87,""),"")</f>
        <v/>
      </c>
      <c r="F93" s="222" t="str">
        <f>IFERROR(IF(DB_Customers!S87&lt;&gt;"",DB_Customers!S87,""),"")</f>
        <v/>
      </c>
      <c r="G93" s="222" t="str">
        <f>IFERROR(IF(DB_Customers!G87&lt;&gt;"",DB_Customers!G87,""),"")</f>
        <v/>
      </c>
      <c r="H93" s="221" t="str">
        <f>IFERROR(IF(DB_Customers!H87&lt;&gt;"",DB_Customers!H87,""),"")</f>
        <v/>
      </c>
      <c r="I93" s="224" t="str">
        <f>IFERROR(IF(DB_Customers!I87&lt;&gt;"",DB_Customers!I87,""),"")</f>
        <v/>
      </c>
      <c r="J93" s="225" t="str">
        <f>IFERROR(IF(DB_Customers!J87&lt;&gt;"",DB_Customers!J87,""),"")</f>
        <v/>
      </c>
      <c r="K93" s="222" t="str">
        <f>IFERROR(IF(DB_Customers!E87&lt;&gt;"",DB_Customers!E87,""),"")</f>
        <v/>
      </c>
      <c r="L93" s="222" t="str">
        <f>IFERROR(IF(DB_Customers!F87&lt;&gt;"",DB_Customers!F87,""),"")</f>
        <v/>
      </c>
      <c r="M93" s="222" t="str">
        <f>IFERROR(IF(DB_Customers!T87&lt;&gt;"",DB_Customers!T87,""),"")</f>
        <v/>
      </c>
      <c r="N93" s="221" t="str">
        <f>IFERROR(IF(DB_Customers!A87&lt;&gt;"",IF(DB_Customers!I87&gt;=10,"Active","Inactive"),""),"")</f>
        <v/>
      </c>
    </row>
    <row r="94" spans="1:14" ht="18" customHeight="1" x14ac:dyDescent="0.25">
      <c r="A94" s="216" t="str">
        <f>IF(DB_Customers!A88&lt;&gt;"",ROW()-9,"")</f>
        <v/>
      </c>
      <c r="B94" s="216" t="str">
        <f>IFERROR(IF(DB_Customers!A88&lt;&gt;"",DB_Customers!A88,""),"")</f>
        <v/>
      </c>
      <c r="C94" s="217" t="str">
        <f>IFERROR(IF(DB_Customers!D88&lt;&gt;"",DB_Customers!D88,""),"")</f>
        <v/>
      </c>
      <c r="D94" s="218" t="str">
        <f>IFERROR(IF(DB_Customers!Q88&lt;&gt;"",DB_Customers!Q88,""),"")</f>
        <v/>
      </c>
      <c r="E94" s="216" t="str">
        <f>IFERROR(IF(DB_Customers!R88&lt;&gt;"",DB_Customers!R88,""),"")</f>
        <v/>
      </c>
      <c r="F94" s="217" t="str">
        <f>IFERROR(IF(DB_Customers!S88&lt;&gt;"",DB_Customers!S88,""),"")</f>
        <v/>
      </c>
      <c r="G94" s="217" t="str">
        <f>IFERROR(IF(DB_Customers!G88&lt;&gt;"",DB_Customers!G88,""),"")</f>
        <v/>
      </c>
      <c r="H94" s="216" t="str">
        <f>IFERROR(IF(DB_Customers!H88&lt;&gt;"",DB_Customers!H88,""),"")</f>
        <v/>
      </c>
      <c r="I94" s="219" t="str">
        <f>IFERROR(IF(DB_Customers!I88&lt;&gt;"",DB_Customers!I88,""),"")</f>
        <v/>
      </c>
      <c r="J94" s="220" t="str">
        <f>IFERROR(IF(DB_Customers!J88&lt;&gt;"",DB_Customers!J88,""),"")</f>
        <v/>
      </c>
      <c r="K94" s="217" t="str">
        <f>IFERROR(IF(DB_Customers!E88&lt;&gt;"",DB_Customers!E88,""),"")</f>
        <v/>
      </c>
      <c r="L94" s="217" t="str">
        <f>IFERROR(IF(DB_Customers!F88&lt;&gt;"",DB_Customers!F88,""),"")</f>
        <v/>
      </c>
      <c r="M94" s="217" t="str">
        <f>IFERROR(IF(DB_Customers!T88&lt;&gt;"",DB_Customers!T88,""),"")</f>
        <v/>
      </c>
      <c r="N94" s="216" t="str">
        <f>IFERROR(IF(DB_Customers!A88&lt;&gt;"",IF(DB_Customers!I88&gt;=10,"Active","Inactive"),""),"")</f>
        <v/>
      </c>
    </row>
    <row r="95" spans="1:14" ht="18" customHeight="1" x14ac:dyDescent="0.25">
      <c r="A95" s="221" t="str">
        <f>IF(DB_Customers!A89&lt;&gt;"",ROW()-9,"")</f>
        <v/>
      </c>
      <c r="B95" s="221" t="str">
        <f>IFERROR(IF(DB_Customers!A89&lt;&gt;"",DB_Customers!A89,""),"")</f>
        <v/>
      </c>
      <c r="C95" s="222" t="str">
        <f>IFERROR(IF(DB_Customers!D89&lt;&gt;"",DB_Customers!D89,""),"")</f>
        <v/>
      </c>
      <c r="D95" s="223" t="str">
        <f>IFERROR(IF(DB_Customers!Q89&lt;&gt;"",DB_Customers!Q89,""),"")</f>
        <v/>
      </c>
      <c r="E95" s="221" t="str">
        <f>IFERROR(IF(DB_Customers!R89&lt;&gt;"",DB_Customers!R89,""),"")</f>
        <v/>
      </c>
      <c r="F95" s="222" t="str">
        <f>IFERROR(IF(DB_Customers!S89&lt;&gt;"",DB_Customers!S89,""),"")</f>
        <v/>
      </c>
      <c r="G95" s="222" t="str">
        <f>IFERROR(IF(DB_Customers!G89&lt;&gt;"",DB_Customers!G89,""),"")</f>
        <v/>
      </c>
      <c r="H95" s="221" t="str">
        <f>IFERROR(IF(DB_Customers!H89&lt;&gt;"",DB_Customers!H89,""),"")</f>
        <v/>
      </c>
      <c r="I95" s="224" t="str">
        <f>IFERROR(IF(DB_Customers!I89&lt;&gt;"",DB_Customers!I89,""),"")</f>
        <v/>
      </c>
      <c r="J95" s="225" t="str">
        <f>IFERROR(IF(DB_Customers!J89&lt;&gt;"",DB_Customers!J89,""),"")</f>
        <v/>
      </c>
      <c r="K95" s="222" t="str">
        <f>IFERROR(IF(DB_Customers!E89&lt;&gt;"",DB_Customers!E89,""),"")</f>
        <v/>
      </c>
      <c r="L95" s="222" t="str">
        <f>IFERROR(IF(DB_Customers!F89&lt;&gt;"",DB_Customers!F89,""),"")</f>
        <v/>
      </c>
      <c r="M95" s="222" t="str">
        <f>IFERROR(IF(DB_Customers!T89&lt;&gt;"",DB_Customers!T89,""),"")</f>
        <v/>
      </c>
      <c r="N95" s="221" t="str">
        <f>IFERROR(IF(DB_Customers!A89&lt;&gt;"",IF(DB_Customers!I89&gt;=10,"Active","Inactive"),""),"")</f>
        <v/>
      </c>
    </row>
    <row r="96" spans="1:14" ht="18" customHeight="1" x14ac:dyDescent="0.25">
      <c r="A96" s="216" t="str">
        <f>IF(DB_Customers!A90&lt;&gt;"",ROW()-9,"")</f>
        <v/>
      </c>
      <c r="B96" s="216" t="str">
        <f>IFERROR(IF(DB_Customers!A90&lt;&gt;"",DB_Customers!A90,""),"")</f>
        <v/>
      </c>
      <c r="C96" s="217" t="str">
        <f>IFERROR(IF(DB_Customers!D90&lt;&gt;"",DB_Customers!D90,""),"")</f>
        <v/>
      </c>
      <c r="D96" s="218" t="str">
        <f>IFERROR(IF(DB_Customers!Q90&lt;&gt;"",DB_Customers!Q90,""),"")</f>
        <v/>
      </c>
      <c r="E96" s="216" t="str">
        <f>IFERROR(IF(DB_Customers!R90&lt;&gt;"",DB_Customers!R90,""),"")</f>
        <v/>
      </c>
      <c r="F96" s="217" t="str">
        <f>IFERROR(IF(DB_Customers!S90&lt;&gt;"",DB_Customers!S90,""),"")</f>
        <v/>
      </c>
      <c r="G96" s="217" t="str">
        <f>IFERROR(IF(DB_Customers!G90&lt;&gt;"",DB_Customers!G90,""),"")</f>
        <v/>
      </c>
      <c r="H96" s="216" t="str">
        <f>IFERROR(IF(DB_Customers!H90&lt;&gt;"",DB_Customers!H90,""),"")</f>
        <v/>
      </c>
      <c r="I96" s="219" t="str">
        <f>IFERROR(IF(DB_Customers!I90&lt;&gt;"",DB_Customers!I90,""),"")</f>
        <v/>
      </c>
      <c r="J96" s="220" t="str">
        <f>IFERROR(IF(DB_Customers!J90&lt;&gt;"",DB_Customers!J90,""),"")</f>
        <v/>
      </c>
      <c r="K96" s="217" t="str">
        <f>IFERROR(IF(DB_Customers!E90&lt;&gt;"",DB_Customers!E90,""),"")</f>
        <v/>
      </c>
      <c r="L96" s="217" t="str">
        <f>IFERROR(IF(DB_Customers!F90&lt;&gt;"",DB_Customers!F90,""),"")</f>
        <v/>
      </c>
      <c r="M96" s="217" t="str">
        <f>IFERROR(IF(DB_Customers!T90&lt;&gt;"",DB_Customers!T90,""),"")</f>
        <v/>
      </c>
      <c r="N96" s="216" t="str">
        <f>IFERROR(IF(DB_Customers!A90&lt;&gt;"",IF(DB_Customers!I90&gt;=10,"Active","Inactive"),""),"")</f>
        <v/>
      </c>
    </row>
    <row r="97" spans="1:14" ht="18" customHeight="1" x14ac:dyDescent="0.25">
      <c r="A97" s="221" t="str">
        <f>IF(DB_Customers!A91&lt;&gt;"",ROW()-9,"")</f>
        <v/>
      </c>
      <c r="B97" s="221" t="str">
        <f>IFERROR(IF(DB_Customers!A91&lt;&gt;"",DB_Customers!A91,""),"")</f>
        <v/>
      </c>
      <c r="C97" s="222" t="str">
        <f>IFERROR(IF(DB_Customers!D91&lt;&gt;"",DB_Customers!D91,""),"")</f>
        <v/>
      </c>
      <c r="D97" s="223" t="str">
        <f>IFERROR(IF(DB_Customers!Q91&lt;&gt;"",DB_Customers!Q91,""),"")</f>
        <v/>
      </c>
      <c r="E97" s="221" t="str">
        <f>IFERROR(IF(DB_Customers!R91&lt;&gt;"",DB_Customers!R91,""),"")</f>
        <v/>
      </c>
      <c r="F97" s="222" t="str">
        <f>IFERROR(IF(DB_Customers!S91&lt;&gt;"",DB_Customers!S91,""),"")</f>
        <v/>
      </c>
      <c r="G97" s="222" t="str">
        <f>IFERROR(IF(DB_Customers!G91&lt;&gt;"",DB_Customers!G91,""),"")</f>
        <v/>
      </c>
      <c r="H97" s="221" t="str">
        <f>IFERROR(IF(DB_Customers!H91&lt;&gt;"",DB_Customers!H91,""),"")</f>
        <v/>
      </c>
      <c r="I97" s="224" t="str">
        <f>IFERROR(IF(DB_Customers!I91&lt;&gt;"",DB_Customers!I91,""),"")</f>
        <v/>
      </c>
      <c r="J97" s="225" t="str">
        <f>IFERROR(IF(DB_Customers!J91&lt;&gt;"",DB_Customers!J91,""),"")</f>
        <v/>
      </c>
      <c r="K97" s="222" t="str">
        <f>IFERROR(IF(DB_Customers!E91&lt;&gt;"",DB_Customers!E91,""),"")</f>
        <v/>
      </c>
      <c r="L97" s="222" t="str">
        <f>IFERROR(IF(DB_Customers!F91&lt;&gt;"",DB_Customers!F91,""),"")</f>
        <v/>
      </c>
      <c r="M97" s="222" t="str">
        <f>IFERROR(IF(DB_Customers!T91&lt;&gt;"",DB_Customers!T91,""),"")</f>
        <v/>
      </c>
      <c r="N97" s="221" t="str">
        <f>IFERROR(IF(DB_Customers!A91&lt;&gt;"",IF(DB_Customers!I91&gt;=10,"Active","Inactive"),""),"")</f>
        <v/>
      </c>
    </row>
    <row r="98" spans="1:14" ht="18" customHeight="1" x14ac:dyDescent="0.25">
      <c r="A98" s="216" t="str">
        <f>IF(DB_Customers!A92&lt;&gt;"",ROW()-9,"")</f>
        <v/>
      </c>
      <c r="B98" s="216" t="str">
        <f>IFERROR(IF(DB_Customers!A92&lt;&gt;"",DB_Customers!A92,""),"")</f>
        <v/>
      </c>
      <c r="C98" s="217" t="str">
        <f>IFERROR(IF(DB_Customers!D92&lt;&gt;"",DB_Customers!D92,""),"")</f>
        <v/>
      </c>
      <c r="D98" s="218" t="str">
        <f>IFERROR(IF(DB_Customers!Q92&lt;&gt;"",DB_Customers!Q92,""),"")</f>
        <v/>
      </c>
      <c r="E98" s="216" t="str">
        <f>IFERROR(IF(DB_Customers!R92&lt;&gt;"",DB_Customers!R92,""),"")</f>
        <v/>
      </c>
      <c r="F98" s="217" t="str">
        <f>IFERROR(IF(DB_Customers!S92&lt;&gt;"",DB_Customers!S92,""),"")</f>
        <v/>
      </c>
      <c r="G98" s="217" t="str">
        <f>IFERROR(IF(DB_Customers!G92&lt;&gt;"",DB_Customers!G92,""),"")</f>
        <v/>
      </c>
      <c r="H98" s="216" t="str">
        <f>IFERROR(IF(DB_Customers!H92&lt;&gt;"",DB_Customers!H92,""),"")</f>
        <v/>
      </c>
      <c r="I98" s="219" t="str">
        <f>IFERROR(IF(DB_Customers!I92&lt;&gt;"",DB_Customers!I92,""),"")</f>
        <v/>
      </c>
      <c r="J98" s="220" t="str">
        <f>IFERROR(IF(DB_Customers!J92&lt;&gt;"",DB_Customers!J92,""),"")</f>
        <v/>
      </c>
      <c r="K98" s="217" t="str">
        <f>IFERROR(IF(DB_Customers!E92&lt;&gt;"",DB_Customers!E92,""),"")</f>
        <v/>
      </c>
      <c r="L98" s="217" t="str">
        <f>IFERROR(IF(DB_Customers!F92&lt;&gt;"",DB_Customers!F92,""),"")</f>
        <v/>
      </c>
      <c r="M98" s="217" t="str">
        <f>IFERROR(IF(DB_Customers!T92&lt;&gt;"",DB_Customers!T92,""),"")</f>
        <v/>
      </c>
      <c r="N98" s="216" t="str">
        <f>IFERROR(IF(DB_Customers!A92&lt;&gt;"",IF(DB_Customers!I92&gt;=10,"Active","Inactive"),""),"")</f>
        <v/>
      </c>
    </row>
    <row r="99" spans="1:14" ht="18" customHeight="1" x14ac:dyDescent="0.25">
      <c r="A99" s="221" t="str">
        <f>IF(DB_Customers!A93&lt;&gt;"",ROW()-9,"")</f>
        <v/>
      </c>
      <c r="B99" s="221" t="str">
        <f>IFERROR(IF(DB_Customers!A93&lt;&gt;"",DB_Customers!A93,""),"")</f>
        <v/>
      </c>
      <c r="C99" s="222" t="str">
        <f>IFERROR(IF(DB_Customers!D93&lt;&gt;"",DB_Customers!D93,""),"")</f>
        <v/>
      </c>
      <c r="D99" s="223" t="str">
        <f>IFERROR(IF(DB_Customers!Q93&lt;&gt;"",DB_Customers!Q93,""),"")</f>
        <v/>
      </c>
      <c r="E99" s="221" t="str">
        <f>IFERROR(IF(DB_Customers!R93&lt;&gt;"",DB_Customers!R93,""),"")</f>
        <v/>
      </c>
      <c r="F99" s="222" t="str">
        <f>IFERROR(IF(DB_Customers!S93&lt;&gt;"",DB_Customers!S93,""),"")</f>
        <v/>
      </c>
      <c r="G99" s="222" t="str">
        <f>IFERROR(IF(DB_Customers!G93&lt;&gt;"",DB_Customers!G93,""),"")</f>
        <v/>
      </c>
      <c r="H99" s="221" t="str">
        <f>IFERROR(IF(DB_Customers!H93&lt;&gt;"",DB_Customers!H93,""),"")</f>
        <v/>
      </c>
      <c r="I99" s="224" t="str">
        <f>IFERROR(IF(DB_Customers!I93&lt;&gt;"",DB_Customers!I93,""),"")</f>
        <v/>
      </c>
      <c r="J99" s="225" t="str">
        <f>IFERROR(IF(DB_Customers!J93&lt;&gt;"",DB_Customers!J93,""),"")</f>
        <v/>
      </c>
      <c r="K99" s="222" t="str">
        <f>IFERROR(IF(DB_Customers!E93&lt;&gt;"",DB_Customers!E93,""),"")</f>
        <v/>
      </c>
      <c r="L99" s="222" t="str">
        <f>IFERROR(IF(DB_Customers!F93&lt;&gt;"",DB_Customers!F93,""),"")</f>
        <v/>
      </c>
      <c r="M99" s="222" t="str">
        <f>IFERROR(IF(DB_Customers!T93&lt;&gt;"",DB_Customers!T93,""),"")</f>
        <v/>
      </c>
      <c r="N99" s="221" t="str">
        <f>IFERROR(IF(DB_Customers!A93&lt;&gt;"",IF(DB_Customers!I93&gt;=10,"Active","Inactive"),""),"")</f>
        <v/>
      </c>
    </row>
    <row r="100" spans="1:14" ht="18" customHeight="1" x14ac:dyDescent="0.25">
      <c r="A100" s="216" t="str">
        <f>IF(DB_Customers!A94&lt;&gt;"",ROW()-9,"")</f>
        <v/>
      </c>
      <c r="B100" s="216" t="str">
        <f>IFERROR(IF(DB_Customers!A94&lt;&gt;"",DB_Customers!A94,""),"")</f>
        <v/>
      </c>
      <c r="C100" s="217" t="str">
        <f>IFERROR(IF(DB_Customers!D94&lt;&gt;"",DB_Customers!D94,""),"")</f>
        <v/>
      </c>
      <c r="D100" s="218" t="str">
        <f>IFERROR(IF(DB_Customers!Q94&lt;&gt;"",DB_Customers!Q94,""),"")</f>
        <v/>
      </c>
      <c r="E100" s="216" t="str">
        <f>IFERROR(IF(DB_Customers!R94&lt;&gt;"",DB_Customers!R94,""),"")</f>
        <v/>
      </c>
      <c r="F100" s="217" t="str">
        <f>IFERROR(IF(DB_Customers!S94&lt;&gt;"",DB_Customers!S94,""),"")</f>
        <v/>
      </c>
      <c r="G100" s="217" t="str">
        <f>IFERROR(IF(DB_Customers!G94&lt;&gt;"",DB_Customers!G94,""),"")</f>
        <v/>
      </c>
      <c r="H100" s="216" t="str">
        <f>IFERROR(IF(DB_Customers!H94&lt;&gt;"",DB_Customers!H94,""),"")</f>
        <v/>
      </c>
      <c r="I100" s="219" t="str">
        <f>IFERROR(IF(DB_Customers!I94&lt;&gt;"",DB_Customers!I94,""),"")</f>
        <v/>
      </c>
      <c r="J100" s="220" t="str">
        <f>IFERROR(IF(DB_Customers!J94&lt;&gt;"",DB_Customers!J94,""),"")</f>
        <v/>
      </c>
      <c r="K100" s="217" t="str">
        <f>IFERROR(IF(DB_Customers!E94&lt;&gt;"",DB_Customers!E94,""),"")</f>
        <v/>
      </c>
      <c r="L100" s="217" t="str">
        <f>IFERROR(IF(DB_Customers!F94&lt;&gt;"",DB_Customers!F94,""),"")</f>
        <v/>
      </c>
      <c r="M100" s="217" t="str">
        <f>IFERROR(IF(DB_Customers!T94&lt;&gt;"",DB_Customers!T94,""),"")</f>
        <v/>
      </c>
      <c r="N100" s="216" t="str">
        <f>IFERROR(IF(DB_Customers!A94&lt;&gt;"",IF(DB_Customers!I94&gt;=10,"Active","Inactive"),""),"")</f>
        <v/>
      </c>
    </row>
    <row r="101" spans="1:14" ht="18" customHeight="1" x14ac:dyDescent="0.25">
      <c r="A101" s="221" t="str">
        <f>IF(DB_Customers!A95&lt;&gt;"",ROW()-9,"")</f>
        <v/>
      </c>
      <c r="B101" s="221" t="str">
        <f>IFERROR(IF(DB_Customers!A95&lt;&gt;"",DB_Customers!A95,""),"")</f>
        <v/>
      </c>
      <c r="C101" s="222" t="str">
        <f>IFERROR(IF(DB_Customers!D95&lt;&gt;"",DB_Customers!D95,""),"")</f>
        <v/>
      </c>
      <c r="D101" s="223" t="str">
        <f>IFERROR(IF(DB_Customers!Q95&lt;&gt;"",DB_Customers!Q95,""),"")</f>
        <v/>
      </c>
      <c r="E101" s="221" t="str">
        <f>IFERROR(IF(DB_Customers!R95&lt;&gt;"",DB_Customers!R95,""),"")</f>
        <v/>
      </c>
      <c r="F101" s="222" t="str">
        <f>IFERROR(IF(DB_Customers!S95&lt;&gt;"",DB_Customers!S95,""),"")</f>
        <v/>
      </c>
      <c r="G101" s="222" t="str">
        <f>IFERROR(IF(DB_Customers!G95&lt;&gt;"",DB_Customers!G95,""),"")</f>
        <v/>
      </c>
      <c r="H101" s="221" t="str">
        <f>IFERROR(IF(DB_Customers!H95&lt;&gt;"",DB_Customers!H95,""),"")</f>
        <v/>
      </c>
      <c r="I101" s="224" t="str">
        <f>IFERROR(IF(DB_Customers!I95&lt;&gt;"",DB_Customers!I95,""),"")</f>
        <v/>
      </c>
      <c r="J101" s="225" t="str">
        <f>IFERROR(IF(DB_Customers!J95&lt;&gt;"",DB_Customers!J95,""),"")</f>
        <v/>
      </c>
      <c r="K101" s="222" t="str">
        <f>IFERROR(IF(DB_Customers!E95&lt;&gt;"",DB_Customers!E95,""),"")</f>
        <v/>
      </c>
      <c r="L101" s="222" t="str">
        <f>IFERROR(IF(DB_Customers!F95&lt;&gt;"",DB_Customers!F95,""),"")</f>
        <v/>
      </c>
      <c r="M101" s="222" t="str">
        <f>IFERROR(IF(DB_Customers!T95&lt;&gt;"",DB_Customers!T95,""),"")</f>
        <v/>
      </c>
      <c r="N101" s="221" t="str">
        <f>IFERROR(IF(DB_Customers!A95&lt;&gt;"",IF(DB_Customers!I95&gt;=10,"Active","Inactive"),""),"")</f>
        <v/>
      </c>
    </row>
    <row r="102" spans="1:14" ht="18" customHeight="1" x14ac:dyDescent="0.25">
      <c r="A102" s="216" t="str">
        <f>IF(DB_Customers!A96&lt;&gt;"",ROW()-9,"")</f>
        <v/>
      </c>
      <c r="B102" s="216" t="str">
        <f>IFERROR(IF(DB_Customers!A96&lt;&gt;"",DB_Customers!A96,""),"")</f>
        <v/>
      </c>
      <c r="C102" s="217" t="str">
        <f>IFERROR(IF(DB_Customers!D96&lt;&gt;"",DB_Customers!D96,""),"")</f>
        <v/>
      </c>
      <c r="D102" s="218" t="str">
        <f>IFERROR(IF(DB_Customers!Q96&lt;&gt;"",DB_Customers!Q96,""),"")</f>
        <v/>
      </c>
      <c r="E102" s="216" t="str">
        <f>IFERROR(IF(DB_Customers!R96&lt;&gt;"",DB_Customers!R96,""),"")</f>
        <v/>
      </c>
      <c r="F102" s="217" t="str">
        <f>IFERROR(IF(DB_Customers!S96&lt;&gt;"",DB_Customers!S96,""),"")</f>
        <v/>
      </c>
      <c r="G102" s="217" t="str">
        <f>IFERROR(IF(DB_Customers!G96&lt;&gt;"",DB_Customers!G96,""),"")</f>
        <v/>
      </c>
      <c r="H102" s="216" t="str">
        <f>IFERROR(IF(DB_Customers!H96&lt;&gt;"",DB_Customers!H96,""),"")</f>
        <v/>
      </c>
      <c r="I102" s="219" t="str">
        <f>IFERROR(IF(DB_Customers!I96&lt;&gt;"",DB_Customers!I96,""),"")</f>
        <v/>
      </c>
      <c r="J102" s="220" t="str">
        <f>IFERROR(IF(DB_Customers!J96&lt;&gt;"",DB_Customers!J96,""),"")</f>
        <v/>
      </c>
      <c r="K102" s="217" t="str">
        <f>IFERROR(IF(DB_Customers!E96&lt;&gt;"",DB_Customers!E96,""),"")</f>
        <v/>
      </c>
      <c r="L102" s="217" t="str">
        <f>IFERROR(IF(DB_Customers!F96&lt;&gt;"",DB_Customers!F96,""),"")</f>
        <v/>
      </c>
      <c r="M102" s="217" t="str">
        <f>IFERROR(IF(DB_Customers!T96&lt;&gt;"",DB_Customers!T96,""),"")</f>
        <v/>
      </c>
      <c r="N102" s="216" t="str">
        <f>IFERROR(IF(DB_Customers!A96&lt;&gt;"",IF(DB_Customers!I96&gt;=10,"Active","Inactive"),""),"")</f>
        <v/>
      </c>
    </row>
    <row r="103" spans="1:14" ht="18" customHeight="1" x14ac:dyDescent="0.25">
      <c r="A103" s="221" t="str">
        <f>IF(DB_Customers!A97&lt;&gt;"",ROW()-9,"")</f>
        <v/>
      </c>
      <c r="B103" s="221" t="str">
        <f>IFERROR(IF(DB_Customers!A97&lt;&gt;"",DB_Customers!A97,""),"")</f>
        <v/>
      </c>
      <c r="C103" s="222" t="str">
        <f>IFERROR(IF(DB_Customers!D97&lt;&gt;"",DB_Customers!D97,""),"")</f>
        <v/>
      </c>
      <c r="D103" s="223" t="str">
        <f>IFERROR(IF(DB_Customers!Q97&lt;&gt;"",DB_Customers!Q97,""),"")</f>
        <v/>
      </c>
      <c r="E103" s="221" t="str">
        <f>IFERROR(IF(DB_Customers!R97&lt;&gt;"",DB_Customers!R97,""),"")</f>
        <v/>
      </c>
      <c r="F103" s="222" t="str">
        <f>IFERROR(IF(DB_Customers!S97&lt;&gt;"",DB_Customers!S97,""),"")</f>
        <v/>
      </c>
      <c r="G103" s="222" t="str">
        <f>IFERROR(IF(DB_Customers!G97&lt;&gt;"",DB_Customers!G97,""),"")</f>
        <v/>
      </c>
      <c r="H103" s="221" t="str">
        <f>IFERROR(IF(DB_Customers!H97&lt;&gt;"",DB_Customers!H97,""),"")</f>
        <v/>
      </c>
      <c r="I103" s="224" t="str">
        <f>IFERROR(IF(DB_Customers!I97&lt;&gt;"",DB_Customers!I97,""),"")</f>
        <v/>
      </c>
      <c r="J103" s="225" t="str">
        <f>IFERROR(IF(DB_Customers!J97&lt;&gt;"",DB_Customers!J97,""),"")</f>
        <v/>
      </c>
      <c r="K103" s="222" t="str">
        <f>IFERROR(IF(DB_Customers!E97&lt;&gt;"",DB_Customers!E97,""),"")</f>
        <v/>
      </c>
      <c r="L103" s="222" t="str">
        <f>IFERROR(IF(DB_Customers!F97&lt;&gt;"",DB_Customers!F97,""),"")</f>
        <v/>
      </c>
      <c r="M103" s="222" t="str">
        <f>IFERROR(IF(DB_Customers!T97&lt;&gt;"",DB_Customers!T97,""),"")</f>
        <v/>
      </c>
      <c r="N103" s="221" t="str">
        <f>IFERROR(IF(DB_Customers!A97&lt;&gt;"",IF(DB_Customers!I97&gt;=10,"Active","Inactive"),""),"")</f>
        <v/>
      </c>
    </row>
    <row r="104" spans="1:14" ht="18" customHeight="1" x14ac:dyDescent="0.25">
      <c r="A104" s="216" t="str">
        <f>IF(DB_Customers!A98&lt;&gt;"",ROW()-9,"")</f>
        <v/>
      </c>
      <c r="B104" s="216" t="str">
        <f>IFERROR(IF(DB_Customers!A98&lt;&gt;"",DB_Customers!A98,""),"")</f>
        <v/>
      </c>
      <c r="C104" s="217" t="str">
        <f>IFERROR(IF(DB_Customers!D98&lt;&gt;"",DB_Customers!D98,""),"")</f>
        <v/>
      </c>
      <c r="D104" s="218" t="str">
        <f>IFERROR(IF(DB_Customers!Q98&lt;&gt;"",DB_Customers!Q98,""),"")</f>
        <v/>
      </c>
      <c r="E104" s="216" t="str">
        <f>IFERROR(IF(DB_Customers!R98&lt;&gt;"",DB_Customers!R98,""),"")</f>
        <v/>
      </c>
      <c r="F104" s="217" t="str">
        <f>IFERROR(IF(DB_Customers!S98&lt;&gt;"",DB_Customers!S98,""),"")</f>
        <v/>
      </c>
      <c r="G104" s="217" t="str">
        <f>IFERROR(IF(DB_Customers!G98&lt;&gt;"",DB_Customers!G98,""),"")</f>
        <v/>
      </c>
      <c r="H104" s="216" t="str">
        <f>IFERROR(IF(DB_Customers!H98&lt;&gt;"",DB_Customers!H98,""),"")</f>
        <v/>
      </c>
      <c r="I104" s="219" t="str">
        <f>IFERROR(IF(DB_Customers!I98&lt;&gt;"",DB_Customers!I98,""),"")</f>
        <v/>
      </c>
      <c r="J104" s="220" t="str">
        <f>IFERROR(IF(DB_Customers!J98&lt;&gt;"",DB_Customers!J98,""),"")</f>
        <v/>
      </c>
      <c r="K104" s="217" t="str">
        <f>IFERROR(IF(DB_Customers!E98&lt;&gt;"",DB_Customers!E98,""),"")</f>
        <v/>
      </c>
      <c r="L104" s="217" t="str">
        <f>IFERROR(IF(DB_Customers!F98&lt;&gt;"",DB_Customers!F98,""),"")</f>
        <v/>
      </c>
      <c r="M104" s="217" t="str">
        <f>IFERROR(IF(DB_Customers!T98&lt;&gt;"",DB_Customers!T98,""),"")</f>
        <v/>
      </c>
      <c r="N104" s="216" t="str">
        <f>IFERROR(IF(DB_Customers!A98&lt;&gt;"",IF(DB_Customers!I98&gt;=10,"Active","Inactive"),""),"")</f>
        <v/>
      </c>
    </row>
    <row r="105" spans="1:14" ht="18" customHeight="1" x14ac:dyDescent="0.25">
      <c r="A105" s="221" t="str">
        <f>IF(DB_Customers!A99&lt;&gt;"",ROW()-9,"")</f>
        <v/>
      </c>
      <c r="B105" s="221" t="str">
        <f>IFERROR(IF(DB_Customers!A99&lt;&gt;"",DB_Customers!A99,""),"")</f>
        <v/>
      </c>
      <c r="C105" s="222" t="str">
        <f>IFERROR(IF(DB_Customers!D99&lt;&gt;"",DB_Customers!D99,""),"")</f>
        <v/>
      </c>
      <c r="D105" s="223" t="str">
        <f>IFERROR(IF(DB_Customers!Q99&lt;&gt;"",DB_Customers!Q99,""),"")</f>
        <v/>
      </c>
      <c r="E105" s="221" t="str">
        <f>IFERROR(IF(DB_Customers!R99&lt;&gt;"",DB_Customers!R99,""),"")</f>
        <v/>
      </c>
      <c r="F105" s="222" t="str">
        <f>IFERROR(IF(DB_Customers!S99&lt;&gt;"",DB_Customers!S99,""),"")</f>
        <v/>
      </c>
      <c r="G105" s="222" t="str">
        <f>IFERROR(IF(DB_Customers!G99&lt;&gt;"",DB_Customers!G99,""),"")</f>
        <v/>
      </c>
      <c r="H105" s="221" t="str">
        <f>IFERROR(IF(DB_Customers!H99&lt;&gt;"",DB_Customers!H99,""),"")</f>
        <v/>
      </c>
      <c r="I105" s="224" t="str">
        <f>IFERROR(IF(DB_Customers!I99&lt;&gt;"",DB_Customers!I99,""),"")</f>
        <v/>
      </c>
      <c r="J105" s="225" t="str">
        <f>IFERROR(IF(DB_Customers!J99&lt;&gt;"",DB_Customers!J99,""),"")</f>
        <v/>
      </c>
      <c r="K105" s="222" t="str">
        <f>IFERROR(IF(DB_Customers!E99&lt;&gt;"",DB_Customers!E99,""),"")</f>
        <v/>
      </c>
      <c r="L105" s="222" t="str">
        <f>IFERROR(IF(DB_Customers!F99&lt;&gt;"",DB_Customers!F99,""),"")</f>
        <v/>
      </c>
      <c r="M105" s="222" t="str">
        <f>IFERROR(IF(DB_Customers!T99&lt;&gt;"",DB_Customers!T99,""),"")</f>
        <v/>
      </c>
      <c r="N105" s="221" t="str">
        <f>IFERROR(IF(DB_Customers!A99&lt;&gt;"",IF(DB_Customers!I99&gt;=10,"Active","Inactive"),""),"")</f>
        <v/>
      </c>
    </row>
    <row r="106" spans="1:14" ht="18" customHeight="1" x14ac:dyDescent="0.25">
      <c r="A106" s="216" t="str">
        <f>IF(DB_Customers!A100&lt;&gt;"",ROW()-9,"")</f>
        <v/>
      </c>
      <c r="B106" s="216" t="str">
        <f>IFERROR(IF(DB_Customers!A100&lt;&gt;"",DB_Customers!A100,""),"")</f>
        <v/>
      </c>
      <c r="C106" s="217" t="str">
        <f>IFERROR(IF(DB_Customers!D100&lt;&gt;"",DB_Customers!D100,""),"")</f>
        <v/>
      </c>
      <c r="D106" s="218" t="str">
        <f>IFERROR(IF(DB_Customers!Q100&lt;&gt;"",DB_Customers!Q100,""),"")</f>
        <v/>
      </c>
      <c r="E106" s="216" t="str">
        <f>IFERROR(IF(DB_Customers!R100&lt;&gt;"",DB_Customers!R100,""),"")</f>
        <v/>
      </c>
      <c r="F106" s="217" t="str">
        <f>IFERROR(IF(DB_Customers!S100&lt;&gt;"",DB_Customers!S100,""),"")</f>
        <v/>
      </c>
      <c r="G106" s="217" t="str">
        <f>IFERROR(IF(DB_Customers!G100&lt;&gt;"",DB_Customers!G100,""),"")</f>
        <v/>
      </c>
      <c r="H106" s="216" t="str">
        <f>IFERROR(IF(DB_Customers!H100&lt;&gt;"",DB_Customers!H100,""),"")</f>
        <v/>
      </c>
      <c r="I106" s="219" t="str">
        <f>IFERROR(IF(DB_Customers!I100&lt;&gt;"",DB_Customers!I100,""),"")</f>
        <v/>
      </c>
      <c r="J106" s="220" t="str">
        <f>IFERROR(IF(DB_Customers!J100&lt;&gt;"",DB_Customers!J100,""),"")</f>
        <v/>
      </c>
      <c r="K106" s="217" t="str">
        <f>IFERROR(IF(DB_Customers!E100&lt;&gt;"",DB_Customers!E100,""),"")</f>
        <v/>
      </c>
      <c r="L106" s="217" t="str">
        <f>IFERROR(IF(DB_Customers!F100&lt;&gt;"",DB_Customers!F100,""),"")</f>
        <v/>
      </c>
      <c r="M106" s="217" t="str">
        <f>IFERROR(IF(DB_Customers!T100&lt;&gt;"",DB_Customers!T100,""),"")</f>
        <v/>
      </c>
      <c r="N106" s="216" t="str">
        <f>IFERROR(IF(DB_Customers!A100&lt;&gt;"",IF(DB_Customers!I100&gt;=10,"Active","Inactive"),""),"")</f>
        <v/>
      </c>
    </row>
    <row r="107" spans="1:14" ht="18" customHeight="1" x14ac:dyDescent="0.25">
      <c r="A107" s="221" t="str">
        <f>IF(DB_Customers!A101&lt;&gt;"",ROW()-9,"")</f>
        <v/>
      </c>
      <c r="B107" s="221" t="str">
        <f>IFERROR(IF(DB_Customers!A101&lt;&gt;"",DB_Customers!A101,""),"")</f>
        <v/>
      </c>
      <c r="C107" s="222" t="str">
        <f>IFERROR(IF(DB_Customers!D101&lt;&gt;"",DB_Customers!D101,""),"")</f>
        <v/>
      </c>
      <c r="D107" s="223" t="str">
        <f>IFERROR(IF(DB_Customers!Q101&lt;&gt;"",DB_Customers!Q101,""),"")</f>
        <v/>
      </c>
      <c r="E107" s="221" t="str">
        <f>IFERROR(IF(DB_Customers!R101&lt;&gt;"",DB_Customers!R101,""),"")</f>
        <v/>
      </c>
      <c r="F107" s="222" t="str">
        <f>IFERROR(IF(DB_Customers!S101&lt;&gt;"",DB_Customers!S101,""),"")</f>
        <v/>
      </c>
      <c r="G107" s="222" t="str">
        <f>IFERROR(IF(DB_Customers!G101&lt;&gt;"",DB_Customers!G101,""),"")</f>
        <v/>
      </c>
      <c r="H107" s="221" t="str">
        <f>IFERROR(IF(DB_Customers!H101&lt;&gt;"",DB_Customers!H101,""),"")</f>
        <v/>
      </c>
      <c r="I107" s="224" t="str">
        <f>IFERROR(IF(DB_Customers!I101&lt;&gt;"",DB_Customers!I101,""),"")</f>
        <v/>
      </c>
      <c r="J107" s="225" t="str">
        <f>IFERROR(IF(DB_Customers!J101&lt;&gt;"",DB_Customers!J101,""),"")</f>
        <v/>
      </c>
      <c r="K107" s="222" t="str">
        <f>IFERROR(IF(DB_Customers!E101&lt;&gt;"",DB_Customers!E101,""),"")</f>
        <v/>
      </c>
      <c r="L107" s="222" t="str">
        <f>IFERROR(IF(DB_Customers!F101&lt;&gt;"",DB_Customers!F101,""),"")</f>
        <v/>
      </c>
      <c r="M107" s="222" t="str">
        <f>IFERROR(IF(DB_Customers!T101&lt;&gt;"",DB_Customers!T101,""),"")</f>
        <v/>
      </c>
      <c r="N107" s="221" t="str">
        <f>IFERROR(IF(DB_Customers!A101&lt;&gt;"",IF(DB_Customers!I101&gt;=10,"Active","Inactive"),""),"")</f>
        <v/>
      </c>
    </row>
    <row r="108" spans="1:14" ht="18" customHeight="1" x14ac:dyDescent="0.25">
      <c r="A108" s="216" t="str">
        <f>IF(DB_Customers!A102&lt;&gt;"",ROW()-9,"")</f>
        <v/>
      </c>
      <c r="B108" s="216" t="str">
        <f>IFERROR(IF(DB_Customers!A102&lt;&gt;"",DB_Customers!A102,""),"")</f>
        <v/>
      </c>
      <c r="C108" s="217" t="str">
        <f>IFERROR(IF(DB_Customers!D102&lt;&gt;"",DB_Customers!D102,""),"")</f>
        <v/>
      </c>
      <c r="D108" s="218" t="str">
        <f>IFERROR(IF(DB_Customers!Q102&lt;&gt;"",DB_Customers!Q102,""),"")</f>
        <v/>
      </c>
      <c r="E108" s="216" t="str">
        <f>IFERROR(IF(DB_Customers!R102&lt;&gt;"",DB_Customers!R102,""),"")</f>
        <v/>
      </c>
      <c r="F108" s="217" t="str">
        <f>IFERROR(IF(DB_Customers!S102&lt;&gt;"",DB_Customers!S102,""),"")</f>
        <v/>
      </c>
      <c r="G108" s="217" t="str">
        <f>IFERROR(IF(DB_Customers!G102&lt;&gt;"",DB_Customers!G102,""),"")</f>
        <v/>
      </c>
      <c r="H108" s="216" t="str">
        <f>IFERROR(IF(DB_Customers!H102&lt;&gt;"",DB_Customers!H102,""),"")</f>
        <v/>
      </c>
      <c r="I108" s="219" t="str">
        <f>IFERROR(IF(DB_Customers!I102&lt;&gt;"",DB_Customers!I102,""),"")</f>
        <v/>
      </c>
      <c r="J108" s="220" t="str">
        <f>IFERROR(IF(DB_Customers!J102&lt;&gt;"",DB_Customers!J102,""),"")</f>
        <v/>
      </c>
      <c r="K108" s="217" t="str">
        <f>IFERROR(IF(DB_Customers!E102&lt;&gt;"",DB_Customers!E102,""),"")</f>
        <v/>
      </c>
      <c r="L108" s="217" t="str">
        <f>IFERROR(IF(DB_Customers!F102&lt;&gt;"",DB_Customers!F102,""),"")</f>
        <v/>
      </c>
      <c r="M108" s="217" t="str">
        <f>IFERROR(IF(DB_Customers!T102&lt;&gt;"",DB_Customers!T102,""),"")</f>
        <v/>
      </c>
      <c r="N108" s="216" t="str">
        <f>IFERROR(IF(DB_Customers!A102&lt;&gt;"",IF(DB_Customers!I102&gt;=10,"Active","Inactive"),""),"")</f>
        <v/>
      </c>
    </row>
    <row r="109" spans="1:14" ht="18" customHeight="1" x14ac:dyDescent="0.25">
      <c r="A109" s="221" t="str">
        <f>IF(DB_Customers!A103&lt;&gt;"",ROW()-9,"")</f>
        <v/>
      </c>
      <c r="B109" s="221" t="str">
        <f>IFERROR(IF(DB_Customers!A103&lt;&gt;"",DB_Customers!A103,""),"")</f>
        <v/>
      </c>
      <c r="C109" s="222" t="str">
        <f>IFERROR(IF(DB_Customers!D103&lt;&gt;"",DB_Customers!D103,""),"")</f>
        <v/>
      </c>
      <c r="D109" s="223" t="str">
        <f>IFERROR(IF(DB_Customers!Q103&lt;&gt;"",DB_Customers!Q103,""),"")</f>
        <v/>
      </c>
      <c r="E109" s="221" t="str">
        <f>IFERROR(IF(DB_Customers!R103&lt;&gt;"",DB_Customers!R103,""),"")</f>
        <v/>
      </c>
      <c r="F109" s="222" t="str">
        <f>IFERROR(IF(DB_Customers!S103&lt;&gt;"",DB_Customers!S103,""),"")</f>
        <v/>
      </c>
      <c r="G109" s="222" t="str">
        <f>IFERROR(IF(DB_Customers!G103&lt;&gt;"",DB_Customers!G103,""),"")</f>
        <v/>
      </c>
      <c r="H109" s="221" t="str">
        <f>IFERROR(IF(DB_Customers!H103&lt;&gt;"",DB_Customers!H103,""),"")</f>
        <v/>
      </c>
      <c r="I109" s="224" t="str">
        <f>IFERROR(IF(DB_Customers!I103&lt;&gt;"",DB_Customers!I103,""),"")</f>
        <v/>
      </c>
      <c r="J109" s="225" t="str">
        <f>IFERROR(IF(DB_Customers!J103&lt;&gt;"",DB_Customers!J103,""),"")</f>
        <v/>
      </c>
      <c r="K109" s="222" t="str">
        <f>IFERROR(IF(DB_Customers!E103&lt;&gt;"",DB_Customers!E103,""),"")</f>
        <v/>
      </c>
      <c r="L109" s="222" t="str">
        <f>IFERROR(IF(DB_Customers!F103&lt;&gt;"",DB_Customers!F103,""),"")</f>
        <v/>
      </c>
      <c r="M109" s="222" t="str">
        <f>IFERROR(IF(DB_Customers!T103&lt;&gt;"",DB_Customers!T103,""),"")</f>
        <v/>
      </c>
      <c r="N109" s="221" t="str">
        <f>IFERROR(IF(DB_Customers!A103&lt;&gt;"",IF(DB_Customers!I103&gt;=10,"Active","Inactive"),""),"")</f>
        <v/>
      </c>
    </row>
    <row r="110" spans="1:14" ht="18" customHeight="1" x14ac:dyDescent="0.25">
      <c r="A110" s="216" t="str">
        <f>IF(DB_Customers!A104&lt;&gt;"",ROW()-9,"")</f>
        <v/>
      </c>
      <c r="B110" s="216" t="str">
        <f>IFERROR(IF(DB_Customers!A104&lt;&gt;"",DB_Customers!A104,""),"")</f>
        <v/>
      </c>
      <c r="C110" s="217" t="str">
        <f>IFERROR(IF(DB_Customers!D104&lt;&gt;"",DB_Customers!D104,""),"")</f>
        <v/>
      </c>
      <c r="D110" s="218" t="str">
        <f>IFERROR(IF(DB_Customers!Q104&lt;&gt;"",DB_Customers!Q104,""),"")</f>
        <v/>
      </c>
      <c r="E110" s="216" t="str">
        <f>IFERROR(IF(DB_Customers!R104&lt;&gt;"",DB_Customers!R104,""),"")</f>
        <v/>
      </c>
      <c r="F110" s="217" t="str">
        <f>IFERROR(IF(DB_Customers!S104&lt;&gt;"",DB_Customers!S104,""),"")</f>
        <v/>
      </c>
      <c r="G110" s="217" t="str">
        <f>IFERROR(IF(DB_Customers!G104&lt;&gt;"",DB_Customers!G104,""),"")</f>
        <v/>
      </c>
      <c r="H110" s="216" t="str">
        <f>IFERROR(IF(DB_Customers!H104&lt;&gt;"",DB_Customers!H104,""),"")</f>
        <v/>
      </c>
      <c r="I110" s="219" t="str">
        <f>IFERROR(IF(DB_Customers!I104&lt;&gt;"",DB_Customers!I104,""),"")</f>
        <v/>
      </c>
      <c r="J110" s="220" t="str">
        <f>IFERROR(IF(DB_Customers!J104&lt;&gt;"",DB_Customers!J104,""),"")</f>
        <v/>
      </c>
      <c r="K110" s="217" t="str">
        <f>IFERROR(IF(DB_Customers!E104&lt;&gt;"",DB_Customers!E104,""),"")</f>
        <v/>
      </c>
      <c r="L110" s="217" t="str">
        <f>IFERROR(IF(DB_Customers!F104&lt;&gt;"",DB_Customers!F104,""),"")</f>
        <v/>
      </c>
      <c r="M110" s="217" t="str">
        <f>IFERROR(IF(DB_Customers!T104&lt;&gt;"",DB_Customers!T104,""),"")</f>
        <v/>
      </c>
      <c r="N110" s="216" t="str">
        <f>IFERROR(IF(DB_Customers!A104&lt;&gt;"",IF(DB_Customers!I104&gt;=10,"Active","Inactive"),""),"")</f>
        <v/>
      </c>
    </row>
    <row r="111" spans="1:14" ht="18" customHeight="1" x14ac:dyDescent="0.25">
      <c r="A111" s="221" t="str">
        <f>IF(DB_Customers!A105&lt;&gt;"",ROW()-9,"")</f>
        <v/>
      </c>
      <c r="B111" s="221" t="str">
        <f>IFERROR(IF(DB_Customers!A105&lt;&gt;"",DB_Customers!A105,""),"")</f>
        <v/>
      </c>
      <c r="C111" s="222" t="str">
        <f>IFERROR(IF(DB_Customers!D105&lt;&gt;"",DB_Customers!D105,""),"")</f>
        <v/>
      </c>
      <c r="D111" s="223" t="str">
        <f>IFERROR(IF(DB_Customers!Q105&lt;&gt;"",DB_Customers!Q105,""),"")</f>
        <v/>
      </c>
      <c r="E111" s="221" t="str">
        <f>IFERROR(IF(DB_Customers!R105&lt;&gt;"",DB_Customers!R105,""),"")</f>
        <v/>
      </c>
      <c r="F111" s="222" t="str">
        <f>IFERROR(IF(DB_Customers!S105&lt;&gt;"",DB_Customers!S105,""),"")</f>
        <v/>
      </c>
      <c r="G111" s="222" t="str">
        <f>IFERROR(IF(DB_Customers!G105&lt;&gt;"",DB_Customers!G105,""),"")</f>
        <v/>
      </c>
      <c r="H111" s="221" t="str">
        <f>IFERROR(IF(DB_Customers!H105&lt;&gt;"",DB_Customers!H105,""),"")</f>
        <v/>
      </c>
      <c r="I111" s="224" t="str">
        <f>IFERROR(IF(DB_Customers!I105&lt;&gt;"",DB_Customers!I105,""),"")</f>
        <v/>
      </c>
      <c r="J111" s="225" t="str">
        <f>IFERROR(IF(DB_Customers!J105&lt;&gt;"",DB_Customers!J105,""),"")</f>
        <v/>
      </c>
      <c r="K111" s="222" t="str">
        <f>IFERROR(IF(DB_Customers!E105&lt;&gt;"",DB_Customers!E105,""),"")</f>
        <v/>
      </c>
      <c r="L111" s="222" t="str">
        <f>IFERROR(IF(DB_Customers!F105&lt;&gt;"",DB_Customers!F105,""),"")</f>
        <v/>
      </c>
      <c r="M111" s="222" t="str">
        <f>IFERROR(IF(DB_Customers!T105&lt;&gt;"",DB_Customers!T105,""),"")</f>
        <v/>
      </c>
      <c r="N111" s="221" t="str">
        <f>IFERROR(IF(DB_Customers!A105&lt;&gt;"",IF(DB_Customers!I105&gt;=10,"Active","Inactive"),""),"")</f>
        <v/>
      </c>
    </row>
    <row r="112" spans="1:14" ht="18" customHeight="1" x14ac:dyDescent="0.25">
      <c r="A112" s="216" t="str">
        <f>IF(DB_Customers!A106&lt;&gt;"",ROW()-9,"")</f>
        <v/>
      </c>
      <c r="B112" s="216" t="str">
        <f>IFERROR(IF(DB_Customers!A106&lt;&gt;"",DB_Customers!A106,""),"")</f>
        <v/>
      </c>
      <c r="C112" s="217" t="str">
        <f>IFERROR(IF(DB_Customers!D106&lt;&gt;"",DB_Customers!D106,""),"")</f>
        <v/>
      </c>
      <c r="D112" s="218" t="str">
        <f>IFERROR(IF(DB_Customers!Q106&lt;&gt;"",DB_Customers!Q106,""),"")</f>
        <v/>
      </c>
      <c r="E112" s="216" t="str">
        <f>IFERROR(IF(DB_Customers!R106&lt;&gt;"",DB_Customers!R106,""),"")</f>
        <v/>
      </c>
      <c r="F112" s="217" t="str">
        <f>IFERROR(IF(DB_Customers!S106&lt;&gt;"",DB_Customers!S106,""),"")</f>
        <v/>
      </c>
      <c r="G112" s="217" t="str">
        <f>IFERROR(IF(DB_Customers!G106&lt;&gt;"",DB_Customers!G106,""),"")</f>
        <v/>
      </c>
      <c r="H112" s="216" t="str">
        <f>IFERROR(IF(DB_Customers!H106&lt;&gt;"",DB_Customers!H106,""),"")</f>
        <v/>
      </c>
      <c r="I112" s="219" t="str">
        <f>IFERROR(IF(DB_Customers!I106&lt;&gt;"",DB_Customers!I106,""),"")</f>
        <v/>
      </c>
      <c r="J112" s="220" t="str">
        <f>IFERROR(IF(DB_Customers!J106&lt;&gt;"",DB_Customers!J106,""),"")</f>
        <v/>
      </c>
      <c r="K112" s="217" t="str">
        <f>IFERROR(IF(DB_Customers!E106&lt;&gt;"",DB_Customers!E106,""),"")</f>
        <v/>
      </c>
      <c r="L112" s="217" t="str">
        <f>IFERROR(IF(DB_Customers!F106&lt;&gt;"",DB_Customers!F106,""),"")</f>
        <v/>
      </c>
      <c r="M112" s="217" t="str">
        <f>IFERROR(IF(DB_Customers!T106&lt;&gt;"",DB_Customers!T106,""),"")</f>
        <v/>
      </c>
      <c r="N112" s="216" t="str">
        <f>IFERROR(IF(DB_Customers!A106&lt;&gt;"",IF(DB_Customers!I106&gt;=10,"Active","Inactive"),""),"")</f>
        <v/>
      </c>
    </row>
    <row r="113" spans="1:14" ht="18" customHeight="1" x14ac:dyDescent="0.25">
      <c r="A113" s="221" t="str">
        <f>IF(DB_Customers!A107&lt;&gt;"",ROW()-9,"")</f>
        <v/>
      </c>
      <c r="B113" s="221" t="str">
        <f>IFERROR(IF(DB_Customers!A107&lt;&gt;"",DB_Customers!A107,""),"")</f>
        <v/>
      </c>
      <c r="C113" s="222" t="str">
        <f>IFERROR(IF(DB_Customers!D107&lt;&gt;"",DB_Customers!D107,""),"")</f>
        <v/>
      </c>
      <c r="D113" s="223" t="str">
        <f>IFERROR(IF(DB_Customers!Q107&lt;&gt;"",DB_Customers!Q107,""),"")</f>
        <v/>
      </c>
      <c r="E113" s="221" t="str">
        <f>IFERROR(IF(DB_Customers!R107&lt;&gt;"",DB_Customers!R107,""),"")</f>
        <v/>
      </c>
      <c r="F113" s="222" t="str">
        <f>IFERROR(IF(DB_Customers!S107&lt;&gt;"",DB_Customers!S107,""),"")</f>
        <v/>
      </c>
      <c r="G113" s="222" t="str">
        <f>IFERROR(IF(DB_Customers!G107&lt;&gt;"",DB_Customers!G107,""),"")</f>
        <v/>
      </c>
      <c r="H113" s="221" t="str">
        <f>IFERROR(IF(DB_Customers!H107&lt;&gt;"",DB_Customers!H107,""),"")</f>
        <v/>
      </c>
      <c r="I113" s="224" t="str">
        <f>IFERROR(IF(DB_Customers!I107&lt;&gt;"",DB_Customers!I107,""),"")</f>
        <v/>
      </c>
      <c r="J113" s="225" t="str">
        <f>IFERROR(IF(DB_Customers!J107&lt;&gt;"",DB_Customers!J107,""),"")</f>
        <v/>
      </c>
      <c r="K113" s="222" t="str">
        <f>IFERROR(IF(DB_Customers!E107&lt;&gt;"",DB_Customers!E107,""),"")</f>
        <v/>
      </c>
      <c r="L113" s="222" t="str">
        <f>IFERROR(IF(DB_Customers!F107&lt;&gt;"",DB_Customers!F107,""),"")</f>
        <v/>
      </c>
      <c r="M113" s="222" t="str">
        <f>IFERROR(IF(DB_Customers!T107&lt;&gt;"",DB_Customers!T107,""),"")</f>
        <v/>
      </c>
      <c r="N113" s="221" t="str">
        <f>IFERROR(IF(DB_Customers!A107&lt;&gt;"",IF(DB_Customers!I107&gt;=10,"Active","Inactive"),""),"")</f>
        <v/>
      </c>
    </row>
    <row r="114" spans="1:14" ht="18" customHeight="1" x14ac:dyDescent="0.25">
      <c r="A114" s="216" t="str">
        <f>IF(DB_Customers!A108&lt;&gt;"",ROW()-9,"")</f>
        <v/>
      </c>
      <c r="B114" s="216" t="str">
        <f>IFERROR(IF(DB_Customers!A108&lt;&gt;"",DB_Customers!A108,""),"")</f>
        <v/>
      </c>
      <c r="C114" s="217" t="str">
        <f>IFERROR(IF(DB_Customers!D108&lt;&gt;"",DB_Customers!D108,""),"")</f>
        <v/>
      </c>
      <c r="D114" s="218" t="str">
        <f>IFERROR(IF(DB_Customers!Q108&lt;&gt;"",DB_Customers!Q108,""),"")</f>
        <v/>
      </c>
      <c r="E114" s="216" t="str">
        <f>IFERROR(IF(DB_Customers!R108&lt;&gt;"",DB_Customers!R108,""),"")</f>
        <v/>
      </c>
      <c r="F114" s="217" t="str">
        <f>IFERROR(IF(DB_Customers!S108&lt;&gt;"",DB_Customers!S108,""),"")</f>
        <v/>
      </c>
      <c r="G114" s="217" t="str">
        <f>IFERROR(IF(DB_Customers!G108&lt;&gt;"",DB_Customers!G108,""),"")</f>
        <v/>
      </c>
      <c r="H114" s="216" t="str">
        <f>IFERROR(IF(DB_Customers!H108&lt;&gt;"",DB_Customers!H108,""),"")</f>
        <v/>
      </c>
      <c r="I114" s="219" t="str">
        <f>IFERROR(IF(DB_Customers!I108&lt;&gt;"",DB_Customers!I108,""),"")</f>
        <v/>
      </c>
      <c r="J114" s="220" t="str">
        <f>IFERROR(IF(DB_Customers!J108&lt;&gt;"",DB_Customers!J108,""),"")</f>
        <v/>
      </c>
      <c r="K114" s="217" t="str">
        <f>IFERROR(IF(DB_Customers!E108&lt;&gt;"",DB_Customers!E108,""),"")</f>
        <v/>
      </c>
      <c r="L114" s="217" t="str">
        <f>IFERROR(IF(DB_Customers!F108&lt;&gt;"",DB_Customers!F108,""),"")</f>
        <v/>
      </c>
      <c r="M114" s="217" t="str">
        <f>IFERROR(IF(DB_Customers!T108&lt;&gt;"",DB_Customers!T108,""),"")</f>
        <v/>
      </c>
      <c r="N114" s="216" t="str">
        <f>IFERROR(IF(DB_Customers!A108&lt;&gt;"",IF(DB_Customers!I108&gt;=10,"Active","Inactive"),""),"")</f>
        <v/>
      </c>
    </row>
    <row r="115" spans="1:14" ht="18" customHeight="1" x14ac:dyDescent="0.25">
      <c r="A115" s="221" t="str">
        <f>IF(DB_Customers!A109&lt;&gt;"",ROW()-9,"")</f>
        <v/>
      </c>
      <c r="B115" s="221" t="str">
        <f>IFERROR(IF(DB_Customers!A109&lt;&gt;"",DB_Customers!A109,""),"")</f>
        <v/>
      </c>
      <c r="C115" s="222" t="str">
        <f>IFERROR(IF(DB_Customers!D109&lt;&gt;"",DB_Customers!D109,""),"")</f>
        <v/>
      </c>
      <c r="D115" s="223" t="str">
        <f>IFERROR(IF(DB_Customers!Q109&lt;&gt;"",DB_Customers!Q109,""),"")</f>
        <v/>
      </c>
      <c r="E115" s="221" t="str">
        <f>IFERROR(IF(DB_Customers!R109&lt;&gt;"",DB_Customers!R109,""),"")</f>
        <v/>
      </c>
      <c r="F115" s="222" t="str">
        <f>IFERROR(IF(DB_Customers!S109&lt;&gt;"",DB_Customers!S109,""),"")</f>
        <v/>
      </c>
      <c r="G115" s="222" t="str">
        <f>IFERROR(IF(DB_Customers!G109&lt;&gt;"",DB_Customers!G109,""),"")</f>
        <v/>
      </c>
      <c r="H115" s="221" t="str">
        <f>IFERROR(IF(DB_Customers!H109&lt;&gt;"",DB_Customers!H109,""),"")</f>
        <v/>
      </c>
      <c r="I115" s="224" t="str">
        <f>IFERROR(IF(DB_Customers!I109&lt;&gt;"",DB_Customers!I109,""),"")</f>
        <v/>
      </c>
      <c r="J115" s="225" t="str">
        <f>IFERROR(IF(DB_Customers!J109&lt;&gt;"",DB_Customers!J109,""),"")</f>
        <v/>
      </c>
      <c r="K115" s="222" t="str">
        <f>IFERROR(IF(DB_Customers!E109&lt;&gt;"",DB_Customers!E109,""),"")</f>
        <v/>
      </c>
      <c r="L115" s="222" t="str">
        <f>IFERROR(IF(DB_Customers!F109&lt;&gt;"",DB_Customers!F109,""),"")</f>
        <v/>
      </c>
      <c r="M115" s="222" t="str">
        <f>IFERROR(IF(DB_Customers!T109&lt;&gt;"",DB_Customers!T109,""),"")</f>
        <v/>
      </c>
      <c r="N115" s="221" t="str">
        <f>IFERROR(IF(DB_Customers!A109&lt;&gt;"",IF(DB_Customers!I109&gt;=10,"Active","Inactive"),""),"")</f>
        <v/>
      </c>
    </row>
    <row r="116" spans="1:14" ht="18" customHeight="1" x14ac:dyDescent="0.25">
      <c r="A116" s="216" t="str">
        <f>IF(DB_Customers!A110&lt;&gt;"",ROW()-9,"")</f>
        <v/>
      </c>
      <c r="B116" s="216" t="str">
        <f>IFERROR(IF(DB_Customers!A110&lt;&gt;"",DB_Customers!A110,""),"")</f>
        <v/>
      </c>
      <c r="C116" s="217" t="str">
        <f>IFERROR(IF(DB_Customers!D110&lt;&gt;"",DB_Customers!D110,""),"")</f>
        <v/>
      </c>
      <c r="D116" s="218" t="str">
        <f>IFERROR(IF(DB_Customers!Q110&lt;&gt;"",DB_Customers!Q110,""),"")</f>
        <v/>
      </c>
      <c r="E116" s="216" t="str">
        <f>IFERROR(IF(DB_Customers!R110&lt;&gt;"",DB_Customers!R110,""),"")</f>
        <v/>
      </c>
      <c r="F116" s="217" t="str">
        <f>IFERROR(IF(DB_Customers!S110&lt;&gt;"",DB_Customers!S110,""),"")</f>
        <v/>
      </c>
      <c r="G116" s="217" t="str">
        <f>IFERROR(IF(DB_Customers!G110&lt;&gt;"",DB_Customers!G110,""),"")</f>
        <v/>
      </c>
      <c r="H116" s="216" t="str">
        <f>IFERROR(IF(DB_Customers!H110&lt;&gt;"",DB_Customers!H110,""),"")</f>
        <v/>
      </c>
      <c r="I116" s="219" t="str">
        <f>IFERROR(IF(DB_Customers!I110&lt;&gt;"",DB_Customers!I110,""),"")</f>
        <v/>
      </c>
      <c r="J116" s="220" t="str">
        <f>IFERROR(IF(DB_Customers!J110&lt;&gt;"",DB_Customers!J110,""),"")</f>
        <v/>
      </c>
      <c r="K116" s="217" t="str">
        <f>IFERROR(IF(DB_Customers!E110&lt;&gt;"",DB_Customers!E110,""),"")</f>
        <v/>
      </c>
      <c r="L116" s="217" t="str">
        <f>IFERROR(IF(DB_Customers!F110&lt;&gt;"",DB_Customers!F110,""),"")</f>
        <v/>
      </c>
      <c r="M116" s="217" t="str">
        <f>IFERROR(IF(DB_Customers!T110&lt;&gt;"",DB_Customers!T110,""),"")</f>
        <v/>
      </c>
      <c r="N116" s="216" t="str">
        <f>IFERROR(IF(DB_Customers!A110&lt;&gt;"",IF(DB_Customers!I110&gt;=10,"Active","Inactive"),""),"")</f>
        <v/>
      </c>
    </row>
    <row r="117" spans="1:14" ht="18" customHeight="1" x14ac:dyDescent="0.25">
      <c r="A117" s="221" t="str">
        <f>IF(DB_Customers!A111&lt;&gt;"",ROW()-9,"")</f>
        <v/>
      </c>
      <c r="B117" s="221" t="str">
        <f>IFERROR(IF(DB_Customers!A111&lt;&gt;"",DB_Customers!A111,""),"")</f>
        <v/>
      </c>
      <c r="C117" s="222" t="str">
        <f>IFERROR(IF(DB_Customers!D111&lt;&gt;"",DB_Customers!D111,""),"")</f>
        <v/>
      </c>
      <c r="D117" s="223" t="str">
        <f>IFERROR(IF(DB_Customers!Q111&lt;&gt;"",DB_Customers!Q111,""),"")</f>
        <v/>
      </c>
      <c r="E117" s="221" t="str">
        <f>IFERROR(IF(DB_Customers!R111&lt;&gt;"",DB_Customers!R111,""),"")</f>
        <v/>
      </c>
      <c r="F117" s="222" t="str">
        <f>IFERROR(IF(DB_Customers!S111&lt;&gt;"",DB_Customers!S111,""),"")</f>
        <v/>
      </c>
      <c r="G117" s="222" t="str">
        <f>IFERROR(IF(DB_Customers!G111&lt;&gt;"",DB_Customers!G111,""),"")</f>
        <v/>
      </c>
      <c r="H117" s="221" t="str">
        <f>IFERROR(IF(DB_Customers!H111&lt;&gt;"",DB_Customers!H111,""),"")</f>
        <v/>
      </c>
      <c r="I117" s="224" t="str">
        <f>IFERROR(IF(DB_Customers!I111&lt;&gt;"",DB_Customers!I111,""),"")</f>
        <v/>
      </c>
      <c r="J117" s="225" t="str">
        <f>IFERROR(IF(DB_Customers!J111&lt;&gt;"",DB_Customers!J111,""),"")</f>
        <v/>
      </c>
      <c r="K117" s="222" t="str">
        <f>IFERROR(IF(DB_Customers!E111&lt;&gt;"",DB_Customers!E111,""),"")</f>
        <v/>
      </c>
      <c r="L117" s="222" t="str">
        <f>IFERROR(IF(DB_Customers!F111&lt;&gt;"",DB_Customers!F111,""),"")</f>
        <v/>
      </c>
      <c r="M117" s="222" t="str">
        <f>IFERROR(IF(DB_Customers!T111&lt;&gt;"",DB_Customers!T111,""),"")</f>
        <v/>
      </c>
      <c r="N117" s="221" t="str">
        <f>IFERROR(IF(DB_Customers!A111&lt;&gt;"",IF(DB_Customers!I111&gt;=10,"Active","Inactive"),""),"")</f>
        <v/>
      </c>
    </row>
    <row r="118" spans="1:14" ht="18" customHeight="1" x14ac:dyDescent="0.25">
      <c r="A118" s="216" t="str">
        <f>IF(DB_Customers!A112&lt;&gt;"",ROW()-9,"")</f>
        <v/>
      </c>
      <c r="B118" s="216" t="str">
        <f>IFERROR(IF(DB_Customers!A112&lt;&gt;"",DB_Customers!A112,""),"")</f>
        <v/>
      </c>
      <c r="C118" s="217" t="str">
        <f>IFERROR(IF(DB_Customers!D112&lt;&gt;"",DB_Customers!D112,""),"")</f>
        <v/>
      </c>
      <c r="D118" s="218" t="str">
        <f>IFERROR(IF(DB_Customers!Q112&lt;&gt;"",DB_Customers!Q112,""),"")</f>
        <v/>
      </c>
      <c r="E118" s="216" t="str">
        <f>IFERROR(IF(DB_Customers!R112&lt;&gt;"",DB_Customers!R112,""),"")</f>
        <v/>
      </c>
      <c r="F118" s="217" t="str">
        <f>IFERROR(IF(DB_Customers!S112&lt;&gt;"",DB_Customers!S112,""),"")</f>
        <v/>
      </c>
      <c r="G118" s="217" t="str">
        <f>IFERROR(IF(DB_Customers!G112&lt;&gt;"",DB_Customers!G112,""),"")</f>
        <v/>
      </c>
      <c r="H118" s="216" t="str">
        <f>IFERROR(IF(DB_Customers!H112&lt;&gt;"",DB_Customers!H112,""),"")</f>
        <v/>
      </c>
      <c r="I118" s="219" t="str">
        <f>IFERROR(IF(DB_Customers!I112&lt;&gt;"",DB_Customers!I112,""),"")</f>
        <v/>
      </c>
      <c r="J118" s="220" t="str">
        <f>IFERROR(IF(DB_Customers!J112&lt;&gt;"",DB_Customers!J112,""),"")</f>
        <v/>
      </c>
      <c r="K118" s="217" t="str">
        <f>IFERROR(IF(DB_Customers!E112&lt;&gt;"",DB_Customers!E112,""),"")</f>
        <v/>
      </c>
      <c r="L118" s="217" t="str">
        <f>IFERROR(IF(DB_Customers!F112&lt;&gt;"",DB_Customers!F112,""),"")</f>
        <v/>
      </c>
      <c r="M118" s="217" t="str">
        <f>IFERROR(IF(DB_Customers!T112&lt;&gt;"",DB_Customers!T112,""),"")</f>
        <v/>
      </c>
      <c r="N118" s="216" t="str">
        <f>IFERROR(IF(DB_Customers!A112&lt;&gt;"",IF(DB_Customers!I112&gt;=10,"Active","Inactive"),""),"")</f>
        <v/>
      </c>
    </row>
    <row r="119" spans="1:14" ht="18" customHeight="1" x14ac:dyDescent="0.25">
      <c r="A119" s="221" t="str">
        <f>IF(DB_Customers!A113&lt;&gt;"",ROW()-9,"")</f>
        <v/>
      </c>
      <c r="B119" s="221" t="str">
        <f>IFERROR(IF(DB_Customers!A113&lt;&gt;"",DB_Customers!A113,""),"")</f>
        <v/>
      </c>
      <c r="C119" s="222" t="str">
        <f>IFERROR(IF(DB_Customers!D113&lt;&gt;"",DB_Customers!D113,""),"")</f>
        <v/>
      </c>
      <c r="D119" s="223" t="str">
        <f>IFERROR(IF(DB_Customers!Q113&lt;&gt;"",DB_Customers!Q113,""),"")</f>
        <v/>
      </c>
      <c r="E119" s="221" t="str">
        <f>IFERROR(IF(DB_Customers!R113&lt;&gt;"",DB_Customers!R113,""),"")</f>
        <v/>
      </c>
      <c r="F119" s="222" t="str">
        <f>IFERROR(IF(DB_Customers!S113&lt;&gt;"",DB_Customers!S113,""),"")</f>
        <v/>
      </c>
      <c r="G119" s="222" t="str">
        <f>IFERROR(IF(DB_Customers!G113&lt;&gt;"",DB_Customers!G113,""),"")</f>
        <v/>
      </c>
      <c r="H119" s="221" t="str">
        <f>IFERROR(IF(DB_Customers!H113&lt;&gt;"",DB_Customers!H113,""),"")</f>
        <v/>
      </c>
      <c r="I119" s="224" t="str">
        <f>IFERROR(IF(DB_Customers!I113&lt;&gt;"",DB_Customers!I113,""),"")</f>
        <v/>
      </c>
      <c r="J119" s="225" t="str">
        <f>IFERROR(IF(DB_Customers!J113&lt;&gt;"",DB_Customers!J113,""),"")</f>
        <v/>
      </c>
      <c r="K119" s="222" t="str">
        <f>IFERROR(IF(DB_Customers!E113&lt;&gt;"",DB_Customers!E113,""),"")</f>
        <v/>
      </c>
      <c r="L119" s="222" t="str">
        <f>IFERROR(IF(DB_Customers!F113&lt;&gt;"",DB_Customers!F113,""),"")</f>
        <v/>
      </c>
      <c r="M119" s="222" t="str">
        <f>IFERROR(IF(DB_Customers!T113&lt;&gt;"",DB_Customers!T113,""),"")</f>
        <v/>
      </c>
      <c r="N119" s="221" t="str">
        <f>IFERROR(IF(DB_Customers!A113&lt;&gt;"",IF(DB_Customers!I113&gt;=10,"Active","Inactive"),""),"")</f>
        <v/>
      </c>
    </row>
    <row r="120" spans="1:14" ht="18" customHeight="1" x14ac:dyDescent="0.25">
      <c r="A120" s="216" t="str">
        <f>IF(DB_Customers!A114&lt;&gt;"",ROW()-9,"")</f>
        <v/>
      </c>
      <c r="B120" s="216" t="str">
        <f>IFERROR(IF(DB_Customers!A114&lt;&gt;"",DB_Customers!A114,""),"")</f>
        <v/>
      </c>
      <c r="C120" s="217" t="str">
        <f>IFERROR(IF(DB_Customers!D114&lt;&gt;"",DB_Customers!D114,""),"")</f>
        <v/>
      </c>
      <c r="D120" s="218" t="str">
        <f>IFERROR(IF(DB_Customers!Q114&lt;&gt;"",DB_Customers!Q114,""),"")</f>
        <v/>
      </c>
      <c r="E120" s="216" t="str">
        <f>IFERROR(IF(DB_Customers!R114&lt;&gt;"",DB_Customers!R114,""),"")</f>
        <v/>
      </c>
      <c r="F120" s="217" t="str">
        <f>IFERROR(IF(DB_Customers!S114&lt;&gt;"",DB_Customers!S114,""),"")</f>
        <v/>
      </c>
      <c r="G120" s="217" t="str">
        <f>IFERROR(IF(DB_Customers!G114&lt;&gt;"",DB_Customers!G114,""),"")</f>
        <v/>
      </c>
      <c r="H120" s="216" t="str">
        <f>IFERROR(IF(DB_Customers!H114&lt;&gt;"",DB_Customers!H114,""),"")</f>
        <v/>
      </c>
      <c r="I120" s="219" t="str">
        <f>IFERROR(IF(DB_Customers!I114&lt;&gt;"",DB_Customers!I114,""),"")</f>
        <v/>
      </c>
      <c r="J120" s="220" t="str">
        <f>IFERROR(IF(DB_Customers!J114&lt;&gt;"",DB_Customers!J114,""),"")</f>
        <v/>
      </c>
      <c r="K120" s="217" t="str">
        <f>IFERROR(IF(DB_Customers!E114&lt;&gt;"",DB_Customers!E114,""),"")</f>
        <v/>
      </c>
      <c r="L120" s="217" t="str">
        <f>IFERROR(IF(DB_Customers!F114&lt;&gt;"",DB_Customers!F114,""),"")</f>
        <v/>
      </c>
      <c r="M120" s="217" t="str">
        <f>IFERROR(IF(DB_Customers!T114&lt;&gt;"",DB_Customers!T114,""),"")</f>
        <v/>
      </c>
      <c r="N120" s="216" t="str">
        <f>IFERROR(IF(DB_Customers!A114&lt;&gt;"",IF(DB_Customers!I114&gt;=10,"Active","Inactive"),""),"")</f>
        <v/>
      </c>
    </row>
    <row r="121" spans="1:14" ht="18" customHeight="1" x14ac:dyDescent="0.25">
      <c r="A121" s="221" t="str">
        <f>IF(DB_Customers!A115&lt;&gt;"",ROW()-9,"")</f>
        <v/>
      </c>
      <c r="B121" s="221" t="str">
        <f>IFERROR(IF(DB_Customers!A115&lt;&gt;"",DB_Customers!A115,""),"")</f>
        <v/>
      </c>
      <c r="C121" s="222" t="str">
        <f>IFERROR(IF(DB_Customers!D115&lt;&gt;"",DB_Customers!D115,""),"")</f>
        <v/>
      </c>
      <c r="D121" s="223" t="str">
        <f>IFERROR(IF(DB_Customers!Q115&lt;&gt;"",DB_Customers!Q115,""),"")</f>
        <v/>
      </c>
      <c r="E121" s="221" t="str">
        <f>IFERROR(IF(DB_Customers!R115&lt;&gt;"",DB_Customers!R115,""),"")</f>
        <v/>
      </c>
      <c r="F121" s="222" t="str">
        <f>IFERROR(IF(DB_Customers!S115&lt;&gt;"",DB_Customers!S115,""),"")</f>
        <v/>
      </c>
      <c r="G121" s="222" t="str">
        <f>IFERROR(IF(DB_Customers!G115&lt;&gt;"",DB_Customers!G115,""),"")</f>
        <v/>
      </c>
      <c r="H121" s="221" t="str">
        <f>IFERROR(IF(DB_Customers!H115&lt;&gt;"",DB_Customers!H115,""),"")</f>
        <v/>
      </c>
      <c r="I121" s="224" t="str">
        <f>IFERROR(IF(DB_Customers!I115&lt;&gt;"",DB_Customers!I115,""),"")</f>
        <v/>
      </c>
      <c r="J121" s="225" t="str">
        <f>IFERROR(IF(DB_Customers!J115&lt;&gt;"",DB_Customers!J115,""),"")</f>
        <v/>
      </c>
      <c r="K121" s="222" t="str">
        <f>IFERROR(IF(DB_Customers!E115&lt;&gt;"",DB_Customers!E115,""),"")</f>
        <v/>
      </c>
      <c r="L121" s="222" t="str">
        <f>IFERROR(IF(DB_Customers!F115&lt;&gt;"",DB_Customers!F115,""),"")</f>
        <v/>
      </c>
      <c r="M121" s="222" t="str">
        <f>IFERROR(IF(DB_Customers!T115&lt;&gt;"",DB_Customers!T115,""),"")</f>
        <v/>
      </c>
      <c r="N121" s="221" t="str">
        <f>IFERROR(IF(DB_Customers!A115&lt;&gt;"",IF(DB_Customers!I115&gt;=10,"Active","Inactive"),""),"")</f>
        <v/>
      </c>
    </row>
    <row r="122" spans="1:14" ht="18" customHeight="1" x14ac:dyDescent="0.25">
      <c r="A122" s="216" t="str">
        <f>IF(DB_Customers!A116&lt;&gt;"",ROW()-9,"")</f>
        <v/>
      </c>
      <c r="B122" s="216" t="str">
        <f>IFERROR(IF(DB_Customers!A116&lt;&gt;"",DB_Customers!A116,""),"")</f>
        <v/>
      </c>
      <c r="C122" s="217" t="str">
        <f>IFERROR(IF(DB_Customers!D116&lt;&gt;"",DB_Customers!D116,""),"")</f>
        <v/>
      </c>
      <c r="D122" s="218" t="str">
        <f>IFERROR(IF(DB_Customers!Q116&lt;&gt;"",DB_Customers!Q116,""),"")</f>
        <v/>
      </c>
      <c r="E122" s="216" t="str">
        <f>IFERROR(IF(DB_Customers!R116&lt;&gt;"",DB_Customers!R116,""),"")</f>
        <v/>
      </c>
      <c r="F122" s="217" t="str">
        <f>IFERROR(IF(DB_Customers!S116&lt;&gt;"",DB_Customers!S116,""),"")</f>
        <v/>
      </c>
      <c r="G122" s="217" t="str">
        <f>IFERROR(IF(DB_Customers!G116&lt;&gt;"",DB_Customers!G116,""),"")</f>
        <v/>
      </c>
      <c r="H122" s="216" t="str">
        <f>IFERROR(IF(DB_Customers!H116&lt;&gt;"",DB_Customers!H116,""),"")</f>
        <v/>
      </c>
      <c r="I122" s="219" t="str">
        <f>IFERROR(IF(DB_Customers!I116&lt;&gt;"",DB_Customers!I116,""),"")</f>
        <v/>
      </c>
      <c r="J122" s="220" t="str">
        <f>IFERROR(IF(DB_Customers!J116&lt;&gt;"",DB_Customers!J116,""),"")</f>
        <v/>
      </c>
      <c r="K122" s="217" t="str">
        <f>IFERROR(IF(DB_Customers!E116&lt;&gt;"",DB_Customers!E116,""),"")</f>
        <v/>
      </c>
      <c r="L122" s="217" t="str">
        <f>IFERROR(IF(DB_Customers!F116&lt;&gt;"",DB_Customers!F116,""),"")</f>
        <v/>
      </c>
      <c r="M122" s="217" t="str">
        <f>IFERROR(IF(DB_Customers!T116&lt;&gt;"",DB_Customers!T116,""),"")</f>
        <v/>
      </c>
      <c r="N122" s="216" t="str">
        <f>IFERROR(IF(DB_Customers!A116&lt;&gt;"",IF(DB_Customers!I116&gt;=10,"Active","Inactive"),""),"")</f>
        <v/>
      </c>
    </row>
    <row r="123" spans="1:14" ht="18" customHeight="1" x14ac:dyDescent="0.25">
      <c r="A123" s="221" t="str">
        <f>IF(DB_Customers!A117&lt;&gt;"",ROW()-9,"")</f>
        <v/>
      </c>
      <c r="B123" s="221" t="str">
        <f>IFERROR(IF(DB_Customers!A117&lt;&gt;"",DB_Customers!A117,""),"")</f>
        <v/>
      </c>
      <c r="C123" s="222" t="str">
        <f>IFERROR(IF(DB_Customers!D117&lt;&gt;"",DB_Customers!D117,""),"")</f>
        <v/>
      </c>
      <c r="D123" s="223" t="str">
        <f>IFERROR(IF(DB_Customers!Q117&lt;&gt;"",DB_Customers!Q117,""),"")</f>
        <v/>
      </c>
      <c r="E123" s="221" t="str">
        <f>IFERROR(IF(DB_Customers!R117&lt;&gt;"",DB_Customers!R117,""),"")</f>
        <v/>
      </c>
      <c r="F123" s="222" t="str">
        <f>IFERROR(IF(DB_Customers!S117&lt;&gt;"",DB_Customers!S117,""),"")</f>
        <v/>
      </c>
      <c r="G123" s="222" t="str">
        <f>IFERROR(IF(DB_Customers!G117&lt;&gt;"",DB_Customers!G117,""),"")</f>
        <v/>
      </c>
      <c r="H123" s="221" t="str">
        <f>IFERROR(IF(DB_Customers!H117&lt;&gt;"",DB_Customers!H117,""),"")</f>
        <v/>
      </c>
      <c r="I123" s="224" t="str">
        <f>IFERROR(IF(DB_Customers!I117&lt;&gt;"",DB_Customers!I117,""),"")</f>
        <v/>
      </c>
      <c r="J123" s="225" t="str">
        <f>IFERROR(IF(DB_Customers!J117&lt;&gt;"",DB_Customers!J117,""),"")</f>
        <v/>
      </c>
      <c r="K123" s="222" t="str">
        <f>IFERROR(IF(DB_Customers!E117&lt;&gt;"",DB_Customers!E117,""),"")</f>
        <v/>
      </c>
      <c r="L123" s="222" t="str">
        <f>IFERROR(IF(DB_Customers!F117&lt;&gt;"",DB_Customers!F117,""),"")</f>
        <v/>
      </c>
      <c r="M123" s="222" t="str">
        <f>IFERROR(IF(DB_Customers!T117&lt;&gt;"",DB_Customers!T117,""),"")</f>
        <v/>
      </c>
      <c r="N123" s="221" t="str">
        <f>IFERROR(IF(DB_Customers!A117&lt;&gt;"",IF(DB_Customers!I117&gt;=10,"Active","Inactive"),""),"")</f>
        <v/>
      </c>
    </row>
    <row r="124" spans="1:14" ht="18" customHeight="1" x14ac:dyDescent="0.25">
      <c r="A124" s="216" t="str">
        <f>IF(DB_Customers!A118&lt;&gt;"",ROW()-9,"")</f>
        <v/>
      </c>
      <c r="B124" s="216" t="str">
        <f>IFERROR(IF(DB_Customers!A118&lt;&gt;"",DB_Customers!A118,""),"")</f>
        <v/>
      </c>
      <c r="C124" s="217" t="str">
        <f>IFERROR(IF(DB_Customers!D118&lt;&gt;"",DB_Customers!D118,""),"")</f>
        <v/>
      </c>
      <c r="D124" s="218" t="str">
        <f>IFERROR(IF(DB_Customers!Q118&lt;&gt;"",DB_Customers!Q118,""),"")</f>
        <v/>
      </c>
      <c r="E124" s="216" t="str">
        <f>IFERROR(IF(DB_Customers!R118&lt;&gt;"",DB_Customers!R118,""),"")</f>
        <v/>
      </c>
      <c r="F124" s="217" t="str">
        <f>IFERROR(IF(DB_Customers!S118&lt;&gt;"",DB_Customers!S118,""),"")</f>
        <v/>
      </c>
      <c r="G124" s="217" t="str">
        <f>IFERROR(IF(DB_Customers!G118&lt;&gt;"",DB_Customers!G118,""),"")</f>
        <v/>
      </c>
      <c r="H124" s="216" t="str">
        <f>IFERROR(IF(DB_Customers!H118&lt;&gt;"",DB_Customers!H118,""),"")</f>
        <v/>
      </c>
      <c r="I124" s="219" t="str">
        <f>IFERROR(IF(DB_Customers!I118&lt;&gt;"",DB_Customers!I118,""),"")</f>
        <v/>
      </c>
      <c r="J124" s="220" t="str">
        <f>IFERROR(IF(DB_Customers!J118&lt;&gt;"",DB_Customers!J118,""),"")</f>
        <v/>
      </c>
      <c r="K124" s="217" t="str">
        <f>IFERROR(IF(DB_Customers!E118&lt;&gt;"",DB_Customers!E118,""),"")</f>
        <v/>
      </c>
      <c r="L124" s="217" t="str">
        <f>IFERROR(IF(DB_Customers!F118&lt;&gt;"",DB_Customers!F118,""),"")</f>
        <v/>
      </c>
      <c r="M124" s="217" t="str">
        <f>IFERROR(IF(DB_Customers!T118&lt;&gt;"",DB_Customers!T118,""),"")</f>
        <v/>
      </c>
      <c r="N124" s="216" t="str">
        <f>IFERROR(IF(DB_Customers!A118&lt;&gt;"",IF(DB_Customers!I118&gt;=10,"Active","Inactive"),""),"")</f>
        <v/>
      </c>
    </row>
    <row r="125" spans="1:14" ht="18" customHeight="1" x14ac:dyDescent="0.25">
      <c r="A125" s="221" t="str">
        <f>IF(DB_Customers!A119&lt;&gt;"",ROW()-9,"")</f>
        <v/>
      </c>
      <c r="B125" s="221" t="str">
        <f>IFERROR(IF(DB_Customers!A119&lt;&gt;"",DB_Customers!A119,""),"")</f>
        <v/>
      </c>
      <c r="C125" s="222" t="str">
        <f>IFERROR(IF(DB_Customers!D119&lt;&gt;"",DB_Customers!D119,""),"")</f>
        <v/>
      </c>
      <c r="D125" s="223" t="str">
        <f>IFERROR(IF(DB_Customers!Q119&lt;&gt;"",DB_Customers!Q119,""),"")</f>
        <v/>
      </c>
      <c r="E125" s="221" t="str">
        <f>IFERROR(IF(DB_Customers!R119&lt;&gt;"",DB_Customers!R119,""),"")</f>
        <v/>
      </c>
      <c r="F125" s="222" t="str">
        <f>IFERROR(IF(DB_Customers!S119&lt;&gt;"",DB_Customers!S119,""),"")</f>
        <v/>
      </c>
      <c r="G125" s="222" t="str">
        <f>IFERROR(IF(DB_Customers!G119&lt;&gt;"",DB_Customers!G119,""),"")</f>
        <v/>
      </c>
      <c r="H125" s="221" t="str">
        <f>IFERROR(IF(DB_Customers!H119&lt;&gt;"",DB_Customers!H119,""),"")</f>
        <v/>
      </c>
      <c r="I125" s="224" t="str">
        <f>IFERROR(IF(DB_Customers!I119&lt;&gt;"",DB_Customers!I119,""),"")</f>
        <v/>
      </c>
      <c r="J125" s="225" t="str">
        <f>IFERROR(IF(DB_Customers!J119&lt;&gt;"",DB_Customers!J119,""),"")</f>
        <v/>
      </c>
      <c r="K125" s="222" t="str">
        <f>IFERROR(IF(DB_Customers!E119&lt;&gt;"",DB_Customers!E119,""),"")</f>
        <v/>
      </c>
      <c r="L125" s="222" t="str">
        <f>IFERROR(IF(DB_Customers!F119&lt;&gt;"",DB_Customers!F119,""),"")</f>
        <v/>
      </c>
      <c r="M125" s="222" t="str">
        <f>IFERROR(IF(DB_Customers!T119&lt;&gt;"",DB_Customers!T119,""),"")</f>
        <v/>
      </c>
      <c r="N125" s="221" t="str">
        <f>IFERROR(IF(DB_Customers!A119&lt;&gt;"",IF(DB_Customers!I119&gt;=10,"Active","Inactive"),""),"")</f>
        <v/>
      </c>
    </row>
    <row r="126" spans="1:14" ht="18" customHeight="1" x14ac:dyDescent="0.25">
      <c r="A126" s="216" t="str">
        <f>IF(DB_Customers!A120&lt;&gt;"",ROW()-9,"")</f>
        <v/>
      </c>
      <c r="B126" s="216" t="str">
        <f>IFERROR(IF(DB_Customers!A120&lt;&gt;"",DB_Customers!A120,""),"")</f>
        <v/>
      </c>
      <c r="C126" s="217" t="str">
        <f>IFERROR(IF(DB_Customers!D120&lt;&gt;"",DB_Customers!D120,""),"")</f>
        <v/>
      </c>
      <c r="D126" s="218" t="str">
        <f>IFERROR(IF(DB_Customers!Q120&lt;&gt;"",DB_Customers!Q120,""),"")</f>
        <v/>
      </c>
      <c r="E126" s="216" t="str">
        <f>IFERROR(IF(DB_Customers!R120&lt;&gt;"",DB_Customers!R120,""),"")</f>
        <v/>
      </c>
      <c r="F126" s="217" t="str">
        <f>IFERROR(IF(DB_Customers!S120&lt;&gt;"",DB_Customers!S120,""),"")</f>
        <v/>
      </c>
      <c r="G126" s="217" t="str">
        <f>IFERROR(IF(DB_Customers!G120&lt;&gt;"",DB_Customers!G120,""),"")</f>
        <v/>
      </c>
      <c r="H126" s="216" t="str">
        <f>IFERROR(IF(DB_Customers!H120&lt;&gt;"",DB_Customers!H120,""),"")</f>
        <v/>
      </c>
      <c r="I126" s="219" t="str">
        <f>IFERROR(IF(DB_Customers!I120&lt;&gt;"",DB_Customers!I120,""),"")</f>
        <v/>
      </c>
      <c r="J126" s="220" t="str">
        <f>IFERROR(IF(DB_Customers!J120&lt;&gt;"",DB_Customers!J120,""),"")</f>
        <v/>
      </c>
      <c r="K126" s="217" t="str">
        <f>IFERROR(IF(DB_Customers!E120&lt;&gt;"",DB_Customers!E120,""),"")</f>
        <v/>
      </c>
      <c r="L126" s="217" t="str">
        <f>IFERROR(IF(DB_Customers!F120&lt;&gt;"",DB_Customers!F120,""),"")</f>
        <v/>
      </c>
      <c r="M126" s="217" t="str">
        <f>IFERROR(IF(DB_Customers!T120&lt;&gt;"",DB_Customers!T120,""),"")</f>
        <v/>
      </c>
      <c r="N126" s="216" t="str">
        <f>IFERROR(IF(DB_Customers!A120&lt;&gt;"",IF(DB_Customers!I120&gt;=10,"Active","Inactive"),""),"")</f>
        <v/>
      </c>
    </row>
    <row r="127" spans="1:14" ht="18" customHeight="1" x14ac:dyDescent="0.25">
      <c r="A127" s="221" t="str">
        <f>IF(DB_Customers!A121&lt;&gt;"",ROW()-9,"")</f>
        <v/>
      </c>
      <c r="B127" s="221" t="str">
        <f>IFERROR(IF(DB_Customers!A121&lt;&gt;"",DB_Customers!A121,""),"")</f>
        <v/>
      </c>
      <c r="C127" s="222" t="str">
        <f>IFERROR(IF(DB_Customers!D121&lt;&gt;"",DB_Customers!D121,""),"")</f>
        <v/>
      </c>
      <c r="D127" s="223" t="str">
        <f>IFERROR(IF(DB_Customers!Q121&lt;&gt;"",DB_Customers!Q121,""),"")</f>
        <v/>
      </c>
      <c r="E127" s="221" t="str">
        <f>IFERROR(IF(DB_Customers!R121&lt;&gt;"",DB_Customers!R121,""),"")</f>
        <v/>
      </c>
      <c r="F127" s="222" t="str">
        <f>IFERROR(IF(DB_Customers!S121&lt;&gt;"",DB_Customers!S121,""),"")</f>
        <v/>
      </c>
      <c r="G127" s="222" t="str">
        <f>IFERROR(IF(DB_Customers!G121&lt;&gt;"",DB_Customers!G121,""),"")</f>
        <v/>
      </c>
      <c r="H127" s="221" t="str">
        <f>IFERROR(IF(DB_Customers!H121&lt;&gt;"",DB_Customers!H121,""),"")</f>
        <v/>
      </c>
      <c r="I127" s="224" t="str">
        <f>IFERROR(IF(DB_Customers!I121&lt;&gt;"",DB_Customers!I121,""),"")</f>
        <v/>
      </c>
      <c r="J127" s="225" t="str">
        <f>IFERROR(IF(DB_Customers!J121&lt;&gt;"",DB_Customers!J121,""),"")</f>
        <v/>
      </c>
      <c r="K127" s="222" t="str">
        <f>IFERROR(IF(DB_Customers!E121&lt;&gt;"",DB_Customers!E121,""),"")</f>
        <v/>
      </c>
      <c r="L127" s="222" t="str">
        <f>IFERROR(IF(DB_Customers!F121&lt;&gt;"",DB_Customers!F121,""),"")</f>
        <v/>
      </c>
      <c r="M127" s="222" t="str">
        <f>IFERROR(IF(DB_Customers!T121&lt;&gt;"",DB_Customers!T121,""),"")</f>
        <v/>
      </c>
      <c r="N127" s="221" t="str">
        <f>IFERROR(IF(DB_Customers!A121&lt;&gt;"",IF(DB_Customers!I121&gt;=10,"Active","Inactive"),""),"")</f>
        <v/>
      </c>
    </row>
    <row r="128" spans="1:14" ht="18" customHeight="1" x14ac:dyDescent="0.25">
      <c r="A128" s="216" t="str">
        <f>IF(DB_Customers!A122&lt;&gt;"",ROW()-9,"")</f>
        <v/>
      </c>
      <c r="B128" s="216" t="str">
        <f>IFERROR(IF(DB_Customers!A122&lt;&gt;"",DB_Customers!A122,""),"")</f>
        <v/>
      </c>
      <c r="C128" s="217" t="str">
        <f>IFERROR(IF(DB_Customers!D122&lt;&gt;"",DB_Customers!D122,""),"")</f>
        <v/>
      </c>
      <c r="D128" s="218" t="str">
        <f>IFERROR(IF(DB_Customers!Q122&lt;&gt;"",DB_Customers!Q122,""),"")</f>
        <v/>
      </c>
      <c r="E128" s="216" t="str">
        <f>IFERROR(IF(DB_Customers!R122&lt;&gt;"",DB_Customers!R122,""),"")</f>
        <v/>
      </c>
      <c r="F128" s="217" t="str">
        <f>IFERROR(IF(DB_Customers!S122&lt;&gt;"",DB_Customers!S122,""),"")</f>
        <v/>
      </c>
      <c r="G128" s="217" t="str">
        <f>IFERROR(IF(DB_Customers!G122&lt;&gt;"",DB_Customers!G122,""),"")</f>
        <v/>
      </c>
      <c r="H128" s="216" t="str">
        <f>IFERROR(IF(DB_Customers!H122&lt;&gt;"",DB_Customers!H122,""),"")</f>
        <v/>
      </c>
      <c r="I128" s="219" t="str">
        <f>IFERROR(IF(DB_Customers!I122&lt;&gt;"",DB_Customers!I122,""),"")</f>
        <v/>
      </c>
      <c r="J128" s="220" t="str">
        <f>IFERROR(IF(DB_Customers!J122&lt;&gt;"",DB_Customers!J122,""),"")</f>
        <v/>
      </c>
      <c r="K128" s="217" t="str">
        <f>IFERROR(IF(DB_Customers!E122&lt;&gt;"",DB_Customers!E122,""),"")</f>
        <v/>
      </c>
      <c r="L128" s="217" t="str">
        <f>IFERROR(IF(DB_Customers!F122&lt;&gt;"",DB_Customers!F122,""),"")</f>
        <v/>
      </c>
      <c r="M128" s="217" t="str">
        <f>IFERROR(IF(DB_Customers!T122&lt;&gt;"",DB_Customers!T122,""),"")</f>
        <v/>
      </c>
      <c r="N128" s="216" t="str">
        <f>IFERROR(IF(DB_Customers!A122&lt;&gt;"",IF(DB_Customers!I122&gt;=10,"Active","Inactive"),""),"")</f>
        <v/>
      </c>
    </row>
    <row r="129" spans="1:14" ht="18" customHeight="1" x14ac:dyDescent="0.25">
      <c r="A129" s="221" t="str">
        <f>IF(DB_Customers!A123&lt;&gt;"",ROW()-9,"")</f>
        <v/>
      </c>
      <c r="B129" s="221" t="str">
        <f>IFERROR(IF(DB_Customers!A123&lt;&gt;"",DB_Customers!A123,""),"")</f>
        <v/>
      </c>
      <c r="C129" s="222" t="str">
        <f>IFERROR(IF(DB_Customers!D123&lt;&gt;"",DB_Customers!D123,""),"")</f>
        <v/>
      </c>
      <c r="D129" s="223" t="str">
        <f>IFERROR(IF(DB_Customers!Q123&lt;&gt;"",DB_Customers!Q123,""),"")</f>
        <v/>
      </c>
      <c r="E129" s="221" t="str">
        <f>IFERROR(IF(DB_Customers!R123&lt;&gt;"",DB_Customers!R123,""),"")</f>
        <v/>
      </c>
      <c r="F129" s="222" t="str">
        <f>IFERROR(IF(DB_Customers!S123&lt;&gt;"",DB_Customers!S123,""),"")</f>
        <v/>
      </c>
      <c r="G129" s="222" t="str">
        <f>IFERROR(IF(DB_Customers!G123&lt;&gt;"",DB_Customers!G123,""),"")</f>
        <v/>
      </c>
      <c r="H129" s="221" t="str">
        <f>IFERROR(IF(DB_Customers!H123&lt;&gt;"",DB_Customers!H123,""),"")</f>
        <v/>
      </c>
      <c r="I129" s="224" t="str">
        <f>IFERROR(IF(DB_Customers!I123&lt;&gt;"",DB_Customers!I123,""),"")</f>
        <v/>
      </c>
      <c r="J129" s="225" t="str">
        <f>IFERROR(IF(DB_Customers!J123&lt;&gt;"",DB_Customers!J123,""),"")</f>
        <v/>
      </c>
      <c r="K129" s="222" t="str">
        <f>IFERROR(IF(DB_Customers!E123&lt;&gt;"",DB_Customers!E123,""),"")</f>
        <v/>
      </c>
      <c r="L129" s="222" t="str">
        <f>IFERROR(IF(DB_Customers!F123&lt;&gt;"",DB_Customers!F123,""),"")</f>
        <v/>
      </c>
      <c r="M129" s="222" t="str">
        <f>IFERROR(IF(DB_Customers!T123&lt;&gt;"",DB_Customers!T123,""),"")</f>
        <v/>
      </c>
      <c r="N129" s="221" t="str">
        <f>IFERROR(IF(DB_Customers!A123&lt;&gt;"",IF(DB_Customers!I123&gt;=10,"Active","Inactive"),""),"")</f>
        <v/>
      </c>
    </row>
    <row r="130" spans="1:14" ht="18" customHeight="1" x14ac:dyDescent="0.25">
      <c r="A130" s="216" t="str">
        <f>IF(DB_Customers!A124&lt;&gt;"",ROW()-9,"")</f>
        <v/>
      </c>
      <c r="B130" s="216" t="str">
        <f>IFERROR(IF(DB_Customers!A124&lt;&gt;"",DB_Customers!A124,""),"")</f>
        <v/>
      </c>
      <c r="C130" s="217" t="str">
        <f>IFERROR(IF(DB_Customers!D124&lt;&gt;"",DB_Customers!D124,""),"")</f>
        <v/>
      </c>
      <c r="D130" s="218" t="str">
        <f>IFERROR(IF(DB_Customers!Q124&lt;&gt;"",DB_Customers!Q124,""),"")</f>
        <v/>
      </c>
      <c r="E130" s="216" t="str">
        <f>IFERROR(IF(DB_Customers!R124&lt;&gt;"",DB_Customers!R124,""),"")</f>
        <v/>
      </c>
      <c r="F130" s="217" t="str">
        <f>IFERROR(IF(DB_Customers!S124&lt;&gt;"",DB_Customers!S124,""),"")</f>
        <v/>
      </c>
      <c r="G130" s="217" t="str">
        <f>IFERROR(IF(DB_Customers!G124&lt;&gt;"",DB_Customers!G124,""),"")</f>
        <v/>
      </c>
      <c r="H130" s="216" t="str">
        <f>IFERROR(IF(DB_Customers!H124&lt;&gt;"",DB_Customers!H124,""),"")</f>
        <v/>
      </c>
      <c r="I130" s="219" t="str">
        <f>IFERROR(IF(DB_Customers!I124&lt;&gt;"",DB_Customers!I124,""),"")</f>
        <v/>
      </c>
      <c r="J130" s="220" t="str">
        <f>IFERROR(IF(DB_Customers!J124&lt;&gt;"",DB_Customers!J124,""),"")</f>
        <v/>
      </c>
      <c r="K130" s="217" t="str">
        <f>IFERROR(IF(DB_Customers!E124&lt;&gt;"",DB_Customers!E124,""),"")</f>
        <v/>
      </c>
      <c r="L130" s="217" t="str">
        <f>IFERROR(IF(DB_Customers!F124&lt;&gt;"",DB_Customers!F124,""),"")</f>
        <v/>
      </c>
      <c r="M130" s="217" t="str">
        <f>IFERROR(IF(DB_Customers!T124&lt;&gt;"",DB_Customers!T124,""),"")</f>
        <v/>
      </c>
      <c r="N130" s="216" t="str">
        <f>IFERROR(IF(DB_Customers!A124&lt;&gt;"",IF(DB_Customers!I124&gt;=10,"Active","Inactive"),""),"")</f>
        <v/>
      </c>
    </row>
    <row r="131" spans="1:14" ht="18" customHeight="1" x14ac:dyDescent="0.25">
      <c r="A131" s="221" t="str">
        <f>IF(DB_Customers!A125&lt;&gt;"",ROW()-9,"")</f>
        <v/>
      </c>
      <c r="B131" s="221" t="str">
        <f>IFERROR(IF(DB_Customers!A125&lt;&gt;"",DB_Customers!A125,""),"")</f>
        <v/>
      </c>
      <c r="C131" s="222" t="str">
        <f>IFERROR(IF(DB_Customers!D125&lt;&gt;"",DB_Customers!D125,""),"")</f>
        <v/>
      </c>
      <c r="D131" s="223" t="str">
        <f>IFERROR(IF(DB_Customers!Q125&lt;&gt;"",DB_Customers!Q125,""),"")</f>
        <v/>
      </c>
      <c r="E131" s="221" t="str">
        <f>IFERROR(IF(DB_Customers!R125&lt;&gt;"",DB_Customers!R125,""),"")</f>
        <v/>
      </c>
      <c r="F131" s="222" t="str">
        <f>IFERROR(IF(DB_Customers!S125&lt;&gt;"",DB_Customers!S125,""),"")</f>
        <v/>
      </c>
      <c r="G131" s="222" t="str">
        <f>IFERROR(IF(DB_Customers!G125&lt;&gt;"",DB_Customers!G125,""),"")</f>
        <v/>
      </c>
      <c r="H131" s="221" t="str">
        <f>IFERROR(IF(DB_Customers!H125&lt;&gt;"",DB_Customers!H125,""),"")</f>
        <v/>
      </c>
      <c r="I131" s="224" t="str">
        <f>IFERROR(IF(DB_Customers!I125&lt;&gt;"",DB_Customers!I125,""),"")</f>
        <v/>
      </c>
      <c r="J131" s="225" t="str">
        <f>IFERROR(IF(DB_Customers!J125&lt;&gt;"",DB_Customers!J125,""),"")</f>
        <v/>
      </c>
      <c r="K131" s="222" t="str">
        <f>IFERROR(IF(DB_Customers!E125&lt;&gt;"",DB_Customers!E125,""),"")</f>
        <v/>
      </c>
      <c r="L131" s="222" t="str">
        <f>IFERROR(IF(DB_Customers!F125&lt;&gt;"",DB_Customers!F125,""),"")</f>
        <v/>
      </c>
      <c r="M131" s="222" t="str">
        <f>IFERROR(IF(DB_Customers!T125&lt;&gt;"",DB_Customers!T125,""),"")</f>
        <v/>
      </c>
      <c r="N131" s="221" t="str">
        <f>IFERROR(IF(DB_Customers!A125&lt;&gt;"",IF(DB_Customers!I125&gt;=10,"Active","Inactive"),""),"")</f>
        <v/>
      </c>
    </row>
    <row r="132" spans="1:14" ht="18" customHeight="1" x14ac:dyDescent="0.25">
      <c r="A132" s="216" t="str">
        <f>IF(DB_Customers!A126&lt;&gt;"",ROW()-9,"")</f>
        <v/>
      </c>
      <c r="B132" s="216" t="str">
        <f>IFERROR(IF(DB_Customers!A126&lt;&gt;"",DB_Customers!A126,""),"")</f>
        <v/>
      </c>
      <c r="C132" s="217" t="str">
        <f>IFERROR(IF(DB_Customers!D126&lt;&gt;"",DB_Customers!D126,""),"")</f>
        <v/>
      </c>
      <c r="D132" s="218" t="str">
        <f>IFERROR(IF(DB_Customers!Q126&lt;&gt;"",DB_Customers!Q126,""),"")</f>
        <v/>
      </c>
      <c r="E132" s="216" t="str">
        <f>IFERROR(IF(DB_Customers!R126&lt;&gt;"",DB_Customers!R126,""),"")</f>
        <v/>
      </c>
      <c r="F132" s="217" t="str">
        <f>IFERROR(IF(DB_Customers!S126&lt;&gt;"",DB_Customers!S126,""),"")</f>
        <v/>
      </c>
      <c r="G132" s="217" t="str">
        <f>IFERROR(IF(DB_Customers!G126&lt;&gt;"",DB_Customers!G126,""),"")</f>
        <v/>
      </c>
      <c r="H132" s="216" t="str">
        <f>IFERROR(IF(DB_Customers!H126&lt;&gt;"",DB_Customers!H126,""),"")</f>
        <v/>
      </c>
      <c r="I132" s="219" t="str">
        <f>IFERROR(IF(DB_Customers!I126&lt;&gt;"",DB_Customers!I126,""),"")</f>
        <v/>
      </c>
      <c r="J132" s="220" t="str">
        <f>IFERROR(IF(DB_Customers!J126&lt;&gt;"",DB_Customers!J126,""),"")</f>
        <v/>
      </c>
      <c r="K132" s="217" t="str">
        <f>IFERROR(IF(DB_Customers!E126&lt;&gt;"",DB_Customers!E126,""),"")</f>
        <v/>
      </c>
      <c r="L132" s="217" t="str">
        <f>IFERROR(IF(DB_Customers!F126&lt;&gt;"",DB_Customers!F126,""),"")</f>
        <v/>
      </c>
      <c r="M132" s="217" t="str">
        <f>IFERROR(IF(DB_Customers!T126&lt;&gt;"",DB_Customers!T126,""),"")</f>
        <v/>
      </c>
      <c r="N132" s="216" t="str">
        <f>IFERROR(IF(DB_Customers!A126&lt;&gt;"",IF(DB_Customers!I126&gt;=10,"Active","Inactive"),""),"")</f>
        <v/>
      </c>
    </row>
    <row r="133" spans="1:14" ht="18" customHeight="1" x14ac:dyDescent="0.25">
      <c r="A133" s="221" t="str">
        <f>IF(DB_Customers!A127&lt;&gt;"",ROW()-9,"")</f>
        <v/>
      </c>
      <c r="B133" s="221" t="str">
        <f>IFERROR(IF(DB_Customers!A127&lt;&gt;"",DB_Customers!A127,""),"")</f>
        <v/>
      </c>
      <c r="C133" s="222" t="str">
        <f>IFERROR(IF(DB_Customers!D127&lt;&gt;"",DB_Customers!D127,""),"")</f>
        <v/>
      </c>
      <c r="D133" s="223" t="str">
        <f>IFERROR(IF(DB_Customers!Q127&lt;&gt;"",DB_Customers!Q127,""),"")</f>
        <v/>
      </c>
      <c r="E133" s="221" t="str">
        <f>IFERROR(IF(DB_Customers!R127&lt;&gt;"",DB_Customers!R127,""),"")</f>
        <v/>
      </c>
      <c r="F133" s="222" t="str">
        <f>IFERROR(IF(DB_Customers!S127&lt;&gt;"",DB_Customers!S127,""),"")</f>
        <v/>
      </c>
      <c r="G133" s="222" t="str">
        <f>IFERROR(IF(DB_Customers!G127&lt;&gt;"",DB_Customers!G127,""),"")</f>
        <v/>
      </c>
      <c r="H133" s="221" t="str">
        <f>IFERROR(IF(DB_Customers!H127&lt;&gt;"",DB_Customers!H127,""),"")</f>
        <v/>
      </c>
      <c r="I133" s="224" t="str">
        <f>IFERROR(IF(DB_Customers!I127&lt;&gt;"",DB_Customers!I127,""),"")</f>
        <v/>
      </c>
      <c r="J133" s="225" t="str">
        <f>IFERROR(IF(DB_Customers!J127&lt;&gt;"",DB_Customers!J127,""),"")</f>
        <v/>
      </c>
      <c r="K133" s="222" t="str">
        <f>IFERROR(IF(DB_Customers!E127&lt;&gt;"",DB_Customers!E127,""),"")</f>
        <v/>
      </c>
      <c r="L133" s="222" t="str">
        <f>IFERROR(IF(DB_Customers!F127&lt;&gt;"",DB_Customers!F127,""),"")</f>
        <v/>
      </c>
      <c r="M133" s="222" t="str">
        <f>IFERROR(IF(DB_Customers!T127&lt;&gt;"",DB_Customers!T127,""),"")</f>
        <v/>
      </c>
      <c r="N133" s="221" t="str">
        <f>IFERROR(IF(DB_Customers!A127&lt;&gt;"",IF(DB_Customers!I127&gt;=10,"Active","Inactive"),""),"")</f>
        <v/>
      </c>
    </row>
    <row r="134" spans="1:14" ht="18" customHeight="1" x14ac:dyDescent="0.25">
      <c r="A134" s="216" t="str">
        <f>IF(DB_Customers!A128&lt;&gt;"",ROW()-9,"")</f>
        <v/>
      </c>
      <c r="B134" s="216" t="str">
        <f>IFERROR(IF(DB_Customers!A128&lt;&gt;"",DB_Customers!A128,""),"")</f>
        <v/>
      </c>
      <c r="C134" s="217" t="str">
        <f>IFERROR(IF(DB_Customers!D128&lt;&gt;"",DB_Customers!D128,""),"")</f>
        <v/>
      </c>
      <c r="D134" s="218" t="str">
        <f>IFERROR(IF(DB_Customers!Q128&lt;&gt;"",DB_Customers!Q128,""),"")</f>
        <v/>
      </c>
      <c r="E134" s="216" t="str">
        <f>IFERROR(IF(DB_Customers!R128&lt;&gt;"",DB_Customers!R128,""),"")</f>
        <v/>
      </c>
      <c r="F134" s="217" t="str">
        <f>IFERROR(IF(DB_Customers!S128&lt;&gt;"",DB_Customers!S128,""),"")</f>
        <v/>
      </c>
      <c r="G134" s="217" t="str">
        <f>IFERROR(IF(DB_Customers!G128&lt;&gt;"",DB_Customers!G128,""),"")</f>
        <v/>
      </c>
      <c r="H134" s="216" t="str">
        <f>IFERROR(IF(DB_Customers!H128&lt;&gt;"",DB_Customers!H128,""),"")</f>
        <v/>
      </c>
      <c r="I134" s="219" t="str">
        <f>IFERROR(IF(DB_Customers!I128&lt;&gt;"",DB_Customers!I128,""),"")</f>
        <v/>
      </c>
      <c r="J134" s="220" t="str">
        <f>IFERROR(IF(DB_Customers!J128&lt;&gt;"",DB_Customers!J128,""),"")</f>
        <v/>
      </c>
      <c r="K134" s="217" t="str">
        <f>IFERROR(IF(DB_Customers!E128&lt;&gt;"",DB_Customers!E128,""),"")</f>
        <v/>
      </c>
      <c r="L134" s="217" t="str">
        <f>IFERROR(IF(DB_Customers!F128&lt;&gt;"",DB_Customers!F128,""),"")</f>
        <v/>
      </c>
      <c r="M134" s="217" t="str">
        <f>IFERROR(IF(DB_Customers!T128&lt;&gt;"",DB_Customers!T128,""),"")</f>
        <v/>
      </c>
      <c r="N134" s="216" t="str">
        <f>IFERROR(IF(DB_Customers!A128&lt;&gt;"",IF(DB_Customers!I128&gt;=10,"Active","Inactive"),""),"")</f>
        <v/>
      </c>
    </row>
    <row r="135" spans="1:14" ht="18" customHeight="1" x14ac:dyDescent="0.25">
      <c r="A135" s="221" t="str">
        <f>IF(DB_Customers!A129&lt;&gt;"",ROW()-9,"")</f>
        <v/>
      </c>
      <c r="B135" s="221" t="str">
        <f>IFERROR(IF(DB_Customers!A129&lt;&gt;"",DB_Customers!A129,""),"")</f>
        <v/>
      </c>
      <c r="C135" s="222" t="str">
        <f>IFERROR(IF(DB_Customers!D129&lt;&gt;"",DB_Customers!D129,""),"")</f>
        <v/>
      </c>
      <c r="D135" s="223" t="str">
        <f>IFERROR(IF(DB_Customers!Q129&lt;&gt;"",DB_Customers!Q129,""),"")</f>
        <v/>
      </c>
      <c r="E135" s="221" t="str">
        <f>IFERROR(IF(DB_Customers!R129&lt;&gt;"",DB_Customers!R129,""),"")</f>
        <v/>
      </c>
      <c r="F135" s="222" t="str">
        <f>IFERROR(IF(DB_Customers!S129&lt;&gt;"",DB_Customers!S129,""),"")</f>
        <v/>
      </c>
      <c r="G135" s="222" t="str">
        <f>IFERROR(IF(DB_Customers!G129&lt;&gt;"",DB_Customers!G129,""),"")</f>
        <v/>
      </c>
      <c r="H135" s="221" t="str">
        <f>IFERROR(IF(DB_Customers!H129&lt;&gt;"",DB_Customers!H129,""),"")</f>
        <v/>
      </c>
      <c r="I135" s="224" t="str">
        <f>IFERROR(IF(DB_Customers!I129&lt;&gt;"",DB_Customers!I129,""),"")</f>
        <v/>
      </c>
      <c r="J135" s="225" t="str">
        <f>IFERROR(IF(DB_Customers!J129&lt;&gt;"",DB_Customers!J129,""),"")</f>
        <v/>
      </c>
      <c r="K135" s="222" t="str">
        <f>IFERROR(IF(DB_Customers!E129&lt;&gt;"",DB_Customers!E129,""),"")</f>
        <v/>
      </c>
      <c r="L135" s="222" t="str">
        <f>IFERROR(IF(DB_Customers!F129&lt;&gt;"",DB_Customers!F129,""),"")</f>
        <v/>
      </c>
      <c r="M135" s="222" t="str">
        <f>IFERROR(IF(DB_Customers!T129&lt;&gt;"",DB_Customers!T129,""),"")</f>
        <v/>
      </c>
      <c r="N135" s="221" t="str">
        <f>IFERROR(IF(DB_Customers!A129&lt;&gt;"",IF(DB_Customers!I129&gt;=10,"Active","Inactive"),""),"")</f>
        <v/>
      </c>
    </row>
    <row r="136" spans="1:14" ht="18" customHeight="1" x14ac:dyDescent="0.25">
      <c r="A136" s="216" t="str">
        <f>IF(DB_Customers!A130&lt;&gt;"",ROW()-9,"")</f>
        <v/>
      </c>
      <c r="B136" s="216" t="str">
        <f>IFERROR(IF(DB_Customers!A130&lt;&gt;"",DB_Customers!A130,""),"")</f>
        <v/>
      </c>
      <c r="C136" s="217" t="str">
        <f>IFERROR(IF(DB_Customers!D130&lt;&gt;"",DB_Customers!D130,""),"")</f>
        <v/>
      </c>
      <c r="D136" s="218" t="str">
        <f>IFERROR(IF(DB_Customers!Q130&lt;&gt;"",DB_Customers!Q130,""),"")</f>
        <v/>
      </c>
      <c r="E136" s="216" t="str">
        <f>IFERROR(IF(DB_Customers!R130&lt;&gt;"",DB_Customers!R130,""),"")</f>
        <v/>
      </c>
      <c r="F136" s="217" t="str">
        <f>IFERROR(IF(DB_Customers!S130&lt;&gt;"",DB_Customers!S130,""),"")</f>
        <v/>
      </c>
      <c r="G136" s="217" t="str">
        <f>IFERROR(IF(DB_Customers!G130&lt;&gt;"",DB_Customers!G130,""),"")</f>
        <v/>
      </c>
      <c r="H136" s="216" t="str">
        <f>IFERROR(IF(DB_Customers!H130&lt;&gt;"",DB_Customers!H130,""),"")</f>
        <v/>
      </c>
      <c r="I136" s="219" t="str">
        <f>IFERROR(IF(DB_Customers!I130&lt;&gt;"",DB_Customers!I130,""),"")</f>
        <v/>
      </c>
      <c r="J136" s="220" t="str">
        <f>IFERROR(IF(DB_Customers!J130&lt;&gt;"",DB_Customers!J130,""),"")</f>
        <v/>
      </c>
      <c r="K136" s="217" t="str">
        <f>IFERROR(IF(DB_Customers!E130&lt;&gt;"",DB_Customers!E130,""),"")</f>
        <v/>
      </c>
      <c r="L136" s="217" t="str">
        <f>IFERROR(IF(DB_Customers!F130&lt;&gt;"",DB_Customers!F130,""),"")</f>
        <v/>
      </c>
      <c r="M136" s="217" t="str">
        <f>IFERROR(IF(DB_Customers!T130&lt;&gt;"",DB_Customers!T130,""),"")</f>
        <v/>
      </c>
      <c r="N136" s="216" t="str">
        <f>IFERROR(IF(DB_Customers!A130&lt;&gt;"",IF(DB_Customers!I130&gt;=10,"Active","Inactive"),""),"")</f>
        <v/>
      </c>
    </row>
    <row r="137" spans="1:14" ht="18" customHeight="1" x14ac:dyDescent="0.25">
      <c r="A137" s="221" t="str">
        <f>IF(DB_Customers!A131&lt;&gt;"",ROW()-9,"")</f>
        <v/>
      </c>
      <c r="B137" s="221" t="str">
        <f>IFERROR(IF(DB_Customers!A131&lt;&gt;"",DB_Customers!A131,""),"")</f>
        <v/>
      </c>
      <c r="C137" s="222" t="str">
        <f>IFERROR(IF(DB_Customers!D131&lt;&gt;"",DB_Customers!D131,""),"")</f>
        <v/>
      </c>
      <c r="D137" s="223" t="str">
        <f>IFERROR(IF(DB_Customers!Q131&lt;&gt;"",DB_Customers!Q131,""),"")</f>
        <v/>
      </c>
      <c r="E137" s="221" t="str">
        <f>IFERROR(IF(DB_Customers!R131&lt;&gt;"",DB_Customers!R131,""),"")</f>
        <v/>
      </c>
      <c r="F137" s="222" t="str">
        <f>IFERROR(IF(DB_Customers!S131&lt;&gt;"",DB_Customers!S131,""),"")</f>
        <v/>
      </c>
      <c r="G137" s="222" t="str">
        <f>IFERROR(IF(DB_Customers!G131&lt;&gt;"",DB_Customers!G131,""),"")</f>
        <v/>
      </c>
      <c r="H137" s="221" t="str">
        <f>IFERROR(IF(DB_Customers!H131&lt;&gt;"",DB_Customers!H131,""),"")</f>
        <v/>
      </c>
      <c r="I137" s="224" t="str">
        <f>IFERROR(IF(DB_Customers!I131&lt;&gt;"",DB_Customers!I131,""),"")</f>
        <v/>
      </c>
      <c r="J137" s="225" t="str">
        <f>IFERROR(IF(DB_Customers!J131&lt;&gt;"",DB_Customers!J131,""),"")</f>
        <v/>
      </c>
      <c r="K137" s="222" t="str">
        <f>IFERROR(IF(DB_Customers!E131&lt;&gt;"",DB_Customers!E131,""),"")</f>
        <v/>
      </c>
      <c r="L137" s="222" t="str">
        <f>IFERROR(IF(DB_Customers!F131&lt;&gt;"",DB_Customers!F131,""),"")</f>
        <v/>
      </c>
      <c r="M137" s="222" t="str">
        <f>IFERROR(IF(DB_Customers!T131&lt;&gt;"",DB_Customers!T131,""),"")</f>
        <v/>
      </c>
      <c r="N137" s="221" t="str">
        <f>IFERROR(IF(DB_Customers!A131&lt;&gt;"",IF(DB_Customers!I131&gt;=10,"Active","Inactive"),""),"")</f>
        <v/>
      </c>
    </row>
    <row r="138" spans="1:14" ht="18" customHeight="1" x14ac:dyDescent="0.25">
      <c r="A138" s="216" t="str">
        <f>IF(DB_Customers!A132&lt;&gt;"",ROW()-9,"")</f>
        <v/>
      </c>
      <c r="B138" s="216" t="str">
        <f>IFERROR(IF(DB_Customers!A132&lt;&gt;"",DB_Customers!A132,""),"")</f>
        <v/>
      </c>
      <c r="C138" s="217" t="str">
        <f>IFERROR(IF(DB_Customers!D132&lt;&gt;"",DB_Customers!D132,""),"")</f>
        <v/>
      </c>
      <c r="D138" s="218" t="str">
        <f>IFERROR(IF(DB_Customers!Q132&lt;&gt;"",DB_Customers!Q132,""),"")</f>
        <v/>
      </c>
      <c r="E138" s="216" t="str">
        <f>IFERROR(IF(DB_Customers!R132&lt;&gt;"",DB_Customers!R132,""),"")</f>
        <v/>
      </c>
      <c r="F138" s="217" t="str">
        <f>IFERROR(IF(DB_Customers!S132&lt;&gt;"",DB_Customers!S132,""),"")</f>
        <v/>
      </c>
      <c r="G138" s="217" t="str">
        <f>IFERROR(IF(DB_Customers!G132&lt;&gt;"",DB_Customers!G132,""),"")</f>
        <v/>
      </c>
      <c r="H138" s="216" t="str">
        <f>IFERROR(IF(DB_Customers!H132&lt;&gt;"",DB_Customers!H132,""),"")</f>
        <v/>
      </c>
      <c r="I138" s="219" t="str">
        <f>IFERROR(IF(DB_Customers!I132&lt;&gt;"",DB_Customers!I132,""),"")</f>
        <v/>
      </c>
      <c r="J138" s="220" t="str">
        <f>IFERROR(IF(DB_Customers!J132&lt;&gt;"",DB_Customers!J132,""),"")</f>
        <v/>
      </c>
      <c r="K138" s="217" t="str">
        <f>IFERROR(IF(DB_Customers!E132&lt;&gt;"",DB_Customers!E132,""),"")</f>
        <v/>
      </c>
      <c r="L138" s="217" t="str">
        <f>IFERROR(IF(DB_Customers!F132&lt;&gt;"",DB_Customers!F132,""),"")</f>
        <v/>
      </c>
      <c r="M138" s="217" t="str">
        <f>IFERROR(IF(DB_Customers!T132&lt;&gt;"",DB_Customers!T132,""),"")</f>
        <v/>
      </c>
      <c r="N138" s="216" t="str">
        <f>IFERROR(IF(DB_Customers!A132&lt;&gt;"",IF(DB_Customers!I132&gt;=10,"Active","Inactive"),""),"")</f>
        <v/>
      </c>
    </row>
    <row r="139" spans="1:14" ht="18" customHeight="1" x14ac:dyDescent="0.25">
      <c r="A139" s="221" t="str">
        <f>IF(DB_Customers!A133&lt;&gt;"",ROW()-9,"")</f>
        <v/>
      </c>
      <c r="B139" s="221" t="str">
        <f>IFERROR(IF(DB_Customers!A133&lt;&gt;"",DB_Customers!A133,""),"")</f>
        <v/>
      </c>
      <c r="C139" s="222" t="str">
        <f>IFERROR(IF(DB_Customers!D133&lt;&gt;"",DB_Customers!D133,""),"")</f>
        <v/>
      </c>
      <c r="D139" s="223" t="str">
        <f>IFERROR(IF(DB_Customers!Q133&lt;&gt;"",DB_Customers!Q133,""),"")</f>
        <v/>
      </c>
      <c r="E139" s="221" t="str">
        <f>IFERROR(IF(DB_Customers!R133&lt;&gt;"",DB_Customers!R133,""),"")</f>
        <v/>
      </c>
      <c r="F139" s="222" t="str">
        <f>IFERROR(IF(DB_Customers!S133&lt;&gt;"",DB_Customers!S133,""),"")</f>
        <v/>
      </c>
      <c r="G139" s="222" t="str">
        <f>IFERROR(IF(DB_Customers!G133&lt;&gt;"",DB_Customers!G133,""),"")</f>
        <v/>
      </c>
      <c r="H139" s="221" t="str">
        <f>IFERROR(IF(DB_Customers!H133&lt;&gt;"",DB_Customers!H133,""),"")</f>
        <v/>
      </c>
      <c r="I139" s="224" t="str">
        <f>IFERROR(IF(DB_Customers!I133&lt;&gt;"",DB_Customers!I133,""),"")</f>
        <v/>
      </c>
      <c r="J139" s="225" t="str">
        <f>IFERROR(IF(DB_Customers!J133&lt;&gt;"",DB_Customers!J133,""),"")</f>
        <v/>
      </c>
      <c r="K139" s="222" t="str">
        <f>IFERROR(IF(DB_Customers!E133&lt;&gt;"",DB_Customers!E133,""),"")</f>
        <v/>
      </c>
      <c r="L139" s="222" t="str">
        <f>IFERROR(IF(DB_Customers!F133&lt;&gt;"",DB_Customers!F133,""),"")</f>
        <v/>
      </c>
      <c r="M139" s="222" t="str">
        <f>IFERROR(IF(DB_Customers!T133&lt;&gt;"",DB_Customers!T133,""),"")</f>
        <v/>
      </c>
      <c r="N139" s="221" t="str">
        <f>IFERROR(IF(DB_Customers!A133&lt;&gt;"",IF(DB_Customers!I133&gt;=10,"Active","Inactive"),""),"")</f>
        <v/>
      </c>
    </row>
    <row r="140" spans="1:14" ht="18" customHeight="1" x14ac:dyDescent="0.25">
      <c r="A140" s="216" t="str">
        <f>IF(DB_Customers!A134&lt;&gt;"",ROW()-9,"")</f>
        <v/>
      </c>
      <c r="B140" s="216" t="str">
        <f>IFERROR(IF(DB_Customers!A134&lt;&gt;"",DB_Customers!A134,""),"")</f>
        <v/>
      </c>
      <c r="C140" s="217" t="str">
        <f>IFERROR(IF(DB_Customers!D134&lt;&gt;"",DB_Customers!D134,""),"")</f>
        <v/>
      </c>
      <c r="D140" s="218" t="str">
        <f>IFERROR(IF(DB_Customers!Q134&lt;&gt;"",DB_Customers!Q134,""),"")</f>
        <v/>
      </c>
      <c r="E140" s="216" t="str">
        <f>IFERROR(IF(DB_Customers!R134&lt;&gt;"",DB_Customers!R134,""),"")</f>
        <v/>
      </c>
      <c r="F140" s="217" t="str">
        <f>IFERROR(IF(DB_Customers!S134&lt;&gt;"",DB_Customers!S134,""),"")</f>
        <v/>
      </c>
      <c r="G140" s="217" t="str">
        <f>IFERROR(IF(DB_Customers!G134&lt;&gt;"",DB_Customers!G134,""),"")</f>
        <v/>
      </c>
      <c r="H140" s="216" t="str">
        <f>IFERROR(IF(DB_Customers!H134&lt;&gt;"",DB_Customers!H134,""),"")</f>
        <v/>
      </c>
      <c r="I140" s="219" t="str">
        <f>IFERROR(IF(DB_Customers!I134&lt;&gt;"",DB_Customers!I134,""),"")</f>
        <v/>
      </c>
      <c r="J140" s="220" t="str">
        <f>IFERROR(IF(DB_Customers!J134&lt;&gt;"",DB_Customers!J134,""),"")</f>
        <v/>
      </c>
      <c r="K140" s="217" t="str">
        <f>IFERROR(IF(DB_Customers!E134&lt;&gt;"",DB_Customers!E134,""),"")</f>
        <v/>
      </c>
      <c r="L140" s="217" t="str">
        <f>IFERROR(IF(DB_Customers!F134&lt;&gt;"",DB_Customers!F134,""),"")</f>
        <v/>
      </c>
      <c r="M140" s="217" t="str">
        <f>IFERROR(IF(DB_Customers!T134&lt;&gt;"",DB_Customers!T134,""),"")</f>
        <v/>
      </c>
      <c r="N140" s="216" t="str">
        <f>IFERROR(IF(DB_Customers!A134&lt;&gt;"",IF(DB_Customers!I134&gt;=10,"Active","Inactive"),""),"")</f>
        <v/>
      </c>
    </row>
    <row r="141" spans="1:14" ht="18" customHeight="1" x14ac:dyDescent="0.25">
      <c r="A141" s="221" t="str">
        <f>IF(DB_Customers!A135&lt;&gt;"",ROW()-9,"")</f>
        <v/>
      </c>
      <c r="B141" s="221" t="str">
        <f>IFERROR(IF(DB_Customers!A135&lt;&gt;"",DB_Customers!A135,""),"")</f>
        <v/>
      </c>
      <c r="C141" s="222" t="str">
        <f>IFERROR(IF(DB_Customers!D135&lt;&gt;"",DB_Customers!D135,""),"")</f>
        <v/>
      </c>
      <c r="D141" s="223" t="str">
        <f>IFERROR(IF(DB_Customers!Q135&lt;&gt;"",DB_Customers!Q135,""),"")</f>
        <v/>
      </c>
      <c r="E141" s="221" t="str">
        <f>IFERROR(IF(DB_Customers!R135&lt;&gt;"",DB_Customers!R135,""),"")</f>
        <v/>
      </c>
      <c r="F141" s="222" t="str">
        <f>IFERROR(IF(DB_Customers!S135&lt;&gt;"",DB_Customers!S135,""),"")</f>
        <v/>
      </c>
      <c r="G141" s="222" t="str">
        <f>IFERROR(IF(DB_Customers!G135&lt;&gt;"",DB_Customers!G135,""),"")</f>
        <v/>
      </c>
      <c r="H141" s="221" t="str">
        <f>IFERROR(IF(DB_Customers!H135&lt;&gt;"",DB_Customers!H135,""),"")</f>
        <v/>
      </c>
      <c r="I141" s="224" t="str">
        <f>IFERROR(IF(DB_Customers!I135&lt;&gt;"",DB_Customers!I135,""),"")</f>
        <v/>
      </c>
      <c r="J141" s="225" t="str">
        <f>IFERROR(IF(DB_Customers!J135&lt;&gt;"",DB_Customers!J135,""),"")</f>
        <v/>
      </c>
      <c r="K141" s="222" t="str">
        <f>IFERROR(IF(DB_Customers!E135&lt;&gt;"",DB_Customers!E135,""),"")</f>
        <v/>
      </c>
      <c r="L141" s="222" t="str">
        <f>IFERROR(IF(DB_Customers!F135&lt;&gt;"",DB_Customers!F135,""),"")</f>
        <v/>
      </c>
      <c r="M141" s="222" t="str">
        <f>IFERROR(IF(DB_Customers!T135&lt;&gt;"",DB_Customers!T135,""),"")</f>
        <v/>
      </c>
      <c r="N141" s="221" t="str">
        <f>IFERROR(IF(DB_Customers!A135&lt;&gt;"",IF(DB_Customers!I135&gt;=10,"Active","Inactive"),""),"")</f>
        <v/>
      </c>
    </row>
    <row r="142" spans="1:14" ht="18" customHeight="1" x14ac:dyDescent="0.25">
      <c r="A142" s="216" t="str">
        <f>IF(DB_Customers!A136&lt;&gt;"",ROW()-9,"")</f>
        <v/>
      </c>
      <c r="B142" s="216" t="str">
        <f>IFERROR(IF(DB_Customers!A136&lt;&gt;"",DB_Customers!A136,""),"")</f>
        <v/>
      </c>
      <c r="C142" s="217" t="str">
        <f>IFERROR(IF(DB_Customers!D136&lt;&gt;"",DB_Customers!D136,""),"")</f>
        <v/>
      </c>
      <c r="D142" s="218" t="str">
        <f>IFERROR(IF(DB_Customers!Q136&lt;&gt;"",DB_Customers!Q136,""),"")</f>
        <v/>
      </c>
      <c r="E142" s="216" t="str">
        <f>IFERROR(IF(DB_Customers!R136&lt;&gt;"",DB_Customers!R136,""),"")</f>
        <v/>
      </c>
      <c r="F142" s="217" t="str">
        <f>IFERROR(IF(DB_Customers!S136&lt;&gt;"",DB_Customers!S136,""),"")</f>
        <v/>
      </c>
      <c r="G142" s="217" t="str">
        <f>IFERROR(IF(DB_Customers!G136&lt;&gt;"",DB_Customers!G136,""),"")</f>
        <v/>
      </c>
      <c r="H142" s="216" t="str">
        <f>IFERROR(IF(DB_Customers!H136&lt;&gt;"",DB_Customers!H136,""),"")</f>
        <v/>
      </c>
      <c r="I142" s="219" t="str">
        <f>IFERROR(IF(DB_Customers!I136&lt;&gt;"",DB_Customers!I136,""),"")</f>
        <v/>
      </c>
      <c r="J142" s="220" t="str">
        <f>IFERROR(IF(DB_Customers!J136&lt;&gt;"",DB_Customers!J136,""),"")</f>
        <v/>
      </c>
      <c r="K142" s="217" t="str">
        <f>IFERROR(IF(DB_Customers!E136&lt;&gt;"",DB_Customers!E136,""),"")</f>
        <v/>
      </c>
      <c r="L142" s="217" t="str">
        <f>IFERROR(IF(DB_Customers!F136&lt;&gt;"",DB_Customers!F136,""),"")</f>
        <v/>
      </c>
      <c r="M142" s="217" t="str">
        <f>IFERROR(IF(DB_Customers!T136&lt;&gt;"",DB_Customers!T136,""),"")</f>
        <v/>
      </c>
      <c r="N142" s="216" t="str">
        <f>IFERROR(IF(DB_Customers!A136&lt;&gt;"",IF(DB_Customers!I136&gt;=10,"Active","Inactive"),""),"")</f>
        <v/>
      </c>
    </row>
    <row r="143" spans="1:14" ht="18" customHeight="1" x14ac:dyDescent="0.25">
      <c r="A143" s="221" t="str">
        <f>IF(DB_Customers!A137&lt;&gt;"",ROW()-9,"")</f>
        <v/>
      </c>
      <c r="B143" s="221" t="str">
        <f>IFERROR(IF(DB_Customers!A137&lt;&gt;"",DB_Customers!A137,""),"")</f>
        <v/>
      </c>
      <c r="C143" s="222" t="str">
        <f>IFERROR(IF(DB_Customers!D137&lt;&gt;"",DB_Customers!D137,""),"")</f>
        <v/>
      </c>
      <c r="D143" s="223" t="str">
        <f>IFERROR(IF(DB_Customers!Q137&lt;&gt;"",DB_Customers!Q137,""),"")</f>
        <v/>
      </c>
      <c r="E143" s="221" t="str">
        <f>IFERROR(IF(DB_Customers!R137&lt;&gt;"",DB_Customers!R137,""),"")</f>
        <v/>
      </c>
      <c r="F143" s="222" t="str">
        <f>IFERROR(IF(DB_Customers!S137&lt;&gt;"",DB_Customers!S137,""),"")</f>
        <v/>
      </c>
      <c r="G143" s="222" t="str">
        <f>IFERROR(IF(DB_Customers!G137&lt;&gt;"",DB_Customers!G137,""),"")</f>
        <v/>
      </c>
      <c r="H143" s="221" t="str">
        <f>IFERROR(IF(DB_Customers!H137&lt;&gt;"",DB_Customers!H137,""),"")</f>
        <v/>
      </c>
      <c r="I143" s="224" t="str">
        <f>IFERROR(IF(DB_Customers!I137&lt;&gt;"",DB_Customers!I137,""),"")</f>
        <v/>
      </c>
      <c r="J143" s="225" t="str">
        <f>IFERROR(IF(DB_Customers!J137&lt;&gt;"",DB_Customers!J137,""),"")</f>
        <v/>
      </c>
      <c r="K143" s="222" t="str">
        <f>IFERROR(IF(DB_Customers!E137&lt;&gt;"",DB_Customers!E137,""),"")</f>
        <v/>
      </c>
      <c r="L143" s="222" t="str">
        <f>IFERROR(IF(DB_Customers!F137&lt;&gt;"",DB_Customers!F137,""),"")</f>
        <v/>
      </c>
      <c r="M143" s="222" t="str">
        <f>IFERROR(IF(DB_Customers!T137&lt;&gt;"",DB_Customers!T137,""),"")</f>
        <v/>
      </c>
      <c r="N143" s="221" t="str">
        <f>IFERROR(IF(DB_Customers!A137&lt;&gt;"",IF(DB_Customers!I137&gt;=10,"Active","Inactive"),""),"")</f>
        <v/>
      </c>
    </row>
    <row r="144" spans="1:14" ht="18" customHeight="1" x14ac:dyDescent="0.25">
      <c r="A144" s="216" t="str">
        <f>IF(DB_Customers!A138&lt;&gt;"",ROW()-9,"")</f>
        <v/>
      </c>
      <c r="B144" s="216" t="str">
        <f>IFERROR(IF(DB_Customers!A138&lt;&gt;"",DB_Customers!A138,""),"")</f>
        <v/>
      </c>
      <c r="C144" s="217" t="str">
        <f>IFERROR(IF(DB_Customers!D138&lt;&gt;"",DB_Customers!D138,""),"")</f>
        <v/>
      </c>
      <c r="D144" s="218" t="str">
        <f>IFERROR(IF(DB_Customers!Q138&lt;&gt;"",DB_Customers!Q138,""),"")</f>
        <v/>
      </c>
      <c r="E144" s="216" t="str">
        <f>IFERROR(IF(DB_Customers!R138&lt;&gt;"",DB_Customers!R138,""),"")</f>
        <v/>
      </c>
      <c r="F144" s="217" t="str">
        <f>IFERROR(IF(DB_Customers!S138&lt;&gt;"",DB_Customers!S138,""),"")</f>
        <v/>
      </c>
      <c r="G144" s="217" t="str">
        <f>IFERROR(IF(DB_Customers!G138&lt;&gt;"",DB_Customers!G138,""),"")</f>
        <v/>
      </c>
      <c r="H144" s="216" t="str">
        <f>IFERROR(IF(DB_Customers!H138&lt;&gt;"",DB_Customers!H138,""),"")</f>
        <v/>
      </c>
      <c r="I144" s="219" t="str">
        <f>IFERROR(IF(DB_Customers!I138&lt;&gt;"",DB_Customers!I138,""),"")</f>
        <v/>
      </c>
      <c r="J144" s="220" t="str">
        <f>IFERROR(IF(DB_Customers!J138&lt;&gt;"",DB_Customers!J138,""),"")</f>
        <v/>
      </c>
      <c r="K144" s="217" t="str">
        <f>IFERROR(IF(DB_Customers!E138&lt;&gt;"",DB_Customers!E138,""),"")</f>
        <v/>
      </c>
      <c r="L144" s="217" t="str">
        <f>IFERROR(IF(DB_Customers!F138&lt;&gt;"",DB_Customers!F138,""),"")</f>
        <v/>
      </c>
      <c r="M144" s="217" t="str">
        <f>IFERROR(IF(DB_Customers!T138&lt;&gt;"",DB_Customers!T138,""),"")</f>
        <v/>
      </c>
      <c r="N144" s="216" t="str">
        <f>IFERROR(IF(DB_Customers!A138&lt;&gt;"",IF(DB_Customers!I138&gt;=10,"Active","Inactive"),""),"")</f>
        <v/>
      </c>
    </row>
    <row r="145" spans="1:14" ht="18" customHeight="1" x14ac:dyDescent="0.25">
      <c r="A145" s="221" t="str">
        <f>IF(DB_Customers!A139&lt;&gt;"",ROW()-9,"")</f>
        <v/>
      </c>
      <c r="B145" s="221" t="str">
        <f>IFERROR(IF(DB_Customers!A139&lt;&gt;"",DB_Customers!A139,""),"")</f>
        <v/>
      </c>
      <c r="C145" s="222" t="str">
        <f>IFERROR(IF(DB_Customers!D139&lt;&gt;"",DB_Customers!D139,""),"")</f>
        <v/>
      </c>
      <c r="D145" s="223" t="str">
        <f>IFERROR(IF(DB_Customers!Q139&lt;&gt;"",DB_Customers!Q139,""),"")</f>
        <v/>
      </c>
      <c r="E145" s="221" t="str">
        <f>IFERROR(IF(DB_Customers!R139&lt;&gt;"",DB_Customers!R139,""),"")</f>
        <v/>
      </c>
      <c r="F145" s="222" t="str">
        <f>IFERROR(IF(DB_Customers!S139&lt;&gt;"",DB_Customers!S139,""),"")</f>
        <v/>
      </c>
      <c r="G145" s="222" t="str">
        <f>IFERROR(IF(DB_Customers!G139&lt;&gt;"",DB_Customers!G139,""),"")</f>
        <v/>
      </c>
      <c r="H145" s="221" t="str">
        <f>IFERROR(IF(DB_Customers!H139&lt;&gt;"",DB_Customers!H139,""),"")</f>
        <v/>
      </c>
      <c r="I145" s="224" t="str">
        <f>IFERROR(IF(DB_Customers!I139&lt;&gt;"",DB_Customers!I139,""),"")</f>
        <v/>
      </c>
      <c r="J145" s="225" t="str">
        <f>IFERROR(IF(DB_Customers!J139&lt;&gt;"",DB_Customers!J139,""),"")</f>
        <v/>
      </c>
      <c r="K145" s="222" t="str">
        <f>IFERROR(IF(DB_Customers!E139&lt;&gt;"",DB_Customers!E139,""),"")</f>
        <v/>
      </c>
      <c r="L145" s="222" t="str">
        <f>IFERROR(IF(DB_Customers!F139&lt;&gt;"",DB_Customers!F139,""),"")</f>
        <v/>
      </c>
      <c r="M145" s="222" t="str">
        <f>IFERROR(IF(DB_Customers!T139&lt;&gt;"",DB_Customers!T139,""),"")</f>
        <v/>
      </c>
      <c r="N145" s="221" t="str">
        <f>IFERROR(IF(DB_Customers!A139&lt;&gt;"",IF(DB_Customers!I139&gt;=10,"Active","Inactive"),""),"")</f>
        <v/>
      </c>
    </row>
    <row r="146" spans="1:14" ht="18" customHeight="1" x14ac:dyDescent="0.25">
      <c r="A146" s="216" t="str">
        <f>IF(DB_Customers!A140&lt;&gt;"",ROW()-9,"")</f>
        <v/>
      </c>
      <c r="B146" s="216" t="str">
        <f>IFERROR(IF(DB_Customers!A140&lt;&gt;"",DB_Customers!A140,""),"")</f>
        <v/>
      </c>
      <c r="C146" s="217" t="str">
        <f>IFERROR(IF(DB_Customers!D140&lt;&gt;"",DB_Customers!D140,""),"")</f>
        <v/>
      </c>
      <c r="D146" s="218" t="str">
        <f>IFERROR(IF(DB_Customers!Q140&lt;&gt;"",DB_Customers!Q140,""),"")</f>
        <v/>
      </c>
      <c r="E146" s="216" t="str">
        <f>IFERROR(IF(DB_Customers!R140&lt;&gt;"",DB_Customers!R140,""),"")</f>
        <v/>
      </c>
      <c r="F146" s="217" t="str">
        <f>IFERROR(IF(DB_Customers!S140&lt;&gt;"",DB_Customers!S140,""),"")</f>
        <v/>
      </c>
      <c r="G146" s="217" t="str">
        <f>IFERROR(IF(DB_Customers!G140&lt;&gt;"",DB_Customers!G140,""),"")</f>
        <v/>
      </c>
      <c r="H146" s="216" t="str">
        <f>IFERROR(IF(DB_Customers!H140&lt;&gt;"",DB_Customers!H140,""),"")</f>
        <v/>
      </c>
      <c r="I146" s="219" t="str">
        <f>IFERROR(IF(DB_Customers!I140&lt;&gt;"",DB_Customers!I140,""),"")</f>
        <v/>
      </c>
      <c r="J146" s="220" t="str">
        <f>IFERROR(IF(DB_Customers!J140&lt;&gt;"",DB_Customers!J140,""),"")</f>
        <v/>
      </c>
      <c r="K146" s="217" t="str">
        <f>IFERROR(IF(DB_Customers!E140&lt;&gt;"",DB_Customers!E140,""),"")</f>
        <v/>
      </c>
      <c r="L146" s="217" t="str">
        <f>IFERROR(IF(DB_Customers!F140&lt;&gt;"",DB_Customers!F140,""),"")</f>
        <v/>
      </c>
      <c r="M146" s="217" t="str">
        <f>IFERROR(IF(DB_Customers!T140&lt;&gt;"",DB_Customers!T140,""),"")</f>
        <v/>
      </c>
      <c r="N146" s="216" t="str">
        <f>IFERROR(IF(DB_Customers!A140&lt;&gt;"",IF(DB_Customers!I140&gt;=10,"Active","Inactive"),""),"")</f>
        <v/>
      </c>
    </row>
    <row r="147" spans="1:14" ht="18" customHeight="1" x14ac:dyDescent="0.25">
      <c r="A147" s="221" t="str">
        <f>IF(DB_Customers!A141&lt;&gt;"",ROW()-9,"")</f>
        <v/>
      </c>
      <c r="B147" s="221" t="str">
        <f>IFERROR(IF(DB_Customers!A141&lt;&gt;"",DB_Customers!A141,""),"")</f>
        <v/>
      </c>
      <c r="C147" s="222" t="str">
        <f>IFERROR(IF(DB_Customers!D141&lt;&gt;"",DB_Customers!D141,""),"")</f>
        <v/>
      </c>
      <c r="D147" s="223" t="str">
        <f>IFERROR(IF(DB_Customers!Q141&lt;&gt;"",DB_Customers!Q141,""),"")</f>
        <v/>
      </c>
      <c r="E147" s="221" t="str">
        <f>IFERROR(IF(DB_Customers!R141&lt;&gt;"",DB_Customers!R141,""),"")</f>
        <v/>
      </c>
      <c r="F147" s="222" t="str">
        <f>IFERROR(IF(DB_Customers!S141&lt;&gt;"",DB_Customers!S141,""),"")</f>
        <v/>
      </c>
      <c r="G147" s="222" t="str">
        <f>IFERROR(IF(DB_Customers!G141&lt;&gt;"",DB_Customers!G141,""),"")</f>
        <v/>
      </c>
      <c r="H147" s="221" t="str">
        <f>IFERROR(IF(DB_Customers!H141&lt;&gt;"",DB_Customers!H141,""),"")</f>
        <v/>
      </c>
      <c r="I147" s="224" t="str">
        <f>IFERROR(IF(DB_Customers!I141&lt;&gt;"",DB_Customers!I141,""),"")</f>
        <v/>
      </c>
      <c r="J147" s="225" t="str">
        <f>IFERROR(IF(DB_Customers!J141&lt;&gt;"",DB_Customers!J141,""),"")</f>
        <v/>
      </c>
      <c r="K147" s="222" t="str">
        <f>IFERROR(IF(DB_Customers!E141&lt;&gt;"",DB_Customers!E141,""),"")</f>
        <v/>
      </c>
      <c r="L147" s="222" t="str">
        <f>IFERROR(IF(DB_Customers!F141&lt;&gt;"",DB_Customers!F141,""),"")</f>
        <v/>
      </c>
      <c r="M147" s="222" t="str">
        <f>IFERROR(IF(DB_Customers!T141&lt;&gt;"",DB_Customers!T141,""),"")</f>
        <v/>
      </c>
      <c r="N147" s="221" t="str">
        <f>IFERROR(IF(DB_Customers!A141&lt;&gt;"",IF(DB_Customers!I141&gt;=10,"Active","Inactive"),""),"")</f>
        <v/>
      </c>
    </row>
    <row r="148" spans="1:14" ht="18" customHeight="1" x14ac:dyDescent="0.25">
      <c r="A148" s="216" t="str">
        <f>IF(DB_Customers!A142&lt;&gt;"",ROW()-9,"")</f>
        <v/>
      </c>
      <c r="B148" s="216" t="str">
        <f>IFERROR(IF(DB_Customers!A142&lt;&gt;"",DB_Customers!A142,""),"")</f>
        <v/>
      </c>
      <c r="C148" s="217" t="str">
        <f>IFERROR(IF(DB_Customers!D142&lt;&gt;"",DB_Customers!D142,""),"")</f>
        <v/>
      </c>
      <c r="D148" s="218" t="str">
        <f>IFERROR(IF(DB_Customers!Q142&lt;&gt;"",DB_Customers!Q142,""),"")</f>
        <v/>
      </c>
      <c r="E148" s="216" t="str">
        <f>IFERROR(IF(DB_Customers!R142&lt;&gt;"",DB_Customers!R142,""),"")</f>
        <v/>
      </c>
      <c r="F148" s="217" t="str">
        <f>IFERROR(IF(DB_Customers!S142&lt;&gt;"",DB_Customers!S142,""),"")</f>
        <v/>
      </c>
      <c r="G148" s="217" t="str">
        <f>IFERROR(IF(DB_Customers!G142&lt;&gt;"",DB_Customers!G142,""),"")</f>
        <v/>
      </c>
      <c r="H148" s="216" t="str">
        <f>IFERROR(IF(DB_Customers!H142&lt;&gt;"",DB_Customers!H142,""),"")</f>
        <v/>
      </c>
      <c r="I148" s="219" t="str">
        <f>IFERROR(IF(DB_Customers!I142&lt;&gt;"",DB_Customers!I142,""),"")</f>
        <v/>
      </c>
      <c r="J148" s="220" t="str">
        <f>IFERROR(IF(DB_Customers!J142&lt;&gt;"",DB_Customers!J142,""),"")</f>
        <v/>
      </c>
      <c r="K148" s="217" t="str">
        <f>IFERROR(IF(DB_Customers!E142&lt;&gt;"",DB_Customers!E142,""),"")</f>
        <v/>
      </c>
      <c r="L148" s="217" t="str">
        <f>IFERROR(IF(DB_Customers!F142&lt;&gt;"",DB_Customers!F142,""),"")</f>
        <v/>
      </c>
      <c r="M148" s="217" t="str">
        <f>IFERROR(IF(DB_Customers!T142&lt;&gt;"",DB_Customers!T142,""),"")</f>
        <v/>
      </c>
      <c r="N148" s="216" t="str">
        <f>IFERROR(IF(DB_Customers!A142&lt;&gt;"",IF(DB_Customers!I142&gt;=10,"Active","Inactive"),""),"")</f>
        <v/>
      </c>
    </row>
    <row r="149" spans="1:14" ht="18" customHeight="1" x14ac:dyDescent="0.25">
      <c r="A149" s="221" t="str">
        <f>IF(DB_Customers!A143&lt;&gt;"",ROW()-9,"")</f>
        <v/>
      </c>
      <c r="B149" s="221" t="str">
        <f>IFERROR(IF(DB_Customers!A143&lt;&gt;"",DB_Customers!A143,""),"")</f>
        <v/>
      </c>
      <c r="C149" s="222" t="str">
        <f>IFERROR(IF(DB_Customers!D143&lt;&gt;"",DB_Customers!D143,""),"")</f>
        <v/>
      </c>
      <c r="D149" s="223" t="str">
        <f>IFERROR(IF(DB_Customers!Q143&lt;&gt;"",DB_Customers!Q143,""),"")</f>
        <v/>
      </c>
      <c r="E149" s="221" t="str">
        <f>IFERROR(IF(DB_Customers!R143&lt;&gt;"",DB_Customers!R143,""),"")</f>
        <v/>
      </c>
      <c r="F149" s="222" t="str">
        <f>IFERROR(IF(DB_Customers!S143&lt;&gt;"",DB_Customers!S143,""),"")</f>
        <v/>
      </c>
      <c r="G149" s="222" t="str">
        <f>IFERROR(IF(DB_Customers!G143&lt;&gt;"",DB_Customers!G143,""),"")</f>
        <v/>
      </c>
      <c r="H149" s="221" t="str">
        <f>IFERROR(IF(DB_Customers!H143&lt;&gt;"",DB_Customers!H143,""),"")</f>
        <v/>
      </c>
      <c r="I149" s="224" t="str">
        <f>IFERROR(IF(DB_Customers!I143&lt;&gt;"",DB_Customers!I143,""),"")</f>
        <v/>
      </c>
      <c r="J149" s="225" t="str">
        <f>IFERROR(IF(DB_Customers!J143&lt;&gt;"",DB_Customers!J143,""),"")</f>
        <v/>
      </c>
      <c r="K149" s="222" t="str">
        <f>IFERROR(IF(DB_Customers!E143&lt;&gt;"",DB_Customers!E143,""),"")</f>
        <v/>
      </c>
      <c r="L149" s="222" t="str">
        <f>IFERROR(IF(DB_Customers!F143&lt;&gt;"",DB_Customers!F143,""),"")</f>
        <v/>
      </c>
      <c r="M149" s="222" t="str">
        <f>IFERROR(IF(DB_Customers!T143&lt;&gt;"",DB_Customers!T143,""),"")</f>
        <v/>
      </c>
      <c r="N149" s="221" t="str">
        <f>IFERROR(IF(DB_Customers!A143&lt;&gt;"",IF(DB_Customers!I143&gt;=10,"Active","Inactive"),""),"")</f>
        <v/>
      </c>
    </row>
    <row r="150" spans="1:14" ht="18" customHeight="1" x14ac:dyDescent="0.25">
      <c r="A150" s="216" t="str">
        <f>IF(DB_Customers!A144&lt;&gt;"",ROW()-9,"")</f>
        <v/>
      </c>
      <c r="B150" s="216" t="str">
        <f>IFERROR(IF(DB_Customers!A144&lt;&gt;"",DB_Customers!A144,""),"")</f>
        <v/>
      </c>
      <c r="C150" s="217" t="str">
        <f>IFERROR(IF(DB_Customers!D144&lt;&gt;"",DB_Customers!D144,""),"")</f>
        <v/>
      </c>
      <c r="D150" s="218" t="str">
        <f>IFERROR(IF(DB_Customers!Q144&lt;&gt;"",DB_Customers!Q144,""),"")</f>
        <v/>
      </c>
      <c r="E150" s="216" t="str">
        <f>IFERROR(IF(DB_Customers!R144&lt;&gt;"",DB_Customers!R144,""),"")</f>
        <v/>
      </c>
      <c r="F150" s="217" t="str">
        <f>IFERROR(IF(DB_Customers!S144&lt;&gt;"",DB_Customers!S144,""),"")</f>
        <v/>
      </c>
      <c r="G150" s="217" t="str">
        <f>IFERROR(IF(DB_Customers!G144&lt;&gt;"",DB_Customers!G144,""),"")</f>
        <v/>
      </c>
      <c r="H150" s="216" t="str">
        <f>IFERROR(IF(DB_Customers!H144&lt;&gt;"",DB_Customers!H144,""),"")</f>
        <v/>
      </c>
      <c r="I150" s="219" t="str">
        <f>IFERROR(IF(DB_Customers!I144&lt;&gt;"",DB_Customers!I144,""),"")</f>
        <v/>
      </c>
      <c r="J150" s="220" t="str">
        <f>IFERROR(IF(DB_Customers!J144&lt;&gt;"",DB_Customers!J144,""),"")</f>
        <v/>
      </c>
      <c r="K150" s="217" t="str">
        <f>IFERROR(IF(DB_Customers!E144&lt;&gt;"",DB_Customers!E144,""),"")</f>
        <v/>
      </c>
      <c r="L150" s="217" t="str">
        <f>IFERROR(IF(DB_Customers!F144&lt;&gt;"",DB_Customers!F144,""),"")</f>
        <v/>
      </c>
      <c r="M150" s="217" t="str">
        <f>IFERROR(IF(DB_Customers!T144&lt;&gt;"",DB_Customers!T144,""),"")</f>
        <v/>
      </c>
      <c r="N150" s="216" t="str">
        <f>IFERROR(IF(DB_Customers!A144&lt;&gt;"",IF(DB_Customers!I144&gt;=10,"Active","Inactive"),""),"")</f>
        <v/>
      </c>
    </row>
    <row r="151" spans="1:14" ht="18" customHeight="1" x14ac:dyDescent="0.25">
      <c r="A151" s="221" t="str">
        <f>IF(DB_Customers!A145&lt;&gt;"",ROW()-9,"")</f>
        <v/>
      </c>
      <c r="B151" s="221" t="str">
        <f>IFERROR(IF(DB_Customers!A145&lt;&gt;"",DB_Customers!A145,""),"")</f>
        <v/>
      </c>
      <c r="C151" s="222" t="str">
        <f>IFERROR(IF(DB_Customers!D145&lt;&gt;"",DB_Customers!D145,""),"")</f>
        <v/>
      </c>
      <c r="D151" s="223" t="str">
        <f>IFERROR(IF(DB_Customers!Q145&lt;&gt;"",DB_Customers!Q145,""),"")</f>
        <v/>
      </c>
      <c r="E151" s="221" t="str">
        <f>IFERROR(IF(DB_Customers!R145&lt;&gt;"",DB_Customers!R145,""),"")</f>
        <v/>
      </c>
      <c r="F151" s="222" t="str">
        <f>IFERROR(IF(DB_Customers!S145&lt;&gt;"",DB_Customers!S145,""),"")</f>
        <v/>
      </c>
      <c r="G151" s="222" t="str">
        <f>IFERROR(IF(DB_Customers!G145&lt;&gt;"",DB_Customers!G145,""),"")</f>
        <v/>
      </c>
      <c r="H151" s="221" t="str">
        <f>IFERROR(IF(DB_Customers!H145&lt;&gt;"",DB_Customers!H145,""),"")</f>
        <v/>
      </c>
      <c r="I151" s="224" t="str">
        <f>IFERROR(IF(DB_Customers!I145&lt;&gt;"",DB_Customers!I145,""),"")</f>
        <v/>
      </c>
      <c r="J151" s="225" t="str">
        <f>IFERROR(IF(DB_Customers!J145&lt;&gt;"",DB_Customers!J145,""),"")</f>
        <v/>
      </c>
      <c r="K151" s="222" t="str">
        <f>IFERROR(IF(DB_Customers!E145&lt;&gt;"",DB_Customers!E145,""),"")</f>
        <v/>
      </c>
      <c r="L151" s="222" t="str">
        <f>IFERROR(IF(DB_Customers!F145&lt;&gt;"",DB_Customers!F145,""),"")</f>
        <v/>
      </c>
      <c r="M151" s="222" t="str">
        <f>IFERROR(IF(DB_Customers!T145&lt;&gt;"",DB_Customers!T145,""),"")</f>
        <v/>
      </c>
      <c r="N151" s="221" t="str">
        <f>IFERROR(IF(DB_Customers!A145&lt;&gt;"",IF(DB_Customers!I145&gt;=10,"Active","Inactive"),""),"")</f>
        <v/>
      </c>
    </row>
    <row r="152" spans="1:14" ht="18" customHeight="1" x14ac:dyDescent="0.25">
      <c r="A152" s="216" t="str">
        <f>IF(DB_Customers!A146&lt;&gt;"",ROW()-9,"")</f>
        <v/>
      </c>
      <c r="B152" s="216" t="str">
        <f>IFERROR(IF(DB_Customers!A146&lt;&gt;"",DB_Customers!A146,""),"")</f>
        <v/>
      </c>
      <c r="C152" s="217" t="str">
        <f>IFERROR(IF(DB_Customers!D146&lt;&gt;"",DB_Customers!D146,""),"")</f>
        <v/>
      </c>
      <c r="D152" s="218" t="str">
        <f>IFERROR(IF(DB_Customers!Q146&lt;&gt;"",DB_Customers!Q146,""),"")</f>
        <v/>
      </c>
      <c r="E152" s="216" t="str">
        <f>IFERROR(IF(DB_Customers!R146&lt;&gt;"",DB_Customers!R146,""),"")</f>
        <v/>
      </c>
      <c r="F152" s="217" t="str">
        <f>IFERROR(IF(DB_Customers!S146&lt;&gt;"",DB_Customers!S146,""),"")</f>
        <v/>
      </c>
      <c r="G152" s="217" t="str">
        <f>IFERROR(IF(DB_Customers!G146&lt;&gt;"",DB_Customers!G146,""),"")</f>
        <v/>
      </c>
      <c r="H152" s="216" t="str">
        <f>IFERROR(IF(DB_Customers!H146&lt;&gt;"",DB_Customers!H146,""),"")</f>
        <v/>
      </c>
      <c r="I152" s="219" t="str">
        <f>IFERROR(IF(DB_Customers!I146&lt;&gt;"",DB_Customers!I146,""),"")</f>
        <v/>
      </c>
      <c r="J152" s="220" t="str">
        <f>IFERROR(IF(DB_Customers!J146&lt;&gt;"",DB_Customers!J146,""),"")</f>
        <v/>
      </c>
      <c r="K152" s="217" t="str">
        <f>IFERROR(IF(DB_Customers!E146&lt;&gt;"",DB_Customers!E146,""),"")</f>
        <v/>
      </c>
      <c r="L152" s="217" t="str">
        <f>IFERROR(IF(DB_Customers!F146&lt;&gt;"",DB_Customers!F146,""),"")</f>
        <v/>
      </c>
      <c r="M152" s="217" t="str">
        <f>IFERROR(IF(DB_Customers!T146&lt;&gt;"",DB_Customers!T146,""),"")</f>
        <v/>
      </c>
      <c r="N152" s="216" t="str">
        <f>IFERROR(IF(DB_Customers!A146&lt;&gt;"",IF(DB_Customers!I146&gt;=10,"Active","Inactive"),""),"")</f>
        <v/>
      </c>
    </row>
    <row r="153" spans="1:14" ht="18" customHeight="1" x14ac:dyDescent="0.25">
      <c r="A153" s="221" t="str">
        <f>IF(DB_Customers!A147&lt;&gt;"",ROW()-9,"")</f>
        <v/>
      </c>
      <c r="B153" s="221" t="str">
        <f>IFERROR(IF(DB_Customers!A147&lt;&gt;"",DB_Customers!A147,""),"")</f>
        <v/>
      </c>
      <c r="C153" s="222" t="str">
        <f>IFERROR(IF(DB_Customers!D147&lt;&gt;"",DB_Customers!D147,""),"")</f>
        <v/>
      </c>
      <c r="D153" s="223" t="str">
        <f>IFERROR(IF(DB_Customers!Q147&lt;&gt;"",DB_Customers!Q147,""),"")</f>
        <v/>
      </c>
      <c r="E153" s="221" t="str">
        <f>IFERROR(IF(DB_Customers!R147&lt;&gt;"",DB_Customers!R147,""),"")</f>
        <v/>
      </c>
      <c r="F153" s="222" t="str">
        <f>IFERROR(IF(DB_Customers!S147&lt;&gt;"",DB_Customers!S147,""),"")</f>
        <v/>
      </c>
      <c r="G153" s="222" t="str">
        <f>IFERROR(IF(DB_Customers!G147&lt;&gt;"",DB_Customers!G147,""),"")</f>
        <v/>
      </c>
      <c r="H153" s="221" t="str">
        <f>IFERROR(IF(DB_Customers!H147&lt;&gt;"",DB_Customers!H147,""),"")</f>
        <v/>
      </c>
      <c r="I153" s="224" t="str">
        <f>IFERROR(IF(DB_Customers!I147&lt;&gt;"",DB_Customers!I147,""),"")</f>
        <v/>
      </c>
      <c r="J153" s="225" t="str">
        <f>IFERROR(IF(DB_Customers!J147&lt;&gt;"",DB_Customers!J147,""),"")</f>
        <v/>
      </c>
      <c r="K153" s="222" t="str">
        <f>IFERROR(IF(DB_Customers!E147&lt;&gt;"",DB_Customers!E147,""),"")</f>
        <v/>
      </c>
      <c r="L153" s="222" t="str">
        <f>IFERROR(IF(DB_Customers!F147&lt;&gt;"",DB_Customers!F147,""),"")</f>
        <v/>
      </c>
      <c r="M153" s="222" t="str">
        <f>IFERROR(IF(DB_Customers!T147&lt;&gt;"",DB_Customers!T147,""),"")</f>
        <v/>
      </c>
      <c r="N153" s="221" t="str">
        <f>IFERROR(IF(DB_Customers!A147&lt;&gt;"",IF(DB_Customers!I147&gt;=10,"Active","Inactive"),""),"")</f>
        <v/>
      </c>
    </row>
    <row r="154" spans="1:14" ht="18" customHeight="1" x14ac:dyDescent="0.25">
      <c r="A154" s="216" t="str">
        <f>IF(DB_Customers!A148&lt;&gt;"",ROW()-9,"")</f>
        <v/>
      </c>
      <c r="B154" s="216" t="str">
        <f>IFERROR(IF(DB_Customers!A148&lt;&gt;"",DB_Customers!A148,""),"")</f>
        <v/>
      </c>
      <c r="C154" s="217" t="str">
        <f>IFERROR(IF(DB_Customers!D148&lt;&gt;"",DB_Customers!D148,""),"")</f>
        <v/>
      </c>
      <c r="D154" s="218" t="str">
        <f>IFERROR(IF(DB_Customers!Q148&lt;&gt;"",DB_Customers!Q148,""),"")</f>
        <v/>
      </c>
      <c r="E154" s="216" t="str">
        <f>IFERROR(IF(DB_Customers!R148&lt;&gt;"",DB_Customers!R148,""),"")</f>
        <v/>
      </c>
      <c r="F154" s="217" t="str">
        <f>IFERROR(IF(DB_Customers!S148&lt;&gt;"",DB_Customers!S148,""),"")</f>
        <v/>
      </c>
      <c r="G154" s="217" t="str">
        <f>IFERROR(IF(DB_Customers!G148&lt;&gt;"",DB_Customers!G148,""),"")</f>
        <v/>
      </c>
      <c r="H154" s="216" t="str">
        <f>IFERROR(IF(DB_Customers!H148&lt;&gt;"",DB_Customers!H148,""),"")</f>
        <v/>
      </c>
      <c r="I154" s="219" t="str">
        <f>IFERROR(IF(DB_Customers!I148&lt;&gt;"",DB_Customers!I148,""),"")</f>
        <v/>
      </c>
      <c r="J154" s="220" t="str">
        <f>IFERROR(IF(DB_Customers!J148&lt;&gt;"",DB_Customers!J148,""),"")</f>
        <v/>
      </c>
      <c r="K154" s="217" t="str">
        <f>IFERROR(IF(DB_Customers!E148&lt;&gt;"",DB_Customers!E148,""),"")</f>
        <v/>
      </c>
      <c r="L154" s="217" t="str">
        <f>IFERROR(IF(DB_Customers!F148&lt;&gt;"",DB_Customers!F148,""),"")</f>
        <v/>
      </c>
      <c r="M154" s="217" t="str">
        <f>IFERROR(IF(DB_Customers!T148&lt;&gt;"",DB_Customers!T148,""),"")</f>
        <v/>
      </c>
      <c r="N154" s="216" t="str">
        <f>IFERROR(IF(DB_Customers!A148&lt;&gt;"",IF(DB_Customers!I148&gt;=10,"Active","Inactive"),""),"")</f>
        <v/>
      </c>
    </row>
    <row r="155" spans="1:14" ht="18" customHeight="1" x14ac:dyDescent="0.25">
      <c r="A155" s="221" t="str">
        <f>IF(DB_Customers!A149&lt;&gt;"",ROW()-9,"")</f>
        <v/>
      </c>
      <c r="B155" s="221" t="str">
        <f>IFERROR(IF(DB_Customers!A149&lt;&gt;"",DB_Customers!A149,""),"")</f>
        <v/>
      </c>
      <c r="C155" s="222" t="str">
        <f>IFERROR(IF(DB_Customers!D149&lt;&gt;"",DB_Customers!D149,""),"")</f>
        <v/>
      </c>
      <c r="D155" s="223" t="str">
        <f>IFERROR(IF(DB_Customers!Q149&lt;&gt;"",DB_Customers!Q149,""),"")</f>
        <v/>
      </c>
      <c r="E155" s="221" t="str">
        <f>IFERROR(IF(DB_Customers!R149&lt;&gt;"",DB_Customers!R149,""),"")</f>
        <v/>
      </c>
      <c r="F155" s="222" t="str">
        <f>IFERROR(IF(DB_Customers!S149&lt;&gt;"",DB_Customers!S149,""),"")</f>
        <v/>
      </c>
      <c r="G155" s="222" t="str">
        <f>IFERROR(IF(DB_Customers!G149&lt;&gt;"",DB_Customers!G149,""),"")</f>
        <v/>
      </c>
      <c r="H155" s="221" t="str">
        <f>IFERROR(IF(DB_Customers!H149&lt;&gt;"",DB_Customers!H149,""),"")</f>
        <v/>
      </c>
      <c r="I155" s="224" t="str">
        <f>IFERROR(IF(DB_Customers!I149&lt;&gt;"",DB_Customers!I149,""),"")</f>
        <v/>
      </c>
      <c r="J155" s="225" t="str">
        <f>IFERROR(IF(DB_Customers!J149&lt;&gt;"",DB_Customers!J149,""),"")</f>
        <v/>
      </c>
      <c r="K155" s="222" t="str">
        <f>IFERROR(IF(DB_Customers!E149&lt;&gt;"",DB_Customers!E149,""),"")</f>
        <v/>
      </c>
      <c r="L155" s="222" t="str">
        <f>IFERROR(IF(DB_Customers!F149&lt;&gt;"",DB_Customers!F149,""),"")</f>
        <v/>
      </c>
      <c r="M155" s="222" t="str">
        <f>IFERROR(IF(DB_Customers!T149&lt;&gt;"",DB_Customers!T149,""),"")</f>
        <v/>
      </c>
      <c r="N155" s="221" t="str">
        <f>IFERROR(IF(DB_Customers!A149&lt;&gt;"",IF(DB_Customers!I149&gt;=10,"Active","Inactive"),""),"")</f>
        <v/>
      </c>
    </row>
    <row r="156" spans="1:14" ht="18" customHeight="1" x14ac:dyDescent="0.25">
      <c r="A156" s="216" t="str">
        <f>IF(DB_Customers!A150&lt;&gt;"",ROW()-9,"")</f>
        <v/>
      </c>
      <c r="B156" s="216" t="str">
        <f>IFERROR(IF(DB_Customers!A150&lt;&gt;"",DB_Customers!A150,""),"")</f>
        <v/>
      </c>
      <c r="C156" s="217" t="str">
        <f>IFERROR(IF(DB_Customers!D150&lt;&gt;"",DB_Customers!D150,""),"")</f>
        <v/>
      </c>
      <c r="D156" s="218" t="str">
        <f>IFERROR(IF(DB_Customers!Q150&lt;&gt;"",DB_Customers!Q150,""),"")</f>
        <v/>
      </c>
      <c r="E156" s="216" t="str">
        <f>IFERROR(IF(DB_Customers!R150&lt;&gt;"",DB_Customers!R150,""),"")</f>
        <v/>
      </c>
      <c r="F156" s="217" t="str">
        <f>IFERROR(IF(DB_Customers!S150&lt;&gt;"",DB_Customers!S150,""),"")</f>
        <v/>
      </c>
      <c r="G156" s="217" t="str">
        <f>IFERROR(IF(DB_Customers!G150&lt;&gt;"",DB_Customers!G150,""),"")</f>
        <v/>
      </c>
      <c r="H156" s="216" t="str">
        <f>IFERROR(IF(DB_Customers!H150&lt;&gt;"",DB_Customers!H150,""),"")</f>
        <v/>
      </c>
      <c r="I156" s="219" t="str">
        <f>IFERROR(IF(DB_Customers!I150&lt;&gt;"",DB_Customers!I150,""),"")</f>
        <v/>
      </c>
      <c r="J156" s="220" t="str">
        <f>IFERROR(IF(DB_Customers!J150&lt;&gt;"",DB_Customers!J150,""),"")</f>
        <v/>
      </c>
      <c r="K156" s="217" t="str">
        <f>IFERROR(IF(DB_Customers!E150&lt;&gt;"",DB_Customers!E150,""),"")</f>
        <v/>
      </c>
      <c r="L156" s="217" t="str">
        <f>IFERROR(IF(DB_Customers!F150&lt;&gt;"",DB_Customers!F150,""),"")</f>
        <v/>
      </c>
      <c r="M156" s="217" t="str">
        <f>IFERROR(IF(DB_Customers!T150&lt;&gt;"",DB_Customers!T150,""),"")</f>
        <v/>
      </c>
      <c r="N156" s="216" t="str">
        <f>IFERROR(IF(DB_Customers!A150&lt;&gt;"",IF(DB_Customers!I150&gt;=10,"Active","Inactive"),""),"")</f>
        <v/>
      </c>
    </row>
    <row r="157" spans="1:14" ht="18" customHeight="1" x14ac:dyDescent="0.25">
      <c r="A157" s="221" t="str">
        <f>IF(DB_Customers!A151&lt;&gt;"",ROW()-9,"")</f>
        <v/>
      </c>
      <c r="B157" s="221" t="str">
        <f>IFERROR(IF(DB_Customers!A151&lt;&gt;"",DB_Customers!A151,""),"")</f>
        <v/>
      </c>
      <c r="C157" s="222" t="str">
        <f>IFERROR(IF(DB_Customers!D151&lt;&gt;"",DB_Customers!D151,""),"")</f>
        <v/>
      </c>
      <c r="D157" s="223" t="str">
        <f>IFERROR(IF(DB_Customers!Q151&lt;&gt;"",DB_Customers!Q151,""),"")</f>
        <v/>
      </c>
      <c r="E157" s="221" t="str">
        <f>IFERROR(IF(DB_Customers!R151&lt;&gt;"",DB_Customers!R151,""),"")</f>
        <v/>
      </c>
      <c r="F157" s="222" t="str">
        <f>IFERROR(IF(DB_Customers!S151&lt;&gt;"",DB_Customers!S151,""),"")</f>
        <v/>
      </c>
      <c r="G157" s="222" t="str">
        <f>IFERROR(IF(DB_Customers!G151&lt;&gt;"",DB_Customers!G151,""),"")</f>
        <v/>
      </c>
      <c r="H157" s="221" t="str">
        <f>IFERROR(IF(DB_Customers!H151&lt;&gt;"",DB_Customers!H151,""),"")</f>
        <v/>
      </c>
      <c r="I157" s="224" t="str">
        <f>IFERROR(IF(DB_Customers!I151&lt;&gt;"",DB_Customers!I151,""),"")</f>
        <v/>
      </c>
      <c r="J157" s="225" t="str">
        <f>IFERROR(IF(DB_Customers!J151&lt;&gt;"",DB_Customers!J151,""),"")</f>
        <v/>
      </c>
      <c r="K157" s="222" t="str">
        <f>IFERROR(IF(DB_Customers!E151&lt;&gt;"",DB_Customers!E151,""),"")</f>
        <v/>
      </c>
      <c r="L157" s="222" t="str">
        <f>IFERROR(IF(DB_Customers!F151&lt;&gt;"",DB_Customers!F151,""),"")</f>
        <v/>
      </c>
      <c r="M157" s="222" t="str">
        <f>IFERROR(IF(DB_Customers!T151&lt;&gt;"",DB_Customers!T151,""),"")</f>
        <v/>
      </c>
      <c r="N157" s="221" t="str">
        <f>IFERROR(IF(DB_Customers!A151&lt;&gt;"",IF(DB_Customers!I151&gt;=10,"Active","Inactive"),""),"")</f>
        <v/>
      </c>
    </row>
    <row r="158" spans="1:14" ht="18" customHeight="1" x14ac:dyDescent="0.25">
      <c r="A158" s="216" t="str">
        <f>IF(DB_Customers!A152&lt;&gt;"",ROW()-9,"")</f>
        <v/>
      </c>
      <c r="B158" s="216" t="str">
        <f>IFERROR(IF(DB_Customers!A152&lt;&gt;"",DB_Customers!A152,""),"")</f>
        <v/>
      </c>
      <c r="C158" s="217" t="str">
        <f>IFERROR(IF(DB_Customers!D152&lt;&gt;"",DB_Customers!D152,""),"")</f>
        <v/>
      </c>
      <c r="D158" s="218" t="str">
        <f>IFERROR(IF(DB_Customers!Q152&lt;&gt;"",DB_Customers!Q152,""),"")</f>
        <v/>
      </c>
      <c r="E158" s="216" t="str">
        <f>IFERROR(IF(DB_Customers!R152&lt;&gt;"",DB_Customers!R152,""),"")</f>
        <v/>
      </c>
      <c r="F158" s="217" t="str">
        <f>IFERROR(IF(DB_Customers!S152&lt;&gt;"",DB_Customers!S152,""),"")</f>
        <v/>
      </c>
      <c r="G158" s="217" t="str">
        <f>IFERROR(IF(DB_Customers!G152&lt;&gt;"",DB_Customers!G152,""),"")</f>
        <v/>
      </c>
      <c r="H158" s="216" t="str">
        <f>IFERROR(IF(DB_Customers!H152&lt;&gt;"",DB_Customers!H152,""),"")</f>
        <v/>
      </c>
      <c r="I158" s="219" t="str">
        <f>IFERROR(IF(DB_Customers!I152&lt;&gt;"",DB_Customers!I152,""),"")</f>
        <v/>
      </c>
      <c r="J158" s="220" t="str">
        <f>IFERROR(IF(DB_Customers!J152&lt;&gt;"",DB_Customers!J152,""),"")</f>
        <v/>
      </c>
      <c r="K158" s="217" t="str">
        <f>IFERROR(IF(DB_Customers!E152&lt;&gt;"",DB_Customers!E152,""),"")</f>
        <v/>
      </c>
      <c r="L158" s="217" t="str">
        <f>IFERROR(IF(DB_Customers!F152&lt;&gt;"",DB_Customers!F152,""),"")</f>
        <v/>
      </c>
      <c r="M158" s="217" t="str">
        <f>IFERROR(IF(DB_Customers!T152&lt;&gt;"",DB_Customers!T152,""),"")</f>
        <v/>
      </c>
      <c r="N158" s="216" t="str">
        <f>IFERROR(IF(DB_Customers!A152&lt;&gt;"",IF(DB_Customers!I152&gt;=10,"Active","Inactive"),""),"")</f>
        <v/>
      </c>
    </row>
    <row r="159" spans="1:14" ht="18" customHeight="1" x14ac:dyDescent="0.25">
      <c r="A159" s="221" t="str">
        <f>IF(DB_Customers!A153&lt;&gt;"",ROW()-9,"")</f>
        <v/>
      </c>
      <c r="B159" s="221" t="str">
        <f>IFERROR(IF(DB_Customers!A153&lt;&gt;"",DB_Customers!A153,""),"")</f>
        <v/>
      </c>
      <c r="C159" s="222" t="str">
        <f>IFERROR(IF(DB_Customers!D153&lt;&gt;"",DB_Customers!D153,""),"")</f>
        <v/>
      </c>
      <c r="D159" s="223" t="str">
        <f>IFERROR(IF(DB_Customers!Q153&lt;&gt;"",DB_Customers!Q153,""),"")</f>
        <v/>
      </c>
      <c r="E159" s="221" t="str">
        <f>IFERROR(IF(DB_Customers!R153&lt;&gt;"",DB_Customers!R153,""),"")</f>
        <v/>
      </c>
      <c r="F159" s="222" t="str">
        <f>IFERROR(IF(DB_Customers!S153&lt;&gt;"",DB_Customers!S153,""),"")</f>
        <v/>
      </c>
      <c r="G159" s="222" t="str">
        <f>IFERROR(IF(DB_Customers!G153&lt;&gt;"",DB_Customers!G153,""),"")</f>
        <v/>
      </c>
      <c r="H159" s="221" t="str">
        <f>IFERROR(IF(DB_Customers!H153&lt;&gt;"",DB_Customers!H153,""),"")</f>
        <v/>
      </c>
      <c r="I159" s="224" t="str">
        <f>IFERROR(IF(DB_Customers!I153&lt;&gt;"",DB_Customers!I153,""),"")</f>
        <v/>
      </c>
      <c r="J159" s="225" t="str">
        <f>IFERROR(IF(DB_Customers!J153&lt;&gt;"",DB_Customers!J153,""),"")</f>
        <v/>
      </c>
      <c r="K159" s="222" t="str">
        <f>IFERROR(IF(DB_Customers!E153&lt;&gt;"",DB_Customers!E153,""),"")</f>
        <v/>
      </c>
      <c r="L159" s="222" t="str">
        <f>IFERROR(IF(DB_Customers!F153&lt;&gt;"",DB_Customers!F153,""),"")</f>
        <v/>
      </c>
      <c r="M159" s="222" t="str">
        <f>IFERROR(IF(DB_Customers!T153&lt;&gt;"",DB_Customers!T153,""),"")</f>
        <v/>
      </c>
      <c r="N159" s="221" t="str">
        <f>IFERROR(IF(DB_Customers!A153&lt;&gt;"",IF(DB_Customers!I153&gt;=10,"Active","Inactive"),""),"")</f>
        <v/>
      </c>
    </row>
    <row r="160" spans="1:14" ht="18" customHeight="1" x14ac:dyDescent="0.25">
      <c r="A160" s="216" t="str">
        <f>IF(DB_Customers!A154&lt;&gt;"",ROW()-9,"")</f>
        <v/>
      </c>
      <c r="B160" s="216" t="str">
        <f>IFERROR(IF(DB_Customers!A154&lt;&gt;"",DB_Customers!A154,""),"")</f>
        <v/>
      </c>
      <c r="C160" s="217" t="str">
        <f>IFERROR(IF(DB_Customers!D154&lt;&gt;"",DB_Customers!D154,""),"")</f>
        <v/>
      </c>
      <c r="D160" s="218" t="str">
        <f>IFERROR(IF(DB_Customers!Q154&lt;&gt;"",DB_Customers!Q154,""),"")</f>
        <v/>
      </c>
      <c r="E160" s="216" t="str">
        <f>IFERROR(IF(DB_Customers!R154&lt;&gt;"",DB_Customers!R154,""),"")</f>
        <v/>
      </c>
      <c r="F160" s="217" t="str">
        <f>IFERROR(IF(DB_Customers!S154&lt;&gt;"",DB_Customers!S154,""),"")</f>
        <v/>
      </c>
      <c r="G160" s="217" t="str">
        <f>IFERROR(IF(DB_Customers!G154&lt;&gt;"",DB_Customers!G154,""),"")</f>
        <v/>
      </c>
      <c r="H160" s="216" t="str">
        <f>IFERROR(IF(DB_Customers!H154&lt;&gt;"",DB_Customers!H154,""),"")</f>
        <v/>
      </c>
      <c r="I160" s="219" t="str">
        <f>IFERROR(IF(DB_Customers!I154&lt;&gt;"",DB_Customers!I154,""),"")</f>
        <v/>
      </c>
      <c r="J160" s="220" t="str">
        <f>IFERROR(IF(DB_Customers!J154&lt;&gt;"",DB_Customers!J154,""),"")</f>
        <v/>
      </c>
      <c r="K160" s="217" t="str">
        <f>IFERROR(IF(DB_Customers!E154&lt;&gt;"",DB_Customers!E154,""),"")</f>
        <v/>
      </c>
      <c r="L160" s="217" t="str">
        <f>IFERROR(IF(DB_Customers!F154&lt;&gt;"",DB_Customers!F154,""),"")</f>
        <v/>
      </c>
      <c r="M160" s="217" t="str">
        <f>IFERROR(IF(DB_Customers!T154&lt;&gt;"",DB_Customers!T154,""),"")</f>
        <v/>
      </c>
      <c r="N160" s="216" t="str">
        <f>IFERROR(IF(DB_Customers!A154&lt;&gt;"",IF(DB_Customers!I154&gt;=10,"Active","Inactive"),""),"")</f>
        <v/>
      </c>
    </row>
    <row r="161" spans="1:14" ht="18" customHeight="1" x14ac:dyDescent="0.25">
      <c r="A161" s="221" t="str">
        <f>IF(DB_Customers!A155&lt;&gt;"",ROW()-9,"")</f>
        <v/>
      </c>
      <c r="B161" s="221" t="str">
        <f>IFERROR(IF(DB_Customers!A155&lt;&gt;"",DB_Customers!A155,""),"")</f>
        <v/>
      </c>
      <c r="C161" s="222" t="str">
        <f>IFERROR(IF(DB_Customers!D155&lt;&gt;"",DB_Customers!D155,""),"")</f>
        <v/>
      </c>
      <c r="D161" s="223" t="str">
        <f>IFERROR(IF(DB_Customers!Q155&lt;&gt;"",DB_Customers!Q155,""),"")</f>
        <v/>
      </c>
      <c r="E161" s="221" t="str">
        <f>IFERROR(IF(DB_Customers!R155&lt;&gt;"",DB_Customers!R155,""),"")</f>
        <v/>
      </c>
      <c r="F161" s="222" t="str">
        <f>IFERROR(IF(DB_Customers!S155&lt;&gt;"",DB_Customers!S155,""),"")</f>
        <v/>
      </c>
      <c r="G161" s="222" t="str">
        <f>IFERROR(IF(DB_Customers!G155&lt;&gt;"",DB_Customers!G155,""),"")</f>
        <v/>
      </c>
      <c r="H161" s="221" t="str">
        <f>IFERROR(IF(DB_Customers!H155&lt;&gt;"",DB_Customers!H155,""),"")</f>
        <v/>
      </c>
      <c r="I161" s="224" t="str">
        <f>IFERROR(IF(DB_Customers!I155&lt;&gt;"",DB_Customers!I155,""),"")</f>
        <v/>
      </c>
      <c r="J161" s="225" t="str">
        <f>IFERROR(IF(DB_Customers!J155&lt;&gt;"",DB_Customers!J155,""),"")</f>
        <v/>
      </c>
      <c r="K161" s="222" t="str">
        <f>IFERROR(IF(DB_Customers!E155&lt;&gt;"",DB_Customers!E155,""),"")</f>
        <v/>
      </c>
      <c r="L161" s="222" t="str">
        <f>IFERROR(IF(DB_Customers!F155&lt;&gt;"",DB_Customers!F155,""),"")</f>
        <v/>
      </c>
      <c r="M161" s="222" t="str">
        <f>IFERROR(IF(DB_Customers!T155&lt;&gt;"",DB_Customers!T155,""),"")</f>
        <v/>
      </c>
      <c r="N161" s="221" t="str">
        <f>IFERROR(IF(DB_Customers!A155&lt;&gt;"",IF(DB_Customers!I155&gt;=10,"Active","Inactive"),""),"")</f>
        <v/>
      </c>
    </row>
    <row r="162" spans="1:14" ht="18" customHeight="1" x14ac:dyDescent="0.25">
      <c r="A162" s="216" t="str">
        <f>IF(DB_Customers!A156&lt;&gt;"",ROW()-9,"")</f>
        <v/>
      </c>
      <c r="B162" s="216" t="str">
        <f>IFERROR(IF(DB_Customers!A156&lt;&gt;"",DB_Customers!A156,""),"")</f>
        <v/>
      </c>
      <c r="C162" s="217" t="str">
        <f>IFERROR(IF(DB_Customers!D156&lt;&gt;"",DB_Customers!D156,""),"")</f>
        <v/>
      </c>
      <c r="D162" s="218" t="str">
        <f>IFERROR(IF(DB_Customers!Q156&lt;&gt;"",DB_Customers!Q156,""),"")</f>
        <v/>
      </c>
      <c r="E162" s="216" t="str">
        <f>IFERROR(IF(DB_Customers!R156&lt;&gt;"",DB_Customers!R156,""),"")</f>
        <v/>
      </c>
      <c r="F162" s="217" t="str">
        <f>IFERROR(IF(DB_Customers!S156&lt;&gt;"",DB_Customers!S156,""),"")</f>
        <v/>
      </c>
      <c r="G162" s="217" t="str">
        <f>IFERROR(IF(DB_Customers!G156&lt;&gt;"",DB_Customers!G156,""),"")</f>
        <v/>
      </c>
      <c r="H162" s="216" t="str">
        <f>IFERROR(IF(DB_Customers!H156&lt;&gt;"",DB_Customers!H156,""),"")</f>
        <v/>
      </c>
      <c r="I162" s="219" t="str">
        <f>IFERROR(IF(DB_Customers!I156&lt;&gt;"",DB_Customers!I156,""),"")</f>
        <v/>
      </c>
      <c r="J162" s="220" t="str">
        <f>IFERROR(IF(DB_Customers!J156&lt;&gt;"",DB_Customers!J156,""),"")</f>
        <v/>
      </c>
      <c r="K162" s="217" t="str">
        <f>IFERROR(IF(DB_Customers!E156&lt;&gt;"",DB_Customers!E156,""),"")</f>
        <v/>
      </c>
      <c r="L162" s="217" t="str">
        <f>IFERROR(IF(DB_Customers!F156&lt;&gt;"",DB_Customers!F156,""),"")</f>
        <v/>
      </c>
      <c r="M162" s="217" t="str">
        <f>IFERROR(IF(DB_Customers!T156&lt;&gt;"",DB_Customers!T156,""),"")</f>
        <v/>
      </c>
      <c r="N162" s="216" t="str">
        <f>IFERROR(IF(DB_Customers!A156&lt;&gt;"",IF(DB_Customers!I156&gt;=10,"Active","Inactive"),""),"")</f>
        <v/>
      </c>
    </row>
    <row r="163" spans="1:14" ht="18" customHeight="1" x14ac:dyDescent="0.25">
      <c r="A163" s="221" t="str">
        <f>IF(DB_Customers!A157&lt;&gt;"",ROW()-9,"")</f>
        <v/>
      </c>
      <c r="B163" s="221" t="str">
        <f>IFERROR(IF(DB_Customers!A157&lt;&gt;"",DB_Customers!A157,""),"")</f>
        <v/>
      </c>
      <c r="C163" s="222" t="str">
        <f>IFERROR(IF(DB_Customers!D157&lt;&gt;"",DB_Customers!D157,""),"")</f>
        <v/>
      </c>
      <c r="D163" s="223" t="str">
        <f>IFERROR(IF(DB_Customers!Q157&lt;&gt;"",DB_Customers!Q157,""),"")</f>
        <v/>
      </c>
      <c r="E163" s="221" t="str">
        <f>IFERROR(IF(DB_Customers!R157&lt;&gt;"",DB_Customers!R157,""),"")</f>
        <v/>
      </c>
      <c r="F163" s="222" t="str">
        <f>IFERROR(IF(DB_Customers!S157&lt;&gt;"",DB_Customers!S157,""),"")</f>
        <v/>
      </c>
      <c r="G163" s="222" t="str">
        <f>IFERROR(IF(DB_Customers!G157&lt;&gt;"",DB_Customers!G157,""),"")</f>
        <v/>
      </c>
      <c r="H163" s="221" t="str">
        <f>IFERROR(IF(DB_Customers!H157&lt;&gt;"",DB_Customers!H157,""),"")</f>
        <v/>
      </c>
      <c r="I163" s="224" t="str">
        <f>IFERROR(IF(DB_Customers!I157&lt;&gt;"",DB_Customers!I157,""),"")</f>
        <v/>
      </c>
      <c r="J163" s="225" t="str">
        <f>IFERROR(IF(DB_Customers!J157&lt;&gt;"",DB_Customers!J157,""),"")</f>
        <v/>
      </c>
      <c r="K163" s="222" t="str">
        <f>IFERROR(IF(DB_Customers!E157&lt;&gt;"",DB_Customers!E157,""),"")</f>
        <v/>
      </c>
      <c r="L163" s="222" t="str">
        <f>IFERROR(IF(DB_Customers!F157&lt;&gt;"",DB_Customers!F157,""),"")</f>
        <v/>
      </c>
      <c r="M163" s="222" t="str">
        <f>IFERROR(IF(DB_Customers!T157&lt;&gt;"",DB_Customers!T157,""),"")</f>
        <v/>
      </c>
      <c r="N163" s="221" t="str">
        <f>IFERROR(IF(DB_Customers!A157&lt;&gt;"",IF(DB_Customers!I157&gt;=10,"Active","Inactive"),""),"")</f>
        <v/>
      </c>
    </row>
    <row r="164" spans="1:14" ht="18" customHeight="1" x14ac:dyDescent="0.25">
      <c r="A164" s="216" t="str">
        <f>IF(DB_Customers!A158&lt;&gt;"",ROW()-9,"")</f>
        <v/>
      </c>
      <c r="B164" s="216" t="str">
        <f>IFERROR(IF(DB_Customers!A158&lt;&gt;"",DB_Customers!A158,""),"")</f>
        <v/>
      </c>
      <c r="C164" s="217" t="str">
        <f>IFERROR(IF(DB_Customers!D158&lt;&gt;"",DB_Customers!D158,""),"")</f>
        <v/>
      </c>
      <c r="D164" s="218" t="str">
        <f>IFERROR(IF(DB_Customers!Q158&lt;&gt;"",DB_Customers!Q158,""),"")</f>
        <v/>
      </c>
      <c r="E164" s="216" t="str">
        <f>IFERROR(IF(DB_Customers!R158&lt;&gt;"",DB_Customers!R158,""),"")</f>
        <v/>
      </c>
      <c r="F164" s="217" t="str">
        <f>IFERROR(IF(DB_Customers!S158&lt;&gt;"",DB_Customers!S158,""),"")</f>
        <v/>
      </c>
      <c r="G164" s="217" t="str">
        <f>IFERROR(IF(DB_Customers!G158&lt;&gt;"",DB_Customers!G158,""),"")</f>
        <v/>
      </c>
      <c r="H164" s="216" t="str">
        <f>IFERROR(IF(DB_Customers!H158&lt;&gt;"",DB_Customers!H158,""),"")</f>
        <v/>
      </c>
      <c r="I164" s="219" t="str">
        <f>IFERROR(IF(DB_Customers!I158&lt;&gt;"",DB_Customers!I158,""),"")</f>
        <v/>
      </c>
      <c r="J164" s="220" t="str">
        <f>IFERROR(IF(DB_Customers!J158&lt;&gt;"",DB_Customers!J158,""),"")</f>
        <v/>
      </c>
      <c r="K164" s="217" t="str">
        <f>IFERROR(IF(DB_Customers!E158&lt;&gt;"",DB_Customers!E158,""),"")</f>
        <v/>
      </c>
      <c r="L164" s="217" t="str">
        <f>IFERROR(IF(DB_Customers!F158&lt;&gt;"",DB_Customers!F158,""),"")</f>
        <v/>
      </c>
      <c r="M164" s="217" t="str">
        <f>IFERROR(IF(DB_Customers!T158&lt;&gt;"",DB_Customers!T158,""),"")</f>
        <v/>
      </c>
      <c r="N164" s="216" t="str">
        <f>IFERROR(IF(DB_Customers!A158&lt;&gt;"",IF(DB_Customers!I158&gt;=10,"Active","Inactive"),""),"")</f>
        <v/>
      </c>
    </row>
    <row r="165" spans="1:14" ht="18" customHeight="1" x14ac:dyDescent="0.25">
      <c r="A165" s="221" t="str">
        <f>IF(DB_Customers!A159&lt;&gt;"",ROW()-9,"")</f>
        <v/>
      </c>
      <c r="B165" s="221" t="str">
        <f>IFERROR(IF(DB_Customers!A159&lt;&gt;"",DB_Customers!A159,""),"")</f>
        <v/>
      </c>
      <c r="C165" s="222" t="str">
        <f>IFERROR(IF(DB_Customers!D159&lt;&gt;"",DB_Customers!D159,""),"")</f>
        <v/>
      </c>
      <c r="D165" s="223" t="str">
        <f>IFERROR(IF(DB_Customers!Q159&lt;&gt;"",DB_Customers!Q159,""),"")</f>
        <v/>
      </c>
      <c r="E165" s="221" t="str">
        <f>IFERROR(IF(DB_Customers!R159&lt;&gt;"",DB_Customers!R159,""),"")</f>
        <v/>
      </c>
      <c r="F165" s="222" t="str">
        <f>IFERROR(IF(DB_Customers!S159&lt;&gt;"",DB_Customers!S159,""),"")</f>
        <v/>
      </c>
      <c r="G165" s="222" t="str">
        <f>IFERROR(IF(DB_Customers!G159&lt;&gt;"",DB_Customers!G159,""),"")</f>
        <v/>
      </c>
      <c r="H165" s="221" t="str">
        <f>IFERROR(IF(DB_Customers!H159&lt;&gt;"",DB_Customers!H159,""),"")</f>
        <v/>
      </c>
      <c r="I165" s="224" t="str">
        <f>IFERROR(IF(DB_Customers!I159&lt;&gt;"",DB_Customers!I159,""),"")</f>
        <v/>
      </c>
      <c r="J165" s="225" t="str">
        <f>IFERROR(IF(DB_Customers!J159&lt;&gt;"",DB_Customers!J159,""),"")</f>
        <v/>
      </c>
      <c r="K165" s="222" t="str">
        <f>IFERROR(IF(DB_Customers!E159&lt;&gt;"",DB_Customers!E159,""),"")</f>
        <v/>
      </c>
      <c r="L165" s="222" t="str">
        <f>IFERROR(IF(DB_Customers!F159&lt;&gt;"",DB_Customers!F159,""),"")</f>
        <v/>
      </c>
      <c r="M165" s="222" t="str">
        <f>IFERROR(IF(DB_Customers!T159&lt;&gt;"",DB_Customers!T159,""),"")</f>
        <v/>
      </c>
      <c r="N165" s="221" t="str">
        <f>IFERROR(IF(DB_Customers!A159&lt;&gt;"",IF(DB_Customers!I159&gt;=10,"Active","Inactive"),""),"")</f>
        <v/>
      </c>
    </row>
    <row r="166" spans="1:14" ht="18" customHeight="1" x14ac:dyDescent="0.25">
      <c r="A166" s="216" t="str">
        <f>IF(DB_Customers!A160&lt;&gt;"",ROW()-9,"")</f>
        <v/>
      </c>
      <c r="B166" s="216" t="str">
        <f>IFERROR(IF(DB_Customers!A160&lt;&gt;"",DB_Customers!A160,""),"")</f>
        <v/>
      </c>
      <c r="C166" s="217" t="str">
        <f>IFERROR(IF(DB_Customers!D160&lt;&gt;"",DB_Customers!D160,""),"")</f>
        <v/>
      </c>
      <c r="D166" s="218" t="str">
        <f>IFERROR(IF(DB_Customers!Q160&lt;&gt;"",DB_Customers!Q160,""),"")</f>
        <v/>
      </c>
      <c r="E166" s="216" t="str">
        <f>IFERROR(IF(DB_Customers!R160&lt;&gt;"",DB_Customers!R160,""),"")</f>
        <v/>
      </c>
      <c r="F166" s="217" t="str">
        <f>IFERROR(IF(DB_Customers!S160&lt;&gt;"",DB_Customers!S160,""),"")</f>
        <v/>
      </c>
      <c r="G166" s="217" t="str">
        <f>IFERROR(IF(DB_Customers!G160&lt;&gt;"",DB_Customers!G160,""),"")</f>
        <v/>
      </c>
      <c r="H166" s="216" t="str">
        <f>IFERROR(IF(DB_Customers!H160&lt;&gt;"",DB_Customers!H160,""),"")</f>
        <v/>
      </c>
      <c r="I166" s="219" t="str">
        <f>IFERROR(IF(DB_Customers!I160&lt;&gt;"",DB_Customers!I160,""),"")</f>
        <v/>
      </c>
      <c r="J166" s="220" t="str">
        <f>IFERROR(IF(DB_Customers!J160&lt;&gt;"",DB_Customers!J160,""),"")</f>
        <v/>
      </c>
      <c r="K166" s="217" t="str">
        <f>IFERROR(IF(DB_Customers!E160&lt;&gt;"",DB_Customers!E160,""),"")</f>
        <v/>
      </c>
      <c r="L166" s="217" t="str">
        <f>IFERROR(IF(DB_Customers!F160&lt;&gt;"",DB_Customers!F160,""),"")</f>
        <v/>
      </c>
      <c r="M166" s="217" t="str">
        <f>IFERROR(IF(DB_Customers!T160&lt;&gt;"",DB_Customers!T160,""),"")</f>
        <v/>
      </c>
      <c r="N166" s="216" t="str">
        <f>IFERROR(IF(DB_Customers!A160&lt;&gt;"",IF(DB_Customers!I160&gt;=10,"Active","Inactive"),""),"")</f>
        <v/>
      </c>
    </row>
    <row r="167" spans="1:14" ht="18" customHeight="1" x14ac:dyDescent="0.25">
      <c r="A167" s="221" t="str">
        <f>IF(DB_Customers!A161&lt;&gt;"",ROW()-9,"")</f>
        <v/>
      </c>
      <c r="B167" s="221" t="str">
        <f>IFERROR(IF(DB_Customers!A161&lt;&gt;"",DB_Customers!A161,""),"")</f>
        <v/>
      </c>
      <c r="C167" s="222" t="str">
        <f>IFERROR(IF(DB_Customers!D161&lt;&gt;"",DB_Customers!D161,""),"")</f>
        <v/>
      </c>
      <c r="D167" s="223" t="str">
        <f>IFERROR(IF(DB_Customers!Q161&lt;&gt;"",DB_Customers!Q161,""),"")</f>
        <v/>
      </c>
      <c r="E167" s="221" t="str">
        <f>IFERROR(IF(DB_Customers!R161&lt;&gt;"",DB_Customers!R161,""),"")</f>
        <v/>
      </c>
      <c r="F167" s="222" t="str">
        <f>IFERROR(IF(DB_Customers!S161&lt;&gt;"",DB_Customers!S161,""),"")</f>
        <v/>
      </c>
      <c r="G167" s="222" t="str">
        <f>IFERROR(IF(DB_Customers!G161&lt;&gt;"",DB_Customers!G161,""),"")</f>
        <v/>
      </c>
      <c r="H167" s="221" t="str">
        <f>IFERROR(IF(DB_Customers!H161&lt;&gt;"",DB_Customers!H161,""),"")</f>
        <v/>
      </c>
      <c r="I167" s="224" t="str">
        <f>IFERROR(IF(DB_Customers!I161&lt;&gt;"",DB_Customers!I161,""),"")</f>
        <v/>
      </c>
      <c r="J167" s="225" t="str">
        <f>IFERROR(IF(DB_Customers!J161&lt;&gt;"",DB_Customers!J161,""),"")</f>
        <v/>
      </c>
      <c r="K167" s="222" t="str">
        <f>IFERROR(IF(DB_Customers!E161&lt;&gt;"",DB_Customers!E161,""),"")</f>
        <v/>
      </c>
      <c r="L167" s="222" t="str">
        <f>IFERROR(IF(DB_Customers!F161&lt;&gt;"",DB_Customers!F161,""),"")</f>
        <v/>
      </c>
      <c r="M167" s="222" t="str">
        <f>IFERROR(IF(DB_Customers!T161&lt;&gt;"",DB_Customers!T161,""),"")</f>
        <v/>
      </c>
      <c r="N167" s="221" t="str">
        <f>IFERROR(IF(DB_Customers!A161&lt;&gt;"",IF(DB_Customers!I161&gt;=10,"Active","Inactive"),""),"")</f>
        <v/>
      </c>
    </row>
    <row r="168" spans="1:14" ht="18" customHeight="1" x14ac:dyDescent="0.25">
      <c r="A168" s="216" t="str">
        <f>IF(DB_Customers!A162&lt;&gt;"",ROW()-9,"")</f>
        <v/>
      </c>
      <c r="B168" s="216" t="str">
        <f>IFERROR(IF(DB_Customers!A162&lt;&gt;"",DB_Customers!A162,""),"")</f>
        <v/>
      </c>
      <c r="C168" s="217" t="str">
        <f>IFERROR(IF(DB_Customers!D162&lt;&gt;"",DB_Customers!D162,""),"")</f>
        <v/>
      </c>
      <c r="D168" s="218" t="str">
        <f>IFERROR(IF(DB_Customers!Q162&lt;&gt;"",DB_Customers!Q162,""),"")</f>
        <v/>
      </c>
      <c r="E168" s="216" t="str">
        <f>IFERROR(IF(DB_Customers!R162&lt;&gt;"",DB_Customers!R162,""),"")</f>
        <v/>
      </c>
      <c r="F168" s="217" t="str">
        <f>IFERROR(IF(DB_Customers!S162&lt;&gt;"",DB_Customers!S162,""),"")</f>
        <v/>
      </c>
      <c r="G168" s="217" t="str">
        <f>IFERROR(IF(DB_Customers!G162&lt;&gt;"",DB_Customers!G162,""),"")</f>
        <v/>
      </c>
      <c r="H168" s="216" t="str">
        <f>IFERROR(IF(DB_Customers!H162&lt;&gt;"",DB_Customers!H162,""),"")</f>
        <v/>
      </c>
      <c r="I168" s="219" t="str">
        <f>IFERROR(IF(DB_Customers!I162&lt;&gt;"",DB_Customers!I162,""),"")</f>
        <v/>
      </c>
      <c r="J168" s="220" t="str">
        <f>IFERROR(IF(DB_Customers!J162&lt;&gt;"",DB_Customers!J162,""),"")</f>
        <v/>
      </c>
      <c r="K168" s="217" t="str">
        <f>IFERROR(IF(DB_Customers!E162&lt;&gt;"",DB_Customers!E162,""),"")</f>
        <v/>
      </c>
      <c r="L168" s="217" t="str">
        <f>IFERROR(IF(DB_Customers!F162&lt;&gt;"",DB_Customers!F162,""),"")</f>
        <v/>
      </c>
      <c r="M168" s="217" t="str">
        <f>IFERROR(IF(DB_Customers!T162&lt;&gt;"",DB_Customers!T162,""),"")</f>
        <v/>
      </c>
      <c r="N168" s="216" t="str">
        <f>IFERROR(IF(DB_Customers!A162&lt;&gt;"",IF(DB_Customers!I162&gt;=10,"Active","Inactive"),""),"")</f>
        <v/>
      </c>
    </row>
    <row r="169" spans="1:14" ht="18" customHeight="1" x14ac:dyDescent="0.25">
      <c r="A169" s="221" t="str">
        <f>IF(DB_Customers!A163&lt;&gt;"",ROW()-9,"")</f>
        <v/>
      </c>
      <c r="B169" s="221" t="str">
        <f>IFERROR(IF(DB_Customers!A163&lt;&gt;"",DB_Customers!A163,""),"")</f>
        <v/>
      </c>
      <c r="C169" s="222" t="str">
        <f>IFERROR(IF(DB_Customers!D163&lt;&gt;"",DB_Customers!D163,""),"")</f>
        <v/>
      </c>
      <c r="D169" s="223" t="str">
        <f>IFERROR(IF(DB_Customers!Q163&lt;&gt;"",DB_Customers!Q163,""),"")</f>
        <v/>
      </c>
      <c r="E169" s="221" t="str">
        <f>IFERROR(IF(DB_Customers!R163&lt;&gt;"",DB_Customers!R163,""),"")</f>
        <v/>
      </c>
      <c r="F169" s="222" t="str">
        <f>IFERROR(IF(DB_Customers!S163&lt;&gt;"",DB_Customers!S163,""),"")</f>
        <v/>
      </c>
      <c r="G169" s="222" t="str">
        <f>IFERROR(IF(DB_Customers!G163&lt;&gt;"",DB_Customers!G163,""),"")</f>
        <v/>
      </c>
      <c r="H169" s="221" t="str">
        <f>IFERROR(IF(DB_Customers!H163&lt;&gt;"",DB_Customers!H163,""),"")</f>
        <v/>
      </c>
      <c r="I169" s="224" t="str">
        <f>IFERROR(IF(DB_Customers!I163&lt;&gt;"",DB_Customers!I163,""),"")</f>
        <v/>
      </c>
      <c r="J169" s="225" t="str">
        <f>IFERROR(IF(DB_Customers!J163&lt;&gt;"",DB_Customers!J163,""),"")</f>
        <v/>
      </c>
      <c r="K169" s="222" t="str">
        <f>IFERROR(IF(DB_Customers!E163&lt;&gt;"",DB_Customers!E163,""),"")</f>
        <v/>
      </c>
      <c r="L169" s="222" t="str">
        <f>IFERROR(IF(DB_Customers!F163&lt;&gt;"",DB_Customers!F163,""),"")</f>
        <v/>
      </c>
      <c r="M169" s="222" t="str">
        <f>IFERROR(IF(DB_Customers!T163&lt;&gt;"",DB_Customers!T163,""),"")</f>
        <v/>
      </c>
      <c r="N169" s="221" t="str">
        <f>IFERROR(IF(DB_Customers!A163&lt;&gt;"",IF(DB_Customers!I163&gt;=10,"Active","Inactive"),""),"")</f>
        <v/>
      </c>
    </row>
    <row r="170" spans="1:14" ht="18" customHeight="1" x14ac:dyDescent="0.25">
      <c r="A170" s="216" t="str">
        <f>IF(DB_Customers!A164&lt;&gt;"",ROW()-9,"")</f>
        <v/>
      </c>
      <c r="B170" s="216" t="str">
        <f>IFERROR(IF(DB_Customers!A164&lt;&gt;"",DB_Customers!A164,""),"")</f>
        <v/>
      </c>
      <c r="C170" s="217" t="str">
        <f>IFERROR(IF(DB_Customers!D164&lt;&gt;"",DB_Customers!D164,""),"")</f>
        <v/>
      </c>
      <c r="D170" s="218" t="str">
        <f>IFERROR(IF(DB_Customers!Q164&lt;&gt;"",DB_Customers!Q164,""),"")</f>
        <v/>
      </c>
      <c r="E170" s="216" t="str">
        <f>IFERROR(IF(DB_Customers!R164&lt;&gt;"",DB_Customers!R164,""),"")</f>
        <v/>
      </c>
      <c r="F170" s="217" t="str">
        <f>IFERROR(IF(DB_Customers!S164&lt;&gt;"",DB_Customers!S164,""),"")</f>
        <v/>
      </c>
      <c r="G170" s="217" t="str">
        <f>IFERROR(IF(DB_Customers!G164&lt;&gt;"",DB_Customers!G164,""),"")</f>
        <v/>
      </c>
      <c r="H170" s="216" t="str">
        <f>IFERROR(IF(DB_Customers!H164&lt;&gt;"",DB_Customers!H164,""),"")</f>
        <v/>
      </c>
      <c r="I170" s="219" t="str">
        <f>IFERROR(IF(DB_Customers!I164&lt;&gt;"",DB_Customers!I164,""),"")</f>
        <v/>
      </c>
      <c r="J170" s="220" t="str">
        <f>IFERROR(IF(DB_Customers!J164&lt;&gt;"",DB_Customers!J164,""),"")</f>
        <v/>
      </c>
      <c r="K170" s="217" t="str">
        <f>IFERROR(IF(DB_Customers!E164&lt;&gt;"",DB_Customers!E164,""),"")</f>
        <v/>
      </c>
      <c r="L170" s="217" t="str">
        <f>IFERROR(IF(DB_Customers!F164&lt;&gt;"",DB_Customers!F164,""),"")</f>
        <v/>
      </c>
      <c r="M170" s="217" t="str">
        <f>IFERROR(IF(DB_Customers!T164&lt;&gt;"",DB_Customers!T164,""),"")</f>
        <v/>
      </c>
      <c r="N170" s="216" t="str">
        <f>IFERROR(IF(DB_Customers!A164&lt;&gt;"",IF(DB_Customers!I164&gt;=10,"Active","Inactive"),""),"")</f>
        <v/>
      </c>
    </row>
    <row r="171" spans="1:14" ht="18" customHeight="1" x14ac:dyDescent="0.25">
      <c r="A171" s="221" t="str">
        <f>IF(DB_Customers!A165&lt;&gt;"",ROW()-9,"")</f>
        <v/>
      </c>
      <c r="B171" s="221" t="str">
        <f>IFERROR(IF(DB_Customers!A165&lt;&gt;"",DB_Customers!A165,""),"")</f>
        <v/>
      </c>
      <c r="C171" s="222" t="str">
        <f>IFERROR(IF(DB_Customers!D165&lt;&gt;"",DB_Customers!D165,""),"")</f>
        <v/>
      </c>
      <c r="D171" s="223" t="str">
        <f>IFERROR(IF(DB_Customers!Q165&lt;&gt;"",DB_Customers!Q165,""),"")</f>
        <v/>
      </c>
      <c r="E171" s="221" t="str">
        <f>IFERROR(IF(DB_Customers!R165&lt;&gt;"",DB_Customers!R165,""),"")</f>
        <v/>
      </c>
      <c r="F171" s="222" t="str">
        <f>IFERROR(IF(DB_Customers!S165&lt;&gt;"",DB_Customers!S165,""),"")</f>
        <v/>
      </c>
      <c r="G171" s="222" t="str">
        <f>IFERROR(IF(DB_Customers!G165&lt;&gt;"",DB_Customers!G165,""),"")</f>
        <v/>
      </c>
      <c r="H171" s="221" t="str">
        <f>IFERROR(IF(DB_Customers!H165&lt;&gt;"",DB_Customers!H165,""),"")</f>
        <v/>
      </c>
      <c r="I171" s="224" t="str">
        <f>IFERROR(IF(DB_Customers!I165&lt;&gt;"",DB_Customers!I165,""),"")</f>
        <v/>
      </c>
      <c r="J171" s="225" t="str">
        <f>IFERROR(IF(DB_Customers!J165&lt;&gt;"",DB_Customers!J165,""),"")</f>
        <v/>
      </c>
      <c r="K171" s="222" t="str">
        <f>IFERROR(IF(DB_Customers!E165&lt;&gt;"",DB_Customers!E165,""),"")</f>
        <v/>
      </c>
      <c r="L171" s="222" t="str">
        <f>IFERROR(IF(DB_Customers!F165&lt;&gt;"",DB_Customers!F165,""),"")</f>
        <v/>
      </c>
      <c r="M171" s="222" t="str">
        <f>IFERROR(IF(DB_Customers!T165&lt;&gt;"",DB_Customers!T165,""),"")</f>
        <v/>
      </c>
      <c r="N171" s="221" t="str">
        <f>IFERROR(IF(DB_Customers!A165&lt;&gt;"",IF(DB_Customers!I165&gt;=10,"Active","Inactive"),""),"")</f>
        <v/>
      </c>
    </row>
    <row r="172" spans="1:14" ht="18" customHeight="1" x14ac:dyDescent="0.25">
      <c r="A172" s="216" t="str">
        <f>IF(DB_Customers!A166&lt;&gt;"",ROW()-9,"")</f>
        <v/>
      </c>
      <c r="B172" s="216" t="str">
        <f>IFERROR(IF(DB_Customers!A166&lt;&gt;"",DB_Customers!A166,""),"")</f>
        <v/>
      </c>
      <c r="C172" s="217" t="str">
        <f>IFERROR(IF(DB_Customers!D166&lt;&gt;"",DB_Customers!D166,""),"")</f>
        <v/>
      </c>
      <c r="D172" s="218" t="str">
        <f>IFERROR(IF(DB_Customers!Q166&lt;&gt;"",DB_Customers!Q166,""),"")</f>
        <v/>
      </c>
      <c r="E172" s="216" t="str">
        <f>IFERROR(IF(DB_Customers!R166&lt;&gt;"",DB_Customers!R166,""),"")</f>
        <v/>
      </c>
      <c r="F172" s="217" t="str">
        <f>IFERROR(IF(DB_Customers!S166&lt;&gt;"",DB_Customers!S166,""),"")</f>
        <v/>
      </c>
      <c r="G172" s="217" t="str">
        <f>IFERROR(IF(DB_Customers!G166&lt;&gt;"",DB_Customers!G166,""),"")</f>
        <v/>
      </c>
      <c r="H172" s="216" t="str">
        <f>IFERROR(IF(DB_Customers!H166&lt;&gt;"",DB_Customers!H166,""),"")</f>
        <v/>
      </c>
      <c r="I172" s="219" t="str">
        <f>IFERROR(IF(DB_Customers!I166&lt;&gt;"",DB_Customers!I166,""),"")</f>
        <v/>
      </c>
      <c r="J172" s="220" t="str">
        <f>IFERROR(IF(DB_Customers!J166&lt;&gt;"",DB_Customers!J166,""),"")</f>
        <v/>
      </c>
      <c r="K172" s="217" t="str">
        <f>IFERROR(IF(DB_Customers!E166&lt;&gt;"",DB_Customers!E166,""),"")</f>
        <v/>
      </c>
      <c r="L172" s="217" t="str">
        <f>IFERROR(IF(DB_Customers!F166&lt;&gt;"",DB_Customers!F166,""),"")</f>
        <v/>
      </c>
      <c r="M172" s="217" t="str">
        <f>IFERROR(IF(DB_Customers!T166&lt;&gt;"",DB_Customers!T166,""),"")</f>
        <v/>
      </c>
      <c r="N172" s="216" t="str">
        <f>IFERROR(IF(DB_Customers!A166&lt;&gt;"",IF(DB_Customers!I166&gt;=10,"Active","Inactive"),""),"")</f>
        <v/>
      </c>
    </row>
    <row r="173" spans="1:14" ht="18" customHeight="1" x14ac:dyDescent="0.25">
      <c r="A173" s="221" t="str">
        <f>IF(DB_Customers!A167&lt;&gt;"",ROW()-9,"")</f>
        <v/>
      </c>
      <c r="B173" s="221" t="str">
        <f>IFERROR(IF(DB_Customers!A167&lt;&gt;"",DB_Customers!A167,""),"")</f>
        <v/>
      </c>
      <c r="C173" s="222" t="str">
        <f>IFERROR(IF(DB_Customers!D167&lt;&gt;"",DB_Customers!D167,""),"")</f>
        <v/>
      </c>
      <c r="D173" s="223" t="str">
        <f>IFERROR(IF(DB_Customers!Q167&lt;&gt;"",DB_Customers!Q167,""),"")</f>
        <v/>
      </c>
      <c r="E173" s="221" t="str">
        <f>IFERROR(IF(DB_Customers!R167&lt;&gt;"",DB_Customers!R167,""),"")</f>
        <v/>
      </c>
      <c r="F173" s="222" t="str">
        <f>IFERROR(IF(DB_Customers!S167&lt;&gt;"",DB_Customers!S167,""),"")</f>
        <v/>
      </c>
      <c r="G173" s="222" t="str">
        <f>IFERROR(IF(DB_Customers!G167&lt;&gt;"",DB_Customers!G167,""),"")</f>
        <v/>
      </c>
      <c r="H173" s="221" t="str">
        <f>IFERROR(IF(DB_Customers!H167&lt;&gt;"",DB_Customers!H167,""),"")</f>
        <v/>
      </c>
      <c r="I173" s="224" t="str">
        <f>IFERROR(IF(DB_Customers!I167&lt;&gt;"",DB_Customers!I167,""),"")</f>
        <v/>
      </c>
      <c r="J173" s="225" t="str">
        <f>IFERROR(IF(DB_Customers!J167&lt;&gt;"",DB_Customers!J167,""),"")</f>
        <v/>
      </c>
      <c r="K173" s="222" t="str">
        <f>IFERROR(IF(DB_Customers!E167&lt;&gt;"",DB_Customers!E167,""),"")</f>
        <v/>
      </c>
      <c r="L173" s="222" t="str">
        <f>IFERROR(IF(DB_Customers!F167&lt;&gt;"",DB_Customers!F167,""),"")</f>
        <v/>
      </c>
      <c r="M173" s="222" t="str">
        <f>IFERROR(IF(DB_Customers!T167&lt;&gt;"",DB_Customers!T167,""),"")</f>
        <v/>
      </c>
      <c r="N173" s="221" t="str">
        <f>IFERROR(IF(DB_Customers!A167&lt;&gt;"",IF(DB_Customers!I167&gt;=10,"Active","Inactive"),""),"")</f>
        <v/>
      </c>
    </row>
    <row r="174" spans="1:14" ht="18" customHeight="1" x14ac:dyDescent="0.25">
      <c r="A174" s="216" t="str">
        <f>IF(DB_Customers!A168&lt;&gt;"",ROW()-9,"")</f>
        <v/>
      </c>
      <c r="B174" s="216" t="str">
        <f>IFERROR(IF(DB_Customers!A168&lt;&gt;"",DB_Customers!A168,""),"")</f>
        <v/>
      </c>
      <c r="C174" s="217" t="str">
        <f>IFERROR(IF(DB_Customers!D168&lt;&gt;"",DB_Customers!D168,""),"")</f>
        <v/>
      </c>
      <c r="D174" s="218" t="str">
        <f>IFERROR(IF(DB_Customers!Q168&lt;&gt;"",DB_Customers!Q168,""),"")</f>
        <v/>
      </c>
      <c r="E174" s="216" t="str">
        <f>IFERROR(IF(DB_Customers!R168&lt;&gt;"",DB_Customers!R168,""),"")</f>
        <v/>
      </c>
      <c r="F174" s="217" t="str">
        <f>IFERROR(IF(DB_Customers!S168&lt;&gt;"",DB_Customers!S168,""),"")</f>
        <v/>
      </c>
      <c r="G174" s="217" t="str">
        <f>IFERROR(IF(DB_Customers!G168&lt;&gt;"",DB_Customers!G168,""),"")</f>
        <v/>
      </c>
      <c r="H174" s="216" t="str">
        <f>IFERROR(IF(DB_Customers!H168&lt;&gt;"",DB_Customers!H168,""),"")</f>
        <v/>
      </c>
      <c r="I174" s="219" t="str">
        <f>IFERROR(IF(DB_Customers!I168&lt;&gt;"",DB_Customers!I168,""),"")</f>
        <v/>
      </c>
      <c r="J174" s="220" t="str">
        <f>IFERROR(IF(DB_Customers!J168&lt;&gt;"",DB_Customers!J168,""),"")</f>
        <v/>
      </c>
      <c r="K174" s="217" t="str">
        <f>IFERROR(IF(DB_Customers!E168&lt;&gt;"",DB_Customers!E168,""),"")</f>
        <v/>
      </c>
      <c r="L174" s="217" t="str">
        <f>IFERROR(IF(DB_Customers!F168&lt;&gt;"",DB_Customers!F168,""),"")</f>
        <v/>
      </c>
      <c r="M174" s="217" t="str">
        <f>IFERROR(IF(DB_Customers!T168&lt;&gt;"",DB_Customers!T168,""),"")</f>
        <v/>
      </c>
      <c r="N174" s="216" t="str">
        <f>IFERROR(IF(DB_Customers!A168&lt;&gt;"",IF(DB_Customers!I168&gt;=10,"Active","Inactive"),""),"")</f>
        <v/>
      </c>
    </row>
    <row r="175" spans="1:14" ht="18" customHeight="1" x14ac:dyDescent="0.25">
      <c r="A175" s="221" t="str">
        <f>IF(DB_Customers!A169&lt;&gt;"",ROW()-9,"")</f>
        <v/>
      </c>
      <c r="B175" s="221" t="str">
        <f>IFERROR(IF(DB_Customers!A169&lt;&gt;"",DB_Customers!A169,""),"")</f>
        <v/>
      </c>
      <c r="C175" s="222" t="str">
        <f>IFERROR(IF(DB_Customers!D169&lt;&gt;"",DB_Customers!D169,""),"")</f>
        <v/>
      </c>
      <c r="D175" s="223" t="str">
        <f>IFERROR(IF(DB_Customers!Q169&lt;&gt;"",DB_Customers!Q169,""),"")</f>
        <v/>
      </c>
      <c r="E175" s="221" t="str">
        <f>IFERROR(IF(DB_Customers!R169&lt;&gt;"",DB_Customers!R169,""),"")</f>
        <v/>
      </c>
      <c r="F175" s="222" t="str">
        <f>IFERROR(IF(DB_Customers!S169&lt;&gt;"",DB_Customers!S169,""),"")</f>
        <v/>
      </c>
      <c r="G175" s="222" t="str">
        <f>IFERROR(IF(DB_Customers!G169&lt;&gt;"",DB_Customers!G169,""),"")</f>
        <v/>
      </c>
      <c r="H175" s="221" t="str">
        <f>IFERROR(IF(DB_Customers!H169&lt;&gt;"",DB_Customers!H169,""),"")</f>
        <v/>
      </c>
      <c r="I175" s="224" t="str">
        <f>IFERROR(IF(DB_Customers!I169&lt;&gt;"",DB_Customers!I169,""),"")</f>
        <v/>
      </c>
      <c r="J175" s="225" t="str">
        <f>IFERROR(IF(DB_Customers!J169&lt;&gt;"",DB_Customers!J169,""),"")</f>
        <v/>
      </c>
      <c r="K175" s="222" t="str">
        <f>IFERROR(IF(DB_Customers!E169&lt;&gt;"",DB_Customers!E169,""),"")</f>
        <v/>
      </c>
      <c r="L175" s="222" t="str">
        <f>IFERROR(IF(DB_Customers!F169&lt;&gt;"",DB_Customers!F169,""),"")</f>
        <v/>
      </c>
      <c r="M175" s="222" t="str">
        <f>IFERROR(IF(DB_Customers!T169&lt;&gt;"",DB_Customers!T169,""),"")</f>
        <v/>
      </c>
      <c r="N175" s="221" t="str">
        <f>IFERROR(IF(DB_Customers!A169&lt;&gt;"",IF(DB_Customers!I169&gt;=10,"Active","Inactive"),""),"")</f>
        <v/>
      </c>
    </row>
    <row r="176" spans="1:14" ht="18" customHeight="1" x14ac:dyDescent="0.25">
      <c r="A176" s="216" t="str">
        <f>IF(DB_Customers!A170&lt;&gt;"",ROW()-9,"")</f>
        <v/>
      </c>
      <c r="B176" s="216" t="str">
        <f>IFERROR(IF(DB_Customers!A170&lt;&gt;"",DB_Customers!A170,""),"")</f>
        <v/>
      </c>
      <c r="C176" s="217" t="str">
        <f>IFERROR(IF(DB_Customers!D170&lt;&gt;"",DB_Customers!D170,""),"")</f>
        <v/>
      </c>
      <c r="D176" s="218" t="str">
        <f>IFERROR(IF(DB_Customers!Q170&lt;&gt;"",DB_Customers!Q170,""),"")</f>
        <v/>
      </c>
      <c r="E176" s="216" t="str">
        <f>IFERROR(IF(DB_Customers!R170&lt;&gt;"",DB_Customers!R170,""),"")</f>
        <v/>
      </c>
      <c r="F176" s="217" t="str">
        <f>IFERROR(IF(DB_Customers!S170&lt;&gt;"",DB_Customers!S170,""),"")</f>
        <v/>
      </c>
      <c r="G176" s="217" t="str">
        <f>IFERROR(IF(DB_Customers!G170&lt;&gt;"",DB_Customers!G170,""),"")</f>
        <v/>
      </c>
      <c r="H176" s="216" t="str">
        <f>IFERROR(IF(DB_Customers!H170&lt;&gt;"",DB_Customers!H170,""),"")</f>
        <v/>
      </c>
      <c r="I176" s="219" t="str">
        <f>IFERROR(IF(DB_Customers!I170&lt;&gt;"",DB_Customers!I170,""),"")</f>
        <v/>
      </c>
      <c r="J176" s="220" t="str">
        <f>IFERROR(IF(DB_Customers!J170&lt;&gt;"",DB_Customers!J170,""),"")</f>
        <v/>
      </c>
      <c r="K176" s="217" t="str">
        <f>IFERROR(IF(DB_Customers!E170&lt;&gt;"",DB_Customers!E170,""),"")</f>
        <v/>
      </c>
      <c r="L176" s="217" t="str">
        <f>IFERROR(IF(DB_Customers!F170&lt;&gt;"",DB_Customers!F170,""),"")</f>
        <v/>
      </c>
      <c r="M176" s="217" t="str">
        <f>IFERROR(IF(DB_Customers!T170&lt;&gt;"",DB_Customers!T170,""),"")</f>
        <v/>
      </c>
      <c r="N176" s="216" t="str">
        <f>IFERROR(IF(DB_Customers!A170&lt;&gt;"",IF(DB_Customers!I170&gt;=10,"Active","Inactive"),""),"")</f>
        <v/>
      </c>
    </row>
    <row r="177" spans="1:14" ht="18" customHeight="1" x14ac:dyDescent="0.25">
      <c r="A177" s="221" t="str">
        <f>IF(DB_Customers!A171&lt;&gt;"",ROW()-9,"")</f>
        <v/>
      </c>
      <c r="B177" s="221" t="str">
        <f>IFERROR(IF(DB_Customers!A171&lt;&gt;"",DB_Customers!A171,""),"")</f>
        <v/>
      </c>
      <c r="C177" s="222" t="str">
        <f>IFERROR(IF(DB_Customers!D171&lt;&gt;"",DB_Customers!D171,""),"")</f>
        <v/>
      </c>
      <c r="D177" s="223" t="str">
        <f>IFERROR(IF(DB_Customers!Q171&lt;&gt;"",DB_Customers!Q171,""),"")</f>
        <v/>
      </c>
      <c r="E177" s="221" t="str">
        <f>IFERROR(IF(DB_Customers!R171&lt;&gt;"",DB_Customers!R171,""),"")</f>
        <v/>
      </c>
      <c r="F177" s="222" t="str">
        <f>IFERROR(IF(DB_Customers!S171&lt;&gt;"",DB_Customers!S171,""),"")</f>
        <v/>
      </c>
      <c r="G177" s="222" t="str">
        <f>IFERROR(IF(DB_Customers!G171&lt;&gt;"",DB_Customers!G171,""),"")</f>
        <v/>
      </c>
      <c r="H177" s="221" t="str">
        <f>IFERROR(IF(DB_Customers!H171&lt;&gt;"",DB_Customers!H171,""),"")</f>
        <v/>
      </c>
      <c r="I177" s="224" t="str">
        <f>IFERROR(IF(DB_Customers!I171&lt;&gt;"",DB_Customers!I171,""),"")</f>
        <v/>
      </c>
      <c r="J177" s="225" t="str">
        <f>IFERROR(IF(DB_Customers!J171&lt;&gt;"",DB_Customers!J171,""),"")</f>
        <v/>
      </c>
      <c r="K177" s="222" t="str">
        <f>IFERROR(IF(DB_Customers!E171&lt;&gt;"",DB_Customers!E171,""),"")</f>
        <v/>
      </c>
      <c r="L177" s="222" t="str">
        <f>IFERROR(IF(DB_Customers!F171&lt;&gt;"",DB_Customers!F171,""),"")</f>
        <v/>
      </c>
      <c r="M177" s="222" t="str">
        <f>IFERROR(IF(DB_Customers!T171&lt;&gt;"",DB_Customers!T171,""),"")</f>
        <v/>
      </c>
      <c r="N177" s="221" t="str">
        <f>IFERROR(IF(DB_Customers!A171&lt;&gt;"",IF(DB_Customers!I171&gt;=10,"Active","Inactive"),""),"")</f>
        <v/>
      </c>
    </row>
    <row r="178" spans="1:14" ht="18" customHeight="1" x14ac:dyDescent="0.25">
      <c r="A178" s="216" t="str">
        <f>IF(DB_Customers!A172&lt;&gt;"",ROW()-9,"")</f>
        <v/>
      </c>
      <c r="B178" s="216" t="str">
        <f>IFERROR(IF(DB_Customers!A172&lt;&gt;"",DB_Customers!A172,""),"")</f>
        <v/>
      </c>
      <c r="C178" s="217" t="str">
        <f>IFERROR(IF(DB_Customers!D172&lt;&gt;"",DB_Customers!D172,""),"")</f>
        <v/>
      </c>
      <c r="D178" s="218" t="str">
        <f>IFERROR(IF(DB_Customers!Q172&lt;&gt;"",DB_Customers!Q172,""),"")</f>
        <v/>
      </c>
      <c r="E178" s="216" t="str">
        <f>IFERROR(IF(DB_Customers!R172&lt;&gt;"",DB_Customers!R172,""),"")</f>
        <v/>
      </c>
      <c r="F178" s="217" t="str">
        <f>IFERROR(IF(DB_Customers!S172&lt;&gt;"",DB_Customers!S172,""),"")</f>
        <v/>
      </c>
      <c r="G178" s="217" t="str">
        <f>IFERROR(IF(DB_Customers!G172&lt;&gt;"",DB_Customers!G172,""),"")</f>
        <v/>
      </c>
      <c r="H178" s="216" t="str">
        <f>IFERROR(IF(DB_Customers!H172&lt;&gt;"",DB_Customers!H172,""),"")</f>
        <v/>
      </c>
      <c r="I178" s="219" t="str">
        <f>IFERROR(IF(DB_Customers!I172&lt;&gt;"",DB_Customers!I172,""),"")</f>
        <v/>
      </c>
      <c r="J178" s="220" t="str">
        <f>IFERROR(IF(DB_Customers!J172&lt;&gt;"",DB_Customers!J172,""),"")</f>
        <v/>
      </c>
      <c r="K178" s="217" t="str">
        <f>IFERROR(IF(DB_Customers!E172&lt;&gt;"",DB_Customers!E172,""),"")</f>
        <v/>
      </c>
      <c r="L178" s="217" t="str">
        <f>IFERROR(IF(DB_Customers!F172&lt;&gt;"",DB_Customers!F172,""),"")</f>
        <v/>
      </c>
      <c r="M178" s="217" t="str">
        <f>IFERROR(IF(DB_Customers!T172&lt;&gt;"",DB_Customers!T172,""),"")</f>
        <v/>
      </c>
      <c r="N178" s="216" t="str">
        <f>IFERROR(IF(DB_Customers!A172&lt;&gt;"",IF(DB_Customers!I172&gt;=10,"Active","Inactive"),""),"")</f>
        <v/>
      </c>
    </row>
    <row r="179" spans="1:14" ht="18" customHeight="1" x14ac:dyDescent="0.25">
      <c r="A179" s="221" t="str">
        <f>IF(DB_Customers!A173&lt;&gt;"",ROW()-9,"")</f>
        <v/>
      </c>
      <c r="B179" s="221" t="str">
        <f>IFERROR(IF(DB_Customers!A173&lt;&gt;"",DB_Customers!A173,""),"")</f>
        <v/>
      </c>
      <c r="C179" s="222" t="str">
        <f>IFERROR(IF(DB_Customers!D173&lt;&gt;"",DB_Customers!D173,""),"")</f>
        <v/>
      </c>
      <c r="D179" s="223" t="str">
        <f>IFERROR(IF(DB_Customers!Q173&lt;&gt;"",DB_Customers!Q173,""),"")</f>
        <v/>
      </c>
      <c r="E179" s="221" t="str">
        <f>IFERROR(IF(DB_Customers!R173&lt;&gt;"",DB_Customers!R173,""),"")</f>
        <v/>
      </c>
      <c r="F179" s="222" t="str">
        <f>IFERROR(IF(DB_Customers!S173&lt;&gt;"",DB_Customers!S173,""),"")</f>
        <v/>
      </c>
      <c r="G179" s="222" t="str">
        <f>IFERROR(IF(DB_Customers!G173&lt;&gt;"",DB_Customers!G173,""),"")</f>
        <v/>
      </c>
      <c r="H179" s="221" t="str">
        <f>IFERROR(IF(DB_Customers!H173&lt;&gt;"",DB_Customers!H173,""),"")</f>
        <v/>
      </c>
      <c r="I179" s="224" t="str">
        <f>IFERROR(IF(DB_Customers!I173&lt;&gt;"",DB_Customers!I173,""),"")</f>
        <v/>
      </c>
      <c r="J179" s="225" t="str">
        <f>IFERROR(IF(DB_Customers!J173&lt;&gt;"",DB_Customers!J173,""),"")</f>
        <v/>
      </c>
      <c r="K179" s="222" t="str">
        <f>IFERROR(IF(DB_Customers!E173&lt;&gt;"",DB_Customers!E173,""),"")</f>
        <v/>
      </c>
      <c r="L179" s="222" t="str">
        <f>IFERROR(IF(DB_Customers!F173&lt;&gt;"",DB_Customers!F173,""),"")</f>
        <v/>
      </c>
      <c r="M179" s="222" t="str">
        <f>IFERROR(IF(DB_Customers!T173&lt;&gt;"",DB_Customers!T173,""),"")</f>
        <v/>
      </c>
      <c r="N179" s="221" t="str">
        <f>IFERROR(IF(DB_Customers!A173&lt;&gt;"",IF(DB_Customers!I173&gt;=10,"Active","Inactive"),""),"")</f>
        <v/>
      </c>
    </row>
    <row r="180" spans="1:14" ht="18" customHeight="1" x14ac:dyDescent="0.25">
      <c r="A180" s="216" t="str">
        <f>IF(DB_Customers!A174&lt;&gt;"",ROW()-9,"")</f>
        <v/>
      </c>
      <c r="B180" s="216" t="str">
        <f>IFERROR(IF(DB_Customers!A174&lt;&gt;"",DB_Customers!A174,""),"")</f>
        <v/>
      </c>
      <c r="C180" s="217" t="str">
        <f>IFERROR(IF(DB_Customers!D174&lt;&gt;"",DB_Customers!D174,""),"")</f>
        <v/>
      </c>
      <c r="D180" s="218" t="str">
        <f>IFERROR(IF(DB_Customers!Q174&lt;&gt;"",DB_Customers!Q174,""),"")</f>
        <v/>
      </c>
      <c r="E180" s="216" t="str">
        <f>IFERROR(IF(DB_Customers!R174&lt;&gt;"",DB_Customers!R174,""),"")</f>
        <v/>
      </c>
      <c r="F180" s="217" t="str">
        <f>IFERROR(IF(DB_Customers!S174&lt;&gt;"",DB_Customers!S174,""),"")</f>
        <v/>
      </c>
      <c r="G180" s="217" t="str">
        <f>IFERROR(IF(DB_Customers!G174&lt;&gt;"",DB_Customers!G174,""),"")</f>
        <v/>
      </c>
      <c r="H180" s="216" t="str">
        <f>IFERROR(IF(DB_Customers!H174&lt;&gt;"",DB_Customers!H174,""),"")</f>
        <v/>
      </c>
      <c r="I180" s="219" t="str">
        <f>IFERROR(IF(DB_Customers!I174&lt;&gt;"",DB_Customers!I174,""),"")</f>
        <v/>
      </c>
      <c r="J180" s="220" t="str">
        <f>IFERROR(IF(DB_Customers!J174&lt;&gt;"",DB_Customers!J174,""),"")</f>
        <v/>
      </c>
      <c r="K180" s="217" t="str">
        <f>IFERROR(IF(DB_Customers!E174&lt;&gt;"",DB_Customers!E174,""),"")</f>
        <v/>
      </c>
      <c r="L180" s="217" t="str">
        <f>IFERROR(IF(DB_Customers!F174&lt;&gt;"",DB_Customers!F174,""),"")</f>
        <v/>
      </c>
      <c r="M180" s="217" t="str">
        <f>IFERROR(IF(DB_Customers!T174&lt;&gt;"",DB_Customers!T174,""),"")</f>
        <v/>
      </c>
      <c r="N180" s="216" t="str">
        <f>IFERROR(IF(DB_Customers!A174&lt;&gt;"",IF(DB_Customers!I174&gt;=10,"Active","Inactive"),""),"")</f>
        <v/>
      </c>
    </row>
    <row r="181" spans="1:14" ht="18" customHeight="1" x14ac:dyDescent="0.25">
      <c r="A181" s="221" t="str">
        <f>IF(DB_Customers!A175&lt;&gt;"",ROW()-9,"")</f>
        <v/>
      </c>
      <c r="B181" s="221" t="str">
        <f>IFERROR(IF(DB_Customers!A175&lt;&gt;"",DB_Customers!A175,""),"")</f>
        <v/>
      </c>
      <c r="C181" s="222" t="str">
        <f>IFERROR(IF(DB_Customers!D175&lt;&gt;"",DB_Customers!D175,""),"")</f>
        <v/>
      </c>
      <c r="D181" s="223" t="str">
        <f>IFERROR(IF(DB_Customers!Q175&lt;&gt;"",DB_Customers!Q175,""),"")</f>
        <v/>
      </c>
      <c r="E181" s="221" t="str">
        <f>IFERROR(IF(DB_Customers!R175&lt;&gt;"",DB_Customers!R175,""),"")</f>
        <v/>
      </c>
      <c r="F181" s="222" t="str">
        <f>IFERROR(IF(DB_Customers!S175&lt;&gt;"",DB_Customers!S175,""),"")</f>
        <v/>
      </c>
      <c r="G181" s="222" t="str">
        <f>IFERROR(IF(DB_Customers!G175&lt;&gt;"",DB_Customers!G175,""),"")</f>
        <v/>
      </c>
      <c r="H181" s="221" t="str">
        <f>IFERROR(IF(DB_Customers!H175&lt;&gt;"",DB_Customers!H175,""),"")</f>
        <v/>
      </c>
      <c r="I181" s="224" t="str">
        <f>IFERROR(IF(DB_Customers!I175&lt;&gt;"",DB_Customers!I175,""),"")</f>
        <v/>
      </c>
      <c r="J181" s="225" t="str">
        <f>IFERROR(IF(DB_Customers!J175&lt;&gt;"",DB_Customers!J175,""),"")</f>
        <v/>
      </c>
      <c r="K181" s="222" t="str">
        <f>IFERROR(IF(DB_Customers!E175&lt;&gt;"",DB_Customers!E175,""),"")</f>
        <v/>
      </c>
      <c r="L181" s="222" t="str">
        <f>IFERROR(IF(DB_Customers!F175&lt;&gt;"",DB_Customers!F175,""),"")</f>
        <v/>
      </c>
      <c r="M181" s="222" t="str">
        <f>IFERROR(IF(DB_Customers!T175&lt;&gt;"",DB_Customers!T175,""),"")</f>
        <v/>
      </c>
      <c r="N181" s="221" t="str">
        <f>IFERROR(IF(DB_Customers!A175&lt;&gt;"",IF(DB_Customers!I175&gt;=10,"Active","Inactive"),""),"")</f>
        <v/>
      </c>
    </row>
    <row r="182" spans="1:14" ht="18" customHeight="1" x14ac:dyDescent="0.25">
      <c r="A182" s="216" t="str">
        <f>IF(DB_Customers!A176&lt;&gt;"",ROW()-9,"")</f>
        <v/>
      </c>
      <c r="B182" s="216" t="str">
        <f>IFERROR(IF(DB_Customers!A176&lt;&gt;"",DB_Customers!A176,""),"")</f>
        <v/>
      </c>
      <c r="C182" s="217" t="str">
        <f>IFERROR(IF(DB_Customers!D176&lt;&gt;"",DB_Customers!D176,""),"")</f>
        <v/>
      </c>
      <c r="D182" s="218" t="str">
        <f>IFERROR(IF(DB_Customers!Q176&lt;&gt;"",DB_Customers!Q176,""),"")</f>
        <v/>
      </c>
      <c r="E182" s="216" t="str">
        <f>IFERROR(IF(DB_Customers!R176&lt;&gt;"",DB_Customers!R176,""),"")</f>
        <v/>
      </c>
      <c r="F182" s="217" t="str">
        <f>IFERROR(IF(DB_Customers!S176&lt;&gt;"",DB_Customers!S176,""),"")</f>
        <v/>
      </c>
      <c r="G182" s="217" t="str">
        <f>IFERROR(IF(DB_Customers!G176&lt;&gt;"",DB_Customers!G176,""),"")</f>
        <v/>
      </c>
      <c r="H182" s="216" t="str">
        <f>IFERROR(IF(DB_Customers!H176&lt;&gt;"",DB_Customers!H176,""),"")</f>
        <v/>
      </c>
      <c r="I182" s="219" t="str">
        <f>IFERROR(IF(DB_Customers!I176&lt;&gt;"",DB_Customers!I176,""),"")</f>
        <v/>
      </c>
      <c r="J182" s="220" t="str">
        <f>IFERROR(IF(DB_Customers!J176&lt;&gt;"",DB_Customers!J176,""),"")</f>
        <v/>
      </c>
      <c r="K182" s="217" t="str">
        <f>IFERROR(IF(DB_Customers!E176&lt;&gt;"",DB_Customers!E176,""),"")</f>
        <v/>
      </c>
      <c r="L182" s="217" t="str">
        <f>IFERROR(IF(DB_Customers!F176&lt;&gt;"",DB_Customers!F176,""),"")</f>
        <v/>
      </c>
      <c r="M182" s="217" t="str">
        <f>IFERROR(IF(DB_Customers!T176&lt;&gt;"",DB_Customers!T176,""),"")</f>
        <v/>
      </c>
      <c r="N182" s="216" t="str">
        <f>IFERROR(IF(DB_Customers!A176&lt;&gt;"",IF(DB_Customers!I176&gt;=10,"Active","Inactive"),""),"")</f>
        <v/>
      </c>
    </row>
    <row r="183" spans="1:14" ht="18" customHeight="1" x14ac:dyDescent="0.25">
      <c r="A183" s="221" t="str">
        <f>IF(DB_Customers!A177&lt;&gt;"",ROW()-9,"")</f>
        <v/>
      </c>
      <c r="B183" s="221" t="str">
        <f>IFERROR(IF(DB_Customers!A177&lt;&gt;"",DB_Customers!A177,""),"")</f>
        <v/>
      </c>
      <c r="C183" s="222" t="str">
        <f>IFERROR(IF(DB_Customers!D177&lt;&gt;"",DB_Customers!D177,""),"")</f>
        <v/>
      </c>
      <c r="D183" s="223" t="str">
        <f>IFERROR(IF(DB_Customers!Q177&lt;&gt;"",DB_Customers!Q177,""),"")</f>
        <v/>
      </c>
      <c r="E183" s="221" t="str">
        <f>IFERROR(IF(DB_Customers!R177&lt;&gt;"",DB_Customers!R177,""),"")</f>
        <v/>
      </c>
      <c r="F183" s="222" t="str">
        <f>IFERROR(IF(DB_Customers!S177&lt;&gt;"",DB_Customers!S177,""),"")</f>
        <v/>
      </c>
      <c r="G183" s="222" t="str">
        <f>IFERROR(IF(DB_Customers!G177&lt;&gt;"",DB_Customers!G177,""),"")</f>
        <v/>
      </c>
      <c r="H183" s="221" t="str">
        <f>IFERROR(IF(DB_Customers!H177&lt;&gt;"",DB_Customers!H177,""),"")</f>
        <v/>
      </c>
      <c r="I183" s="224" t="str">
        <f>IFERROR(IF(DB_Customers!I177&lt;&gt;"",DB_Customers!I177,""),"")</f>
        <v/>
      </c>
      <c r="J183" s="225" t="str">
        <f>IFERROR(IF(DB_Customers!J177&lt;&gt;"",DB_Customers!J177,""),"")</f>
        <v/>
      </c>
      <c r="K183" s="222" t="str">
        <f>IFERROR(IF(DB_Customers!E177&lt;&gt;"",DB_Customers!E177,""),"")</f>
        <v/>
      </c>
      <c r="L183" s="222" t="str">
        <f>IFERROR(IF(DB_Customers!F177&lt;&gt;"",DB_Customers!F177,""),"")</f>
        <v/>
      </c>
      <c r="M183" s="222" t="str">
        <f>IFERROR(IF(DB_Customers!T177&lt;&gt;"",DB_Customers!T177,""),"")</f>
        <v/>
      </c>
      <c r="N183" s="221" t="str">
        <f>IFERROR(IF(DB_Customers!A177&lt;&gt;"",IF(DB_Customers!I177&gt;=10,"Active","Inactive"),""),"")</f>
        <v/>
      </c>
    </row>
    <row r="184" spans="1:14" ht="18" customHeight="1" x14ac:dyDescent="0.25">
      <c r="A184" s="216" t="str">
        <f>IF(DB_Customers!A178&lt;&gt;"",ROW()-9,"")</f>
        <v/>
      </c>
      <c r="B184" s="216" t="str">
        <f>IFERROR(IF(DB_Customers!A178&lt;&gt;"",DB_Customers!A178,""),"")</f>
        <v/>
      </c>
      <c r="C184" s="217" t="str">
        <f>IFERROR(IF(DB_Customers!D178&lt;&gt;"",DB_Customers!D178,""),"")</f>
        <v/>
      </c>
      <c r="D184" s="218" t="str">
        <f>IFERROR(IF(DB_Customers!Q178&lt;&gt;"",DB_Customers!Q178,""),"")</f>
        <v/>
      </c>
      <c r="E184" s="216" t="str">
        <f>IFERROR(IF(DB_Customers!R178&lt;&gt;"",DB_Customers!R178,""),"")</f>
        <v/>
      </c>
      <c r="F184" s="217" t="str">
        <f>IFERROR(IF(DB_Customers!S178&lt;&gt;"",DB_Customers!S178,""),"")</f>
        <v/>
      </c>
      <c r="G184" s="217" t="str">
        <f>IFERROR(IF(DB_Customers!G178&lt;&gt;"",DB_Customers!G178,""),"")</f>
        <v/>
      </c>
      <c r="H184" s="216" t="str">
        <f>IFERROR(IF(DB_Customers!H178&lt;&gt;"",DB_Customers!H178,""),"")</f>
        <v/>
      </c>
      <c r="I184" s="219" t="str">
        <f>IFERROR(IF(DB_Customers!I178&lt;&gt;"",DB_Customers!I178,""),"")</f>
        <v/>
      </c>
      <c r="J184" s="220" t="str">
        <f>IFERROR(IF(DB_Customers!J178&lt;&gt;"",DB_Customers!J178,""),"")</f>
        <v/>
      </c>
      <c r="K184" s="217" t="str">
        <f>IFERROR(IF(DB_Customers!E178&lt;&gt;"",DB_Customers!E178,""),"")</f>
        <v/>
      </c>
      <c r="L184" s="217" t="str">
        <f>IFERROR(IF(DB_Customers!F178&lt;&gt;"",DB_Customers!F178,""),"")</f>
        <v/>
      </c>
      <c r="M184" s="217" t="str">
        <f>IFERROR(IF(DB_Customers!T178&lt;&gt;"",DB_Customers!T178,""),"")</f>
        <v/>
      </c>
      <c r="N184" s="216" t="str">
        <f>IFERROR(IF(DB_Customers!A178&lt;&gt;"",IF(DB_Customers!I178&gt;=10,"Active","Inactive"),""),"")</f>
        <v/>
      </c>
    </row>
    <row r="185" spans="1:14" ht="18" customHeight="1" x14ac:dyDescent="0.25">
      <c r="A185" s="221" t="str">
        <f>IF(DB_Customers!A179&lt;&gt;"",ROW()-9,"")</f>
        <v/>
      </c>
      <c r="B185" s="221" t="str">
        <f>IFERROR(IF(DB_Customers!A179&lt;&gt;"",DB_Customers!A179,""),"")</f>
        <v/>
      </c>
      <c r="C185" s="222" t="str">
        <f>IFERROR(IF(DB_Customers!D179&lt;&gt;"",DB_Customers!D179,""),"")</f>
        <v/>
      </c>
      <c r="D185" s="223" t="str">
        <f>IFERROR(IF(DB_Customers!Q179&lt;&gt;"",DB_Customers!Q179,""),"")</f>
        <v/>
      </c>
      <c r="E185" s="221" t="str">
        <f>IFERROR(IF(DB_Customers!R179&lt;&gt;"",DB_Customers!R179,""),"")</f>
        <v/>
      </c>
      <c r="F185" s="222" t="str">
        <f>IFERROR(IF(DB_Customers!S179&lt;&gt;"",DB_Customers!S179,""),"")</f>
        <v/>
      </c>
      <c r="G185" s="222" t="str">
        <f>IFERROR(IF(DB_Customers!G179&lt;&gt;"",DB_Customers!G179,""),"")</f>
        <v/>
      </c>
      <c r="H185" s="221" t="str">
        <f>IFERROR(IF(DB_Customers!H179&lt;&gt;"",DB_Customers!H179,""),"")</f>
        <v/>
      </c>
      <c r="I185" s="224" t="str">
        <f>IFERROR(IF(DB_Customers!I179&lt;&gt;"",DB_Customers!I179,""),"")</f>
        <v/>
      </c>
      <c r="J185" s="225" t="str">
        <f>IFERROR(IF(DB_Customers!J179&lt;&gt;"",DB_Customers!J179,""),"")</f>
        <v/>
      </c>
      <c r="K185" s="222" t="str">
        <f>IFERROR(IF(DB_Customers!E179&lt;&gt;"",DB_Customers!E179,""),"")</f>
        <v/>
      </c>
      <c r="L185" s="222" t="str">
        <f>IFERROR(IF(DB_Customers!F179&lt;&gt;"",DB_Customers!F179,""),"")</f>
        <v/>
      </c>
      <c r="M185" s="222" t="str">
        <f>IFERROR(IF(DB_Customers!T179&lt;&gt;"",DB_Customers!T179,""),"")</f>
        <v/>
      </c>
      <c r="N185" s="221" t="str">
        <f>IFERROR(IF(DB_Customers!A179&lt;&gt;"",IF(DB_Customers!I179&gt;=10,"Active","Inactive"),""),"")</f>
        <v/>
      </c>
    </row>
    <row r="186" spans="1:14" ht="18" customHeight="1" x14ac:dyDescent="0.25">
      <c r="A186" s="216" t="str">
        <f>IF(DB_Customers!A180&lt;&gt;"",ROW()-9,"")</f>
        <v/>
      </c>
      <c r="B186" s="216" t="str">
        <f>IFERROR(IF(DB_Customers!A180&lt;&gt;"",DB_Customers!A180,""),"")</f>
        <v/>
      </c>
      <c r="C186" s="217" t="str">
        <f>IFERROR(IF(DB_Customers!D180&lt;&gt;"",DB_Customers!D180,""),"")</f>
        <v/>
      </c>
      <c r="D186" s="218" t="str">
        <f>IFERROR(IF(DB_Customers!Q180&lt;&gt;"",DB_Customers!Q180,""),"")</f>
        <v/>
      </c>
      <c r="E186" s="216" t="str">
        <f>IFERROR(IF(DB_Customers!R180&lt;&gt;"",DB_Customers!R180,""),"")</f>
        <v/>
      </c>
      <c r="F186" s="217" t="str">
        <f>IFERROR(IF(DB_Customers!S180&lt;&gt;"",DB_Customers!S180,""),"")</f>
        <v/>
      </c>
      <c r="G186" s="217" t="str">
        <f>IFERROR(IF(DB_Customers!G180&lt;&gt;"",DB_Customers!G180,""),"")</f>
        <v/>
      </c>
      <c r="H186" s="216" t="str">
        <f>IFERROR(IF(DB_Customers!H180&lt;&gt;"",DB_Customers!H180,""),"")</f>
        <v/>
      </c>
      <c r="I186" s="219" t="str">
        <f>IFERROR(IF(DB_Customers!I180&lt;&gt;"",DB_Customers!I180,""),"")</f>
        <v/>
      </c>
      <c r="J186" s="220" t="str">
        <f>IFERROR(IF(DB_Customers!J180&lt;&gt;"",DB_Customers!J180,""),"")</f>
        <v/>
      </c>
      <c r="K186" s="217" t="str">
        <f>IFERROR(IF(DB_Customers!E180&lt;&gt;"",DB_Customers!E180,""),"")</f>
        <v/>
      </c>
      <c r="L186" s="217" t="str">
        <f>IFERROR(IF(DB_Customers!F180&lt;&gt;"",DB_Customers!F180,""),"")</f>
        <v/>
      </c>
      <c r="M186" s="217" t="str">
        <f>IFERROR(IF(DB_Customers!T180&lt;&gt;"",DB_Customers!T180,""),"")</f>
        <v/>
      </c>
      <c r="N186" s="216" t="str">
        <f>IFERROR(IF(DB_Customers!A180&lt;&gt;"",IF(DB_Customers!I180&gt;=10,"Active","Inactive"),""),"")</f>
        <v/>
      </c>
    </row>
    <row r="187" spans="1:14" ht="18" customHeight="1" x14ac:dyDescent="0.25">
      <c r="A187" s="221" t="str">
        <f>IF(DB_Customers!A181&lt;&gt;"",ROW()-9,"")</f>
        <v/>
      </c>
      <c r="B187" s="221" t="str">
        <f>IFERROR(IF(DB_Customers!A181&lt;&gt;"",DB_Customers!A181,""),"")</f>
        <v/>
      </c>
      <c r="C187" s="222" t="str">
        <f>IFERROR(IF(DB_Customers!D181&lt;&gt;"",DB_Customers!D181,""),"")</f>
        <v/>
      </c>
      <c r="D187" s="223" t="str">
        <f>IFERROR(IF(DB_Customers!Q181&lt;&gt;"",DB_Customers!Q181,""),"")</f>
        <v/>
      </c>
      <c r="E187" s="221" t="str">
        <f>IFERROR(IF(DB_Customers!R181&lt;&gt;"",DB_Customers!R181,""),"")</f>
        <v/>
      </c>
      <c r="F187" s="222" t="str">
        <f>IFERROR(IF(DB_Customers!S181&lt;&gt;"",DB_Customers!S181,""),"")</f>
        <v/>
      </c>
      <c r="G187" s="222" t="str">
        <f>IFERROR(IF(DB_Customers!G181&lt;&gt;"",DB_Customers!G181,""),"")</f>
        <v/>
      </c>
      <c r="H187" s="221" t="str">
        <f>IFERROR(IF(DB_Customers!H181&lt;&gt;"",DB_Customers!H181,""),"")</f>
        <v/>
      </c>
      <c r="I187" s="224" t="str">
        <f>IFERROR(IF(DB_Customers!I181&lt;&gt;"",DB_Customers!I181,""),"")</f>
        <v/>
      </c>
      <c r="J187" s="225" t="str">
        <f>IFERROR(IF(DB_Customers!J181&lt;&gt;"",DB_Customers!J181,""),"")</f>
        <v/>
      </c>
      <c r="K187" s="222" t="str">
        <f>IFERROR(IF(DB_Customers!E181&lt;&gt;"",DB_Customers!E181,""),"")</f>
        <v/>
      </c>
      <c r="L187" s="222" t="str">
        <f>IFERROR(IF(DB_Customers!F181&lt;&gt;"",DB_Customers!F181,""),"")</f>
        <v/>
      </c>
      <c r="M187" s="222" t="str">
        <f>IFERROR(IF(DB_Customers!T181&lt;&gt;"",DB_Customers!T181,""),"")</f>
        <v/>
      </c>
      <c r="N187" s="221" t="str">
        <f>IFERROR(IF(DB_Customers!A181&lt;&gt;"",IF(DB_Customers!I181&gt;=10,"Active","Inactive"),""),"")</f>
        <v/>
      </c>
    </row>
    <row r="188" spans="1:14" ht="18" customHeight="1" x14ac:dyDescent="0.25">
      <c r="A188" s="216" t="str">
        <f>IF(DB_Customers!A182&lt;&gt;"",ROW()-9,"")</f>
        <v/>
      </c>
      <c r="B188" s="216" t="str">
        <f>IFERROR(IF(DB_Customers!A182&lt;&gt;"",DB_Customers!A182,""),"")</f>
        <v/>
      </c>
      <c r="C188" s="217" t="str">
        <f>IFERROR(IF(DB_Customers!D182&lt;&gt;"",DB_Customers!D182,""),"")</f>
        <v/>
      </c>
      <c r="D188" s="218" t="str">
        <f>IFERROR(IF(DB_Customers!Q182&lt;&gt;"",DB_Customers!Q182,""),"")</f>
        <v/>
      </c>
      <c r="E188" s="216" t="str">
        <f>IFERROR(IF(DB_Customers!R182&lt;&gt;"",DB_Customers!R182,""),"")</f>
        <v/>
      </c>
      <c r="F188" s="217" t="str">
        <f>IFERROR(IF(DB_Customers!S182&lt;&gt;"",DB_Customers!S182,""),"")</f>
        <v/>
      </c>
      <c r="G188" s="217" t="str">
        <f>IFERROR(IF(DB_Customers!G182&lt;&gt;"",DB_Customers!G182,""),"")</f>
        <v/>
      </c>
      <c r="H188" s="216" t="str">
        <f>IFERROR(IF(DB_Customers!H182&lt;&gt;"",DB_Customers!H182,""),"")</f>
        <v/>
      </c>
      <c r="I188" s="219" t="str">
        <f>IFERROR(IF(DB_Customers!I182&lt;&gt;"",DB_Customers!I182,""),"")</f>
        <v/>
      </c>
      <c r="J188" s="220" t="str">
        <f>IFERROR(IF(DB_Customers!J182&lt;&gt;"",DB_Customers!J182,""),"")</f>
        <v/>
      </c>
      <c r="K188" s="217" t="str">
        <f>IFERROR(IF(DB_Customers!E182&lt;&gt;"",DB_Customers!E182,""),"")</f>
        <v/>
      </c>
      <c r="L188" s="217" t="str">
        <f>IFERROR(IF(DB_Customers!F182&lt;&gt;"",DB_Customers!F182,""),"")</f>
        <v/>
      </c>
      <c r="M188" s="217" t="str">
        <f>IFERROR(IF(DB_Customers!T182&lt;&gt;"",DB_Customers!T182,""),"")</f>
        <v/>
      </c>
      <c r="N188" s="216" t="str">
        <f>IFERROR(IF(DB_Customers!A182&lt;&gt;"",IF(DB_Customers!I182&gt;=10,"Active","Inactive"),""),"")</f>
        <v/>
      </c>
    </row>
    <row r="189" spans="1:14" ht="18" customHeight="1" x14ac:dyDescent="0.25">
      <c r="A189" s="221" t="str">
        <f>IF(DB_Customers!A183&lt;&gt;"",ROW()-9,"")</f>
        <v/>
      </c>
      <c r="B189" s="221" t="str">
        <f>IFERROR(IF(DB_Customers!A183&lt;&gt;"",DB_Customers!A183,""),"")</f>
        <v/>
      </c>
      <c r="C189" s="222" t="str">
        <f>IFERROR(IF(DB_Customers!D183&lt;&gt;"",DB_Customers!D183,""),"")</f>
        <v/>
      </c>
      <c r="D189" s="223" t="str">
        <f>IFERROR(IF(DB_Customers!Q183&lt;&gt;"",DB_Customers!Q183,""),"")</f>
        <v/>
      </c>
      <c r="E189" s="221" t="str">
        <f>IFERROR(IF(DB_Customers!R183&lt;&gt;"",DB_Customers!R183,""),"")</f>
        <v/>
      </c>
      <c r="F189" s="222" t="str">
        <f>IFERROR(IF(DB_Customers!S183&lt;&gt;"",DB_Customers!S183,""),"")</f>
        <v/>
      </c>
      <c r="G189" s="222" t="str">
        <f>IFERROR(IF(DB_Customers!G183&lt;&gt;"",DB_Customers!G183,""),"")</f>
        <v/>
      </c>
      <c r="H189" s="221" t="str">
        <f>IFERROR(IF(DB_Customers!H183&lt;&gt;"",DB_Customers!H183,""),"")</f>
        <v/>
      </c>
      <c r="I189" s="224" t="str">
        <f>IFERROR(IF(DB_Customers!I183&lt;&gt;"",DB_Customers!I183,""),"")</f>
        <v/>
      </c>
      <c r="J189" s="225" t="str">
        <f>IFERROR(IF(DB_Customers!J183&lt;&gt;"",DB_Customers!J183,""),"")</f>
        <v/>
      </c>
      <c r="K189" s="222" t="str">
        <f>IFERROR(IF(DB_Customers!E183&lt;&gt;"",DB_Customers!E183,""),"")</f>
        <v/>
      </c>
      <c r="L189" s="222" t="str">
        <f>IFERROR(IF(DB_Customers!F183&lt;&gt;"",DB_Customers!F183,""),"")</f>
        <v/>
      </c>
      <c r="M189" s="222" t="str">
        <f>IFERROR(IF(DB_Customers!T183&lt;&gt;"",DB_Customers!T183,""),"")</f>
        <v/>
      </c>
      <c r="N189" s="221" t="str">
        <f>IFERROR(IF(DB_Customers!A183&lt;&gt;"",IF(DB_Customers!I183&gt;=10,"Active","Inactive"),""),"")</f>
        <v/>
      </c>
    </row>
    <row r="190" spans="1:14" ht="18" customHeight="1" x14ac:dyDescent="0.25">
      <c r="A190" s="216" t="str">
        <f>IF(DB_Customers!A184&lt;&gt;"",ROW()-9,"")</f>
        <v/>
      </c>
      <c r="B190" s="216" t="str">
        <f>IFERROR(IF(DB_Customers!A184&lt;&gt;"",DB_Customers!A184,""),"")</f>
        <v/>
      </c>
      <c r="C190" s="217" t="str">
        <f>IFERROR(IF(DB_Customers!D184&lt;&gt;"",DB_Customers!D184,""),"")</f>
        <v/>
      </c>
      <c r="D190" s="218" t="str">
        <f>IFERROR(IF(DB_Customers!Q184&lt;&gt;"",DB_Customers!Q184,""),"")</f>
        <v/>
      </c>
      <c r="E190" s="216" t="str">
        <f>IFERROR(IF(DB_Customers!R184&lt;&gt;"",DB_Customers!R184,""),"")</f>
        <v/>
      </c>
      <c r="F190" s="217" t="str">
        <f>IFERROR(IF(DB_Customers!S184&lt;&gt;"",DB_Customers!S184,""),"")</f>
        <v/>
      </c>
      <c r="G190" s="217" t="str">
        <f>IFERROR(IF(DB_Customers!G184&lt;&gt;"",DB_Customers!G184,""),"")</f>
        <v/>
      </c>
      <c r="H190" s="216" t="str">
        <f>IFERROR(IF(DB_Customers!H184&lt;&gt;"",DB_Customers!H184,""),"")</f>
        <v/>
      </c>
      <c r="I190" s="219" t="str">
        <f>IFERROR(IF(DB_Customers!I184&lt;&gt;"",DB_Customers!I184,""),"")</f>
        <v/>
      </c>
      <c r="J190" s="220" t="str">
        <f>IFERROR(IF(DB_Customers!J184&lt;&gt;"",DB_Customers!J184,""),"")</f>
        <v/>
      </c>
      <c r="K190" s="217" t="str">
        <f>IFERROR(IF(DB_Customers!E184&lt;&gt;"",DB_Customers!E184,""),"")</f>
        <v/>
      </c>
      <c r="L190" s="217" t="str">
        <f>IFERROR(IF(DB_Customers!F184&lt;&gt;"",DB_Customers!F184,""),"")</f>
        <v/>
      </c>
      <c r="M190" s="217" t="str">
        <f>IFERROR(IF(DB_Customers!T184&lt;&gt;"",DB_Customers!T184,""),"")</f>
        <v/>
      </c>
      <c r="N190" s="216" t="str">
        <f>IFERROR(IF(DB_Customers!A184&lt;&gt;"",IF(DB_Customers!I184&gt;=10,"Active","Inactive"),""),"")</f>
        <v/>
      </c>
    </row>
    <row r="191" spans="1:14" ht="18" customHeight="1" x14ac:dyDescent="0.25">
      <c r="A191" s="221" t="str">
        <f>IF(DB_Customers!A185&lt;&gt;"",ROW()-9,"")</f>
        <v/>
      </c>
      <c r="B191" s="221" t="str">
        <f>IFERROR(IF(DB_Customers!A185&lt;&gt;"",DB_Customers!A185,""),"")</f>
        <v/>
      </c>
      <c r="C191" s="222" t="str">
        <f>IFERROR(IF(DB_Customers!D185&lt;&gt;"",DB_Customers!D185,""),"")</f>
        <v/>
      </c>
      <c r="D191" s="223" t="str">
        <f>IFERROR(IF(DB_Customers!Q185&lt;&gt;"",DB_Customers!Q185,""),"")</f>
        <v/>
      </c>
      <c r="E191" s="221" t="str">
        <f>IFERROR(IF(DB_Customers!R185&lt;&gt;"",DB_Customers!R185,""),"")</f>
        <v/>
      </c>
      <c r="F191" s="222" t="str">
        <f>IFERROR(IF(DB_Customers!S185&lt;&gt;"",DB_Customers!S185,""),"")</f>
        <v/>
      </c>
      <c r="G191" s="222" t="str">
        <f>IFERROR(IF(DB_Customers!G185&lt;&gt;"",DB_Customers!G185,""),"")</f>
        <v/>
      </c>
      <c r="H191" s="221" t="str">
        <f>IFERROR(IF(DB_Customers!H185&lt;&gt;"",DB_Customers!H185,""),"")</f>
        <v/>
      </c>
      <c r="I191" s="224" t="str">
        <f>IFERROR(IF(DB_Customers!I185&lt;&gt;"",DB_Customers!I185,""),"")</f>
        <v/>
      </c>
      <c r="J191" s="225" t="str">
        <f>IFERROR(IF(DB_Customers!J185&lt;&gt;"",DB_Customers!J185,""),"")</f>
        <v/>
      </c>
      <c r="K191" s="222" t="str">
        <f>IFERROR(IF(DB_Customers!E185&lt;&gt;"",DB_Customers!E185,""),"")</f>
        <v/>
      </c>
      <c r="L191" s="222" t="str">
        <f>IFERROR(IF(DB_Customers!F185&lt;&gt;"",DB_Customers!F185,""),"")</f>
        <v/>
      </c>
      <c r="M191" s="222" t="str">
        <f>IFERROR(IF(DB_Customers!T185&lt;&gt;"",DB_Customers!T185,""),"")</f>
        <v/>
      </c>
      <c r="N191" s="221" t="str">
        <f>IFERROR(IF(DB_Customers!A185&lt;&gt;"",IF(DB_Customers!I185&gt;=10,"Active","Inactive"),""),"")</f>
        <v/>
      </c>
    </row>
    <row r="192" spans="1:14" ht="18" customHeight="1" x14ac:dyDescent="0.25">
      <c r="A192" s="216" t="str">
        <f>IF(DB_Customers!A186&lt;&gt;"",ROW()-9,"")</f>
        <v/>
      </c>
      <c r="B192" s="216" t="str">
        <f>IFERROR(IF(DB_Customers!A186&lt;&gt;"",DB_Customers!A186,""),"")</f>
        <v/>
      </c>
      <c r="C192" s="217" t="str">
        <f>IFERROR(IF(DB_Customers!D186&lt;&gt;"",DB_Customers!D186,""),"")</f>
        <v/>
      </c>
      <c r="D192" s="218" t="str">
        <f>IFERROR(IF(DB_Customers!Q186&lt;&gt;"",DB_Customers!Q186,""),"")</f>
        <v/>
      </c>
      <c r="E192" s="216" t="str">
        <f>IFERROR(IF(DB_Customers!R186&lt;&gt;"",DB_Customers!R186,""),"")</f>
        <v/>
      </c>
      <c r="F192" s="217" t="str">
        <f>IFERROR(IF(DB_Customers!S186&lt;&gt;"",DB_Customers!S186,""),"")</f>
        <v/>
      </c>
      <c r="G192" s="217" t="str">
        <f>IFERROR(IF(DB_Customers!G186&lt;&gt;"",DB_Customers!G186,""),"")</f>
        <v/>
      </c>
      <c r="H192" s="216" t="str">
        <f>IFERROR(IF(DB_Customers!H186&lt;&gt;"",DB_Customers!H186,""),"")</f>
        <v/>
      </c>
      <c r="I192" s="219" t="str">
        <f>IFERROR(IF(DB_Customers!I186&lt;&gt;"",DB_Customers!I186,""),"")</f>
        <v/>
      </c>
      <c r="J192" s="220" t="str">
        <f>IFERROR(IF(DB_Customers!J186&lt;&gt;"",DB_Customers!J186,""),"")</f>
        <v/>
      </c>
      <c r="K192" s="217" t="str">
        <f>IFERROR(IF(DB_Customers!E186&lt;&gt;"",DB_Customers!E186,""),"")</f>
        <v/>
      </c>
      <c r="L192" s="217" t="str">
        <f>IFERROR(IF(DB_Customers!F186&lt;&gt;"",DB_Customers!F186,""),"")</f>
        <v/>
      </c>
      <c r="M192" s="217" t="str">
        <f>IFERROR(IF(DB_Customers!T186&lt;&gt;"",DB_Customers!T186,""),"")</f>
        <v/>
      </c>
      <c r="N192" s="216" t="str">
        <f>IFERROR(IF(DB_Customers!A186&lt;&gt;"",IF(DB_Customers!I186&gt;=10,"Active","Inactive"),""),"")</f>
        <v/>
      </c>
    </row>
    <row r="193" spans="1:14" ht="18" customHeight="1" x14ac:dyDescent="0.25">
      <c r="A193" s="221" t="str">
        <f>IF(DB_Customers!A187&lt;&gt;"",ROW()-9,"")</f>
        <v/>
      </c>
      <c r="B193" s="221" t="str">
        <f>IFERROR(IF(DB_Customers!A187&lt;&gt;"",DB_Customers!A187,""),"")</f>
        <v/>
      </c>
      <c r="C193" s="222" t="str">
        <f>IFERROR(IF(DB_Customers!D187&lt;&gt;"",DB_Customers!D187,""),"")</f>
        <v/>
      </c>
      <c r="D193" s="223" t="str">
        <f>IFERROR(IF(DB_Customers!Q187&lt;&gt;"",DB_Customers!Q187,""),"")</f>
        <v/>
      </c>
      <c r="E193" s="221" t="str">
        <f>IFERROR(IF(DB_Customers!R187&lt;&gt;"",DB_Customers!R187,""),"")</f>
        <v/>
      </c>
      <c r="F193" s="222" t="str">
        <f>IFERROR(IF(DB_Customers!S187&lt;&gt;"",DB_Customers!S187,""),"")</f>
        <v/>
      </c>
      <c r="G193" s="222" t="str">
        <f>IFERROR(IF(DB_Customers!G187&lt;&gt;"",DB_Customers!G187,""),"")</f>
        <v/>
      </c>
      <c r="H193" s="221" t="str">
        <f>IFERROR(IF(DB_Customers!H187&lt;&gt;"",DB_Customers!H187,""),"")</f>
        <v/>
      </c>
      <c r="I193" s="224" t="str">
        <f>IFERROR(IF(DB_Customers!I187&lt;&gt;"",DB_Customers!I187,""),"")</f>
        <v/>
      </c>
      <c r="J193" s="225" t="str">
        <f>IFERROR(IF(DB_Customers!J187&lt;&gt;"",DB_Customers!J187,""),"")</f>
        <v/>
      </c>
      <c r="K193" s="222" t="str">
        <f>IFERROR(IF(DB_Customers!E187&lt;&gt;"",DB_Customers!E187,""),"")</f>
        <v/>
      </c>
      <c r="L193" s="222" t="str">
        <f>IFERROR(IF(DB_Customers!F187&lt;&gt;"",DB_Customers!F187,""),"")</f>
        <v/>
      </c>
      <c r="M193" s="222" t="str">
        <f>IFERROR(IF(DB_Customers!T187&lt;&gt;"",DB_Customers!T187,""),"")</f>
        <v/>
      </c>
      <c r="N193" s="221" t="str">
        <f>IFERROR(IF(DB_Customers!A187&lt;&gt;"",IF(DB_Customers!I187&gt;=10,"Active","Inactive"),""),"")</f>
        <v/>
      </c>
    </row>
    <row r="194" spans="1:14" ht="18" customHeight="1" x14ac:dyDescent="0.25">
      <c r="A194" s="216" t="str">
        <f>IF(DB_Customers!A188&lt;&gt;"",ROW()-9,"")</f>
        <v/>
      </c>
      <c r="B194" s="216" t="str">
        <f>IFERROR(IF(DB_Customers!A188&lt;&gt;"",DB_Customers!A188,""),"")</f>
        <v/>
      </c>
      <c r="C194" s="217" t="str">
        <f>IFERROR(IF(DB_Customers!D188&lt;&gt;"",DB_Customers!D188,""),"")</f>
        <v/>
      </c>
      <c r="D194" s="218" t="str">
        <f>IFERROR(IF(DB_Customers!Q188&lt;&gt;"",DB_Customers!Q188,""),"")</f>
        <v/>
      </c>
      <c r="E194" s="216" t="str">
        <f>IFERROR(IF(DB_Customers!R188&lt;&gt;"",DB_Customers!R188,""),"")</f>
        <v/>
      </c>
      <c r="F194" s="217" t="str">
        <f>IFERROR(IF(DB_Customers!S188&lt;&gt;"",DB_Customers!S188,""),"")</f>
        <v/>
      </c>
      <c r="G194" s="217" t="str">
        <f>IFERROR(IF(DB_Customers!G188&lt;&gt;"",DB_Customers!G188,""),"")</f>
        <v/>
      </c>
      <c r="H194" s="216" t="str">
        <f>IFERROR(IF(DB_Customers!H188&lt;&gt;"",DB_Customers!H188,""),"")</f>
        <v/>
      </c>
      <c r="I194" s="219" t="str">
        <f>IFERROR(IF(DB_Customers!I188&lt;&gt;"",DB_Customers!I188,""),"")</f>
        <v/>
      </c>
      <c r="J194" s="220" t="str">
        <f>IFERROR(IF(DB_Customers!J188&lt;&gt;"",DB_Customers!J188,""),"")</f>
        <v/>
      </c>
      <c r="K194" s="217" t="str">
        <f>IFERROR(IF(DB_Customers!E188&lt;&gt;"",DB_Customers!E188,""),"")</f>
        <v/>
      </c>
      <c r="L194" s="217" t="str">
        <f>IFERROR(IF(DB_Customers!F188&lt;&gt;"",DB_Customers!F188,""),"")</f>
        <v/>
      </c>
      <c r="M194" s="217" t="str">
        <f>IFERROR(IF(DB_Customers!T188&lt;&gt;"",DB_Customers!T188,""),"")</f>
        <v/>
      </c>
      <c r="N194" s="216" t="str">
        <f>IFERROR(IF(DB_Customers!A188&lt;&gt;"",IF(DB_Customers!I188&gt;=10,"Active","Inactive"),""),"")</f>
        <v/>
      </c>
    </row>
    <row r="195" spans="1:14" ht="18" customHeight="1" x14ac:dyDescent="0.25">
      <c r="A195" s="221" t="str">
        <f>IF(DB_Customers!A189&lt;&gt;"",ROW()-9,"")</f>
        <v/>
      </c>
      <c r="B195" s="221" t="str">
        <f>IFERROR(IF(DB_Customers!A189&lt;&gt;"",DB_Customers!A189,""),"")</f>
        <v/>
      </c>
      <c r="C195" s="222" t="str">
        <f>IFERROR(IF(DB_Customers!D189&lt;&gt;"",DB_Customers!D189,""),"")</f>
        <v/>
      </c>
      <c r="D195" s="223" t="str">
        <f>IFERROR(IF(DB_Customers!Q189&lt;&gt;"",DB_Customers!Q189,""),"")</f>
        <v/>
      </c>
      <c r="E195" s="221" t="str">
        <f>IFERROR(IF(DB_Customers!R189&lt;&gt;"",DB_Customers!R189,""),"")</f>
        <v/>
      </c>
      <c r="F195" s="222" t="str">
        <f>IFERROR(IF(DB_Customers!S189&lt;&gt;"",DB_Customers!S189,""),"")</f>
        <v/>
      </c>
      <c r="G195" s="222" t="str">
        <f>IFERROR(IF(DB_Customers!G189&lt;&gt;"",DB_Customers!G189,""),"")</f>
        <v/>
      </c>
      <c r="H195" s="221" t="str">
        <f>IFERROR(IF(DB_Customers!H189&lt;&gt;"",DB_Customers!H189,""),"")</f>
        <v/>
      </c>
      <c r="I195" s="224" t="str">
        <f>IFERROR(IF(DB_Customers!I189&lt;&gt;"",DB_Customers!I189,""),"")</f>
        <v/>
      </c>
      <c r="J195" s="225" t="str">
        <f>IFERROR(IF(DB_Customers!J189&lt;&gt;"",DB_Customers!J189,""),"")</f>
        <v/>
      </c>
      <c r="K195" s="222" t="str">
        <f>IFERROR(IF(DB_Customers!E189&lt;&gt;"",DB_Customers!E189,""),"")</f>
        <v/>
      </c>
      <c r="L195" s="222" t="str">
        <f>IFERROR(IF(DB_Customers!F189&lt;&gt;"",DB_Customers!F189,""),"")</f>
        <v/>
      </c>
      <c r="M195" s="222" t="str">
        <f>IFERROR(IF(DB_Customers!T189&lt;&gt;"",DB_Customers!T189,""),"")</f>
        <v/>
      </c>
      <c r="N195" s="221" t="str">
        <f>IFERROR(IF(DB_Customers!A189&lt;&gt;"",IF(DB_Customers!I189&gt;=10,"Active","Inactive"),""),"")</f>
        <v/>
      </c>
    </row>
    <row r="196" spans="1:14" ht="18" customHeight="1" x14ac:dyDescent="0.25">
      <c r="A196" s="216" t="str">
        <f>IF(DB_Customers!A190&lt;&gt;"",ROW()-9,"")</f>
        <v/>
      </c>
      <c r="B196" s="216" t="str">
        <f>IFERROR(IF(DB_Customers!A190&lt;&gt;"",DB_Customers!A190,""),"")</f>
        <v/>
      </c>
      <c r="C196" s="217" t="str">
        <f>IFERROR(IF(DB_Customers!D190&lt;&gt;"",DB_Customers!D190,""),"")</f>
        <v/>
      </c>
      <c r="D196" s="218" t="str">
        <f>IFERROR(IF(DB_Customers!Q190&lt;&gt;"",DB_Customers!Q190,""),"")</f>
        <v/>
      </c>
      <c r="E196" s="216" t="str">
        <f>IFERROR(IF(DB_Customers!R190&lt;&gt;"",DB_Customers!R190,""),"")</f>
        <v/>
      </c>
      <c r="F196" s="217" t="str">
        <f>IFERROR(IF(DB_Customers!S190&lt;&gt;"",DB_Customers!S190,""),"")</f>
        <v/>
      </c>
      <c r="G196" s="217" t="str">
        <f>IFERROR(IF(DB_Customers!G190&lt;&gt;"",DB_Customers!G190,""),"")</f>
        <v/>
      </c>
      <c r="H196" s="216" t="str">
        <f>IFERROR(IF(DB_Customers!H190&lt;&gt;"",DB_Customers!H190,""),"")</f>
        <v/>
      </c>
      <c r="I196" s="219" t="str">
        <f>IFERROR(IF(DB_Customers!I190&lt;&gt;"",DB_Customers!I190,""),"")</f>
        <v/>
      </c>
      <c r="J196" s="220" t="str">
        <f>IFERROR(IF(DB_Customers!J190&lt;&gt;"",DB_Customers!J190,""),"")</f>
        <v/>
      </c>
      <c r="K196" s="217" t="str">
        <f>IFERROR(IF(DB_Customers!E190&lt;&gt;"",DB_Customers!E190,""),"")</f>
        <v/>
      </c>
      <c r="L196" s="217" t="str">
        <f>IFERROR(IF(DB_Customers!F190&lt;&gt;"",DB_Customers!F190,""),"")</f>
        <v/>
      </c>
      <c r="M196" s="217" t="str">
        <f>IFERROR(IF(DB_Customers!T190&lt;&gt;"",DB_Customers!T190,""),"")</f>
        <v/>
      </c>
      <c r="N196" s="216" t="str">
        <f>IFERROR(IF(DB_Customers!A190&lt;&gt;"",IF(DB_Customers!I190&gt;=10,"Active","Inactive"),""),"")</f>
        <v/>
      </c>
    </row>
    <row r="197" spans="1:14" ht="18" customHeight="1" x14ac:dyDescent="0.25">
      <c r="A197" s="221" t="str">
        <f>IF(DB_Customers!A191&lt;&gt;"",ROW()-9,"")</f>
        <v/>
      </c>
      <c r="B197" s="221" t="str">
        <f>IFERROR(IF(DB_Customers!A191&lt;&gt;"",DB_Customers!A191,""),"")</f>
        <v/>
      </c>
      <c r="C197" s="222" t="str">
        <f>IFERROR(IF(DB_Customers!D191&lt;&gt;"",DB_Customers!D191,""),"")</f>
        <v/>
      </c>
      <c r="D197" s="223" t="str">
        <f>IFERROR(IF(DB_Customers!Q191&lt;&gt;"",DB_Customers!Q191,""),"")</f>
        <v/>
      </c>
      <c r="E197" s="221" t="str">
        <f>IFERROR(IF(DB_Customers!R191&lt;&gt;"",DB_Customers!R191,""),"")</f>
        <v/>
      </c>
      <c r="F197" s="222" t="str">
        <f>IFERROR(IF(DB_Customers!S191&lt;&gt;"",DB_Customers!S191,""),"")</f>
        <v/>
      </c>
      <c r="G197" s="222" t="str">
        <f>IFERROR(IF(DB_Customers!G191&lt;&gt;"",DB_Customers!G191,""),"")</f>
        <v/>
      </c>
      <c r="H197" s="221" t="str">
        <f>IFERROR(IF(DB_Customers!H191&lt;&gt;"",DB_Customers!H191,""),"")</f>
        <v/>
      </c>
      <c r="I197" s="224" t="str">
        <f>IFERROR(IF(DB_Customers!I191&lt;&gt;"",DB_Customers!I191,""),"")</f>
        <v/>
      </c>
      <c r="J197" s="225" t="str">
        <f>IFERROR(IF(DB_Customers!J191&lt;&gt;"",DB_Customers!J191,""),"")</f>
        <v/>
      </c>
      <c r="K197" s="222" t="str">
        <f>IFERROR(IF(DB_Customers!E191&lt;&gt;"",DB_Customers!E191,""),"")</f>
        <v/>
      </c>
      <c r="L197" s="222" t="str">
        <f>IFERROR(IF(DB_Customers!F191&lt;&gt;"",DB_Customers!F191,""),"")</f>
        <v/>
      </c>
      <c r="M197" s="222" t="str">
        <f>IFERROR(IF(DB_Customers!T191&lt;&gt;"",DB_Customers!T191,""),"")</f>
        <v/>
      </c>
      <c r="N197" s="221" t="str">
        <f>IFERROR(IF(DB_Customers!A191&lt;&gt;"",IF(DB_Customers!I191&gt;=10,"Active","Inactive"),""),"")</f>
        <v/>
      </c>
    </row>
    <row r="198" spans="1:14" ht="18" customHeight="1" x14ac:dyDescent="0.25">
      <c r="A198" s="216" t="str">
        <f>IF(DB_Customers!A192&lt;&gt;"",ROW()-9,"")</f>
        <v/>
      </c>
      <c r="B198" s="216" t="str">
        <f>IFERROR(IF(DB_Customers!A192&lt;&gt;"",DB_Customers!A192,""),"")</f>
        <v/>
      </c>
      <c r="C198" s="217" t="str">
        <f>IFERROR(IF(DB_Customers!D192&lt;&gt;"",DB_Customers!D192,""),"")</f>
        <v/>
      </c>
      <c r="D198" s="218" t="str">
        <f>IFERROR(IF(DB_Customers!Q192&lt;&gt;"",DB_Customers!Q192,""),"")</f>
        <v/>
      </c>
      <c r="E198" s="216" t="str">
        <f>IFERROR(IF(DB_Customers!R192&lt;&gt;"",DB_Customers!R192,""),"")</f>
        <v/>
      </c>
      <c r="F198" s="217" t="str">
        <f>IFERROR(IF(DB_Customers!S192&lt;&gt;"",DB_Customers!S192,""),"")</f>
        <v/>
      </c>
      <c r="G198" s="217" t="str">
        <f>IFERROR(IF(DB_Customers!G192&lt;&gt;"",DB_Customers!G192,""),"")</f>
        <v/>
      </c>
      <c r="H198" s="216" t="str">
        <f>IFERROR(IF(DB_Customers!H192&lt;&gt;"",DB_Customers!H192,""),"")</f>
        <v/>
      </c>
      <c r="I198" s="219" t="str">
        <f>IFERROR(IF(DB_Customers!I192&lt;&gt;"",DB_Customers!I192,""),"")</f>
        <v/>
      </c>
      <c r="J198" s="220" t="str">
        <f>IFERROR(IF(DB_Customers!J192&lt;&gt;"",DB_Customers!J192,""),"")</f>
        <v/>
      </c>
      <c r="K198" s="217" t="str">
        <f>IFERROR(IF(DB_Customers!E192&lt;&gt;"",DB_Customers!E192,""),"")</f>
        <v/>
      </c>
      <c r="L198" s="217" t="str">
        <f>IFERROR(IF(DB_Customers!F192&lt;&gt;"",DB_Customers!F192,""),"")</f>
        <v/>
      </c>
      <c r="M198" s="217" t="str">
        <f>IFERROR(IF(DB_Customers!T192&lt;&gt;"",DB_Customers!T192,""),"")</f>
        <v/>
      </c>
      <c r="N198" s="216" t="str">
        <f>IFERROR(IF(DB_Customers!A192&lt;&gt;"",IF(DB_Customers!I192&gt;=10,"Active","Inactive"),""),"")</f>
        <v/>
      </c>
    </row>
    <row r="199" spans="1:14" ht="18" customHeight="1" x14ac:dyDescent="0.25">
      <c r="A199" s="221" t="str">
        <f>IF(DB_Customers!A193&lt;&gt;"",ROW()-9,"")</f>
        <v/>
      </c>
      <c r="B199" s="221" t="str">
        <f>IFERROR(IF(DB_Customers!A193&lt;&gt;"",DB_Customers!A193,""),"")</f>
        <v/>
      </c>
      <c r="C199" s="222" t="str">
        <f>IFERROR(IF(DB_Customers!D193&lt;&gt;"",DB_Customers!D193,""),"")</f>
        <v/>
      </c>
      <c r="D199" s="223" t="str">
        <f>IFERROR(IF(DB_Customers!Q193&lt;&gt;"",DB_Customers!Q193,""),"")</f>
        <v/>
      </c>
      <c r="E199" s="221" t="str">
        <f>IFERROR(IF(DB_Customers!R193&lt;&gt;"",DB_Customers!R193,""),"")</f>
        <v/>
      </c>
      <c r="F199" s="222" t="str">
        <f>IFERROR(IF(DB_Customers!S193&lt;&gt;"",DB_Customers!S193,""),"")</f>
        <v/>
      </c>
      <c r="G199" s="222" t="str">
        <f>IFERROR(IF(DB_Customers!G193&lt;&gt;"",DB_Customers!G193,""),"")</f>
        <v/>
      </c>
      <c r="H199" s="221" t="str">
        <f>IFERROR(IF(DB_Customers!H193&lt;&gt;"",DB_Customers!H193,""),"")</f>
        <v/>
      </c>
      <c r="I199" s="224" t="str">
        <f>IFERROR(IF(DB_Customers!I193&lt;&gt;"",DB_Customers!I193,""),"")</f>
        <v/>
      </c>
      <c r="J199" s="225" t="str">
        <f>IFERROR(IF(DB_Customers!J193&lt;&gt;"",DB_Customers!J193,""),"")</f>
        <v/>
      </c>
      <c r="K199" s="222" t="str">
        <f>IFERROR(IF(DB_Customers!E193&lt;&gt;"",DB_Customers!E193,""),"")</f>
        <v/>
      </c>
      <c r="L199" s="222" t="str">
        <f>IFERROR(IF(DB_Customers!F193&lt;&gt;"",DB_Customers!F193,""),"")</f>
        <v/>
      </c>
      <c r="M199" s="222" t="str">
        <f>IFERROR(IF(DB_Customers!T193&lt;&gt;"",DB_Customers!T193,""),"")</f>
        <v/>
      </c>
      <c r="N199" s="221" t="str">
        <f>IFERROR(IF(DB_Customers!A193&lt;&gt;"",IF(DB_Customers!I193&gt;=10,"Active","Inactive"),""),"")</f>
        <v/>
      </c>
    </row>
    <row r="200" spans="1:14" ht="18" customHeight="1" x14ac:dyDescent="0.25">
      <c r="A200" s="216" t="str">
        <f>IF(DB_Customers!A194&lt;&gt;"",ROW()-9,"")</f>
        <v/>
      </c>
      <c r="B200" s="216" t="str">
        <f>IFERROR(IF(DB_Customers!A194&lt;&gt;"",DB_Customers!A194,""),"")</f>
        <v/>
      </c>
      <c r="C200" s="217" t="str">
        <f>IFERROR(IF(DB_Customers!D194&lt;&gt;"",DB_Customers!D194,""),"")</f>
        <v/>
      </c>
      <c r="D200" s="218" t="str">
        <f>IFERROR(IF(DB_Customers!Q194&lt;&gt;"",DB_Customers!Q194,""),"")</f>
        <v/>
      </c>
      <c r="E200" s="216" t="str">
        <f>IFERROR(IF(DB_Customers!R194&lt;&gt;"",DB_Customers!R194,""),"")</f>
        <v/>
      </c>
      <c r="F200" s="217" t="str">
        <f>IFERROR(IF(DB_Customers!S194&lt;&gt;"",DB_Customers!S194,""),"")</f>
        <v/>
      </c>
      <c r="G200" s="217" t="str">
        <f>IFERROR(IF(DB_Customers!G194&lt;&gt;"",DB_Customers!G194,""),"")</f>
        <v/>
      </c>
      <c r="H200" s="216" t="str">
        <f>IFERROR(IF(DB_Customers!H194&lt;&gt;"",DB_Customers!H194,""),"")</f>
        <v/>
      </c>
      <c r="I200" s="219" t="str">
        <f>IFERROR(IF(DB_Customers!I194&lt;&gt;"",DB_Customers!I194,""),"")</f>
        <v/>
      </c>
      <c r="J200" s="220" t="str">
        <f>IFERROR(IF(DB_Customers!J194&lt;&gt;"",DB_Customers!J194,""),"")</f>
        <v/>
      </c>
      <c r="K200" s="217" t="str">
        <f>IFERROR(IF(DB_Customers!E194&lt;&gt;"",DB_Customers!E194,""),"")</f>
        <v/>
      </c>
      <c r="L200" s="217" t="str">
        <f>IFERROR(IF(DB_Customers!F194&lt;&gt;"",DB_Customers!F194,""),"")</f>
        <v/>
      </c>
      <c r="M200" s="217" t="str">
        <f>IFERROR(IF(DB_Customers!T194&lt;&gt;"",DB_Customers!T194,""),"")</f>
        <v/>
      </c>
      <c r="N200" s="216" t="str">
        <f>IFERROR(IF(DB_Customers!A194&lt;&gt;"",IF(DB_Customers!I194&gt;=10,"Active","Inactive"),""),"")</f>
        <v/>
      </c>
    </row>
    <row r="201" spans="1:14" ht="18" customHeight="1" x14ac:dyDescent="0.25">
      <c r="A201" s="221" t="str">
        <f>IF(DB_Customers!A195&lt;&gt;"",ROW()-9,"")</f>
        <v/>
      </c>
      <c r="B201" s="221" t="str">
        <f>IFERROR(IF(DB_Customers!A195&lt;&gt;"",DB_Customers!A195,""),"")</f>
        <v/>
      </c>
      <c r="C201" s="222" t="str">
        <f>IFERROR(IF(DB_Customers!D195&lt;&gt;"",DB_Customers!D195,""),"")</f>
        <v/>
      </c>
      <c r="D201" s="223" t="str">
        <f>IFERROR(IF(DB_Customers!Q195&lt;&gt;"",DB_Customers!Q195,""),"")</f>
        <v/>
      </c>
      <c r="E201" s="221" t="str">
        <f>IFERROR(IF(DB_Customers!R195&lt;&gt;"",DB_Customers!R195,""),"")</f>
        <v/>
      </c>
      <c r="F201" s="222" t="str">
        <f>IFERROR(IF(DB_Customers!S195&lt;&gt;"",DB_Customers!S195,""),"")</f>
        <v/>
      </c>
      <c r="G201" s="222" t="str">
        <f>IFERROR(IF(DB_Customers!G195&lt;&gt;"",DB_Customers!G195,""),"")</f>
        <v/>
      </c>
      <c r="H201" s="221" t="str">
        <f>IFERROR(IF(DB_Customers!H195&lt;&gt;"",DB_Customers!H195,""),"")</f>
        <v/>
      </c>
      <c r="I201" s="224" t="str">
        <f>IFERROR(IF(DB_Customers!I195&lt;&gt;"",DB_Customers!I195,""),"")</f>
        <v/>
      </c>
      <c r="J201" s="225" t="str">
        <f>IFERROR(IF(DB_Customers!J195&lt;&gt;"",DB_Customers!J195,""),"")</f>
        <v/>
      </c>
      <c r="K201" s="222" t="str">
        <f>IFERROR(IF(DB_Customers!E195&lt;&gt;"",DB_Customers!E195,""),"")</f>
        <v/>
      </c>
      <c r="L201" s="222" t="str">
        <f>IFERROR(IF(DB_Customers!F195&lt;&gt;"",DB_Customers!F195,""),"")</f>
        <v/>
      </c>
      <c r="M201" s="222" t="str">
        <f>IFERROR(IF(DB_Customers!T195&lt;&gt;"",DB_Customers!T195,""),"")</f>
        <v/>
      </c>
      <c r="N201" s="221" t="str">
        <f>IFERROR(IF(DB_Customers!A195&lt;&gt;"",IF(DB_Customers!I195&gt;=10,"Active","Inactive"),""),"")</f>
        <v/>
      </c>
    </row>
    <row r="202" spans="1:14" ht="18" customHeight="1" x14ac:dyDescent="0.25">
      <c r="A202" s="216" t="str">
        <f>IF(DB_Customers!A196&lt;&gt;"",ROW()-9,"")</f>
        <v/>
      </c>
      <c r="B202" s="216" t="str">
        <f>IFERROR(IF(DB_Customers!A196&lt;&gt;"",DB_Customers!A196,""),"")</f>
        <v/>
      </c>
      <c r="C202" s="217" t="str">
        <f>IFERROR(IF(DB_Customers!D196&lt;&gt;"",DB_Customers!D196,""),"")</f>
        <v/>
      </c>
      <c r="D202" s="218" t="str">
        <f>IFERROR(IF(DB_Customers!Q196&lt;&gt;"",DB_Customers!Q196,""),"")</f>
        <v/>
      </c>
      <c r="E202" s="216" t="str">
        <f>IFERROR(IF(DB_Customers!R196&lt;&gt;"",DB_Customers!R196,""),"")</f>
        <v/>
      </c>
      <c r="F202" s="217" t="str">
        <f>IFERROR(IF(DB_Customers!S196&lt;&gt;"",DB_Customers!S196,""),"")</f>
        <v/>
      </c>
      <c r="G202" s="217" t="str">
        <f>IFERROR(IF(DB_Customers!G196&lt;&gt;"",DB_Customers!G196,""),"")</f>
        <v/>
      </c>
      <c r="H202" s="216" t="str">
        <f>IFERROR(IF(DB_Customers!H196&lt;&gt;"",DB_Customers!H196,""),"")</f>
        <v/>
      </c>
      <c r="I202" s="219" t="str">
        <f>IFERROR(IF(DB_Customers!I196&lt;&gt;"",DB_Customers!I196,""),"")</f>
        <v/>
      </c>
      <c r="J202" s="220" t="str">
        <f>IFERROR(IF(DB_Customers!J196&lt;&gt;"",DB_Customers!J196,""),"")</f>
        <v/>
      </c>
      <c r="K202" s="217" t="str">
        <f>IFERROR(IF(DB_Customers!E196&lt;&gt;"",DB_Customers!E196,""),"")</f>
        <v/>
      </c>
      <c r="L202" s="217" t="str">
        <f>IFERROR(IF(DB_Customers!F196&lt;&gt;"",DB_Customers!F196,""),"")</f>
        <v/>
      </c>
      <c r="M202" s="217" t="str">
        <f>IFERROR(IF(DB_Customers!T196&lt;&gt;"",DB_Customers!T196,""),"")</f>
        <v/>
      </c>
      <c r="N202" s="216" t="str">
        <f>IFERROR(IF(DB_Customers!A196&lt;&gt;"",IF(DB_Customers!I196&gt;=10,"Active","Inactive"),""),"")</f>
        <v/>
      </c>
    </row>
    <row r="203" spans="1:14" ht="18" customHeight="1" x14ac:dyDescent="0.25">
      <c r="A203" s="221" t="str">
        <f>IF(DB_Customers!A197&lt;&gt;"",ROW()-9,"")</f>
        <v/>
      </c>
      <c r="B203" s="221" t="str">
        <f>IFERROR(IF(DB_Customers!A197&lt;&gt;"",DB_Customers!A197,""),"")</f>
        <v/>
      </c>
      <c r="C203" s="222" t="str">
        <f>IFERROR(IF(DB_Customers!D197&lt;&gt;"",DB_Customers!D197,""),"")</f>
        <v/>
      </c>
      <c r="D203" s="223" t="str">
        <f>IFERROR(IF(DB_Customers!Q197&lt;&gt;"",DB_Customers!Q197,""),"")</f>
        <v/>
      </c>
      <c r="E203" s="221" t="str">
        <f>IFERROR(IF(DB_Customers!R197&lt;&gt;"",DB_Customers!R197,""),"")</f>
        <v/>
      </c>
      <c r="F203" s="222" t="str">
        <f>IFERROR(IF(DB_Customers!S197&lt;&gt;"",DB_Customers!S197,""),"")</f>
        <v/>
      </c>
      <c r="G203" s="222" t="str">
        <f>IFERROR(IF(DB_Customers!G197&lt;&gt;"",DB_Customers!G197,""),"")</f>
        <v/>
      </c>
      <c r="H203" s="221" t="str">
        <f>IFERROR(IF(DB_Customers!H197&lt;&gt;"",DB_Customers!H197,""),"")</f>
        <v/>
      </c>
      <c r="I203" s="224" t="str">
        <f>IFERROR(IF(DB_Customers!I197&lt;&gt;"",DB_Customers!I197,""),"")</f>
        <v/>
      </c>
      <c r="J203" s="225" t="str">
        <f>IFERROR(IF(DB_Customers!J197&lt;&gt;"",DB_Customers!J197,""),"")</f>
        <v/>
      </c>
      <c r="K203" s="222" t="str">
        <f>IFERROR(IF(DB_Customers!E197&lt;&gt;"",DB_Customers!E197,""),"")</f>
        <v/>
      </c>
      <c r="L203" s="222" t="str">
        <f>IFERROR(IF(DB_Customers!F197&lt;&gt;"",DB_Customers!F197,""),"")</f>
        <v/>
      </c>
      <c r="M203" s="222" t="str">
        <f>IFERROR(IF(DB_Customers!T197&lt;&gt;"",DB_Customers!T197,""),"")</f>
        <v/>
      </c>
      <c r="N203" s="221" t="str">
        <f>IFERROR(IF(DB_Customers!A197&lt;&gt;"",IF(DB_Customers!I197&gt;=10,"Active","Inactive"),""),"")</f>
        <v/>
      </c>
    </row>
    <row r="204" spans="1:14" ht="18" customHeight="1" x14ac:dyDescent="0.25">
      <c r="A204" s="216" t="str">
        <f>IF(DB_Customers!A198&lt;&gt;"",ROW()-9,"")</f>
        <v/>
      </c>
      <c r="B204" s="216" t="str">
        <f>IFERROR(IF(DB_Customers!A198&lt;&gt;"",DB_Customers!A198,""),"")</f>
        <v/>
      </c>
      <c r="C204" s="217" t="str">
        <f>IFERROR(IF(DB_Customers!D198&lt;&gt;"",DB_Customers!D198,""),"")</f>
        <v/>
      </c>
      <c r="D204" s="218" t="str">
        <f>IFERROR(IF(DB_Customers!Q198&lt;&gt;"",DB_Customers!Q198,""),"")</f>
        <v/>
      </c>
      <c r="E204" s="216" t="str">
        <f>IFERROR(IF(DB_Customers!R198&lt;&gt;"",DB_Customers!R198,""),"")</f>
        <v/>
      </c>
      <c r="F204" s="217" t="str">
        <f>IFERROR(IF(DB_Customers!S198&lt;&gt;"",DB_Customers!S198,""),"")</f>
        <v/>
      </c>
      <c r="G204" s="217" t="str">
        <f>IFERROR(IF(DB_Customers!G198&lt;&gt;"",DB_Customers!G198,""),"")</f>
        <v/>
      </c>
      <c r="H204" s="216" t="str">
        <f>IFERROR(IF(DB_Customers!H198&lt;&gt;"",DB_Customers!H198,""),"")</f>
        <v/>
      </c>
      <c r="I204" s="219" t="str">
        <f>IFERROR(IF(DB_Customers!I198&lt;&gt;"",DB_Customers!I198,""),"")</f>
        <v/>
      </c>
      <c r="J204" s="220" t="str">
        <f>IFERROR(IF(DB_Customers!J198&lt;&gt;"",DB_Customers!J198,""),"")</f>
        <v/>
      </c>
      <c r="K204" s="217" t="str">
        <f>IFERROR(IF(DB_Customers!E198&lt;&gt;"",DB_Customers!E198,""),"")</f>
        <v/>
      </c>
      <c r="L204" s="217" t="str">
        <f>IFERROR(IF(DB_Customers!F198&lt;&gt;"",DB_Customers!F198,""),"")</f>
        <v/>
      </c>
      <c r="M204" s="217" t="str">
        <f>IFERROR(IF(DB_Customers!T198&lt;&gt;"",DB_Customers!T198,""),"")</f>
        <v/>
      </c>
      <c r="N204" s="216" t="str">
        <f>IFERROR(IF(DB_Customers!A198&lt;&gt;"",IF(DB_Customers!I198&gt;=10,"Active","Inactive"),""),"")</f>
        <v/>
      </c>
    </row>
    <row r="205" spans="1:14" ht="18" customHeight="1" x14ac:dyDescent="0.25">
      <c r="A205" s="221" t="str">
        <f>IF(DB_Customers!A199&lt;&gt;"",ROW()-9,"")</f>
        <v/>
      </c>
      <c r="B205" s="221" t="str">
        <f>IFERROR(IF(DB_Customers!A199&lt;&gt;"",DB_Customers!A199,""),"")</f>
        <v/>
      </c>
      <c r="C205" s="222" t="str">
        <f>IFERROR(IF(DB_Customers!D199&lt;&gt;"",DB_Customers!D199,""),"")</f>
        <v/>
      </c>
      <c r="D205" s="223" t="str">
        <f>IFERROR(IF(DB_Customers!Q199&lt;&gt;"",DB_Customers!Q199,""),"")</f>
        <v/>
      </c>
      <c r="E205" s="221" t="str">
        <f>IFERROR(IF(DB_Customers!R199&lt;&gt;"",DB_Customers!R199,""),"")</f>
        <v/>
      </c>
      <c r="F205" s="222" t="str">
        <f>IFERROR(IF(DB_Customers!S199&lt;&gt;"",DB_Customers!S199,""),"")</f>
        <v/>
      </c>
      <c r="G205" s="222" t="str">
        <f>IFERROR(IF(DB_Customers!G199&lt;&gt;"",DB_Customers!G199,""),"")</f>
        <v/>
      </c>
      <c r="H205" s="221" t="str">
        <f>IFERROR(IF(DB_Customers!H199&lt;&gt;"",DB_Customers!H199,""),"")</f>
        <v/>
      </c>
      <c r="I205" s="224" t="str">
        <f>IFERROR(IF(DB_Customers!I199&lt;&gt;"",DB_Customers!I199,""),"")</f>
        <v/>
      </c>
      <c r="J205" s="225" t="str">
        <f>IFERROR(IF(DB_Customers!J199&lt;&gt;"",DB_Customers!J199,""),"")</f>
        <v/>
      </c>
      <c r="K205" s="222" t="str">
        <f>IFERROR(IF(DB_Customers!E199&lt;&gt;"",DB_Customers!E199,""),"")</f>
        <v/>
      </c>
      <c r="L205" s="222" t="str">
        <f>IFERROR(IF(DB_Customers!F199&lt;&gt;"",DB_Customers!F199,""),"")</f>
        <v/>
      </c>
      <c r="M205" s="222" t="str">
        <f>IFERROR(IF(DB_Customers!T199&lt;&gt;"",DB_Customers!T199,""),"")</f>
        <v/>
      </c>
      <c r="N205" s="221" t="str">
        <f>IFERROR(IF(DB_Customers!A199&lt;&gt;"",IF(DB_Customers!I199&gt;=10,"Active","Inactive"),""),"")</f>
        <v/>
      </c>
    </row>
    <row r="206" spans="1:14" ht="18" customHeight="1" x14ac:dyDescent="0.25">
      <c r="A206" s="216" t="str">
        <f>IF(DB_Customers!A200&lt;&gt;"",ROW()-9,"")</f>
        <v/>
      </c>
      <c r="B206" s="216" t="str">
        <f>IFERROR(IF(DB_Customers!A200&lt;&gt;"",DB_Customers!A200,""),"")</f>
        <v/>
      </c>
      <c r="C206" s="217" t="str">
        <f>IFERROR(IF(DB_Customers!D200&lt;&gt;"",DB_Customers!D200,""),"")</f>
        <v/>
      </c>
      <c r="D206" s="218" t="str">
        <f>IFERROR(IF(DB_Customers!Q200&lt;&gt;"",DB_Customers!Q200,""),"")</f>
        <v/>
      </c>
      <c r="E206" s="216" t="str">
        <f>IFERROR(IF(DB_Customers!R200&lt;&gt;"",DB_Customers!R200,""),"")</f>
        <v/>
      </c>
      <c r="F206" s="217" t="str">
        <f>IFERROR(IF(DB_Customers!S200&lt;&gt;"",DB_Customers!S200,""),"")</f>
        <v/>
      </c>
      <c r="G206" s="217" t="str">
        <f>IFERROR(IF(DB_Customers!G200&lt;&gt;"",DB_Customers!G200,""),"")</f>
        <v/>
      </c>
      <c r="H206" s="216" t="str">
        <f>IFERROR(IF(DB_Customers!H200&lt;&gt;"",DB_Customers!H200,""),"")</f>
        <v/>
      </c>
      <c r="I206" s="219" t="str">
        <f>IFERROR(IF(DB_Customers!I200&lt;&gt;"",DB_Customers!I200,""),"")</f>
        <v/>
      </c>
      <c r="J206" s="220" t="str">
        <f>IFERROR(IF(DB_Customers!J200&lt;&gt;"",DB_Customers!J200,""),"")</f>
        <v/>
      </c>
      <c r="K206" s="217" t="str">
        <f>IFERROR(IF(DB_Customers!E200&lt;&gt;"",DB_Customers!E200,""),"")</f>
        <v/>
      </c>
      <c r="L206" s="217" t="str">
        <f>IFERROR(IF(DB_Customers!F200&lt;&gt;"",DB_Customers!F200,""),"")</f>
        <v/>
      </c>
      <c r="M206" s="217" t="str">
        <f>IFERROR(IF(DB_Customers!T200&lt;&gt;"",DB_Customers!T200,""),"")</f>
        <v/>
      </c>
      <c r="N206" s="216" t="str">
        <f>IFERROR(IF(DB_Customers!A200&lt;&gt;"",IF(DB_Customers!I200&gt;=10,"Active","Inactive"),""),"")</f>
        <v/>
      </c>
    </row>
    <row r="207" spans="1:14" ht="18" customHeight="1" x14ac:dyDescent="0.25">
      <c r="A207" s="221" t="str">
        <f>IF(DB_Customers!A201&lt;&gt;"",ROW()-9,"")</f>
        <v/>
      </c>
      <c r="B207" s="221" t="str">
        <f>IFERROR(IF(DB_Customers!A201&lt;&gt;"",DB_Customers!A201,""),"")</f>
        <v/>
      </c>
      <c r="C207" s="222" t="str">
        <f>IFERROR(IF(DB_Customers!D201&lt;&gt;"",DB_Customers!D201,""),"")</f>
        <v/>
      </c>
      <c r="D207" s="223" t="str">
        <f>IFERROR(IF(DB_Customers!Q201&lt;&gt;"",DB_Customers!Q201,""),"")</f>
        <v/>
      </c>
      <c r="E207" s="221" t="str">
        <f>IFERROR(IF(DB_Customers!R201&lt;&gt;"",DB_Customers!R201,""),"")</f>
        <v/>
      </c>
      <c r="F207" s="222" t="str">
        <f>IFERROR(IF(DB_Customers!S201&lt;&gt;"",DB_Customers!S201,""),"")</f>
        <v/>
      </c>
      <c r="G207" s="222" t="str">
        <f>IFERROR(IF(DB_Customers!G201&lt;&gt;"",DB_Customers!G201,""),"")</f>
        <v/>
      </c>
      <c r="H207" s="221" t="str">
        <f>IFERROR(IF(DB_Customers!H201&lt;&gt;"",DB_Customers!H201,""),"")</f>
        <v/>
      </c>
      <c r="I207" s="224" t="str">
        <f>IFERROR(IF(DB_Customers!I201&lt;&gt;"",DB_Customers!I201,""),"")</f>
        <v/>
      </c>
      <c r="J207" s="225" t="str">
        <f>IFERROR(IF(DB_Customers!J201&lt;&gt;"",DB_Customers!J201,""),"")</f>
        <v/>
      </c>
      <c r="K207" s="222" t="str">
        <f>IFERROR(IF(DB_Customers!E201&lt;&gt;"",DB_Customers!E201,""),"")</f>
        <v/>
      </c>
      <c r="L207" s="222" t="str">
        <f>IFERROR(IF(DB_Customers!F201&lt;&gt;"",DB_Customers!F201,""),"")</f>
        <v/>
      </c>
      <c r="M207" s="222" t="str">
        <f>IFERROR(IF(DB_Customers!T201&lt;&gt;"",DB_Customers!T201,""),"")</f>
        <v/>
      </c>
      <c r="N207" s="221" t="str">
        <f>IFERROR(IF(DB_Customers!A201&lt;&gt;"",IF(DB_Customers!I201&gt;=10,"Active","Inactive"),""),"")</f>
        <v/>
      </c>
    </row>
    <row r="208" spans="1:14" ht="18" customHeight="1" x14ac:dyDescent="0.25">
      <c r="A208" s="216" t="str">
        <f>IF(DB_Customers!A202&lt;&gt;"",ROW()-9,"")</f>
        <v/>
      </c>
      <c r="B208" s="216" t="str">
        <f>IFERROR(IF(DB_Customers!A202&lt;&gt;"",DB_Customers!A202,""),"")</f>
        <v/>
      </c>
      <c r="C208" s="217" t="str">
        <f>IFERROR(IF(DB_Customers!D202&lt;&gt;"",DB_Customers!D202,""),"")</f>
        <v/>
      </c>
      <c r="D208" s="218" t="str">
        <f>IFERROR(IF(DB_Customers!Q202&lt;&gt;"",DB_Customers!Q202,""),"")</f>
        <v/>
      </c>
      <c r="E208" s="216" t="str">
        <f>IFERROR(IF(DB_Customers!R202&lt;&gt;"",DB_Customers!R202,""),"")</f>
        <v/>
      </c>
      <c r="F208" s="217" t="str">
        <f>IFERROR(IF(DB_Customers!S202&lt;&gt;"",DB_Customers!S202,""),"")</f>
        <v/>
      </c>
      <c r="G208" s="217" t="str">
        <f>IFERROR(IF(DB_Customers!G202&lt;&gt;"",DB_Customers!G202,""),"")</f>
        <v/>
      </c>
      <c r="H208" s="216" t="str">
        <f>IFERROR(IF(DB_Customers!H202&lt;&gt;"",DB_Customers!H202,""),"")</f>
        <v/>
      </c>
      <c r="I208" s="219" t="str">
        <f>IFERROR(IF(DB_Customers!I202&lt;&gt;"",DB_Customers!I202,""),"")</f>
        <v/>
      </c>
      <c r="J208" s="220" t="str">
        <f>IFERROR(IF(DB_Customers!J202&lt;&gt;"",DB_Customers!J202,""),"")</f>
        <v/>
      </c>
      <c r="K208" s="217" t="str">
        <f>IFERROR(IF(DB_Customers!E202&lt;&gt;"",DB_Customers!E202,""),"")</f>
        <v/>
      </c>
      <c r="L208" s="217" t="str">
        <f>IFERROR(IF(DB_Customers!F202&lt;&gt;"",DB_Customers!F202,""),"")</f>
        <v/>
      </c>
      <c r="M208" s="217" t="str">
        <f>IFERROR(IF(DB_Customers!T202&lt;&gt;"",DB_Customers!T202,""),"")</f>
        <v/>
      </c>
      <c r="N208" s="216" t="str">
        <f>IFERROR(IF(DB_Customers!A202&lt;&gt;"",IF(DB_Customers!I202&gt;=10,"Active","Inactive"),""),"")</f>
        <v/>
      </c>
    </row>
    <row r="209" spans="1:14" ht="18" customHeight="1" x14ac:dyDescent="0.25">
      <c r="A209" s="221" t="str">
        <f>IF(DB_Customers!A203&lt;&gt;"",ROW()-9,"")</f>
        <v/>
      </c>
      <c r="B209" s="221" t="str">
        <f>IFERROR(IF(DB_Customers!A203&lt;&gt;"",DB_Customers!A203,""),"")</f>
        <v/>
      </c>
      <c r="C209" s="222" t="str">
        <f>IFERROR(IF(DB_Customers!D203&lt;&gt;"",DB_Customers!D203,""),"")</f>
        <v/>
      </c>
      <c r="D209" s="223" t="str">
        <f>IFERROR(IF(DB_Customers!Q203&lt;&gt;"",DB_Customers!Q203,""),"")</f>
        <v/>
      </c>
      <c r="E209" s="221" t="str">
        <f>IFERROR(IF(DB_Customers!R203&lt;&gt;"",DB_Customers!R203,""),"")</f>
        <v/>
      </c>
      <c r="F209" s="222" t="str">
        <f>IFERROR(IF(DB_Customers!S203&lt;&gt;"",DB_Customers!S203,""),"")</f>
        <v/>
      </c>
      <c r="G209" s="222" t="str">
        <f>IFERROR(IF(DB_Customers!G203&lt;&gt;"",DB_Customers!G203,""),"")</f>
        <v/>
      </c>
      <c r="H209" s="221" t="str">
        <f>IFERROR(IF(DB_Customers!H203&lt;&gt;"",DB_Customers!H203,""),"")</f>
        <v/>
      </c>
      <c r="I209" s="224" t="str">
        <f>IFERROR(IF(DB_Customers!I203&lt;&gt;"",DB_Customers!I203,""),"")</f>
        <v/>
      </c>
      <c r="J209" s="225" t="str">
        <f>IFERROR(IF(DB_Customers!J203&lt;&gt;"",DB_Customers!J203,""),"")</f>
        <v/>
      </c>
      <c r="K209" s="222" t="str">
        <f>IFERROR(IF(DB_Customers!E203&lt;&gt;"",DB_Customers!E203,""),"")</f>
        <v/>
      </c>
      <c r="L209" s="222" t="str">
        <f>IFERROR(IF(DB_Customers!F203&lt;&gt;"",DB_Customers!F203,""),"")</f>
        <v/>
      </c>
      <c r="M209" s="222" t="str">
        <f>IFERROR(IF(DB_Customers!T203&lt;&gt;"",DB_Customers!T203,""),"")</f>
        <v/>
      </c>
      <c r="N209" s="221" t="str">
        <f>IFERROR(IF(DB_Customers!A203&lt;&gt;"",IF(DB_Customers!I203&gt;=10,"Active","Inactive"),""),"")</f>
        <v/>
      </c>
    </row>
    <row r="210" spans="1:14" ht="18" customHeight="1" x14ac:dyDescent="0.25">
      <c r="A210" s="216" t="str">
        <f>IF(DB_Customers!A204&lt;&gt;"",ROW()-9,"")</f>
        <v/>
      </c>
      <c r="B210" s="216" t="str">
        <f>IFERROR(IF(DB_Customers!A204&lt;&gt;"",DB_Customers!A204,""),"")</f>
        <v/>
      </c>
      <c r="C210" s="217" t="str">
        <f>IFERROR(IF(DB_Customers!D204&lt;&gt;"",DB_Customers!D204,""),"")</f>
        <v/>
      </c>
      <c r="D210" s="218" t="str">
        <f>IFERROR(IF(DB_Customers!Q204&lt;&gt;"",DB_Customers!Q204,""),"")</f>
        <v/>
      </c>
      <c r="E210" s="216" t="str">
        <f>IFERROR(IF(DB_Customers!R204&lt;&gt;"",DB_Customers!R204,""),"")</f>
        <v/>
      </c>
      <c r="F210" s="217" t="str">
        <f>IFERROR(IF(DB_Customers!S204&lt;&gt;"",DB_Customers!S204,""),"")</f>
        <v/>
      </c>
      <c r="G210" s="217" t="str">
        <f>IFERROR(IF(DB_Customers!G204&lt;&gt;"",DB_Customers!G204,""),"")</f>
        <v/>
      </c>
      <c r="H210" s="216" t="str">
        <f>IFERROR(IF(DB_Customers!H204&lt;&gt;"",DB_Customers!H204,""),"")</f>
        <v/>
      </c>
      <c r="I210" s="219" t="str">
        <f>IFERROR(IF(DB_Customers!I204&lt;&gt;"",DB_Customers!I204,""),"")</f>
        <v/>
      </c>
      <c r="J210" s="220" t="str">
        <f>IFERROR(IF(DB_Customers!J204&lt;&gt;"",DB_Customers!J204,""),"")</f>
        <v/>
      </c>
      <c r="K210" s="217" t="str">
        <f>IFERROR(IF(DB_Customers!E204&lt;&gt;"",DB_Customers!E204,""),"")</f>
        <v/>
      </c>
      <c r="L210" s="217" t="str">
        <f>IFERROR(IF(DB_Customers!F204&lt;&gt;"",DB_Customers!F204,""),"")</f>
        <v/>
      </c>
      <c r="M210" s="217" t="str">
        <f>IFERROR(IF(DB_Customers!T204&lt;&gt;"",DB_Customers!T204,""),"")</f>
        <v/>
      </c>
      <c r="N210" s="216" t="str">
        <f>IFERROR(IF(DB_Customers!A204&lt;&gt;"",IF(DB_Customers!I204&gt;=10,"Active","Inactive"),""),"")</f>
        <v/>
      </c>
    </row>
    <row r="211" spans="1:14" ht="18" customHeight="1" x14ac:dyDescent="0.25">
      <c r="A211" s="221" t="str">
        <f>IF(DB_Customers!A205&lt;&gt;"",ROW()-9,"")</f>
        <v/>
      </c>
      <c r="B211" s="221" t="str">
        <f>IFERROR(IF(DB_Customers!A205&lt;&gt;"",DB_Customers!A205,""),"")</f>
        <v/>
      </c>
      <c r="C211" s="222" t="str">
        <f>IFERROR(IF(DB_Customers!D205&lt;&gt;"",DB_Customers!D205,""),"")</f>
        <v/>
      </c>
      <c r="D211" s="223" t="str">
        <f>IFERROR(IF(DB_Customers!Q205&lt;&gt;"",DB_Customers!Q205,""),"")</f>
        <v/>
      </c>
      <c r="E211" s="221" t="str">
        <f>IFERROR(IF(DB_Customers!R205&lt;&gt;"",DB_Customers!R205,""),"")</f>
        <v/>
      </c>
      <c r="F211" s="222" t="str">
        <f>IFERROR(IF(DB_Customers!S205&lt;&gt;"",DB_Customers!S205,""),"")</f>
        <v/>
      </c>
      <c r="G211" s="222" t="str">
        <f>IFERROR(IF(DB_Customers!G205&lt;&gt;"",DB_Customers!G205,""),"")</f>
        <v/>
      </c>
      <c r="H211" s="221" t="str">
        <f>IFERROR(IF(DB_Customers!H205&lt;&gt;"",DB_Customers!H205,""),"")</f>
        <v/>
      </c>
      <c r="I211" s="224" t="str">
        <f>IFERROR(IF(DB_Customers!I205&lt;&gt;"",DB_Customers!I205,""),"")</f>
        <v/>
      </c>
      <c r="J211" s="225" t="str">
        <f>IFERROR(IF(DB_Customers!J205&lt;&gt;"",DB_Customers!J205,""),"")</f>
        <v/>
      </c>
      <c r="K211" s="222" t="str">
        <f>IFERROR(IF(DB_Customers!E205&lt;&gt;"",DB_Customers!E205,""),"")</f>
        <v/>
      </c>
      <c r="L211" s="222" t="str">
        <f>IFERROR(IF(DB_Customers!F205&lt;&gt;"",DB_Customers!F205,""),"")</f>
        <v/>
      </c>
      <c r="M211" s="222" t="str">
        <f>IFERROR(IF(DB_Customers!T205&lt;&gt;"",DB_Customers!T205,""),"")</f>
        <v/>
      </c>
      <c r="N211" s="221" t="str">
        <f>IFERROR(IF(DB_Customers!A205&lt;&gt;"",IF(DB_Customers!I205&gt;=10,"Active","Inactive"),""),"")</f>
        <v/>
      </c>
    </row>
    <row r="212" spans="1:14" ht="18" customHeight="1" x14ac:dyDescent="0.25">
      <c r="A212" s="216" t="str">
        <f>IF(DB_Customers!A206&lt;&gt;"",ROW()-9,"")</f>
        <v/>
      </c>
      <c r="B212" s="216" t="str">
        <f>IFERROR(IF(DB_Customers!A206&lt;&gt;"",DB_Customers!A206,""),"")</f>
        <v/>
      </c>
      <c r="C212" s="217" t="str">
        <f>IFERROR(IF(DB_Customers!D206&lt;&gt;"",DB_Customers!D206,""),"")</f>
        <v/>
      </c>
      <c r="D212" s="218" t="str">
        <f>IFERROR(IF(DB_Customers!Q206&lt;&gt;"",DB_Customers!Q206,""),"")</f>
        <v/>
      </c>
      <c r="E212" s="216" t="str">
        <f>IFERROR(IF(DB_Customers!R206&lt;&gt;"",DB_Customers!R206,""),"")</f>
        <v/>
      </c>
      <c r="F212" s="217" t="str">
        <f>IFERROR(IF(DB_Customers!S206&lt;&gt;"",DB_Customers!S206,""),"")</f>
        <v/>
      </c>
      <c r="G212" s="217" t="str">
        <f>IFERROR(IF(DB_Customers!G206&lt;&gt;"",DB_Customers!G206,""),"")</f>
        <v/>
      </c>
      <c r="H212" s="216" t="str">
        <f>IFERROR(IF(DB_Customers!H206&lt;&gt;"",DB_Customers!H206,""),"")</f>
        <v/>
      </c>
      <c r="I212" s="219" t="str">
        <f>IFERROR(IF(DB_Customers!I206&lt;&gt;"",DB_Customers!I206,""),"")</f>
        <v/>
      </c>
      <c r="J212" s="220" t="str">
        <f>IFERROR(IF(DB_Customers!J206&lt;&gt;"",DB_Customers!J206,""),"")</f>
        <v/>
      </c>
      <c r="K212" s="217" t="str">
        <f>IFERROR(IF(DB_Customers!E206&lt;&gt;"",DB_Customers!E206,""),"")</f>
        <v/>
      </c>
      <c r="L212" s="217" t="str">
        <f>IFERROR(IF(DB_Customers!F206&lt;&gt;"",DB_Customers!F206,""),"")</f>
        <v/>
      </c>
      <c r="M212" s="217" t="str">
        <f>IFERROR(IF(DB_Customers!T206&lt;&gt;"",DB_Customers!T206,""),"")</f>
        <v/>
      </c>
      <c r="N212" s="216" t="str">
        <f>IFERROR(IF(DB_Customers!A206&lt;&gt;"",IF(DB_Customers!I206&gt;=10,"Active","Inactive"),""),"")</f>
        <v/>
      </c>
    </row>
    <row r="213" spans="1:14" ht="18" customHeight="1" x14ac:dyDescent="0.25">
      <c r="A213" s="221" t="str">
        <f>IF(DB_Customers!A207&lt;&gt;"",ROW()-9,"")</f>
        <v/>
      </c>
      <c r="B213" s="221" t="str">
        <f>IFERROR(IF(DB_Customers!A207&lt;&gt;"",DB_Customers!A207,""),"")</f>
        <v/>
      </c>
      <c r="C213" s="222" t="str">
        <f>IFERROR(IF(DB_Customers!D207&lt;&gt;"",DB_Customers!D207,""),"")</f>
        <v/>
      </c>
      <c r="D213" s="223" t="str">
        <f>IFERROR(IF(DB_Customers!Q207&lt;&gt;"",DB_Customers!Q207,""),"")</f>
        <v/>
      </c>
      <c r="E213" s="221" t="str">
        <f>IFERROR(IF(DB_Customers!R207&lt;&gt;"",DB_Customers!R207,""),"")</f>
        <v/>
      </c>
      <c r="F213" s="222" t="str">
        <f>IFERROR(IF(DB_Customers!S207&lt;&gt;"",DB_Customers!S207,""),"")</f>
        <v/>
      </c>
      <c r="G213" s="222" t="str">
        <f>IFERROR(IF(DB_Customers!G207&lt;&gt;"",DB_Customers!G207,""),"")</f>
        <v/>
      </c>
      <c r="H213" s="221" t="str">
        <f>IFERROR(IF(DB_Customers!H207&lt;&gt;"",DB_Customers!H207,""),"")</f>
        <v/>
      </c>
      <c r="I213" s="224" t="str">
        <f>IFERROR(IF(DB_Customers!I207&lt;&gt;"",DB_Customers!I207,""),"")</f>
        <v/>
      </c>
      <c r="J213" s="225" t="str">
        <f>IFERROR(IF(DB_Customers!J207&lt;&gt;"",DB_Customers!J207,""),"")</f>
        <v/>
      </c>
      <c r="K213" s="222" t="str">
        <f>IFERROR(IF(DB_Customers!E207&lt;&gt;"",DB_Customers!E207,""),"")</f>
        <v/>
      </c>
      <c r="L213" s="222" t="str">
        <f>IFERROR(IF(DB_Customers!F207&lt;&gt;"",DB_Customers!F207,""),"")</f>
        <v/>
      </c>
      <c r="M213" s="222" t="str">
        <f>IFERROR(IF(DB_Customers!T207&lt;&gt;"",DB_Customers!T207,""),"")</f>
        <v/>
      </c>
      <c r="N213" s="221" t="str">
        <f>IFERROR(IF(DB_Customers!A207&lt;&gt;"",IF(DB_Customers!I207&gt;=10,"Active","Inactive"),""),"")</f>
        <v/>
      </c>
    </row>
    <row r="214" spans="1:14" ht="18" customHeight="1" x14ac:dyDescent="0.25">
      <c r="A214" s="216" t="str">
        <f>IF(DB_Customers!A208&lt;&gt;"",ROW()-9,"")</f>
        <v/>
      </c>
      <c r="B214" s="216" t="str">
        <f>IFERROR(IF(DB_Customers!A208&lt;&gt;"",DB_Customers!A208,""),"")</f>
        <v/>
      </c>
      <c r="C214" s="217" t="str">
        <f>IFERROR(IF(DB_Customers!D208&lt;&gt;"",DB_Customers!D208,""),"")</f>
        <v/>
      </c>
      <c r="D214" s="218" t="str">
        <f>IFERROR(IF(DB_Customers!Q208&lt;&gt;"",DB_Customers!Q208,""),"")</f>
        <v/>
      </c>
      <c r="E214" s="216" t="str">
        <f>IFERROR(IF(DB_Customers!R208&lt;&gt;"",DB_Customers!R208,""),"")</f>
        <v/>
      </c>
      <c r="F214" s="217" t="str">
        <f>IFERROR(IF(DB_Customers!S208&lt;&gt;"",DB_Customers!S208,""),"")</f>
        <v/>
      </c>
      <c r="G214" s="217" t="str">
        <f>IFERROR(IF(DB_Customers!G208&lt;&gt;"",DB_Customers!G208,""),"")</f>
        <v/>
      </c>
      <c r="H214" s="216" t="str">
        <f>IFERROR(IF(DB_Customers!H208&lt;&gt;"",DB_Customers!H208,""),"")</f>
        <v/>
      </c>
      <c r="I214" s="219" t="str">
        <f>IFERROR(IF(DB_Customers!I208&lt;&gt;"",DB_Customers!I208,""),"")</f>
        <v/>
      </c>
      <c r="J214" s="220" t="str">
        <f>IFERROR(IF(DB_Customers!J208&lt;&gt;"",DB_Customers!J208,""),"")</f>
        <v/>
      </c>
      <c r="K214" s="217" t="str">
        <f>IFERROR(IF(DB_Customers!E208&lt;&gt;"",DB_Customers!E208,""),"")</f>
        <v/>
      </c>
      <c r="L214" s="217" t="str">
        <f>IFERROR(IF(DB_Customers!F208&lt;&gt;"",DB_Customers!F208,""),"")</f>
        <v/>
      </c>
      <c r="M214" s="217" t="str">
        <f>IFERROR(IF(DB_Customers!T208&lt;&gt;"",DB_Customers!T208,""),"")</f>
        <v/>
      </c>
      <c r="N214" s="216" t="str">
        <f>IFERROR(IF(DB_Customers!A208&lt;&gt;"",IF(DB_Customers!I208&gt;=10,"Active","Inactive"),""),"")</f>
        <v/>
      </c>
    </row>
    <row r="215" spans="1:14" ht="18" customHeight="1" x14ac:dyDescent="0.25">
      <c r="A215" s="221" t="str">
        <f>IF(DB_Customers!A209&lt;&gt;"",ROW()-9,"")</f>
        <v/>
      </c>
      <c r="B215" s="221" t="str">
        <f>IFERROR(IF(DB_Customers!A209&lt;&gt;"",DB_Customers!A209,""),"")</f>
        <v/>
      </c>
      <c r="C215" s="222" t="str">
        <f>IFERROR(IF(DB_Customers!D209&lt;&gt;"",DB_Customers!D209,""),"")</f>
        <v/>
      </c>
      <c r="D215" s="223" t="str">
        <f>IFERROR(IF(DB_Customers!Q209&lt;&gt;"",DB_Customers!Q209,""),"")</f>
        <v/>
      </c>
      <c r="E215" s="221" t="str">
        <f>IFERROR(IF(DB_Customers!R209&lt;&gt;"",DB_Customers!R209,""),"")</f>
        <v/>
      </c>
      <c r="F215" s="222" t="str">
        <f>IFERROR(IF(DB_Customers!S209&lt;&gt;"",DB_Customers!S209,""),"")</f>
        <v/>
      </c>
      <c r="G215" s="222" t="str">
        <f>IFERROR(IF(DB_Customers!G209&lt;&gt;"",DB_Customers!G209,""),"")</f>
        <v/>
      </c>
      <c r="H215" s="221" t="str">
        <f>IFERROR(IF(DB_Customers!H209&lt;&gt;"",DB_Customers!H209,""),"")</f>
        <v/>
      </c>
      <c r="I215" s="224" t="str">
        <f>IFERROR(IF(DB_Customers!I209&lt;&gt;"",DB_Customers!I209,""),"")</f>
        <v/>
      </c>
      <c r="J215" s="225" t="str">
        <f>IFERROR(IF(DB_Customers!J209&lt;&gt;"",DB_Customers!J209,""),"")</f>
        <v/>
      </c>
      <c r="K215" s="222" t="str">
        <f>IFERROR(IF(DB_Customers!E209&lt;&gt;"",DB_Customers!E209,""),"")</f>
        <v/>
      </c>
      <c r="L215" s="222" t="str">
        <f>IFERROR(IF(DB_Customers!F209&lt;&gt;"",DB_Customers!F209,""),"")</f>
        <v/>
      </c>
      <c r="M215" s="222" t="str">
        <f>IFERROR(IF(DB_Customers!T209&lt;&gt;"",DB_Customers!T209,""),"")</f>
        <v/>
      </c>
      <c r="N215" s="221" t="str">
        <f>IFERROR(IF(DB_Customers!A209&lt;&gt;"",IF(DB_Customers!I209&gt;=10,"Active","Inactive"),""),"")</f>
        <v/>
      </c>
    </row>
    <row r="216" spans="1:14" ht="18" customHeight="1" x14ac:dyDescent="0.25">
      <c r="A216" s="216" t="str">
        <f>IF(DB_Customers!A210&lt;&gt;"",ROW()-9,"")</f>
        <v/>
      </c>
      <c r="B216" s="216" t="str">
        <f>IFERROR(IF(DB_Customers!A210&lt;&gt;"",DB_Customers!A210,""),"")</f>
        <v/>
      </c>
      <c r="C216" s="217" t="str">
        <f>IFERROR(IF(DB_Customers!D210&lt;&gt;"",DB_Customers!D210,""),"")</f>
        <v/>
      </c>
      <c r="D216" s="218" t="str">
        <f>IFERROR(IF(DB_Customers!Q210&lt;&gt;"",DB_Customers!Q210,""),"")</f>
        <v/>
      </c>
      <c r="E216" s="216" t="str">
        <f>IFERROR(IF(DB_Customers!R210&lt;&gt;"",DB_Customers!R210,""),"")</f>
        <v/>
      </c>
      <c r="F216" s="217" t="str">
        <f>IFERROR(IF(DB_Customers!S210&lt;&gt;"",DB_Customers!S210,""),"")</f>
        <v/>
      </c>
      <c r="G216" s="217" t="str">
        <f>IFERROR(IF(DB_Customers!G210&lt;&gt;"",DB_Customers!G210,""),"")</f>
        <v/>
      </c>
      <c r="H216" s="216" t="str">
        <f>IFERROR(IF(DB_Customers!H210&lt;&gt;"",DB_Customers!H210,""),"")</f>
        <v/>
      </c>
      <c r="I216" s="219" t="str">
        <f>IFERROR(IF(DB_Customers!I210&lt;&gt;"",DB_Customers!I210,""),"")</f>
        <v/>
      </c>
      <c r="J216" s="220" t="str">
        <f>IFERROR(IF(DB_Customers!J210&lt;&gt;"",DB_Customers!J210,""),"")</f>
        <v/>
      </c>
      <c r="K216" s="217" t="str">
        <f>IFERROR(IF(DB_Customers!E210&lt;&gt;"",DB_Customers!E210,""),"")</f>
        <v/>
      </c>
      <c r="L216" s="217" t="str">
        <f>IFERROR(IF(DB_Customers!F210&lt;&gt;"",DB_Customers!F210,""),"")</f>
        <v/>
      </c>
      <c r="M216" s="217" t="str">
        <f>IFERROR(IF(DB_Customers!T210&lt;&gt;"",DB_Customers!T210,""),"")</f>
        <v/>
      </c>
      <c r="N216" s="216" t="str">
        <f>IFERROR(IF(DB_Customers!A210&lt;&gt;"",IF(DB_Customers!I210&gt;=10,"Active","Inactive"),""),"")</f>
        <v/>
      </c>
    </row>
    <row r="217" spans="1:14" ht="18" customHeight="1" x14ac:dyDescent="0.25">
      <c r="A217" s="221" t="str">
        <f>IF(DB_Customers!A211&lt;&gt;"",ROW()-9,"")</f>
        <v/>
      </c>
      <c r="B217" s="221" t="str">
        <f>IFERROR(IF(DB_Customers!A211&lt;&gt;"",DB_Customers!A211,""),"")</f>
        <v/>
      </c>
      <c r="C217" s="222" t="str">
        <f>IFERROR(IF(DB_Customers!D211&lt;&gt;"",DB_Customers!D211,""),"")</f>
        <v/>
      </c>
      <c r="D217" s="223" t="str">
        <f>IFERROR(IF(DB_Customers!Q211&lt;&gt;"",DB_Customers!Q211,""),"")</f>
        <v/>
      </c>
      <c r="E217" s="221" t="str">
        <f>IFERROR(IF(DB_Customers!R211&lt;&gt;"",DB_Customers!R211,""),"")</f>
        <v/>
      </c>
      <c r="F217" s="222" t="str">
        <f>IFERROR(IF(DB_Customers!S211&lt;&gt;"",DB_Customers!S211,""),"")</f>
        <v/>
      </c>
      <c r="G217" s="222" t="str">
        <f>IFERROR(IF(DB_Customers!G211&lt;&gt;"",DB_Customers!G211,""),"")</f>
        <v/>
      </c>
      <c r="H217" s="221" t="str">
        <f>IFERROR(IF(DB_Customers!H211&lt;&gt;"",DB_Customers!H211,""),"")</f>
        <v/>
      </c>
      <c r="I217" s="224" t="str">
        <f>IFERROR(IF(DB_Customers!I211&lt;&gt;"",DB_Customers!I211,""),"")</f>
        <v/>
      </c>
      <c r="J217" s="225" t="str">
        <f>IFERROR(IF(DB_Customers!J211&lt;&gt;"",DB_Customers!J211,""),"")</f>
        <v/>
      </c>
      <c r="K217" s="222" t="str">
        <f>IFERROR(IF(DB_Customers!E211&lt;&gt;"",DB_Customers!E211,""),"")</f>
        <v/>
      </c>
      <c r="L217" s="222" t="str">
        <f>IFERROR(IF(DB_Customers!F211&lt;&gt;"",DB_Customers!F211,""),"")</f>
        <v/>
      </c>
      <c r="M217" s="222" t="str">
        <f>IFERROR(IF(DB_Customers!T211&lt;&gt;"",DB_Customers!T211,""),"")</f>
        <v/>
      </c>
      <c r="N217" s="221" t="str">
        <f>IFERROR(IF(DB_Customers!A211&lt;&gt;"",IF(DB_Customers!I211&gt;=10,"Active","Inactive"),""),"")</f>
        <v/>
      </c>
    </row>
    <row r="218" spans="1:14" ht="18" customHeight="1" x14ac:dyDescent="0.25">
      <c r="A218" s="216" t="str">
        <f>IF(DB_Customers!A212&lt;&gt;"",ROW()-9,"")</f>
        <v/>
      </c>
      <c r="B218" s="216" t="str">
        <f>IFERROR(IF(DB_Customers!A212&lt;&gt;"",DB_Customers!A212,""),"")</f>
        <v/>
      </c>
      <c r="C218" s="217" t="str">
        <f>IFERROR(IF(DB_Customers!D212&lt;&gt;"",DB_Customers!D212,""),"")</f>
        <v/>
      </c>
      <c r="D218" s="218" t="str">
        <f>IFERROR(IF(DB_Customers!Q212&lt;&gt;"",DB_Customers!Q212,""),"")</f>
        <v/>
      </c>
      <c r="E218" s="216" t="str">
        <f>IFERROR(IF(DB_Customers!R212&lt;&gt;"",DB_Customers!R212,""),"")</f>
        <v/>
      </c>
      <c r="F218" s="217" t="str">
        <f>IFERROR(IF(DB_Customers!S212&lt;&gt;"",DB_Customers!S212,""),"")</f>
        <v/>
      </c>
      <c r="G218" s="217" t="str">
        <f>IFERROR(IF(DB_Customers!G212&lt;&gt;"",DB_Customers!G212,""),"")</f>
        <v/>
      </c>
      <c r="H218" s="216" t="str">
        <f>IFERROR(IF(DB_Customers!H212&lt;&gt;"",DB_Customers!H212,""),"")</f>
        <v/>
      </c>
      <c r="I218" s="219" t="str">
        <f>IFERROR(IF(DB_Customers!I212&lt;&gt;"",DB_Customers!I212,""),"")</f>
        <v/>
      </c>
      <c r="J218" s="220" t="str">
        <f>IFERROR(IF(DB_Customers!J212&lt;&gt;"",DB_Customers!J212,""),"")</f>
        <v/>
      </c>
      <c r="K218" s="217" t="str">
        <f>IFERROR(IF(DB_Customers!E212&lt;&gt;"",DB_Customers!E212,""),"")</f>
        <v/>
      </c>
      <c r="L218" s="217" t="str">
        <f>IFERROR(IF(DB_Customers!F212&lt;&gt;"",DB_Customers!F212,""),"")</f>
        <v/>
      </c>
      <c r="M218" s="217" t="str">
        <f>IFERROR(IF(DB_Customers!T212&lt;&gt;"",DB_Customers!T212,""),"")</f>
        <v/>
      </c>
      <c r="N218" s="216" t="str">
        <f>IFERROR(IF(DB_Customers!A212&lt;&gt;"",IF(DB_Customers!I212&gt;=10,"Active","Inactive"),""),"")</f>
        <v/>
      </c>
    </row>
    <row r="219" spans="1:14" ht="18" customHeight="1" x14ac:dyDescent="0.25">
      <c r="A219" s="221" t="str">
        <f>IF(DB_Customers!A213&lt;&gt;"",ROW()-9,"")</f>
        <v/>
      </c>
      <c r="B219" s="221" t="str">
        <f>IFERROR(IF(DB_Customers!A213&lt;&gt;"",DB_Customers!A213,""),"")</f>
        <v/>
      </c>
      <c r="C219" s="222" t="str">
        <f>IFERROR(IF(DB_Customers!D213&lt;&gt;"",DB_Customers!D213,""),"")</f>
        <v/>
      </c>
      <c r="D219" s="223" t="str">
        <f>IFERROR(IF(DB_Customers!Q213&lt;&gt;"",DB_Customers!Q213,""),"")</f>
        <v/>
      </c>
      <c r="E219" s="221" t="str">
        <f>IFERROR(IF(DB_Customers!R213&lt;&gt;"",DB_Customers!R213,""),"")</f>
        <v/>
      </c>
      <c r="F219" s="222" t="str">
        <f>IFERROR(IF(DB_Customers!S213&lt;&gt;"",DB_Customers!S213,""),"")</f>
        <v/>
      </c>
      <c r="G219" s="222" t="str">
        <f>IFERROR(IF(DB_Customers!G213&lt;&gt;"",DB_Customers!G213,""),"")</f>
        <v/>
      </c>
      <c r="H219" s="221" t="str">
        <f>IFERROR(IF(DB_Customers!H213&lt;&gt;"",DB_Customers!H213,""),"")</f>
        <v/>
      </c>
      <c r="I219" s="224" t="str">
        <f>IFERROR(IF(DB_Customers!I213&lt;&gt;"",DB_Customers!I213,""),"")</f>
        <v/>
      </c>
      <c r="J219" s="225" t="str">
        <f>IFERROR(IF(DB_Customers!J213&lt;&gt;"",DB_Customers!J213,""),"")</f>
        <v/>
      </c>
      <c r="K219" s="222" t="str">
        <f>IFERROR(IF(DB_Customers!E213&lt;&gt;"",DB_Customers!E213,""),"")</f>
        <v/>
      </c>
      <c r="L219" s="222" t="str">
        <f>IFERROR(IF(DB_Customers!F213&lt;&gt;"",DB_Customers!F213,""),"")</f>
        <v/>
      </c>
      <c r="M219" s="222" t="str">
        <f>IFERROR(IF(DB_Customers!T213&lt;&gt;"",DB_Customers!T213,""),"")</f>
        <v/>
      </c>
      <c r="N219" s="221" t="str">
        <f>IFERROR(IF(DB_Customers!A213&lt;&gt;"",IF(DB_Customers!I213&gt;=10,"Active","Inactive"),""),"")</f>
        <v/>
      </c>
    </row>
    <row r="220" spans="1:14" ht="18" customHeight="1" x14ac:dyDescent="0.25">
      <c r="A220" s="216" t="str">
        <f>IF(DB_Customers!A214&lt;&gt;"",ROW()-9,"")</f>
        <v/>
      </c>
      <c r="B220" s="216" t="str">
        <f>IFERROR(IF(DB_Customers!A214&lt;&gt;"",DB_Customers!A214,""),"")</f>
        <v/>
      </c>
      <c r="C220" s="217" t="str">
        <f>IFERROR(IF(DB_Customers!D214&lt;&gt;"",DB_Customers!D214,""),"")</f>
        <v/>
      </c>
      <c r="D220" s="218" t="str">
        <f>IFERROR(IF(DB_Customers!Q214&lt;&gt;"",DB_Customers!Q214,""),"")</f>
        <v/>
      </c>
      <c r="E220" s="216" t="str">
        <f>IFERROR(IF(DB_Customers!R214&lt;&gt;"",DB_Customers!R214,""),"")</f>
        <v/>
      </c>
      <c r="F220" s="217" t="str">
        <f>IFERROR(IF(DB_Customers!S214&lt;&gt;"",DB_Customers!S214,""),"")</f>
        <v/>
      </c>
      <c r="G220" s="217" t="str">
        <f>IFERROR(IF(DB_Customers!G214&lt;&gt;"",DB_Customers!G214,""),"")</f>
        <v/>
      </c>
      <c r="H220" s="216" t="str">
        <f>IFERROR(IF(DB_Customers!H214&lt;&gt;"",DB_Customers!H214,""),"")</f>
        <v/>
      </c>
      <c r="I220" s="219" t="str">
        <f>IFERROR(IF(DB_Customers!I214&lt;&gt;"",DB_Customers!I214,""),"")</f>
        <v/>
      </c>
      <c r="J220" s="220" t="str">
        <f>IFERROR(IF(DB_Customers!J214&lt;&gt;"",DB_Customers!J214,""),"")</f>
        <v/>
      </c>
      <c r="K220" s="217" t="str">
        <f>IFERROR(IF(DB_Customers!E214&lt;&gt;"",DB_Customers!E214,""),"")</f>
        <v/>
      </c>
      <c r="L220" s="217" t="str">
        <f>IFERROR(IF(DB_Customers!F214&lt;&gt;"",DB_Customers!F214,""),"")</f>
        <v/>
      </c>
      <c r="M220" s="217" t="str">
        <f>IFERROR(IF(DB_Customers!T214&lt;&gt;"",DB_Customers!T214,""),"")</f>
        <v/>
      </c>
      <c r="N220" s="216" t="str">
        <f>IFERROR(IF(DB_Customers!A214&lt;&gt;"",IF(DB_Customers!I214&gt;=10,"Active","Inactive"),""),"")</f>
        <v/>
      </c>
    </row>
    <row r="221" spans="1:14" ht="18" customHeight="1" x14ac:dyDescent="0.25">
      <c r="A221" s="221" t="str">
        <f>IF(DB_Customers!A215&lt;&gt;"",ROW()-9,"")</f>
        <v/>
      </c>
      <c r="B221" s="221" t="str">
        <f>IFERROR(IF(DB_Customers!A215&lt;&gt;"",DB_Customers!A215,""),"")</f>
        <v/>
      </c>
      <c r="C221" s="222" t="str">
        <f>IFERROR(IF(DB_Customers!D215&lt;&gt;"",DB_Customers!D215,""),"")</f>
        <v/>
      </c>
      <c r="D221" s="223" t="str">
        <f>IFERROR(IF(DB_Customers!Q215&lt;&gt;"",DB_Customers!Q215,""),"")</f>
        <v/>
      </c>
      <c r="E221" s="221" t="str">
        <f>IFERROR(IF(DB_Customers!R215&lt;&gt;"",DB_Customers!R215,""),"")</f>
        <v/>
      </c>
      <c r="F221" s="222" t="str">
        <f>IFERROR(IF(DB_Customers!S215&lt;&gt;"",DB_Customers!S215,""),"")</f>
        <v/>
      </c>
      <c r="G221" s="222" t="str">
        <f>IFERROR(IF(DB_Customers!G215&lt;&gt;"",DB_Customers!G215,""),"")</f>
        <v/>
      </c>
      <c r="H221" s="221" t="str">
        <f>IFERROR(IF(DB_Customers!H215&lt;&gt;"",DB_Customers!H215,""),"")</f>
        <v/>
      </c>
      <c r="I221" s="224" t="str">
        <f>IFERROR(IF(DB_Customers!I215&lt;&gt;"",DB_Customers!I215,""),"")</f>
        <v/>
      </c>
      <c r="J221" s="225" t="str">
        <f>IFERROR(IF(DB_Customers!J215&lt;&gt;"",DB_Customers!J215,""),"")</f>
        <v/>
      </c>
      <c r="K221" s="222" t="str">
        <f>IFERROR(IF(DB_Customers!E215&lt;&gt;"",DB_Customers!E215,""),"")</f>
        <v/>
      </c>
      <c r="L221" s="222" t="str">
        <f>IFERROR(IF(DB_Customers!F215&lt;&gt;"",DB_Customers!F215,""),"")</f>
        <v/>
      </c>
      <c r="M221" s="222" t="str">
        <f>IFERROR(IF(DB_Customers!T215&lt;&gt;"",DB_Customers!T215,""),"")</f>
        <v/>
      </c>
      <c r="N221" s="221" t="str">
        <f>IFERROR(IF(DB_Customers!A215&lt;&gt;"",IF(DB_Customers!I215&gt;=10,"Active","Inactive"),""),"")</f>
        <v/>
      </c>
    </row>
    <row r="222" spans="1:14" ht="18" customHeight="1" x14ac:dyDescent="0.25">
      <c r="A222" s="216" t="str">
        <f>IF(DB_Customers!A216&lt;&gt;"",ROW()-9,"")</f>
        <v/>
      </c>
      <c r="B222" s="216" t="str">
        <f>IFERROR(IF(DB_Customers!A216&lt;&gt;"",DB_Customers!A216,""),"")</f>
        <v/>
      </c>
      <c r="C222" s="217" t="str">
        <f>IFERROR(IF(DB_Customers!D216&lt;&gt;"",DB_Customers!D216,""),"")</f>
        <v/>
      </c>
      <c r="D222" s="218" t="str">
        <f>IFERROR(IF(DB_Customers!Q216&lt;&gt;"",DB_Customers!Q216,""),"")</f>
        <v/>
      </c>
      <c r="E222" s="216" t="str">
        <f>IFERROR(IF(DB_Customers!R216&lt;&gt;"",DB_Customers!R216,""),"")</f>
        <v/>
      </c>
      <c r="F222" s="217" t="str">
        <f>IFERROR(IF(DB_Customers!S216&lt;&gt;"",DB_Customers!S216,""),"")</f>
        <v/>
      </c>
      <c r="G222" s="217" t="str">
        <f>IFERROR(IF(DB_Customers!G216&lt;&gt;"",DB_Customers!G216,""),"")</f>
        <v/>
      </c>
      <c r="H222" s="216" t="str">
        <f>IFERROR(IF(DB_Customers!H216&lt;&gt;"",DB_Customers!H216,""),"")</f>
        <v/>
      </c>
      <c r="I222" s="219" t="str">
        <f>IFERROR(IF(DB_Customers!I216&lt;&gt;"",DB_Customers!I216,""),"")</f>
        <v/>
      </c>
      <c r="J222" s="220" t="str">
        <f>IFERROR(IF(DB_Customers!J216&lt;&gt;"",DB_Customers!J216,""),"")</f>
        <v/>
      </c>
      <c r="K222" s="217" t="str">
        <f>IFERROR(IF(DB_Customers!E216&lt;&gt;"",DB_Customers!E216,""),"")</f>
        <v/>
      </c>
      <c r="L222" s="217" t="str">
        <f>IFERROR(IF(DB_Customers!F216&lt;&gt;"",DB_Customers!F216,""),"")</f>
        <v/>
      </c>
      <c r="M222" s="217" t="str">
        <f>IFERROR(IF(DB_Customers!T216&lt;&gt;"",DB_Customers!T216,""),"")</f>
        <v/>
      </c>
      <c r="N222" s="216" t="str">
        <f>IFERROR(IF(DB_Customers!A216&lt;&gt;"",IF(DB_Customers!I216&gt;=10,"Active","Inactive"),""),"")</f>
        <v/>
      </c>
    </row>
    <row r="223" spans="1:14" ht="18" customHeight="1" x14ac:dyDescent="0.25">
      <c r="A223" s="221" t="str">
        <f>IF(DB_Customers!A217&lt;&gt;"",ROW()-9,"")</f>
        <v/>
      </c>
      <c r="B223" s="221" t="str">
        <f>IFERROR(IF(DB_Customers!A217&lt;&gt;"",DB_Customers!A217,""),"")</f>
        <v/>
      </c>
      <c r="C223" s="222" t="str">
        <f>IFERROR(IF(DB_Customers!D217&lt;&gt;"",DB_Customers!D217,""),"")</f>
        <v/>
      </c>
      <c r="D223" s="223" t="str">
        <f>IFERROR(IF(DB_Customers!Q217&lt;&gt;"",DB_Customers!Q217,""),"")</f>
        <v/>
      </c>
      <c r="E223" s="221" t="str">
        <f>IFERROR(IF(DB_Customers!R217&lt;&gt;"",DB_Customers!R217,""),"")</f>
        <v/>
      </c>
      <c r="F223" s="222" t="str">
        <f>IFERROR(IF(DB_Customers!S217&lt;&gt;"",DB_Customers!S217,""),"")</f>
        <v/>
      </c>
      <c r="G223" s="222" t="str">
        <f>IFERROR(IF(DB_Customers!G217&lt;&gt;"",DB_Customers!G217,""),"")</f>
        <v/>
      </c>
      <c r="H223" s="221" t="str">
        <f>IFERROR(IF(DB_Customers!H217&lt;&gt;"",DB_Customers!H217,""),"")</f>
        <v/>
      </c>
      <c r="I223" s="224" t="str">
        <f>IFERROR(IF(DB_Customers!I217&lt;&gt;"",DB_Customers!I217,""),"")</f>
        <v/>
      </c>
      <c r="J223" s="225" t="str">
        <f>IFERROR(IF(DB_Customers!J217&lt;&gt;"",DB_Customers!J217,""),"")</f>
        <v/>
      </c>
      <c r="K223" s="222" t="str">
        <f>IFERROR(IF(DB_Customers!E217&lt;&gt;"",DB_Customers!E217,""),"")</f>
        <v/>
      </c>
      <c r="L223" s="222" t="str">
        <f>IFERROR(IF(DB_Customers!F217&lt;&gt;"",DB_Customers!F217,""),"")</f>
        <v/>
      </c>
      <c r="M223" s="222" t="str">
        <f>IFERROR(IF(DB_Customers!T217&lt;&gt;"",DB_Customers!T217,""),"")</f>
        <v/>
      </c>
      <c r="N223" s="221" t="str">
        <f>IFERROR(IF(DB_Customers!A217&lt;&gt;"",IF(DB_Customers!I217&gt;=10,"Active","Inactive"),""),"")</f>
        <v/>
      </c>
    </row>
    <row r="224" spans="1:14" ht="18" customHeight="1" x14ac:dyDescent="0.25">
      <c r="A224" s="216" t="str">
        <f>IF(DB_Customers!A218&lt;&gt;"",ROW()-9,"")</f>
        <v/>
      </c>
      <c r="B224" s="216" t="str">
        <f>IFERROR(IF(DB_Customers!A218&lt;&gt;"",DB_Customers!A218,""),"")</f>
        <v/>
      </c>
      <c r="C224" s="217" t="str">
        <f>IFERROR(IF(DB_Customers!D218&lt;&gt;"",DB_Customers!D218,""),"")</f>
        <v/>
      </c>
      <c r="D224" s="218" t="str">
        <f>IFERROR(IF(DB_Customers!Q218&lt;&gt;"",DB_Customers!Q218,""),"")</f>
        <v/>
      </c>
      <c r="E224" s="216" t="str">
        <f>IFERROR(IF(DB_Customers!R218&lt;&gt;"",DB_Customers!R218,""),"")</f>
        <v/>
      </c>
      <c r="F224" s="217" t="str">
        <f>IFERROR(IF(DB_Customers!S218&lt;&gt;"",DB_Customers!S218,""),"")</f>
        <v/>
      </c>
      <c r="G224" s="217" t="str">
        <f>IFERROR(IF(DB_Customers!G218&lt;&gt;"",DB_Customers!G218,""),"")</f>
        <v/>
      </c>
      <c r="H224" s="216" t="str">
        <f>IFERROR(IF(DB_Customers!H218&lt;&gt;"",DB_Customers!H218,""),"")</f>
        <v/>
      </c>
      <c r="I224" s="219" t="str">
        <f>IFERROR(IF(DB_Customers!I218&lt;&gt;"",DB_Customers!I218,""),"")</f>
        <v/>
      </c>
      <c r="J224" s="220" t="str">
        <f>IFERROR(IF(DB_Customers!J218&lt;&gt;"",DB_Customers!J218,""),"")</f>
        <v/>
      </c>
      <c r="K224" s="217" t="str">
        <f>IFERROR(IF(DB_Customers!E218&lt;&gt;"",DB_Customers!E218,""),"")</f>
        <v/>
      </c>
      <c r="L224" s="217" t="str">
        <f>IFERROR(IF(DB_Customers!F218&lt;&gt;"",DB_Customers!F218,""),"")</f>
        <v/>
      </c>
      <c r="M224" s="217" t="str">
        <f>IFERROR(IF(DB_Customers!T218&lt;&gt;"",DB_Customers!T218,""),"")</f>
        <v/>
      </c>
      <c r="N224" s="216" t="str">
        <f>IFERROR(IF(DB_Customers!A218&lt;&gt;"",IF(DB_Customers!I218&gt;=10,"Active","Inactive"),""),"")</f>
        <v/>
      </c>
    </row>
    <row r="225" spans="1:14" ht="18" customHeight="1" x14ac:dyDescent="0.25">
      <c r="A225" s="221" t="str">
        <f>IF(DB_Customers!A219&lt;&gt;"",ROW()-9,"")</f>
        <v/>
      </c>
      <c r="B225" s="221" t="str">
        <f>IFERROR(IF(DB_Customers!A219&lt;&gt;"",DB_Customers!A219,""),"")</f>
        <v/>
      </c>
      <c r="C225" s="222" t="str">
        <f>IFERROR(IF(DB_Customers!D219&lt;&gt;"",DB_Customers!D219,""),"")</f>
        <v/>
      </c>
      <c r="D225" s="223" t="str">
        <f>IFERROR(IF(DB_Customers!Q219&lt;&gt;"",DB_Customers!Q219,""),"")</f>
        <v/>
      </c>
      <c r="E225" s="221" t="str">
        <f>IFERROR(IF(DB_Customers!R219&lt;&gt;"",DB_Customers!R219,""),"")</f>
        <v/>
      </c>
      <c r="F225" s="222" t="str">
        <f>IFERROR(IF(DB_Customers!S219&lt;&gt;"",DB_Customers!S219,""),"")</f>
        <v/>
      </c>
      <c r="G225" s="222" t="str">
        <f>IFERROR(IF(DB_Customers!G219&lt;&gt;"",DB_Customers!G219,""),"")</f>
        <v/>
      </c>
      <c r="H225" s="221" t="str">
        <f>IFERROR(IF(DB_Customers!H219&lt;&gt;"",DB_Customers!H219,""),"")</f>
        <v/>
      </c>
      <c r="I225" s="224" t="str">
        <f>IFERROR(IF(DB_Customers!I219&lt;&gt;"",DB_Customers!I219,""),"")</f>
        <v/>
      </c>
      <c r="J225" s="225" t="str">
        <f>IFERROR(IF(DB_Customers!J219&lt;&gt;"",DB_Customers!J219,""),"")</f>
        <v/>
      </c>
      <c r="K225" s="222" t="str">
        <f>IFERROR(IF(DB_Customers!E219&lt;&gt;"",DB_Customers!E219,""),"")</f>
        <v/>
      </c>
      <c r="L225" s="222" t="str">
        <f>IFERROR(IF(DB_Customers!F219&lt;&gt;"",DB_Customers!F219,""),"")</f>
        <v/>
      </c>
      <c r="M225" s="222" t="str">
        <f>IFERROR(IF(DB_Customers!T219&lt;&gt;"",DB_Customers!T219,""),"")</f>
        <v/>
      </c>
      <c r="N225" s="221" t="str">
        <f>IFERROR(IF(DB_Customers!A219&lt;&gt;"",IF(DB_Customers!I219&gt;=10,"Active","Inactive"),""),"")</f>
        <v/>
      </c>
    </row>
    <row r="226" spans="1:14" ht="18" customHeight="1" x14ac:dyDescent="0.25">
      <c r="A226" s="216" t="str">
        <f>IF(DB_Customers!A220&lt;&gt;"",ROW()-9,"")</f>
        <v/>
      </c>
      <c r="B226" s="216" t="str">
        <f>IFERROR(IF(DB_Customers!A220&lt;&gt;"",DB_Customers!A220,""),"")</f>
        <v/>
      </c>
      <c r="C226" s="217" t="str">
        <f>IFERROR(IF(DB_Customers!D220&lt;&gt;"",DB_Customers!D220,""),"")</f>
        <v/>
      </c>
      <c r="D226" s="218" t="str">
        <f>IFERROR(IF(DB_Customers!Q220&lt;&gt;"",DB_Customers!Q220,""),"")</f>
        <v/>
      </c>
      <c r="E226" s="216" t="str">
        <f>IFERROR(IF(DB_Customers!R220&lt;&gt;"",DB_Customers!R220,""),"")</f>
        <v/>
      </c>
      <c r="F226" s="217" t="str">
        <f>IFERROR(IF(DB_Customers!S220&lt;&gt;"",DB_Customers!S220,""),"")</f>
        <v/>
      </c>
      <c r="G226" s="217" t="str">
        <f>IFERROR(IF(DB_Customers!G220&lt;&gt;"",DB_Customers!G220,""),"")</f>
        <v/>
      </c>
      <c r="H226" s="216" t="str">
        <f>IFERROR(IF(DB_Customers!H220&lt;&gt;"",DB_Customers!H220,""),"")</f>
        <v/>
      </c>
      <c r="I226" s="219" t="str">
        <f>IFERROR(IF(DB_Customers!I220&lt;&gt;"",DB_Customers!I220,""),"")</f>
        <v/>
      </c>
      <c r="J226" s="220" t="str">
        <f>IFERROR(IF(DB_Customers!J220&lt;&gt;"",DB_Customers!J220,""),"")</f>
        <v/>
      </c>
      <c r="K226" s="217" t="str">
        <f>IFERROR(IF(DB_Customers!E220&lt;&gt;"",DB_Customers!E220,""),"")</f>
        <v/>
      </c>
      <c r="L226" s="217" t="str">
        <f>IFERROR(IF(DB_Customers!F220&lt;&gt;"",DB_Customers!F220,""),"")</f>
        <v/>
      </c>
      <c r="M226" s="217" t="str">
        <f>IFERROR(IF(DB_Customers!T220&lt;&gt;"",DB_Customers!T220,""),"")</f>
        <v/>
      </c>
      <c r="N226" s="216" t="str">
        <f>IFERROR(IF(DB_Customers!A220&lt;&gt;"",IF(DB_Customers!I220&gt;=10,"Active","Inactive"),""),"")</f>
        <v/>
      </c>
    </row>
    <row r="227" spans="1:14" ht="18" customHeight="1" x14ac:dyDescent="0.25">
      <c r="A227" s="221" t="str">
        <f>IF(DB_Customers!A221&lt;&gt;"",ROW()-9,"")</f>
        <v/>
      </c>
      <c r="B227" s="221" t="str">
        <f>IFERROR(IF(DB_Customers!A221&lt;&gt;"",DB_Customers!A221,""),"")</f>
        <v/>
      </c>
      <c r="C227" s="222" t="str">
        <f>IFERROR(IF(DB_Customers!D221&lt;&gt;"",DB_Customers!D221,""),"")</f>
        <v/>
      </c>
      <c r="D227" s="223" t="str">
        <f>IFERROR(IF(DB_Customers!Q221&lt;&gt;"",DB_Customers!Q221,""),"")</f>
        <v/>
      </c>
      <c r="E227" s="221" t="str">
        <f>IFERROR(IF(DB_Customers!R221&lt;&gt;"",DB_Customers!R221,""),"")</f>
        <v/>
      </c>
      <c r="F227" s="222" t="str">
        <f>IFERROR(IF(DB_Customers!S221&lt;&gt;"",DB_Customers!S221,""),"")</f>
        <v/>
      </c>
      <c r="G227" s="222" t="str">
        <f>IFERROR(IF(DB_Customers!G221&lt;&gt;"",DB_Customers!G221,""),"")</f>
        <v/>
      </c>
      <c r="H227" s="221" t="str">
        <f>IFERROR(IF(DB_Customers!H221&lt;&gt;"",DB_Customers!H221,""),"")</f>
        <v/>
      </c>
      <c r="I227" s="224" t="str">
        <f>IFERROR(IF(DB_Customers!I221&lt;&gt;"",DB_Customers!I221,""),"")</f>
        <v/>
      </c>
      <c r="J227" s="225" t="str">
        <f>IFERROR(IF(DB_Customers!J221&lt;&gt;"",DB_Customers!J221,""),"")</f>
        <v/>
      </c>
      <c r="K227" s="222" t="str">
        <f>IFERROR(IF(DB_Customers!E221&lt;&gt;"",DB_Customers!E221,""),"")</f>
        <v/>
      </c>
      <c r="L227" s="222" t="str">
        <f>IFERROR(IF(DB_Customers!F221&lt;&gt;"",DB_Customers!F221,""),"")</f>
        <v/>
      </c>
      <c r="M227" s="222" t="str">
        <f>IFERROR(IF(DB_Customers!T221&lt;&gt;"",DB_Customers!T221,""),"")</f>
        <v/>
      </c>
      <c r="N227" s="221" t="str">
        <f>IFERROR(IF(DB_Customers!A221&lt;&gt;"",IF(DB_Customers!I221&gt;=10,"Active","Inactive"),""),"")</f>
        <v/>
      </c>
    </row>
    <row r="228" spans="1:14" ht="18" customHeight="1" x14ac:dyDescent="0.25">
      <c r="A228" s="216" t="str">
        <f>IF(DB_Customers!A222&lt;&gt;"",ROW()-9,"")</f>
        <v/>
      </c>
      <c r="B228" s="216" t="str">
        <f>IFERROR(IF(DB_Customers!A222&lt;&gt;"",DB_Customers!A222,""),"")</f>
        <v/>
      </c>
      <c r="C228" s="217" t="str">
        <f>IFERROR(IF(DB_Customers!D222&lt;&gt;"",DB_Customers!D222,""),"")</f>
        <v/>
      </c>
      <c r="D228" s="218" t="str">
        <f>IFERROR(IF(DB_Customers!Q222&lt;&gt;"",DB_Customers!Q222,""),"")</f>
        <v/>
      </c>
      <c r="E228" s="216" t="str">
        <f>IFERROR(IF(DB_Customers!R222&lt;&gt;"",DB_Customers!R222,""),"")</f>
        <v/>
      </c>
      <c r="F228" s="217" t="str">
        <f>IFERROR(IF(DB_Customers!S222&lt;&gt;"",DB_Customers!S222,""),"")</f>
        <v/>
      </c>
      <c r="G228" s="217" t="str">
        <f>IFERROR(IF(DB_Customers!G222&lt;&gt;"",DB_Customers!G222,""),"")</f>
        <v/>
      </c>
      <c r="H228" s="216" t="str">
        <f>IFERROR(IF(DB_Customers!H222&lt;&gt;"",DB_Customers!H222,""),"")</f>
        <v/>
      </c>
      <c r="I228" s="219" t="str">
        <f>IFERROR(IF(DB_Customers!I222&lt;&gt;"",DB_Customers!I222,""),"")</f>
        <v/>
      </c>
      <c r="J228" s="220" t="str">
        <f>IFERROR(IF(DB_Customers!J222&lt;&gt;"",DB_Customers!J222,""),"")</f>
        <v/>
      </c>
      <c r="K228" s="217" t="str">
        <f>IFERROR(IF(DB_Customers!E222&lt;&gt;"",DB_Customers!E222,""),"")</f>
        <v/>
      </c>
      <c r="L228" s="217" t="str">
        <f>IFERROR(IF(DB_Customers!F222&lt;&gt;"",DB_Customers!F222,""),"")</f>
        <v/>
      </c>
      <c r="M228" s="217" t="str">
        <f>IFERROR(IF(DB_Customers!T222&lt;&gt;"",DB_Customers!T222,""),"")</f>
        <v/>
      </c>
      <c r="N228" s="216" t="str">
        <f>IFERROR(IF(DB_Customers!A222&lt;&gt;"",IF(DB_Customers!I222&gt;=10,"Active","Inactive"),""),"")</f>
        <v/>
      </c>
    </row>
    <row r="229" spans="1:14" ht="18" customHeight="1" x14ac:dyDescent="0.25">
      <c r="A229" s="221" t="str">
        <f>IF(DB_Customers!A223&lt;&gt;"",ROW()-9,"")</f>
        <v/>
      </c>
      <c r="B229" s="221" t="str">
        <f>IFERROR(IF(DB_Customers!A223&lt;&gt;"",DB_Customers!A223,""),"")</f>
        <v/>
      </c>
      <c r="C229" s="222" t="str">
        <f>IFERROR(IF(DB_Customers!D223&lt;&gt;"",DB_Customers!D223,""),"")</f>
        <v/>
      </c>
      <c r="D229" s="223" t="str">
        <f>IFERROR(IF(DB_Customers!Q223&lt;&gt;"",DB_Customers!Q223,""),"")</f>
        <v/>
      </c>
      <c r="E229" s="221" t="str">
        <f>IFERROR(IF(DB_Customers!R223&lt;&gt;"",DB_Customers!R223,""),"")</f>
        <v/>
      </c>
      <c r="F229" s="222" t="str">
        <f>IFERROR(IF(DB_Customers!S223&lt;&gt;"",DB_Customers!S223,""),"")</f>
        <v/>
      </c>
      <c r="G229" s="222" t="str">
        <f>IFERROR(IF(DB_Customers!G223&lt;&gt;"",DB_Customers!G223,""),"")</f>
        <v/>
      </c>
      <c r="H229" s="221" t="str">
        <f>IFERROR(IF(DB_Customers!H223&lt;&gt;"",DB_Customers!H223,""),"")</f>
        <v/>
      </c>
      <c r="I229" s="224" t="str">
        <f>IFERROR(IF(DB_Customers!I223&lt;&gt;"",DB_Customers!I223,""),"")</f>
        <v/>
      </c>
      <c r="J229" s="225" t="str">
        <f>IFERROR(IF(DB_Customers!J223&lt;&gt;"",DB_Customers!J223,""),"")</f>
        <v/>
      </c>
      <c r="K229" s="222" t="str">
        <f>IFERROR(IF(DB_Customers!E223&lt;&gt;"",DB_Customers!E223,""),"")</f>
        <v/>
      </c>
      <c r="L229" s="222" t="str">
        <f>IFERROR(IF(DB_Customers!F223&lt;&gt;"",DB_Customers!F223,""),"")</f>
        <v/>
      </c>
      <c r="M229" s="222" t="str">
        <f>IFERROR(IF(DB_Customers!T223&lt;&gt;"",DB_Customers!T223,""),"")</f>
        <v/>
      </c>
      <c r="N229" s="221" t="str">
        <f>IFERROR(IF(DB_Customers!A223&lt;&gt;"",IF(DB_Customers!I223&gt;=10,"Active","Inactive"),""),"")</f>
        <v/>
      </c>
    </row>
    <row r="230" spans="1:14" ht="18" customHeight="1" x14ac:dyDescent="0.25">
      <c r="A230" s="216" t="str">
        <f>IF(DB_Customers!A224&lt;&gt;"",ROW()-9,"")</f>
        <v/>
      </c>
      <c r="B230" s="216" t="str">
        <f>IFERROR(IF(DB_Customers!A224&lt;&gt;"",DB_Customers!A224,""),"")</f>
        <v/>
      </c>
      <c r="C230" s="217" t="str">
        <f>IFERROR(IF(DB_Customers!D224&lt;&gt;"",DB_Customers!D224,""),"")</f>
        <v/>
      </c>
      <c r="D230" s="218" t="str">
        <f>IFERROR(IF(DB_Customers!Q224&lt;&gt;"",DB_Customers!Q224,""),"")</f>
        <v/>
      </c>
      <c r="E230" s="216" t="str">
        <f>IFERROR(IF(DB_Customers!R224&lt;&gt;"",DB_Customers!R224,""),"")</f>
        <v/>
      </c>
      <c r="F230" s="217" t="str">
        <f>IFERROR(IF(DB_Customers!S224&lt;&gt;"",DB_Customers!S224,""),"")</f>
        <v/>
      </c>
      <c r="G230" s="217" t="str">
        <f>IFERROR(IF(DB_Customers!G224&lt;&gt;"",DB_Customers!G224,""),"")</f>
        <v/>
      </c>
      <c r="H230" s="216" t="str">
        <f>IFERROR(IF(DB_Customers!H224&lt;&gt;"",DB_Customers!H224,""),"")</f>
        <v/>
      </c>
      <c r="I230" s="219" t="str">
        <f>IFERROR(IF(DB_Customers!I224&lt;&gt;"",DB_Customers!I224,""),"")</f>
        <v/>
      </c>
      <c r="J230" s="220" t="str">
        <f>IFERROR(IF(DB_Customers!J224&lt;&gt;"",DB_Customers!J224,""),"")</f>
        <v/>
      </c>
      <c r="K230" s="217" t="str">
        <f>IFERROR(IF(DB_Customers!E224&lt;&gt;"",DB_Customers!E224,""),"")</f>
        <v/>
      </c>
      <c r="L230" s="217" t="str">
        <f>IFERROR(IF(DB_Customers!F224&lt;&gt;"",DB_Customers!F224,""),"")</f>
        <v/>
      </c>
      <c r="M230" s="217" t="str">
        <f>IFERROR(IF(DB_Customers!T224&lt;&gt;"",DB_Customers!T224,""),"")</f>
        <v/>
      </c>
      <c r="N230" s="216" t="str">
        <f>IFERROR(IF(DB_Customers!A224&lt;&gt;"",IF(DB_Customers!I224&gt;=10,"Active","Inactive"),""),"")</f>
        <v/>
      </c>
    </row>
    <row r="231" spans="1:14" ht="18" customHeight="1" x14ac:dyDescent="0.25">
      <c r="A231" s="221" t="str">
        <f>IF(DB_Customers!A225&lt;&gt;"",ROW()-9,"")</f>
        <v/>
      </c>
      <c r="B231" s="221" t="str">
        <f>IFERROR(IF(DB_Customers!A225&lt;&gt;"",DB_Customers!A225,""),"")</f>
        <v/>
      </c>
      <c r="C231" s="222" t="str">
        <f>IFERROR(IF(DB_Customers!D225&lt;&gt;"",DB_Customers!D225,""),"")</f>
        <v/>
      </c>
      <c r="D231" s="223" t="str">
        <f>IFERROR(IF(DB_Customers!Q225&lt;&gt;"",DB_Customers!Q225,""),"")</f>
        <v/>
      </c>
      <c r="E231" s="221" t="str">
        <f>IFERROR(IF(DB_Customers!R225&lt;&gt;"",DB_Customers!R225,""),"")</f>
        <v/>
      </c>
      <c r="F231" s="222" t="str">
        <f>IFERROR(IF(DB_Customers!S225&lt;&gt;"",DB_Customers!S225,""),"")</f>
        <v/>
      </c>
      <c r="G231" s="222" t="str">
        <f>IFERROR(IF(DB_Customers!G225&lt;&gt;"",DB_Customers!G225,""),"")</f>
        <v/>
      </c>
      <c r="H231" s="221" t="str">
        <f>IFERROR(IF(DB_Customers!H225&lt;&gt;"",DB_Customers!H225,""),"")</f>
        <v/>
      </c>
      <c r="I231" s="224" t="str">
        <f>IFERROR(IF(DB_Customers!I225&lt;&gt;"",DB_Customers!I225,""),"")</f>
        <v/>
      </c>
      <c r="J231" s="225" t="str">
        <f>IFERROR(IF(DB_Customers!J225&lt;&gt;"",DB_Customers!J225,""),"")</f>
        <v/>
      </c>
      <c r="K231" s="222" t="str">
        <f>IFERROR(IF(DB_Customers!E225&lt;&gt;"",DB_Customers!E225,""),"")</f>
        <v/>
      </c>
      <c r="L231" s="222" t="str">
        <f>IFERROR(IF(DB_Customers!F225&lt;&gt;"",DB_Customers!F225,""),"")</f>
        <v/>
      </c>
      <c r="M231" s="222" t="str">
        <f>IFERROR(IF(DB_Customers!T225&lt;&gt;"",DB_Customers!T225,""),"")</f>
        <v/>
      </c>
      <c r="N231" s="221" t="str">
        <f>IFERROR(IF(DB_Customers!A225&lt;&gt;"",IF(DB_Customers!I225&gt;=10,"Active","Inactive"),""),"")</f>
        <v/>
      </c>
    </row>
    <row r="232" spans="1:14" ht="18" customHeight="1" x14ac:dyDescent="0.25">
      <c r="A232" s="216" t="str">
        <f>IF(DB_Customers!A226&lt;&gt;"",ROW()-9,"")</f>
        <v/>
      </c>
      <c r="B232" s="216" t="str">
        <f>IFERROR(IF(DB_Customers!A226&lt;&gt;"",DB_Customers!A226,""),"")</f>
        <v/>
      </c>
      <c r="C232" s="217" t="str">
        <f>IFERROR(IF(DB_Customers!D226&lt;&gt;"",DB_Customers!D226,""),"")</f>
        <v/>
      </c>
      <c r="D232" s="218" t="str">
        <f>IFERROR(IF(DB_Customers!Q226&lt;&gt;"",DB_Customers!Q226,""),"")</f>
        <v/>
      </c>
      <c r="E232" s="216" t="str">
        <f>IFERROR(IF(DB_Customers!R226&lt;&gt;"",DB_Customers!R226,""),"")</f>
        <v/>
      </c>
      <c r="F232" s="217" t="str">
        <f>IFERROR(IF(DB_Customers!S226&lt;&gt;"",DB_Customers!S226,""),"")</f>
        <v/>
      </c>
      <c r="G232" s="217" t="str">
        <f>IFERROR(IF(DB_Customers!G226&lt;&gt;"",DB_Customers!G226,""),"")</f>
        <v/>
      </c>
      <c r="H232" s="216" t="str">
        <f>IFERROR(IF(DB_Customers!H226&lt;&gt;"",DB_Customers!H226,""),"")</f>
        <v/>
      </c>
      <c r="I232" s="219" t="str">
        <f>IFERROR(IF(DB_Customers!I226&lt;&gt;"",DB_Customers!I226,""),"")</f>
        <v/>
      </c>
      <c r="J232" s="220" t="str">
        <f>IFERROR(IF(DB_Customers!J226&lt;&gt;"",DB_Customers!J226,""),"")</f>
        <v/>
      </c>
      <c r="K232" s="217" t="str">
        <f>IFERROR(IF(DB_Customers!E226&lt;&gt;"",DB_Customers!E226,""),"")</f>
        <v/>
      </c>
      <c r="L232" s="217" t="str">
        <f>IFERROR(IF(DB_Customers!F226&lt;&gt;"",DB_Customers!F226,""),"")</f>
        <v/>
      </c>
      <c r="M232" s="217" t="str">
        <f>IFERROR(IF(DB_Customers!T226&lt;&gt;"",DB_Customers!T226,""),"")</f>
        <v/>
      </c>
      <c r="N232" s="216" t="str">
        <f>IFERROR(IF(DB_Customers!A226&lt;&gt;"",IF(DB_Customers!I226&gt;=10,"Active","Inactive"),""),"")</f>
        <v/>
      </c>
    </row>
    <row r="233" spans="1:14" ht="18" customHeight="1" x14ac:dyDescent="0.25">
      <c r="A233" s="221" t="str">
        <f>IF(DB_Customers!A227&lt;&gt;"",ROW()-9,"")</f>
        <v/>
      </c>
      <c r="B233" s="221" t="str">
        <f>IFERROR(IF(DB_Customers!A227&lt;&gt;"",DB_Customers!A227,""),"")</f>
        <v/>
      </c>
      <c r="C233" s="222" t="str">
        <f>IFERROR(IF(DB_Customers!D227&lt;&gt;"",DB_Customers!D227,""),"")</f>
        <v/>
      </c>
      <c r="D233" s="223" t="str">
        <f>IFERROR(IF(DB_Customers!Q227&lt;&gt;"",DB_Customers!Q227,""),"")</f>
        <v/>
      </c>
      <c r="E233" s="221" t="str">
        <f>IFERROR(IF(DB_Customers!R227&lt;&gt;"",DB_Customers!R227,""),"")</f>
        <v/>
      </c>
      <c r="F233" s="222" t="str">
        <f>IFERROR(IF(DB_Customers!S227&lt;&gt;"",DB_Customers!S227,""),"")</f>
        <v/>
      </c>
      <c r="G233" s="222" t="str">
        <f>IFERROR(IF(DB_Customers!G227&lt;&gt;"",DB_Customers!G227,""),"")</f>
        <v/>
      </c>
      <c r="H233" s="221" t="str">
        <f>IFERROR(IF(DB_Customers!H227&lt;&gt;"",DB_Customers!H227,""),"")</f>
        <v/>
      </c>
      <c r="I233" s="224" t="str">
        <f>IFERROR(IF(DB_Customers!I227&lt;&gt;"",DB_Customers!I227,""),"")</f>
        <v/>
      </c>
      <c r="J233" s="225" t="str">
        <f>IFERROR(IF(DB_Customers!J227&lt;&gt;"",DB_Customers!J227,""),"")</f>
        <v/>
      </c>
      <c r="K233" s="222" t="str">
        <f>IFERROR(IF(DB_Customers!E227&lt;&gt;"",DB_Customers!E227,""),"")</f>
        <v/>
      </c>
      <c r="L233" s="222" t="str">
        <f>IFERROR(IF(DB_Customers!F227&lt;&gt;"",DB_Customers!F227,""),"")</f>
        <v/>
      </c>
      <c r="M233" s="222" t="str">
        <f>IFERROR(IF(DB_Customers!T227&lt;&gt;"",DB_Customers!T227,""),"")</f>
        <v/>
      </c>
      <c r="N233" s="221" t="str">
        <f>IFERROR(IF(DB_Customers!A227&lt;&gt;"",IF(DB_Customers!I227&gt;=10,"Active","Inactive"),""),"")</f>
        <v/>
      </c>
    </row>
    <row r="234" spans="1:14" ht="18" customHeight="1" x14ac:dyDescent="0.25">
      <c r="A234" s="216" t="str">
        <f>IF(DB_Customers!A228&lt;&gt;"",ROW()-9,"")</f>
        <v/>
      </c>
      <c r="B234" s="216" t="str">
        <f>IFERROR(IF(DB_Customers!A228&lt;&gt;"",DB_Customers!A228,""),"")</f>
        <v/>
      </c>
      <c r="C234" s="217" t="str">
        <f>IFERROR(IF(DB_Customers!D228&lt;&gt;"",DB_Customers!D228,""),"")</f>
        <v/>
      </c>
      <c r="D234" s="218" t="str">
        <f>IFERROR(IF(DB_Customers!Q228&lt;&gt;"",DB_Customers!Q228,""),"")</f>
        <v/>
      </c>
      <c r="E234" s="216" t="str">
        <f>IFERROR(IF(DB_Customers!R228&lt;&gt;"",DB_Customers!R228,""),"")</f>
        <v/>
      </c>
      <c r="F234" s="217" t="str">
        <f>IFERROR(IF(DB_Customers!S228&lt;&gt;"",DB_Customers!S228,""),"")</f>
        <v/>
      </c>
      <c r="G234" s="217" t="str">
        <f>IFERROR(IF(DB_Customers!G228&lt;&gt;"",DB_Customers!G228,""),"")</f>
        <v/>
      </c>
      <c r="H234" s="216" t="str">
        <f>IFERROR(IF(DB_Customers!H228&lt;&gt;"",DB_Customers!H228,""),"")</f>
        <v/>
      </c>
      <c r="I234" s="219" t="str">
        <f>IFERROR(IF(DB_Customers!I228&lt;&gt;"",DB_Customers!I228,""),"")</f>
        <v/>
      </c>
      <c r="J234" s="220" t="str">
        <f>IFERROR(IF(DB_Customers!J228&lt;&gt;"",DB_Customers!J228,""),"")</f>
        <v/>
      </c>
      <c r="K234" s="217" t="str">
        <f>IFERROR(IF(DB_Customers!E228&lt;&gt;"",DB_Customers!E228,""),"")</f>
        <v/>
      </c>
      <c r="L234" s="217" t="str">
        <f>IFERROR(IF(DB_Customers!F228&lt;&gt;"",DB_Customers!F228,""),"")</f>
        <v/>
      </c>
      <c r="M234" s="217" t="str">
        <f>IFERROR(IF(DB_Customers!T228&lt;&gt;"",DB_Customers!T228,""),"")</f>
        <v/>
      </c>
      <c r="N234" s="216" t="str">
        <f>IFERROR(IF(DB_Customers!A228&lt;&gt;"",IF(DB_Customers!I228&gt;=10,"Active","Inactive"),""),"")</f>
        <v/>
      </c>
    </row>
    <row r="235" spans="1:14" ht="18" customHeight="1" x14ac:dyDescent="0.25">
      <c r="A235" s="221" t="str">
        <f>IF(DB_Customers!A229&lt;&gt;"",ROW()-9,"")</f>
        <v/>
      </c>
      <c r="B235" s="221" t="str">
        <f>IFERROR(IF(DB_Customers!A229&lt;&gt;"",DB_Customers!A229,""),"")</f>
        <v/>
      </c>
      <c r="C235" s="222" t="str">
        <f>IFERROR(IF(DB_Customers!D229&lt;&gt;"",DB_Customers!D229,""),"")</f>
        <v/>
      </c>
      <c r="D235" s="223" t="str">
        <f>IFERROR(IF(DB_Customers!Q229&lt;&gt;"",DB_Customers!Q229,""),"")</f>
        <v/>
      </c>
      <c r="E235" s="221" t="str">
        <f>IFERROR(IF(DB_Customers!R229&lt;&gt;"",DB_Customers!R229,""),"")</f>
        <v/>
      </c>
      <c r="F235" s="222" t="str">
        <f>IFERROR(IF(DB_Customers!S229&lt;&gt;"",DB_Customers!S229,""),"")</f>
        <v/>
      </c>
      <c r="G235" s="222" t="str">
        <f>IFERROR(IF(DB_Customers!G229&lt;&gt;"",DB_Customers!G229,""),"")</f>
        <v/>
      </c>
      <c r="H235" s="221" t="str">
        <f>IFERROR(IF(DB_Customers!H229&lt;&gt;"",DB_Customers!H229,""),"")</f>
        <v/>
      </c>
      <c r="I235" s="224" t="str">
        <f>IFERROR(IF(DB_Customers!I229&lt;&gt;"",DB_Customers!I229,""),"")</f>
        <v/>
      </c>
      <c r="J235" s="225" t="str">
        <f>IFERROR(IF(DB_Customers!J229&lt;&gt;"",DB_Customers!J229,""),"")</f>
        <v/>
      </c>
      <c r="K235" s="222" t="str">
        <f>IFERROR(IF(DB_Customers!E229&lt;&gt;"",DB_Customers!E229,""),"")</f>
        <v/>
      </c>
      <c r="L235" s="222" t="str">
        <f>IFERROR(IF(DB_Customers!F229&lt;&gt;"",DB_Customers!F229,""),"")</f>
        <v/>
      </c>
      <c r="M235" s="222" t="str">
        <f>IFERROR(IF(DB_Customers!T229&lt;&gt;"",DB_Customers!T229,""),"")</f>
        <v/>
      </c>
      <c r="N235" s="221" t="str">
        <f>IFERROR(IF(DB_Customers!A229&lt;&gt;"",IF(DB_Customers!I229&gt;=10,"Active","Inactive"),""),"")</f>
        <v/>
      </c>
    </row>
    <row r="236" spans="1:14" ht="18" customHeight="1" x14ac:dyDescent="0.25">
      <c r="A236" s="216" t="str">
        <f>IF(DB_Customers!A230&lt;&gt;"",ROW()-9,"")</f>
        <v/>
      </c>
      <c r="B236" s="216" t="str">
        <f>IFERROR(IF(DB_Customers!A230&lt;&gt;"",DB_Customers!A230,""),"")</f>
        <v/>
      </c>
      <c r="C236" s="217" t="str">
        <f>IFERROR(IF(DB_Customers!D230&lt;&gt;"",DB_Customers!D230,""),"")</f>
        <v/>
      </c>
      <c r="D236" s="218" t="str">
        <f>IFERROR(IF(DB_Customers!Q230&lt;&gt;"",DB_Customers!Q230,""),"")</f>
        <v/>
      </c>
      <c r="E236" s="216" t="str">
        <f>IFERROR(IF(DB_Customers!R230&lt;&gt;"",DB_Customers!R230,""),"")</f>
        <v/>
      </c>
      <c r="F236" s="217" t="str">
        <f>IFERROR(IF(DB_Customers!S230&lt;&gt;"",DB_Customers!S230,""),"")</f>
        <v/>
      </c>
      <c r="G236" s="217" t="str">
        <f>IFERROR(IF(DB_Customers!G230&lt;&gt;"",DB_Customers!G230,""),"")</f>
        <v/>
      </c>
      <c r="H236" s="216" t="str">
        <f>IFERROR(IF(DB_Customers!H230&lt;&gt;"",DB_Customers!H230,""),"")</f>
        <v/>
      </c>
      <c r="I236" s="219" t="str">
        <f>IFERROR(IF(DB_Customers!I230&lt;&gt;"",DB_Customers!I230,""),"")</f>
        <v/>
      </c>
      <c r="J236" s="220" t="str">
        <f>IFERROR(IF(DB_Customers!J230&lt;&gt;"",DB_Customers!J230,""),"")</f>
        <v/>
      </c>
      <c r="K236" s="217" t="str">
        <f>IFERROR(IF(DB_Customers!E230&lt;&gt;"",DB_Customers!E230,""),"")</f>
        <v/>
      </c>
      <c r="L236" s="217" t="str">
        <f>IFERROR(IF(DB_Customers!F230&lt;&gt;"",DB_Customers!F230,""),"")</f>
        <v/>
      </c>
      <c r="M236" s="217" t="str">
        <f>IFERROR(IF(DB_Customers!T230&lt;&gt;"",DB_Customers!T230,""),"")</f>
        <v/>
      </c>
      <c r="N236" s="216" t="str">
        <f>IFERROR(IF(DB_Customers!A230&lt;&gt;"",IF(DB_Customers!I230&gt;=10,"Active","Inactive"),""),"")</f>
        <v/>
      </c>
    </row>
    <row r="237" spans="1:14" ht="18" customHeight="1" x14ac:dyDescent="0.25">
      <c r="A237" s="221" t="str">
        <f>IF(DB_Customers!A231&lt;&gt;"",ROW()-9,"")</f>
        <v/>
      </c>
      <c r="B237" s="221" t="str">
        <f>IFERROR(IF(DB_Customers!A231&lt;&gt;"",DB_Customers!A231,""),"")</f>
        <v/>
      </c>
      <c r="C237" s="222" t="str">
        <f>IFERROR(IF(DB_Customers!D231&lt;&gt;"",DB_Customers!D231,""),"")</f>
        <v/>
      </c>
      <c r="D237" s="223" t="str">
        <f>IFERROR(IF(DB_Customers!Q231&lt;&gt;"",DB_Customers!Q231,""),"")</f>
        <v/>
      </c>
      <c r="E237" s="221" t="str">
        <f>IFERROR(IF(DB_Customers!R231&lt;&gt;"",DB_Customers!R231,""),"")</f>
        <v/>
      </c>
      <c r="F237" s="222" t="str">
        <f>IFERROR(IF(DB_Customers!S231&lt;&gt;"",DB_Customers!S231,""),"")</f>
        <v/>
      </c>
      <c r="G237" s="222" t="str">
        <f>IFERROR(IF(DB_Customers!G231&lt;&gt;"",DB_Customers!G231,""),"")</f>
        <v/>
      </c>
      <c r="H237" s="221" t="str">
        <f>IFERROR(IF(DB_Customers!H231&lt;&gt;"",DB_Customers!H231,""),"")</f>
        <v/>
      </c>
      <c r="I237" s="224" t="str">
        <f>IFERROR(IF(DB_Customers!I231&lt;&gt;"",DB_Customers!I231,""),"")</f>
        <v/>
      </c>
      <c r="J237" s="225" t="str">
        <f>IFERROR(IF(DB_Customers!J231&lt;&gt;"",DB_Customers!J231,""),"")</f>
        <v/>
      </c>
      <c r="K237" s="222" t="str">
        <f>IFERROR(IF(DB_Customers!E231&lt;&gt;"",DB_Customers!E231,""),"")</f>
        <v/>
      </c>
      <c r="L237" s="222" t="str">
        <f>IFERROR(IF(DB_Customers!F231&lt;&gt;"",DB_Customers!F231,""),"")</f>
        <v/>
      </c>
      <c r="M237" s="222" t="str">
        <f>IFERROR(IF(DB_Customers!T231&lt;&gt;"",DB_Customers!T231,""),"")</f>
        <v/>
      </c>
      <c r="N237" s="221" t="str">
        <f>IFERROR(IF(DB_Customers!A231&lt;&gt;"",IF(DB_Customers!I231&gt;=10,"Active","Inactive"),""),"")</f>
        <v/>
      </c>
    </row>
    <row r="238" spans="1:14" ht="18" customHeight="1" x14ac:dyDescent="0.25">
      <c r="A238" s="216" t="str">
        <f>IF(DB_Customers!A232&lt;&gt;"",ROW()-9,"")</f>
        <v/>
      </c>
      <c r="B238" s="216" t="str">
        <f>IFERROR(IF(DB_Customers!A232&lt;&gt;"",DB_Customers!A232,""),"")</f>
        <v/>
      </c>
      <c r="C238" s="217" t="str">
        <f>IFERROR(IF(DB_Customers!D232&lt;&gt;"",DB_Customers!D232,""),"")</f>
        <v/>
      </c>
      <c r="D238" s="218" t="str">
        <f>IFERROR(IF(DB_Customers!Q232&lt;&gt;"",DB_Customers!Q232,""),"")</f>
        <v/>
      </c>
      <c r="E238" s="216" t="str">
        <f>IFERROR(IF(DB_Customers!R232&lt;&gt;"",DB_Customers!R232,""),"")</f>
        <v/>
      </c>
      <c r="F238" s="217" t="str">
        <f>IFERROR(IF(DB_Customers!S232&lt;&gt;"",DB_Customers!S232,""),"")</f>
        <v/>
      </c>
      <c r="G238" s="217" t="str">
        <f>IFERROR(IF(DB_Customers!G232&lt;&gt;"",DB_Customers!G232,""),"")</f>
        <v/>
      </c>
      <c r="H238" s="216" t="str">
        <f>IFERROR(IF(DB_Customers!H232&lt;&gt;"",DB_Customers!H232,""),"")</f>
        <v/>
      </c>
      <c r="I238" s="219" t="str">
        <f>IFERROR(IF(DB_Customers!I232&lt;&gt;"",DB_Customers!I232,""),"")</f>
        <v/>
      </c>
      <c r="J238" s="220" t="str">
        <f>IFERROR(IF(DB_Customers!J232&lt;&gt;"",DB_Customers!J232,""),"")</f>
        <v/>
      </c>
      <c r="K238" s="217" t="str">
        <f>IFERROR(IF(DB_Customers!E232&lt;&gt;"",DB_Customers!E232,""),"")</f>
        <v/>
      </c>
      <c r="L238" s="217" t="str">
        <f>IFERROR(IF(DB_Customers!F232&lt;&gt;"",DB_Customers!F232,""),"")</f>
        <v/>
      </c>
      <c r="M238" s="217" t="str">
        <f>IFERROR(IF(DB_Customers!T232&lt;&gt;"",DB_Customers!T232,""),"")</f>
        <v/>
      </c>
      <c r="N238" s="216" t="str">
        <f>IFERROR(IF(DB_Customers!A232&lt;&gt;"",IF(DB_Customers!I232&gt;=10,"Active","Inactive"),""),"")</f>
        <v/>
      </c>
    </row>
    <row r="239" spans="1:14" ht="18" customHeight="1" x14ac:dyDescent="0.25">
      <c r="A239" s="221" t="str">
        <f>IF(DB_Customers!A233&lt;&gt;"",ROW()-9,"")</f>
        <v/>
      </c>
      <c r="B239" s="221" t="str">
        <f>IFERROR(IF(DB_Customers!A233&lt;&gt;"",DB_Customers!A233,""),"")</f>
        <v/>
      </c>
      <c r="C239" s="222" t="str">
        <f>IFERROR(IF(DB_Customers!D233&lt;&gt;"",DB_Customers!D233,""),"")</f>
        <v/>
      </c>
      <c r="D239" s="223" t="str">
        <f>IFERROR(IF(DB_Customers!Q233&lt;&gt;"",DB_Customers!Q233,""),"")</f>
        <v/>
      </c>
      <c r="E239" s="221" t="str">
        <f>IFERROR(IF(DB_Customers!R233&lt;&gt;"",DB_Customers!R233,""),"")</f>
        <v/>
      </c>
      <c r="F239" s="222" t="str">
        <f>IFERROR(IF(DB_Customers!S233&lt;&gt;"",DB_Customers!S233,""),"")</f>
        <v/>
      </c>
      <c r="G239" s="222" t="str">
        <f>IFERROR(IF(DB_Customers!G233&lt;&gt;"",DB_Customers!G233,""),"")</f>
        <v/>
      </c>
      <c r="H239" s="221" t="str">
        <f>IFERROR(IF(DB_Customers!H233&lt;&gt;"",DB_Customers!H233,""),"")</f>
        <v/>
      </c>
      <c r="I239" s="224" t="str">
        <f>IFERROR(IF(DB_Customers!I233&lt;&gt;"",DB_Customers!I233,""),"")</f>
        <v/>
      </c>
      <c r="J239" s="225" t="str">
        <f>IFERROR(IF(DB_Customers!J233&lt;&gt;"",DB_Customers!J233,""),"")</f>
        <v/>
      </c>
      <c r="K239" s="222" t="str">
        <f>IFERROR(IF(DB_Customers!E233&lt;&gt;"",DB_Customers!E233,""),"")</f>
        <v/>
      </c>
      <c r="L239" s="222" t="str">
        <f>IFERROR(IF(DB_Customers!F233&lt;&gt;"",DB_Customers!F233,""),"")</f>
        <v/>
      </c>
      <c r="M239" s="222" t="str">
        <f>IFERROR(IF(DB_Customers!T233&lt;&gt;"",DB_Customers!T233,""),"")</f>
        <v/>
      </c>
      <c r="N239" s="221" t="str">
        <f>IFERROR(IF(DB_Customers!A233&lt;&gt;"",IF(DB_Customers!I233&gt;=10,"Active","Inactive"),""),"")</f>
        <v/>
      </c>
    </row>
    <row r="240" spans="1:14" ht="18" customHeight="1" x14ac:dyDescent="0.25">
      <c r="A240" s="216" t="str">
        <f>IF(DB_Customers!A234&lt;&gt;"",ROW()-9,"")</f>
        <v/>
      </c>
      <c r="B240" s="216" t="str">
        <f>IFERROR(IF(DB_Customers!A234&lt;&gt;"",DB_Customers!A234,""),"")</f>
        <v/>
      </c>
      <c r="C240" s="217" t="str">
        <f>IFERROR(IF(DB_Customers!D234&lt;&gt;"",DB_Customers!D234,""),"")</f>
        <v/>
      </c>
      <c r="D240" s="218" t="str">
        <f>IFERROR(IF(DB_Customers!Q234&lt;&gt;"",DB_Customers!Q234,""),"")</f>
        <v/>
      </c>
      <c r="E240" s="216" t="str">
        <f>IFERROR(IF(DB_Customers!R234&lt;&gt;"",DB_Customers!R234,""),"")</f>
        <v/>
      </c>
      <c r="F240" s="217" t="str">
        <f>IFERROR(IF(DB_Customers!S234&lt;&gt;"",DB_Customers!S234,""),"")</f>
        <v/>
      </c>
      <c r="G240" s="217" t="str">
        <f>IFERROR(IF(DB_Customers!G234&lt;&gt;"",DB_Customers!G234,""),"")</f>
        <v/>
      </c>
      <c r="H240" s="216" t="str">
        <f>IFERROR(IF(DB_Customers!H234&lt;&gt;"",DB_Customers!H234,""),"")</f>
        <v/>
      </c>
      <c r="I240" s="219" t="str">
        <f>IFERROR(IF(DB_Customers!I234&lt;&gt;"",DB_Customers!I234,""),"")</f>
        <v/>
      </c>
      <c r="J240" s="220" t="str">
        <f>IFERROR(IF(DB_Customers!J234&lt;&gt;"",DB_Customers!J234,""),"")</f>
        <v/>
      </c>
      <c r="K240" s="217" t="str">
        <f>IFERROR(IF(DB_Customers!E234&lt;&gt;"",DB_Customers!E234,""),"")</f>
        <v/>
      </c>
      <c r="L240" s="217" t="str">
        <f>IFERROR(IF(DB_Customers!F234&lt;&gt;"",DB_Customers!F234,""),"")</f>
        <v/>
      </c>
      <c r="M240" s="217" t="str">
        <f>IFERROR(IF(DB_Customers!T234&lt;&gt;"",DB_Customers!T234,""),"")</f>
        <v/>
      </c>
      <c r="N240" s="216" t="str">
        <f>IFERROR(IF(DB_Customers!A234&lt;&gt;"",IF(DB_Customers!I234&gt;=10,"Active","Inactive"),""),"")</f>
        <v/>
      </c>
    </row>
    <row r="241" spans="1:14" ht="18" customHeight="1" x14ac:dyDescent="0.25">
      <c r="A241" s="221" t="str">
        <f>IF(DB_Customers!A235&lt;&gt;"",ROW()-9,"")</f>
        <v/>
      </c>
      <c r="B241" s="221" t="str">
        <f>IFERROR(IF(DB_Customers!A235&lt;&gt;"",DB_Customers!A235,""),"")</f>
        <v/>
      </c>
      <c r="C241" s="222" t="str">
        <f>IFERROR(IF(DB_Customers!D235&lt;&gt;"",DB_Customers!D235,""),"")</f>
        <v/>
      </c>
      <c r="D241" s="223" t="str">
        <f>IFERROR(IF(DB_Customers!Q235&lt;&gt;"",DB_Customers!Q235,""),"")</f>
        <v/>
      </c>
      <c r="E241" s="221" t="str">
        <f>IFERROR(IF(DB_Customers!R235&lt;&gt;"",DB_Customers!R235,""),"")</f>
        <v/>
      </c>
      <c r="F241" s="222" t="str">
        <f>IFERROR(IF(DB_Customers!S235&lt;&gt;"",DB_Customers!S235,""),"")</f>
        <v/>
      </c>
      <c r="G241" s="222" t="str">
        <f>IFERROR(IF(DB_Customers!G235&lt;&gt;"",DB_Customers!G235,""),"")</f>
        <v/>
      </c>
      <c r="H241" s="221" t="str">
        <f>IFERROR(IF(DB_Customers!H235&lt;&gt;"",DB_Customers!H235,""),"")</f>
        <v/>
      </c>
      <c r="I241" s="224" t="str">
        <f>IFERROR(IF(DB_Customers!I235&lt;&gt;"",DB_Customers!I235,""),"")</f>
        <v/>
      </c>
      <c r="J241" s="225" t="str">
        <f>IFERROR(IF(DB_Customers!J235&lt;&gt;"",DB_Customers!J235,""),"")</f>
        <v/>
      </c>
      <c r="K241" s="222" t="str">
        <f>IFERROR(IF(DB_Customers!E235&lt;&gt;"",DB_Customers!E235,""),"")</f>
        <v/>
      </c>
      <c r="L241" s="222" t="str">
        <f>IFERROR(IF(DB_Customers!F235&lt;&gt;"",DB_Customers!F235,""),"")</f>
        <v/>
      </c>
      <c r="M241" s="222" t="str">
        <f>IFERROR(IF(DB_Customers!T235&lt;&gt;"",DB_Customers!T235,""),"")</f>
        <v/>
      </c>
      <c r="N241" s="221" t="str">
        <f>IFERROR(IF(DB_Customers!A235&lt;&gt;"",IF(DB_Customers!I235&gt;=10,"Active","Inactive"),""),"")</f>
        <v/>
      </c>
    </row>
    <row r="242" spans="1:14" ht="18" customHeight="1" x14ac:dyDescent="0.25">
      <c r="A242" s="216" t="str">
        <f>IF(DB_Customers!A236&lt;&gt;"",ROW()-9,"")</f>
        <v/>
      </c>
      <c r="B242" s="216" t="str">
        <f>IFERROR(IF(DB_Customers!A236&lt;&gt;"",DB_Customers!A236,""),"")</f>
        <v/>
      </c>
      <c r="C242" s="217" t="str">
        <f>IFERROR(IF(DB_Customers!D236&lt;&gt;"",DB_Customers!D236,""),"")</f>
        <v/>
      </c>
      <c r="D242" s="218" t="str">
        <f>IFERROR(IF(DB_Customers!Q236&lt;&gt;"",DB_Customers!Q236,""),"")</f>
        <v/>
      </c>
      <c r="E242" s="216" t="str">
        <f>IFERROR(IF(DB_Customers!R236&lt;&gt;"",DB_Customers!R236,""),"")</f>
        <v/>
      </c>
      <c r="F242" s="217" t="str">
        <f>IFERROR(IF(DB_Customers!S236&lt;&gt;"",DB_Customers!S236,""),"")</f>
        <v/>
      </c>
      <c r="G242" s="217" t="str">
        <f>IFERROR(IF(DB_Customers!G236&lt;&gt;"",DB_Customers!G236,""),"")</f>
        <v/>
      </c>
      <c r="H242" s="216" t="str">
        <f>IFERROR(IF(DB_Customers!H236&lt;&gt;"",DB_Customers!H236,""),"")</f>
        <v/>
      </c>
      <c r="I242" s="219" t="str">
        <f>IFERROR(IF(DB_Customers!I236&lt;&gt;"",DB_Customers!I236,""),"")</f>
        <v/>
      </c>
      <c r="J242" s="220" t="str">
        <f>IFERROR(IF(DB_Customers!J236&lt;&gt;"",DB_Customers!J236,""),"")</f>
        <v/>
      </c>
      <c r="K242" s="217" t="str">
        <f>IFERROR(IF(DB_Customers!E236&lt;&gt;"",DB_Customers!E236,""),"")</f>
        <v/>
      </c>
      <c r="L242" s="217" t="str">
        <f>IFERROR(IF(DB_Customers!F236&lt;&gt;"",DB_Customers!F236,""),"")</f>
        <v/>
      </c>
      <c r="M242" s="217" t="str">
        <f>IFERROR(IF(DB_Customers!T236&lt;&gt;"",DB_Customers!T236,""),"")</f>
        <v/>
      </c>
      <c r="N242" s="216" t="str">
        <f>IFERROR(IF(DB_Customers!A236&lt;&gt;"",IF(DB_Customers!I236&gt;=10,"Active","Inactive"),""),"")</f>
        <v/>
      </c>
    </row>
    <row r="243" spans="1:14" ht="18" customHeight="1" x14ac:dyDescent="0.25">
      <c r="A243" s="221" t="str">
        <f>IF(DB_Customers!A237&lt;&gt;"",ROW()-9,"")</f>
        <v/>
      </c>
      <c r="B243" s="221" t="str">
        <f>IFERROR(IF(DB_Customers!A237&lt;&gt;"",DB_Customers!A237,""),"")</f>
        <v/>
      </c>
      <c r="C243" s="222" t="str">
        <f>IFERROR(IF(DB_Customers!D237&lt;&gt;"",DB_Customers!D237,""),"")</f>
        <v/>
      </c>
      <c r="D243" s="223" t="str">
        <f>IFERROR(IF(DB_Customers!Q237&lt;&gt;"",DB_Customers!Q237,""),"")</f>
        <v/>
      </c>
      <c r="E243" s="221" t="str">
        <f>IFERROR(IF(DB_Customers!R237&lt;&gt;"",DB_Customers!R237,""),"")</f>
        <v/>
      </c>
      <c r="F243" s="222" t="str">
        <f>IFERROR(IF(DB_Customers!S237&lt;&gt;"",DB_Customers!S237,""),"")</f>
        <v/>
      </c>
      <c r="G243" s="222" t="str">
        <f>IFERROR(IF(DB_Customers!G237&lt;&gt;"",DB_Customers!G237,""),"")</f>
        <v/>
      </c>
      <c r="H243" s="221" t="str">
        <f>IFERROR(IF(DB_Customers!H237&lt;&gt;"",DB_Customers!H237,""),"")</f>
        <v/>
      </c>
      <c r="I243" s="224" t="str">
        <f>IFERROR(IF(DB_Customers!I237&lt;&gt;"",DB_Customers!I237,""),"")</f>
        <v/>
      </c>
      <c r="J243" s="225" t="str">
        <f>IFERROR(IF(DB_Customers!J237&lt;&gt;"",DB_Customers!J237,""),"")</f>
        <v/>
      </c>
      <c r="K243" s="222" t="str">
        <f>IFERROR(IF(DB_Customers!E237&lt;&gt;"",DB_Customers!E237,""),"")</f>
        <v/>
      </c>
      <c r="L243" s="222" t="str">
        <f>IFERROR(IF(DB_Customers!F237&lt;&gt;"",DB_Customers!F237,""),"")</f>
        <v/>
      </c>
      <c r="M243" s="222" t="str">
        <f>IFERROR(IF(DB_Customers!T237&lt;&gt;"",DB_Customers!T237,""),"")</f>
        <v/>
      </c>
      <c r="N243" s="221" t="str">
        <f>IFERROR(IF(DB_Customers!A237&lt;&gt;"",IF(DB_Customers!I237&gt;=10,"Active","Inactive"),""),"")</f>
        <v/>
      </c>
    </row>
    <row r="244" spans="1:14" ht="18" customHeight="1" x14ac:dyDescent="0.25">
      <c r="A244" s="216" t="str">
        <f>IF(DB_Customers!A238&lt;&gt;"",ROW()-9,"")</f>
        <v/>
      </c>
      <c r="B244" s="216" t="str">
        <f>IFERROR(IF(DB_Customers!A238&lt;&gt;"",DB_Customers!A238,""),"")</f>
        <v/>
      </c>
      <c r="C244" s="217" t="str">
        <f>IFERROR(IF(DB_Customers!D238&lt;&gt;"",DB_Customers!D238,""),"")</f>
        <v/>
      </c>
      <c r="D244" s="218" t="str">
        <f>IFERROR(IF(DB_Customers!Q238&lt;&gt;"",DB_Customers!Q238,""),"")</f>
        <v/>
      </c>
      <c r="E244" s="216" t="str">
        <f>IFERROR(IF(DB_Customers!R238&lt;&gt;"",DB_Customers!R238,""),"")</f>
        <v/>
      </c>
      <c r="F244" s="217" t="str">
        <f>IFERROR(IF(DB_Customers!S238&lt;&gt;"",DB_Customers!S238,""),"")</f>
        <v/>
      </c>
      <c r="G244" s="217" t="str">
        <f>IFERROR(IF(DB_Customers!G238&lt;&gt;"",DB_Customers!G238,""),"")</f>
        <v/>
      </c>
      <c r="H244" s="216" t="str">
        <f>IFERROR(IF(DB_Customers!H238&lt;&gt;"",DB_Customers!H238,""),"")</f>
        <v/>
      </c>
      <c r="I244" s="219" t="str">
        <f>IFERROR(IF(DB_Customers!I238&lt;&gt;"",DB_Customers!I238,""),"")</f>
        <v/>
      </c>
      <c r="J244" s="220" t="str">
        <f>IFERROR(IF(DB_Customers!J238&lt;&gt;"",DB_Customers!J238,""),"")</f>
        <v/>
      </c>
      <c r="K244" s="217" t="str">
        <f>IFERROR(IF(DB_Customers!E238&lt;&gt;"",DB_Customers!E238,""),"")</f>
        <v/>
      </c>
      <c r="L244" s="217" t="str">
        <f>IFERROR(IF(DB_Customers!F238&lt;&gt;"",DB_Customers!F238,""),"")</f>
        <v/>
      </c>
      <c r="M244" s="217" t="str">
        <f>IFERROR(IF(DB_Customers!T238&lt;&gt;"",DB_Customers!T238,""),"")</f>
        <v/>
      </c>
      <c r="N244" s="216" t="str">
        <f>IFERROR(IF(DB_Customers!A238&lt;&gt;"",IF(DB_Customers!I238&gt;=10,"Active","Inactive"),""),"")</f>
        <v/>
      </c>
    </row>
    <row r="245" spans="1:14" ht="18" customHeight="1" x14ac:dyDescent="0.25">
      <c r="A245" s="221" t="str">
        <f>IF(DB_Customers!A239&lt;&gt;"",ROW()-9,"")</f>
        <v/>
      </c>
      <c r="B245" s="221" t="str">
        <f>IFERROR(IF(DB_Customers!A239&lt;&gt;"",DB_Customers!A239,""),"")</f>
        <v/>
      </c>
      <c r="C245" s="222" t="str">
        <f>IFERROR(IF(DB_Customers!D239&lt;&gt;"",DB_Customers!D239,""),"")</f>
        <v/>
      </c>
      <c r="D245" s="223" t="str">
        <f>IFERROR(IF(DB_Customers!Q239&lt;&gt;"",DB_Customers!Q239,""),"")</f>
        <v/>
      </c>
      <c r="E245" s="221" t="str">
        <f>IFERROR(IF(DB_Customers!R239&lt;&gt;"",DB_Customers!R239,""),"")</f>
        <v/>
      </c>
      <c r="F245" s="222" t="str">
        <f>IFERROR(IF(DB_Customers!S239&lt;&gt;"",DB_Customers!S239,""),"")</f>
        <v/>
      </c>
      <c r="G245" s="222" t="str">
        <f>IFERROR(IF(DB_Customers!G239&lt;&gt;"",DB_Customers!G239,""),"")</f>
        <v/>
      </c>
      <c r="H245" s="221" t="str">
        <f>IFERROR(IF(DB_Customers!H239&lt;&gt;"",DB_Customers!H239,""),"")</f>
        <v/>
      </c>
      <c r="I245" s="224" t="str">
        <f>IFERROR(IF(DB_Customers!I239&lt;&gt;"",DB_Customers!I239,""),"")</f>
        <v/>
      </c>
      <c r="J245" s="225" t="str">
        <f>IFERROR(IF(DB_Customers!J239&lt;&gt;"",DB_Customers!J239,""),"")</f>
        <v/>
      </c>
      <c r="K245" s="222" t="str">
        <f>IFERROR(IF(DB_Customers!E239&lt;&gt;"",DB_Customers!E239,""),"")</f>
        <v/>
      </c>
      <c r="L245" s="222" t="str">
        <f>IFERROR(IF(DB_Customers!F239&lt;&gt;"",DB_Customers!F239,""),"")</f>
        <v/>
      </c>
      <c r="M245" s="222" t="str">
        <f>IFERROR(IF(DB_Customers!T239&lt;&gt;"",DB_Customers!T239,""),"")</f>
        <v/>
      </c>
      <c r="N245" s="221" t="str">
        <f>IFERROR(IF(DB_Customers!A239&lt;&gt;"",IF(DB_Customers!I239&gt;=10,"Active","Inactive"),""),"")</f>
        <v/>
      </c>
    </row>
    <row r="246" spans="1:14" ht="18" customHeight="1" x14ac:dyDescent="0.25">
      <c r="A246" s="216" t="str">
        <f>IF(DB_Customers!A240&lt;&gt;"",ROW()-9,"")</f>
        <v/>
      </c>
      <c r="B246" s="216" t="str">
        <f>IFERROR(IF(DB_Customers!A240&lt;&gt;"",DB_Customers!A240,""),"")</f>
        <v/>
      </c>
      <c r="C246" s="217" t="str">
        <f>IFERROR(IF(DB_Customers!D240&lt;&gt;"",DB_Customers!D240,""),"")</f>
        <v/>
      </c>
      <c r="D246" s="218" t="str">
        <f>IFERROR(IF(DB_Customers!Q240&lt;&gt;"",DB_Customers!Q240,""),"")</f>
        <v/>
      </c>
      <c r="E246" s="216" t="str">
        <f>IFERROR(IF(DB_Customers!R240&lt;&gt;"",DB_Customers!R240,""),"")</f>
        <v/>
      </c>
      <c r="F246" s="217" t="str">
        <f>IFERROR(IF(DB_Customers!S240&lt;&gt;"",DB_Customers!S240,""),"")</f>
        <v/>
      </c>
      <c r="G246" s="217" t="str">
        <f>IFERROR(IF(DB_Customers!G240&lt;&gt;"",DB_Customers!G240,""),"")</f>
        <v/>
      </c>
      <c r="H246" s="216" t="str">
        <f>IFERROR(IF(DB_Customers!H240&lt;&gt;"",DB_Customers!H240,""),"")</f>
        <v/>
      </c>
      <c r="I246" s="219" t="str">
        <f>IFERROR(IF(DB_Customers!I240&lt;&gt;"",DB_Customers!I240,""),"")</f>
        <v/>
      </c>
      <c r="J246" s="220" t="str">
        <f>IFERROR(IF(DB_Customers!J240&lt;&gt;"",DB_Customers!J240,""),"")</f>
        <v/>
      </c>
      <c r="K246" s="217" t="str">
        <f>IFERROR(IF(DB_Customers!E240&lt;&gt;"",DB_Customers!E240,""),"")</f>
        <v/>
      </c>
      <c r="L246" s="217" t="str">
        <f>IFERROR(IF(DB_Customers!F240&lt;&gt;"",DB_Customers!F240,""),"")</f>
        <v/>
      </c>
      <c r="M246" s="217" t="str">
        <f>IFERROR(IF(DB_Customers!T240&lt;&gt;"",DB_Customers!T240,""),"")</f>
        <v/>
      </c>
      <c r="N246" s="216" t="str">
        <f>IFERROR(IF(DB_Customers!A240&lt;&gt;"",IF(DB_Customers!I240&gt;=10,"Active","Inactive"),""),"")</f>
        <v/>
      </c>
    </row>
    <row r="247" spans="1:14" ht="18" customHeight="1" x14ac:dyDescent="0.25">
      <c r="A247" s="221" t="str">
        <f>IF(DB_Customers!A241&lt;&gt;"",ROW()-9,"")</f>
        <v/>
      </c>
      <c r="B247" s="221" t="str">
        <f>IFERROR(IF(DB_Customers!A241&lt;&gt;"",DB_Customers!A241,""),"")</f>
        <v/>
      </c>
      <c r="C247" s="222" t="str">
        <f>IFERROR(IF(DB_Customers!D241&lt;&gt;"",DB_Customers!D241,""),"")</f>
        <v/>
      </c>
      <c r="D247" s="223" t="str">
        <f>IFERROR(IF(DB_Customers!Q241&lt;&gt;"",DB_Customers!Q241,""),"")</f>
        <v/>
      </c>
      <c r="E247" s="221" t="str">
        <f>IFERROR(IF(DB_Customers!R241&lt;&gt;"",DB_Customers!R241,""),"")</f>
        <v/>
      </c>
      <c r="F247" s="222" t="str">
        <f>IFERROR(IF(DB_Customers!S241&lt;&gt;"",DB_Customers!S241,""),"")</f>
        <v/>
      </c>
      <c r="G247" s="222" t="str">
        <f>IFERROR(IF(DB_Customers!G241&lt;&gt;"",DB_Customers!G241,""),"")</f>
        <v/>
      </c>
      <c r="H247" s="221" t="str">
        <f>IFERROR(IF(DB_Customers!H241&lt;&gt;"",DB_Customers!H241,""),"")</f>
        <v/>
      </c>
      <c r="I247" s="224" t="str">
        <f>IFERROR(IF(DB_Customers!I241&lt;&gt;"",DB_Customers!I241,""),"")</f>
        <v/>
      </c>
      <c r="J247" s="225" t="str">
        <f>IFERROR(IF(DB_Customers!J241&lt;&gt;"",DB_Customers!J241,""),"")</f>
        <v/>
      </c>
      <c r="K247" s="222" t="str">
        <f>IFERROR(IF(DB_Customers!E241&lt;&gt;"",DB_Customers!E241,""),"")</f>
        <v/>
      </c>
      <c r="L247" s="222" t="str">
        <f>IFERROR(IF(DB_Customers!F241&lt;&gt;"",DB_Customers!F241,""),"")</f>
        <v/>
      </c>
      <c r="M247" s="222" t="str">
        <f>IFERROR(IF(DB_Customers!T241&lt;&gt;"",DB_Customers!T241,""),"")</f>
        <v/>
      </c>
      <c r="N247" s="221" t="str">
        <f>IFERROR(IF(DB_Customers!A241&lt;&gt;"",IF(DB_Customers!I241&gt;=10,"Active","Inactive"),""),"")</f>
        <v/>
      </c>
    </row>
    <row r="248" spans="1:14" ht="18" customHeight="1" x14ac:dyDescent="0.25">
      <c r="A248" s="216" t="str">
        <f>IF(DB_Customers!A242&lt;&gt;"",ROW()-9,"")</f>
        <v/>
      </c>
      <c r="B248" s="216" t="str">
        <f>IFERROR(IF(DB_Customers!A242&lt;&gt;"",DB_Customers!A242,""),"")</f>
        <v/>
      </c>
      <c r="C248" s="217" t="str">
        <f>IFERROR(IF(DB_Customers!D242&lt;&gt;"",DB_Customers!D242,""),"")</f>
        <v/>
      </c>
      <c r="D248" s="218" t="str">
        <f>IFERROR(IF(DB_Customers!Q242&lt;&gt;"",DB_Customers!Q242,""),"")</f>
        <v/>
      </c>
      <c r="E248" s="216" t="str">
        <f>IFERROR(IF(DB_Customers!R242&lt;&gt;"",DB_Customers!R242,""),"")</f>
        <v/>
      </c>
      <c r="F248" s="217" t="str">
        <f>IFERROR(IF(DB_Customers!S242&lt;&gt;"",DB_Customers!S242,""),"")</f>
        <v/>
      </c>
      <c r="G248" s="217" t="str">
        <f>IFERROR(IF(DB_Customers!G242&lt;&gt;"",DB_Customers!G242,""),"")</f>
        <v/>
      </c>
      <c r="H248" s="216" t="str">
        <f>IFERROR(IF(DB_Customers!H242&lt;&gt;"",DB_Customers!H242,""),"")</f>
        <v/>
      </c>
      <c r="I248" s="219" t="str">
        <f>IFERROR(IF(DB_Customers!I242&lt;&gt;"",DB_Customers!I242,""),"")</f>
        <v/>
      </c>
      <c r="J248" s="220" t="str">
        <f>IFERROR(IF(DB_Customers!J242&lt;&gt;"",DB_Customers!J242,""),"")</f>
        <v/>
      </c>
      <c r="K248" s="217" t="str">
        <f>IFERROR(IF(DB_Customers!E242&lt;&gt;"",DB_Customers!E242,""),"")</f>
        <v/>
      </c>
      <c r="L248" s="217" t="str">
        <f>IFERROR(IF(DB_Customers!F242&lt;&gt;"",DB_Customers!F242,""),"")</f>
        <v/>
      </c>
      <c r="M248" s="217" t="str">
        <f>IFERROR(IF(DB_Customers!T242&lt;&gt;"",DB_Customers!T242,""),"")</f>
        <v/>
      </c>
      <c r="N248" s="216" t="str">
        <f>IFERROR(IF(DB_Customers!A242&lt;&gt;"",IF(DB_Customers!I242&gt;=10,"Active","Inactive"),""),"")</f>
        <v/>
      </c>
    </row>
    <row r="249" spans="1:14" ht="18" customHeight="1" x14ac:dyDescent="0.25">
      <c r="A249" s="221" t="str">
        <f>IF(DB_Customers!A243&lt;&gt;"",ROW()-9,"")</f>
        <v/>
      </c>
      <c r="B249" s="221" t="str">
        <f>IFERROR(IF(DB_Customers!A243&lt;&gt;"",DB_Customers!A243,""),"")</f>
        <v/>
      </c>
      <c r="C249" s="222" t="str">
        <f>IFERROR(IF(DB_Customers!D243&lt;&gt;"",DB_Customers!D243,""),"")</f>
        <v/>
      </c>
      <c r="D249" s="223" t="str">
        <f>IFERROR(IF(DB_Customers!Q243&lt;&gt;"",DB_Customers!Q243,""),"")</f>
        <v/>
      </c>
      <c r="E249" s="221" t="str">
        <f>IFERROR(IF(DB_Customers!R243&lt;&gt;"",DB_Customers!R243,""),"")</f>
        <v/>
      </c>
      <c r="F249" s="222" t="str">
        <f>IFERROR(IF(DB_Customers!S243&lt;&gt;"",DB_Customers!S243,""),"")</f>
        <v/>
      </c>
      <c r="G249" s="222" t="str">
        <f>IFERROR(IF(DB_Customers!G243&lt;&gt;"",DB_Customers!G243,""),"")</f>
        <v/>
      </c>
      <c r="H249" s="221" t="str">
        <f>IFERROR(IF(DB_Customers!H243&lt;&gt;"",DB_Customers!H243,""),"")</f>
        <v/>
      </c>
      <c r="I249" s="224" t="str">
        <f>IFERROR(IF(DB_Customers!I243&lt;&gt;"",DB_Customers!I243,""),"")</f>
        <v/>
      </c>
      <c r="J249" s="225" t="str">
        <f>IFERROR(IF(DB_Customers!J243&lt;&gt;"",DB_Customers!J243,""),"")</f>
        <v/>
      </c>
      <c r="K249" s="222" t="str">
        <f>IFERROR(IF(DB_Customers!E243&lt;&gt;"",DB_Customers!E243,""),"")</f>
        <v/>
      </c>
      <c r="L249" s="222" t="str">
        <f>IFERROR(IF(DB_Customers!F243&lt;&gt;"",DB_Customers!F243,""),"")</f>
        <v/>
      </c>
      <c r="M249" s="222" t="str">
        <f>IFERROR(IF(DB_Customers!T243&lt;&gt;"",DB_Customers!T243,""),"")</f>
        <v/>
      </c>
      <c r="N249" s="221" t="str">
        <f>IFERROR(IF(DB_Customers!A243&lt;&gt;"",IF(DB_Customers!I243&gt;=10,"Active","Inactive"),""),"")</f>
        <v/>
      </c>
    </row>
    <row r="250" spans="1:14" ht="18" customHeight="1" x14ac:dyDescent="0.25">
      <c r="A250" s="216" t="str">
        <f>IF(DB_Customers!A244&lt;&gt;"",ROW()-9,"")</f>
        <v/>
      </c>
      <c r="B250" s="216" t="str">
        <f>IFERROR(IF(DB_Customers!A244&lt;&gt;"",DB_Customers!A244,""),"")</f>
        <v/>
      </c>
      <c r="C250" s="217" t="str">
        <f>IFERROR(IF(DB_Customers!D244&lt;&gt;"",DB_Customers!D244,""),"")</f>
        <v/>
      </c>
      <c r="D250" s="218" t="str">
        <f>IFERROR(IF(DB_Customers!Q244&lt;&gt;"",DB_Customers!Q244,""),"")</f>
        <v/>
      </c>
      <c r="E250" s="216" t="str">
        <f>IFERROR(IF(DB_Customers!R244&lt;&gt;"",DB_Customers!R244,""),"")</f>
        <v/>
      </c>
      <c r="F250" s="217" t="str">
        <f>IFERROR(IF(DB_Customers!S244&lt;&gt;"",DB_Customers!S244,""),"")</f>
        <v/>
      </c>
      <c r="G250" s="217" t="str">
        <f>IFERROR(IF(DB_Customers!G244&lt;&gt;"",DB_Customers!G244,""),"")</f>
        <v/>
      </c>
      <c r="H250" s="216" t="str">
        <f>IFERROR(IF(DB_Customers!H244&lt;&gt;"",DB_Customers!H244,""),"")</f>
        <v/>
      </c>
      <c r="I250" s="219" t="str">
        <f>IFERROR(IF(DB_Customers!I244&lt;&gt;"",DB_Customers!I244,""),"")</f>
        <v/>
      </c>
      <c r="J250" s="220" t="str">
        <f>IFERROR(IF(DB_Customers!J244&lt;&gt;"",DB_Customers!J244,""),"")</f>
        <v/>
      </c>
      <c r="K250" s="217" t="str">
        <f>IFERROR(IF(DB_Customers!E244&lt;&gt;"",DB_Customers!E244,""),"")</f>
        <v/>
      </c>
      <c r="L250" s="217" t="str">
        <f>IFERROR(IF(DB_Customers!F244&lt;&gt;"",DB_Customers!F244,""),"")</f>
        <v/>
      </c>
      <c r="M250" s="217" t="str">
        <f>IFERROR(IF(DB_Customers!T244&lt;&gt;"",DB_Customers!T244,""),"")</f>
        <v/>
      </c>
      <c r="N250" s="216" t="str">
        <f>IFERROR(IF(DB_Customers!A244&lt;&gt;"",IF(DB_Customers!I244&gt;=10,"Active","Inactive"),""),"")</f>
        <v/>
      </c>
    </row>
    <row r="251" spans="1:14" ht="18" customHeight="1" x14ac:dyDescent="0.25">
      <c r="A251" s="221" t="str">
        <f>IF(DB_Customers!A245&lt;&gt;"",ROW()-9,"")</f>
        <v/>
      </c>
      <c r="B251" s="221" t="str">
        <f>IFERROR(IF(DB_Customers!A245&lt;&gt;"",DB_Customers!A245,""),"")</f>
        <v/>
      </c>
      <c r="C251" s="222" t="str">
        <f>IFERROR(IF(DB_Customers!D245&lt;&gt;"",DB_Customers!D245,""),"")</f>
        <v/>
      </c>
      <c r="D251" s="223" t="str">
        <f>IFERROR(IF(DB_Customers!Q245&lt;&gt;"",DB_Customers!Q245,""),"")</f>
        <v/>
      </c>
      <c r="E251" s="221" t="str">
        <f>IFERROR(IF(DB_Customers!R245&lt;&gt;"",DB_Customers!R245,""),"")</f>
        <v/>
      </c>
      <c r="F251" s="222" t="str">
        <f>IFERROR(IF(DB_Customers!S245&lt;&gt;"",DB_Customers!S245,""),"")</f>
        <v/>
      </c>
      <c r="G251" s="222" t="str">
        <f>IFERROR(IF(DB_Customers!G245&lt;&gt;"",DB_Customers!G245,""),"")</f>
        <v/>
      </c>
      <c r="H251" s="221" t="str">
        <f>IFERROR(IF(DB_Customers!H245&lt;&gt;"",DB_Customers!H245,""),"")</f>
        <v/>
      </c>
      <c r="I251" s="224" t="str">
        <f>IFERROR(IF(DB_Customers!I245&lt;&gt;"",DB_Customers!I245,""),"")</f>
        <v/>
      </c>
      <c r="J251" s="225" t="str">
        <f>IFERROR(IF(DB_Customers!J245&lt;&gt;"",DB_Customers!J245,""),"")</f>
        <v/>
      </c>
      <c r="K251" s="222" t="str">
        <f>IFERROR(IF(DB_Customers!E245&lt;&gt;"",DB_Customers!E245,""),"")</f>
        <v/>
      </c>
      <c r="L251" s="222" t="str">
        <f>IFERROR(IF(DB_Customers!F245&lt;&gt;"",DB_Customers!F245,""),"")</f>
        <v/>
      </c>
      <c r="M251" s="222" t="str">
        <f>IFERROR(IF(DB_Customers!T245&lt;&gt;"",DB_Customers!T245,""),"")</f>
        <v/>
      </c>
      <c r="N251" s="221" t="str">
        <f>IFERROR(IF(DB_Customers!A245&lt;&gt;"",IF(DB_Customers!I245&gt;=10,"Active","Inactive"),""),"")</f>
        <v/>
      </c>
    </row>
    <row r="252" spans="1:14" ht="18" customHeight="1" x14ac:dyDescent="0.25">
      <c r="A252" s="216" t="str">
        <f>IF(DB_Customers!A246&lt;&gt;"",ROW()-9,"")</f>
        <v/>
      </c>
      <c r="B252" s="216" t="str">
        <f>IFERROR(IF(DB_Customers!A246&lt;&gt;"",DB_Customers!A246,""),"")</f>
        <v/>
      </c>
      <c r="C252" s="217" t="str">
        <f>IFERROR(IF(DB_Customers!D246&lt;&gt;"",DB_Customers!D246,""),"")</f>
        <v/>
      </c>
      <c r="D252" s="218" t="str">
        <f>IFERROR(IF(DB_Customers!Q246&lt;&gt;"",DB_Customers!Q246,""),"")</f>
        <v/>
      </c>
      <c r="E252" s="216" t="str">
        <f>IFERROR(IF(DB_Customers!R246&lt;&gt;"",DB_Customers!R246,""),"")</f>
        <v/>
      </c>
      <c r="F252" s="217" t="str">
        <f>IFERROR(IF(DB_Customers!S246&lt;&gt;"",DB_Customers!S246,""),"")</f>
        <v/>
      </c>
      <c r="G252" s="217" t="str">
        <f>IFERROR(IF(DB_Customers!G246&lt;&gt;"",DB_Customers!G246,""),"")</f>
        <v/>
      </c>
      <c r="H252" s="216" t="str">
        <f>IFERROR(IF(DB_Customers!H246&lt;&gt;"",DB_Customers!H246,""),"")</f>
        <v/>
      </c>
      <c r="I252" s="219" t="str">
        <f>IFERROR(IF(DB_Customers!I246&lt;&gt;"",DB_Customers!I246,""),"")</f>
        <v/>
      </c>
      <c r="J252" s="220" t="str">
        <f>IFERROR(IF(DB_Customers!J246&lt;&gt;"",DB_Customers!J246,""),"")</f>
        <v/>
      </c>
      <c r="K252" s="217" t="str">
        <f>IFERROR(IF(DB_Customers!E246&lt;&gt;"",DB_Customers!E246,""),"")</f>
        <v/>
      </c>
      <c r="L252" s="217" t="str">
        <f>IFERROR(IF(DB_Customers!F246&lt;&gt;"",DB_Customers!F246,""),"")</f>
        <v/>
      </c>
      <c r="M252" s="217" t="str">
        <f>IFERROR(IF(DB_Customers!T246&lt;&gt;"",DB_Customers!T246,""),"")</f>
        <v/>
      </c>
      <c r="N252" s="216" t="str">
        <f>IFERROR(IF(DB_Customers!A246&lt;&gt;"",IF(DB_Customers!I246&gt;=10,"Active","Inactive"),""),"")</f>
        <v/>
      </c>
    </row>
    <row r="253" spans="1:14" ht="18" customHeight="1" x14ac:dyDescent="0.25">
      <c r="A253" s="221" t="str">
        <f>IF(DB_Customers!A247&lt;&gt;"",ROW()-9,"")</f>
        <v/>
      </c>
      <c r="B253" s="221" t="str">
        <f>IFERROR(IF(DB_Customers!A247&lt;&gt;"",DB_Customers!A247,""),"")</f>
        <v/>
      </c>
      <c r="C253" s="222" t="str">
        <f>IFERROR(IF(DB_Customers!D247&lt;&gt;"",DB_Customers!D247,""),"")</f>
        <v/>
      </c>
      <c r="D253" s="223" t="str">
        <f>IFERROR(IF(DB_Customers!Q247&lt;&gt;"",DB_Customers!Q247,""),"")</f>
        <v/>
      </c>
      <c r="E253" s="221" t="str">
        <f>IFERROR(IF(DB_Customers!R247&lt;&gt;"",DB_Customers!R247,""),"")</f>
        <v/>
      </c>
      <c r="F253" s="222" t="str">
        <f>IFERROR(IF(DB_Customers!S247&lt;&gt;"",DB_Customers!S247,""),"")</f>
        <v/>
      </c>
      <c r="G253" s="222" t="str">
        <f>IFERROR(IF(DB_Customers!G247&lt;&gt;"",DB_Customers!G247,""),"")</f>
        <v/>
      </c>
      <c r="H253" s="221" t="str">
        <f>IFERROR(IF(DB_Customers!H247&lt;&gt;"",DB_Customers!H247,""),"")</f>
        <v/>
      </c>
      <c r="I253" s="224" t="str">
        <f>IFERROR(IF(DB_Customers!I247&lt;&gt;"",DB_Customers!I247,""),"")</f>
        <v/>
      </c>
      <c r="J253" s="225" t="str">
        <f>IFERROR(IF(DB_Customers!J247&lt;&gt;"",DB_Customers!J247,""),"")</f>
        <v/>
      </c>
      <c r="K253" s="222" t="str">
        <f>IFERROR(IF(DB_Customers!E247&lt;&gt;"",DB_Customers!E247,""),"")</f>
        <v/>
      </c>
      <c r="L253" s="222" t="str">
        <f>IFERROR(IF(DB_Customers!F247&lt;&gt;"",DB_Customers!F247,""),"")</f>
        <v/>
      </c>
      <c r="M253" s="222" t="str">
        <f>IFERROR(IF(DB_Customers!T247&lt;&gt;"",DB_Customers!T247,""),"")</f>
        <v/>
      </c>
      <c r="N253" s="221" t="str">
        <f>IFERROR(IF(DB_Customers!A247&lt;&gt;"",IF(DB_Customers!I247&gt;=10,"Active","Inactive"),""),"")</f>
        <v/>
      </c>
    </row>
    <row r="254" spans="1:14" ht="18" customHeight="1" x14ac:dyDescent="0.25">
      <c r="A254" s="216" t="str">
        <f>IF(DB_Customers!A248&lt;&gt;"",ROW()-9,"")</f>
        <v/>
      </c>
      <c r="B254" s="216" t="str">
        <f>IFERROR(IF(DB_Customers!A248&lt;&gt;"",DB_Customers!A248,""),"")</f>
        <v/>
      </c>
      <c r="C254" s="217" t="str">
        <f>IFERROR(IF(DB_Customers!D248&lt;&gt;"",DB_Customers!D248,""),"")</f>
        <v/>
      </c>
      <c r="D254" s="218" t="str">
        <f>IFERROR(IF(DB_Customers!Q248&lt;&gt;"",DB_Customers!Q248,""),"")</f>
        <v/>
      </c>
      <c r="E254" s="216" t="str">
        <f>IFERROR(IF(DB_Customers!R248&lt;&gt;"",DB_Customers!R248,""),"")</f>
        <v/>
      </c>
      <c r="F254" s="217" t="str">
        <f>IFERROR(IF(DB_Customers!S248&lt;&gt;"",DB_Customers!S248,""),"")</f>
        <v/>
      </c>
      <c r="G254" s="217" t="str">
        <f>IFERROR(IF(DB_Customers!G248&lt;&gt;"",DB_Customers!G248,""),"")</f>
        <v/>
      </c>
      <c r="H254" s="216" t="str">
        <f>IFERROR(IF(DB_Customers!H248&lt;&gt;"",DB_Customers!H248,""),"")</f>
        <v/>
      </c>
      <c r="I254" s="219" t="str">
        <f>IFERROR(IF(DB_Customers!I248&lt;&gt;"",DB_Customers!I248,""),"")</f>
        <v/>
      </c>
      <c r="J254" s="220" t="str">
        <f>IFERROR(IF(DB_Customers!J248&lt;&gt;"",DB_Customers!J248,""),"")</f>
        <v/>
      </c>
      <c r="K254" s="217" t="str">
        <f>IFERROR(IF(DB_Customers!E248&lt;&gt;"",DB_Customers!E248,""),"")</f>
        <v/>
      </c>
      <c r="L254" s="217" t="str">
        <f>IFERROR(IF(DB_Customers!F248&lt;&gt;"",DB_Customers!F248,""),"")</f>
        <v/>
      </c>
      <c r="M254" s="217" t="str">
        <f>IFERROR(IF(DB_Customers!T248&lt;&gt;"",DB_Customers!T248,""),"")</f>
        <v/>
      </c>
      <c r="N254" s="216" t="str">
        <f>IFERROR(IF(DB_Customers!A248&lt;&gt;"",IF(DB_Customers!I248&gt;=10,"Active","Inactive"),""),"")</f>
        <v/>
      </c>
    </row>
    <row r="255" spans="1:14" ht="18" customHeight="1" x14ac:dyDescent="0.25">
      <c r="A255" s="221" t="str">
        <f>IF(DB_Customers!A249&lt;&gt;"",ROW()-9,"")</f>
        <v/>
      </c>
      <c r="B255" s="221" t="str">
        <f>IFERROR(IF(DB_Customers!A249&lt;&gt;"",DB_Customers!A249,""),"")</f>
        <v/>
      </c>
      <c r="C255" s="222" t="str">
        <f>IFERROR(IF(DB_Customers!D249&lt;&gt;"",DB_Customers!D249,""),"")</f>
        <v/>
      </c>
      <c r="D255" s="223" t="str">
        <f>IFERROR(IF(DB_Customers!Q249&lt;&gt;"",DB_Customers!Q249,""),"")</f>
        <v/>
      </c>
      <c r="E255" s="221" t="str">
        <f>IFERROR(IF(DB_Customers!R249&lt;&gt;"",DB_Customers!R249,""),"")</f>
        <v/>
      </c>
      <c r="F255" s="222" t="str">
        <f>IFERROR(IF(DB_Customers!S249&lt;&gt;"",DB_Customers!S249,""),"")</f>
        <v/>
      </c>
      <c r="G255" s="222" t="str">
        <f>IFERROR(IF(DB_Customers!G249&lt;&gt;"",DB_Customers!G249,""),"")</f>
        <v/>
      </c>
      <c r="H255" s="221" t="str">
        <f>IFERROR(IF(DB_Customers!H249&lt;&gt;"",DB_Customers!H249,""),"")</f>
        <v/>
      </c>
      <c r="I255" s="224" t="str">
        <f>IFERROR(IF(DB_Customers!I249&lt;&gt;"",DB_Customers!I249,""),"")</f>
        <v/>
      </c>
      <c r="J255" s="225" t="str">
        <f>IFERROR(IF(DB_Customers!J249&lt;&gt;"",DB_Customers!J249,""),"")</f>
        <v/>
      </c>
      <c r="K255" s="222" t="str">
        <f>IFERROR(IF(DB_Customers!E249&lt;&gt;"",DB_Customers!E249,""),"")</f>
        <v/>
      </c>
      <c r="L255" s="222" t="str">
        <f>IFERROR(IF(DB_Customers!F249&lt;&gt;"",DB_Customers!F249,""),"")</f>
        <v/>
      </c>
      <c r="M255" s="222" t="str">
        <f>IFERROR(IF(DB_Customers!T249&lt;&gt;"",DB_Customers!T249,""),"")</f>
        <v/>
      </c>
      <c r="N255" s="221" t="str">
        <f>IFERROR(IF(DB_Customers!A249&lt;&gt;"",IF(DB_Customers!I249&gt;=10,"Active","Inactive"),""),"")</f>
        <v/>
      </c>
    </row>
    <row r="256" spans="1:14" ht="18" customHeight="1" x14ac:dyDescent="0.25">
      <c r="A256" s="216" t="str">
        <f>IF(DB_Customers!A250&lt;&gt;"",ROW()-9,"")</f>
        <v/>
      </c>
      <c r="B256" s="216" t="str">
        <f>IFERROR(IF(DB_Customers!A250&lt;&gt;"",DB_Customers!A250,""),"")</f>
        <v/>
      </c>
      <c r="C256" s="217" t="str">
        <f>IFERROR(IF(DB_Customers!D250&lt;&gt;"",DB_Customers!D250,""),"")</f>
        <v/>
      </c>
      <c r="D256" s="218" t="str">
        <f>IFERROR(IF(DB_Customers!Q250&lt;&gt;"",DB_Customers!Q250,""),"")</f>
        <v/>
      </c>
      <c r="E256" s="216" t="str">
        <f>IFERROR(IF(DB_Customers!R250&lt;&gt;"",DB_Customers!R250,""),"")</f>
        <v/>
      </c>
      <c r="F256" s="217" t="str">
        <f>IFERROR(IF(DB_Customers!S250&lt;&gt;"",DB_Customers!S250,""),"")</f>
        <v/>
      </c>
      <c r="G256" s="217" t="str">
        <f>IFERROR(IF(DB_Customers!G250&lt;&gt;"",DB_Customers!G250,""),"")</f>
        <v/>
      </c>
      <c r="H256" s="216" t="str">
        <f>IFERROR(IF(DB_Customers!H250&lt;&gt;"",DB_Customers!H250,""),"")</f>
        <v/>
      </c>
      <c r="I256" s="219" t="str">
        <f>IFERROR(IF(DB_Customers!I250&lt;&gt;"",DB_Customers!I250,""),"")</f>
        <v/>
      </c>
      <c r="J256" s="220" t="str">
        <f>IFERROR(IF(DB_Customers!J250&lt;&gt;"",DB_Customers!J250,""),"")</f>
        <v/>
      </c>
      <c r="K256" s="217" t="str">
        <f>IFERROR(IF(DB_Customers!E250&lt;&gt;"",DB_Customers!E250,""),"")</f>
        <v/>
      </c>
      <c r="L256" s="217" t="str">
        <f>IFERROR(IF(DB_Customers!F250&lt;&gt;"",DB_Customers!F250,""),"")</f>
        <v/>
      </c>
      <c r="M256" s="217" t="str">
        <f>IFERROR(IF(DB_Customers!T250&lt;&gt;"",DB_Customers!T250,""),"")</f>
        <v/>
      </c>
      <c r="N256" s="216" t="str">
        <f>IFERROR(IF(DB_Customers!A250&lt;&gt;"",IF(DB_Customers!I250&gt;=10,"Active","Inactive"),""),"")</f>
        <v/>
      </c>
    </row>
    <row r="257" spans="1:14" ht="18" customHeight="1" x14ac:dyDescent="0.25">
      <c r="A257" s="221" t="str">
        <f>IF(DB_Customers!A251&lt;&gt;"",ROW()-9,"")</f>
        <v/>
      </c>
      <c r="B257" s="221" t="str">
        <f>IFERROR(IF(DB_Customers!A251&lt;&gt;"",DB_Customers!A251,""),"")</f>
        <v/>
      </c>
      <c r="C257" s="222" t="str">
        <f>IFERROR(IF(DB_Customers!D251&lt;&gt;"",DB_Customers!D251,""),"")</f>
        <v/>
      </c>
      <c r="D257" s="223" t="str">
        <f>IFERROR(IF(DB_Customers!Q251&lt;&gt;"",DB_Customers!Q251,""),"")</f>
        <v/>
      </c>
      <c r="E257" s="221" t="str">
        <f>IFERROR(IF(DB_Customers!R251&lt;&gt;"",DB_Customers!R251,""),"")</f>
        <v/>
      </c>
      <c r="F257" s="222" t="str">
        <f>IFERROR(IF(DB_Customers!S251&lt;&gt;"",DB_Customers!S251,""),"")</f>
        <v/>
      </c>
      <c r="G257" s="222" t="str">
        <f>IFERROR(IF(DB_Customers!G251&lt;&gt;"",DB_Customers!G251,""),"")</f>
        <v/>
      </c>
      <c r="H257" s="221" t="str">
        <f>IFERROR(IF(DB_Customers!H251&lt;&gt;"",DB_Customers!H251,""),"")</f>
        <v/>
      </c>
      <c r="I257" s="224" t="str">
        <f>IFERROR(IF(DB_Customers!I251&lt;&gt;"",DB_Customers!I251,""),"")</f>
        <v/>
      </c>
      <c r="J257" s="225" t="str">
        <f>IFERROR(IF(DB_Customers!J251&lt;&gt;"",DB_Customers!J251,""),"")</f>
        <v/>
      </c>
      <c r="K257" s="222" t="str">
        <f>IFERROR(IF(DB_Customers!E251&lt;&gt;"",DB_Customers!E251,""),"")</f>
        <v/>
      </c>
      <c r="L257" s="222" t="str">
        <f>IFERROR(IF(DB_Customers!F251&lt;&gt;"",DB_Customers!F251,""),"")</f>
        <v/>
      </c>
      <c r="M257" s="222" t="str">
        <f>IFERROR(IF(DB_Customers!T251&lt;&gt;"",DB_Customers!T251,""),"")</f>
        <v/>
      </c>
      <c r="N257" s="221" t="str">
        <f>IFERROR(IF(DB_Customers!A251&lt;&gt;"",IF(DB_Customers!I251&gt;=10,"Active","Inactive"),""),"")</f>
        <v/>
      </c>
    </row>
    <row r="258" spans="1:14" ht="18" customHeight="1" x14ac:dyDescent="0.25">
      <c r="A258" s="216" t="str">
        <f>IF(DB_Customers!A252&lt;&gt;"",ROW()-9,"")</f>
        <v/>
      </c>
      <c r="B258" s="216" t="str">
        <f>IFERROR(IF(DB_Customers!A252&lt;&gt;"",DB_Customers!A252,""),"")</f>
        <v/>
      </c>
      <c r="C258" s="217" t="str">
        <f>IFERROR(IF(DB_Customers!D252&lt;&gt;"",DB_Customers!D252,""),"")</f>
        <v/>
      </c>
      <c r="D258" s="218" t="str">
        <f>IFERROR(IF(DB_Customers!Q252&lt;&gt;"",DB_Customers!Q252,""),"")</f>
        <v/>
      </c>
      <c r="E258" s="216" t="str">
        <f>IFERROR(IF(DB_Customers!R252&lt;&gt;"",DB_Customers!R252,""),"")</f>
        <v/>
      </c>
      <c r="F258" s="217" t="str">
        <f>IFERROR(IF(DB_Customers!S252&lt;&gt;"",DB_Customers!S252,""),"")</f>
        <v/>
      </c>
      <c r="G258" s="217" t="str">
        <f>IFERROR(IF(DB_Customers!G252&lt;&gt;"",DB_Customers!G252,""),"")</f>
        <v/>
      </c>
      <c r="H258" s="216" t="str">
        <f>IFERROR(IF(DB_Customers!H252&lt;&gt;"",DB_Customers!H252,""),"")</f>
        <v/>
      </c>
      <c r="I258" s="219" t="str">
        <f>IFERROR(IF(DB_Customers!I252&lt;&gt;"",DB_Customers!I252,""),"")</f>
        <v/>
      </c>
      <c r="J258" s="220" t="str">
        <f>IFERROR(IF(DB_Customers!J252&lt;&gt;"",DB_Customers!J252,""),"")</f>
        <v/>
      </c>
      <c r="K258" s="217" t="str">
        <f>IFERROR(IF(DB_Customers!E252&lt;&gt;"",DB_Customers!E252,""),"")</f>
        <v/>
      </c>
      <c r="L258" s="217" t="str">
        <f>IFERROR(IF(DB_Customers!F252&lt;&gt;"",DB_Customers!F252,""),"")</f>
        <v/>
      </c>
      <c r="M258" s="217" t="str">
        <f>IFERROR(IF(DB_Customers!T252&lt;&gt;"",DB_Customers!T252,""),"")</f>
        <v/>
      </c>
      <c r="N258" s="216" t="str">
        <f>IFERROR(IF(DB_Customers!A252&lt;&gt;"",IF(DB_Customers!I252&gt;=10,"Active","Inactive"),""),"")</f>
        <v/>
      </c>
    </row>
    <row r="259" spans="1:14" ht="18" customHeight="1" x14ac:dyDescent="0.25">
      <c r="A259" s="221" t="str">
        <f>IF(DB_Customers!A253&lt;&gt;"",ROW()-9,"")</f>
        <v/>
      </c>
      <c r="B259" s="221" t="str">
        <f>IFERROR(IF(DB_Customers!A253&lt;&gt;"",DB_Customers!A253,""),"")</f>
        <v/>
      </c>
      <c r="C259" s="222" t="str">
        <f>IFERROR(IF(DB_Customers!D253&lt;&gt;"",DB_Customers!D253,""),"")</f>
        <v/>
      </c>
      <c r="D259" s="223" t="str">
        <f>IFERROR(IF(DB_Customers!Q253&lt;&gt;"",DB_Customers!Q253,""),"")</f>
        <v/>
      </c>
      <c r="E259" s="221" t="str">
        <f>IFERROR(IF(DB_Customers!R253&lt;&gt;"",DB_Customers!R253,""),"")</f>
        <v/>
      </c>
      <c r="F259" s="222" t="str">
        <f>IFERROR(IF(DB_Customers!S253&lt;&gt;"",DB_Customers!S253,""),"")</f>
        <v/>
      </c>
      <c r="G259" s="222" t="str">
        <f>IFERROR(IF(DB_Customers!G253&lt;&gt;"",DB_Customers!G253,""),"")</f>
        <v/>
      </c>
      <c r="H259" s="221" t="str">
        <f>IFERROR(IF(DB_Customers!H253&lt;&gt;"",DB_Customers!H253,""),"")</f>
        <v/>
      </c>
      <c r="I259" s="224" t="str">
        <f>IFERROR(IF(DB_Customers!I253&lt;&gt;"",DB_Customers!I253,""),"")</f>
        <v/>
      </c>
      <c r="J259" s="225" t="str">
        <f>IFERROR(IF(DB_Customers!J253&lt;&gt;"",DB_Customers!J253,""),"")</f>
        <v/>
      </c>
      <c r="K259" s="222" t="str">
        <f>IFERROR(IF(DB_Customers!E253&lt;&gt;"",DB_Customers!E253,""),"")</f>
        <v/>
      </c>
      <c r="L259" s="222" t="str">
        <f>IFERROR(IF(DB_Customers!F253&lt;&gt;"",DB_Customers!F253,""),"")</f>
        <v/>
      </c>
      <c r="M259" s="222" t="str">
        <f>IFERROR(IF(DB_Customers!T253&lt;&gt;"",DB_Customers!T253,""),"")</f>
        <v/>
      </c>
      <c r="N259" s="221" t="str">
        <f>IFERROR(IF(DB_Customers!A253&lt;&gt;"",IF(DB_Customers!I253&gt;=10,"Active","Inactive"),""),"")</f>
        <v/>
      </c>
    </row>
    <row r="260" spans="1:14" ht="18" customHeight="1" x14ac:dyDescent="0.25">
      <c r="A260" s="216" t="str">
        <f>IF(DB_Customers!A254&lt;&gt;"",ROW()-9,"")</f>
        <v/>
      </c>
      <c r="B260" s="216" t="str">
        <f>IFERROR(IF(DB_Customers!A254&lt;&gt;"",DB_Customers!A254,""),"")</f>
        <v/>
      </c>
      <c r="C260" s="217" t="str">
        <f>IFERROR(IF(DB_Customers!D254&lt;&gt;"",DB_Customers!D254,""),"")</f>
        <v/>
      </c>
      <c r="D260" s="218" t="str">
        <f>IFERROR(IF(DB_Customers!Q254&lt;&gt;"",DB_Customers!Q254,""),"")</f>
        <v/>
      </c>
      <c r="E260" s="216" t="str">
        <f>IFERROR(IF(DB_Customers!R254&lt;&gt;"",DB_Customers!R254,""),"")</f>
        <v/>
      </c>
      <c r="F260" s="217" t="str">
        <f>IFERROR(IF(DB_Customers!S254&lt;&gt;"",DB_Customers!S254,""),"")</f>
        <v/>
      </c>
      <c r="G260" s="217" t="str">
        <f>IFERROR(IF(DB_Customers!G254&lt;&gt;"",DB_Customers!G254,""),"")</f>
        <v/>
      </c>
      <c r="H260" s="216" t="str">
        <f>IFERROR(IF(DB_Customers!H254&lt;&gt;"",DB_Customers!H254,""),"")</f>
        <v/>
      </c>
      <c r="I260" s="219" t="str">
        <f>IFERROR(IF(DB_Customers!I254&lt;&gt;"",DB_Customers!I254,""),"")</f>
        <v/>
      </c>
      <c r="J260" s="220" t="str">
        <f>IFERROR(IF(DB_Customers!J254&lt;&gt;"",DB_Customers!J254,""),"")</f>
        <v/>
      </c>
      <c r="K260" s="217" t="str">
        <f>IFERROR(IF(DB_Customers!E254&lt;&gt;"",DB_Customers!E254,""),"")</f>
        <v/>
      </c>
      <c r="L260" s="217" t="str">
        <f>IFERROR(IF(DB_Customers!F254&lt;&gt;"",DB_Customers!F254,""),"")</f>
        <v/>
      </c>
      <c r="M260" s="217" t="str">
        <f>IFERROR(IF(DB_Customers!T254&lt;&gt;"",DB_Customers!T254,""),"")</f>
        <v/>
      </c>
      <c r="N260" s="216" t="str">
        <f>IFERROR(IF(DB_Customers!A254&lt;&gt;"",IF(DB_Customers!I254&gt;=10,"Active","Inactive"),""),"")</f>
        <v/>
      </c>
    </row>
    <row r="261" spans="1:14" ht="18" customHeight="1" x14ac:dyDescent="0.25">
      <c r="A261" s="221" t="str">
        <f>IF(DB_Customers!A255&lt;&gt;"",ROW()-9,"")</f>
        <v/>
      </c>
      <c r="B261" s="221" t="str">
        <f>IFERROR(IF(DB_Customers!A255&lt;&gt;"",DB_Customers!A255,""),"")</f>
        <v/>
      </c>
      <c r="C261" s="222" t="str">
        <f>IFERROR(IF(DB_Customers!D255&lt;&gt;"",DB_Customers!D255,""),"")</f>
        <v/>
      </c>
      <c r="D261" s="223" t="str">
        <f>IFERROR(IF(DB_Customers!Q255&lt;&gt;"",DB_Customers!Q255,""),"")</f>
        <v/>
      </c>
      <c r="E261" s="221" t="str">
        <f>IFERROR(IF(DB_Customers!R255&lt;&gt;"",DB_Customers!R255,""),"")</f>
        <v/>
      </c>
      <c r="F261" s="222" t="str">
        <f>IFERROR(IF(DB_Customers!S255&lt;&gt;"",DB_Customers!S255,""),"")</f>
        <v/>
      </c>
      <c r="G261" s="222" t="str">
        <f>IFERROR(IF(DB_Customers!G255&lt;&gt;"",DB_Customers!G255,""),"")</f>
        <v/>
      </c>
      <c r="H261" s="221" t="str">
        <f>IFERROR(IF(DB_Customers!H255&lt;&gt;"",DB_Customers!H255,""),"")</f>
        <v/>
      </c>
      <c r="I261" s="224" t="str">
        <f>IFERROR(IF(DB_Customers!I255&lt;&gt;"",DB_Customers!I255,""),"")</f>
        <v/>
      </c>
      <c r="J261" s="225" t="str">
        <f>IFERROR(IF(DB_Customers!J255&lt;&gt;"",DB_Customers!J255,""),"")</f>
        <v/>
      </c>
      <c r="K261" s="222" t="str">
        <f>IFERROR(IF(DB_Customers!E255&lt;&gt;"",DB_Customers!E255,""),"")</f>
        <v/>
      </c>
      <c r="L261" s="222" t="str">
        <f>IFERROR(IF(DB_Customers!F255&lt;&gt;"",DB_Customers!F255,""),"")</f>
        <v/>
      </c>
      <c r="M261" s="222" t="str">
        <f>IFERROR(IF(DB_Customers!T255&lt;&gt;"",DB_Customers!T255,""),"")</f>
        <v/>
      </c>
      <c r="N261" s="221" t="str">
        <f>IFERROR(IF(DB_Customers!A255&lt;&gt;"",IF(DB_Customers!I255&gt;=10,"Active","Inactive"),""),"")</f>
        <v/>
      </c>
    </row>
    <row r="262" spans="1:14" ht="18" customHeight="1" x14ac:dyDescent="0.25">
      <c r="A262" s="216" t="str">
        <f>IF(DB_Customers!A256&lt;&gt;"",ROW()-9,"")</f>
        <v/>
      </c>
      <c r="B262" s="216" t="str">
        <f>IFERROR(IF(DB_Customers!A256&lt;&gt;"",DB_Customers!A256,""),"")</f>
        <v/>
      </c>
      <c r="C262" s="217" t="str">
        <f>IFERROR(IF(DB_Customers!D256&lt;&gt;"",DB_Customers!D256,""),"")</f>
        <v/>
      </c>
      <c r="D262" s="218" t="str">
        <f>IFERROR(IF(DB_Customers!Q256&lt;&gt;"",DB_Customers!Q256,""),"")</f>
        <v/>
      </c>
      <c r="E262" s="216" t="str">
        <f>IFERROR(IF(DB_Customers!R256&lt;&gt;"",DB_Customers!R256,""),"")</f>
        <v/>
      </c>
      <c r="F262" s="217" t="str">
        <f>IFERROR(IF(DB_Customers!S256&lt;&gt;"",DB_Customers!S256,""),"")</f>
        <v/>
      </c>
      <c r="G262" s="217" t="str">
        <f>IFERROR(IF(DB_Customers!G256&lt;&gt;"",DB_Customers!G256,""),"")</f>
        <v/>
      </c>
      <c r="H262" s="216" t="str">
        <f>IFERROR(IF(DB_Customers!H256&lt;&gt;"",DB_Customers!H256,""),"")</f>
        <v/>
      </c>
      <c r="I262" s="219" t="str">
        <f>IFERROR(IF(DB_Customers!I256&lt;&gt;"",DB_Customers!I256,""),"")</f>
        <v/>
      </c>
      <c r="J262" s="220" t="str">
        <f>IFERROR(IF(DB_Customers!J256&lt;&gt;"",DB_Customers!J256,""),"")</f>
        <v/>
      </c>
      <c r="K262" s="217" t="str">
        <f>IFERROR(IF(DB_Customers!E256&lt;&gt;"",DB_Customers!E256,""),"")</f>
        <v/>
      </c>
      <c r="L262" s="217" t="str">
        <f>IFERROR(IF(DB_Customers!F256&lt;&gt;"",DB_Customers!F256,""),"")</f>
        <v/>
      </c>
      <c r="M262" s="217" t="str">
        <f>IFERROR(IF(DB_Customers!T256&lt;&gt;"",DB_Customers!T256,""),"")</f>
        <v/>
      </c>
      <c r="N262" s="216" t="str">
        <f>IFERROR(IF(DB_Customers!A256&lt;&gt;"",IF(DB_Customers!I256&gt;=10,"Active","Inactive"),""),"")</f>
        <v/>
      </c>
    </row>
    <row r="263" spans="1:14" ht="18" customHeight="1" x14ac:dyDescent="0.25">
      <c r="A263" s="221" t="str">
        <f>IF(DB_Customers!A257&lt;&gt;"",ROW()-9,"")</f>
        <v/>
      </c>
      <c r="B263" s="221" t="str">
        <f>IFERROR(IF(DB_Customers!A257&lt;&gt;"",DB_Customers!A257,""),"")</f>
        <v/>
      </c>
      <c r="C263" s="222" t="str">
        <f>IFERROR(IF(DB_Customers!D257&lt;&gt;"",DB_Customers!D257,""),"")</f>
        <v/>
      </c>
      <c r="D263" s="223" t="str">
        <f>IFERROR(IF(DB_Customers!Q257&lt;&gt;"",DB_Customers!Q257,""),"")</f>
        <v/>
      </c>
      <c r="E263" s="221" t="str">
        <f>IFERROR(IF(DB_Customers!R257&lt;&gt;"",DB_Customers!R257,""),"")</f>
        <v/>
      </c>
      <c r="F263" s="222" t="str">
        <f>IFERROR(IF(DB_Customers!S257&lt;&gt;"",DB_Customers!S257,""),"")</f>
        <v/>
      </c>
      <c r="G263" s="222" t="str">
        <f>IFERROR(IF(DB_Customers!G257&lt;&gt;"",DB_Customers!G257,""),"")</f>
        <v/>
      </c>
      <c r="H263" s="221" t="str">
        <f>IFERROR(IF(DB_Customers!H257&lt;&gt;"",DB_Customers!H257,""),"")</f>
        <v/>
      </c>
      <c r="I263" s="224" t="str">
        <f>IFERROR(IF(DB_Customers!I257&lt;&gt;"",DB_Customers!I257,""),"")</f>
        <v/>
      </c>
      <c r="J263" s="225" t="str">
        <f>IFERROR(IF(DB_Customers!J257&lt;&gt;"",DB_Customers!J257,""),"")</f>
        <v/>
      </c>
      <c r="K263" s="222" t="str">
        <f>IFERROR(IF(DB_Customers!E257&lt;&gt;"",DB_Customers!E257,""),"")</f>
        <v/>
      </c>
      <c r="L263" s="222" t="str">
        <f>IFERROR(IF(DB_Customers!F257&lt;&gt;"",DB_Customers!F257,""),"")</f>
        <v/>
      </c>
      <c r="M263" s="222" t="str">
        <f>IFERROR(IF(DB_Customers!T257&lt;&gt;"",DB_Customers!T257,""),"")</f>
        <v/>
      </c>
      <c r="N263" s="221" t="str">
        <f>IFERROR(IF(DB_Customers!A257&lt;&gt;"",IF(DB_Customers!I257&gt;=10,"Active","Inactive"),""),"")</f>
        <v/>
      </c>
    </row>
    <row r="264" spans="1:14" ht="18" customHeight="1" x14ac:dyDescent="0.25">
      <c r="A264" s="216" t="str">
        <f>IF(DB_Customers!A258&lt;&gt;"",ROW()-9,"")</f>
        <v/>
      </c>
      <c r="B264" s="216" t="str">
        <f>IFERROR(IF(DB_Customers!A258&lt;&gt;"",DB_Customers!A258,""),"")</f>
        <v/>
      </c>
      <c r="C264" s="217" t="str">
        <f>IFERROR(IF(DB_Customers!D258&lt;&gt;"",DB_Customers!D258,""),"")</f>
        <v/>
      </c>
      <c r="D264" s="218" t="str">
        <f>IFERROR(IF(DB_Customers!Q258&lt;&gt;"",DB_Customers!Q258,""),"")</f>
        <v/>
      </c>
      <c r="E264" s="216" t="str">
        <f>IFERROR(IF(DB_Customers!R258&lt;&gt;"",DB_Customers!R258,""),"")</f>
        <v/>
      </c>
      <c r="F264" s="217" t="str">
        <f>IFERROR(IF(DB_Customers!S258&lt;&gt;"",DB_Customers!S258,""),"")</f>
        <v/>
      </c>
      <c r="G264" s="217" t="str">
        <f>IFERROR(IF(DB_Customers!G258&lt;&gt;"",DB_Customers!G258,""),"")</f>
        <v/>
      </c>
      <c r="H264" s="216" t="str">
        <f>IFERROR(IF(DB_Customers!H258&lt;&gt;"",DB_Customers!H258,""),"")</f>
        <v/>
      </c>
      <c r="I264" s="219" t="str">
        <f>IFERROR(IF(DB_Customers!I258&lt;&gt;"",DB_Customers!I258,""),"")</f>
        <v/>
      </c>
      <c r="J264" s="220" t="str">
        <f>IFERROR(IF(DB_Customers!J258&lt;&gt;"",DB_Customers!J258,""),"")</f>
        <v/>
      </c>
      <c r="K264" s="217" t="str">
        <f>IFERROR(IF(DB_Customers!E258&lt;&gt;"",DB_Customers!E258,""),"")</f>
        <v/>
      </c>
      <c r="L264" s="217" t="str">
        <f>IFERROR(IF(DB_Customers!F258&lt;&gt;"",DB_Customers!F258,""),"")</f>
        <v/>
      </c>
      <c r="M264" s="217" t="str">
        <f>IFERROR(IF(DB_Customers!T258&lt;&gt;"",DB_Customers!T258,""),"")</f>
        <v/>
      </c>
      <c r="N264" s="216" t="str">
        <f>IFERROR(IF(DB_Customers!A258&lt;&gt;"",IF(DB_Customers!I258&gt;=10,"Active","Inactive"),""),"")</f>
        <v/>
      </c>
    </row>
    <row r="265" spans="1:14" ht="18" customHeight="1" x14ac:dyDescent="0.25">
      <c r="A265" s="221" t="str">
        <f>IF(DB_Customers!A259&lt;&gt;"",ROW()-9,"")</f>
        <v/>
      </c>
      <c r="B265" s="221" t="str">
        <f>IFERROR(IF(DB_Customers!A259&lt;&gt;"",DB_Customers!A259,""),"")</f>
        <v/>
      </c>
      <c r="C265" s="222" t="str">
        <f>IFERROR(IF(DB_Customers!D259&lt;&gt;"",DB_Customers!D259,""),"")</f>
        <v/>
      </c>
      <c r="D265" s="223" t="str">
        <f>IFERROR(IF(DB_Customers!Q259&lt;&gt;"",DB_Customers!Q259,""),"")</f>
        <v/>
      </c>
      <c r="E265" s="221" t="str">
        <f>IFERROR(IF(DB_Customers!R259&lt;&gt;"",DB_Customers!R259,""),"")</f>
        <v/>
      </c>
      <c r="F265" s="222" t="str">
        <f>IFERROR(IF(DB_Customers!S259&lt;&gt;"",DB_Customers!S259,""),"")</f>
        <v/>
      </c>
      <c r="G265" s="222" t="str">
        <f>IFERROR(IF(DB_Customers!G259&lt;&gt;"",DB_Customers!G259,""),"")</f>
        <v/>
      </c>
      <c r="H265" s="221" t="str">
        <f>IFERROR(IF(DB_Customers!H259&lt;&gt;"",DB_Customers!H259,""),"")</f>
        <v/>
      </c>
      <c r="I265" s="224" t="str">
        <f>IFERROR(IF(DB_Customers!I259&lt;&gt;"",DB_Customers!I259,""),"")</f>
        <v/>
      </c>
      <c r="J265" s="225" t="str">
        <f>IFERROR(IF(DB_Customers!J259&lt;&gt;"",DB_Customers!J259,""),"")</f>
        <v/>
      </c>
      <c r="K265" s="222" t="str">
        <f>IFERROR(IF(DB_Customers!E259&lt;&gt;"",DB_Customers!E259,""),"")</f>
        <v/>
      </c>
      <c r="L265" s="222" t="str">
        <f>IFERROR(IF(DB_Customers!F259&lt;&gt;"",DB_Customers!F259,""),"")</f>
        <v/>
      </c>
      <c r="M265" s="222" t="str">
        <f>IFERROR(IF(DB_Customers!T259&lt;&gt;"",DB_Customers!T259,""),"")</f>
        <v/>
      </c>
      <c r="N265" s="221" t="str">
        <f>IFERROR(IF(DB_Customers!A259&lt;&gt;"",IF(DB_Customers!I259&gt;=10,"Active","Inactive"),""),"")</f>
        <v/>
      </c>
    </row>
    <row r="266" spans="1:14" ht="18" customHeight="1" x14ac:dyDescent="0.25">
      <c r="A266" s="216" t="str">
        <f>IF(DB_Customers!A260&lt;&gt;"",ROW()-9,"")</f>
        <v/>
      </c>
      <c r="B266" s="216" t="str">
        <f>IFERROR(IF(DB_Customers!A260&lt;&gt;"",DB_Customers!A260,""),"")</f>
        <v/>
      </c>
      <c r="C266" s="217" t="str">
        <f>IFERROR(IF(DB_Customers!D260&lt;&gt;"",DB_Customers!D260,""),"")</f>
        <v/>
      </c>
      <c r="D266" s="218" t="str">
        <f>IFERROR(IF(DB_Customers!Q260&lt;&gt;"",DB_Customers!Q260,""),"")</f>
        <v/>
      </c>
      <c r="E266" s="216" t="str">
        <f>IFERROR(IF(DB_Customers!R260&lt;&gt;"",DB_Customers!R260,""),"")</f>
        <v/>
      </c>
      <c r="F266" s="217" t="str">
        <f>IFERROR(IF(DB_Customers!S260&lt;&gt;"",DB_Customers!S260,""),"")</f>
        <v/>
      </c>
      <c r="G266" s="217" t="str">
        <f>IFERROR(IF(DB_Customers!G260&lt;&gt;"",DB_Customers!G260,""),"")</f>
        <v/>
      </c>
      <c r="H266" s="216" t="str">
        <f>IFERROR(IF(DB_Customers!H260&lt;&gt;"",DB_Customers!H260,""),"")</f>
        <v/>
      </c>
      <c r="I266" s="219" t="str">
        <f>IFERROR(IF(DB_Customers!I260&lt;&gt;"",DB_Customers!I260,""),"")</f>
        <v/>
      </c>
      <c r="J266" s="220" t="str">
        <f>IFERROR(IF(DB_Customers!J260&lt;&gt;"",DB_Customers!J260,""),"")</f>
        <v/>
      </c>
      <c r="K266" s="217" t="str">
        <f>IFERROR(IF(DB_Customers!E260&lt;&gt;"",DB_Customers!E260,""),"")</f>
        <v/>
      </c>
      <c r="L266" s="217" t="str">
        <f>IFERROR(IF(DB_Customers!F260&lt;&gt;"",DB_Customers!F260,""),"")</f>
        <v/>
      </c>
      <c r="M266" s="217" t="str">
        <f>IFERROR(IF(DB_Customers!T260&lt;&gt;"",DB_Customers!T260,""),"")</f>
        <v/>
      </c>
      <c r="N266" s="216" t="str">
        <f>IFERROR(IF(DB_Customers!A260&lt;&gt;"",IF(DB_Customers!I260&gt;=10,"Active","Inactive"),""),"")</f>
        <v/>
      </c>
    </row>
    <row r="267" spans="1:14" ht="18" customHeight="1" x14ac:dyDescent="0.25">
      <c r="A267" s="221" t="str">
        <f>IF(DB_Customers!A261&lt;&gt;"",ROW()-9,"")</f>
        <v/>
      </c>
      <c r="B267" s="221" t="str">
        <f>IFERROR(IF(DB_Customers!A261&lt;&gt;"",DB_Customers!A261,""),"")</f>
        <v/>
      </c>
      <c r="C267" s="222" t="str">
        <f>IFERROR(IF(DB_Customers!D261&lt;&gt;"",DB_Customers!D261,""),"")</f>
        <v/>
      </c>
      <c r="D267" s="223" t="str">
        <f>IFERROR(IF(DB_Customers!Q261&lt;&gt;"",DB_Customers!Q261,""),"")</f>
        <v/>
      </c>
      <c r="E267" s="221" t="str">
        <f>IFERROR(IF(DB_Customers!R261&lt;&gt;"",DB_Customers!R261,""),"")</f>
        <v/>
      </c>
      <c r="F267" s="222" t="str">
        <f>IFERROR(IF(DB_Customers!S261&lt;&gt;"",DB_Customers!S261,""),"")</f>
        <v/>
      </c>
      <c r="G267" s="222" t="str">
        <f>IFERROR(IF(DB_Customers!G261&lt;&gt;"",DB_Customers!G261,""),"")</f>
        <v/>
      </c>
      <c r="H267" s="221" t="str">
        <f>IFERROR(IF(DB_Customers!H261&lt;&gt;"",DB_Customers!H261,""),"")</f>
        <v/>
      </c>
      <c r="I267" s="224" t="str">
        <f>IFERROR(IF(DB_Customers!I261&lt;&gt;"",DB_Customers!I261,""),"")</f>
        <v/>
      </c>
      <c r="J267" s="225" t="str">
        <f>IFERROR(IF(DB_Customers!J261&lt;&gt;"",DB_Customers!J261,""),"")</f>
        <v/>
      </c>
      <c r="K267" s="222" t="str">
        <f>IFERROR(IF(DB_Customers!E261&lt;&gt;"",DB_Customers!E261,""),"")</f>
        <v/>
      </c>
      <c r="L267" s="222" t="str">
        <f>IFERROR(IF(DB_Customers!F261&lt;&gt;"",DB_Customers!F261,""),"")</f>
        <v/>
      </c>
      <c r="M267" s="222" t="str">
        <f>IFERROR(IF(DB_Customers!T261&lt;&gt;"",DB_Customers!T261,""),"")</f>
        <v/>
      </c>
      <c r="N267" s="221" t="str">
        <f>IFERROR(IF(DB_Customers!A261&lt;&gt;"",IF(DB_Customers!I261&gt;=10,"Active","Inactive"),""),"")</f>
        <v/>
      </c>
    </row>
    <row r="268" spans="1:14" ht="18" customHeight="1" x14ac:dyDescent="0.25">
      <c r="A268" s="216" t="str">
        <f>IF(DB_Customers!A262&lt;&gt;"",ROW()-9,"")</f>
        <v/>
      </c>
      <c r="B268" s="216" t="str">
        <f>IFERROR(IF(DB_Customers!A262&lt;&gt;"",DB_Customers!A262,""),"")</f>
        <v/>
      </c>
      <c r="C268" s="217" t="str">
        <f>IFERROR(IF(DB_Customers!D262&lt;&gt;"",DB_Customers!D262,""),"")</f>
        <v/>
      </c>
      <c r="D268" s="218" t="str">
        <f>IFERROR(IF(DB_Customers!Q262&lt;&gt;"",DB_Customers!Q262,""),"")</f>
        <v/>
      </c>
      <c r="E268" s="216" t="str">
        <f>IFERROR(IF(DB_Customers!R262&lt;&gt;"",DB_Customers!R262,""),"")</f>
        <v/>
      </c>
      <c r="F268" s="217" t="str">
        <f>IFERROR(IF(DB_Customers!S262&lt;&gt;"",DB_Customers!S262,""),"")</f>
        <v/>
      </c>
      <c r="G268" s="217" t="str">
        <f>IFERROR(IF(DB_Customers!G262&lt;&gt;"",DB_Customers!G262,""),"")</f>
        <v/>
      </c>
      <c r="H268" s="216" t="str">
        <f>IFERROR(IF(DB_Customers!H262&lt;&gt;"",DB_Customers!H262,""),"")</f>
        <v/>
      </c>
      <c r="I268" s="219" t="str">
        <f>IFERROR(IF(DB_Customers!I262&lt;&gt;"",DB_Customers!I262,""),"")</f>
        <v/>
      </c>
      <c r="J268" s="220" t="str">
        <f>IFERROR(IF(DB_Customers!J262&lt;&gt;"",DB_Customers!J262,""),"")</f>
        <v/>
      </c>
      <c r="K268" s="217" t="str">
        <f>IFERROR(IF(DB_Customers!E262&lt;&gt;"",DB_Customers!E262,""),"")</f>
        <v/>
      </c>
      <c r="L268" s="217" t="str">
        <f>IFERROR(IF(DB_Customers!F262&lt;&gt;"",DB_Customers!F262,""),"")</f>
        <v/>
      </c>
      <c r="M268" s="217" t="str">
        <f>IFERROR(IF(DB_Customers!T262&lt;&gt;"",DB_Customers!T262,""),"")</f>
        <v/>
      </c>
      <c r="N268" s="216" t="str">
        <f>IFERROR(IF(DB_Customers!A262&lt;&gt;"",IF(DB_Customers!I262&gt;=10,"Active","Inactive"),""),"")</f>
        <v/>
      </c>
    </row>
    <row r="269" spans="1:14" ht="18" customHeight="1" x14ac:dyDescent="0.25">
      <c r="A269" s="221" t="str">
        <f>IF(DB_Customers!A263&lt;&gt;"",ROW()-9,"")</f>
        <v/>
      </c>
      <c r="B269" s="221" t="str">
        <f>IFERROR(IF(DB_Customers!A263&lt;&gt;"",DB_Customers!A263,""),"")</f>
        <v/>
      </c>
      <c r="C269" s="222" t="str">
        <f>IFERROR(IF(DB_Customers!D263&lt;&gt;"",DB_Customers!D263,""),"")</f>
        <v/>
      </c>
      <c r="D269" s="223" t="str">
        <f>IFERROR(IF(DB_Customers!Q263&lt;&gt;"",DB_Customers!Q263,""),"")</f>
        <v/>
      </c>
      <c r="E269" s="221" t="str">
        <f>IFERROR(IF(DB_Customers!R263&lt;&gt;"",DB_Customers!R263,""),"")</f>
        <v/>
      </c>
      <c r="F269" s="222" t="str">
        <f>IFERROR(IF(DB_Customers!S263&lt;&gt;"",DB_Customers!S263,""),"")</f>
        <v/>
      </c>
      <c r="G269" s="222" t="str">
        <f>IFERROR(IF(DB_Customers!G263&lt;&gt;"",DB_Customers!G263,""),"")</f>
        <v/>
      </c>
      <c r="H269" s="221" t="str">
        <f>IFERROR(IF(DB_Customers!H263&lt;&gt;"",DB_Customers!H263,""),"")</f>
        <v/>
      </c>
      <c r="I269" s="224" t="str">
        <f>IFERROR(IF(DB_Customers!I263&lt;&gt;"",DB_Customers!I263,""),"")</f>
        <v/>
      </c>
      <c r="J269" s="225" t="str">
        <f>IFERROR(IF(DB_Customers!J263&lt;&gt;"",DB_Customers!J263,""),"")</f>
        <v/>
      </c>
      <c r="K269" s="222" t="str">
        <f>IFERROR(IF(DB_Customers!E263&lt;&gt;"",DB_Customers!E263,""),"")</f>
        <v/>
      </c>
      <c r="L269" s="222" t="str">
        <f>IFERROR(IF(DB_Customers!F263&lt;&gt;"",DB_Customers!F263,""),"")</f>
        <v/>
      </c>
      <c r="M269" s="222" t="str">
        <f>IFERROR(IF(DB_Customers!T263&lt;&gt;"",DB_Customers!T263,""),"")</f>
        <v/>
      </c>
      <c r="N269" s="221" t="str">
        <f>IFERROR(IF(DB_Customers!A263&lt;&gt;"",IF(DB_Customers!I263&gt;=10,"Active","Inactive"),""),"")</f>
        <v/>
      </c>
    </row>
    <row r="270" spans="1:14" ht="18" customHeight="1" x14ac:dyDescent="0.25">
      <c r="A270" s="216" t="str">
        <f>IF(DB_Customers!A264&lt;&gt;"",ROW()-9,"")</f>
        <v/>
      </c>
      <c r="B270" s="216" t="str">
        <f>IFERROR(IF(DB_Customers!A264&lt;&gt;"",DB_Customers!A264,""),"")</f>
        <v/>
      </c>
      <c r="C270" s="217" t="str">
        <f>IFERROR(IF(DB_Customers!D264&lt;&gt;"",DB_Customers!D264,""),"")</f>
        <v/>
      </c>
      <c r="D270" s="218" t="str">
        <f>IFERROR(IF(DB_Customers!Q264&lt;&gt;"",DB_Customers!Q264,""),"")</f>
        <v/>
      </c>
      <c r="E270" s="216" t="str">
        <f>IFERROR(IF(DB_Customers!R264&lt;&gt;"",DB_Customers!R264,""),"")</f>
        <v/>
      </c>
      <c r="F270" s="217" t="str">
        <f>IFERROR(IF(DB_Customers!S264&lt;&gt;"",DB_Customers!S264,""),"")</f>
        <v/>
      </c>
      <c r="G270" s="217" t="str">
        <f>IFERROR(IF(DB_Customers!G264&lt;&gt;"",DB_Customers!G264,""),"")</f>
        <v/>
      </c>
      <c r="H270" s="216" t="str">
        <f>IFERROR(IF(DB_Customers!H264&lt;&gt;"",DB_Customers!H264,""),"")</f>
        <v/>
      </c>
      <c r="I270" s="219" t="str">
        <f>IFERROR(IF(DB_Customers!I264&lt;&gt;"",DB_Customers!I264,""),"")</f>
        <v/>
      </c>
      <c r="J270" s="220" t="str">
        <f>IFERROR(IF(DB_Customers!J264&lt;&gt;"",DB_Customers!J264,""),"")</f>
        <v/>
      </c>
      <c r="K270" s="217" t="str">
        <f>IFERROR(IF(DB_Customers!E264&lt;&gt;"",DB_Customers!E264,""),"")</f>
        <v/>
      </c>
      <c r="L270" s="217" t="str">
        <f>IFERROR(IF(DB_Customers!F264&lt;&gt;"",DB_Customers!F264,""),"")</f>
        <v/>
      </c>
      <c r="M270" s="217" t="str">
        <f>IFERROR(IF(DB_Customers!T264&lt;&gt;"",DB_Customers!T264,""),"")</f>
        <v/>
      </c>
      <c r="N270" s="216" t="str">
        <f>IFERROR(IF(DB_Customers!A264&lt;&gt;"",IF(DB_Customers!I264&gt;=10,"Active","Inactive"),""),"")</f>
        <v/>
      </c>
    </row>
    <row r="271" spans="1:14" ht="18" customHeight="1" x14ac:dyDescent="0.25">
      <c r="A271" s="221" t="str">
        <f>IF(DB_Customers!A265&lt;&gt;"",ROW()-9,"")</f>
        <v/>
      </c>
      <c r="B271" s="221" t="str">
        <f>IFERROR(IF(DB_Customers!A265&lt;&gt;"",DB_Customers!A265,""),"")</f>
        <v/>
      </c>
      <c r="C271" s="222" t="str">
        <f>IFERROR(IF(DB_Customers!D265&lt;&gt;"",DB_Customers!D265,""),"")</f>
        <v/>
      </c>
      <c r="D271" s="223" t="str">
        <f>IFERROR(IF(DB_Customers!Q265&lt;&gt;"",DB_Customers!Q265,""),"")</f>
        <v/>
      </c>
      <c r="E271" s="221" t="str">
        <f>IFERROR(IF(DB_Customers!R265&lt;&gt;"",DB_Customers!R265,""),"")</f>
        <v/>
      </c>
      <c r="F271" s="222" t="str">
        <f>IFERROR(IF(DB_Customers!S265&lt;&gt;"",DB_Customers!S265,""),"")</f>
        <v/>
      </c>
      <c r="G271" s="222" t="str">
        <f>IFERROR(IF(DB_Customers!G265&lt;&gt;"",DB_Customers!G265,""),"")</f>
        <v/>
      </c>
      <c r="H271" s="221" t="str">
        <f>IFERROR(IF(DB_Customers!H265&lt;&gt;"",DB_Customers!H265,""),"")</f>
        <v/>
      </c>
      <c r="I271" s="224" t="str">
        <f>IFERROR(IF(DB_Customers!I265&lt;&gt;"",DB_Customers!I265,""),"")</f>
        <v/>
      </c>
      <c r="J271" s="225" t="str">
        <f>IFERROR(IF(DB_Customers!J265&lt;&gt;"",DB_Customers!J265,""),"")</f>
        <v/>
      </c>
      <c r="K271" s="222" t="str">
        <f>IFERROR(IF(DB_Customers!E265&lt;&gt;"",DB_Customers!E265,""),"")</f>
        <v/>
      </c>
      <c r="L271" s="222" t="str">
        <f>IFERROR(IF(DB_Customers!F265&lt;&gt;"",DB_Customers!F265,""),"")</f>
        <v/>
      </c>
      <c r="M271" s="222" t="str">
        <f>IFERROR(IF(DB_Customers!T265&lt;&gt;"",DB_Customers!T265,""),"")</f>
        <v/>
      </c>
      <c r="N271" s="221" t="str">
        <f>IFERROR(IF(DB_Customers!A265&lt;&gt;"",IF(DB_Customers!I265&gt;=10,"Active","Inactive"),""),"")</f>
        <v/>
      </c>
    </row>
    <row r="272" spans="1:14" ht="18" customHeight="1" x14ac:dyDescent="0.25">
      <c r="A272" s="216" t="str">
        <f>IF(DB_Customers!A266&lt;&gt;"",ROW()-9,"")</f>
        <v/>
      </c>
      <c r="B272" s="216" t="str">
        <f>IFERROR(IF(DB_Customers!A266&lt;&gt;"",DB_Customers!A266,""),"")</f>
        <v/>
      </c>
      <c r="C272" s="217" t="str">
        <f>IFERROR(IF(DB_Customers!D266&lt;&gt;"",DB_Customers!D266,""),"")</f>
        <v/>
      </c>
      <c r="D272" s="218" t="str">
        <f>IFERROR(IF(DB_Customers!Q266&lt;&gt;"",DB_Customers!Q266,""),"")</f>
        <v/>
      </c>
      <c r="E272" s="216" t="str">
        <f>IFERROR(IF(DB_Customers!R266&lt;&gt;"",DB_Customers!R266,""),"")</f>
        <v/>
      </c>
      <c r="F272" s="217" t="str">
        <f>IFERROR(IF(DB_Customers!S266&lt;&gt;"",DB_Customers!S266,""),"")</f>
        <v/>
      </c>
      <c r="G272" s="217" t="str">
        <f>IFERROR(IF(DB_Customers!G266&lt;&gt;"",DB_Customers!G266,""),"")</f>
        <v/>
      </c>
      <c r="H272" s="216" t="str">
        <f>IFERROR(IF(DB_Customers!H266&lt;&gt;"",DB_Customers!H266,""),"")</f>
        <v/>
      </c>
      <c r="I272" s="219" t="str">
        <f>IFERROR(IF(DB_Customers!I266&lt;&gt;"",DB_Customers!I266,""),"")</f>
        <v/>
      </c>
      <c r="J272" s="220" t="str">
        <f>IFERROR(IF(DB_Customers!J266&lt;&gt;"",DB_Customers!J266,""),"")</f>
        <v/>
      </c>
      <c r="K272" s="217" t="str">
        <f>IFERROR(IF(DB_Customers!E266&lt;&gt;"",DB_Customers!E266,""),"")</f>
        <v/>
      </c>
      <c r="L272" s="217" t="str">
        <f>IFERROR(IF(DB_Customers!F266&lt;&gt;"",DB_Customers!F266,""),"")</f>
        <v/>
      </c>
      <c r="M272" s="217" t="str">
        <f>IFERROR(IF(DB_Customers!T266&lt;&gt;"",DB_Customers!T266,""),"")</f>
        <v/>
      </c>
      <c r="N272" s="216" t="str">
        <f>IFERROR(IF(DB_Customers!A266&lt;&gt;"",IF(DB_Customers!I266&gt;=10,"Active","Inactive"),""),"")</f>
        <v/>
      </c>
    </row>
    <row r="273" spans="1:14" ht="18" customHeight="1" x14ac:dyDescent="0.25">
      <c r="A273" s="221" t="str">
        <f>IF(DB_Customers!A267&lt;&gt;"",ROW()-9,"")</f>
        <v/>
      </c>
      <c r="B273" s="221" t="str">
        <f>IFERROR(IF(DB_Customers!A267&lt;&gt;"",DB_Customers!A267,""),"")</f>
        <v/>
      </c>
      <c r="C273" s="222" t="str">
        <f>IFERROR(IF(DB_Customers!D267&lt;&gt;"",DB_Customers!D267,""),"")</f>
        <v/>
      </c>
      <c r="D273" s="223" t="str">
        <f>IFERROR(IF(DB_Customers!Q267&lt;&gt;"",DB_Customers!Q267,""),"")</f>
        <v/>
      </c>
      <c r="E273" s="221" t="str">
        <f>IFERROR(IF(DB_Customers!R267&lt;&gt;"",DB_Customers!R267,""),"")</f>
        <v/>
      </c>
      <c r="F273" s="222" t="str">
        <f>IFERROR(IF(DB_Customers!S267&lt;&gt;"",DB_Customers!S267,""),"")</f>
        <v/>
      </c>
      <c r="G273" s="222" t="str">
        <f>IFERROR(IF(DB_Customers!G267&lt;&gt;"",DB_Customers!G267,""),"")</f>
        <v/>
      </c>
      <c r="H273" s="221" t="str">
        <f>IFERROR(IF(DB_Customers!H267&lt;&gt;"",DB_Customers!H267,""),"")</f>
        <v/>
      </c>
      <c r="I273" s="224" t="str">
        <f>IFERROR(IF(DB_Customers!I267&lt;&gt;"",DB_Customers!I267,""),"")</f>
        <v/>
      </c>
      <c r="J273" s="225" t="str">
        <f>IFERROR(IF(DB_Customers!J267&lt;&gt;"",DB_Customers!J267,""),"")</f>
        <v/>
      </c>
      <c r="K273" s="222" t="str">
        <f>IFERROR(IF(DB_Customers!E267&lt;&gt;"",DB_Customers!E267,""),"")</f>
        <v/>
      </c>
      <c r="L273" s="222" t="str">
        <f>IFERROR(IF(DB_Customers!F267&lt;&gt;"",DB_Customers!F267,""),"")</f>
        <v/>
      </c>
      <c r="M273" s="222" t="str">
        <f>IFERROR(IF(DB_Customers!T267&lt;&gt;"",DB_Customers!T267,""),"")</f>
        <v/>
      </c>
      <c r="N273" s="221" t="str">
        <f>IFERROR(IF(DB_Customers!A267&lt;&gt;"",IF(DB_Customers!I267&gt;=10,"Active","Inactive"),""),"")</f>
        <v/>
      </c>
    </row>
    <row r="274" spans="1:14" ht="18" customHeight="1" x14ac:dyDescent="0.25">
      <c r="A274" s="216" t="str">
        <f>IF(DB_Customers!A268&lt;&gt;"",ROW()-9,"")</f>
        <v/>
      </c>
      <c r="B274" s="216" t="str">
        <f>IFERROR(IF(DB_Customers!A268&lt;&gt;"",DB_Customers!A268,""),"")</f>
        <v/>
      </c>
      <c r="C274" s="217" t="str">
        <f>IFERROR(IF(DB_Customers!D268&lt;&gt;"",DB_Customers!D268,""),"")</f>
        <v/>
      </c>
      <c r="D274" s="218" t="str">
        <f>IFERROR(IF(DB_Customers!Q268&lt;&gt;"",DB_Customers!Q268,""),"")</f>
        <v/>
      </c>
      <c r="E274" s="216" t="str">
        <f>IFERROR(IF(DB_Customers!R268&lt;&gt;"",DB_Customers!R268,""),"")</f>
        <v/>
      </c>
      <c r="F274" s="217" t="str">
        <f>IFERROR(IF(DB_Customers!S268&lt;&gt;"",DB_Customers!S268,""),"")</f>
        <v/>
      </c>
      <c r="G274" s="217" t="str">
        <f>IFERROR(IF(DB_Customers!G268&lt;&gt;"",DB_Customers!G268,""),"")</f>
        <v/>
      </c>
      <c r="H274" s="216" t="str">
        <f>IFERROR(IF(DB_Customers!H268&lt;&gt;"",DB_Customers!H268,""),"")</f>
        <v/>
      </c>
      <c r="I274" s="219" t="str">
        <f>IFERROR(IF(DB_Customers!I268&lt;&gt;"",DB_Customers!I268,""),"")</f>
        <v/>
      </c>
      <c r="J274" s="220" t="str">
        <f>IFERROR(IF(DB_Customers!J268&lt;&gt;"",DB_Customers!J268,""),"")</f>
        <v/>
      </c>
      <c r="K274" s="217" t="str">
        <f>IFERROR(IF(DB_Customers!E268&lt;&gt;"",DB_Customers!E268,""),"")</f>
        <v/>
      </c>
      <c r="L274" s="217" t="str">
        <f>IFERROR(IF(DB_Customers!F268&lt;&gt;"",DB_Customers!F268,""),"")</f>
        <v/>
      </c>
      <c r="M274" s="217" t="str">
        <f>IFERROR(IF(DB_Customers!T268&lt;&gt;"",DB_Customers!T268,""),"")</f>
        <v/>
      </c>
      <c r="N274" s="216" t="str">
        <f>IFERROR(IF(DB_Customers!A268&lt;&gt;"",IF(DB_Customers!I268&gt;=10,"Active","Inactive"),""),"")</f>
        <v/>
      </c>
    </row>
    <row r="275" spans="1:14" ht="18" customHeight="1" x14ac:dyDescent="0.25">
      <c r="A275" s="221" t="str">
        <f>IF(DB_Customers!A269&lt;&gt;"",ROW()-9,"")</f>
        <v/>
      </c>
      <c r="B275" s="221" t="str">
        <f>IFERROR(IF(DB_Customers!A269&lt;&gt;"",DB_Customers!A269,""),"")</f>
        <v/>
      </c>
      <c r="C275" s="222" t="str">
        <f>IFERROR(IF(DB_Customers!D269&lt;&gt;"",DB_Customers!D269,""),"")</f>
        <v/>
      </c>
      <c r="D275" s="223" t="str">
        <f>IFERROR(IF(DB_Customers!Q269&lt;&gt;"",DB_Customers!Q269,""),"")</f>
        <v/>
      </c>
      <c r="E275" s="221" t="str">
        <f>IFERROR(IF(DB_Customers!R269&lt;&gt;"",DB_Customers!R269,""),"")</f>
        <v/>
      </c>
      <c r="F275" s="222" t="str">
        <f>IFERROR(IF(DB_Customers!S269&lt;&gt;"",DB_Customers!S269,""),"")</f>
        <v/>
      </c>
      <c r="G275" s="222" t="str">
        <f>IFERROR(IF(DB_Customers!G269&lt;&gt;"",DB_Customers!G269,""),"")</f>
        <v/>
      </c>
      <c r="H275" s="221" t="str">
        <f>IFERROR(IF(DB_Customers!H269&lt;&gt;"",DB_Customers!H269,""),"")</f>
        <v/>
      </c>
      <c r="I275" s="224" t="str">
        <f>IFERROR(IF(DB_Customers!I269&lt;&gt;"",DB_Customers!I269,""),"")</f>
        <v/>
      </c>
      <c r="J275" s="225" t="str">
        <f>IFERROR(IF(DB_Customers!J269&lt;&gt;"",DB_Customers!J269,""),"")</f>
        <v/>
      </c>
      <c r="K275" s="222" t="str">
        <f>IFERROR(IF(DB_Customers!E269&lt;&gt;"",DB_Customers!E269,""),"")</f>
        <v/>
      </c>
      <c r="L275" s="222" t="str">
        <f>IFERROR(IF(DB_Customers!F269&lt;&gt;"",DB_Customers!F269,""),"")</f>
        <v/>
      </c>
      <c r="M275" s="222" t="str">
        <f>IFERROR(IF(DB_Customers!T269&lt;&gt;"",DB_Customers!T269,""),"")</f>
        <v/>
      </c>
      <c r="N275" s="221" t="str">
        <f>IFERROR(IF(DB_Customers!A269&lt;&gt;"",IF(DB_Customers!I269&gt;=10,"Active","Inactive"),""),"")</f>
        <v/>
      </c>
    </row>
    <row r="276" spans="1:14" ht="18" customHeight="1" x14ac:dyDescent="0.25">
      <c r="A276" s="216" t="str">
        <f>IF(DB_Customers!A270&lt;&gt;"",ROW()-9,"")</f>
        <v/>
      </c>
      <c r="B276" s="216" t="str">
        <f>IFERROR(IF(DB_Customers!A270&lt;&gt;"",DB_Customers!A270,""),"")</f>
        <v/>
      </c>
      <c r="C276" s="217" t="str">
        <f>IFERROR(IF(DB_Customers!D270&lt;&gt;"",DB_Customers!D270,""),"")</f>
        <v/>
      </c>
      <c r="D276" s="218" t="str">
        <f>IFERROR(IF(DB_Customers!Q270&lt;&gt;"",DB_Customers!Q270,""),"")</f>
        <v/>
      </c>
      <c r="E276" s="216" t="str">
        <f>IFERROR(IF(DB_Customers!R270&lt;&gt;"",DB_Customers!R270,""),"")</f>
        <v/>
      </c>
      <c r="F276" s="217" t="str">
        <f>IFERROR(IF(DB_Customers!S270&lt;&gt;"",DB_Customers!S270,""),"")</f>
        <v/>
      </c>
      <c r="G276" s="217" t="str">
        <f>IFERROR(IF(DB_Customers!G270&lt;&gt;"",DB_Customers!G270,""),"")</f>
        <v/>
      </c>
      <c r="H276" s="216" t="str">
        <f>IFERROR(IF(DB_Customers!H270&lt;&gt;"",DB_Customers!H270,""),"")</f>
        <v/>
      </c>
      <c r="I276" s="219" t="str">
        <f>IFERROR(IF(DB_Customers!I270&lt;&gt;"",DB_Customers!I270,""),"")</f>
        <v/>
      </c>
      <c r="J276" s="220" t="str">
        <f>IFERROR(IF(DB_Customers!J270&lt;&gt;"",DB_Customers!J270,""),"")</f>
        <v/>
      </c>
      <c r="K276" s="217" t="str">
        <f>IFERROR(IF(DB_Customers!E270&lt;&gt;"",DB_Customers!E270,""),"")</f>
        <v/>
      </c>
      <c r="L276" s="217" t="str">
        <f>IFERROR(IF(DB_Customers!F270&lt;&gt;"",DB_Customers!F270,""),"")</f>
        <v/>
      </c>
      <c r="M276" s="217" t="str">
        <f>IFERROR(IF(DB_Customers!T270&lt;&gt;"",DB_Customers!T270,""),"")</f>
        <v/>
      </c>
      <c r="N276" s="216" t="str">
        <f>IFERROR(IF(DB_Customers!A270&lt;&gt;"",IF(DB_Customers!I270&gt;=10,"Active","Inactive"),""),"")</f>
        <v/>
      </c>
    </row>
    <row r="277" spans="1:14" ht="18" customHeight="1" x14ac:dyDescent="0.25">
      <c r="A277" s="221" t="str">
        <f>IF(DB_Customers!A271&lt;&gt;"",ROW()-9,"")</f>
        <v/>
      </c>
      <c r="B277" s="221" t="str">
        <f>IFERROR(IF(DB_Customers!A271&lt;&gt;"",DB_Customers!A271,""),"")</f>
        <v/>
      </c>
      <c r="C277" s="222" t="str">
        <f>IFERROR(IF(DB_Customers!D271&lt;&gt;"",DB_Customers!D271,""),"")</f>
        <v/>
      </c>
      <c r="D277" s="223" t="str">
        <f>IFERROR(IF(DB_Customers!Q271&lt;&gt;"",DB_Customers!Q271,""),"")</f>
        <v/>
      </c>
      <c r="E277" s="221" t="str">
        <f>IFERROR(IF(DB_Customers!R271&lt;&gt;"",DB_Customers!R271,""),"")</f>
        <v/>
      </c>
      <c r="F277" s="222" t="str">
        <f>IFERROR(IF(DB_Customers!S271&lt;&gt;"",DB_Customers!S271,""),"")</f>
        <v/>
      </c>
      <c r="G277" s="222" t="str">
        <f>IFERROR(IF(DB_Customers!G271&lt;&gt;"",DB_Customers!G271,""),"")</f>
        <v/>
      </c>
      <c r="H277" s="221" t="str">
        <f>IFERROR(IF(DB_Customers!H271&lt;&gt;"",DB_Customers!H271,""),"")</f>
        <v/>
      </c>
      <c r="I277" s="224" t="str">
        <f>IFERROR(IF(DB_Customers!I271&lt;&gt;"",DB_Customers!I271,""),"")</f>
        <v/>
      </c>
      <c r="J277" s="225" t="str">
        <f>IFERROR(IF(DB_Customers!J271&lt;&gt;"",DB_Customers!J271,""),"")</f>
        <v/>
      </c>
      <c r="K277" s="222" t="str">
        <f>IFERROR(IF(DB_Customers!E271&lt;&gt;"",DB_Customers!E271,""),"")</f>
        <v/>
      </c>
      <c r="L277" s="222" t="str">
        <f>IFERROR(IF(DB_Customers!F271&lt;&gt;"",DB_Customers!F271,""),"")</f>
        <v/>
      </c>
      <c r="M277" s="222" t="str">
        <f>IFERROR(IF(DB_Customers!T271&lt;&gt;"",DB_Customers!T271,""),"")</f>
        <v/>
      </c>
      <c r="N277" s="221" t="str">
        <f>IFERROR(IF(DB_Customers!A271&lt;&gt;"",IF(DB_Customers!I271&gt;=10,"Active","Inactive"),""),"")</f>
        <v/>
      </c>
    </row>
    <row r="278" spans="1:14" ht="18" customHeight="1" x14ac:dyDescent="0.25">
      <c r="A278" s="216" t="str">
        <f>IF(DB_Customers!A272&lt;&gt;"",ROW()-9,"")</f>
        <v/>
      </c>
      <c r="B278" s="216" t="str">
        <f>IFERROR(IF(DB_Customers!A272&lt;&gt;"",DB_Customers!A272,""),"")</f>
        <v/>
      </c>
      <c r="C278" s="217" t="str">
        <f>IFERROR(IF(DB_Customers!D272&lt;&gt;"",DB_Customers!D272,""),"")</f>
        <v/>
      </c>
      <c r="D278" s="218" t="str">
        <f>IFERROR(IF(DB_Customers!Q272&lt;&gt;"",DB_Customers!Q272,""),"")</f>
        <v/>
      </c>
      <c r="E278" s="216" t="str">
        <f>IFERROR(IF(DB_Customers!R272&lt;&gt;"",DB_Customers!R272,""),"")</f>
        <v/>
      </c>
      <c r="F278" s="217" t="str">
        <f>IFERROR(IF(DB_Customers!S272&lt;&gt;"",DB_Customers!S272,""),"")</f>
        <v/>
      </c>
      <c r="G278" s="217" t="str">
        <f>IFERROR(IF(DB_Customers!G272&lt;&gt;"",DB_Customers!G272,""),"")</f>
        <v/>
      </c>
      <c r="H278" s="216" t="str">
        <f>IFERROR(IF(DB_Customers!H272&lt;&gt;"",DB_Customers!H272,""),"")</f>
        <v/>
      </c>
      <c r="I278" s="219" t="str">
        <f>IFERROR(IF(DB_Customers!I272&lt;&gt;"",DB_Customers!I272,""),"")</f>
        <v/>
      </c>
      <c r="J278" s="220" t="str">
        <f>IFERROR(IF(DB_Customers!J272&lt;&gt;"",DB_Customers!J272,""),"")</f>
        <v/>
      </c>
      <c r="K278" s="217" t="str">
        <f>IFERROR(IF(DB_Customers!E272&lt;&gt;"",DB_Customers!E272,""),"")</f>
        <v/>
      </c>
      <c r="L278" s="217" t="str">
        <f>IFERROR(IF(DB_Customers!F272&lt;&gt;"",DB_Customers!F272,""),"")</f>
        <v/>
      </c>
      <c r="M278" s="217" t="str">
        <f>IFERROR(IF(DB_Customers!T272&lt;&gt;"",DB_Customers!T272,""),"")</f>
        <v/>
      </c>
      <c r="N278" s="216" t="str">
        <f>IFERROR(IF(DB_Customers!A272&lt;&gt;"",IF(DB_Customers!I272&gt;=10,"Active","Inactive"),""),"")</f>
        <v/>
      </c>
    </row>
    <row r="279" spans="1:14" ht="18" customHeight="1" x14ac:dyDescent="0.25">
      <c r="A279" s="221" t="str">
        <f>IF(DB_Customers!A273&lt;&gt;"",ROW()-9,"")</f>
        <v/>
      </c>
      <c r="B279" s="221" t="str">
        <f>IFERROR(IF(DB_Customers!A273&lt;&gt;"",DB_Customers!A273,""),"")</f>
        <v/>
      </c>
      <c r="C279" s="222" t="str">
        <f>IFERROR(IF(DB_Customers!D273&lt;&gt;"",DB_Customers!D273,""),"")</f>
        <v/>
      </c>
      <c r="D279" s="223" t="str">
        <f>IFERROR(IF(DB_Customers!Q273&lt;&gt;"",DB_Customers!Q273,""),"")</f>
        <v/>
      </c>
      <c r="E279" s="221" t="str">
        <f>IFERROR(IF(DB_Customers!R273&lt;&gt;"",DB_Customers!R273,""),"")</f>
        <v/>
      </c>
      <c r="F279" s="222" t="str">
        <f>IFERROR(IF(DB_Customers!S273&lt;&gt;"",DB_Customers!S273,""),"")</f>
        <v/>
      </c>
      <c r="G279" s="222" t="str">
        <f>IFERROR(IF(DB_Customers!G273&lt;&gt;"",DB_Customers!G273,""),"")</f>
        <v/>
      </c>
      <c r="H279" s="221" t="str">
        <f>IFERROR(IF(DB_Customers!H273&lt;&gt;"",DB_Customers!H273,""),"")</f>
        <v/>
      </c>
      <c r="I279" s="224" t="str">
        <f>IFERROR(IF(DB_Customers!I273&lt;&gt;"",DB_Customers!I273,""),"")</f>
        <v/>
      </c>
      <c r="J279" s="225" t="str">
        <f>IFERROR(IF(DB_Customers!J273&lt;&gt;"",DB_Customers!J273,""),"")</f>
        <v/>
      </c>
      <c r="K279" s="222" t="str">
        <f>IFERROR(IF(DB_Customers!E273&lt;&gt;"",DB_Customers!E273,""),"")</f>
        <v/>
      </c>
      <c r="L279" s="222" t="str">
        <f>IFERROR(IF(DB_Customers!F273&lt;&gt;"",DB_Customers!F273,""),"")</f>
        <v/>
      </c>
      <c r="M279" s="222" t="str">
        <f>IFERROR(IF(DB_Customers!T273&lt;&gt;"",DB_Customers!T273,""),"")</f>
        <v/>
      </c>
      <c r="N279" s="221" t="str">
        <f>IFERROR(IF(DB_Customers!A273&lt;&gt;"",IF(DB_Customers!I273&gt;=10,"Active","Inactive"),""),"")</f>
        <v/>
      </c>
    </row>
    <row r="280" spans="1:14" ht="18" customHeight="1" x14ac:dyDescent="0.25">
      <c r="A280" s="216" t="str">
        <f>IF(DB_Customers!A274&lt;&gt;"",ROW()-9,"")</f>
        <v/>
      </c>
      <c r="B280" s="216" t="str">
        <f>IFERROR(IF(DB_Customers!A274&lt;&gt;"",DB_Customers!A274,""),"")</f>
        <v/>
      </c>
      <c r="C280" s="217" t="str">
        <f>IFERROR(IF(DB_Customers!D274&lt;&gt;"",DB_Customers!D274,""),"")</f>
        <v/>
      </c>
      <c r="D280" s="218" t="str">
        <f>IFERROR(IF(DB_Customers!Q274&lt;&gt;"",DB_Customers!Q274,""),"")</f>
        <v/>
      </c>
      <c r="E280" s="216" t="str">
        <f>IFERROR(IF(DB_Customers!R274&lt;&gt;"",DB_Customers!R274,""),"")</f>
        <v/>
      </c>
      <c r="F280" s="217" t="str">
        <f>IFERROR(IF(DB_Customers!S274&lt;&gt;"",DB_Customers!S274,""),"")</f>
        <v/>
      </c>
      <c r="G280" s="217" t="str">
        <f>IFERROR(IF(DB_Customers!G274&lt;&gt;"",DB_Customers!G274,""),"")</f>
        <v/>
      </c>
      <c r="H280" s="216" t="str">
        <f>IFERROR(IF(DB_Customers!H274&lt;&gt;"",DB_Customers!H274,""),"")</f>
        <v/>
      </c>
      <c r="I280" s="219" t="str">
        <f>IFERROR(IF(DB_Customers!I274&lt;&gt;"",DB_Customers!I274,""),"")</f>
        <v/>
      </c>
      <c r="J280" s="220" t="str">
        <f>IFERROR(IF(DB_Customers!J274&lt;&gt;"",DB_Customers!J274,""),"")</f>
        <v/>
      </c>
      <c r="K280" s="217" t="str">
        <f>IFERROR(IF(DB_Customers!E274&lt;&gt;"",DB_Customers!E274,""),"")</f>
        <v/>
      </c>
      <c r="L280" s="217" t="str">
        <f>IFERROR(IF(DB_Customers!F274&lt;&gt;"",DB_Customers!F274,""),"")</f>
        <v/>
      </c>
      <c r="M280" s="217" t="str">
        <f>IFERROR(IF(DB_Customers!T274&lt;&gt;"",DB_Customers!T274,""),"")</f>
        <v/>
      </c>
      <c r="N280" s="216" t="str">
        <f>IFERROR(IF(DB_Customers!A274&lt;&gt;"",IF(DB_Customers!I274&gt;=10,"Active","Inactive"),""),"")</f>
        <v/>
      </c>
    </row>
    <row r="281" spans="1:14" ht="18" customHeight="1" x14ac:dyDescent="0.25">
      <c r="A281" s="221" t="str">
        <f>IF(DB_Customers!A275&lt;&gt;"",ROW()-9,"")</f>
        <v/>
      </c>
      <c r="B281" s="221" t="str">
        <f>IFERROR(IF(DB_Customers!A275&lt;&gt;"",DB_Customers!A275,""),"")</f>
        <v/>
      </c>
      <c r="C281" s="222" t="str">
        <f>IFERROR(IF(DB_Customers!D275&lt;&gt;"",DB_Customers!D275,""),"")</f>
        <v/>
      </c>
      <c r="D281" s="223" t="str">
        <f>IFERROR(IF(DB_Customers!Q275&lt;&gt;"",DB_Customers!Q275,""),"")</f>
        <v/>
      </c>
      <c r="E281" s="221" t="str">
        <f>IFERROR(IF(DB_Customers!R275&lt;&gt;"",DB_Customers!R275,""),"")</f>
        <v/>
      </c>
      <c r="F281" s="222" t="str">
        <f>IFERROR(IF(DB_Customers!S275&lt;&gt;"",DB_Customers!S275,""),"")</f>
        <v/>
      </c>
      <c r="G281" s="222" t="str">
        <f>IFERROR(IF(DB_Customers!G275&lt;&gt;"",DB_Customers!G275,""),"")</f>
        <v/>
      </c>
      <c r="H281" s="221" t="str">
        <f>IFERROR(IF(DB_Customers!H275&lt;&gt;"",DB_Customers!H275,""),"")</f>
        <v/>
      </c>
      <c r="I281" s="224" t="str">
        <f>IFERROR(IF(DB_Customers!I275&lt;&gt;"",DB_Customers!I275,""),"")</f>
        <v/>
      </c>
      <c r="J281" s="225" t="str">
        <f>IFERROR(IF(DB_Customers!J275&lt;&gt;"",DB_Customers!J275,""),"")</f>
        <v/>
      </c>
      <c r="K281" s="222" t="str">
        <f>IFERROR(IF(DB_Customers!E275&lt;&gt;"",DB_Customers!E275,""),"")</f>
        <v/>
      </c>
      <c r="L281" s="222" t="str">
        <f>IFERROR(IF(DB_Customers!F275&lt;&gt;"",DB_Customers!F275,""),"")</f>
        <v/>
      </c>
      <c r="M281" s="222" t="str">
        <f>IFERROR(IF(DB_Customers!T275&lt;&gt;"",DB_Customers!T275,""),"")</f>
        <v/>
      </c>
      <c r="N281" s="221" t="str">
        <f>IFERROR(IF(DB_Customers!A275&lt;&gt;"",IF(DB_Customers!I275&gt;=10,"Active","Inactive"),""),"")</f>
        <v/>
      </c>
    </row>
    <row r="282" spans="1:14" ht="18" customHeight="1" x14ac:dyDescent="0.25">
      <c r="A282" s="216" t="str">
        <f>IF(DB_Customers!A276&lt;&gt;"",ROW()-9,"")</f>
        <v/>
      </c>
      <c r="B282" s="216" t="str">
        <f>IFERROR(IF(DB_Customers!A276&lt;&gt;"",DB_Customers!A276,""),"")</f>
        <v/>
      </c>
      <c r="C282" s="217" t="str">
        <f>IFERROR(IF(DB_Customers!D276&lt;&gt;"",DB_Customers!D276,""),"")</f>
        <v/>
      </c>
      <c r="D282" s="218" t="str">
        <f>IFERROR(IF(DB_Customers!Q276&lt;&gt;"",DB_Customers!Q276,""),"")</f>
        <v/>
      </c>
      <c r="E282" s="216" t="str">
        <f>IFERROR(IF(DB_Customers!R276&lt;&gt;"",DB_Customers!R276,""),"")</f>
        <v/>
      </c>
      <c r="F282" s="217" t="str">
        <f>IFERROR(IF(DB_Customers!S276&lt;&gt;"",DB_Customers!S276,""),"")</f>
        <v/>
      </c>
      <c r="G282" s="217" t="str">
        <f>IFERROR(IF(DB_Customers!G276&lt;&gt;"",DB_Customers!G276,""),"")</f>
        <v/>
      </c>
      <c r="H282" s="216" t="str">
        <f>IFERROR(IF(DB_Customers!H276&lt;&gt;"",DB_Customers!H276,""),"")</f>
        <v/>
      </c>
      <c r="I282" s="219" t="str">
        <f>IFERROR(IF(DB_Customers!I276&lt;&gt;"",DB_Customers!I276,""),"")</f>
        <v/>
      </c>
      <c r="J282" s="220" t="str">
        <f>IFERROR(IF(DB_Customers!J276&lt;&gt;"",DB_Customers!J276,""),"")</f>
        <v/>
      </c>
      <c r="K282" s="217" t="str">
        <f>IFERROR(IF(DB_Customers!E276&lt;&gt;"",DB_Customers!E276,""),"")</f>
        <v/>
      </c>
      <c r="L282" s="217" t="str">
        <f>IFERROR(IF(DB_Customers!F276&lt;&gt;"",DB_Customers!F276,""),"")</f>
        <v/>
      </c>
      <c r="M282" s="217" t="str">
        <f>IFERROR(IF(DB_Customers!T276&lt;&gt;"",DB_Customers!T276,""),"")</f>
        <v/>
      </c>
      <c r="N282" s="216" t="str">
        <f>IFERROR(IF(DB_Customers!A276&lt;&gt;"",IF(DB_Customers!I276&gt;=10,"Active","Inactive"),""),"")</f>
        <v/>
      </c>
    </row>
    <row r="283" spans="1:14" ht="18" customHeight="1" x14ac:dyDescent="0.25">
      <c r="A283" s="221" t="str">
        <f>IF(DB_Customers!A277&lt;&gt;"",ROW()-9,"")</f>
        <v/>
      </c>
      <c r="B283" s="221" t="str">
        <f>IFERROR(IF(DB_Customers!A277&lt;&gt;"",DB_Customers!A277,""),"")</f>
        <v/>
      </c>
      <c r="C283" s="222" t="str">
        <f>IFERROR(IF(DB_Customers!D277&lt;&gt;"",DB_Customers!D277,""),"")</f>
        <v/>
      </c>
      <c r="D283" s="223" t="str">
        <f>IFERROR(IF(DB_Customers!Q277&lt;&gt;"",DB_Customers!Q277,""),"")</f>
        <v/>
      </c>
      <c r="E283" s="221" t="str">
        <f>IFERROR(IF(DB_Customers!R277&lt;&gt;"",DB_Customers!R277,""),"")</f>
        <v/>
      </c>
      <c r="F283" s="222" t="str">
        <f>IFERROR(IF(DB_Customers!S277&lt;&gt;"",DB_Customers!S277,""),"")</f>
        <v/>
      </c>
      <c r="G283" s="222" t="str">
        <f>IFERROR(IF(DB_Customers!G277&lt;&gt;"",DB_Customers!G277,""),"")</f>
        <v/>
      </c>
      <c r="H283" s="221" t="str">
        <f>IFERROR(IF(DB_Customers!H277&lt;&gt;"",DB_Customers!H277,""),"")</f>
        <v/>
      </c>
      <c r="I283" s="224" t="str">
        <f>IFERROR(IF(DB_Customers!I277&lt;&gt;"",DB_Customers!I277,""),"")</f>
        <v/>
      </c>
      <c r="J283" s="225" t="str">
        <f>IFERROR(IF(DB_Customers!J277&lt;&gt;"",DB_Customers!J277,""),"")</f>
        <v/>
      </c>
      <c r="K283" s="222" t="str">
        <f>IFERROR(IF(DB_Customers!E277&lt;&gt;"",DB_Customers!E277,""),"")</f>
        <v/>
      </c>
      <c r="L283" s="222" t="str">
        <f>IFERROR(IF(DB_Customers!F277&lt;&gt;"",DB_Customers!F277,""),"")</f>
        <v/>
      </c>
      <c r="M283" s="222" t="str">
        <f>IFERROR(IF(DB_Customers!T277&lt;&gt;"",DB_Customers!T277,""),"")</f>
        <v/>
      </c>
      <c r="N283" s="221" t="str">
        <f>IFERROR(IF(DB_Customers!A277&lt;&gt;"",IF(DB_Customers!I277&gt;=10,"Active","Inactive"),""),"")</f>
        <v/>
      </c>
    </row>
    <row r="284" spans="1:14" ht="18" customHeight="1" x14ac:dyDescent="0.25">
      <c r="A284" s="216" t="str">
        <f>IF(DB_Customers!A278&lt;&gt;"",ROW()-9,"")</f>
        <v/>
      </c>
      <c r="B284" s="216" t="str">
        <f>IFERROR(IF(DB_Customers!A278&lt;&gt;"",DB_Customers!A278,""),"")</f>
        <v/>
      </c>
      <c r="C284" s="217" t="str">
        <f>IFERROR(IF(DB_Customers!D278&lt;&gt;"",DB_Customers!D278,""),"")</f>
        <v/>
      </c>
      <c r="D284" s="218" t="str">
        <f>IFERROR(IF(DB_Customers!Q278&lt;&gt;"",DB_Customers!Q278,""),"")</f>
        <v/>
      </c>
      <c r="E284" s="216" t="str">
        <f>IFERROR(IF(DB_Customers!R278&lt;&gt;"",DB_Customers!R278,""),"")</f>
        <v/>
      </c>
      <c r="F284" s="217" t="str">
        <f>IFERROR(IF(DB_Customers!S278&lt;&gt;"",DB_Customers!S278,""),"")</f>
        <v/>
      </c>
      <c r="G284" s="217" t="str">
        <f>IFERROR(IF(DB_Customers!G278&lt;&gt;"",DB_Customers!G278,""),"")</f>
        <v/>
      </c>
      <c r="H284" s="216" t="str">
        <f>IFERROR(IF(DB_Customers!H278&lt;&gt;"",DB_Customers!H278,""),"")</f>
        <v/>
      </c>
      <c r="I284" s="219" t="str">
        <f>IFERROR(IF(DB_Customers!I278&lt;&gt;"",DB_Customers!I278,""),"")</f>
        <v/>
      </c>
      <c r="J284" s="220" t="str">
        <f>IFERROR(IF(DB_Customers!J278&lt;&gt;"",DB_Customers!J278,""),"")</f>
        <v/>
      </c>
      <c r="K284" s="217" t="str">
        <f>IFERROR(IF(DB_Customers!E278&lt;&gt;"",DB_Customers!E278,""),"")</f>
        <v/>
      </c>
      <c r="L284" s="217" t="str">
        <f>IFERROR(IF(DB_Customers!F278&lt;&gt;"",DB_Customers!F278,""),"")</f>
        <v/>
      </c>
      <c r="M284" s="217" t="str">
        <f>IFERROR(IF(DB_Customers!T278&lt;&gt;"",DB_Customers!T278,""),"")</f>
        <v/>
      </c>
      <c r="N284" s="216" t="str">
        <f>IFERROR(IF(DB_Customers!A278&lt;&gt;"",IF(DB_Customers!I278&gt;=10,"Active","Inactive"),""),"")</f>
        <v/>
      </c>
    </row>
    <row r="285" spans="1:14" ht="18" customHeight="1" x14ac:dyDescent="0.25">
      <c r="A285" s="221" t="str">
        <f>IF(DB_Customers!A279&lt;&gt;"",ROW()-9,"")</f>
        <v/>
      </c>
      <c r="B285" s="221" t="str">
        <f>IFERROR(IF(DB_Customers!A279&lt;&gt;"",DB_Customers!A279,""),"")</f>
        <v/>
      </c>
      <c r="C285" s="222" t="str">
        <f>IFERROR(IF(DB_Customers!D279&lt;&gt;"",DB_Customers!D279,""),"")</f>
        <v/>
      </c>
      <c r="D285" s="223" t="str">
        <f>IFERROR(IF(DB_Customers!Q279&lt;&gt;"",DB_Customers!Q279,""),"")</f>
        <v/>
      </c>
      <c r="E285" s="221" t="str">
        <f>IFERROR(IF(DB_Customers!R279&lt;&gt;"",DB_Customers!R279,""),"")</f>
        <v/>
      </c>
      <c r="F285" s="222" t="str">
        <f>IFERROR(IF(DB_Customers!S279&lt;&gt;"",DB_Customers!S279,""),"")</f>
        <v/>
      </c>
      <c r="G285" s="222" t="str">
        <f>IFERROR(IF(DB_Customers!G279&lt;&gt;"",DB_Customers!G279,""),"")</f>
        <v/>
      </c>
      <c r="H285" s="221" t="str">
        <f>IFERROR(IF(DB_Customers!H279&lt;&gt;"",DB_Customers!H279,""),"")</f>
        <v/>
      </c>
      <c r="I285" s="224" t="str">
        <f>IFERROR(IF(DB_Customers!I279&lt;&gt;"",DB_Customers!I279,""),"")</f>
        <v/>
      </c>
      <c r="J285" s="225" t="str">
        <f>IFERROR(IF(DB_Customers!J279&lt;&gt;"",DB_Customers!J279,""),"")</f>
        <v/>
      </c>
      <c r="K285" s="222" t="str">
        <f>IFERROR(IF(DB_Customers!E279&lt;&gt;"",DB_Customers!E279,""),"")</f>
        <v/>
      </c>
      <c r="L285" s="222" t="str">
        <f>IFERROR(IF(DB_Customers!F279&lt;&gt;"",DB_Customers!F279,""),"")</f>
        <v/>
      </c>
      <c r="M285" s="222" t="str">
        <f>IFERROR(IF(DB_Customers!T279&lt;&gt;"",DB_Customers!T279,""),"")</f>
        <v/>
      </c>
      <c r="N285" s="221" t="str">
        <f>IFERROR(IF(DB_Customers!A279&lt;&gt;"",IF(DB_Customers!I279&gt;=10,"Active","Inactive"),""),"")</f>
        <v/>
      </c>
    </row>
    <row r="286" spans="1:14" ht="18" customHeight="1" x14ac:dyDescent="0.25">
      <c r="A286" s="216" t="str">
        <f>IF(DB_Customers!A280&lt;&gt;"",ROW()-9,"")</f>
        <v/>
      </c>
      <c r="B286" s="216" t="str">
        <f>IFERROR(IF(DB_Customers!A280&lt;&gt;"",DB_Customers!A280,""),"")</f>
        <v/>
      </c>
      <c r="C286" s="217" t="str">
        <f>IFERROR(IF(DB_Customers!D280&lt;&gt;"",DB_Customers!D280,""),"")</f>
        <v/>
      </c>
      <c r="D286" s="218" t="str">
        <f>IFERROR(IF(DB_Customers!Q280&lt;&gt;"",DB_Customers!Q280,""),"")</f>
        <v/>
      </c>
      <c r="E286" s="216" t="str">
        <f>IFERROR(IF(DB_Customers!R280&lt;&gt;"",DB_Customers!R280,""),"")</f>
        <v/>
      </c>
      <c r="F286" s="217" t="str">
        <f>IFERROR(IF(DB_Customers!S280&lt;&gt;"",DB_Customers!S280,""),"")</f>
        <v/>
      </c>
      <c r="G286" s="217" t="str">
        <f>IFERROR(IF(DB_Customers!G280&lt;&gt;"",DB_Customers!G280,""),"")</f>
        <v/>
      </c>
      <c r="H286" s="216" t="str">
        <f>IFERROR(IF(DB_Customers!H280&lt;&gt;"",DB_Customers!H280,""),"")</f>
        <v/>
      </c>
      <c r="I286" s="219" t="str">
        <f>IFERROR(IF(DB_Customers!I280&lt;&gt;"",DB_Customers!I280,""),"")</f>
        <v/>
      </c>
      <c r="J286" s="220" t="str">
        <f>IFERROR(IF(DB_Customers!J280&lt;&gt;"",DB_Customers!J280,""),"")</f>
        <v/>
      </c>
      <c r="K286" s="217" t="str">
        <f>IFERROR(IF(DB_Customers!E280&lt;&gt;"",DB_Customers!E280,""),"")</f>
        <v/>
      </c>
      <c r="L286" s="217" t="str">
        <f>IFERROR(IF(DB_Customers!F280&lt;&gt;"",DB_Customers!F280,""),"")</f>
        <v/>
      </c>
      <c r="M286" s="217" t="str">
        <f>IFERROR(IF(DB_Customers!T280&lt;&gt;"",DB_Customers!T280,""),"")</f>
        <v/>
      </c>
      <c r="N286" s="216" t="str">
        <f>IFERROR(IF(DB_Customers!A280&lt;&gt;"",IF(DB_Customers!I280&gt;=10,"Active","Inactive"),""),"")</f>
        <v/>
      </c>
    </row>
    <row r="287" spans="1:14" ht="18" customHeight="1" x14ac:dyDescent="0.25">
      <c r="A287" s="221" t="str">
        <f>IF(DB_Customers!A281&lt;&gt;"",ROW()-9,"")</f>
        <v/>
      </c>
      <c r="B287" s="221" t="str">
        <f>IFERROR(IF(DB_Customers!A281&lt;&gt;"",DB_Customers!A281,""),"")</f>
        <v/>
      </c>
      <c r="C287" s="222" t="str">
        <f>IFERROR(IF(DB_Customers!D281&lt;&gt;"",DB_Customers!D281,""),"")</f>
        <v/>
      </c>
      <c r="D287" s="223" t="str">
        <f>IFERROR(IF(DB_Customers!Q281&lt;&gt;"",DB_Customers!Q281,""),"")</f>
        <v/>
      </c>
      <c r="E287" s="221" t="str">
        <f>IFERROR(IF(DB_Customers!R281&lt;&gt;"",DB_Customers!R281,""),"")</f>
        <v/>
      </c>
      <c r="F287" s="222" t="str">
        <f>IFERROR(IF(DB_Customers!S281&lt;&gt;"",DB_Customers!S281,""),"")</f>
        <v/>
      </c>
      <c r="G287" s="222" t="str">
        <f>IFERROR(IF(DB_Customers!G281&lt;&gt;"",DB_Customers!G281,""),"")</f>
        <v/>
      </c>
      <c r="H287" s="221" t="str">
        <f>IFERROR(IF(DB_Customers!H281&lt;&gt;"",DB_Customers!H281,""),"")</f>
        <v/>
      </c>
      <c r="I287" s="224" t="str">
        <f>IFERROR(IF(DB_Customers!I281&lt;&gt;"",DB_Customers!I281,""),"")</f>
        <v/>
      </c>
      <c r="J287" s="225" t="str">
        <f>IFERROR(IF(DB_Customers!J281&lt;&gt;"",DB_Customers!J281,""),"")</f>
        <v/>
      </c>
      <c r="K287" s="222" t="str">
        <f>IFERROR(IF(DB_Customers!E281&lt;&gt;"",DB_Customers!E281,""),"")</f>
        <v/>
      </c>
      <c r="L287" s="222" t="str">
        <f>IFERROR(IF(DB_Customers!F281&lt;&gt;"",DB_Customers!F281,""),"")</f>
        <v/>
      </c>
      <c r="M287" s="222" t="str">
        <f>IFERROR(IF(DB_Customers!T281&lt;&gt;"",DB_Customers!T281,""),"")</f>
        <v/>
      </c>
      <c r="N287" s="221" t="str">
        <f>IFERROR(IF(DB_Customers!A281&lt;&gt;"",IF(DB_Customers!I281&gt;=10,"Active","Inactive"),""),"")</f>
        <v/>
      </c>
    </row>
    <row r="288" spans="1:14" ht="18" customHeight="1" x14ac:dyDescent="0.25">
      <c r="A288" s="216" t="str">
        <f>IF(DB_Customers!A282&lt;&gt;"",ROW()-9,"")</f>
        <v/>
      </c>
      <c r="B288" s="216" t="str">
        <f>IFERROR(IF(DB_Customers!A282&lt;&gt;"",DB_Customers!A282,""),"")</f>
        <v/>
      </c>
      <c r="C288" s="217" t="str">
        <f>IFERROR(IF(DB_Customers!D282&lt;&gt;"",DB_Customers!D282,""),"")</f>
        <v/>
      </c>
      <c r="D288" s="218" t="str">
        <f>IFERROR(IF(DB_Customers!Q282&lt;&gt;"",DB_Customers!Q282,""),"")</f>
        <v/>
      </c>
      <c r="E288" s="216" t="str">
        <f>IFERROR(IF(DB_Customers!R282&lt;&gt;"",DB_Customers!R282,""),"")</f>
        <v/>
      </c>
      <c r="F288" s="217" t="str">
        <f>IFERROR(IF(DB_Customers!S282&lt;&gt;"",DB_Customers!S282,""),"")</f>
        <v/>
      </c>
      <c r="G288" s="217" t="str">
        <f>IFERROR(IF(DB_Customers!G282&lt;&gt;"",DB_Customers!G282,""),"")</f>
        <v/>
      </c>
      <c r="H288" s="216" t="str">
        <f>IFERROR(IF(DB_Customers!H282&lt;&gt;"",DB_Customers!H282,""),"")</f>
        <v/>
      </c>
      <c r="I288" s="219" t="str">
        <f>IFERROR(IF(DB_Customers!I282&lt;&gt;"",DB_Customers!I282,""),"")</f>
        <v/>
      </c>
      <c r="J288" s="220" t="str">
        <f>IFERROR(IF(DB_Customers!J282&lt;&gt;"",DB_Customers!J282,""),"")</f>
        <v/>
      </c>
      <c r="K288" s="217" t="str">
        <f>IFERROR(IF(DB_Customers!E282&lt;&gt;"",DB_Customers!E282,""),"")</f>
        <v/>
      </c>
      <c r="L288" s="217" t="str">
        <f>IFERROR(IF(DB_Customers!F282&lt;&gt;"",DB_Customers!F282,""),"")</f>
        <v/>
      </c>
      <c r="M288" s="217" t="str">
        <f>IFERROR(IF(DB_Customers!T282&lt;&gt;"",DB_Customers!T282,""),"")</f>
        <v/>
      </c>
      <c r="N288" s="216" t="str">
        <f>IFERROR(IF(DB_Customers!A282&lt;&gt;"",IF(DB_Customers!I282&gt;=10,"Active","Inactive"),""),"")</f>
        <v/>
      </c>
    </row>
    <row r="289" spans="1:14" ht="18" customHeight="1" x14ac:dyDescent="0.25">
      <c r="A289" s="221" t="str">
        <f>IF(DB_Customers!A283&lt;&gt;"",ROW()-9,"")</f>
        <v/>
      </c>
      <c r="B289" s="221" t="str">
        <f>IFERROR(IF(DB_Customers!A283&lt;&gt;"",DB_Customers!A283,""),"")</f>
        <v/>
      </c>
      <c r="C289" s="222" t="str">
        <f>IFERROR(IF(DB_Customers!D283&lt;&gt;"",DB_Customers!D283,""),"")</f>
        <v/>
      </c>
      <c r="D289" s="223" t="str">
        <f>IFERROR(IF(DB_Customers!Q283&lt;&gt;"",DB_Customers!Q283,""),"")</f>
        <v/>
      </c>
      <c r="E289" s="221" t="str">
        <f>IFERROR(IF(DB_Customers!R283&lt;&gt;"",DB_Customers!R283,""),"")</f>
        <v/>
      </c>
      <c r="F289" s="222" t="str">
        <f>IFERROR(IF(DB_Customers!S283&lt;&gt;"",DB_Customers!S283,""),"")</f>
        <v/>
      </c>
      <c r="G289" s="222" t="str">
        <f>IFERROR(IF(DB_Customers!G283&lt;&gt;"",DB_Customers!G283,""),"")</f>
        <v/>
      </c>
      <c r="H289" s="221" t="str">
        <f>IFERROR(IF(DB_Customers!H283&lt;&gt;"",DB_Customers!H283,""),"")</f>
        <v/>
      </c>
      <c r="I289" s="224" t="str">
        <f>IFERROR(IF(DB_Customers!I283&lt;&gt;"",DB_Customers!I283,""),"")</f>
        <v/>
      </c>
      <c r="J289" s="225" t="str">
        <f>IFERROR(IF(DB_Customers!J283&lt;&gt;"",DB_Customers!J283,""),"")</f>
        <v/>
      </c>
      <c r="K289" s="222" t="str">
        <f>IFERROR(IF(DB_Customers!E283&lt;&gt;"",DB_Customers!E283,""),"")</f>
        <v/>
      </c>
      <c r="L289" s="222" t="str">
        <f>IFERROR(IF(DB_Customers!F283&lt;&gt;"",DB_Customers!F283,""),"")</f>
        <v/>
      </c>
      <c r="M289" s="222" t="str">
        <f>IFERROR(IF(DB_Customers!T283&lt;&gt;"",DB_Customers!T283,""),"")</f>
        <v/>
      </c>
      <c r="N289" s="221" t="str">
        <f>IFERROR(IF(DB_Customers!A283&lt;&gt;"",IF(DB_Customers!I283&gt;=10,"Active","Inactive"),""),"")</f>
        <v/>
      </c>
    </row>
    <row r="290" spans="1:14" ht="18" customHeight="1" x14ac:dyDescent="0.25">
      <c r="A290" s="216" t="str">
        <f>IF(DB_Customers!A284&lt;&gt;"",ROW()-9,"")</f>
        <v/>
      </c>
      <c r="B290" s="216" t="str">
        <f>IFERROR(IF(DB_Customers!A284&lt;&gt;"",DB_Customers!A284,""),"")</f>
        <v/>
      </c>
      <c r="C290" s="217" t="str">
        <f>IFERROR(IF(DB_Customers!D284&lt;&gt;"",DB_Customers!D284,""),"")</f>
        <v/>
      </c>
      <c r="D290" s="218" t="str">
        <f>IFERROR(IF(DB_Customers!Q284&lt;&gt;"",DB_Customers!Q284,""),"")</f>
        <v/>
      </c>
      <c r="E290" s="216" t="str">
        <f>IFERROR(IF(DB_Customers!R284&lt;&gt;"",DB_Customers!R284,""),"")</f>
        <v/>
      </c>
      <c r="F290" s="217" t="str">
        <f>IFERROR(IF(DB_Customers!S284&lt;&gt;"",DB_Customers!S284,""),"")</f>
        <v/>
      </c>
      <c r="G290" s="217" t="str">
        <f>IFERROR(IF(DB_Customers!G284&lt;&gt;"",DB_Customers!G284,""),"")</f>
        <v/>
      </c>
      <c r="H290" s="216" t="str">
        <f>IFERROR(IF(DB_Customers!H284&lt;&gt;"",DB_Customers!H284,""),"")</f>
        <v/>
      </c>
      <c r="I290" s="219" t="str">
        <f>IFERROR(IF(DB_Customers!I284&lt;&gt;"",DB_Customers!I284,""),"")</f>
        <v/>
      </c>
      <c r="J290" s="220" t="str">
        <f>IFERROR(IF(DB_Customers!J284&lt;&gt;"",DB_Customers!J284,""),"")</f>
        <v/>
      </c>
      <c r="K290" s="217" t="str">
        <f>IFERROR(IF(DB_Customers!E284&lt;&gt;"",DB_Customers!E284,""),"")</f>
        <v/>
      </c>
      <c r="L290" s="217" t="str">
        <f>IFERROR(IF(DB_Customers!F284&lt;&gt;"",DB_Customers!F284,""),"")</f>
        <v/>
      </c>
      <c r="M290" s="217" t="str">
        <f>IFERROR(IF(DB_Customers!T284&lt;&gt;"",DB_Customers!T284,""),"")</f>
        <v/>
      </c>
      <c r="N290" s="216" t="str">
        <f>IFERROR(IF(DB_Customers!A284&lt;&gt;"",IF(DB_Customers!I284&gt;=10,"Active","Inactive"),""),"")</f>
        <v/>
      </c>
    </row>
    <row r="291" spans="1:14" ht="18" customHeight="1" x14ac:dyDescent="0.25">
      <c r="A291" s="221" t="str">
        <f>IF(DB_Customers!A285&lt;&gt;"",ROW()-9,"")</f>
        <v/>
      </c>
      <c r="B291" s="221" t="str">
        <f>IFERROR(IF(DB_Customers!A285&lt;&gt;"",DB_Customers!A285,""),"")</f>
        <v/>
      </c>
      <c r="C291" s="222" t="str">
        <f>IFERROR(IF(DB_Customers!D285&lt;&gt;"",DB_Customers!D285,""),"")</f>
        <v/>
      </c>
      <c r="D291" s="223" t="str">
        <f>IFERROR(IF(DB_Customers!Q285&lt;&gt;"",DB_Customers!Q285,""),"")</f>
        <v/>
      </c>
      <c r="E291" s="221" t="str">
        <f>IFERROR(IF(DB_Customers!R285&lt;&gt;"",DB_Customers!R285,""),"")</f>
        <v/>
      </c>
      <c r="F291" s="222" t="str">
        <f>IFERROR(IF(DB_Customers!S285&lt;&gt;"",DB_Customers!S285,""),"")</f>
        <v/>
      </c>
      <c r="G291" s="222" t="str">
        <f>IFERROR(IF(DB_Customers!G285&lt;&gt;"",DB_Customers!G285,""),"")</f>
        <v/>
      </c>
      <c r="H291" s="221" t="str">
        <f>IFERROR(IF(DB_Customers!H285&lt;&gt;"",DB_Customers!H285,""),"")</f>
        <v/>
      </c>
      <c r="I291" s="224" t="str">
        <f>IFERROR(IF(DB_Customers!I285&lt;&gt;"",DB_Customers!I285,""),"")</f>
        <v/>
      </c>
      <c r="J291" s="225" t="str">
        <f>IFERROR(IF(DB_Customers!J285&lt;&gt;"",DB_Customers!J285,""),"")</f>
        <v/>
      </c>
      <c r="K291" s="222" t="str">
        <f>IFERROR(IF(DB_Customers!E285&lt;&gt;"",DB_Customers!E285,""),"")</f>
        <v/>
      </c>
      <c r="L291" s="222" t="str">
        <f>IFERROR(IF(DB_Customers!F285&lt;&gt;"",DB_Customers!F285,""),"")</f>
        <v/>
      </c>
      <c r="M291" s="222" t="str">
        <f>IFERROR(IF(DB_Customers!T285&lt;&gt;"",DB_Customers!T285,""),"")</f>
        <v/>
      </c>
      <c r="N291" s="221" t="str">
        <f>IFERROR(IF(DB_Customers!A285&lt;&gt;"",IF(DB_Customers!I285&gt;=10,"Active","Inactive"),""),"")</f>
        <v/>
      </c>
    </row>
    <row r="292" spans="1:14" ht="18" customHeight="1" x14ac:dyDescent="0.25">
      <c r="A292" s="216" t="str">
        <f>IF(DB_Customers!A286&lt;&gt;"",ROW()-9,"")</f>
        <v/>
      </c>
      <c r="B292" s="216" t="str">
        <f>IFERROR(IF(DB_Customers!A286&lt;&gt;"",DB_Customers!A286,""),"")</f>
        <v/>
      </c>
      <c r="C292" s="217" t="str">
        <f>IFERROR(IF(DB_Customers!D286&lt;&gt;"",DB_Customers!D286,""),"")</f>
        <v/>
      </c>
      <c r="D292" s="218" t="str">
        <f>IFERROR(IF(DB_Customers!Q286&lt;&gt;"",DB_Customers!Q286,""),"")</f>
        <v/>
      </c>
      <c r="E292" s="216" t="str">
        <f>IFERROR(IF(DB_Customers!R286&lt;&gt;"",DB_Customers!R286,""),"")</f>
        <v/>
      </c>
      <c r="F292" s="217" t="str">
        <f>IFERROR(IF(DB_Customers!S286&lt;&gt;"",DB_Customers!S286,""),"")</f>
        <v/>
      </c>
      <c r="G292" s="217" t="str">
        <f>IFERROR(IF(DB_Customers!G286&lt;&gt;"",DB_Customers!G286,""),"")</f>
        <v/>
      </c>
      <c r="H292" s="216" t="str">
        <f>IFERROR(IF(DB_Customers!H286&lt;&gt;"",DB_Customers!H286,""),"")</f>
        <v/>
      </c>
      <c r="I292" s="219" t="str">
        <f>IFERROR(IF(DB_Customers!I286&lt;&gt;"",DB_Customers!I286,""),"")</f>
        <v/>
      </c>
      <c r="J292" s="220" t="str">
        <f>IFERROR(IF(DB_Customers!J286&lt;&gt;"",DB_Customers!J286,""),"")</f>
        <v/>
      </c>
      <c r="K292" s="217" t="str">
        <f>IFERROR(IF(DB_Customers!E286&lt;&gt;"",DB_Customers!E286,""),"")</f>
        <v/>
      </c>
      <c r="L292" s="217" t="str">
        <f>IFERROR(IF(DB_Customers!F286&lt;&gt;"",DB_Customers!F286,""),"")</f>
        <v/>
      </c>
      <c r="M292" s="217" t="str">
        <f>IFERROR(IF(DB_Customers!T286&lt;&gt;"",DB_Customers!T286,""),"")</f>
        <v/>
      </c>
      <c r="N292" s="216" t="str">
        <f>IFERROR(IF(DB_Customers!A286&lt;&gt;"",IF(DB_Customers!I286&gt;=10,"Active","Inactive"),""),"")</f>
        <v/>
      </c>
    </row>
    <row r="293" spans="1:14" ht="18" customHeight="1" x14ac:dyDescent="0.25">
      <c r="A293" s="221" t="str">
        <f>IF(DB_Customers!A287&lt;&gt;"",ROW()-9,"")</f>
        <v/>
      </c>
      <c r="B293" s="221" t="str">
        <f>IFERROR(IF(DB_Customers!A287&lt;&gt;"",DB_Customers!A287,""),"")</f>
        <v/>
      </c>
      <c r="C293" s="222" t="str">
        <f>IFERROR(IF(DB_Customers!D287&lt;&gt;"",DB_Customers!D287,""),"")</f>
        <v/>
      </c>
      <c r="D293" s="223" t="str">
        <f>IFERROR(IF(DB_Customers!Q287&lt;&gt;"",DB_Customers!Q287,""),"")</f>
        <v/>
      </c>
      <c r="E293" s="221" t="str">
        <f>IFERROR(IF(DB_Customers!R287&lt;&gt;"",DB_Customers!R287,""),"")</f>
        <v/>
      </c>
      <c r="F293" s="222" t="str">
        <f>IFERROR(IF(DB_Customers!S287&lt;&gt;"",DB_Customers!S287,""),"")</f>
        <v/>
      </c>
      <c r="G293" s="222" t="str">
        <f>IFERROR(IF(DB_Customers!G287&lt;&gt;"",DB_Customers!G287,""),"")</f>
        <v/>
      </c>
      <c r="H293" s="221" t="str">
        <f>IFERROR(IF(DB_Customers!H287&lt;&gt;"",DB_Customers!H287,""),"")</f>
        <v/>
      </c>
      <c r="I293" s="224" t="str">
        <f>IFERROR(IF(DB_Customers!I287&lt;&gt;"",DB_Customers!I287,""),"")</f>
        <v/>
      </c>
      <c r="J293" s="225" t="str">
        <f>IFERROR(IF(DB_Customers!J287&lt;&gt;"",DB_Customers!J287,""),"")</f>
        <v/>
      </c>
      <c r="K293" s="222" t="str">
        <f>IFERROR(IF(DB_Customers!E287&lt;&gt;"",DB_Customers!E287,""),"")</f>
        <v/>
      </c>
      <c r="L293" s="222" t="str">
        <f>IFERROR(IF(DB_Customers!F287&lt;&gt;"",DB_Customers!F287,""),"")</f>
        <v/>
      </c>
      <c r="M293" s="222" t="str">
        <f>IFERROR(IF(DB_Customers!T287&lt;&gt;"",DB_Customers!T287,""),"")</f>
        <v/>
      </c>
      <c r="N293" s="221" t="str">
        <f>IFERROR(IF(DB_Customers!A287&lt;&gt;"",IF(DB_Customers!I287&gt;=10,"Active","Inactive"),""),"")</f>
        <v/>
      </c>
    </row>
    <row r="294" spans="1:14" ht="18" customHeight="1" x14ac:dyDescent="0.25">
      <c r="A294" s="216" t="str">
        <f>IF(DB_Customers!A288&lt;&gt;"",ROW()-9,"")</f>
        <v/>
      </c>
      <c r="B294" s="216" t="str">
        <f>IFERROR(IF(DB_Customers!A288&lt;&gt;"",DB_Customers!A288,""),"")</f>
        <v/>
      </c>
      <c r="C294" s="217" t="str">
        <f>IFERROR(IF(DB_Customers!D288&lt;&gt;"",DB_Customers!D288,""),"")</f>
        <v/>
      </c>
      <c r="D294" s="218" t="str">
        <f>IFERROR(IF(DB_Customers!Q288&lt;&gt;"",DB_Customers!Q288,""),"")</f>
        <v/>
      </c>
      <c r="E294" s="216" t="str">
        <f>IFERROR(IF(DB_Customers!R288&lt;&gt;"",DB_Customers!R288,""),"")</f>
        <v/>
      </c>
      <c r="F294" s="217" t="str">
        <f>IFERROR(IF(DB_Customers!S288&lt;&gt;"",DB_Customers!S288,""),"")</f>
        <v/>
      </c>
      <c r="G294" s="217" t="str">
        <f>IFERROR(IF(DB_Customers!G288&lt;&gt;"",DB_Customers!G288,""),"")</f>
        <v/>
      </c>
      <c r="H294" s="216" t="str">
        <f>IFERROR(IF(DB_Customers!H288&lt;&gt;"",DB_Customers!H288,""),"")</f>
        <v/>
      </c>
      <c r="I294" s="219" t="str">
        <f>IFERROR(IF(DB_Customers!I288&lt;&gt;"",DB_Customers!I288,""),"")</f>
        <v/>
      </c>
      <c r="J294" s="220" t="str">
        <f>IFERROR(IF(DB_Customers!J288&lt;&gt;"",DB_Customers!J288,""),"")</f>
        <v/>
      </c>
      <c r="K294" s="217" t="str">
        <f>IFERROR(IF(DB_Customers!E288&lt;&gt;"",DB_Customers!E288,""),"")</f>
        <v/>
      </c>
      <c r="L294" s="217" t="str">
        <f>IFERROR(IF(DB_Customers!F288&lt;&gt;"",DB_Customers!F288,""),"")</f>
        <v/>
      </c>
      <c r="M294" s="217" t="str">
        <f>IFERROR(IF(DB_Customers!T288&lt;&gt;"",DB_Customers!T288,""),"")</f>
        <v/>
      </c>
      <c r="N294" s="216" t="str">
        <f>IFERROR(IF(DB_Customers!A288&lt;&gt;"",IF(DB_Customers!I288&gt;=10,"Active","Inactive"),""),"")</f>
        <v/>
      </c>
    </row>
    <row r="295" spans="1:14" ht="18" customHeight="1" x14ac:dyDescent="0.25">
      <c r="A295" s="221" t="str">
        <f>IF(DB_Customers!A289&lt;&gt;"",ROW()-9,"")</f>
        <v/>
      </c>
      <c r="B295" s="221" t="str">
        <f>IFERROR(IF(DB_Customers!A289&lt;&gt;"",DB_Customers!A289,""),"")</f>
        <v/>
      </c>
      <c r="C295" s="222" t="str">
        <f>IFERROR(IF(DB_Customers!D289&lt;&gt;"",DB_Customers!D289,""),"")</f>
        <v/>
      </c>
      <c r="D295" s="223" t="str">
        <f>IFERROR(IF(DB_Customers!Q289&lt;&gt;"",DB_Customers!Q289,""),"")</f>
        <v/>
      </c>
      <c r="E295" s="221" t="str">
        <f>IFERROR(IF(DB_Customers!R289&lt;&gt;"",DB_Customers!R289,""),"")</f>
        <v/>
      </c>
      <c r="F295" s="222" t="str">
        <f>IFERROR(IF(DB_Customers!S289&lt;&gt;"",DB_Customers!S289,""),"")</f>
        <v/>
      </c>
      <c r="G295" s="222" t="str">
        <f>IFERROR(IF(DB_Customers!G289&lt;&gt;"",DB_Customers!G289,""),"")</f>
        <v/>
      </c>
      <c r="H295" s="221" t="str">
        <f>IFERROR(IF(DB_Customers!H289&lt;&gt;"",DB_Customers!H289,""),"")</f>
        <v/>
      </c>
      <c r="I295" s="224" t="str">
        <f>IFERROR(IF(DB_Customers!I289&lt;&gt;"",DB_Customers!I289,""),"")</f>
        <v/>
      </c>
      <c r="J295" s="225" t="str">
        <f>IFERROR(IF(DB_Customers!J289&lt;&gt;"",DB_Customers!J289,""),"")</f>
        <v/>
      </c>
      <c r="K295" s="222" t="str">
        <f>IFERROR(IF(DB_Customers!E289&lt;&gt;"",DB_Customers!E289,""),"")</f>
        <v/>
      </c>
      <c r="L295" s="222" t="str">
        <f>IFERROR(IF(DB_Customers!F289&lt;&gt;"",DB_Customers!F289,""),"")</f>
        <v/>
      </c>
      <c r="M295" s="222" t="str">
        <f>IFERROR(IF(DB_Customers!T289&lt;&gt;"",DB_Customers!T289,""),"")</f>
        <v/>
      </c>
      <c r="N295" s="221" t="str">
        <f>IFERROR(IF(DB_Customers!A289&lt;&gt;"",IF(DB_Customers!I289&gt;=10,"Active","Inactive"),""),"")</f>
        <v/>
      </c>
    </row>
    <row r="296" spans="1:14" ht="18" customHeight="1" x14ac:dyDescent="0.25">
      <c r="A296" s="216" t="str">
        <f>IF(DB_Customers!A290&lt;&gt;"",ROW()-9,"")</f>
        <v/>
      </c>
      <c r="B296" s="216" t="str">
        <f>IFERROR(IF(DB_Customers!A290&lt;&gt;"",DB_Customers!A290,""),"")</f>
        <v/>
      </c>
      <c r="C296" s="217" t="str">
        <f>IFERROR(IF(DB_Customers!D290&lt;&gt;"",DB_Customers!D290,""),"")</f>
        <v/>
      </c>
      <c r="D296" s="218" t="str">
        <f>IFERROR(IF(DB_Customers!Q290&lt;&gt;"",DB_Customers!Q290,""),"")</f>
        <v/>
      </c>
      <c r="E296" s="216" t="str">
        <f>IFERROR(IF(DB_Customers!R290&lt;&gt;"",DB_Customers!R290,""),"")</f>
        <v/>
      </c>
      <c r="F296" s="217" t="str">
        <f>IFERROR(IF(DB_Customers!S290&lt;&gt;"",DB_Customers!S290,""),"")</f>
        <v/>
      </c>
      <c r="G296" s="217" t="str">
        <f>IFERROR(IF(DB_Customers!G290&lt;&gt;"",DB_Customers!G290,""),"")</f>
        <v/>
      </c>
      <c r="H296" s="216" t="str">
        <f>IFERROR(IF(DB_Customers!H290&lt;&gt;"",DB_Customers!H290,""),"")</f>
        <v/>
      </c>
      <c r="I296" s="219" t="str">
        <f>IFERROR(IF(DB_Customers!I290&lt;&gt;"",DB_Customers!I290,""),"")</f>
        <v/>
      </c>
      <c r="J296" s="220" t="str">
        <f>IFERROR(IF(DB_Customers!J290&lt;&gt;"",DB_Customers!J290,""),"")</f>
        <v/>
      </c>
      <c r="K296" s="217" t="str">
        <f>IFERROR(IF(DB_Customers!E290&lt;&gt;"",DB_Customers!E290,""),"")</f>
        <v/>
      </c>
      <c r="L296" s="217" t="str">
        <f>IFERROR(IF(DB_Customers!F290&lt;&gt;"",DB_Customers!F290,""),"")</f>
        <v/>
      </c>
      <c r="M296" s="217" t="str">
        <f>IFERROR(IF(DB_Customers!T290&lt;&gt;"",DB_Customers!T290,""),"")</f>
        <v/>
      </c>
      <c r="N296" s="216" t="str">
        <f>IFERROR(IF(DB_Customers!A290&lt;&gt;"",IF(DB_Customers!I290&gt;=10,"Active","Inactive"),""),"")</f>
        <v/>
      </c>
    </row>
    <row r="297" spans="1:14" ht="18" customHeight="1" x14ac:dyDescent="0.25">
      <c r="A297" s="221" t="str">
        <f>IF(DB_Customers!A291&lt;&gt;"",ROW()-9,"")</f>
        <v/>
      </c>
      <c r="B297" s="221" t="str">
        <f>IFERROR(IF(DB_Customers!A291&lt;&gt;"",DB_Customers!A291,""),"")</f>
        <v/>
      </c>
      <c r="C297" s="222" t="str">
        <f>IFERROR(IF(DB_Customers!D291&lt;&gt;"",DB_Customers!D291,""),"")</f>
        <v/>
      </c>
      <c r="D297" s="223" t="str">
        <f>IFERROR(IF(DB_Customers!Q291&lt;&gt;"",DB_Customers!Q291,""),"")</f>
        <v/>
      </c>
      <c r="E297" s="221" t="str">
        <f>IFERROR(IF(DB_Customers!R291&lt;&gt;"",DB_Customers!R291,""),"")</f>
        <v/>
      </c>
      <c r="F297" s="222" t="str">
        <f>IFERROR(IF(DB_Customers!S291&lt;&gt;"",DB_Customers!S291,""),"")</f>
        <v/>
      </c>
      <c r="G297" s="222" t="str">
        <f>IFERROR(IF(DB_Customers!G291&lt;&gt;"",DB_Customers!G291,""),"")</f>
        <v/>
      </c>
      <c r="H297" s="221" t="str">
        <f>IFERROR(IF(DB_Customers!H291&lt;&gt;"",DB_Customers!H291,""),"")</f>
        <v/>
      </c>
      <c r="I297" s="224" t="str">
        <f>IFERROR(IF(DB_Customers!I291&lt;&gt;"",DB_Customers!I291,""),"")</f>
        <v/>
      </c>
      <c r="J297" s="225" t="str">
        <f>IFERROR(IF(DB_Customers!J291&lt;&gt;"",DB_Customers!J291,""),"")</f>
        <v/>
      </c>
      <c r="K297" s="222" t="str">
        <f>IFERROR(IF(DB_Customers!E291&lt;&gt;"",DB_Customers!E291,""),"")</f>
        <v/>
      </c>
      <c r="L297" s="222" t="str">
        <f>IFERROR(IF(DB_Customers!F291&lt;&gt;"",DB_Customers!F291,""),"")</f>
        <v/>
      </c>
      <c r="M297" s="222" t="str">
        <f>IFERROR(IF(DB_Customers!T291&lt;&gt;"",DB_Customers!T291,""),"")</f>
        <v/>
      </c>
      <c r="N297" s="221" t="str">
        <f>IFERROR(IF(DB_Customers!A291&lt;&gt;"",IF(DB_Customers!I291&gt;=10,"Active","Inactive"),""),"")</f>
        <v/>
      </c>
    </row>
    <row r="298" spans="1:14" ht="18" customHeight="1" x14ac:dyDescent="0.25">
      <c r="A298" s="216" t="str">
        <f>IF(DB_Customers!A292&lt;&gt;"",ROW()-9,"")</f>
        <v/>
      </c>
      <c r="B298" s="216" t="str">
        <f>IFERROR(IF(DB_Customers!A292&lt;&gt;"",DB_Customers!A292,""),"")</f>
        <v/>
      </c>
      <c r="C298" s="217" t="str">
        <f>IFERROR(IF(DB_Customers!D292&lt;&gt;"",DB_Customers!D292,""),"")</f>
        <v/>
      </c>
      <c r="D298" s="218" t="str">
        <f>IFERROR(IF(DB_Customers!Q292&lt;&gt;"",DB_Customers!Q292,""),"")</f>
        <v/>
      </c>
      <c r="E298" s="216" t="str">
        <f>IFERROR(IF(DB_Customers!R292&lt;&gt;"",DB_Customers!R292,""),"")</f>
        <v/>
      </c>
      <c r="F298" s="217" t="str">
        <f>IFERROR(IF(DB_Customers!S292&lt;&gt;"",DB_Customers!S292,""),"")</f>
        <v/>
      </c>
      <c r="G298" s="217" t="str">
        <f>IFERROR(IF(DB_Customers!G292&lt;&gt;"",DB_Customers!G292,""),"")</f>
        <v/>
      </c>
      <c r="H298" s="216" t="str">
        <f>IFERROR(IF(DB_Customers!H292&lt;&gt;"",DB_Customers!H292,""),"")</f>
        <v/>
      </c>
      <c r="I298" s="219" t="str">
        <f>IFERROR(IF(DB_Customers!I292&lt;&gt;"",DB_Customers!I292,""),"")</f>
        <v/>
      </c>
      <c r="J298" s="220" t="str">
        <f>IFERROR(IF(DB_Customers!J292&lt;&gt;"",DB_Customers!J292,""),"")</f>
        <v/>
      </c>
      <c r="K298" s="217" t="str">
        <f>IFERROR(IF(DB_Customers!E292&lt;&gt;"",DB_Customers!E292,""),"")</f>
        <v/>
      </c>
      <c r="L298" s="217" t="str">
        <f>IFERROR(IF(DB_Customers!F292&lt;&gt;"",DB_Customers!F292,""),"")</f>
        <v/>
      </c>
      <c r="M298" s="217" t="str">
        <f>IFERROR(IF(DB_Customers!T292&lt;&gt;"",DB_Customers!T292,""),"")</f>
        <v/>
      </c>
      <c r="N298" s="216" t="str">
        <f>IFERROR(IF(DB_Customers!A292&lt;&gt;"",IF(DB_Customers!I292&gt;=10,"Active","Inactive"),""),"")</f>
        <v/>
      </c>
    </row>
    <row r="299" spans="1:14" ht="18" customHeight="1" x14ac:dyDescent="0.25">
      <c r="A299" s="221" t="str">
        <f>IF(DB_Customers!A293&lt;&gt;"",ROW()-9,"")</f>
        <v/>
      </c>
      <c r="B299" s="221" t="str">
        <f>IFERROR(IF(DB_Customers!A293&lt;&gt;"",DB_Customers!A293,""),"")</f>
        <v/>
      </c>
      <c r="C299" s="222" t="str">
        <f>IFERROR(IF(DB_Customers!D293&lt;&gt;"",DB_Customers!D293,""),"")</f>
        <v/>
      </c>
      <c r="D299" s="223" t="str">
        <f>IFERROR(IF(DB_Customers!Q293&lt;&gt;"",DB_Customers!Q293,""),"")</f>
        <v/>
      </c>
      <c r="E299" s="221" t="str">
        <f>IFERROR(IF(DB_Customers!R293&lt;&gt;"",DB_Customers!R293,""),"")</f>
        <v/>
      </c>
      <c r="F299" s="222" t="str">
        <f>IFERROR(IF(DB_Customers!S293&lt;&gt;"",DB_Customers!S293,""),"")</f>
        <v/>
      </c>
      <c r="G299" s="222" t="str">
        <f>IFERROR(IF(DB_Customers!G293&lt;&gt;"",DB_Customers!G293,""),"")</f>
        <v/>
      </c>
      <c r="H299" s="221" t="str">
        <f>IFERROR(IF(DB_Customers!H293&lt;&gt;"",DB_Customers!H293,""),"")</f>
        <v/>
      </c>
      <c r="I299" s="224" t="str">
        <f>IFERROR(IF(DB_Customers!I293&lt;&gt;"",DB_Customers!I293,""),"")</f>
        <v/>
      </c>
      <c r="J299" s="225" t="str">
        <f>IFERROR(IF(DB_Customers!J293&lt;&gt;"",DB_Customers!J293,""),"")</f>
        <v/>
      </c>
      <c r="K299" s="222" t="str">
        <f>IFERROR(IF(DB_Customers!E293&lt;&gt;"",DB_Customers!E293,""),"")</f>
        <v/>
      </c>
      <c r="L299" s="222" t="str">
        <f>IFERROR(IF(DB_Customers!F293&lt;&gt;"",DB_Customers!F293,""),"")</f>
        <v/>
      </c>
      <c r="M299" s="222" t="str">
        <f>IFERROR(IF(DB_Customers!T293&lt;&gt;"",DB_Customers!T293,""),"")</f>
        <v/>
      </c>
      <c r="N299" s="221" t="str">
        <f>IFERROR(IF(DB_Customers!A293&lt;&gt;"",IF(DB_Customers!I293&gt;=10,"Active","Inactive"),""),"")</f>
        <v/>
      </c>
    </row>
    <row r="300" spans="1:14" ht="18" customHeight="1" x14ac:dyDescent="0.25">
      <c r="A300" s="216" t="str">
        <f>IF(DB_Customers!A294&lt;&gt;"",ROW()-9,"")</f>
        <v/>
      </c>
      <c r="B300" s="216" t="str">
        <f>IFERROR(IF(DB_Customers!A294&lt;&gt;"",DB_Customers!A294,""),"")</f>
        <v/>
      </c>
      <c r="C300" s="217" t="str">
        <f>IFERROR(IF(DB_Customers!D294&lt;&gt;"",DB_Customers!D294,""),"")</f>
        <v/>
      </c>
      <c r="D300" s="218" t="str">
        <f>IFERROR(IF(DB_Customers!Q294&lt;&gt;"",DB_Customers!Q294,""),"")</f>
        <v/>
      </c>
      <c r="E300" s="216" t="str">
        <f>IFERROR(IF(DB_Customers!R294&lt;&gt;"",DB_Customers!R294,""),"")</f>
        <v/>
      </c>
      <c r="F300" s="217" t="str">
        <f>IFERROR(IF(DB_Customers!S294&lt;&gt;"",DB_Customers!S294,""),"")</f>
        <v/>
      </c>
      <c r="G300" s="217" t="str">
        <f>IFERROR(IF(DB_Customers!G294&lt;&gt;"",DB_Customers!G294,""),"")</f>
        <v/>
      </c>
      <c r="H300" s="216" t="str">
        <f>IFERROR(IF(DB_Customers!H294&lt;&gt;"",DB_Customers!H294,""),"")</f>
        <v/>
      </c>
      <c r="I300" s="219" t="str">
        <f>IFERROR(IF(DB_Customers!I294&lt;&gt;"",DB_Customers!I294,""),"")</f>
        <v/>
      </c>
      <c r="J300" s="220" t="str">
        <f>IFERROR(IF(DB_Customers!J294&lt;&gt;"",DB_Customers!J294,""),"")</f>
        <v/>
      </c>
      <c r="K300" s="217" t="str">
        <f>IFERROR(IF(DB_Customers!E294&lt;&gt;"",DB_Customers!E294,""),"")</f>
        <v/>
      </c>
      <c r="L300" s="217" t="str">
        <f>IFERROR(IF(DB_Customers!F294&lt;&gt;"",DB_Customers!F294,""),"")</f>
        <v/>
      </c>
      <c r="M300" s="217" t="str">
        <f>IFERROR(IF(DB_Customers!T294&lt;&gt;"",DB_Customers!T294,""),"")</f>
        <v/>
      </c>
      <c r="N300" s="216" t="str">
        <f>IFERROR(IF(DB_Customers!A294&lt;&gt;"",IF(DB_Customers!I294&gt;=10,"Active","Inactive"),""),"")</f>
        <v/>
      </c>
    </row>
    <row r="301" spans="1:14" ht="18" customHeight="1" x14ac:dyDescent="0.25">
      <c r="A301" s="221" t="str">
        <f>IF(DB_Customers!A295&lt;&gt;"",ROW()-9,"")</f>
        <v/>
      </c>
      <c r="B301" s="221" t="str">
        <f>IFERROR(IF(DB_Customers!A295&lt;&gt;"",DB_Customers!A295,""),"")</f>
        <v/>
      </c>
      <c r="C301" s="222" t="str">
        <f>IFERROR(IF(DB_Customers!D295&lt;&gt;"",DB_Customers!D295,""),"")</f>
        <v/>
      </c>
      <c r="D301" s="223" t="str">
        <f>IFERROR(IF(DB_Customers!Q295&lt;&gt;"",DB_Customers!Q295,""),"")</f>
        <v/>
      </c>
      <c r="E301" s="221" t="str">
        <f>IFERROR(IF(DB_Customers!R295&lt;&gt;"",DB_Customers!R295,""),"")</f>
        <v/>
      </c>
      <c r="F301" s="222" t="str">
        <f>IFERROR(IF(DB_Customers!S295&lt;&gt;"",DB_Customers!S295,""),"")</f>
        <v/>
      </c>
      <c r="G301" s="222" t="str">
        <f>IFERROR(IF(DB_Customers!G295&lt;&gt;"",DB_Customers!G295,""),"")</f>
        <v/>
      </c>
      <c r="H301" s="221" t="str">
        <f>IFERROR(IF(DB_Customers!H295&lt;&gt;"",DB_Customers!H295,""),"")</f>
        <v/>
      </c>
      <c r="I301" s="224" t="str">
        <f>IFERROR(IF(DB_Customers!I295&lt;&gt;"",DB_Customers!I295,""),"")</f>
        <v/>
      </c>
      <c r="J301" s="225" t="str">
        <f>IFERROR(IF(DB_Customers!J295&lt;&gt;"",DB_Customers!J295,""),"")</f>
        <v/>
      </c>
      <c r="K301" s="222" t="str">
        <f>IFERROR(IF(DB_Customers!E295&lt;&gt;"",DB_Customers!E295,""),"")</f>
        <v/>
      </c>
      <c r="L301" s="222" t="str">
        <f>IFERROR(IF(DB_Customers!F295&lt;&gt;"",DB_Customers!F295,""),"")</f>
        <v/>
      </c>
      <c r="M301" s="222" t="str">
        <f>IFERROR(IF(DB_Customers!T295&lt;&gt;"",DB_Customers!T295,""),"")</f>
        <v/>
      </c>
      <c r="N301" s="221" t="str">
        <f>IFERROR(IF(DB_Customers!A295&lt;&gt;"",IF(DB_Customers!I295&gt;=10,"Active","Inactive"),""),"")</f>
        <v/>
      </c>
    </row>
    <row r="302" spans="1:14" ht="18" customHeight="1" x14ac:dyDescent="0.25">
      <c r="A302" s="216" t="str">
        <f>IF(DB_Customers!A296&lt;&gt;"",ROW()-9,"")</f>
        <v/>
      </c>
      <c r="B302" s="216" t="str">
        <f>IFERROR(IF(DB_Customers!A296&lt;&gt;"",DB_Customers!A296,""),"")</f>
        <v/>
      </c>
      <c r="C302" s="217" t="str">
        <f>IFERROR(IF(DB_Customers!D296&lt;&gt;"",DB_Customers!D296,""),"")</f>
        <v/>
      </c>
      <c r="D302" s="218" t="str">
        <f>IFERROR(IF(DB_Customers!Q296&lt;&gt;"",DB_Customers!Q296,""),"")</f>
        <v/>
      </c>
      <c r="E302" s="216" t="str">
        <f>IFERROR(IF(DB_Customers!R296&lt;&gt;"",DB_Customers!R296,""),"")</f>
        <v/>
      </c>
      <c r="F302" s="217" t="str">
        <f>IFERROR(IF(DB_Customers!S296&lt;&gt;"",DB_Customers!S296,""),"")</f>
        <v/>
      </c>
      <c r="G302" s="217" t="str">
        <f>IFERROR(IF(DB_Customers!G296&lt;&gt;"",DB_Customers!G296,""),"")</f>
        <v/>
      </c>
      <c r="H302" s="216" t="str">
        <f>IFERROR(IF(DB_Customers!H296&lt;&gt;"",DB_Customers!H296,""),"")</f>
        <v/>
      </c>
      <c r="I302" s="219" t="str">
        <f>IFERROR(IF(DB_Customers!I296&lt;&gt;"",DB_Customers!I296,""),"")</f>
        <v/>
      </c>
      <c r="J302" s="220" t="str">
        <f>IFERROR(IF(DB_Customers!J296&lt;&gt;"",DB_Customers!J296,""),"")</f>
        <v/>
      </c>
      <c r="K302" s="217" t="str">
        <f>IFERROR(IF(DB_Customers!E296&lt;&gt;"",DB_Customers!E296,""),"")</f>
        <v/>
      </c>
      <c r="L302" s="217" t="str">
        <f>IFERROR(IF(DB_Customers!F296&lt;&gt;"",DB_Customers!F296,""),"")</f>
        <v/>
      </c>
      <c r="M302" s="217" t="str">
        <f>IFERROR(IF(DB_Customers!T296&lt;&gt;"",DB_Customers!T296,""),"")</f>
        <v/>
      </c>
      <c r="N302" s="216" t="str">
        <f>IFERROR(IF(DB_Customers!A296&lt;&gt;"",IF(DB_Customers!I296&gt;=10,"Active","Inactive"),""),"")</f>
        <v/>
      </c>
    </row>
    <row r="303" spans="1:14" ht="18" customHeight="1" x14ac:dyDescent="0.25">
      <c r="A303" s="221" t="str">
        <f>IF(DB_Customers!A297&lt;&gt;"",ROW()-9,"")</f>
        <v/>
      </c>
      <c r="B303" s="221" t="str">
        <f>IFERROR(IF(DB_Customers!A297&lt;&gt;"",DB_Customers!A297,""),"")</f>
        <v/>
      </c>
      <c r="C303" s="222" t="str">
        <f>IFERROR(IF(DB_Customers!D297&lt;&gt;"",DB_Customers!D297,""),"")</f>
        <v/>
      </c>
      <c r="D303" s="223" t="str">
        <f>IFERROR(IF(DB_Customers!Q297&lt;&gt;"",DB_Customers!Q297,""),"")</f>
        <v/>
      </c>
      <c r="E303" s="221" t="str">
        <f>IFERROR(IF(DB_Customers!R297&lt;&gt;"",DB_Customers!R297,""),"")</f>
        <v/>
      </c>
      <c r="F303" s="222" t="str">
        <f>IFERROR(IF(DB_Customers!S297&lt;&gt;"",DB_Customers!S297,""),"")</f>
        <v/>
      </c>
      <c r="G303" s="222" t="str">
        <f>IFERROR(IF(DB_Customers!G297&lt;&gt;"",DB_Customers!G297,""),"")</f>
        <v/>
      </c>
      <c r="H303" s="221" t="str">
        <f>IFERROR(IF(DB_Customers!H297&lt;&gt;"",DB_Customers!H297,""),"")</f>
        <v/>
      </c>
      <c r="I303" s="224" t="str">
        <f>IFERROR(IF(DB_Customers!I297&lt;&gt;"",DB_Customers!I297,""),"")</f>
        <v/>
      </c>
      <c r="J303" s="225" t="str">
        <f>IFERROR(IF(DB_Customers!J297&lt;&gt;"",DB_Customers!J297,""),"")</f>
        <v/>
      </c>
      <c r="K303" s="222" t="str">
        <f>IFERROR(IF(DB_Customers!E297&lt;&gt;"",DB_Customers!E297,""),"")</f>
        <v/>
      </c>
      <c r="L303" s="222" t="str">
        <f>IFERROR(IF(DB_Customers!F297&lt;&gt;"",DB_Customers!F297,""),"")</f>
        <v/>
      </c>
      <c r="M303" s="222" t="str">
        <f>IFERROR(IF(DB_Customers!T297&lt;&gt;"",DB_Customers!T297,""),"")</f>
        <v/>
      </c>
      <c r="N303" s="221" t="str">
        <f>IFERROR(IF(DB_Customers!A297&lt;&gt;"",IF(DB_Customers!I297&gt;=10,"Active","Inactive"),""),"")</f>
        <v/>
      </c>
    </row>
    <row r="304" spans="1:14" ht="18" customHeight="1" x14ac:dyDescent="0.25">
      <c r="A304" s="216" t="str">
        <f>IF(DB_Customers!A298&lt;&gt;"",ROW()-9,"")</f>
        <v/>
      </c>
      <c r="B304" s="216" t="str">
        <f>IFERROR(IF(DB_Customers!A298&lt;&gt;"",DB_Customers!A298,""),"")</f>
        <v/>
      </c>
      <c r="C304" s="217" t="str">
        <f>IFERROR(IF(DB_Customers!D298&lt;&gt;"",DB_Customers!D298,""),"")</f>
        <v/>
      </c>
      <c r="D304" s="218" t="str">
        <f>IFERROR(IF(DB_Customers!Q298&lt;&gt;"",DB_Customers!Q298,""),"")</f>
        <v/>
      </c>
      <c r="E304" s="216" t="str">
        <f>IFERROR(IF(DB_Customers!R298&lt;&gt;"",DB_Customers!R298,""),"")</f>
        <v/>
      </c>
      <c r="F304" s="217" t="str">
        <f>IFERROR(IF(DB_Customers!S298&lt;&gt;"",DB_Customers!S298,""),"")</f>
        <v/>
      </c>
      <c r="G304" s="217" t="str">
        <f>IFERROR(IF(DB_Customers!G298&lt;&gt;"",DB_Customers!G298,""),"")</f>
        <v/>
      </c>
      <c r="H304" s="216" t="str">
        <f>IFERROR(IF(DB_Customers!H298&lt;&gt;"",DB_Customers!H298,""),"")</f>
        <v/>
      </c>
      <c r="I304" s="219" t="str">
        <f>IFERROR(IF(DB_Customers!I298&lt;&gt;"",DB_Customers!I298,""),"")</f>
        <v/>
      </c>
      <c r="J304" s="220" t="str">
        <f>IFERROR(IF(DB_Customers!J298&lt;&gt;"",DB_Customers!J298,""),"")</f>
        <v/>
      </c>
      <c r="K304" s="217" t="str">
        <f>IFERROR(IF(DB_Customers!E298&lt;&gt;"",DB_Customers!E298,""),"")</f>
        <v/>
      </c>
      <c r="L304" s="217" t="str">
        <f>IFERROR(IF(DB_Customers!F298&lt;&gt;"",DB_Customers!F298,""),"")</f>
        <v/>
      </c>
      <c r="M304" s="217" t="str">
        <f>IFERROR(IF(DB_Customers!T298&lt;&gt;"",DB_Customers!T298,""),"")</f>
        <v/>
      </c>
      <c r="N304" s="216" t="str">
        <f>IFERROR(IF(DB_Customers!A298&lt;&gt;"",IF(DB_Customers!I298&gt;=10,"Active","Inactive"),""),"")</f>
        <v/>
      </c>
    </row>
    <row r="305" spans="1:14" ht="18" customHeight="1" x14ac:dyDescent="0.25">
      <c r="A305" s="221" t="str">
        <f>IF(DB_Customers!A299&lt;&gt;"",ROW()-9,"")</f>
        <v/>
      </c>
      <c r="B305" s="221" t="str">
        <f>IFERROR(IF(DB_Customers!A299&lt;&gt;"",DB_Customers!A299,""),"")</f>
        <v/>
      </c>
      <c r="C305" s="222" t="str">
        <f>IFERROR(IF(DB_Customers!D299&lt;&gt;"",DB_Customers!D299,""),"")</f>
        <v/>
      </c>
      <c r="D305" s="223" t="str">
        <f>IFERROR(IF(DB_Customers!Q299&lt;&gt;"",DB_Customers!Q299,""),"")</f>
        <v/>
      </c>
      <c r="E305" s="221" t="str">
        <f>IFERROR(IF(DB_Customers!R299&lt;&gt;"",DB_Customers!R299,""),"")</f>
        <v/>
      </c>
      <c r="F305" s="222" t="str">
        <f>IFERROR(IF(DB_Customers!S299&lt;&gt;"",DB_Customers!S299,""),"")</f>
        <v/>
      </c>
      <c r="G305" s="222" t="str">
        <f>IFERROR(IF(DB_Customers!G299&lt;&gt;"",DB_Customers!G299,""),"")</f>
        <v/>
      </c>
      <c r="H305" s="221" t="str">
        <f>IFERROR(IF(DB_Customers!H299&lt;&gt;"",DB_Customers!H299,""),"")</f>
        <v/>
      </c>
      <c r="I305" s="224" t="str">
        <f>IFERROR(IF(DB_Customers!I299&lt;&gt;"",DB_Customers!I299,""),"")</f>
        <v/>
      </c>
      <c r="J305" s="225" t="str">
        <f>IFERROR(IF(DB_Customers!J299&lt;&gt;"",DB_Customers!J299,""),"")</f>
        <v/>
      </c>
      <c r="K305" s="222" t="str">
        <f>IFERROR(IF(DB_Customers!E299&lt;&gt;"",DB_Customers!E299,""),"")</f>
        <v/>
      </c>
      <c r="L305" s="222" t="str">
        <f>IFERROR(IF(DB_Customers!F299&lt;&gt;"",DB_Customers!F299,""),"")</f>
        <v/>
      </c>
      <c r="M305" s="222" t="str">
        <f>IFERROR(IF(DB_Customers!T299&lt;&gt;"",DB_Customers!T299,""),"")</f>
        <v/>
      </c>
      <c r="N305" s="221" t="str">
        <f>IFERROR(IF(DB_Customers!A299&lt;&gt;"",IF(DB_Customers!I299&gt;=10,"Active","Inactive"),""),"")</f>
        <v/>
      </c>
    </row>
    <row r="306" spans="1:14" ht="18" customHeight="1" x14ac:dyDescent="0.25">
      <c r="A306" s="216" t="str">
        <f>IF(DB_Customers!A300&lt;&gt;"",ROW()-9,"")</f>
        <v/>
      </c>
      <c r="B306" s="216" t="str">
        <f>IFERROR(IF(DB_Customers!A300&lt;&gt;"",DB_Customers!A300,""),"")</f>
        <v/>
      </c>
      <c r="C306" s="217" t="str">
        <f>IFERROR(IF(DB_Customers!D300&lt;&gt;"",DB_Customers!D300,""),"")</f>
        <v/>
      </c>
      <c r="D306" s="218" t="str">
        <f>IFERROR(IF(DB_Customers!Q300&lt;&gt;"",DB_Customers!Q300,""),"")</f>
        <v/>
      </c>
      <c r="E306" s="216" t="str">
        <f>IFERROR(IF(DB_Customers!R300&lt;&gt;"",DB_Customers!R300,""),"")</f>
        <v/>
      </c>
      <c r="F306" s="217" t="str">
        <f>IFERROR(IF(DB_Customers!S300&lt;&gt;"",DB_Customers!S300,""),"")</f>
        <v/>
      </c>
      <c r="G306" s="217" t="str">
        <f>IFERROR(IF(DB_Customers!G300&lt;&gt;"",DB_Customers!G300,""),"")</f>
        <v/>
      </c>
      <c r="H306" s="216" t="str">
        <f>IFERROR(IF(DB_Customers!H300&lt;&gt;"",DB_Customers!H300,""),"")</f>
        <v/>
      </c>
      <c r="I306" s="219" t="str">
        <f>IFERROR(IF(DB_Customers!I300&lt;&gt;"",DB_Customers!I300,""),"")</f>
        <v/>
      </c>
      <c r="J306" s="220" t="str">
        <f>IFERROR(IF(DB_Customers!J300&lt;&gt;"",DB_Customers!J300,""),"")</f>
        <v/>
      </c>
      <c r="K306" s="217" t="str">
        <f>IFERROR(IF(DB_Customers!E300&lt;&gt;"",DB_Customers!E300,""),"")</f>
        <v/>
      </c>
      <c r="L306" s="217" t="str">
        <f>IFERROR(IF(DB_Customers!F300&lt;&gt;"",DB_Customers!F300,""),"")</f>
        <v/>
      </c>
      <c r="M306" s="217" t="str">
        <f>IFERROR(IF(DB_Customers!T300&lt;&gt;"",DB_Customers!T300,""),"")</f>
        <v/>
      </c>
      <c r="N306" s="216" t="str">
        <f>IFERROR(IF(DB_Customers!A300&lt;&gt;"",IF(DB_Customers!I300&gt;=10,"Active","Inactive"),""),"")</f>
        <v/>
      </c>
    </row>
    <row r="307" spans="1:14" ht="18" customHeight="1" x14ac:dyDescent="0.25">
      <c r="A307" s="221" t="str">
        <f>IF(DB_Customers!A301&lt;&gt;"",ROW()-9,"")</f>
        <v/>
      </c>
      <c r="B307" s="221" t="str">
        <f>IFERROR(IF(DB_Customers!A301&lt;&gt;"",DB_Customers!A301,""),"")</f>
        <v/>
      </c>
      <c r="C307" s="222" t="str">
        <f>IFERROR(IF(DB_Customers!D301&lt;&gt;"",DB_Customers!D301,""),"")</f>
        <v/>
      </c>
      <c r="D307" s="223" t="str">
        <f>IFERROR(IF(DB_Customers!Q301&lt;&gt;"",DB_Customers!Q301,""),"")</f>
        <v/>
      </c>
      <c r="E307" s="221" t="str">
        <f>IFERROR(IF(DB_Customers!R301&lt;&gt;"",DB_Customers!R301,""),"")</f>
        <v/>
      </c>
      <c r="F307" s="222" t="str">
        <f>IFERROR(IF(DB_Customers!S301&lt;&gt;"",DB_Customers!S301,""),"")</f>
        <v/>
      </c>
      <c r="G307" s="222" t="str">
        <f>IFERROR(IF(DB_Customers!G301&lt;&gt;"",DB_Customers!G301,""),"")</f>
        <v/>
      </c>
      <c r="H307" s="221" t="str">
        <f>IFERROR(IF(DB_Customers!H301&lt;&gt;"",DB_Customers!H301,""),"")</f>
        <v/>
      </c>
      <c r="I307" s="224" t="str">
        <f>IFERROR(IF(DB_Customers!I301&lt;&gt;"",DB_Customers!I301,""),"")</f>
        <v/>
      </c>
      <c r="J307" s="225" t="str">
        <f>IFERROR(IF(DB_Customers!J301&lt;&gt;"",DB_Customers!J301,""),"")</f>
        <v/>
      </c>
      <c r="K307" s="222" t="str">
        <f>IFERROR(IF(DB_Customers!E301&lt;&gt;"",DB_Customers!E301,""),"")</f>
        <v/>
      </c>
      <c r="L307" s="222" t="str">
        <f>IFERROR(IF(DB_Customers!F301&lt;&gt;"",DB_Customers!F301,""),"")</f>
        <v/>
      </c>
      <c r="M307" s="222" t="str">
        <f>IFERROR(IF(DB_Customers!T301&lt;&gt;"",DB_Customers!T301,""),"")</f>
        <v/>
      </c>
      <c r="N307" s="221" t="str">
        <f>IFERROR(IF(DB_Customers!A301&lt;&gt;"",IF(DB_Customers!I301&gt;=10,"Active","Inactive"),""),"")</f>
        <v/>
      </c>
    </row>
    <row r="308" spans="1:14" ht="18" customHeight="1" x14ac:dyDescent="0.25">
      <c r="A308" s="216" t="str">
        <f>IF(DB_Customers!A302&lt;&gt;"",ROW()-9,"")</f>
        <v/>
      </c>
      <c r="B308" s="216" t="str">
        <f>IFERROR(IF(DB_Customers!A302&lt;&gt;"",DB_Customers!A302,""),"")</f>
        <v/>
      </c>
      <c r="C308" s="217" t="str">
        <f>IFERROR(IF(DB_Customers!D302&lt;&gt;"",DB_Customers!D302,""),"")</f>
        <v/>
      </c>
      <c r="D308" s="218" t="str">
        <f>IFERROR(IF(DB_Customers!Q302&lt;&gt;"",DB_Customers!Q302,""),"")</f>
        <v/>
      </c>
      <c r="E308" s="216" t="str">
        <f>IFERROR(IF(DB_Customers!R302&lt;&gt;"",DB_Customers!R302,""),"")</f>
        <v/>
      </c>
      <c r="F308" s="217" t="str">
        <f>IFERROR(IF(DB_Customers!S302&lt;&gt;"",DB_Customers!S302,""),"")</f>
        <v/>
      </c>
      <c r="G308" s="217" t="str">
        <f>IFERROR(IF(DB_Customers!G302&lt;&gt;"",DB_Customers!G302,""),"")</f>
        <v/>
      </c>
      <c r="H308" s="216" t="str">
        <f>IFERROR(IF(DB_Customers!H302&lt;&gt;"",DB_Customers!H302,""),"")</f>
        <v/>
      </c>
      <c r="I308" s="219" t="str">
        <f>IFERROR(IF(DB_Customers!I302&lt;&gt;"",DB_Customers!I302,""),"")</f>
        <v/>
      </c>
      <c r="J308" s="220" t="str">
        <f>IFERROR(IF(DB_Customers!J302&lt;&gt;"",DB_Customers!J302,""),"")</f>
        <v/>
      </c>
      <c r="K308" s="217" t="str">
        <f>IFERROR(IF(DB_Customers!E302&lt;&gt;"",DB_Customers!E302,""),"")</f>
        <v/>
      </c>
      <c r="L308" s="217" t="str">
        <f>IFERROR(IF(DB_Customers!F302&lt;&gt;"",DB_Customers!F302,""),"")</f>
        <v/>
      </c>
      <c r="M308" s="217" t="str">
        <f>IFERROR(IF(DB_Customers!T302&lt;&gt;"",DB_Customers!T302,""),"")</f>
        <v/>
      </c>
      <c r="N308" s="216" t="str">
        <f>IFERROR(IF(DB_Customers!A302&lt;&gt;"",IF(DB_Customers!I302&gt;=10,"Active","Inactive"),""),"")</f>
        <v/>
      </c>
    </row>
    <row r="309" spans="1:14" ht="18" customHeight="1" x14ac:dyDescent="0.25">
      <c r="A309" s="221" t="str">
        <f>IF(DB_Customers!A303&lt;&gt;"",ROW()-9,"")</f>
        <v/>
      </c>
      <c r="B309" s="221" t="str">
        <f>IFERROR(IF(DB_Customers!A303&lt;&gt;"",DB_Customers!A303,""),"")</f>
        <v/>
      </c>
      <c r="C309" s="222" t="str">
        <f>IFERROR(IF(DB_Customers!D303&lt;&gt;"",DB_Customers!D303,""),"")</f>
        <v/>
      </c>
      <c r="D309" s="223" t="str">
        <f>IFERROR(IF(DB_Customers!Q303&lt;&gt;"",DB_Customers!Q303,""),"")</f>
        <v/>
      </c>
      <c r="E309" s="221" t="str">
        <f>IFERROR(IF(DB_Customers!R303&lt;&gt;"",DB_Customers!R303,""),"")</f>
        <v/>
      </c>
      <c r="F309" s="222" t="str">
        <f>IFERROR(IF(DB_Customers!S303&lt;&gt;"",DB_Customers!S303,""),"")</f>
        <v/>
      </c>
      <c r="G309" s="222" t="str">
        <f>IFERROR(IF(DB_Customers!G303&lt;&gt;"",DB_Customers!G303,""),"")</f>
        <v/>
      </c>
      <c r="H309" s="221" t="str">
        <f>IFERROR(IF(DB_Customers!H303&lt;&gt;"",DB_Customers!H303,""),"")</f>
        <v/>
      </c>
      <c r="I309" s="224" t="str">
        <f>IFERROR(IF(DB_Customers!I303&lt;&gt;"",DB_Customers!I303,""),"")</f>
        <v/>
      </c>
      <c r="J309" s="225" t="str">
        <f>IFERROR(IF(DB_Customers!J303&lt;&gt;"",DB_Customers!J303,""),"")</f>
        <v/>
      </c>
      <c r="K309" s="222" t="str">
        <f>IFERROR(IF(DB_Customers!E303&lt;&gt;"",DB_Customers!E303,""),"")</f>
        <v/>
      </c>
      <c r="L309" s="222" t="str">
        <f>IFERROR(IF(DB_Customers!F303&lt;&gt;"",DB_Customers!F303,""),"")</f>
        <v/>
      </c>
      <c r="M309" s="222" t="str">
        <f>IFERROR(IF(DB_Customers!T303&lt;&gt;"",DB_Customers!T303,""),"")</f>
        <v/>
      </c>
      <c r="N309" s="221" t="str">
        <f>IFERROR(IF(DB_Customers!A303&lt;&gt;"",IF(DB_Customers!I303&gt;=10,"Active","Inactive"),""),"")</f>
        <v/>
      </c>
    </row>
    <row r="310" spans="1:14" ht="18" customHeight="1" x14ac:dyDescent="0.25">
      <c r="A310" s="216" t="str">
        <f>IF(DB_Customers!A304&lt;&gt;"",ROW()-9,"")</f>
        <v/>
      </c>
      <c r="B310" s="216" t="str">
        <f>IFERROR(IF(DB_Customers!A304&lt;&gt;"",DB_Customers!A304,""),"")</f>
        <v/>
      </c>
      <c r="C310" s="217" t="str">
        <f>IFERROR(IF(DB_Customers!D304&lt;&gt;"",DB_Customers!D304,""),"")</f>
        <v/>
      </c>
      <c r="D310" s="218" t="str">
        <f>IFERROR(IF(DB_Customers!Q304&lt;&gt;"",DB_Customers!Q304,""),"")</f>
        <v/>
      </c>
      <c r="E310" s="216" t="str">
        <f>IFERROR(IF(DB_Customers!R304&lt;&gt;"",DB_Customers!R304,""),"")</f>
        <v/>
      </c>
      <c r="F310" s="217" t="str">
        <f>IFERROR(IF(DB_Customers!S304&lt;&gt;"",DB_Customers!S304,""),"")</f>
        <v/>
      </c>
      <c r="G310" s="217" t="str">
        <f>IFERROR(IF(DB_Customers!G304&lt;&gt;"",DB_Customers!G304,""),"")</f>
        <v/>
      </c>
      <c r="H310" s="216" t="str">
        <f>IFERROR(IF(DB_Customers!H304&lt;&gt;"",DB_Customers!H304,""),"")</f>
        <v/>
      </c>
      <c r="I310" s="219" t="str">
        <f>IFERROR(IF(DB_Customers!I304&lt;&gt;"",DB_Customers!I304,""),"")</f>
        <v/>
      </c>
      <c r="J310" s="220" t="str">
        <f>IFERROR(IF(DB_Customers!J304&lt;&gt;"",DB_Customers!J304,""),"")</f>
        <v/>
      </c>
      <c r="K310" s="217" t="str">
        <f>IFERROR(IF(DB_Customers!E304&lt;&gt;"",DB_Customers!E304,""),"")</f>
        <v/>
      </c>
      <c r="L310" s="217" t="str">
        <f>IFERROR(IF(DB_Customers!F304&lt;&gt;"",DB_Customers!F304,""),"")</f>
        <v/>
      </c>
      <c r="M310" s="217" t="str">
        <f>IFERROR(IF(DB_Customers!T304&lt;&gt;"",DB_Customers!T304,""),"")</f>
        <v/>
      </c>
      <c r="N310" s="216" t="str">
        <f>IFERROR(IF(DB_Customers!A304&lt;&gt;"",IF(DB_Customers!I304&gt;=10,"Active","Inactive"),""),"")</f>
        <v/>
      </c>
    </row>
    <row r="311" spans="1:14" ht="18" customHeight="1" x14ac:dyDescent="0.25">
      <c r="A311" s="221" t="str">
        <f>IF(DB_Customers!A305&lt;&gt;"",ROW()-9,"")</f>
        <v/>
      </c>
      <c r="B311" s="221" t="str">
        <f>IFERROR(IF(DB_Customers!A305&lt;&gt;"",DB_Customers!A305,""),"")</f>
        <v/>
      </c>
      <c r="C311" s="222" t="str">
        <f>IFERROR(IF(DB_Customers!D305&lt;&gt;"",DB_Customers!D305,""),"")</f>
        <v/>
      </c>
      <c r="D311" s="223" t="str">
        <f>IFERROR(IF(DB_Customers!Q305&lt;&gt;"",DB_Customers!Q305,""),"")</f>
        <v/>
      </c>
      <c r="E311" s="221" t="str">
        <f>IFERROR(IF(DB_Customers!R305&lt;&gt;"",DB_Customers!R305,""),"")</f>
        <v/>
      </c>
      <c r="F311" s="222" t="str">
        <f>IFERROR(IF(DB_Customers!S305&lt;&gt;"",DB_Customers!S305,""),"")</f>
        <v/>
      </c>
      <c r="G311" s="222" t="str">
        <f>IFERROR(IF(DB_Customers!G305&lt;&gt;"",DB_Customers!G305,""),"")</f>
        <v/>
      </c>
      <c r="H311" s="221" t="str">
        <f>IFERROR(IF(DB_Customers!H305&lt;&gt;"",DB_Customers!H305,""),"")</f>
        <v/>
      </c>
      <c r="I311" s="224" t="str">
        <f>IFERROR(IF(DB_Customers!I305&lt;&gt;"",DB_Customers!I305,""),"")</f>
        <v/>
      </c>
      <c r="J311" s="225" t="str">
        <f>IFERROR(IF(DB_Customers!J305&lt;&gt;"",DB_Customers!J305,""),"")</f>
        <v/>
      </c>
      <c r="K311" s="222" t="str">
        <f>IFERROR(IF(DB_Customers!E305&lt;&gt;"",DB_Customers!E305,""),"")</f>
        <v/>
      </c>
      <c r="L311" s="222" t="str">
        <f>IFERROR(IF(DB_Customers!F305&lt;&gt;"",DB_Customers!F305,""),"")</f>
        <v/>
      </c>
      <c r="M311" s="222" t="str">
        <f>IFERROR(IF(DB_Customers!T305&lt;&gt;"",DB_Customers!T305,""),"")</f>
        <v/>
      </c>
      <c r="N311" s="221" t="str">
        <f>IFERROR(IF(DB_Customers!A305&lt;&gt;"",IF(DB_Customers!I305&gt;=10,"Active","Inactive"),""),"")</f>
        <v/>
      </c>
    </row>
    <row r="312" spans="1:14" ht="18" customHeight="1" x14ac:dyDescent="0.25">
      <c r="A312" s="216" t="str">
        <f>IF(DB_Customers!A306&lt;&gt;"",ROW()-9,"")</f>
        <v/>
      </c>
      <c r="B312" s="216" t="str">
        <f>IFERROR(IF(DB_Customers!A306&lt;&gt;"",DB_Customers!A306,""),"")</f>
        <v/>
      </c>
      <c r="C312" s="217" t="str">
        <f>IFERROR(IF(DB_Customers!D306&lt;&gt;"",DB_Customers!D306,""),"")</f>
        <v/>
      </c>
      <c r="D312" s="218" t="str">
        <f>IFERROR(IF(DB_Customers!Q306&lt;&gt;"",DB_Customers!Q306,""),"")</f>
        <v/>
      </c>
      <c r="E312" s="216" t="str">
        <f>IFERROR(IF(DB_Customers!R306&lt;&gt;"",DB_Customers!R306,""),"")</f>
        <v/>
      </c>
      <c r="F312" s="217" t="str">
        <f>IFERROR(IF(DB_Customers!S306&lt;&gt;"",DB_Customers!S306,""),"")</f>
        <v/>
      </c>
      <c r="G312" s="217" t="str">
        <f>IFERROR(IF(DB_Customers!G306&lt;&gt;"",DB_Customers!G306,""),"")</f>
        <v/>
      </c>
      <c r="H312" s="216" t="str">
        <f>IFERROR(IF(DB_Customers!H306&lt;&gt;"",DB_Customers!H306,""),"")</f>
        <v/>
      </c>
      <c r="I312" s="219" t="str">
        <f>IFERROR(IF(DB_Customers!I306&lt;&gt;"",DB_Customers!I306,""),"")</f>
        <v/>
      </c>
      <c r="J312" s="220" t="str">
        <f>IFERROR(IF(DB_Customers!J306&lt;&gt;"",DB_Customers!J306,""),"")</f>
        <v/>
      </c>
      <c r="K312" s="217" t="str">
        <f>IFERROR(IF(DB_Customers!E306&lt;&gt;"",DB_Customers!E306,""),"")</f>
        <v/>
      </c>
      <c r="L312" s="217" t="str">
        <f>IFERROR(IF(DB_Customers!F306&lt;&gt;"",DB_Customers!F306,""),"")</f>
        <v/>
      </c>
      <c r="M312" s="217" t="str">
        <f>IFERROR(IF(DB_Customers!T306&lt;&gt;"",DB_Customers!T306,""),"")</f>
        <v/>
      </c>
      <c r="N312" s="216" t="str">
        <f>IFERROR(IF(DB_Customers!A306&lt;&gt;"",IF(DB_Customers!I306&gt;=10,"Active","Inactive"),""),"")</f>
        <v/>
      </c>
    </row>
    <row r="313" spans="1:14" ht="18" customHeight="1" x14ac:dyDescent="0.25">
      <c r="A313" s="221" t="str">
        <f>IF(DB_Customers!A307&lt;&gt;"",ROW()-9,"")</f>
        <v/>
      </c>
      <c r="B313" s="221" t="str">
        <f>IFERROR(IF(DB_Customers!A307&lt;&gt;"",DB_Customers!A307,""),"")</f>
        <v/>
      </c>
      <c r="C313" s="222" t="str">
        <f>IFERROR(IF(DB_Customers!D307&lt;&gt;"",DB_Customers!D307,""),"")</f>
        <v/>
      </c>
      <c r="D313" s="223" t="str">
        <f>IFERROR(IF(DB_Customers!Q307&lt;&gt;"",DB_Customers!Q307,""),"")</f>
        <v/>
      </c>
      <c r="E313" s="221" t="str">
        <f>IFERROR(IF(DB_Customers!R307&lt;&gt;"",DB_Customers!R307,""),"")</f>
        <v/>
      </c>
      <c r="F313" s="222" t="str">
        <f>IFERROR(IF(DB_Customers!S307&lt;&gt;"",DB_Customers!S307,""),"")</f>
        <v/>
      </c>
      <c r="G313" s="222" t="str">
        <f>IFERROR(IF(DB_Customers!G307&lt;&gt;"",DB_Customers!G307,""),"")</f>
        <v/>
      </c>
      <c r="H313" s="221" t="str">
        <f>IFERROR(IF(DB_Customers!H307&lt;&gt;"",DB_Customers!H307,""),"")</f>
        <v/>
      </c>
      <c r="I313" s="224" t="str">
        <f>IFERROR(IF(DB_Customers!I307&lt;&gt;"",DB_Customers!I307,""),"")</f>
        <v/>
      </c>
      <c r="J313" s="225" t="str">
        <f>IFERROR(IF(DB_Customers!J307&lt;&gt;"",DB_Customers!J307,""),"")</f>
        <v/>
      </c>
      <c r="K313" s="222" t="str">
        <f>IFERROR(IF(DB_Customers!E307&lt;&gt;"",DB_Customers!E307,""),"")</f>
        <v/>
      </c>
      <c r="L313" s="222" t="str">
        <f>IFERROR(IF(DB_Customers!F307&lt;&gt;"",DB_Customers!F307,""),"")</f>
        <v/>
      </c>
      <c r="M313" s="222" t="str">
        <f>IFERROR(IF(DB_Customers!T307&lt;&gt;"",DB_Customers!T307,""),"")</f>
        <v/>
      </c>
      <c r="N313" s="221" t="str">
        <f>IFERROR(IF(DB_Customers!A307&lt;&gt;"",IF(DB_Customers!I307&gt;=10,"Active","Inactive"),""),"")</f>
        <v/>
      </c>
    </row>
    <row r="314" spans="1:14" ht="18" customHeight="1" x14ac:dyDescent="0.25">
      <c r="A314" s="216" t="str">
        <f>IF(DB_Customers!A308&lt;&gt;"",ROW()-9,"")</f>
        <v/>
      </c>
      <c r="B314" s="216" t="str">
        <f>IFERROR(IF(DB_Customers!A308&lt;&gt;"",DB_Customers!A308,""),"")</f>
        <v/>
      </c>
      <c r="C314" s="217" t="str">
        <f>IFERROR(IF(DB_Customers!D308&lt;&gt;"",DB_Customers!D308,""),"")</f>
        <v/>
      </c>
      <c r="D314" s="218" t="str">
        <f>IFERROR(IF(DB_Customers!Q308&lt;&gt;"",DB_Customers!Q308,""),"")</f>
        <v/>
      </c>
      <c r="E314" s="216" t="str">
        <f>IFERROR(IF(DB_Customers!R308&lt;&gt;"",DB_Customers!R308,""),"")</f>
        <v/>
      </c>
      <c r="F314" s="217" t="str">
        <f>IFERROR(IF(DB_Customers!S308&lt;&gt;"",DB_Customers!S308,""),"")</f>
        <v/>
      </c>
      <c r="G314" s="217" t="str">
        <f>IFERROR(IF(DB_Customers!G308&lt;&gt;"",DB_Customers!G308,""),"")</f>
        <v/>
      </c>
      <c r="H314" s="216" t="str">
        <f>IFERROR(IF(DB_Customers!H308&lt;&gt;"",DB_Customers!H308,""),"")</f>
        <v/>
      </c>
      <c r="I314" s="219" t="str">
        <f>IFERROR(IF(DB_Customers!I308&lt;&gt;"",DB_Customers!I308,""),"")</f>
        <v/>
      </c>
      <c r="J314" s="220" t="str">
        <f>IFERROR(IF(DB_Customers!J308&lt;&gt;"",DB_Customers!J308,""),"")</f>
        <v/>
      </c>
      <c r="K314" s="217" t="str">
        <f>IFERROR(IF(DB_Customers!E308&lt;&gt;"",DB_Customers!E308,""),"")</f>
        <v/>
      </c>
      <c r="L314" s="217" t="str">
        <f>IFERROR(IF(DB_Customers!F308&lt;&gt;"",DB_Customers!F308,""),"")</f>
        <v/>
      </c>
      <c r="M314" s="217" t="str">
        <f>IFERROR(IF(DB_Customers!T308&lt;&gt;"",DB_Customers!T308,""),"")</f>
        <v/>
      </c>
      <c r="N314" s="216" t="str">
        <f>IFERROR(IF(DB_Customers!A308&lt;&gt;"",IF(DB_Customers!I308&gt;=10,"Active","Inactive"),""),"")</f>
        <v/>
      </c>
    </row>
    <row r="315" spans="1:14" ht="18" customHeight="1" x14ac:dyDescent="0.25">
      <c r="A315" s="221" t="str">
        <f>IF(DB_Customers!A309&lt;&gt;"",ROW()-9,"")</f>
        <v/>
      </c>
      <c r="B315" s="221" t="str">
        <f>IFERROR(IF(DB_Customers!A309&lt;&gt;"",DB_Customers!A309,""),"")</f>
        <v/>
      </c>
      <c r="C315" s="222" t="str">
        <f>IFERROR(IF(DB_Customers!D309&lt;&gt;"",DB_Customers!D309,""),"")</f>
        <v/>
      </c>
      <c r="D315" s="223" t="str">
        <f>IFERROR(IF(DB_Customers!Q309&lt;&gt;"",DB_Customers!Q309,""),"")</f>
        <v/>
      </c>
      <c r="E315" s="221" t="str">
        <f>IFERROR(IF(DB_Customers!R309&lt;&gt;"",DB_Customers!R309,""),"")</f>
        <v/>
      </c>
      <c r="F315" s="222" t="str">
        <f>IFERROR(IF(DB_Customers!S309&lt;&gt;"",DB_Customers!S309,""),"")</f>
        <v/>
      </c>
      <c r="G315" s="222" t="str">
        <f>IFERROR(IF(DB_Customers!G309&lt;&gt;"",DB_Customers!G309,""),"")</f>
        <v/>
      </c>
      <c r="H315" s="221" t="str">
        <f>IFERROR(IF(DB_Customers!H309&lt;&gt;"",DB_Customers!H309,""),"")</f>
        <v/>
      </c>
      <c r="I315" s="224" t="str">
        <f>IFERROR(IF(DB_Customers!I309&lt;&gt;"",DB_Customers!I309,""),"")</f>
        <v/>
      </c>
      <c r="J315" s="225" t="str">
        <f>IFERROR(IF(DB_Customers!J309&lt;&gt;"",DB_Customers!J309,""),"")</f>
        <v/>
      </c>
      <c r="K315" s="222" t="str">
        <f>IFERROR(IF(DB_Customers!E309&lt;&gt;"",DB_Customers!E309,""),"")</f>
        <v/>
      </c>
      <c r="L315" s="222" t="str">
        <f>IFERROR(IF(DB_Customers!F309&lt;&gt;"",DB_Customers!F309,""),"")</f>
        <v/>
      </c>
      <c r="M315" s="222" t="str">
        <f>IFERROR(IF(DB_Customers!T309&lt;&gt;"",DB_Customers!T309,""),"")</f>
        <v/>
      </c>
      <c r="N315" s="221" t="str">
        <f>IFERROR(IF(DB_Customers!A309&lt;&gt;"",IF(DB_Customers!I309&gt;=10,"Active","Inactive"),""),"")</f>
        <v/>
      </c>
    </row>
    <row r="316" spans="1:14" ht="18" customHeight="1" x14ac:dyDescent="0.25">
      <c r="A316" s="216" t="str">
        <f>IF(DB_Customers!A310&lt;&gt;"",ROW()-9,"")</f>
        <v/>
      </c>
      <c r="B316" s="216" t="str">
        <f>IFERROR(IF(DB_Customers!A310&lt;&gt;"",DB_Customers!A310,""),"")</f>
        <v/>
      </c>
      <c r="C316" s="217" t="str">
        <f>IFERROR(IF(DB_Customers!D310&lt;&gt;"",DB_Customers!D310,""),"")</f>
        <v/>
      </c>
      <c r="D316" s="218" t="str">
        <f>IFERROR(IF(DB_Customers!Q310&lt;&gt;"",DB_Customers!Q310,""),"")</f>
        <v/>
      </c>
      <c r="E316" s="216" t="str">
        <f>IFERROR(IF(DB_Customers!R310&lt;&gt;"",DB_Customers!R310,""),"")</f>
        <v/>
      </c>
      <c r="F316" s="217" t="str">
        <f>IFERROR(IF(DB_Customers!S310&lt;&gt;"",DB_Customers!S310,""),"")</f>
        <v/>
      </c>
      <c r="G316" s="217" t="str">
        <f>IFERROR(IF(DB_Customers!G310&lt;&gt;"",DB_Customers!G310,""),"")</f>
        <v/>
      </c>
      <c r="H316" s="216" t="str">
        <f>IFERROR(IF(DB_Customers!H310&lt;&gt;"",DB_Customers!H310,""),"")</f>
        <v/>
      </c>
      <c r="I316" s="219" t="str">
        <f>IFERROR(IF(DB_Customers!I310&lt;&gt;"",DB_Customers!I310,""),"")</f>
        <v/>
      </c>
      <c r="J316" s="220" t="str">
        <f>IFERROR(IF(DB_Customers!J310&lt;&gt;"",DB_Customers!J310,""),"")</f>
        <v/>
      </c>
      <c r="K316" s="217" t="str">
        <f>IFERROR(IF(DB_Customers!E310&lt;&gt;"",DB_Customers!E310,""),"")</f>
        <v/>
      </c>
      <c r="L316" s="217" t="str">
        <f>IFERROR(IF(DB_Customers!F310&lt;&gt;"",DB_Customers!F310,""),"")</f>
        <v/>
      </c>
      <c r="M316" s="217" t="str">
        <f>IFERROR(IF(DB_Customers!T310&lt;&gt;"",DB_Customers!T310,""),"")</f>
        <v/>
      </c>
      <c r="N316" s="216" t="str">
        <f>IFERROR(IF(DB_Customers!A310&lt;&gt;"",IF(DB_Customers!I310&gt;=10,"Active","Inactive"),""),"")</f>
        <v/>
      </c>
    </row>
    <row r="317" spans="1:14" ht="18" customHeight="1" x14ac:dyDescent="0.25">
      <c r="A317" s="221" t="str">
        <f>IF(DB_Customers!A311&lt;&gt;"",ROW()-9,"")</f>
        <v/>
      </c>
      <c r="B317" s="221" t="str">
        <f>IFERROR(IF(DB_Customers!A311&lt;&gt;"",DB_Customers!A311,""),"")</f>
        <v/>
      </c>
      <c r="C317" s="222" t="str">
        <f>IFERROR(IF(DB_Customers!D311&lt;&gt;"",DB_Customers!D311,""),"")</f>
        <v/>
      </c>
      <c r="D317" s="223" t="str">
        <f>IFERROR(IF(DB_Customers!Q311&lt;&gt;"",DB_Customers!Q311,""),"")</f>
        <v/>
      </c>
      <c r="E317" s="221" t="str">
        <f>IFERROR(IF(DB_Customers!R311&lt;&gt;"",DB_Customers!R311,""),"")</f>
        <v/>
      </c>
      <c r="F317" s="222" t="str">
        <f>IFERROR(IF(DB_Customers!S311&lt;&gt;"",DB_Customers!S311,""),"")</f>
        <v/>
      </c>
      <c r="G317" s="222" t="str">
        <f>IFERROR(IF(DB_Customers!G311&lt;&gt;"",DB_Customers!G311,""),"")</f>
        <v/>
      </c>
      <c r="H317" s="221" t="str">
        <f>IFERROR(IF(DB_Customers!H311&lt;&gt;"",DB_Customers!H311,""),"")</f>
        <v/>
      </c>
      <c r="I317" s="224" t="str">
        <f>IFERROR(IF(DB_Customers!I311&lt;&gt;"",DB_Customers!I311,""),"")</f>
        <v/>
      </c>
      <c r="J317" s="225" t="str">
        <f>IFERROR(IF(DB_Customers!J311&lt;&gt;"",DB_Customers!J311,""),"")</f>
        <v/>
      </c>
      <c r="K317" s="222" t="str">
        <f>IFERROR(IF(DB_Customers!E311&lt;&gt;"",DB_Customers!E311,""),"")</f>
        <v/>
      </c>
      <c r="L317" s="222" t="str">
        <f>IFERROR(IF(DB_Customers!F311&lt;&gt;"",DB_Customers!F311,""),"")</f>
        <v/>
      </c>
      <c r="M317" s="222" t="str">
        <f>IFERROR(IF(DB_Customers!T311&lt;&gt;"",DB_Customers!T311,""),"")</f>
        <v/>
      </c>
      <c r="N317" s="221" t="str">
        <f>IFERROR(IF(DB_Customers!A311&lt;&gt;"",IF(DB_Customers!I311&gt;=10,"Active","Inactive"),""),"")</f>
        <v/>
      </c>
    </row>
    <row r="318" spans="1:14" ht="18" customHeight="1" x14ac:dyDescent="0.25">
      <c r="A318" s="216" t="str">
        <f>IF(DB_Customers!A312&lt;&gt;"",ROW()-9,"")</f>
        <v/>
      </c>
      <c r="B318" s="216" t="str">
        <f>IFERROR(IF(DB_Customers!A312&lt;&gt;"",DB_Customers!A312,""),"")</f>
        <v/>
      </c>
      <c r="C318" s="217" t="str">
        <f>IFERROR(IF(DB_Customers!D312&lt;&gt;"",DB_Customers!D312,""),"")</f>
        <v/>
      </c>
      <c r="D318" s="218" t="str">
        <f>IFERROR(IF(DB_Customers!Q312&lt;&gt;"",DB_Customers!Q312,""),"")</f>
        <v/>
      </c>
      <c r="E318" s="216" t="str">
        <f>IFERROR(IF(DB_Customers!R312&lt;&gt;"",DB_Customers!R312,""),"")</f>
        <v/>
      </c>
      <c r="F318" s="217" t="str">
        <f>IFERROR(IF(DB_Customers!S312&lt;&gt;"",DB_Customers!S312,""),"")</f>
        <v/>
      </c>
      <c r="G318" s="217" t="str">
        <f>IFERROR(IF(DB_Customers!G312&lt;&gt;"",DB_Customers!G312,""),"")</f>
        <v/>
      </c>
      <c r="H318" s="216" t="str">
        <f>IFERROR(IF(DB_Customers!H312&lt;&gt;"",DB_Customers!H312,""),"")</f>
        <v/>
      </c>
      <c r="I318" s="219" t="str">
        <f>IFERROR(IF(DB_Customers!I312&lt;&gt;"",DB_Customers!I312,""),"")</f>
        <v/>
      </c>
      <c r="J318" s="220" t="str">
        <f>IFERROR(IF(DB_Customers!J312&lt;&gt;"",DB_Customers!J312,""),"")</f>
        <v/>
      </c>
      <c r="K318" s="217" t="str">
        <f>IFERROR(IF(DB_Customers!E312&lt;&gt;"",DB_Customers!E312,""),"")</f>
        <v/>
      </c>
      <c r="L318" s="217" t="str">
        <f>IFERROR(IF(DB_Customers!F312&lt;&gt;"",DB_Customers!F312,""),"")</f>
        <v/>
      </c>
      <c r="M318" s="217" t="str">
        <f>IFERROR(IF(DB_Customers!T312&lt;&gt;"",DB_Customers!T312,""),"")</f>
        <v/>
      </c>
      <c r="N318" s="216" t="str">
        <f>IFERROR(IF(DB_Customers!A312&lt;&gt;"",IF(DB_Customers!I312&gt;=10,"Active","Inactive"),""),"")</f>
        <v/>
      </c>
    </row>
    <row r="319" spans="1:14" ht="18" customHeight="1" x14ac:dyDescent="0.25">
      <c r="A319" s="221" t="str">
        <f>IF(DB_Customers!A313&lt;&gt;"",ROW()-9,"")</f>
        <v/>
      </c>
      <c r="B319" s="221" t="str">
        <f>IFERROR(IF(DB_Customers!A313&lt;&gt;"",DB_Customers!A313,""),"")</f>
        <v/>
      </c>
      <c r="C319" s="222" t="str">
        <f>IFERROR(IF(DB_Customers!D313&lt;&gt;"",DB_Customers!D313,""),"")</f>
        <v/>
      </c>
      <c r="D319" s="223" t="str">
        <f>IFERROR(IF(DB_Customers!Q313&lt;&gt;"",DB_Customers!Q313,""),"")</f>
        <v/>
      </c>
      <c r="E319" s="221" t="str">
        <f>IFERROR(IF(DB_Customers!R313&lt;&gt;"",DB_Customers!R313,""),"")</f>
        <v/>
      </c>
      <c r="F319" s="222" t="str">
        <f>IFERROR(IF(DB_Customers!S313&lt;&gt;"",DB_Customers!S313,""),"")</f>
        <v/>
      </c>
      <c r="G319" s="222" t="str">
        <f>IFERROR(IF(DB_Customers!G313&lt;&gt;"",DB_Customers!G313,""),"")</f>
        <v/>
      </c>
      <c r="H319" s="221" t="str">
        <f>IFERROR(IF(DB_Customers!H313&lt;&gt;"",DB_Customers!H313,""),"")</f>
        <v/>
      </c>
      <c r="I319" s="224" t="str">
        <f>IFERROR(IF(DB_Customers!I313&lt;&gt;"",DB_Customers!I313,""),"")</f>
        <v/>
      </c>
      <c r="J319" s="225" t="str">
        <f>IFERROR(IF(DB_Customers!J313&lt;&gt;"",DB_Customers!J313,""),"")</f>
        <v/>
      </c>
      <c r="K319" s="222" t="str">
        <f>IFERROR(IF(DB_Customers!E313&lt;&gt;"",DB_Customers!E313,""),"")</f>
        <v/>
      </c>
      <c r="L319" s="222" t="str">
        <f>IFERROR(IF(DB_Customers!F313&lt;&gt;"",DB_Customers!F313,""),"")</f>
        <v/>
      </c>
      <c r="M319" s="222" t="str">
        <f>IFERROR(IF(DB_Customers!T313&lt;&gt;"",DB_Customers!T313,""),"")</f>
        <v/>
      </c>
      <c r="N319" s="221" t="str">
        <f>IFERROR(IF(DB_Customers!A313&lt;&gt;"",IF(DB_Customers!I313&gt;=10,"Active","Inactive"),""),"")</f>
        <v/>
      </c>
    </row>
    <row r="320" spans="1:14" ht="18" customHeight="1" x14ac:dyDescent="0.25">
      <c r="A320" s="216" t="str">
        <f>IF(DB_Customers!A314&lt;&gt;"",ROW()-9,"")</f>
        <v/>
      </c>
      <c r="B320" s="216" t="str">
        <f>IFERROR(IF(DB_Customers!A314&lt;&gt;"",DB_Customers!A314,""),"")</f>
        <v/>
      </c>
      <c r="C320" s="217" t="str">
        <f>IFERROR(IF(DB_Customers!D314&lt;&gt;"",DB_Customers!D314,""),"")</f>
        <v/>
      </c>
      <c r="D320" s="218" t="str">
        <f>IFERROR(IF(DB_Customers!Q314&lt;&gt;"",DB_Customers!Q314,""),"")</f>
        <v/>
      </c>
      <c r="E320" s="216" t="str">
        <f>IFERROR(IF(DB_Customers!R314&lt;&gt;"",DB_Customers!R314,""),"")</f>
        <v/>
      </c>
      <c r="F320" s="217" t="str">
        <f>IFERROR(IF(DB_Customers!S314&lt;&gt;"",DB_Customers!S314,""),"")</f>
        <v/>
      </c>
      <c r="G320" s="217" t="str">
        <f>IFERROR(IF(DB_Customers!G314&lt;&gt;"",DB_Customers!G314,""),"")</f>
        <v/>
      </c>
      <c r="H320" s="216" t="str">
        <f>IFERROR(IF(DB_Customers!H314&lt;&gt;"",DB_Customers!H314,""),"")</f>
        <v/>
      </c>
      <c r="I320" s="219" t="str">
        <f>IFERROR(IF(DB_Customers!I314&lt;&gt;"",DB_Customers!I314,""),"")</f>
        <v/>
      </c>
      <c r="J320" s="220" t="str">
        <f>IFERROR(IF(DB_Customers!J314&lt;&gt;"",DB_Customers!J314,""),"")</f>
        <v/>
      </c>
      <c r="K320" s="217" t="str">
        <f>IFERROR(IF(DB_Customers!E314&lt;&gt;"",DB_Customers!E314,""),"")</f>
        <v/>
      </c>
      <c r="L320" s="217" t="str">
        <f>IFERROR(IF(DB_Customers!F314&lt;&gt;"",DB_Customers!F314,""),"")</f>
        <v/>
      </c>
      <c r="M320" s="217" t="str">
        <f>IFERROR(IF(DB_Customers!T314&lt;&gt;"",DB_Customers!T314,""),"")</f>
        <v/>
      </c>
      <c r="N320" s="216" t="str">
        <f>IFERROR(IF(DB_Customers!A314&lt;&gt;"",IF(DB_Customers!I314&gt;=10,"Active","Inactive"),""),"")</f>
        <v/>
      </c>
    </row>
    <row r="321" spans="1:14" ht="18" customHeight="1" x14ac:dyDescent="0.25">
      <c r="A321" s="221" t="str">
        <f>IF(DB_Customers!A315&lt;&gt;"",ROW()-9,"")</f>
        <v/>
      </c>
      <c r="B321" s="221" t="str">
        <f>IFERROR(IF(DB_Customers!A315&lt;&gt;"",DB_Customers!A315,""),"")</f>
        <v/>
      </c>
      <c r="C321" s="222" t="str">
        <f>IFERROR(IF(DB_Customers!D315&lt;&gt;"",DB_Customers!D315,""),"")</f>
        <v/>
      </c>
      <c r="D321" s="223" t="str">
        <f>IFERROR(IF(DB_Customers!Q315&lt;&gt;"",DB_Customers!Q315,""),"")</f>
        <v/>
      </c>
      <c r="E321" s="221" t="str">
        <f>IFERROR(IF(DB_Customers!R315&lt;&gt;"",DB_Customers!R315,""),"")</f>
        <v/>
      </c>
      <c r="F321" s="222" t="str">
        <f>IFERROR(IF(DB_Customers!S315&lt;&gt;"",DB_Customers!S315,""),"")</f>
        <v/>
      </c>
      <c r="G321" s="222" t="str">
        <f>IFERROR(IF(DB_Customers!G315&lt;&gt;"",DB_Customers!G315,""),"")</f>
        <v/>
      </c>
      <c r="H321" s="221" t="str">
        <f>IFERROR(IF(DB_Customers!H315&lt;&gt;"",DB_Customers!H315,""),"")</f>
        <v/>
      </c>
      <c r="I321" s="224" t="str">
        <f>IFERROR(IF(DB_Customers!I315&lt;&gt;"",DB_Customers!I315,""),"")</f>
        <v/>
      </c>
      <c r="J321" s="225" t="str">
        <f>IFERROR(IF(DB_Customers!J315&lt;&gt;"",DB_Customers!J315,""),"")</f>
        <v/>
      </c>
      <c r="K321" s="222" t="str">
        <f>IFERROR(IF(DB_Customers!E315&lt;&gt;"",DB_Customers!E315,""),"")</f>
        <v/>
      </c>
      <c r="L321" s="222" t="str">
        <f>IFERROR(IF(DB_Customers!F315&lt;&gt;"",DB_Customers!F315,""),"")</f>
        <v/>
      </c>
      <c r="M321" s="222" t="str">
        <f>IFERROR(IF(DB_Customers!T315&lt;&gt;"",DB_Customers!T315,""),"")</f>
        <v/>
      </c>
      <c r="N321" s="221" t="str">
        <f>IFERROR(IF(DB_Customers!A315&lt;&gt;"",IF(DB_Customers!I315&gt;=10,"Active","Inactive"),""),"")</f>
        <v/>
      </c>
    </row>
    <row r="322" spans="1:14" ht="18" customHeight="1" x14ac:dyDescent="0.25">
      <c r="A322" s="216" t="str">
        <f>IF(DB_Customers!A316&lt;&gt;"",ROW()-9,"")</f>
        <v/>
      </c>
      <c r="B322" s="216" t="str">
        <f>IFERROR(IF(DB_Customers!A316&lt;&gt;"",DB_Customers!A316,""),"")</f>
        <v/>
      </c>
      <c r="C322" s="217" t="str">
        <f>IFERROR(IF(DB_Customers!D316&lt;&gt;"",DB_Customers!D316,""),"")</f>
        <v/>
      </c>
      <c r="D322" s="218" t="str">
        <f>IFERROR(IF(DB_Customers!Q316&lt;&gt;"",DB_Customers!Q316,""),"")</f>
        <v/>
      </c>
      <c r="E322" s="216" t="str">
        <f>IFERROR(IF(DB_Customers!R316&lt;&gt;"",DB_Customers!R316,""),"")</f>
        <v/>
      </c>
      <c r="F322" s="217" t="str">
        <f>IFERROR(IF(DB_Customers!S316&lt;&gt;"",DB_Customers!S316,""),"")</f>
        <v/>
      </c>
      <c r="G322" s="217" t="str">
        <f>IFERROR(IF(DB_Customers!G316&lt;&gt;"",DB_Customers!G316,""),"")</f>
        <v/>
      </c>
      <c r="H322" s="216" t="str">
        <f>IFERROR(IF(DB_Customers!H316&lt;&gt;"",DB_Customers!H316,""),"")</f>
        <v/>
      </c>
      <c r="I322" s="219" t="str">
        <f>IFERROR(IF(DB_Customers!I316&lt;&gt;"",DB_Customers!I316,""),"")</f>
        <v/>
      </c>
      <c r="J322" s="220" t="str">
        <f>IFERROR(IF(DB_Customers!J316&lt;&gt;"",DB_Customers!J316,""),"")</f>
        <v/>
      </c>
      <c r="K322" s="217" t="str">
        <f>IFERROR(IF(DB_Customers!E316&lt;&gt;"",DB_Customers!E316,""),"")</f>
        <v/>
      </c>
      <c r="L322" s="217" t="str">
        <f>IFERROR(IF(DB_Customers!F316&lt;&gt;"",DB_Customers!F316,""),"")</f>
        <v/>
      </c>
      <c r="M322" s="217" t="str">
        <f>IFERROR(IF(DB_Customers!T316&lt;&gt;"",DB_Customers!T316,""),"")</f>
        <v/>
      </c>
      <c r="N322" s="216" t="str">
        <f>IFERROR(IF(DB_Customers!A316&lt;&gt;"",IF(DB_Customers!I316&gt;=10,"Active","Inactive"),""),"")</f>
        <v/>
      </c>
    </row>
    <row r="323" spans="1:14" ht="18" customHeight="1" x14ac:dyDescent="0.25">
      <c r="A323" s="221" t="str">
        <f>IF(DB_Customers!A317&lt;&gt;"",ROW()-9,"")</f>
        <v/>
      </c>
      <c r="B323" s="221" t="str">
        <f>IFERROR(IF(DB_Customers!A317&lt;&gt;"",DB_Customers!A317,""),"")</f>
        <v/>
      </c>
      <c r="C323" s="222" t="str">
        <f>IFERROR(IF(DB_Customers!D317&lt;&gt;"",DB_Customers!D317,""),"")</f>
        <v/>
      </c>
      <c r="D323" s="223" t="str">
        <f>IFERROR(IF(DB_Customers!Q317&lt;&gt;"",DB_Customers!Q317,""),"")</f>
        <v/>
      </c>
      <c r="E323" s="221" t="str">
        <f>IFERROR(IF(DB_Customers!R317&lt;&gt;"",DB_Customers!R317,""),"")</f>
        <v/>
      </c>
      <c r="F323" s="222" t="str">
        <f>IFERROR(IF(DB_Customers!S317&lt;&gt;"",DB_Customers!S317,""),"")</f>
        <v/>
      </c>
      <c r="G323" s="222" t="str">
        <f>IFERROR(IF(DB_Customers!G317&lt;&gt;"",DB_Customers!G317,""),"")</f>
        <v/>
      </c>
      <c r="H323" s="221" t="str">
        <f>IFERROR(IF(DB_Customers!H317&lt;&gt;"",DB_Customers!H317,""),"")</f>
        <v/>
      </c>
      <c r="I323" s="224" t="str">
        <f>IFERROR(IF(DB_Customers!I317&lt;&gt;"",DB_Customers!I317,""),"")</f>
        <v/>
      </c>
      <c r="J323" s="225" t="str">
        <f>IFERROR(IF(DB_Customers!J317&lt;&gt;"",DB_Customers!J317,""),"")</f>
        <v/>
      </c>
      <c r="K323" s="222" t="str">
        <f>IFERROR(IF(DB_Customers!E317&lt;&gt;"",DB_Customers!E317,""),"")</f>
        <v/>
      </c>
      <c r="L323" s="222" t="str">
        <f>IFERROR(IF(DB_Customers!F317&lt;&gt;"",DB_Customers!F317,""),"")</f>
        <v/>
      </c>
      <c r="M323" s="222" t="str">
        <f>IFERROR(IF(DB_Customers!T317&lt;&gt;"",DB_Customers!T317,""),"")</f>
        <v/>
      </c>
      <c r="N323" s="221" t="str">
        <f>IFERROR(IF(DB_Customers!A317&lt;&gt;"",IF(DB_Customers!I317&gt;=10,"Active","Inactive"),""),"")</f>
        <v/>
      </c>
    </row>
    <row r="324" spans="1:14" ht="18" customHeight="1" x14ac:dyDescent="0.25">
      <c r="A324" s="216" t="str">
        <f>IF(DB_Customers!A318&lt;&gt;"",ROW()-9,"")</f>
        <v/>
      </c>
      <c r="B324" s="216" t="str">
        <f>IFERROR(IF(DB_Customers!A318&lt;&gt;"",DB_Customers!A318,""),"")</f>
        <v/>
      </c>
      <c r="C324" s="217" t="str">
        <f>IFERROR(IF(DB_Customers!D318&lt;&gt;"",DB_Customers!D318,""),"")</f>
        <v/>
      </c>
      <c r="D324" s="218" t="str">
        <f>IFERROR(IF(DB_Customers!Q318&lt;&gt;"",DB_Customers!Q318,""),"")</f>
        <v/>
      </c>
      <c r="E324" s="216" t="str">
        <f>IFERROR(IF(DB_Customers!R318&lt;&gt;"",DB_Customers!R318,""),"")</f>
        <v/>
      </c>
      <c r="F324" s="217" t="str">
        <f>IFERROR(IF(DB_Customers!S318&lt;&gt;"",DB_Customers!S318,""),"")</f>
        <v/>
      </c>
      <c r="G324" s="217" t="str">
        <f>IFERROR(IF(DB_Customers!G318&lt;&gt;"",DB_Customers!G318,""),"")</f>
        <v/>
      </c>
      <c r="H324" s="216" t="str">
        <f>IFERROR(IF(DB_Customers!H318&lt;&gt;"",DB_Customers!H318,""),"")</f>
        <v/>
      </c>
      <c r="I324" s="219" t="str">
        <f>IFERROR(IF(DB_Customers!I318&lt;&gt;"",DB_Customers!I318,""),"")</f>
        <v/>
      </c>
      <c r="J324" s="220" t="str">
        <f>IFERROR(IF(DB_Customers!J318&lt;&gt;"",DB_Customers!J318,""),"")</f>
        <v/>
      </c>
      <c r="K324" s="217" t="str">
        <f>IFERROR(IF(DB_Customers!E318&lt;&gt;"",DB_Customers!E318,""),"")</f>
        <v/>
      </c>
      <c r="L324" s="217" t="str">
        <f>IFERROR(IF(DB_Customers!F318&lt;&gt;"",DB_Customers!F318,""),"")</f>
        <v/>
      </c>
      <c r="M324" s="217" t="str">
        <f>IFERROR(IF(DB_Customers!T318&lt;&gt;"",DB_Customers!T318,""),"")</f>
        <v/>
      </c>
      <c r="N324" s="216" t="str">
        <f>IFERROR(IF(DB_Customers!A318&lt;&gt;"",IF(DB_Customers!I318&gt;=10,"Active","Inactive"),""),"")</f>
        <v/>
      </c>
    </row>
    <row r="325" spans="1:14" ht="18" customHeight="1" x14ac:dyDescent="0.25">
      <c r="A325" s="221" t="str">
        <f>IF(DB_Customers!A319&lt;&gt;"",ROW()-9,"")</f>
        <v/>
      </c>
      <c r="B325" s="221" t="str">
        <f>IFERROR(IF(DB_Customers!A319&lt;&gt;"",DB_Customers!A319,""),"")</f>
        <v/>
      </c>
      <c r="C325" s="222" t="str">
        <f>IFERROR(IF(DB_Customers!D319&lt;&gt;"",DB_Customers!D319,""),"")</f>
        <v/>
      </c>
      <c r="D325" s="223" t="str">
        <f>IFERROR(IF(DB_Customers!Q319&lt;&gt;"",DB_Customers!Q319,""),"")</f>
        <v/>
      </c>
      <c r="E325" s="221" t="str">
        <f>IFERROR(IF(DB_Customers!R319&lt;&gt;"",DB_Customers!R319,""),"")</f>
        <v/>
      </c>
      <c r="F325" s="222" t="str">
        <f>IFERROR(IF(DB_Customers!S319&lt;&gt;"",DB_Customers!S319,""),"")</f>
        <v/>
      </c>
      <c r="G325" s="222" t="str">
        <f>IFERROR(IF(DB_Customers!G319&lt;&gt;"",DB_Customers!G319,""),"")</f>
        <v/>
      </c>
      <c r="H325" s="221" t="str">
        <f>IFERROR(IF(DB_Customers!H319&lt;&gt;"",DB_Customers!H319,""),"")</f>
        <v/>
      </c>
      <c r="I325" s="224" t="str">
        <f>IFERROR(IF(DB_Customers!I319&lt;&gt;"",DB_Customers!I319,""),"")</f>
        <v/>
      </c>
      <c r="J325" s="225" t="str">
        <f>IFERROR(IF(DB_Customers!J319&lt;&gt;"",DB_Customers!J319,""),"")</f>
        <v/>
      </c>
      <c r="K325" s="222" t="str">
        <f>IFERROR(IF(DB_Customers!E319&lt;&gt;"",DB_Customers!E319,""),"")</f>
        <v/>
      </c>
      <c r="L325" s="222" t="str">
        <f>IFERROR(IF(DB_Customers!F319&lt;&gt;"",DB_Customers!F319,""),"")</f>
        <v/>
      </c>
      <c r="M325" s="222" t="str">
        <f>IFERROR(IF(DB_Customers!T319&lt;&gt;"",DB_Customers!T319,""),"")</f>
        <v/>
      </c>
      <c r="N325" s="221" t="str">
        <f>IFERROR(IF(DB_Customers!A319&lt;&gt;"",IF(DB_Customers!I319&gt;=10,"Active","Inactive"),""),"")</f>
        <v/>
      </c>
    </row>
    <row r="326" spans="1:14" ht="18" customHeight="1" x14ac:dyDescent="0.25">
      <c r="A326" s="216" t="str">
        <f>IF(DB_Customers!A320&lt;&gt;"",ROW()-9,"")</f>
        <v/>
      </c>
      <c r="B326" s="216" t="str">
        <f>IFERROR(IF(DB_Customers!A320&lt;&gt;"",DB_Customers!A320,""),"")</f>
        <v/>
      </c>
      <c r="C326" s="217" t="str">
        <f>IFERROR(IF(DB_Customers!D320&lt;&gt;"",DB_Customers!D320,""),"")</f>
        <v/>
      </c>
      <c r="D326" s="218" t="str">
        <f>IFERROR(IF(DB_Customers!Q320&lt;&gt;"",DB_Customers!Q320,""),"")</f>
        <v/>
      </c>
      <c r="E326" s="216" t="str">
        <f>IFERROR(IF(DB_Customers!R320&lt;&gt;"",DB_Customers!R320,""),"")</f>
        <v/>
      </c>
      <c r="F326" s="217" t="str">
        <f>IFERROR(IF(DB_Customers!S320&lt;&gt;"",DB_Customers!S320,""),"")</f>
        <v/>
      </c>
      <c r="G326" s="217" t="str">
        <f>IFERROR(IF(DB_Customers!G320&lt;&gt;"",DB_Customers!G320,""),"")</f>
        <v/>
      </c>
      <c r="H326" s="216" t="str">
        <f>IFERROR(IF(DB_Customers!H320&lt;&gt;"",DB_Customers!H320,""),"")</f>
        <v/>
      </c>
      <c r="I326" s="219" t="str">
        <f>IFERROR(IF(DB_Customers!I320&lt;&gt;"",DB_Customers!I320,""),"")</f>
        <v/>
      </c>
      <c r="J326" s="220" t="str">
        <f>IFERROR(IF(DB_Customers!J320&lt;&gt;"",DB_Customers!J320,""),"")</f>
        <v/>
      </c>
      <c r="K326" s="217" t="str">
        <f>IFERROR(IF(DB_Customers!E320&lt;&gt;"",DB_Customers!E320,""),"")</f>
        <v/>
      </c>
      <c r="L326" s="217" t="str">
        <f>IFERROR(IF(DB_Customers!F320&lt;&gt;"",DB_Customers!F320,""),"")</f>
        <v/>
      </c>
      <c r="M326" s="217" t="str">
        <f>IFERROR(IF(DB_Customers!T320&lt;&gt;"",DB_Customers!T320,""),"")</f>
        <v/>
      </c>
      <c r="N326" s="216" t="str">
        <f>IFERROR(IF(DB_Customers!A320&lt;&gt;"",IF(DB_Customers!I320&gt;=10,"Active","Inactive"),""),"")</f>
        <v/>
      </c>
    </row>
    <row r="327" spans="1:14" ht="18" customHeight="1" x14ac:dyDescent="0.25">
      <c r="A327" s="221" t="str">
        <f>IF(DB_Customers!A321&lt;&gt;"",ROW()-9,"")</f>
        <v/>
      </c>
      <c r="B327" s="221" t="str">
        <f>IFERROR(IF(DB_Customers!A321&lt;&gt;"",DB_Customers!A321,""),"")</f>
        <v/>
      </c>
      <c r="C327" s="222" t="str">
        <f>IFERROR(IF(DB_Customers!D321&lt;&gt;"",DB_Customers!D321,""),"")</f>
        <v/>
      </c>
      <c r="D327" s="223" t="str">
        <f>IFERROR(IF(DB_Customers!Q321&lt;&gt;"",DB_Customers!Q321,""),"")</f>
        <v/>
      </c>
      <c r="E327" s="221" t="str">
        <f>IFERROR(IF(DB_Customers!R321&lt;&gt;"",DB_Customers!R321,""),"")</f>
        <v/>
      </c>
      <c r="F327" s="222" t="str">
        <f>IFERROR(IF(DB_Customers!S321&lt;&gt;"",DB_Customers!S321,""),"")</f>
        <v/>
      </c>
      <c r="G327" s="222" t="str">
        <f>IFERROR(IF(DB_Customers!G321&lt;&gt;"",DB_Customers!G321,""),"")</f>
        <v/>
      </c>
      <c r="H327" s="221" t="str">
        <f>IFERROR(IF(DB_Customers!H321&lt;&gt;"",DB_Customers!H321,""),"")</f>
        <v/>
      </c>
      <c r="I327" s="224" t="str">
        <f>IFERROR(IF(DB_Customers!I321&lt;&gt;"",DB_Customers!I321,""),"")</f>
        <v/>
      </c>
      <c r="J327" s="225" t="str">
        <f>IFERROR(IF(DB_Customers!J321&lt;&gt;"",DB_Customers!J321,""),"")</f>
        <v/>
      </c>
      <c r="K327" s="222" t="str">
        <f>IFERROR(IF(DB_Customers!E321&lt;&gt;"",DB_Customers!E321,""),"")</f>
        <v/>
      </c>
      <c r="L327" s="222" t="str">
        <f>IFERROR(IF(DB_Customers!F321&lt;&gt;"",DB_Customers!F321,""),"")</f>
        <v/>
      </c>
      <c r="M327" s="222" t="str">
        <f>IFERROR(IF(DB_Customers!T321&lt;&gt;"",DB_Customers!T321,""),"")</f>
        <v/>
      </c>
      <c r="N327" s="221" t="str">
        <f>IFERROR(IF(DB_Customers!A321&lt;&gt;"",IF(DB_Customers!I321&gt;=10,"Active","Inactive"),""),"")</f>
        <v/>
      </c>
    </row>
    <row r="328" spans="1:14" ht="18" customHeight="1" x14ac:dyDescent="0.25">
      <c r="A328" s="216" t="str">
        <f>IF(DB_Customers!A322&lt;&gt;"",ROW()-9,"")</f>
        <v/>
      </c>
      <c r="B328" s="216" t="str">
        <f>IFERROR(IF(DB_Customers!A322&lt;&gt;"",DB_Customers!A322,""),"")</f>
        <v/>
      </c>
      <c r="C328" s="217" t="str">
        <f>IFERROR(IF(DB_Customers!D322&lt;&gt;"",DB_Customers!D322,""),"")</f>
        <v/>
      </c>
      <c r="D328" s="218" t="str">
        <f>IFERROR(IF(DB_Customers!Q322&lt;&gt;"",DB_Customers!Q322,""),"")</f>
        <v/>
      </c>
      <c r="E328" s="216" t="str">
        <f>IFERROR(IF(DB_Customers!R322&lt;&gt;"",DB_Customers!R322,""),"")</f>
        <v/>
      </c>
      <c r="F328" s="217" t="str">
        <f>IFERROR(IF(DB_Customers!S322&lt;&gt;"",DB_Customers!S322,""),"")</f>
        <v/>
      </c>
      <c r="G328" s="217" t="str">
        <f>IFERROR(IF(DB_Customers!G322&lt;&gt;"",DB_Customers!G322,""),"")</f>
        <v/>
      </c>
      <c r="H328" s="216" t="str">
        <f>IFERROR(IF(DB_Customers!H322&lt;&gt;"",DB_Customers!H322,""),"")</f>
        <v/>
      </c>
      <c r="I328" s="219" t="str">
        <f>IFERROR(IF(DB_Customers!I322&lt;&gt;"",DB_Customers!I322,""),"")</f>
        <v/>
      </c>
      <c r="J328" s="220" t="str">
        <f>IFERROR(IF(DB_Customers!J322&lt;&gt;"",DB_Customers!J322,""),"")</f>
        <v/>
      </c>
      <c r="K328" s="217" t="str">
        <f>IFERROR(IF(DB_Customers!E322&lt;&gt;"",DB_Customers!E322,""),"")</f>
        <v/>
      </c>
      <c r="L328" s="217" t="str">
        <f>IFERROR(IF(DB_Customers!F322&lt;&gt;"",DB_Customers!F322,""),"")</f>
        <v/>
      </c>
      <c r="M328" s="217" t="str">
        <f>IFERROR(IF(DB_Customers!T322&lt;&gt;"",DB_Customers!T322,""),"")</f>
        <v/>
      </c>
      <c r="N328" s="216" t="str">
        <f>IFERROR(IF(DB_Customers!A322&lt;&gt;"",IF(DB_Customers!I322&gt;=10,"Active","Inactive"),""),"")</f>
        <v/>
      </c>
    </row>
    <row r="329" spans="1:14" ht="18" customHeight="1" x14ac:dyDescent="0.25">
      <c r="A329" s="221" t="str">
        <f>IF(DB_Customers!A323&lt;&gt;"",ROW()-9,"")</f>
        <v/>
      </c>
      <c r="B329" s="221" t="str">
        <f>IFERROR(IF(DB_Customers!A323&lt;&gt;"",DB_Customers!A323,""),"")</f>
        <v/>
      </c>
      <c r="C329" s="222" t="str">
        <f>IFERROR(IF(DB_Customers!D323&lt;&gt;"",DB_Customers!D323,""),"")</f>
        <v/>
      </c>
      <c r="D329" s="223" t="str">
        <f>IFERROR(IF(DB_Customers!Q323&lt;&gt;"",DB_Customers!Q323,""),"")</f>
        <v/>
      </c>
      <c r="E329" s="221" t="str">
        <f>IFERROR(IF(DB_Customers!R323&lt;&gt;"",DB_Customers!R323,""),"")</f>
        <v/>
      </c>
      <c r="F329" s="222" t="str">
        <f>IFERROR(IF(DB_Customers!S323&lt;&gt;"",DB_Customers!S323,""),"")</f>
        <v/>
      </c>
      <c r="G329" s="222" t="str">
        <f>IFERROR(IF(DB_Customers!G323&lt;&gt;"",DB_Customers!G323,""),"")</f>
        <v/>
      </c>
      <c r="H329" s="221" t="str">
        <f>IFERROR(IF(DB_Customers!H323&lt;&gt;"",DB_Customers!H323,""),"")</f>
        <v/>
      </c>
      <c r="I329" s="224" t="str">
        <f>IFERROR(IF(DB_Customers!I323&lt;&gt;"",DB_Customers!I323,""),"")</f>
        <v/>
      </c>
      <c r="J329" s="225" t="str">
        <f>IFERROR(IF(DB_Customers!J323&lt;&gt;"",DB_Customers!J323,""),"")</f>
        <v/>
      </c>
      <c r="K329" s="222" t="str">
        <f>IFERROR(IF(DB_Customers!E323&lt;&gt;"",DB_Customers!E323,""),"")</f>
        <v/>
      </c>
      <c r="L329" s="222" t="str">
        <f>IFERROR(IF(DB_Customers!F323&lt;&gt;"",DB_Customers!F323,""),"")</f>
        <v/>
      </c>
      <c r="M329" s="222" t="str">
        <f>IFERROR(IF(DB_Customers!T323&lt;&gt;"",DB_Customers!T323,""),"")</f>
        <v/>
      </c>
      <c r="N329" s="221" t="str">
        <f>IFERROR(IF(DB_Customers!A323&lt;&gt;"",IF(DB_Customers!I323&gt;=10,"Active","Inactive"),""),"")</f>
        <v/>
      </c>
    </row>
    <row r="330" spans="1:14" ht="18" customHeight="1" x14ac:dyDescent="0.25">
      <c r="A330" s="216" t="str">
        <f>IF(DB_Customers!A324&lt;&gt;"",ROW()-9,"")</f>
        <v/>
      </c>
      <c r="B330" s="216" t="str">
        <f>IFERROR(IF(DB_Customers!A324&lt;&gt;"",DB_Customers!A324,""),"")</f>
        <v/>
      </c>
      <c r="C330" s="217" t="str">
        <f>IFERROR(IF(DB_Customers!D324&lt;&gt;"",DB_Customers!D324,""),"")</f>
        <v/>
      </c>
      <c r="D330" s="218" t="str">
        <f>IFERROR(IF(DB_Customers!Q324&lt;&gt;"",DB_Customers!Q324,""),"")</f>
        <v/>
      </c>
      <c r="E330" s="216" t="str">
        <f>IFERROR(IF(DB_Customers!R324&lt;&gt;"",DB_Customers!R324,""),"")</f>
        <v/>
      </c>
      <c r="F330" s="217" t="str">
        <f>IFERROR(IF(DB_Customers!S324&lt;&gt;"",DB_Customers!S324,""),"")</f>
        <v/>
      </c>
      <c r="G330" s="217" t="str">
        <f>IFERROR(IF(DB_Customers!G324&lt;&gt;"",DB_Customers!G324,""),"")</f>
        <v/>
      </c>
      <c r="H330" s="216" t="str">
        <f>IFERROR(IF(DB_Customers!H324&lt;&gt;"",DB_Customers!H324,""),"")</f>
        <v/>
      </c>
      <c r="I330" s="219" t="str">
        <f>IFERROR(IF(DB_Customers!I324&lt;&gt;"",DB_Customers!I324,""),"")</f>
        <v/>
      </c>
      <c r="J330" s="220" t="str">
        <f>IFERROR(IF(DB_Customers!J324&lt;&gt;"",DB_Customers!J324,""),"")</f>
        <v/>
      </c>
      <c r="K330" s="217" t="str">
        <f>IFERROR(IF(DB_Customers!E324&lt;&gt;"",DB_Customers!E324,""),"")</f>
        <v/>
      </c>
      <c r="L330" s="217" t="str">
        <f>IFERROR(IF(DB_Customers!F324&lt;&gt;"",DB_Customers!F324,""),"")</f>
        <v/>
      </c>
      <c r="M330" s="217" t="str">
        <f>IFERROR(IF(DB_Customers!T324&lt;&gt;"",DB_Customers!T324,""),"")</f>
        <v/>
      </c>
      <c r="N330" s="216" t="str">
        <f>IFERROR(IF(DB_Customers!A324&lt;&gt;"",IF(DB_Customers!I324&gt;=10,"Active","Inactive"),""),"")</f>
        <v/>
      </c>
    </row>
    <row r="331" spans="1:14" ht="18" customHeight="1" x14ac:dyDescent="0.25">
      <c r="A331" s="221" t="str">
        <f>IF(DB_Customers!A325&lt;&gt;"",ROW()-9,"")</f>
        <v/>
      </c>
      <c r="B331" s="221" t="str">
        <f>IFERROR(IF(DB_Customers!A325&lt;&gt;"",DB_Customers!A325,""),"")</f>
        <v/>
      </c>
      <c r="C331" s="222" t="str">
        <f>IFERROR(IF(DB_Customers!D325&lt;&gt;"",DB_Customers!D325,""),"")</f>
        <v/>
      </c>
      <c r="D331" s="223" t="str">
        <f>IFERROR(IF(DB_Customers!Q325&lt;&gt;"",DB_Customers!Q325,""),"")</f>
        <v/>
      </c>
      <c r="E331" s="221" t="str">
        <f>IFERROR(IF(DB_Customers!R325&lt;&gt;"",DB_Customers!R325,""),"")</f>
        <v/>
      </c>
      <c r="F331" s="222" t="str">
        <f>IFERROR(IF(DB_Customers!S325&lt;&gt;"",DB_Customers!S325,""),"")</f>
        <v/>
      </c>
      <c r="G331" s="222" t="str">
        <f>IFERROR(IF(DB_Customers!G325&lt;&gt;"",DB_Customers!G325,""),"")</f>
        <v/>
      </c>
      <c r="H331" s="221" t="str">
        <f>IFERROR(IF(DB_Customers!H325&lt;&gt;"",DB_Customers!H325,""),"")</f>
        <v/>
      </c>
      <c r="I331" s="224" t="str">
        <f>IFERROR(IF(DB_Customers!I325&lt;&gt;"",DB_Customers!I325,""),"")</f>
        <v/>
      </c>
      <c r="J331" s="225" t="str">
        <f>IFERROR(IF(DB_Customers!J325&lt;&gt;"",DB_Customers!J325,""),"")</f>
        <v/>
      </c>
      <c r="K331" s="222" t="str">
        <f>IFERROR(IF(DB_Customers!E325&lt;&gt;"",DB_Customers!E325,""),"")</f>
        <v/>
      </c>
      <c r="L331" s="222" t="str">
        <f>IFERROR(IF(DB_Customers!F325&lt;&gt;"",DB_Customers!F325,""),"")</f>
        <v/>
      </c>
      <c r="M331" s="222" t="str">
        <f>IFERROR(IF(DB_Customers!T325&lt;&gt;"",DB_Customers!T325,""),"")</f>
        <v/>
      </c>
      <c r="N331" s="221" t="str">
        <f>IFERROR(IF(DB_Customers!A325&lt;&gt;"",IF(DB_Customers!I325&gt;=10,"Active","Inactive"),""),"")</f>
        <v/>
      </c>
    </row>
    <row r="332" spans="1:14" ht="18" customHeight="1" x14ac:dyDescent="0.25">
      <c r="A332" s="216" t="str">
        <f>IF(DB_Customers!A326&lt;&gt;"",ROW()-9,"")</f>
        <v/>
      </c>
      <c r="B332" s="216" t="str">
        <f>IFERROR(IF(DB_Customers!A326&lt;&gt;"",DB_Customers!A326,""),"")</f>
        <v/>
      </c>
      <c r="C332" s="217" t="str">
        <f>IFERROR(IF(DB_Customers!D326&lt;&gt;"",DB_Customers!D326,""),"")</f>
        <v/>
      </c>
      <c r="D332" s="218" t="str">
        <f>IFERROR(IF(DB_Customers!Q326&lt;&gt;"",DB_Customers!Q326,""),"")</f>
        <v/>
      </c>
      <c r="E332" s="216" t="str">
        <f>IFERROR(IF(DB_Customers!R326&lt;&gt;"",DB_Customers!R326,""),"")</f>
        <v/>
      </c>
      <c r="F332" s="217" t="str">
        <f>IFERROR(IF(DB_Customers!S326&lt;&gt;"",DB_Customers!S326,""),"")</f>
        <v/>
      </c>
      <c r="G332" s="217" t="str">
        <f>IFERROR(IF(DB_Customers!G326&lt;&gt;"",DB_Customers!G326,""),"")</f>
        <v/>
      </c>
      <c r="H332" s="216" t="str">
        <f>IFERROR(IF(DB_Customers!H326&lt;&gt;"",DB_Customers!H326,""),"")</f>
        <v/>
      </c>
      <c r="I332" s="219" t="str">
        <f>IFERROR(IF(DB_Customers!I326&lt;&gt;"",DB_Customers!I326,""),"")</f>
        <v/>
      </c>
      <c r="J332" s="220" t="str">
        <f>IFERROR(IF(DB_Customers!J326&lt;&gt;"",DB_Customers!J326,""),"")</f>
        <v/>
      </c>
      <c r="K332" s="217" t="str">
        <f>IFERROR(IF(DB_Customers!E326&lt;&gt;"",DB_Customers!E326,""),"")</f>
        <v/>
      </c>
      <c r="L332" s="217" t="str">
        <f>IFERROR(IF(DB_Customers!F326&lt;&gt;"",DB_Customers!F326,""),"")</f>
        <v/>
      </c>
      <c r="M332" s="217" t="str">
        <f>IFERROR(IF(DB_Customers!T326&lt;&gt;"",DB_Customers!T326,""),"")</f>
        <v/>
      </c>
      <c r="N332" s="216" t="str">
        <f>IFERROR(IF(DB_Customers!A326&lt;&gt;"",IF(DB_Customers!I326&gt;=10,"Active","Inactive"),""),"")</f>
        <v/>
      </c>
    </row>
    <row r="333" spans="1:14" ht="18" customHeight="1" x14ac:dyDescent="0.25">
      <c r="A333" s="221" t="str">
        <f>IF(DB_Customers!A327&lt;&gt;"",ROW()-9,"")</f>
        <v/>
      </c>
      <c r="B333" s="221" t="str">
        <f>IFERROR(IF(DB_Customers!A327&lt;&gt;"",DB_Customers!A327,""),"")</f>
        <v/>
      </c>
      <c r="C333" s="222" t="str">
        <f>IFERROR(IF(DB_Customers!D327&lt;&gt;"",DB_Customers!D327,""),"")</f>
        <v/>
      </c>
      <c r="D333" s="223" t="str">
        <f>IFERROR(IF(DB_Customers!Q327&lt;&gt;"",DB_Customers!Q327,""),"")</f>
        <v/>
      </c>
      <c r="E333" s="221" t="str">
        <f>IFERROR(IF(DB_Customers!R327&lt;&gt;"",DB_Customers!R327,""),"")</f>
        <v/>
      </c>
      <c r="F333" s="222" t="str">
        <f>IFERROR(IF(DB_Customers!S327&lt;&gt;"",DB_Customers!S327,""),"")</f>
        <v/>
      </c>
      <c r="G333" s="222" t="str">
        <f>IFERROR(IF(DB_Customers!G327&lt;&gt;"",DB_Customers!G327,""),"")</f>
        <v/>
      </c>
      <c r="H333" s="221" t="str">
        <f>IFERROR(IF(DB_Customers!H327&lt;&gt;"",DB_Customers!H327,""),"")</f>
        <v/>
      </c>
      <c r="I333" s="224" t="str">
        <f>IFERROR(IF(DB_Customers!I327&lt;&gt;"",DB_Customers!I327,""),"")</f>
        <v/>
      </c>
      <c r="J333" s="225" t="str">
        <f>IFERROR(IF(DB_Customers!J327&lt;&gt;"",DB_Customers!J327,""),"")</f>
        <v/>
      </c>
      <c r="K333" s="222" t="str">
        <f>IFERROR(IF(DB_Customers!E327&lt;&gt;"",DB_Customers!E327,""),"")</f>
        <v/>
      </c>
      <c r="L333" s="222" t="str">
        <f>IFERROR(IF(DB_Customers!F327&lt;&gt;"",DB_Customers!F327,""),"")</f>
        <v/>
      </c>
      <c r="M333" s="222" t="str">
        <f>IFERROR(IF(DB_Customers!T327&lt;&gt;"",DB_Customers!T327,""),"")</f>
        <v/>
      </c>
      <c r="N333" s="221" t="str">
        <f>IFERROR(IF(DB_Customers!A327&lt;&gt;"",IF(DB_Customers!I327&gt;=10,"Active","Inactive"),""),"")</f>
        <v/>
      </c>
    </row>
    <row r="334" spans="1:14" ht="18" customHeight="1" x14ac:dyDescent="0.25">
      <c r="A334" s="216" t="str">
        <f>IF(DB_Customers!A328&lt;&gt;"",ROW()-9,"")</f>
        <v/>
      </c>
      <c r="B334" s="216" t="str">
        <f>IFERROR(IF(DB_Customers!A328&lt;&gt;"",DB_Customers!A328,""),"")</f>
        <v/>
      </c>
      <c r="C334" s="217" t="str">
        <f>IFERROR(IF(DB_Customers!D328&lt;&gt;"",DB_Customers!D328,""),"")</f>
        <v/>
      </c>
      <c r="D334" s="218" t="str">
        <f>IFERROR(IF(DB_Customers!Q328&lt;&gt;"",DB_Customers!Q328,""),"")</f>
        <v/>
      </c>
      <c r="E334" s="216" t="str">
        <f>IFERROR(IF(DB_Customers!R328&lt;&gt;"",DB_Customers!R328,""),"")</f>
        <v/>
      </c>
      <c r="F334" s="217" t="str">
        <f>IFERROR(IF(DB_Customers!S328&lt;&gt;"",DB_Customers!S328,""),"")</f>
        <v/>
      </c>
      <c r="G334" s="217" t="str">
        <f>IFERROR(IF(DB_Customers!G328&lt;&gt;"",DB_Customers!G328,""),"")</f>
        <v/>
      </c>
      <c r="H334" s="216" t="str">
        <f>IFERROR(IF(DB_Customers!H328&lt;&gt;"",DB_Customers!H328,""),"")</f>
        <v/>
      </c>
      <c r="I334" s="219" t="str">
        <f>IFERROR(IF(DB_Customers!I328&lt;&gt;"",DB_Customers!I328,""),"")</f>
        <v/>
      </c>
      <c r="J334" s="220" t="str">
        <f>IFERROR(IF(DB_Customers!J328&lt;&gt;"",DB_Customers!J328,""),"")</f>
        <v/>
      </c>
      <c r="K334" s="217" t="str">
        <f>IFERROR(IF(DB_Customers!E328&lt;&gt;"",DB_Customers!E328,""),"")</f>
        <v/>
      </c>
      <c r="L334" s="217" t="str">
        <f>IFERROR(IF(DB_Customers!F328&lt;&gt;"",DB_Customers!F328,""),"")</f>
        <v/>
      </c>
      <c r="M334" s="217" t="str">
        <f>IFERROR(IF(DB_Customers!T328&lt;&gt;"",DB_Customers!T328,""),"")</f>
        <v/>
      </c>
      <c r="N334" s="216" t="str">
        <f>IFERROR(IF(DB_Customers!A328&lt;&gt;"",IF(DB_Customers!I328&gt;=10,"Active","Inactive"),""),"")</f>
        <v/>
      </c>
    </row>
    <row r="335" spans="1:14" ht="18" customHeight="1" x14ac:dyDescent="0.25">
      <c r="A335" s="221" t="str">
        <f>IF(DB_Customers!A329&lt;&gt;"",ROW()-9,"")</f>
        <v/>
      </c>
      <c r="B335" s="221" t="str">
        <f>IFERROR(IF(DB_Customers!A329&lt;&gt;"",DB_Customers!A329,""),"")</f>
        <v/>
      </c>
      <c r="C335" s="222" t="str">
        <f>IFERROR(IF(DB_Customers!D329&lt;&gt;"",DB_Customers!D329,""),"")</f>
        <v/>
      </c>
      <c r="D335" s="223" t="str">
        <f>IFERROR(IF(DB_Customers!Q329&lt;&gt;"",DB_Customers!Q329,""),"")</f>
        <v/>
      </c>
      <c r="E335" s="221" t="str">
        <f>IFERROR(IF(DB_Customers!R329&lt;&gt;"",DB_Customers!R329,""),"")</f>
        <v/>
      </c>
      <c r="F335" s="222" t="str">
        <f>IFERROR(IF(DB_Customers!S329&lt;&gt;"",DB_Customers!S329,""),"")</f>
        <v/>
      </c>
      <c r="G335" s="222" t="str">
        <f>IFERROR(IF(DB_Customers!G329&lt;&gt;"",DB_Customers!G329,""),"")</f>
        <v/>
      </c>
      <c r="H335" s="221" t="str">
        <f>IFERROR(IF(DB_Customers!H329&lt;&gt;"",DB_Customers!H329,""),"")</f>
        <v/>
      </c>
      <c r="I335" s="224" t="str">
        <f>IFERROR(IF(DB_Customers!I329&lt;&gt;"",DB_Customers!I329,""),"")</f>
        <v/>
      </c>
      <c r="J335" s="225" t="str">
        <f>IFERROR(IF(DB_Customers!J329&lt;&gt;"",DB_Customers!J329,""),"")</f>
        <v/>
      </c>
      <c r="K335" s="222" t="str">
        <f>IFERROR(IF(DB_Customers!E329&lt;&gt;"",DB_Customers!E329,""),"")</f>
        <v/>
      </c>
      <c r="L335" s="222" t="str">
        <f>IFERROR(IF(DB_Customers!F329&lt;&gt;"",DB_Customers!F329,""),"")</f>
        <v/>
      </c>
      <c r="M335" s="222" t="str">
        <f>IFERROR(IF(DB_Customers!T329&lt;&gt;"",DB_Customers!T329,""),"")</f>
        <v/>
      </c>
      <c r="N335" s="221" t="str">
        <f>IFERROR(IF(DB_Customers!A329&lt;&gt;"",IF(DB_Customers!I329&gt;=10,"Active","Inactive"),""),"")</f>
        <v/>
      </c>
    </row>
    <row r="336" spans="1:14" ht="18" customHeight="1" x14ac:dyDescent="0.25">
      <c r="A336" s="216" t="str">
        <f>IF(DB_Customers!A330&lt;&gt;"",ROW()-9,"")</f>
        <v/>
      </c>
      <c r="B336" s="216" t="str">
        <f>IFERROR(IF(DB_Customers!A330&lt;&gt;"",DB_Customers!A330,""),"")</f>
        <v/>
      </c>
      <c r="C336" s="217" t="str">
        <f>IFERROR(IF(DB_Customers!D330&lt;&gt;"",DB_Customers!D330,""),"")</f>
        <v/>
      </c>
      <c r="D336" s="218" t="str">
        <f>IFERROR(IF(DB_Customers!Q330&lt;&gt;"",DB_Customers!Q330,""),"")</f>
        <v/>
      </c>
      <c r="E336" s="216" t="str">
        <f>IFERROR(IF(DB_Customers!R330&lt;&gt;"",DB_Customers!R330,""),"")</f>
        <v/>
      </c>
      <c r="F336" s="217" t="str">
        <f>IFERROR(IF(DB_Customers!S330&lt;&gt;"",DB_Customers!S330,""),"")</f>
        <v/>
      </c>
      <c r="G336" s="217" t="str">
        <f>IFERROR(IF(DB_Customers!G330&lt;&gt;"",DB_Customers!G330,""),"")</f>
        <v/>
      </c>
      <c r="H336" s="216" t="str">
        <f>IFERROR(IF(DB_Customers!H330&lt;&gt;"",DB_Customers!H330,""),"")</f>
        <v/>
      </c>
      <c r="I336" s="219" t="str">
        <f>IFERROR(IF(DB_Customers!I330&lt;&gt;"",DB_Customers!I330,""),"")</f>
        <v/>
      </c>
      <c r="J336" s="220" t="str">
        <f>IFERROR(IF(DB_Customers!J330&lt;&gt;"",DB_Customers!J330,""),"")</f>
        <v/>
      </c>
      <c r="K336" s="217" t="str">
        <f>IFERROR(IF(DB_Customers!E330&lt;&gt;"",DB_Customers!E330,""),"")</f>
        <v/>
      </c>
      <c r="L336" s="217" t="str">
        <f>IFERROR(IF(DB_Customers!F330&lt;&gt;"",DB_Customers!F330,""),"")</f>
        <v/>
      </c>
      <c r="M336" s="217" t="str">
        <f>IFERROR(IF(DB_Customers!T330&lt;&gt;"",DB_Customers!T330,""),"")</f>
        <v/>
      </c>
      <c r="N336" s="216" t="str">
        <f>IFERROR(IF(DB_Customers!A330&lt;&gt;"",IF(DB_Customers!I330&gt;=10,"Active","Inactive"),""),"")</f>
        <v/>
      </c>
    </row>
    <row r="337" spans="1:14" ht="18" customHeight="1" x14ac:dyDescent="0.25">
      <c r="A337" s="221" t="str">
        <f>IF(DB_Customers!A331&lt;&gt;"",ROW()-9,"")</f>
        <v/>
      </c>
      <c r="B337" s="221" t="str">
        <f>IFERROR(IF(DB_Customers!A331&lt;&gt;"",DB_Customers!A331,""),"")</f>
        <v/>
      </c>
      <c r="C337" s="222" t="str">
        <f>IFERROR(IF(DB_Customers!D331&lt;&gt;"",DB_Customers!D331,""),"")</f>
        <v/>
      </c>
      <c r="D337" s="223" t="str">
        <f>IFERROR(IF(DB_Customers!Q331&lt;&gt;"",DB_Customers!Q331,""),"")</f>
        <v/>
      </c>
      <c r="E337" s="221" t="str">
        <f>IFERROR(IF(DB_Customers!R331&lt;&gt;"",DB_Customers!R331,""),"")</f>
        <v/>
      </c>
      <c r="F337" s="222" t="str">
        <f>IFERROR(IF(DB_Customers!S331&lt;&gt;"",DB_Customers!S331,""),"")</f>
        <v/>
      </c>
      <c r="G337" s="222" t="str">
        <f>IFERROR(IF(DB_Customers!G331&lt;&gt;"",DB_Customers!G331,""),"")</f>
        <v/>
      </c>
      <c r="H337" s="221" t="str">
        <f>IFERROR(IF(DB_Customers!H331&lt;&gt;"",DB_Customers!H331,""),"")</f>
        <v/>
      </c>
      <c r="I337" s="224" t="str">
        <f>IFERROR(IF(DB_Customers!I331&lt;&gt;"",DB_Customers!I331,""),"")</f>
        <v/>
      </c>
      <c r="J337" s="225" t="str">
        <f>IFERROR(IF(DB_Customers!J331&lt;&gt;"",DB_Customers!J331,""),"")</f>
        <v/>
      </c>
      <c r="K337" s="222" t="str">
        <f>IFERROR(IF(DB_Customers!E331&lt;&gt;"",DB_Customers!E331,""),"")</f>
        <v/>
      </c>
      <c r="L337" s="222" t="str">
        <f>IFERROR(IF(DB_Customers!F331&lt;&gt;"",DB_Customers!F331,""),"")</f>
        <v/>
      </c>
      <c r="M337" s="222" t="str">
        <f>IFERROR(IF(DB_Customers!T331&lt;&gt;"",DB_Customers!T331,""),"")</f>
        <v/>
      </c>
      <c r="N337" s="221" t="str">
        <f>IFERROR(IF(DB_Customers!A331&lt;&gt;"",IF(DB_Customers!I331&gt;=10,"Active","Inactive"),""),"")</f>
        <v/>
      </c>
    </row>
    <row r="338" spans="1:14" ht="18" customHeight="1" x14ac:dyDescent="0.25">
      <c r="A338" s="216" t="str">
        <f>IF(DB_Customers!A332&lt;&gt;"",ROW()-9,"")</f>
        <v/>
      </c>
      <c r="B338" s="216" t="str">
        <f>IFERROR(IF(DB_Customers!A332&lt;&gt;"",DB_Customers!A332,""),"")</f>
        <v/>
      </c>
      <c r="C338" s="217" t="str">
        <f>IFERROR(IF(DB_Customers!D332&lt;&gt;"",DB_Customers!D332,""),"")</f>
        <v/>
      </c>
      <c r="D338" s="218" t="str">
        <f>IFERROR(IF(DB_Customers!Q332&lt;&gt;"",DB_Customers!Q332,""),"")</f>
        <v/>
      </c>
      <c r="E338" s="216" t="str">
        <f>IFERROR(IF(DB_Customers!R332&lt;&gt;"",DB_Customers!R332,""),"")</f>
        <v/>
      </c>
      <c r="F338" s="217" t="str">
        <f>IFERROR(IF(DB_Customers!S332&lt;&gt;"",DB_Customers!S332,""),"")</f>
        <v/>
      </c>
      <c r="G338" s="217" t="str">
        <f>IFERROR(IF(DB_Customers!G332&lt;&gt;"",DB_Customers!G332,""),"")</f>
        <v/>
      </c>
      <c r="H338" s="216" t="str">
        <f>IFERROR(IF(DB_Customers!H332&lt;&gt;"",DB_Customers!H332,""),"")</f>
        <v/>
      </c>
      <c r="I338" s="219" t="str">
        <f>IFERROR(IF(DB_Customers!I332&lt;&gt;"",DB_Customers!I332,""),"")</f>
        <v/>
      </c>
      <c r="J338" s="220" t="str">
        <f>IFERROR(IF(DB_Customers!J332&lt;&gt;"",DB_Customers!J332,""),"")</f>
        <v/>
      </c>
      <c r="K338" s="217" t="str">
        <f>IFERROR(IF(DB_Customers!E332&lt;&gt;"",DB_Customers!E332,""),"")</f>
        <v/>
      </c>
      <c r="L338" s="217" t="str">
        <f>IFERROR(IF(DB_Customers!F332&lt;&gt;"",DB_Customers!F332,""),"")</f>
        <v/>
      </c>
      <c r="M338" s="217" t="str">
        <f>IFERROR(IF(DB_Customers!T332&lt;&gt;"",DB_Customers!T332,""),"")</f>
        <v/>
      </c>
      <c r="N338" s="216" t="str">
        <f>IFERROR(IF(DB_Customers!A332&lt;&gt;"",IF(DB_Customers!I332&gt;=10,"Active","Inactive"),""),"")</f>
        <v/>
      </c>
    </row>
    <row r="339" spans="1:14" ht="18" customHeight="1" x14ac:dyDescent="0.25">
      <c r="A339" s="221" t="str">
        <f>IF(DB_Customers!A333&lt;&gt;"",ROW()-9,"")</f>
        <v/>
      </c>
      <c r="B339" s="221" t="str">
        <f>IFERROR(IF(DB_Customers!A333&lt;&gt;"",DB_Customers!A333,""),"")</f>
        <v/>
      </c>
      <c r="C339" s="222" t="str">
        <f>IFERROR(IF(DB_Customers!D333&lt;&gt;"",DB_Customers!D333,""),"")</f>
        <v/>
      </c>
      <c r="D339" s="223" t="str">
        <f>IFERROR(IF(DB_Customers!Q333&lt;&gt;"",DB_Customers!Q333,""),"")</f>
        <v/>
      </c>
      <c r="E339" s="221" t="str">
        <f>IFERROR(IF(DB_Customers!R333&lt;&gt;"",DB_Customers!R333,""),"")</f>
        <v/>
      </c>
      <c r="F339" s="222" t="str">
        <f>IFERROR(IF(DB_Customers!S333&lt;&gt;"",DB_Customers!S333,""),"")</f>
        <v/>
      </c>
      <c r="G339" s="222" t="str">
        <f>IFERROR(IF(DB_Customers!G333&lt;&gt;"",DB_Customers!G333,""),"")</f>
        <v/>
      </c>
      <c r="H339" s="221" t="str">
        <f>IFERROR(IF(DB_Customers!H333&lt;&gt;"",DB_Customers!H333,""),"")</f>
        <v/>
      </c>
      <c r="I339" s="224" t="str">
        <f>IFERROR(IF(DB_Customers!I333&lt;&gt;"",DB_Customers!I333,""),"")</f>
        <v/>
      </c>
      <c r="J339" s="225" t="str">
        <f>IFERROR(IF(DB_Customers!J333&lt;&gt;"",DB_Customers!J333,""),"")</f>
        <v/>
      </c>
      <c r="K339" s="222" t="str">
        <f>IFERROR(IF(DB_Customers!E333&lt;&gt;"",DB_Customers!E333,""),"")</f>
        <v/>
      </c>
      <c r="L339" s="222" t="str">
        <f>IFERROR(IF(DB_Customers!F333&lt;&gt;"",DB_Customers!F333,""),"")</f>
        <v/>
      </c>
      <c r="M339" s="222" t="str">
        <f>IFERROR(IF(DB_Customers!T333&lt;&gt;"",DB_Customers!T333,""),"")</f>
        <v/>
      </c>
      <c r="N339" s="221" t="str">
        <f>IFERROR(IF(DB_Customers!A333&lt;&gt;"",IF(DB_Customers!I333&gt;=10,"Active","Inactive"),""),"")</f>
        <v/>
      </c>
    </row>
    <row r="340" spans="1:14" ht="18" customHeight="1" x14ac:dyDescent="0.25">
      <c r="A340" s="216" t="str">
        <f>IF(DB_Customers!A334&lt;&gt;"",ROW()-9,"")</f>
        <v/>
      </c>
      <c r="B340" s="216" t="str">
        <f>IFERROR(IF(DB_Customers!A334&lt;&gt;"",DB_Customers!A334,""),"")</f>
        <v/>
      </c>
      <c r="C340" s="217" t="str">
        <f>IFERROR(IF(DB_Customers!D334&lt;&gt;"",DB_Customers!D334,""),"")</f>
        <v/>
      </c>
      <c r="D340" s="218" t="str">
        <f>IFERROR(IF(DB_Customers!Q334&lt;&gt;"",DB_Customers!Q334,""),"")</f>
        <v/>
      </c>
      <c r="E340" s="216" t="str">
        <f>IFERROR(IF(DB_Customers!R334&lt;&gt;"",DB_Customers!R334,""),"")</f>
        <v/>
      </c>
      <c r="F340" s="217" t="str">
        <f>IFERROR(IF(DB_Customers!S334&lt;&gt;"",DB_Customers!S334,""),"")</f>
        <v/>
      </c>
      <c r="G340" s="217" t="str">
        <f>IFERROR(IF(DB_Customers!G334&lt;&gt;"",DB_Customers!G334,""),"")</f>
        <v/>
      </c>
      <c r="H340" s="216" t="str">
        <f>IFERROR(IF(DB_Customers!H334&lt;&gt;"",DB_Customers!H334,""),"")</f>
        <v/>
      </c>
      <c r="I340" s="219" t="str">
        <f>IFERROR(IF(DB_Customers!I334&lt;&gt;"",DB_Customers!I334,""),"")</f>
        <v/>
      </c>
      <c r="J340" s="220" t="str">
        <f>IFERROR(IF(DB_Customers!J334&lt;&gt;"",DB_Customers!J334,""),"")</f>
        <v/>
      </c>
      <c r="K340" s="217" t="str">
        <f>IFERROR(IF(DB_Customers!E334&lt;&gt;"",DB_Customers!E334,""),"")</f>
        <v/>
      </c>
      <c r="L340" s="217" t="str">
        <f>IFERROR(IF(DB_Customers!F334&lt;&gt;"",DB_Customers!F334,""),"")</f>
        <v/>
      </c>
      <c r="M340" s="217" t="str">
        <f>IFERROR(IF(DB_Customers!T334&lt;&gt;"",DB_Customers!T334,""),"")</f>
        <v/>
      </c>
      <c r="N340" s="216" t="str">
        <f>IFERROR(IF(DB_Customers!A334&lt;&gt;"",IF(DB_Customers!I334&gt;=10,"Active","Inactive"),""),"")</f>
        <v/>
      </c>
    </row>
    <row r="341" spans="1:14" ht="18" customHeight="1" x14ac:dyDescent="0.25">
      <c r="A341" s="221" t="str">
        <f>IF(DB_Customers!A335&lt;&gt;"",ROW()-9,"")</f>
        <v/>
      </c>
      <c r="B341" s="221" t="str">
        <f>IFERROR(IF(DB_Customers!A335&lt;&gt;"",DB_Customers!A335,""),"")</f>
        <v/>
      </c>
      <c r="C341" s="222" t="str">
        <f>IFERROR(IF(DB_Customers!D335&lt;&gt;"",DB_Customers!D335,""),"")</f>
        <v/>
      </c>
      <c r="D341" s="223" t="str">
        <f>IFERROR(IF(DB_Customers!Q335&lt;&gt;"",DB_Customers!Q335,""),"")</f>
        <v/>
      </c>
      <c r="E341" s="221" t="str">
        <f>IFERROR(IF(DB_Customers!R335&lt;&gt;"",DB_Customers!R335,""),"")</f>
        <v/>
      </c>
      <c r="F341" s="222" t="str">
        <f>IFERROR(IF(DB_Customers!S335&lt;&gt;"",DB_Customers!S335,""),"")</f>
        <v/>
      </c>
      <c r="G341" s="222" t="str">
        <f>IFERROR(IF(DB_Customers!G335&lt;&gt;"",DB_Customers!G335,""),"")</f>
        <v/>
      </c>
      <c r="H341" s="221" t="str">
        <f>IFERROR(IF(DB_Customers!H335&lt;&gt;"",DB_Customers!H335,""),"")</f>
        <v/>
      </c>
      <c r="I341" s="224" t="str">
        <f>IFERROR(IF(DB_Customers!I335&lt;&gt;"",DB_Customers!I335,""),"")</f>
        <v/>
      </c>
      <c r="J341" s="225" t="str">
        <f>IFERROR(IF(DB_Customers!J335&lt;&gt;"",DB_Customers!J335,""),"")</f>
        <v/>
      </c>
      <c r="K341" s="222" t="str">
        <f>IFERROR(IF(DB_Customers!E335&lt;&gt;"",DB_Customers!E335,""),"")</f>
        <v/>
      </c>
      <c r="L341" s="222" t="str">
        <f>IFERROR(IF(DB_Customers!F335&lt;&gt;"",DB_Customers!F335,""),"")</f>
        <v/>
      </c>
      <c r="M341" s="222" t="str">
        <f>IFERROR(IF(DB_Customers!T335&lt;&gt;"",DB_Customers!T335,""),"")</f>
        <v/>
      </c>
      <c r="N341" s="221" t="str">
        <f>IFERROR(IF(DB_Customers!A335&lt;&gt;"",IF(DB_Customers!I335&gt;=10,"Active","Inactive"),""),"")</f>
        <v/>
      </c>
    </row>
    <row r="342" spans="1:14" ht="18" customHeight="1" x14ac:dyDescent="0.25">
      <c r="A342" s="216" t="str">
        <f>IF(DB_Customers!A336&lt;&gt;"",ROW()-9,"")</f>
        <v/>
      </c>
      <c r="B342" s="216" t="str">
        <f>IFERROR(IF(DB_Customers!A336&lt;&gt;"",DB_Customers!A336,""),"")</f>
        <v/>
      </c>
      <c r="C342" s="217" t="str">
        <f>IFERROR(IF(DB_Customers!D336&lt;&gt;"",DB_Customers!D336,""),"")</f>
        <v/>
      </c>
      <c r="D342" s="218" t="str">
        <f>IFERROR(IF(DB_Customers!Q336&lt;&gt;"",DB_Customers!Q336,""),"")</f>
        <v/>
      </c>
      <c r="E342" s="216" t="str">
        <f>IFERROR(IF(DB_Customers!R336&lt;&gt;"",DB_Customers!R336,""),"")</f>
        <v/>
      </c>
      <c r="F342" s="217" t="str">
        <f>IFERROR(IF(DB_Customers!S336&lt;&gt;"",DB_Customers!S336,""),"")</f>
        <v/>
      </c>
      <c r="G342" s="217" t="str">
        <f>IFERROR(IF(DB_Customers!G336&lt;&gt;"",DB_Customers!G336,""),"")</f>
        <v/>
      </c>
      <c r="H342" s="216" t="str">
        <f>IFERROR(IF(DB_Customers!H336&lt;&gt;"",DB_Customers!H336,""),"")</f>
        <v/>
      </c>
      <c r="I342" s="219" t="str">
        <f>IFERROR(IF(DB_Customers!I336&lt;&gt;"",DB_Customers!I336,""),"")</f>
        <v/>
      </c>
      <c r="J342" s="220" t="str">
        <f>IFERROR(IF(DB_Customers!J336&lt;&gt;"",DB_Customers!J336,""),"")</f>
        <v/>
      </c>
      <c r="K342" s="217" t="str">
        <f>IFERROR(IF(DB_Customers!E336&lt;&gt;"",DB_Customers!E336,""),"")</f>
        <v/>
      </c>
      <c r="L342" s="217" t="str">
        <f>IFERROR(IF(DB_Customers!F336&lt;&gt;"",DB_Customers!F336,""),"")</f>
        <v/>
      </c>
      <c r="M342" s="217" t="str">
        <f>IFERROR(IF(DB_Customers!T336&lt;&gt;"",DB_Customers!T336,""),"")</f>
        <v/>
      </c>
      <c r="N342" s="216" t="str">
        <f>IFERROR(IF(DB_Customers!A336&lt;&gt;"",IF(DB_Customers!I336&gt;=10,"Active","Inactive"),""),"")</f>
        <v/>
      </c>
    </row>
    <row r="343" spans="1:14" ht="18" customHeight="1" x14ac:dyDescent="0.25">
      <c r="A343" s="221" t="str">
        <f>IF(DB_Customers!A337&lt;&gt;"",ROW()-9,"")</f>
        <v/>
      </c>
      <c r="B343" s="221" t="str">
        <f>IFERROR(IF(DB_Customers!A337&lt;&gt;"",DB_Customers!A337,""),"")</f>
        <v/>
      </c>
      <c r="C343" s="222" t="str">
        <f>IFERROR(IF(DB_Customers!D337&lt;&gt;"",DB_Customers!D337,""),"")</f>
        <v/>
      </c>
      <c r="D343" s="223" t="str">
        <f>IFERROR(IF(DB_Customers!Q337&lt;&gt;"",DB_Customers!Q337,""),"")</f>
        <v/>
      </c>
      <c r="E343" s="221" t="str">
        <f>IFERROR(IF(DB_Customers!R337&lt;&gt;"",DB_Customers!R337,""),"")</f>
        <v/>
      </c>
      <c r="F343" s="222" t="str">
        <f>IFERROR(IF(DB_Customers!S337&lt;&gt;"",DB_Customers!S337,""),"")</f>
        <v/>
      </c>
      <c r="G343" s="222" t="str">
        <f>IFERROR(IF(DB_Customers!G337&lt;&gt;"",DB_Customers!G337,""),"")</f>
        <v/>
      </c>
      <c r="H343" s="221" t="str">
        <f>IFERROR(IF(DB_Customers!H337&lt;&gt;"",DB_Customers!H337,""),"")</f>
        <v/>
      </c>
      <c r="I343" s="224" t="str">
        <f>IFERROR(IF(DB_Customers!I337&lt;&gt;"",DB_Customers!I337,""),"")</f>
        <v/>
      </c>
      <c r="J343" s="225" t="str">
        <f>IFERROR(IF(DB_Customers!J337&lt;&gt;"",DB_Customers!J337,""),"")</f>
        <v/>
      </c>
      <c r="K343" s="222" t="str">
        <f>IFERROR(IF(DB_Customers!E337&lt;&gt;"",DB_Customers!E337,""),"")</f>
        <v/>
      </c>
      <c r="L343" s="222" t="str">
        <f>IFERROR(IF(DB_Customers!F337&lt;&gt;"",DB_Customers!F337,""),"")</f>
        <v/>
      </c>
      <c r="M343" s="222" t="str">
        <f>IFERROR(IF(DB_Customers!T337&lt;&gt;"",DB_Customers!T337,""),"")</f>
        <v/>
      </c>
      <c r="N343" s="221" t="str">
        <f>IFERROR(IF(DB_Customers!A337&lt;&gt;"",IF(DB_Customers!I337&gt;=10,"Active","Inactive"),""),"")</f>
        <v/>
      </c>
    </row>
    <row r="344" spans="1:14" ht="18" customHeight="1" x14ac:dyDescent="0.25">
      <c r="A344" s="216" t="str">
        <f>IF(DB_Customers!A338&lt;&gt;"",ROW()-9,"")</f>
        <v/>
      </c>
      <c r="B344" s="216" t="str">
        <f>IFERROR(IF(DB_Customers!A338&lt;&gt;"",DB_Customers!A338,""),"")</f>
        <v/>
      </c>
      <c r="C344" s="217" t="str">
        <f>IFERROR(IF(DB_Customers!D338&lt;&gt;"",DB_Customers!D338,""),"")</f>
        <v/>
      </c>
      <c r="D344" s="218" t="str">
        <f>IFERROR(IF(DB_Customers!Q338&lt;&gt;"",DB_Customers!Q338,""),"")</f>
        <v/>
      </c>
      <c r="E344" s="216" t="str">
        <f>IFERROR(IF(DB_Customers!R338&lt;&gt;"",DB_Customers!R338,""),"")</f>
        <v/>
      </c>
      <c r="F344" s="217" t="str">
        <f>IFERROR(IF(DB_Customers!S338&lt;&gt;"",DB_Customers!S338,""),"")</f>
        <v/>
      </c>
      <c r="G344" s="217" t="str">
        <f>IFERROR(IF(DB_Customers!G338&lt;&gt;"",DB_Customers!G338,""),"")</f>
        <v/>
      </c>
      <c r="H344" s="216" t="str">
        <f>IFERROR(IF(DB_Customers!H338&lt;&gt;"",DB_Customers!H338,""),"")</f>
        <v/>
      </c>
      <c r="I344" s="219" t="str">
        <f>IFERROR(IF(DB_Customers!I338&lt;&gt;"",DB_Customers!I338,""),"")</f>
        <v/>
      </c>
      <c r="J344" s="220" t="str">
        <f>IFERROR(IF(DB_Customers!J338&lt;&gt;"",DB_Customers!J338,""),"")</f>
        <v/>
      </c>
      <c r="K344" s="217" t="str">
        <f>IFERROR(IF(DB_Customers!E338&lt;&gt;"",DB_Customers!E338,""),"")</f>
        <v/>
      </c>
      <c r="L344" s="217" t="str">
        <f>IFERROR(IF(DB_Customers!F338&lt;&gt;"",DB_Customers!F338,""),"")</f>
        <v/>
      </c>
      <c r="M344" s="217" t="str">
        <f>IFERROR(IF(DB_Customers!T338&lt;&gt;"",DB_Customers!T338,""),"")</f>
        <v/>
      </c>
      <c r="N344" s="216" t="str">
        <f>IFERROR(IF(DB_Customers!A338&lt;&gt;"",IF(DB_Customers!I338&gt;=10,"Active","Inactive"),""),"")</f>
        <v/>
      </c>
    </row>
    <row r="345" spans="1:14" ht="18" customHeight="1" x14ac:dyDescent="0.25">
      <c r="A345" s="221" t="str">
        <f>IF(DB_Customers!A339&lt;&gt;"",ROW()-9,"")</f>
        <v/>
      </c>
      <c r="B345" s="221" t="str">
        <f>IFERROR(IF(DB_Customers!A339&lt;&gt;"",DB_Customers!A339,""),"")</f>
        <v/>
      </c>
      <c r="C345" s="222" t="str">
        <f>IFERROR(IF(DB_Customers!D339&lt;&gt;"",DB_Customers!D339,""),"")</f>
        <v/>
      </c>
      <c r="D345" s="223" t="str">
        <f>IFERROR(IF(DB_Customers!Q339&lt;&gt;"",DB_Customers!Q339,""),"")</f>
        <v/>
      </c>
      <c r="E345" s="221" t="str">
        <f>IFERROR(IF(DB_Customers!R339&lt;&gt;"",DB_Customers!R339,""),"")</f>
        <v/>
      </c>
      <c r="F345" s="222" t="str">
        <f>IFERROR(IF(DB_Customers!S339&lt;&gt;"",DB_Customers!S339,""),"")</f>
        <v/>
      </c>
      <c r="G345" s="222" t="str">
        <f>IFERROR(IF(DB_Customers!G339&lt;&gt;"",DB_Customers!G339,""),"")</f>
        <v/>
      </c>
      <c r="H345" s="221" t="str">
        <f>IFERROR(IF(DB_Customers!H339&lt;&gt;"",DB_Customers!H339,""),"")</f>
        <v/>
      </c>
      <c r="I345" s="224" t="str">
        <f>IFERROR(IF(DB_Customers!I339&lt;&gt;"",DB_Customers!I339,""),"")</f>
        <v/>
      </c>
      <c r="J345" s="225" t="str">
        <f>IFERROR(IF(DB_Customers!J339&lt;&gt;"",DB_Customers!J339,""),"")</f>
        <v/>
      </c>
      <c r="K345" s="222" t="str">
        <f>IFERROR(IF(DB_Customers!E339&lt;&gt;"",DB_Customers!E339,""),"")</f>
        <v/>
      </c>
      <c r="L345" s="222" t="str">
        <f>IFERROR(IF(DB_Customers!F339&lt;&gt;"",DB_Customers!F339,""),"")</f>
        <v/>
      </c>
      <c r="M345" s="222" t="str">
        <f>IFERROR(IF(DB_Customers!T339&lt;&gt;"",DB_Customers!T339,""),"")</f>
        <v/>
      </c>
      <c r="N345" s="221" t="str">
        <f>IFERROR(IF(DB_Customers!A339&lt;&gt;"",IF(DB_Customers!I339&gt;=10,"Active","Inactive"),""),"")</f>
        <v/>
      </c>
    </row>
    <row r="346" spans="1:14" ht="18" customHeight="1" x14ac:dyDescent="0.25">
      <c r="A346" s="216" t="str">
        <f>IF(DB_Customers!A340&lt;&gt;"",ROW()-9,"")</f>
        <v/>
      </c>
      <c r="B346" s="216" t="str">
        <f>IFERROR(IF(DB_Customers!A340&lt;&gt;"",DB_Customers!A340,""),"")</f>
        <v/>
      </c>
      <c r="C346" s="217" t="str">
        <f>IFERROR(IF(DB_Customers!D340&lt;&gt;"",DB_Customers!D340,""),"")</f>
        <v/>
      </c>
      <c r="D346" s="218" t="str">
        <f>IFERROR(IF(DB_Customers!Q340&lt;&gt;"",DB_Customers!Q340,""),"")</f>
        <v/>
      </c>
      <c r="E346" s="216" t="str">
        <f>IFERROR(IF(DB_Customers!R340&lt;&gt;"",DB_Customers!R340,""),"")</f>
        <v/>
      </c>
      <c r="F346" s="217" t="str">
        <f>IFERROR(IF(DB_Customers!S340&lt;&gt;"",DB_Customers!S340,""),"")</f>
        <v/>
      </c>
      <c r="G346" s="217" t="str">
        <f>IFERROR(IF(DB_Customers!G340&lt;&gt;"",DB_Customers!G340,""),"")</f>
        <v/>
      </c>
      <c r="H346" s="216" t="str">
        <f>IFERROR(IF(DB_Customers!H340&lt;&gt;"",DB_Customers!H340,""),"")</f>
        <v/>
      </c>
      <c r="I346" s="219" t="str">
        <f>IFERROR(IF(DB_Customers!I340&lt;&gt;"",DB_Customers!I340,""),"")</f>
        <v/>
      </c>
      <c r="J346" s="220" t="str">
        <f>IFERROR(IF(DB_Customers!J340&lt;&gt;"",DB_Customers!J340,""),"")</f>
        <v/>
      </c>
      <c r="K346" s="217" t="str">
        <f>IFERROR(IF(DB_Customers!E340&lt;&gt;"",DB_Customers!E340,""),"")</f>
        <v/>
      </c>
      <c r="L346" s="217" t="str">
        <f>IFERROR(IF(DB_Customers!F340&lt;&gt;"",DB_Customers!F340,""),"")</f>
        <v/>
      </c>
      <c r="M346" s="217" t="str">
        <f>IFERROR(IF(DB_Customers!T340&lt;&gt;"",DB_Customers!T340,""),"")</f>
        <v/>
      </c>
      <c r="N346" s="216" t="str">
        <f>IFERROR(IF(DB_Customers!A340&lt;&gt;"",IF(DB_Customers!I340&gt;=10,"Active","Inactive"),""),"")</f>
        <v/>
      </c>
    </row>
    <row r="347" spans="1:14" ht="18" customHeight="1" x14ac:dyDescent="0.25">
      <c r="A347" s="221" t="str">
        <f>IF(DB_Customers!A341&lt;&gt;"",ROW()-9,"")</f>
        <v/>
      </c>
      <c r="B347" s="221" t="str">
        <f>IFERROR(IF(DB_Customers!A341&lt;&gt;"",DB_Customers!A341,""),"")</f>
        <v/>
      </c>
      <c r="C347" s="222" t="str">
        <f>IFERROR(IF(DB_Customers!D341&lt;&gt;"",DB_Customers!D341,""),"")</f>
        <v/>
      </c>
      <c r="D347" s="223" t="str">
        <f>IFERROR(IF(DB_Customers!Q341&lt;&gt;"",DB_Customers!Q341,""),"")</f>
        <v/>
      </c>
      <c r="E347" s="221" t="str">
        <f>IFERROR(IF(DB_Customers!R341&lt;&gt;"",DB_Customers!R341,""),"")</f>
        <v/>
      </c>
      <c r="F347" s="222" t="str">
        <f>IFERROR(IF(DB_Customers!S341&lt;&gt;"",DB_Customers!S341,""),"")</f>
        <v/>
      </c>
      <c r="G347" s="222" t="str">
        <f>IFERROR(IF(DB_Customers!G341&lt;&gt;"",DB_Customers!G341,""),"")</f>
        <v/>
      </c>
      <c r="H347" s="221" t="str">
        <f>IFERROR(IF(DB_Customers!H341&lt;&gt;"",DB_Customers!H341,""),"")</f>
        <v/>
      </c>
      <c r="I347" s="224" t="str">
        <f>IFERROR(IF(DB_Customers!I341&lt;&gt;"",DB_Customers!I341,""),"")</f>
        <v/>
      </c>
      <c r="J347" s="225" t="str">
        <f>IFERROR(IF(DB_Customers!J341&lt;&gt;"",DB_Customers!J341,""),"")</f>
        <v/>
      </c>
      <c r="K347" s="222" t="str">
        <f>IFERROR(IF(DB_Customers!E341&lt;&gt;"",DB_Customers!E341,""),"")</f>
        <v/>
      </c>
      <c r="L347" s="222" t="str">
        <f>IFERROR(IF(DB_Customers!F341&lt;&gt;"",DB_Customers!F341,""),"")</f>
        <v/>
      </c>
      <c r="M347" s="222" t="str">
        <f>IFERROR(IF(DB_Customers!T341&lt;&gt;"",DB_Customers!T341,""),"")</f>
        <v/>
      </c>
      <c r="N347" s="221" t="str">
        <f>IFERROR(IF(DB_Customers!A341&lt;&gt;"",IF(DB_Customers!I341&gt;=10,"Active","Inactive"),""),"")</f>
        <v/>
      </c>
    </row>
    <row r="348" spans="1:14" ht="18" customHeight="1" x14ac:dyDescent="0.25">
      <c r="A348" s="216" t="str">
        <f>IF(DB_Customers!A342&lt;&gt;"",ROW()-9,"")</f>
        <v/>
      </c>
      <c r="B348" s="216" t="str">
        <f>IFERROR(IF(DB_Customers!A342&lt;&gt;"",DB_Customers!A342,""),"")</f>
        <v/>
      </c>
      <c r="C348" s="217" t="str">
        <f>IFERROR(IF(DB_Customers!D342&lt;&gt;"",DB_Customers!D342,""),"")</f>
        <v/>
      </c>
      <c r="D348" s="218" t="str">
        <f>IFERROR(IF(DB_Customers!Q342&lt;&gt;"",DB_Customers!Q342,""),"")</f>
        <v/>
      </c>
      <c r="E348" s="216" t="str">
        <f>IFERROR(IF(DB_Customers!R342&lt;&gt;"",DB_Customers!R342,""),"")</f>
        <v/>
      </c>
      <c r="F348" s="217" t="str">
        <f>IFERROR(IF(DB_Customers!S342&lt;&gt;"",DB_Customers!S342,""),"")</f>
        <v/>
      </c>
      <c r="G348" s="217" t="str">
        <f>IFERROR(IF(DB_Customers!G342&lt;&gt;"",DB_Customers!G342,""),"")</f>
        <v/>
      </c>
      <c r="H348" s="216" t="str">
        <f>IFERROR(IF(DB_Customers!H342&lt;&gt;"",DB_Customers!H342,""),"")</f>
        <v/>
      </c>
      <c r="I348" s="219" t="str">
        <f>IFERROR(IF(DB_Customers!I342&lt;&gt;"",DB_Customers!I342,""),"")</f>
        <v/>
      </c>
      <c r="J348" s="220" t="str">
        <f>IFERROR(IF(DB_Customers!J342&lt;&gt;"",DB_Customers!J342,""),"")</f>
        <v/>
      </c>
      <c r="K348" s="217" t="str">
        <f>IFERROR(IF(DB_Customers!E342&lt;&gt;"",DB_Customers!E342,""),"")</f>
        <v/>
      </c>
      <c r="L348" s="217" t="str">
        <f>IFERROR(IF(DB_Customers!F342&lt;&gt;"",DB_Customers!F342,""),"")</f>
        <v/>
      </c>
      <c r="M348" s="217" t="str">
        <f>IFERROR(IF(DB_Customers!T342&lt;&gt;"",DB_Customers!T342,""),"")</f>
        <v/>
      </c>
      <c r="N348" s="216" t="str">
        <f>IFERROR(IF(DB_Customers!A342&lt;&gt;"",IF(DB_Customers!I342&gt;=10,"Active","Inactive"),""),"")</f>
        <v/>
      </c>
    </row>
    <row r="349" spans="1:14" ht="18" customHeight="1" x14ac:dyDescent="0.25">
      <c r="A349" s="221" t="str">
        <f>IF(DB_Customers!A343&lt;&gt;"",ROW()-9,"")</f>
        <v/>
      </c>
      <c r="B349" s="221" t="str">
        <f>IFERROR(IF(DB_Customers!A343&lt;&gt;"",DB_Customers!A343,""),"")</f>
        <v/>
      </c>
      <c r="C349" s="222" t="str">
        <f>IFERROR(IF(DB_Customers!D343&lt;&gt;"",DB_Customers!D343,""),"")</f>
        <v/>
      </c>
      <c r="D349" s="223" t="str">
        <f>IFERROR(IF(DB_Customers!Q343&lt;&gt;"",DB_Customers!Q343,""),"")</f>
        <v/>
      </c>
      <c r="E349" s="221" t="str">
        <f>IFERROR(IF(DB_Customers!R343&lt;&gt;"",DB_Customers!R343,""),"")</f>
        <v/>
      </c>
      <c r="F349" s="222" t="str">
        <f>IFERROR(IF(DB_Customers!S343&lt;&gt;"",DB_Customers!S343,""),"")</f>
        <v/>
      </c>
      <c r="G349" s="222" t="str">
        <f>IFERROR(IF(DB_Customers!G343&lt;&gt;"",DB_Customers!G343,""),"")</f>
        <v/>
      </c>
      <c r="H349" s="221" t="str">
        <f>IFERROR(IF(DB_Customers!H343&lt;&gt;"",DB_Customers!H343,""),"")</f>
        <v/>
      </c>
      <c r="I349" s="224" t="str">
        <f>IFERROR(IF(DB_Customers!I343&lt;&gt;"",DB_Customers!I343,""),"")</f>
        <v/>
      </c>
      <c r="J349" s="225" t="str">
        <f>IFERROR(IF(DB_Customers!J343&lt;&gt;"",DB_Customers!J343,""),"")</f>
        <v/>
      </c>
      <c r="K349" s="222" t="str">
        <f>IFERROR(IF(DB_Customers!E343&lt;&gt;"",DB_Customers!E343,""),"")</f>
        <v/>
      </c>
      <c r="L349" s="222" t="str">
        <f>IFERROR(IF(DB_Customers!F343&lt;&gt;"",DB_Customers!F343,""),"")</f>
        <v/>
      </c>
      <c r="M349" s="222" t="str">
        <f>IFERROR(IF(DB_Customers!T343&lt;&gt;"",DB_Customers!T343,""),"")</f>
        <v/>
      </c>
      <c r="N349" s="221" t="str">
        <f>IFERROR(IF(DB_Customers!A343&lt;&gt;"",IF(DB_Customers!I343&gt;=10,"Active","Inactive"),""),"")</f>
        <v/>
      </c>
    </row>
    <row r="350" spans="1:14" ht="18" customHeight="1" x14ac:dyDescent="0.25">
      <c r="A350" s="216" t="str">
        <f>IF(DB_Customers!A344&lt;&gt;"",ROW()-9,"")</f>
        <v/>
      </c>
      <c r="B350" s="216" t="str">
        <f>IFERROR(IF(DB_Customers!A344&lt;&gt;"",DB_Customers!A344,""),"")</f>
        <v/>
      </c>
      <c r="C350" s="217" t="str">
        <f>IFERROR(IF(DB_Customers!D344&lt;&gt;"",DB_Customers!D344,""),"")</f>
        <v/>
      </c>
      <c r="D350" s="218" t="str">
        <f>IFERROR(IF(DB_Customers!Q344&lt;&gt;"",DB_Customers!Q344,""),"")</f>
        <v/>
      </c>
      <c r="E350" s="216" t="str">
        <f>IFERROR(IF(DB_Customers!R344&lt;&gt;"",DB_Customers!R344,""),"")</f>
        <v/>
      </c>
      <c r="F350" s="217" t="str">
        <f>IFERROR(IF(DB_Customers!S344&lt;&gt;"",DB_Customers!S344,""),"")</f>
        <v/>
      </c>
      <c r="G350" s="217" t="str">
        <f>IFERROR(IF(DB_Customers!G344&lt;&gt;"",DB_Customers!G344,""),"")</f>
        <v/>
      </c>
      <c r="H350" s="216" t="str">
        <f>IFERROR(IF(DB_Customers!H344&lt;&gt;"",DB_Customers!H344,""),"")</f>
        <v/>
      </c>
      <c r="I350" s="219" t="str">
        <f>IFERROR(IF(DB_Customers!I344&lt;&gt;"",DB_Customers!I344,""),"")</f>
        <v/>
      </c>
      <c r="J350" s="220" t="str">
        <f>IFERROR(IF(DB_Customers!J344&lt;&gt;"",DB_Customers!J344,""),"")</f>
        <v/>
      </c>
      <c r="K350" s="217" t="str">
        <f>IFERROR(IF(DB_Customers!E344&lt;&gt;"",DB_Customers!E344,""),"")</f>
        <v/>
      </c>
      <c r="L350" s="217" t="str">
        <f>IFERROR(IF(DB_Customers!F344&lt;&gt;"",DB_Customers!F344,""),"")</f>
        <v/>
      </c>
      <c r="M350" s="217" t="str">
        <f>IFERROR(IF(DB_Customers!T344&lt;&gt;"",DB_Customers!T344,""),"")</f>
        <v/>
      </c>
      <c r="N350" s="216" t="str">
        <f>IFERROR(IF(DB_Customers!A344&lt;&gt;"",IF(DB_Customers!I344&gt;=10,"Active","Inactive"),""),"")</f>
        <v/>
      </c>
    </row>
    <row r="351" spans="1:14" ht="18" customHeight="1" x14ac:dyDescent="0.25">
      <c r="A351" s="221" t="str">
        <f>IF(DB_Customers!A345&lt;&gt;"",ROW()-9,"")</f>
        <v/>
      </c>
      <c r="B351" s="221" t="str">
        <f>IFERROR(IF(DB_Customers!A345&lt;&gt;"",DB_Customers!A345,""),"")</f>
        <v/>
      </c>
      <c r="C351" s="222" t="str">
        <f>IFERROR(IF(DB_Customers!D345&lt;&gt;"",DB_Customers!D345,""),"")</f>
        <v/>
      </c>
      <c r="D351" s="223" t="str">
        <f>IFERROR(IF(DB_Customers!Q345&lt;&gt;"",DB_Customers!Q345,""),"")</f>
        <v/>
      </c>
      <c r="E351" s="221" t="str">
        <f>IFERROR(IF(DB_Customers!R345&lt;&gt;"",DB_Customers!R345,""),"")</f>
        <v/>
      </c>
      <c r="F351" s="222" t="str">
        <f>IFERROR(IF(DB_Customers!S345&lt;&gt;"",DB_Customers!S345,""),"")</f>
        <v/>
      </c>
      <c r="G351" s="222" t="str">
        <f>IFERROR(IF(DB_Customers!G345&lt;&gt;"",DB_Customers!G345,""),"")</f>
        <v/>
      </c>
      <c r="H351" s="221" t="str">
        <f>IFERROR(IF(DB_Customers!H345&lt;&gt;"",DB_Customers!H345,""),"")</f>
        <v/>
      </c>
      <c r="I351" s="224" t="str">
        <f>IFERROR(IF(DB_Customers!I345&lt;&gt;"",DB_Customers!I345,""),"")</f>
        <v/>
      </c>
      <c r="J351" s="225" t="str">
        <f>IFERROR(IF(DB_Customers!J345&lt;&gt;"",DB_Customers!J345,""),"")</f>
        <v/>
      </c>
      <c r="K351" s="222" t="str">
        <f>IFERROR(IF(DB_Customers!E345&lt;&gt;"",DB_Customers!E345,""),"")</f>
        <v/>
      </c>
      <c r="L351" s="222" t="str">
        <f>IFERROR(IF(DB_Customers!F345&lt;&gt;"",DB_Customers!F345,""),"")</f>
        <v/>
      </c>
      <c r="M351" s="222" t="str">
        <f>IFERROR(IF(DB_Customers!T345&lt;&gt;"",DB_Customers!T345,""),"")</f>
        <v/>
      </c>
      <c r="N351" s="221" t="str">
        <f>IFERROR(IF(DB_Customers!A345&lt;&gt;"",IF(DB_Customers!I345&gt;=10,"Active","Inactive"),""),"")</f>
        <v/>
      </c>
    </row>
    <row r="352" spans="1:14" ht="18" customHeight="1" x14ac:dyDescent="0.25">
      <c r="A352" s="216" t="str">
        <f>IF(DB_Customers!A346&lt;&gt;"",ROW()-9,"")</f>
        <v/>
      </c>
      <c r="B352" s="216" t="str">
        <f>IFERROR(IF(DB_Customers!A346&lt;&gt;"",DB_Customers!A346,""),"")</f>
        <v/>
      </c>
      <c r="C352" s="217" t="str">
        <f>IFERROR(IF(DB_Customers!D346&lt;&gt;"",DB_Customers!D346,""),"")</f>
        <v/>
      </c>
      <c r="D352" s="218" t="str">
        <f>IFERROR(IF(DB_Customers!Q346&lt;&gt;"",DB_Customers!Q346,""),"")</f>
        <v/>
      </c>
      <c r="E352" s="216" t="str">
        <f>IFERROR(IF(DB_Customers!R346&lt;&gt;"",DB_Customers!R346,""),"")</f>
        <v/>
      </c>
      <c r="F352" s="217" t="str">
        <f>IFERROR(IF(DB_Customers!S346&lt;&gt;"",DB_Customers!S346,""),"")</f>
        <v/>
      </c>
      <c r="G352" s="217" t="str">
        <f>IFERROR(IF(DB_Customers!G346&lt;&gt;"",DB_Customers!G346,""),"")</f>
        <v/>
      </c>
      <c r="H352" s="216" t="str">
        <f>IFERROR(IF(DB_Customers!H346&lt;&gt;"",DB_Customers!H346,""),"")</f>
        <v/>
      </c>
      <c r="I352" s="219" t="str">
        <f>IFERROR(IF(DB_Customers!I346&lt;&gt;"",DB_Customers!I346,""),"")</f>
        <v/>
      </c>
      <c r="J352" s="220" t="str">
        <f>IFERROR(IF(DB_Customers!J346&lt;&gt;"",DB_Customers!J346,""),"")</f>
        <v/>
      </c>
      <c r="K352" s="217" t="str">
        <f>IFERROR(IF(DB_Customers!E346&lt;&gt;"",DB_Customers!E346,""),"")</f>
        <v/>
      </c>
      <c r="L352" s="217" t="str">
        <f>IFERROR(IF(DB_Customers!F346&lt;&gt;"",DB_Customers!F346,""),"")</f>
        <v/>
      </c>
      <c r="M352" s="217" t="str">
        <f>IFERROR(IF(DB_Customers!T346&lt;&gt;"",DB_Customers!T346,""),"")</f>
        <v/>
      </c>
      <c r="N352" s="216" t="str">
        <f>IFERROR(IF(DB_Customers!A346&lt;&gt;"",IF(DB_Customers!I346&gt;=10,"Active","Inactive"),""),"")</f>
        <v/>
      </c>
    </row>
    <row r="353" spans="1:14" ht="18" customHeight="1" x14ac:dyDescent="0.25">
      <c r="A353" s="221" t="str">
        <f>IF(DB_Customers!A347&lt;&gt;"",ROW()-9,"")</f>
        <v/>
      </c>
      <c r="B353" s="221" t="str">
        <f>IFERROR(IF(DB_Customers!A347&lt;&gt;"",DB_Customers!A347,""),"")</f>
        <v/>
      </c>
      <c r="C353" s="222" t="str">
        <f>IFERROR(IF(DB_Customers!D347&lt;&gt;"",DB_Customers!D347,""),"")</f>
        <v/>
      </c>
      <c r="D353" s="223" t="str">
        <f>IFERROR(IF(DB_Customers!Q347&lt;&gt;"",DB_Customers!Q347,""),"")</f>
        <v/>
      </c>
      <c r="E353" s="221" t="str">
        <f>IFERROR(IF(DB_Customers!R347&lt;&gt;"",DB_Customers!R347,""),"")</f>
        <v/>
      </c>
      <c r="F353" s="222" t="str">
        <f>IFERROR(IF(DB_Customers!S347&lt;&gt;"",DB_Customers!S347,""),"")</f>
        <v/>
      </c>
      <c r="G353" s="222" t="str">
        <f>IFERROR(IF(DB_Customers!G347&lt;&gt;"",DB_Customers!G347,""),"")</f>
        <v/>
      </c>
      <c r="H353" s="221" t="str">
        <f>IFERROR(IF(DB_Customers!H347&lt;&gt;"",DB_Customers!H347,""),"")</f>
        <v/>
      </c>
      <c r="I353" s="224" t="str">
        <f>IFERROR(IF(DB_Customers!I347&lt;&gt;"",DB_Customers!I347,""),"")</f>
        <v/>
      </c>
      <c r="J353" s="225" t="str">
        <f>IFERROR(IF(DB_Customers!J347&lt;&gt;"",DB_Customers!J347,""),"")</f>
        <v/>
      </c>
      <c r="K353" s="222" t="str">
        <f>IFERROR(IF(DB_Customers!E347&lt;&gt;"",DB_Customers!E347,""),"")</f>
        <v/>
      </c>
      <c r="L353" s="222" t="str">
        <f>IFERROR(IF(DB_Customers!F347&lt;&gt;"",DB_Customers!F347,""),"")</f>
        <v/>
      </c>
      <c r="M353" s="222" t="str">
        <f>IFERROR(IF(DB_Customers!T347&lt;&gt;"",DB_Customers!T347,""),"")</f>
        <v/>
      </c>
      <c r="N353" s="221" t="str">
        <f>IFERROR(IF(DB_Customers!A347&lt;&gt;"",IF(DB_Customers!I347&gt;=10,"Active","Inactive"),""),"")</f>
        <v/>
      </c>
    </row>
    <row r="354" spans="1:14" ht="18" customHeight="1" x14ac:dyDescent="0.25">
      <c r="A354" s="216" t="str">
        <f>IF(DB_Customers!A348&lt;&gt;"",ROW()-9,"")</f>
        <v/>
      </c>
      <c r="B354" s="216" t="str">
        <f>IFERROR(IF(DB_Customers!A348&lt;&gt;"",DB_Customers!A348,""),"")</f>
        <v/>
      </c>
      <c r="C354" s="217" t="str">
        <f>IFERROR(IF(DB_Customers!D348&lt;&gt;"",DB_Customers!D348,""),"")</f>
        <v/>
      </c>
      <c r="D354" s="218" t="str">
        <f>IFERROR(IF(DB_Customers!Q348&lt;&gt;"",DB_Customers!Q348,""),"")</f>
        <v/>
      </c>
      <c r="E354" s="216" t="str">
        <f>IFERROR(IF(DB_Customers!R348&lt;&gt;"",DB_Customers!R348,""),"")</f>
        <v/>
      </c>
      <c r="F354" s="217" t="str">
        <f>IFERROR(IF(DB_Customers!S348&lt;&gt;"",DB_Customers!S348,""),"")</f>
        <v/>
      </c>
      <c r="G354" s="217" t="str">
        <f>IFERROR(IF(DB_Customers!G348&lt;&gt;"",DB_Customers!G348,""),"")</f>
        <v/>
      </c>
      <c r="H354" s="216" t="str">
        <f>IFERROR(IF(DB_Customers!H348&lt;&gt;"",DB_Customers!H348,""),"")</f>
        <v/>
      </c>
      <c r="I354" s="219" t="str">
        <f>IFERROR(IF(DB_Customers!I348&lt;&gt;"",DB_Customers!I348,""),"")</f>
        <v/>
      </c>
      <c r="J354" s="220" t="str">
        <f>IFERROR(IF(DB_Customers!J348&lt;&gt;"",DB_Customers!J348,""),"")</f>
        <v/>
      </c>
      <c r="K354" s="217" t="str">
        <f>IFERROR(IF(DB_Customers!E348&lt;&gt;"",DB_Customers!E348,""),"")</f>
        <v/>
      </c>
      <c r="L354" s="217" t="str">
        <f>IFERROR(IF(DB_Customers!F348&lt;&gt;"",DB_Customers!F348,""),"")</f>
        <v/>
      </c>
      <c r="M354" s="217" t="str">
        <f>IFERROR(IF(DB_Customers!T348&lt;&gt;"",DB_Customers!T348,""),"")</f>
        <v/>
      </c>
      <c r="N354" s="216" t="str">
        <f>IFERROR(IF(DB_Customers!A348&lt;&gt;"",IF(DB_Customers!I348&gt;=10,"Active","Inactive"),""),"")</f>
        <v/>
      </c>
    </row>
    <row r="355" spans="1:14" ht="18" customHeight="1" x14ac:dyDescent="0.25">
      <c r="A355" s="221" t="str">
        <f>IF(DB_Customers!A349&lt;&gt;"",ROW()-9,"")</f>
        <v/>
      </c>
      <c r="B355" s="221" t="str">
        <f>IFERROR(IF(DB_Customers!A349&lt;&gt;"",DB_Customers!A349,""),"")</f>
        <v/>
      </c>
      <c r="C355" s="222" t="str">
        <f>IFERROR(IF(DB_Customers!D349&lt;&gt;"",DB_Customers!D349,""),"")</f>
        <v/>
      </c>
      <c r="D355" s="223" t="str">
        <f>IFERROR(IF(DB_Customers!Q349&lt;&gt;"",DB_Customers!Q349,""),"")</f>
        <v/>
      </c>
      <c r="E355" s="221" t="str">
        <f>IFERROR(IF(DB_Customers!R349&lt;&gt;"",DB_Customers!R349,""),"")</f>
        <v/>
      </c>
      <c r="F355" s="222" t="str">
        <f>IFERROR(IF(DB_Customers!S349&lt;&gt;"",DB_Customers!S349,""),"")</f>
        <v/>
      </c>
      <c r="G355" s="222" t="str">
        <f>IFERROR(IF(DB_Customers!G349&lt;&gt;"",DB_Customers!G349,""),"")</f>
        <v/>
      </c>
      <c r="H355" s="221" t="str">
        <f>IFERROR(IF(DB_Customers!H349&lt;&gt;"",DB_Customers!H349,""),"")</f>
        <v/>
      </c>
      <c r="I355" s="224" t="str">
        <f>IFERROR(IF(DB_Customers!I349&lt;&gt;"",DB_Customers!I349,""),"")</f>
        <v/>
      </c>
      <c r="J355" s="225" t="str">
        <f>IFERROR(IF(DB_Customers!J349&lt;&gt;"",DB_Customers!J349,""),"")</f>
        <v/>
      </c>
      <c r="K355" s="222" t="str">
        <f>IFERROR(IF(DB_Customers!E349&lt;&gt;"",DB_Customers!E349,""),"")</f>
        <v/>
      </c>
      <c r="L355" s="222" t="str">
        <f>IFERROR(IF(DB_Customers!F349&lt;&gt;"",DB_Customers!F349,""),"")</f>
        <v/>
      </c>
      <c r="M355" s="222" t="str">
        <f>IFERROR(IF(DB_Customers!T349&lt;&gt;"",DB_Customers!T349,""),"")</f>
        <v/>
      </c>
      <c r="N355" s="221" t="str">
        <f>IFERROR(IF(DB_Customers!A349&lt;&gt;"",IF(DB_Customers!I349&gt;=10,"Active","Inactive"),""),"")</f>
        <v/>
      </c>
    </row>
    <row r="356" spans="1:14" ht="18" customHeight="1" x14ac:dyDescent="0.25">
      <c r="A356" s="216" t="str">
        <f>IF(DB_Customers!A350&lt;&gt;"",ROW()-9,"")</f>
        <v/>
      </c>
      <c r="B356" s="216" t="str">
        <f>IFERROR(IF(DB_Customers!A350&lt;&gt;"",DB_Customers!A350,""),"")</f>
        <v/>
      </c>
      <c r="C356" s="217" t="str">
        <f>IFERROR(IF(DB_Customers!D350&lt;&gt;"",DB_Customers!D350,""),"")</f>
        <v/>
      </c>
      <c r="D356" s="218" t="str">
        <f>IFERROR(IF(DB_Customers!Q350&lt;&gt;"",DB_Customers!Q350,""),"")</f>
        <v/>
      </c>
      <c r="E356" s="216" t="str">
        <f>IFERROR(IF(DB_Customers!R350&lt;&gt;"",DB_Customers!R350,""),"")</f>
        <v/>
      </c>
      <c r="F356" s="217" t="str">
        <f>IFERROR(IF(DB_Customers!S350&lt;&gt;"",DB_Customers!S350,""),"")</f>
        <v/>
      </c>
      <c r="G356" s="217" t="str">
        <f>IFERROR(IF(DB_Customers!G350&lt;&gt;"",DB_Customers!G350,""),"")</f>
        <v/>
      </c>
      <c r="H356" s="216" t="str">
        <f>IFERROR(IF(DB_Customers!H350&lt;&gt;"",DB_Customers!H350,""),"")</f>
        <v/>
      </c>
      <c r="I356" s="219" t="str">
        <f>IFERROR(IF(DB_Customers!I350&lt;&gt;"",DB_Customers!I350,""),"")</f>
        <v/>
      </c>
      <c r="J356" s="220" t="str">
        <f>IFERROR(IF(DB_Customers!J350&lt;&gt;"",DB_Customers!J350,""),"")</f>
        <v/>
      </c>
      <c r="K356" s="217" t="str">
        <f>IFERROR(IF(DB_Customers!E350&lt;&gt;"",DB_Customers!E350,""),"")</f>
        <v/>
      </c>
      <c r="L356" s="217" t="str">
        <f>IFERROR(IF(DB_Customers!F350&lt;&gt;"",DB_Customers!F350,""),"")</f>
        <v/>
      </c>
      <c r="M356" s="217" t="str">
        <f>IFERROR(IF(DB_Customers!T350&lt;&gt;"",DB_Customers!T350,""),"")</f>
        <v/>
      </c>
      <c r="N356" s="216" t="str">
        <f>IFERROR(IF(DB_Customers!A350&lt;&gt;"",IF(DB_Customers!I350&gt;=10,"Active","Inactive"),""),"")</f>
        <v/>
      </c>
    </row>
    <row r="357" spans="1:14" ht="18" customHeight="1" x14ac:dyDescent="0.25">
      <c r="A357" s="221" t="str">
        <f>IF(DB_Customers!A351&lt;&gt;"",ROW()-9,"")</f>
        <v/>
      </c>
      <c r="B357" s="221" t="str">
        <f>IFERROR(IF(DB_Customers!A351&lt;&gt;"",DB_Customers!A351,""),"")</f>
        <v/>
      </c>
      <c r="C357" s="222" t="str">
        <f>IFERROR(IF(DB_Customers!D351&lt;&gt;"",DB_Customers!D351,""),"")</f>
        <v/>
      </c>
      <c r="D357" s="223" t="str">
        <f>IFERROR(IF(DB_Customers!Q351&lt;&gt;"",DB_Customers!Q351,""),"")</f>
        <v/>
      </c>
      <c r="E357" s="221" t="str">
        <f>IFERROR(IF(DB_Customers!R351&lt;&gt;"",DB_Customers!R351,""),"")</f>
        <v/>
      </c>
      <c r="F357" s="222" t="str">
        <f>IFERROR(IF(DB_Customers!S351&lt;&gt;"",DB_Customers!S351,""),"")</f>
        <v/>
      </c>
      <c r="G357" s="222" t="str">
        <f>IFERROR(IF(DB_Customers!G351&lt;&gt;"",DB_Customers!G351,""),"")</f>
        <v/>
      </c>
      <c r="H357" s="221" t="str">
        <f>IFERROR(IF(DB_Customers!H351&lt;&gt;"",DB_Customers!H351,""),"")</f>
        <v/>
      </c>
      <c r="I357" s="224" t="str">
        <f>IFERROR(IF(DB_Customers!I351&lt;&gt;"",DB_Customers!I351,""),"")</f>
        <v/>
      </c>
      <c r="J357" s="225" t="str">
        <f>IFERROR(IF(DB_Customers!J351&lt;&gt;"",DB_Customers!J351,""),"")</f>
        <v/>
      </c>
      <c r="K357" s="222" t="str">
        <f>IFERROR(IF(DB_Customers!E351&lt;&gt;"",DB_Customers!E351,""),"")</f>
        <v/>
      </c>
      <c r="L357" s="222" t="str">
        <f>IFERROR(IF(DB_Customers!F351&lt;&gt;"",DB_Customers!F351,""),"")</f>
        <v/>
      </c>
      <c r="M357" s="222" t="str">
        <f>IFERROR(IF(DB_Customers!T351&lt;&gt;"",DB_Customers!T351,""),"")</f>
        <v/>
      </c>
      <c r="N357" s="221" t="str">
        <f>IFERROR(IF(DB_Customers!A351&lt;&gt;"",IF(DB_Customers!I351&gt;=10,"Active","Inactive"),""),"")</f>
        <v/>
      </c>
    </row>
    <row r="358" spans="1:14" ht="18" customHeight="1" x14ac:dyDescent="0.25">
      <c r="A358" s="216" t="str">
        <f>IF(DB_Customers!A352&lt;&gt;"",ROW()-9,"")</f>
        <v/>
      </c>
      <c r="B358" s="216" t="str">
        <f>IFERROR(IF(DB_Customers!A352&lt;&gt;"",DB_Customers!A352,""),"")</f>
        <v/>
      </c>
      <c r="C358" s="217" t="str">
        <f>IFERROR(IF(DB_Customers!D352&lt;&gt;"",DB_Customers!D352,""),"")</f>
        <v/>
      </c>
      <c r="D358" s="218" t="str">
        <f>IFERROR(IF(DB_Customers!Q352&lt;&gt;"",DB_Customers!Q352,""),"")</f>
        <v/>
      </c>
      <c r="E358" s="216" t="str">
        <f>IFERROR(IF(DB_Customers!R352&lt;&gt;"",DB_Customers!R352,""),"")</f>
        <v/>
      </c>
      <c r="F358" s="217" t="str">
        <f>IFERROR(IF(DB_Customers!S352&lt;&gt;"",DB_Customers!S352,""),"")</f>
        <v/>
      </c>
      <c r="G358" s="217" t="str">
        <f>IFERROR(IF(DB_Customers!G352&lt;&gt;"",DB_Customers!G352,""),"")</f>
        <v/>
      </c>
      <c r="H358" s="216" t="str">
        <f>IFERROR(IF(DB_Customers!H352&lt;&gt;"",DB_Customers!H352,""),"")</f>
        <v/>
      </c>
      <c r="I358" s="219" t="str">
        <f>IFERROR(IF(DB_Customers!I352&lt;&gt;"",DB_Customers!I352,""),"")</f>
        <v/>
      </c>
      <c r="J358" s="220" t="str">
        <f>IFERROR(IF(DB_Customers!J352&lt;&gt;"",DB_Customers!J352,""),"")</f>
        <v/>
      </c>
      <c r="K358" s="217" t="str">
        <f>IFERROR(IF(DB_Customers!E352&lt;&gt;"",DB_Customers!E352,""),"")</f>
        <v/>
      </c>
      <c r="L358" s="217" t="str">
        <f>IFERROR(IF(DB_Customers!F352&lt;&gt;"",DB_Customers!F352,""),"")</f>
        <v/>
      </c>
      <c r="M358" s="217" t="str">
        <f>IFERROR(IF(DB_Customers!T352&lt;&gt;"",DB_Customers!T352,""),"")</f>
        <v/>
      </c>
      <c r="N358" s="216" t="str">
        <f>IFERROR(IF(DB_Customers!A352&lt;&gt;"",IF(DB_Customers!I352&gt;=10,"Active","Inactive"),""),"")</f>
        <v/>
      </c>
    </row>
    <row r="359" spans="1:14" ht="18" customHeight="1" x14ac:dyDescent="0.25">
      <c r="A359" s="221" t="str">
        <f>IF(DB_Customers!A353&lt;&gt;"",ROW()-9,"")</f>
        <v/>
      </c>
      <c r="B359" s="221" t="str">
        <f>IFERROR(IF(DB_Customers!A353&lt;&gt;"",DB_Customers!A353,""),"")</f>
        <v/>
      </c>
      <c r="C359" s="222" t="str">
        <f>IFERROR(IF(DB_Customers!D353&lt;&gt;"",DB_Customers!D353,""),"")</f>
        <v/>
      </c>
      <c r="D359" s="223" t="str">
        <f>IFERROR(IF(DB_Customers!Q353&lt;&gt;"",DB_Customers!Q353,""),"")</f>
        <v/>
      </c>
      <c r="E359" s="221" t="str">
        <f>IFERROR(IF(DB_Customers!R353&lt;&gt;"",DB_Customers!R353,""),"")</f>
        <v/>
      </c>
      <c r="F359" s="222" t="str">
        <f>IFERROR(IF(DB_Customers!S353&lt;&gt;"",DB_Customers!S353,""),"")</f>
        <v/>
      </c>
      <c r="G359" s="222" t="str">
        <f>IFERROR(IF(DB_Customers!G353&lt;&gt;"",DB_Customers!G353,""),"")</f>
        <v/>
      </c>
      <c r="H359" s="221" t="str">
        <f>IFERROR(IF(DB_Customers!H353&lt;&gt;"",DB_Customers!H353,""),"")</f>
        <v/>
      </c>
      <c r="I359" s="224" t="str">
        <f>IFERROR(IF(DB_Customers!I353&lt;&gt;"",DB_Customers!I353,""),"")</f>
        <v/>
      </c>
      <c r="J359" s="225" t="str">
        <f>IFERROR(IF(DB_Customers!J353&lt;&gt;"",DB_Customers!J353,""),"")</f>
        <v/>
      </c>
      <c r="K359" s="222" t="str">
        <f>IFERROR(IF(DB_Customers!E353&lt;&gt;"",DB_Customers!E353,""),"")</f>
        <v/>
      </c>
      <c r="L359" s="222" t="str">
        <f>IFERROR(IF(DB_Customers!F353&lt;&gt;"",DB_Customers!F353,""),"")</f>
        <v/>
      </c>
      <c r="M359" s="222" t="str">
        <f>IFERROR(IF(DB_Customers!T353&lt;&gt;"",DB_Customers!T353,""),"")</f>
        <v/>
      </c>
      <c r="N359" s="221" t="str">
        <f>IFERROR(IF(DB_Customers!A353&lt;&gt;"",IF(DB_Customers!I353&gt;=10,"Active","Inactive"),""),"")</f>
        <v/>
      </c>
    </row>
    <row r="360" spans="1:14" ht="18" customHeight="1" x14ac:dyDescent="0.25">
      <c r="A360" s="216" t="str">
        <f>IF(DB_Customers!A354&lt;&gt;"",ROW()-9,"")</f>
        <v/>
      </c>
      <c r="B360" s="216" t="str">
        <f>IFERROR(IF(DB_Customers!A354&lt;&gt;"",DB_Customers!A354,""),"")</f>
        <v/>
      </c>
      <c r="C360" s="217" t="str">
        <f>IFERROR(IF(DB_Customers!D354&lt;&gt;"",DB_Customers!D354,""),"")</f>
        <v/>
      </c>
      <c r="D360" s="218" t="str">
        <f>IFERROR(IF(DB_Customers!Q354&lt;&gt;"",DB_Customers!Q354,""),"")</f>
        <v/>
      </c>
      <c r="E360" s="216" t="str">
        <f>IFERROR(IF(DB_Customers!R354&lt;&gt;"",DB_Customers!R354,""),"")</f>
        <v/>
      </c>
      <c r="F360" s="217" t="str">
        <f>IFERROR(IF(DB_Customers!S354&lt;&gt;"",DB_Customers!S354,""),"")</f>
        <v/>
      </c>
      <c r="G360" s="217" t="str">
        <f>IFERROR(IF(DB_Customers!G354&lt;&gt;"",DB_Customers!G354,""),"")</f>
        <v/>
      </c>
      <c r="H360" s="216" t="str">
        <f>IFERROR(IF(DB_Customers!H354&lt;&gt;"",DB_Customers!H354,""),"")</f>
        <v/>
      </c>
      <c r="I360" s="219" t="str">
        <f>IFERROR(IF(DB_Customers!I354&lt;&gt;"",DB_Customers!I354,""),"")</f>
        <v/>
      </c>
      <c r="J360" s="220" t="str">
        <f>IFERROR(IF(DB_Customers!J354&lt;&gt;"",DB_Customers!J354,""),"")</f>
        <v/>
      </c>
      <c r="K360" s="217" t="str">
        <f>IFERROR(IF(DB_Customers!E354&lt;&gt;"",DB_Customers!E354,""),"")</f>
        <v/>
      </c>
      <c r="L360" s="217" t="str">
        <f>IFERROR(IF(DB_Customers!F354&lt;&gt;"",DB_Customers!F354,""),"")</f>
        <v/>
      </c>
      <c r="M360" s="217" t="str">
        <f>IFERROR(IF(DB_Customers!T354&lt;&gt;"",DB_Customers!T354,""),"")</f>
        <v/>
      </c>
      <c r="N360" s="216" t="str">
        <f>IFERROR(IF(DB_Customers!A354&lt;&gt;"",IF(DB_Customers!I354&gt;=10,"Active","Inactive"),""),"")</f>
        <v/>
      </c>
    </row>
    <row r="361" spans="1:14" ht="18" customHeight="1" x14ac:dyDescent="0.25">
      <c r="A361" s="221" t="str">
        <f>IF(DB_Customers!A355&lt;&gt;"",ROW()-9,"")</f>
        <v/>
      </c>
      <c r="B361" s="221" t="str">
        <f>IFERROR(IF(DB_Customers!A355&lt;&gt;"",DB_Customers!A355,""),"")</f>
        <v/>
      </c>
      <c r="C361" s="222" t="str">
        <f>IFERROR(IF(DB_Customers!D355&lt;&gt;"",DB_Customers!D355,""),"")</f>
        <v/>
      </c>
      <c r="D361" s="223" t="str">
        <f>IFERROR(IF(DB_Customers!Q355&lt;&gt;"",DB_Customers!Q355,""),"")</f>
        <v/>
      </c>
      <c r="E361" s="221" t="str">
        <f>IFERROR(IF(DB_Customers!R355&lt;&gt;"",DB_Customers!R355,""),"")</f>
        <v/>
      </c>
      <c r="F361" s="222" t="str">
        <f>IFERROR(IF(DB_Customers!S355&lt;&gt;"",DB_Customers!S355,""),"")</f>
        <v/>
      </c>
      <c r="G361" s="222" t="str">
        <f>IFERROR(IF(DB_Customers!G355&lt;&gt;"",DB_Customers!G355,""),"")</f>
        <v/>
      </c>
      <c r="H361" s="221" t="str">
        <f>IFERROR(IF(DB_Customers!H355&lt;&gt;"",DB_Customers!H355,""),"")</f>
        <v/>
      </c>
      <c r="I361" s="224" t="str">
        <f>IFERROR(IF(DB_Customers!I355&lt;&gt;"",DB_Customers!I355,""),"")</f>
        <v/>
      </c>
      <c r="J361" s="225" t="str">
        <f>IFERROR(IF(DB_Customers!J355&lt;&gt;"",DB_Customers!J355,""),"")</f>
        <v/>
      </c>
      <c r="K361" s="222" t="str">
        <f>IFERROR(IF(DB_Customers!E355&lt;&gt;"",DB_Customers!E355,""),"")</f>
        <v/>
      </c>
      <c r="L361" s="222" t="str">
        <f>IFERROR(IF(DB_Customers!F355&lt;&gt;"",DB_Customers!F355,""),"")</f>
        <v/>
      </c>
      <c r="M361" s="222" t="str">
        <f>IFERROR(IF(DB_Customers!T355&lt;&gt;"",DB_Customers!T355,""),"")</f>
        <v/>
      </c>
      <c r="N361" s="221" t="str">
        <f>IFERROR(IF(DB_Customers!A355&lt;&gt;"",IF(DB_Customers!I355&gt;=10,"Active","Inactive"),""),"")</f>
        <v/>
      </c>
    </row>
    <row r="362" spans="1:14" ht="18" customHeight="1" x14ac:dyDescent="0.25">
      <c r="A362" s="216" t="str">
        <f>IF(DB_Customers!A356&lt;&gt;"",ROW()-9,"")</f>
        <v/>
      </c>
      <c r="B362" s="216" t="str">
        <f>IFERROR(IF(DB_Customers!A356&lt;&gt;"",DB_Customers!A356,""),"")</f>
        <v/>
      </c>
      <c r="C362" s="217" t="str">
        <f>IFERROR(IF(DB_Customers!D356&lt;&gt;"",DB_Customers!D356,""),"")</f>
        <v/>
      </c>
      <c r="D362" s="218" t="str">
        <f>IFERROR(IF(DB_Customers!Q356&lt;&gt;"",DB_Customers!Q356,""),"")</f>
        <v/>
      </c>
      <c r="E362" s="216" t="str">
        <f>IFERROR(IF(DB_Customers!R356&lt;&gt;"",DB_Customers!R356,""),"")</f>
        <v/>
      </c>
      <c r="F362" s="217" t="str">
        <f>IFERROR(IF(DB_Customers!S356&lt;&gt;"",DB_Customers!S356,""),"")</f>
        <v/>
      </c>
      <c r="G362" s="217" t="str">
        <f>IFERROR(IF(DB_Customers!G356&lt;&gt;"",DB_Customers!G356,""),"")</f>
        <v/>
      </c>
      <c r="H362" s="216" t="str">
        <f>IFERROR(IF(DB_Customers!H356&lt;&gt;"",DB_Customers!H356,""),"")</f>
        <v/>
      </c>
      <c r="I362" s="219" t="str">
        <f>IFERROR(IF(DB_Customers!I356&lt;&gt;"",DB_Customers!I356,""),"")</f>
        <v/>
      </c>
      <c r="J362" s="220" t="str">
        <f>IFERROR(IF(DB_Customers!J356&lt;&gt;"",DB_Customers!J356,""),"")</f>
        <v/>
      </c>
      <c r="K362" s="217" t="str">
        <f>IFERROR(IF(DB_Customers!E356&lt;&gt;"",DB_Customers!E356,""),"")</f>
        <v/>
      </c>
      <c r="L362" s="217" t="str">
        <f>IFERROR(IF(DB_Customers!F356&lt;&gt;"",DB_Customers!F356,""),"")</f>
        <v/>
      </c>
      <c r="M362" s="217" t="str">
        <f>IFERROR(IF(DB_Customers!T356&lt;&gt;"",DB_Customers!T356,""),"")</f>
        <v/>
      </c>
      <c r="N362" s="216" t="str">
        <f>IFERROR(IF(DB_Customers!A356&lt;&gt;"",IF(DB_Customers!I356&gt;=10,"Active","Inactive"),""),"")</f>
        <v/>
      </c>
    </row>
    <row r="363" spans="1:14" ht="18" customHeight="1" x14ac:dyDescent="0.25">
      <c r="A363" s="221" t="str">
        <f>IF(DB_Customers!A357&lt;&gt;"",ROW()-9,"")</f>
        <v/>
      </c>
      <c r="B363" s="221" t="str">
        <f>IFERROR(IF(DB_Customers!A357&lt;&gt;"",DB_Customers!A357,""),"")</f>
        <v/>
      </c>
      <c r="C363" s="222" t="str">
        <f>IFERROR(IF(DB_Customers!D357&lt;&gt;"",DB_Customers!D357,""),"")</f>
        <v/>
      </c>
      <c r="D363" s="223" t="str">
        <f>IFERROR(IF(DB_Customers!Q357&lt;&gt;"",DB_Customers!Q357,""),"")</f>
        <v/>
      </c>
      <c r="E363" s="221" t="str">
        <f>IFERROR(IF(DB_Customers!R357&lt;&gt;"",DB_Customers!R357,""),"")</f>
        <v/>
      </c>
      <c r="F363" s="222" t="str">
        <f>IFERROR(IF(DB_Customers!S357&lt;&gt;"",DB_Customers!S357,""),"")</f>
        <v/>
      </c>
      <c r="G363" s="222" t="str">
        <f>IFERROR(IF(DB_Customers!G357&lt;&gt;"",DB_Customers!G357,""),"")</f>
        <v/>
      </c>
      <c r="H363" s="221" t="str">
        <f>IFERROR(IF(DB_Customers!H357&lt;&gt;"",DB_Customers!H357,""),"")</f>
        <v/>
      </c>
      <c r="I363" s="224" t="str">
        <f>IFERROR(IF(DB_Customers!I357&lt;&gt;"",DB_Customers!I357,""),"")</f>
        <v/>
      </c>
      <c r="J363" s="225" t="str">
        <f>IFERROR(IF(DB_Customers!J357&lt;&gt;"",DB_Customers!J357,""),"")</f>
        <v/>
      </c>
      <c r="K363" s="222" t="str">
        <f>IFERROR(IF(DB_Customers!E357&lt;&gt;"",DB_Customers!E357,""),"")</f>
        <v/>
      </c>
      <c r="L363" s="222" t="str">
        <f>IFERROR(IF(DB_Customers!F357&lt;&gt;"",DB_Customers!F357,""),"")</f>
        <v/>
      </c>
      <c r="M363" s="222" t="str">
        <f>IFERROR(IF(DB_Customers!T357&lt;&gt;"",DB_Customers!T357,""),"")</f>
        <v/>
      </c>
      <c r="N363" s="221" t="str">
        <f>IFERROR(IF(DB_Customers!A357&lt;&gt;"",IF(DB_Customers!I357&gt;=10,"Active","Inactive"),""),"")</f>
        <v/>
      </c>
    </row>
    <row r="364" spans="1:14" ht="18" customHeight="1" x14ac:dyDescent="0.25">
      <c r="A364" s="216" t="str">
        <f>IF(DB_Customers!A358&lt;&gt;"",ROW()-9,"")</f>
        <v/>
      </c>
      <c r="B364" s="216" t="str">
        <f>IFERROR(IF(DB_Customers!A358&lt;&gt;"",DB_Customers!A358,""),"")</f>
        <v/>
      </c>
      <c r="C364" s="217" t="str">
        <f>IFERROR(IF(DB_Customers!D358&lt;&gt;"",DB_Customers!D358,""),"")</f>
        <v/>
      </c>
      <c r="D364" s="218" t="str">
        <f>IFERROR(IF(DB_Customers!Q358&lt;&gt;"",DB_Customers!Q358,""),"")</f>
        <v/>
      </c>
      <c r="E364" s="216" t="str">
        <f>IFERROR(IF(DB_Customers!R358&lt;&gt;"",DB_Customers!R358,""),"")</f>
        <v/>
      </c>
      <c r="F364" s="217" t="str">
        <f>IFERROR(IF(DB_Customers!S358&lt;&gt;"",DB_Customers!S358,""),"")</f>
        <v/>
      </c>
      <c r="G364" s="217" t="str">
        <f>IFERROR(IF(DB_Customers!G358&lt;&gt;"",DB_Customers!G358,""),"")</f>
        <v/>
      </c>
      <c r="H364" s="216" t="str">
        <f>IFERROR(IF(DB_Customers!H358&lt;&gt;"",DB_Customers!H358,""),"")</f>
        <v/>
      </c>
      <c r="I364" s="219" t="str">
        <f>IFERROR(IF(DB_Customers!I358&lt;&gt;"",DB_Customers!I358,""),"")</f>
        <v/>
      </c>
      <c r="J364" s="220" t="str">
        <f>IFERROR(IF(DB_Customers!J358&lt;&gt;"",DB_Customers!J358,""),"")</f>
        <v/>
      </c>
      <c r="K364" s="217" t="str">
        <f>IFERROR(IF(DB_Customers!E358&lt;&gt;"",DB_Customers!E358,""),"")</f>
        <v/>
      </c>
      <c r="L364" s="217" t="str">
        <f>IFERROR(IF(DB_Customers!F358&lt;&gt;"",DB_Customers!F358,""),"")</f>
        <v/>
      </c>
      <c r="M364" s="217" t="str">
        <f>IFERROR(IF(DB_Customers!T358&lt;&gt;"",DB_Customers!T358,""),"")</f>
        <v/>
      </c>
      <c r="N364" s="216" t="str">
        <f>IFERROR(IF(DB_Customers!A358&lt;&gt;"",IF(DB_Customers!I358&gt;=10,"Active","Inactive"),""),"")</f>
        <v/>
      </c>
    </row>
    <row r="365" spans="1:14" ht="18" customHeight="1" x14ac:dyDescent="0.25">
      <c r="A365" s="221" t="str">
        <f>IF(DB_Customers!A359&lt;&gt;"",ROW()-9,"")</f>
        <v/>
      </c>
      <c r="B365" s="221" t="str">
        <f>IFERROR(IF(DB_Customers!A359&lt;&gt;"",DB_Customers!A359,""),"")</f>
        <v/>
      </c>
      <c r="C365" s="222" t="str">
        <f>IFERROR(IF(DB_Customers!D359&lt;&gt;"",DB_Customers!D359,""),"")</f>
        <v/>
      </c>
      <c r="D365" s="223" t="str">
        <f>IFERROR(IF(DB_Customers!Q359&lt;&gt;"",DB_Customers!Q359,""),"")</f>
        <v/>
      </c>
      <c r="E365" s="221" t="str">
        <f>IFERROR(IF(DB_Customers!R359&lt;&gt;"",DB_Customers!R359,""),"")</f>
        <v/>
      </c>
      <c r="F365" s="222" t="str">
        <f>IFERROR(IF(DB_Customers!S359&lt;&gt;"",DB_Customers!S359,""),"")</f>
        <v/>
      </c>
      <c r="G365" s="222" t="str">
        <f>IFERROR(IF(DB_Customers!G359&lt;&gt;"",DB_Customers!G359,""),"")</f>
        <v/>
      </c>
      <c r="H365" s="221" t="str">
        <f>IFERROR(IF(DB_Customers!H359&lt;&gt;"",DB_Customers!H359,""),"")</f>
        <v/>
      </c>
      <c r="I365" s="224" t="str">
        <f>IFERROR(IF(DB_Customers!I359&lt;&gt;"",DB_Customers!I359,""),"")</f>
        <v/>
      </c>
      <c r="J365" s="225" t="str">
        <f>IFERROR(IF(DB_Customers!J359&lt;&gt;"",DB_Customers!J359,""),"")</f>
        <v/>
      </c>
      <c r="K365" s="222" t="str">
        <f>IFERROR(IF(DB_Customers!E359&lt;&gt;"",DB_Customers!E359,""),"")</f>
        <v/>
      </c>
      <c r="L365" s="222" t="str">
        <f>IFERROR(IF(DB_Customers!F359&lt;&gt;"",DB_Customers!F359,""),"")</f>
        <v/>
      </c>
      <c r="M365" s="222" t="str">
        <f>IFERROR(IF(DB_Customers!T359&lt;&gt;"",DB_Customers!T359,""),"")</f>
        <v/>
      </c>
      <c r="N365" s="221" t="str">
        <f>IFERROR(IF(DB_Customers!A359&lt;&gt;"",IF(DB_Customers!I359&gt;=10,"Active","Inactive"),""),"")</f>
        <v/>
      </c>
    </row>
    <row r="366" spans="1:14" ht="18" customHeight="1" x14ac:dyDescent="0.25">
      <c r="A366" s="216" t="str">
        <f>IF(DB_Customers!A360&lt;&gt;"",ROW()-9,"")</f>
        <v/>
      </c>
      <c r="B366" s="216" t="str">
        <f>IFERROR(IF(DB_Customers!A360&lt;&gt;"",DB_Customers!A360,""),"")</f>
        <v/>
      </c>
      <c r="C366" s="217" t="str">
        <f>IFERROR(IF(DB_Customers!D360&lt;&gt;"",DB_Customers!D360,""),"")</f>
        <v/>
      </c>
      <c r="D366" s="218" t="str">
        <f>IFERROR(IF(DB_Customers!Q360&lt;&gt;"",DB_Customers!Q360,""),"")</f>
        <v/>
      </c>
      <c r="E366" s="216" t="str">
        <f>IFERROR(IF(DB_Customers!R360&lt;&gt;"",DB_Customers!R360,""),"")</f>
        <v/>
      </c>
      <c r="F366" s="217" t="str">
        <f>IFERROR(IF(DB_Customers!S360&lt;&gt;"",DB_Customers!S360,""),"")</f>
        <v/>
      </c>
      <c r="G366" s="217" t="str">
        <f>IFERROR(IF(DB_Customers!G360&lt;&gt;"",DB_Customers!G360,""),"")</f>
        <v/>
      </c>
      <c r="H366" s="216" t="str">
        <f>IFERROR(IF(DB_Customers!H360&lt;&gt;"",DB_Customers!H360,""),"")</f>
        <v/>
      </c>
      <c r="I366" s="219" t="str">
        <f>IFERROR(IF(DB_Customers!I360&lt;&gt;"",DB_Customers!I360,""),"")</f>
        <v/>
      </c>
      <c r="J366" s="220" t="str">
        <f>IFERROR(IF(DB_Customers!J360&lt;&gt;"",DB_Customers!J360,""),"")</f>
        <v/>
      </c>
      <c r="K366" s="217" t="str">
        <f>IFERROR(IF(DB_Customers!E360&lt;&gt;"",DB_Customers!E360,""),"")</f>
        <v/>
      </c>
      <c r="L366" s="217" t="str">
        <f>IFERROR(IF(DB_Customers!F360&lt;&gt;"",DB_Customers!F360,""),"")</f>
        <v/>
      </c>
      <c r="M366" s="217" t="str">
        <f>IFERROR(IF(DB_Customers!T360&lt;&gt;"",DB_Customers!T360,""),"")</f>
        <v/>
      </c>
      <c r="N366" s="216" t="str">
        <f>IFERROR(IF(DB_Customers!A360&lt;&gt;"",IF(DB_Customers!I360&gt;=10,"Active","Inactive"),""),"")</f>
        <v/>
      </c>
    </row>
    <row r="367" spans="1:14" ht="18" customHeight="1" x14ac:dyDescent="0.25">
      <c r="A367" s="221" t="str">
        <f>IF(DB_Customers!A361&lt;&gt;"",ROW()-9,"")</f>
        <v/>
      </c>
      <c r="B367" s="221" t="str">
        <f>IFERROR(IF(DB_Customers!A361&lt;&gt;"",DB_Customers!A361,""),"")</f>
        <v/>
      </c>
      <c r="C367" s="222" t="str">
        <f>IFERROR(IF(DB_Customers!D361&lt;&gt;"",DB_Customers!D361,""),"")</f>
        <v/>
      </c>
      <c r="D367" s="223" t="str">
        <f>IFERROR(IF(DB_Customers!Q361&lt;&gt;"",DB_Customers!Q361,""),"")</f>
        <v/>
      </c>
      <c r="E367" s="221" t="str">
        <f>IFERROR(IF(DB_Customers!R361&lt;&gt;"",DB_Customers!R361,""),"")</f>
        <v/>
      </c>
      <c r="F367" s="222" t="str">
        <f>IFERROR(IF(DB_Customers!S361&lt;&gt;"",DB_Customers!S361,""),"")</f>
        <v/>
      </c>
      <c r="G367" s="222" t="str">
        <f>IFERROR(IF(DB_Customers!G361&lt;&gt;"",DB_Customers!G361,""),"")</f>
        <v/>
      </c>
      <c r="H367" s="221" t="str">
        <f>IFERROR(IF(DB_Customers!H361&lt;&gt;"",DB_Customers!H361,""),"")</f>
        <v/>
      </c>
      <c r="I367" s="224" t="str">
        <f>IFERROR(IF(DB_Customers!I361&lt;&gt;"",DB_Customers!I361,""),"")</f>
        <v/>
      </c>
      <c r="J367" s="225" t="str">
        <f>IFERROR(IF(DB_Customers!J361&lt;&gt;"",DB_Customers!J361,""),"")</f>
        <v/>
      </c>
      <c r="K367" s="222" t="str">
        <f>IFERROR(IF(DB_Customers!E361&lt;&gt;"",DB_Customers!E361,""),"")</f>
        <v/>
      </c>
      <c r="L367" s="222" t="str">
        <f>IFERROR(IF(DB_Customers!F361&lt;&gt;"",DB_Customers!F361,""),"")</f>
        <v/>
      </c>
      <c r="M367" s="222" t="str">
        <f>IFERROR(IF(DB_Customers!T361&lt;&gt;"",DB_Customers!T361,""),"")</f>
        <v/>
      </c>
      <c r="N367" s="221" t="str">
        <f>IFERROR(IF(DB_Customers!A361&lt;&gt;"",IF(DB_Customers!I361&gt;=10,"Active","Inactive"),""),"")</f>
        <v/>
      </c>
    </row>
    <row r="368" spans="1:14" ht="18" customHeight="1" x14ac:dyDescent="0.25">
      <c r="A368" s="216" t="str">
        <f>IF(DB_Customers!A362&lt;&gt;"",ROW()-9,"")</f>
        <v/>
      </c>
      <c r="B368" s="216" t="str">
        <f>IFERROR(IF(DB_Customers!A362&lt;&gt;"",DB_Customers!A362,""),"")</f>
        <v/>
      </c>
      <c r="C368" s="217" t="str">
        <f>IFERROR(IF(DB_Customers!D362&lt;&gt;"",DB_Customers!D362,""),"")</f>
        <v/>
      </c>
      <c r="D368" s="218" t="str">
        <f>IFERROR(IF(DB_Customers!Q362&lt;&gt;"",DB_Customers!Q362,""),"")</f>
        <v/>
      </c>
      <c r="E368" s="216" t="str">
        <f>IFERROR(IF(DB_Customers!R362&lt;&gt;"",DB_Customers!R362,""),"")</f>
        <v/>
      </c>
      <c r="F368" s="217" t="str">
        <f>IFERROR(IF(DB_Customers!S362&lt;&gt;"",DB_Customers!S362,""),"")</f>
        <v/>
      </c>
      <c r="G368" s="217" t="str">
        <f>IFERROR(IF(DB_Customers!G362&lt;&gt;"",DB_Customers!G362,""),"")</f>
        <v/>
      </c>
      <c r="H368" s="216" t="str">
        <f>IFERROR(IF(DB_Customers!H362&lt;&gt;"",DB_Customers!H362,""),"")</f>
        <v/>
      </c>
      <c r="I368" s="219" t="str">
        <f>IFERROR(IF(DB_Customers!I362&lt;&gt;"",DB_Customers!I362,""),"")</f>
        <v/>
      </c>
      <c r="J368" s="220" t="str">
        <f>IFERROR(IF(DB_Customers!J362&lt;&gt;"",DB_Customers!J362,""),"")</f>
        <v/>
      </c>
      <c r="K368" s="217" t="str">
        <f>IFERROR(IF(DB_Customers!E362&lt;&gt;"",DB_Customers!E362,""),"")</f>
        <v/>
      </c>
      <c r="L368" s="217" t="str">
        <f>IFERROR(IF(DB_Customers!F362&lt;&gt;"",DB_Customers!F362,""),"")</f>
        <v/>
      </c>
      <c r="M368" s="217" t="str">
        <f>IFERROR(IF(DB_Customers!T362&lt;&gt;"",DB_Customers!T362,""),"")</f>
        <v/>
      </c>
      <c r="N368" s="216" t="str">
        <f>IFERROR(IF(DB_Customers!A362&lt;&gt;"",IF(DB_Customers!I362&gt;=10,"Active","Inactive"),""),"")</f>
        <v/>
      </c>
    </row>
    <row r="369" spans="1:14" ht="18" customHeight="1" x14ac:dyDescent="0.25">
      <c r="A369" s="221" t="str">
        <f>IF(DB_Customers!A363&lt;&gt;"",ROW()-9,"")</f>
        <v/>
      </c>
      <c r="B369" s="221" t="str">
        <f>IFERROR(IF(DB_Customers!A363&lt;&gt;"",DB_Customers!A363,""),"")</f>
        <v/>
      </c>
      <c r="C369" s="222" t="str">
        <f>IFERROR(IF(DB_Customers!D363&lt;&gt;"",DB_Customers!D363,""),"")</f>
        <v/>
      </c>
      <c r="D369" s="223" t="str">
        <f>IFERROR(IF(DB_Customers!Q363&lt;&gt;"",DB_Customers!Q363,""),"")</f>
        <v/>
      </c>
      <c r="E369" s="221" t="str">
        <f>IFERROR(IF(DB_Customers!R363&lt;&gt;"",DB_Customers!R363,""),"")</f>
        <v/>
      </c>
      <c r="F369" s="222" t="str">
        <f>IFERROR(IF(DB_Customers!S363&lt;&gt;"",DB_Customers!S363,""),"")</f>
        <v/>
      </c>
      <c r="G369" s="222" t="str">
        <f>IFERROR(IF(DB_Customers!G363&lt;&gt;"",DB_Customers!G363,""),"")</f>
        <v/>
      </c>
      <c r="H369" s="221" t="str">
        <f>IFERROR(IF(DB_Customers!H363&lt;&gt;"",DB_Customers!H363,""),"")</f>
        <v/>
      </c>
      <c r="I369" s="224" t="str">
        <f>IFERROR(IF(DB_Customers!I363&lt;&gt;"",DB_Customers!I363,""),"")</f>
        <v/>
      </c>
      <c r="J369" s="225" t="str">
        <f>IFERROR(IF(DB_Customers!J363&lt;&gt;"",DB_Customers!J363,""),"")</f>
        <v/>
      </c>
      <c r="K369" s="222" t="str">
        <f>IFERROR(IF(DB_Customers!E363&lt;&gt;"",DB_Customers!E363,""),"")</f>
        <v/>
      </c>
      <c r="L369" s="222" t="str">
        <f>IFERROR(IF(DB_Customers!F363&lt;&gt;"",DB_Customers!F363,""),"")</f>
        <v/>
      </c>
      <c r="M369" s="222" t="str">
        <f>IFERROR(IF(DB_Customers!T363&lt;&gt;"",DB_Customers!T363,""),"")</f>
        <v/>
      </c>
      <c r="N369" s="221" t="str">
        <f>IFERROR(IF(DB_Customers!A363&lt;&gt;"",IF(DB_Customers!I363&gt;=10,"Active","Inactive"),""),"")</f>
        <v/>
      </c>
    </row>
    <row r="370" spans="1:14" ht="18" customHeight="1" x14ac:dyDescent="0.25">
      <c r="A370" s="216" t="str">
        <f>IF(DB_Customers!A364&lt;&gt;"",ROW()-9,"")</f>
        <v/>
      </c>
      <c r="B370" s="216" t="str">
        <f>IFERROR(IF(DB_Customers!A364&lt;&gt;"",DB_Customers!A364,""),"")</f>
        <v/>
      </c>
      <c r="C370" s="217" t="str">
        <f>IFERROR(IF(DB_Customers!D364&lt;&gt;"",DB_Customers!D364,""),"")</f>
        <v/>
      </c>
      <c r="D370" s="218" t="str">
        <f>IFERROR(IF(DB_Customers!Q364&lt;&gt;"",DB_Customers!Q364,""),"")</f>
        <v/>
      </c>
      <c r="E370" s="216" t="str">
        <f>IFERROR(IF(DB_Customers!R364&lt;&gt;"",DB_Customers!R364,""),"")</f>
        <v/>
      </c>
      <c r="F370" s="217" t="str">
        <f>IFERROR(IF(DB_Customers!S364&lt;&gt;"",DB_Customers!S364,""),"")</f>
        <v/>
      </c>
      <c r="G370" s="217" t="str">
        <f>IFERROR(IF(DB_Customers!G364&lt;&gt;"",DB_Customers!G364,""),"")</f>
        <v/>
      </c>
      <c r="H370" s="216" t="str">
        <f>IFERROR(IF(DB_Customers!H364&lt;&gt;"",DB_Customers!H364,""),"")</f>
        <v/>
      </c>
      <c r="I370" s="219" t="str">
        <f>IFERROR(IF(DB_Customers!I364&lt;&gt;"",DB_Customers!I364,""),"")</f>
        <v/>
      </c>
      <c r="J370" s="220" t="str">
        <f>IFERROR(IF(DB_Customers!J364&lt;&gt;"",DB_Customers!J364,""),"")</f>
        <v/>
      </c>
      <c r="K370" s="217" t="str">
        <f>IFERROR(IF(DB_Customers!E364&lt;&gt;"",DB_Customers!E364,""),"")</f>
        <v/>
      </c>
      <c r="L370" s="217" t="str">
        <f>IFERROR(IF(DB_Customers!F364&lt;&gt;"",DB_Customers!F364,""),"")</f>
        <v/>
      </c>
      <c r="M370" s="217" t="str">
        <f>IFERROR(IF(DB_Customers!T364&lt;&gt;"",DB_Customers!T364,""),"")</f>
        <v/>
      </c>
      <c r="N370" s="216" t="str">
        <f>IFERROR(IF(DB_Customers!A364&lt;&gt;"",IF(DB_Customers!I364&gt;=10,"Active","Inactive"),""),"")</f>
        <v/>
      </c>
    </row>
    <row r="371" spans="1:14" ht="18" customHeight="1" x14ac:dyDescent="0.25">
      <c r="A371" s="221" t="str">
        <f>IF(DB_Customers!A365&lt;&gt;"",ROW()-9,"")</f>
        <v/>
      </c>
      <c r="B371" s="221" t="str">
        <f>IFERROR(IF(DB_Customers!A365&lt;&gt;"",DB_Customers!A365,""),"")</f>
        <v/>
      </c>
      <c r="C371" s="222" t="str">
        <f>IFERROR(IF(DB_Customers!D365&lt;&gt;"",DB_Customers!D365,""),"")</f>
        <v/>
      </c>
      <c r="D371" s="223" t="str">
        <f>IFERROR(IF(DB_Customers!Q365&lt;&gt;"",DB_Customers!Q365,""),"")</f>
        <v/>
      </c>
      <c r="E371" s="221" t="str">
        <f>IFERROR(IF(DB_Customers!R365&lt;&gt;"",DB_Customers!R365,""),"")</f>
        <v/>
      </c>
      <c r="F371" s="222" t="str">
        <f>IFERROR(IF(DB_Customers!S365&lt;&gt;"",DB_Customers!S365,""),"")</f>
        <v/>
      </c>
      <c r="G371" s="222" t="str">
        <f>IFERROR(IF(DB_Customers!G365&lt;&gt;"",DB_Customers!G365,""),"")</f>
        <v/>
      </c>
      <c r="H371" s="221" t="str">
        <f>IFERROR(IF(DB_Customers!H365&lt;&gt;"",DB_Customers!H365,""),"")</f>
        <v/>
      </c>
      <c r="I371" s="224" t="str">
        <f>IFERROR(IF(DB_Customers!I365&lt;&gt;"",DB_Customers!I365,""),"")</f>
        <v/>
      </c>
      <c r="J371" s="225" t="str">
        <f>IFERROR(IF(DB_Customers!J365&lt;&gt;"",DB_Customers!J365,""),"")</f>
        <v/>
      </c>
      <c r="K371" s="222" t="str">
        <f>IFERROR(IF(DB_Customers!E365&lt;&gt;"",DB_Customers!E365,""),"")</f>
        <v/>
      </c>
      <c r="L371" s="222" t="str">
        <f>IFERROR(IF(DB_Customers!F365&lt;&gt;"",DB_Customers!F365,""),"")</f>
        <v/>
      </c>
      <c r="M371" s="222" t="str">
        <f>IFERROR(IF(DB_Customers!T365&lt;&gt;"",DB_Customers!T365,""),"")</f>
        <v/>
      </c>
      <c r="N371" s="221" t="str">
        <f>IFERROR(IF(DB_Customers!A365&lt;&gt;"",IF(DB_Customers!I365&gt;=10,"Active","Inactive"),""),"")</f>
        <v/>
      </c>
    </row>
    <row r="372" spans="1:14" ht="18" customHeight="1" x14ac:dyDescent="0.25">
      <c r="A372" s="216" t="str">
        <f>IF(DB_Customers!A366&lt;&gt;"",ROW()-9,"")</f>
        <v/>
      </c>
      <c r="B372" s="216" t="str">
        <f>IFERROR(IF(DB_Customers!A366&lt;&gt;"",DB_Customers!A366,""),"")</f>
        <v/>
      </c>
      <c r="C372" s="217" t="str">
        <f>IFERROR(IF(DB_Customers!D366&lt;&gt;"",DB_Customers!D366,""),"")</f>
        <v/>
      </c>
      <c r="D372" s="218" t="str">
        <f>IFERROR(IF(DB_Customers!Q366&lt;&gt;"",DB_Customers!Q366,""),"")</f>
        <v/>
      </c>
      <c r="E372" s="216" t="str">
        <f>IFERROR(IF(DB_Customers!R366&lt;&gt;"",DB_Customers!R366,""),"")</f>
        <v/>
      </c>
      <c r="F372" s="217" t="str">
        <f>IFERROR(IF(DB_Customers!S366&lt;&gt;"",DB_Customers!S366,""),"")</f>
        <v/>
      </c>
      <c r="G372" s="217" t="str">
        <f>IFERROR(IF(DB_Customers!G366&lt;&gt;"",DB_Customers!G366,""),"")</f>
        <v/>
      </c>
      <c r="H372" s="216" t="str">
        <f>IFERROR(IF(DB_Customers!H366&lt;&gt;"",DB_Customers!H366,""),"")</f>
        <v/>
      </c>
      <c r="I372" s="219" t="str">
        <f>IFERROR(IF(DB_Customers!I366&lt;&gt;"",DB_Customers!I366,""),"")</f>
        <v/>
      </c>
      <c r="J372" s="220" t="str">
        <f>IFERROR(IF(DB_Customers!J366&lt;&gt;"",DB_Customers!J366,""),"")</f>
        <v/>
      </c>
      <c r="K372" s="217" t="str">
        <f>IFERROR(IF(DB_Customers!E366&lt;&gt;"",DB_Customers!E366,""),"")</f>
        <v/>
      </c>
      <c r="L372" s="217" t="str">
        <f>IFERROR(IF(DB_Customers!F366&lt;&gt;"",DB_Customers!F366,""),"")</f>
        <v/>
      </c>
      <c r="M372" s="217" t="str">
        <f>IFERROR(IF(DB_Customers!T366&lt;&gt;"",DB_Customers!T366,""),"")</f>
        <v/>
      </c>
      <c r="N372" s="216" t="str">
        <f>IFERROR(IF(DB_Customers!A366&lt;&gt;"",IF(DB_Customers!I366&gt;=10,"Active","Inactive"),""),"")</f>
        <v/>
      </c>
    </row>
    <row r="373" spans="1:14" ht="18" customHeight="1" x14ac:dyDescent="0.25">
      <c r="A373" s="221" t="str">
        <f>IF(DB_Customers!A367&lt;&gt;"",ROW()-9,"")</f>
        <v/>
      </c>
      <c r="B373" s="221" t="str">
        <f>IFERROR(IF(DB_Customers!A367&lt;&gt;"",DB_Customers!A367,""),"")</f>
        <v/>
      </c>
      <c r="C373" s="222" t="str">
        <f>IFERROR(IF(DB_Customers!D367&lt;&gt;"",DB_Customers!D367,""),"")</f>
        <v/>
      </c>
      <c r="D373" s="223" t="str">
        <f>IFERROR(IF(DB_Customers!Q367&lt;&gt;"",DB_Customers!Q367,""),"")</f>
        <v/>
      </c>
      <c r="E373" s="221" t="str">
        <f>IFERROR(IF(DB_Customers!R367&lt;&gt;"",DB_Customers!R367,""),"")</f>
        <v/>
      </c>
      <c r="F373" s="222" t="str">
        <f>IFERROR(IF(DB_Customers!S367&lt;&gt;"",DB_Customers!S367,""),"")</f>
        <v/>
      </c>
      <c r="G373" s="222" t="str">
        <f>IFERROR(IF(DB_Customers!G367&lt;&gt;"",DB_Customers!G367,""),"")</f>
        <v/>
      </c>
      <c r="H373" s="221" t="str">
        <f>IFERROR(IF(DB_Customers!H367&lt;&gt;"",DB_Customers!H367,""),"")</f>
        <v/>
      </c>
      <c r="I373" s="224" t="str">
        <f>IFERROR(IF(DB_Customers!I367&lt;&gt;"",DB_Customers!I367,""),"")</f>
        <v/>
      </c>
      <c r="J373" s="225" t="str">
        <f>IFERROR(IF(DB_Customers!J367&lt;&gt;"",DB_Customers!J367,""),"")</f>
        <v/>
      </c>
      <c r="K373" s="222" t="str">
        <f>IFERROR(IF(DB_Customers!E367&lt;&gt;"",DB_Customers!E367,""),"")</f>
        <v/>
      </c>
      <c r="L373" s="222" t="str">
        <f>IFERROR(IF(DB_Customers!F367&lt;&gt;"",DB_Customers!F367,""),"")</f>
        <v/>
      </c>
      <c r="M373" s="222" t="str">
        <f>IFERROR(IF(DB_Customers!T367&lt;&gt;"",DB_Customers!T367,""),"")</f>
        <v/>
      </c>
      <c r="N373" s="221" t="str">
        <f>IFERROR(IF(DB_Customers!A367&lt;&gt;"",IF(DB_Customers!I367&gt;=10,"Active","Inactive"),""),"")</f>
        <v/>
      </c>
    </row>
    <row r="374" spans="1:14" ht="18" customHeight="1" x14ac:dyDescent="0.25">
      <c r="A374" s="216" t="str">
        <f>IF(DB_Customers!A368&lt;&gt;"",ROW()-9,"")</f>
        <v/>
      </c>
      <c r="B374" s="216" t="str">
        <f>IFERROR(IF(DB_Customers!A368&lt;&gt;"",DB_Customers!A368,""),"")</f>
        <v/>
      </c>
      <c r="C374" s="217" t="str">
        <f>IFERROR(IF(DB_Customers!D368&lt;&gt;"",DB_Customers!D368,""),"")</f>
        <v/>
      </c>
      <c r="D374" s="218" t="str">
        <f>IFERROR(IF(DB_Customers!Q368&lt;&gt;"",DB_Customers!Q368,""),"")</f>
        <v/>
      </c>
      <c r="E374" s="216" t="str">
        <f>IFERROR(IF(DB_Customers!R368&lt;&gt;"",DB_Customers!R368,""),"")</f>
        <v/>
      </c>
      <c r="F374" s="217" t="str">
        <f>IFERROR(IF(DB_Customers!S368&lt;&gt;"",DB_Customers!S368,""),"")</f>
        <v/>
      </c>
      <c r="G374" s="217" t="str">
        <f>IFERROR(IF(DB_Customers!G368&lt;&gt;"",DB_Customers!G368,""),"")</f>
        <v/>
      </c>
      <c r="H374" s="216" t="str">
        <f>IFERROR(IF(DB_Customers!H368&lt;&gt;"",DB_Customers!H368,""),"")</f>
        <v/>
      </c>
      <c r="I374" s="219" t="str">
        <f>IFERROR(IF(DB_Customers!I368&lt;&gt;"",DB_Customers!I368,""),"")</f>
        <v/>
      </c>
      <c r="J374" s="220" t="str">
        <f>IFERROR(IF(DB_Customers!J368&lt;&gt;"",DB_Customers!J368,""),"")</f>
        <v/>
      </c>
      <c r="K374" s="217" t="str">
        <f>IFERROR(IF(DB_Customers!E368&lt;&gt;"",DB_Customers!E368,""),"")</f>
        <v/>
      </c>
      <c r="L374" s="217" t="str">
        <f>IFERROR(IF(DB_Customers!F368&lt;&gt;"",DB_Customers!F368,""),"")</f>
        <v/>
      </c>
      <c r="M374" s="217" t="str">
        <f>IFERROR(IF(DB_Customers!T368&lt;&gt;"",DB_Customers!T368,""),"")</f>
        <v/>
      </c>
      <c r="N374" s="216" t="str">
        <f>IFERROR(IF(DB_Customers!A368&lt;&gt;"",IF(DB_Customers!I368&gt;=10,"Active","Inactive"),""),"")</f>
        <v/>
      </c>
    </row>
    <row r="375" spans="1:14" ht="18" customHeight="1" x14ac:dyDescent="0.25">
      <c r="A375" s="221" t="str">
        <f>IF(DB_Customers!A369&lt;&gt;"",ROW()-9,"")</f>
        <v/>
      </c>
      <c r="B375" s="221" t="str">
        <f>IFERROR(IF(DB_Customers!A369&lt;&gt;"",DB_Customers!A369,""),"")</f>
        <v/>
      </c>
      <c r="C375" s="222" t="str">
        <f>IFERROR(IF(DB_Customers!D369&lt;&gt;"",DB_Customers!D369,""),"")</f>
        <v/>
      </c>
      <c r="D375" s="223" t="str">
        <f>IFERROR(IF(DB_Customers!Q369&lt;&gt;"",DB_Customers!Q369,""),"")</f>
        <v/>
      </c>
      <c r="E375" s="221" t="str">
        <f>IFERROR(IF(DB_Customers!R369&lt;&gt;"",DB_Customers!R369,""),"")</f>
        <v/>
      </c>
      <c r="F375" s="222" t="str">
        <f>IFERROR(IF(DB_Customers!S369&lt;&gt;"",DB_Customers!S369,""),"")</f>
        <v/>
      </c>
      <c r="G375" s="222" t="str">
        <f>IFERROR(IF(DB_Customers!G369&lt;&gt;"",DB_Customers!G369,""),"")</f>
        <v/>
      </c>
      <c r="H375" s="221" t="str">
        <f>IFERROR(IF(DB_Customers!H369&lt;&gt;"",DB_Customers!H369,""),"")</f>
        <v/>
      </c>
      <c r="I375" s="224" t="str">
        <f>IFERROR(IF(DB_Customers!I369&lt;&gt;"",DB_Customers!I369,""),"")</f>
        <v/>
      </c>
      <c r="J375" s="225" t="str">
        <f>IFERROR(IF(DB_Customers!J369&lt;&gt;"",DB_Customers!J369,""),"")</f>
        <v/>
      </c>
      <c r="K375" s="222" t="str">
        <f>IFERROR(IF(DB_Customers!E369&lt;&gt;"",DB_Customers!E369,""),"")</f>
        <v/>
      </c>
      <c r="L375" s="222" t="str">
        <f>IFERROR(IF(DB_Customers!F369&lt;&gt;"",DB_Customers!F369,""),"")</f>
        <v/>
      </c>
      <c r="M375" s="222" t="str">
        <f>IFERROR(IF(DB_Customers!T369&lt;&gt;"",DB_Customers!T369,""),"")</f>
        <v/>
      </c>
      <c r="N375" s="221" t="str">
        <f>IFERROR(IF(DB_Customers!A369&lt;&gt;"",IF(DB_Customers!I369&gt;=10,"Active","Inactive"),""),"")</f>
        <v/>
      </c>
    </row>
    <row r="376" spans="1:14" ht="18" customHeight="1" x14ac:dyDescent="0.25">
      <c r="A376" s="216" t="str">
        <f>IF(DB_Customers!A370&lt;&gt;"",ROW()-9,"")</f>
        <v/>
      </c>
      <c r="B376" s="216" t="str">
        <f>IFERROR(IF(DB_Customers!A370&lt;&gt;"",DB_Customers!A370,""),"")</f>
        <v/>
      </c>
      <c r="C376" s="217" t="str">
        <f>IFERROR(IF(DB_Customers!D370&lt;&gt;"",DB_Customers!D370,""),"")</f>
        <v/>
      </c>
      <c r="D376" s="218" t="str">
        <f>IFERROR(IF(DB_Customers!Q370&lt;&gt;"",DB_Customers!Q370,""),"")</f>
        <v/>
      </c>
      <c r="E376" s="216" t="str">
        <f>IFERROR(IF(DB_Customers!R370&lt;&gt;"",DB_Customers!R370,""),"")</f>
        <v/>
      </c>
      <c r="F376" s="217" t="str">
        <f>IFERROR(IF(DB_Customers!S370&lt;&gt;"",DB_Customers!S370,""),"")</f>
        <v/>
      </c>
      <c r="G376" s="217" t="str">
        <f>IFERROR(IF(DB_Customers!G370&lt;&gt;"",DB_Customers!G370,""),"")</f>
        <v/>
      </c>
      <c r="H376" s="216" t="str">
        <f>IFERROR(IF(DB_Customers!H370&lt;&gt;"",DB_Customers!H370,""),"")</f>
        <v/>
      </c>
      <c r="I376" s="219" t="str">
        <f>IFERROR(IF(DB_Customers!I370&lt;&gt;"",DB_Customers!I370,""),"")</f>
        <v/>
      </c>
      <c r="J376" s="220" t="str">
        <f>IFERROR(IF(DB_Customers!J370&lt;&gt;"",DB_Customers!J370,""),"")</f>
        <v/>
      </c>
      <c r="K376" s="217" t="str">
        <f>IFERROR(IF(DB_Customers!E370&lt;&gt;"",DB_Customers!E370,""),"")</f>
        <v/>
      </c>
      <c r="L376" s="217" t="str">
        <f>IFERROR(IF(DB_Customers!F370&lt;&gt;"",DB_Customers!F370,""),"")</f>
        <v/>
      </c>
      <c r="M376" s="217" t="str">
        <f>IFERROR(IF(DB_Customers!T370&lt;&gt;"",DB_Customers!T370,""),"")</f>
        <v/>
      </c>
      <c r="N376" s="216" t="str">
        <f>IFERROR(IF(DB_Customers!A370&lt;&gt;"",IF(DB_Customers!I370&gt;=10,"Active","Inactive"),""),"")</f>
        <v/>
      </c>
    </row>
    <row r="377" spans="1:14" ht="18" customHeight="1" x14ac:dyDescent="0.25">
      <c r="A377" s="221" t="str">
        <f>IF(DB_Customers!A371&lt;&gt;"",ROW()-9,"")</f>
        <v/>
      </c>
      <c r="B377" s="221" t="str">
        <f>IFERROR(IF(DB_Customers!A371&lt;&gt;"",DB_Customers!A371,""),"")</f>
        <v/>
      </c>
      <c r="C377" s="222" t="str">
        <f>IFERROR(IF(DB_Customers!D371&lt;&gt;"",DB_Customers!D371,""),"")</f>
        <v/>
      </c>
      <c r="D377" s="223" t="str">
        <f>IFERROR(IF(DB_Customers!Q371&lt;&gt;"",DB_Customers!Q371,""),"")</f>
        <v/>
      </c>
      <c r="E377" s="221" t="str">
        <f>IFERROR(IF(DB_Customers!R371&lt;&gt;"",DB_Customers!R371,""),"")</f>
        <v/>
      </c>
      <c r="F377" s="222" t="str">
        <f>IFERROR(IF(DB_Customers!S371&lt;&gt;"",DB_Customers!S371,""),"")</f>
        <v/>
      </c>
      <c r="G377" s="222" t="str">
        <f>IFERROR(IF(DB_Customers!G371&lt;&gt;"",DB_Customers!G371,""),"")</f>
        <v/>
      </c>
      <c r="H377" s="221" t="str">
        <f>IFERROR(IF(DB_Customers!H371&lt;&gt;"",DB_Customers!H371,""),"")</f>
        <v/>
      </c>
      <c r="I377" s="224" t="str">
        <f>IFERROR(IF(DB_Customers!I371&lt;&gt;"",DB_Customers!I371,""),"")</f>
        <v/>
      </c>
      <c r="J377" s="225" t="str">
        <f>IFERROR(IF(DB_Customers!J371&lt;&gt;"",DB_Customers!J371,""),"")</f>
        <v/>
      </c>
      <c r="K377" s="222" t="str">
        <f>IFERROR(IF(DB_Customers!E371&lt;&gt;"",DB_Customers!E371,""),"")</f>
        <v/>
      </c>
      <c r="L377" s="222" t="str">
        <f>IFERROR(IF(DB_Customers!F371&lt;&gt;"",DB_Customers!F371,""),"")</f>
        <v/>
      </c>
      <c r="M377" s="222" t="str">
        <f>IFERROR(IF(DB_Customers!T371&lt;&gt;"",DB_Customers!T371,""),"")</f>
        <v/>
      </c>
      <c r="N377" s="221" t="str">
        <f>IFERROR(IF(DB_Customers!A371&lt;&gt;"",IF(DB_Customers!I371&gt;=10,"Active","Inactive"),""),"")</f>
        <v/>
      </c>
    </row>
    <row r="378" spans="1:14" ht="18" customHeight="1" x14ac:dyDescent="0.25">
      <c r="A378" s="216" t="str">
        <f>IF(DB_Customers!A372&lt;&gt;"",ROW()-9,"")</f>
        <v/>
      </c>
      <c r="B378" s="216" t="str">
        <f>IFERROR(IF(DB_Customers!A372&lt;&gt;"",DB_Customers!A372,""),"")</f>
        <v/>
      </c>
      <c r="C378" s="217" t="str">
        <f>IFERROR(IF(DB_Customers!D372&lt;&gt;"",DB_Customers!D372,""),"")</f>
        <v/>
      </c>
      <c r="D378" s="218" t="str">
        <f>IFERROR(IF(DB_Customers!Q372&lt;&gt;"",DB_Customers!Q372,""),"")</f>
        <v/>
      </c>
      <c r="E378" s="216" t="str">
        <f>IFERROR(IF(DB_Customers!R372&lt;&gt;"",DB_Customers!R372,""),"")</f>
        <v/>
      </c>
      <c r="F378" s="217" t="str">
        <f>IFERROR(IF(DB_Customers!S372&lt;&gt;"",DB_Customers!S372,""),"")</f>
        <v/>
      </c>
      <c r="G378" s="217" t="str">
        <f>IFERROR(IF(DB_Customers!G372&lt;&gt;"",DB_Customers!G372,""),"")</f>
        <v/>
      </c>
      <c r="H378" s="216" t="str">
        <f>IFERROR(IF(DB_Customers!H372&lt;&gt;"",DB_Customers!H372,""),"")</f>
        <v/>
      </c>
      <c r="I378" s="219" t="str">
        <f>IFERROR(IF(DB_Customers!I372&lt;&gt;"",DB_Customers!I372,""),"")</f>
        <v/>
      </c>
      <c r="J378" s="220" t="str">
        <f>IFERROR(IF(DB_Customers!J372&lt;&gt;"",DB_Customers!J372,""),"")</f>
        <v/>
      </c>
      <c r="K378" s="217" t="str">
        <f>IFERROR(IF(DB_Customers!E372&lt;&gt;"",DB_Customers!E372,""),"")</f>
        <v/>
      </c>
      <c r="L378" s="217" t="str">
        <f>IFERROR(IF(DB_Customers!F372&lt;&gt;"",DB_Customers!F372,""),"")</f>
        <v/>
      </c>
      <c r="M378" s="217" t="str">
        <f>IFERROR(IF(DB_Customers!T372&lt;&gt;"",DB_Customers!T372,""),"")</f>
        <v/>
      </c>
      <c r="N378" s="216" t="str">
        <f>IFERROR(IF(DB_Customers!A372&lt;&gt;"",IF(DB_Customers!I372&gt;=10,"Active","Inactive"),""),"")</f>
        <v/>
      </c>
    </row>
    <row r="379" spans="1:14" ht="18" customHeight="1" x14ac:dyDescent="0.25">
      <c r="A379" s="221" t="str">
        <f>IF(DB_Customers!A373&lt;&gt;"",ROW()-9,"")</f>
        <v/>
      </c>
      <c r="B379" s="221" t="str">
        <f>IFERROR(IF(DB_Customers!A373&lt;&gt;"",DB_Customers!A373,""),"")</f>
        <v/>
      </c>
      <c r="C379" s="222" t="str">
        <f>IFERROR(IF(DB_Customers!D373&lt;&gt;"",DB_Customers!D373,""),"")</f>
        <v/>
      </c>
      <c r="D379" s="223" t="str">
        <f>IFERROR(IF(DB_Customers!Q373&lt;&gt;"",DB_Customers!Q373,""),"")</f>
        <v/>
      </c>
      <c r="E379" s="221" t="str">
        <f>IFERROR(IF(DB_Customers!R373&lt;&gt;"",DB_Customers!R373,""),"")</f>
        <v/>
      </c>
      <c r="F379" s="222" t="str">
        <f>IFERROR(IF(DB_Customers!S373&lt;&gt;"",DB_Customers!S373,""),"")</f>
        <v/>
      </c>
      <c r="G379" s="222" t="str">
        <f>IFERROR(IF(DB_Customers!G373&lt;&gt;"",DB_Customers!G373,""),"")</f>
        <v/>
      </c>
      <c r="H379" s="221" t="str">
        <f>IFERROR(IF(DB_Customers!H373&lt;&gt;"",DB_Customers!H373,""),"")</f>
        <v/>
      </c>
      <c r="I379" s="224" t="str">
        <f>IFERROR(IF(DB_Customers!I373&lt;&gt;"",DB_Customers!I373,""),"")</f>
        <v/>
      </c>
      <c r="J379" s="225" t="str">
        <f>IFERROR(IF(DB_Customers!J373&lt;&gt;"",DB_Customers!J373,""),"")</f>
        <v/>
      </c>
      <c r="K379" s="222" t="str">
        <f>IFERROR(IF(DB_Customers!E373&lt;&gt;"",DB_Customers!E373,""),"")</f>
        <v/>
      </c>
      <c r="L379" s="222" t="str">
        <f>IFERROR(IF(DB_Customers!F373&lt;&gt;"",DB_Customers!F373,""),"")</f>
        <v/>
      </c>
      <c r="M379" s="222" t="str">
        <f>IFERROR(IF(DB_Customers!T373&lt;&gt;"",DB_Customers!T373,""),"")</f>
        <v/>
      </c>
      <c r="N379" s="221" t="str">
        <f>IFERROR(IF(DB_Customers!A373&lt;&gt;"",IF(DB_Customers!I373&gt;=10,"Active","Inactive"),""),"")</f>
        <v/>
      </c>
    </row>
    <row r="380" spans="1:14" ht="18" customHeight="1" x14ac:dyDescent="0.25">
      <c r="A380" s="216" t="str">
        <f>IF(DB_Customers!A374&lt;&gt;"",ROW()-9,"")</f>
        <v/>
      </c>
      <c r="B380" s="216" t="str">
        <f>IFERROR(IF(DB_Customers!A374&lt;&gt;"",DB_Customers!A374,""),"")</f>
        <v/>
      </c>
      <c r="C380" s="217" t="str">
        <f>IFERROR(IF(DB_Customers!D374&lt;&gt;"",DB_Customers!D374,""),"")</f>
        <v/>
      </c>
      <c r="D380" s="218" t="str">
        <f>IFERROR(IF(DB_Customers!Q374&lt;&gt;"",DB_Customers!Q374,""),"")</f>
        <v/>
      </c>
      <c r="E380" s="216" t="str">
        <f>IFERROR(IF(DB_Customers!R374&lt;&gt;"",DB_Customers!R374,""),"")</f>
        <v/>
      </c>
      <c r="F380" s="217" t="str">
        <f>IFERROR(IF(DB_Customers!S374&lt;&gt;"",DB_Customers!S374,""),"")</f>
        <v/>
      </c>
      <c r="G380" s="217" t="str">
        <f>IFERROR(IF(DB_Customers!G374&lt;&gt;"",DB_Customers!G374,""),"")</f>
        <v/>
      </c>
      <c r="H380" s="216" t="str">
        <f>IFERROR(IF(DB_Customers!H374&lt;&gt;"",DB_Customers!H374,""),"")</f>
        <v/>
      </c>
      <c r="I380" s="219" t="str">
        <f>IFERROR(IF(DB_Customers!I374&lt;&gt;"",DB_Customers!I374,""),"")</f>
        <v/>
      </c>
      <c r="J380" s="220" t="str">
        <f>IFERROR(IF(DB_Customers!J374&lt;&gt;"",DB_Customers!J374,""),"")</f>
        <v/>
      </c>
      <c r="K380" s="217" t="str">
        <f>IFERROR(IF(DB_Customers!E374&lt;&gt;"",DB_Customers!E374,""),"")</f>
        <v/>
      </c>
      <c r="L380" s="217" t="str">
        <f>IFERROR(IF(DB_Customers!F374&lt;&gt;"",DB_Customers!F374,""),"")</f>
        <v/>
      </c>
      <c r="M380" s="217" t="str">
        <f>IFERROR(IF(DB_Customers!T374&lt;&gt;"",DB_Customers!T374,""),"")</f>
        <v/>
      </c>
      <c r="N380" s="216" t="str">
        <f>IFERROR(IF(DB_Customers!A374&lt;&gt;"",IF(DB_Customers!I374&gt;=10,"Active","Inactive"),""),"")</f>
        <v/>
      </c>
    </row>
    <row r="381" spans="1:14" ht="18" customHeight="1" x14ac:dyDescent="0.25">
      <c r="A381" s="221" t="str">
        <f>IF(DB_Customers!A375&lt;&gt;"",ROW()-9,"")</f>
        <v/>
      </c>
      <c r="B381" s="221" t="str">
        <f>IFERROR(IF(DB_Customers!A375&lt;&gt;"",DB_Customers!A375,""),"")</f>
        <v/>
      </c>
      <c r="C381" s="222" t="str">
        <f>IFERROR(IF(DB_Customers!D375&lt;&gt;"",DB_Customers!D375,""),"")</f>
        <v/>
      </c>
      <c r="D381" s="223" t="str">
        <f>IFERROR(IF(DB_Customers!Q375&lt;&gt;"",DB_Customers!Q375,""),"")</f>
        <v/>
      </c>
      <c r="E381" s="221" t="str">
        <f>IFERROR(IF(DB_Customers!R375&lt;&gt;"",DB_Customers!R375,""),"")</f>
        <v/>
      </c>
      <c r="F381" s="222" t="str">
        <f>IFERROR(IF(DB_Customers!S375&lt;&gt;"",DB_Customers!S375,""),"")</f>
        <v/>
      </c>
      <c r="G381" s="222" t="str">
        <f>IFERROR(IF(DB_Customers!G375&lt;&gt;"",DB_Customers!G375,""),"")</f>
        <v/>
      </c>
      <c r="H381" s="221" t="str">
        <f>IFERROR(IF(DB_Customers!H375&lt;&gt;"",DB_Customers!H375,""),"")</f>
        <v/>
      </c>
      <c r="I381" s="224" t="str">
        <f>IFERROR(IF(DB_Customers!I375&lt;&gt;"",DB_Customers!I375,""),"")</f>
        <v/>
      </c>
      <c r="J381" s="225" t="str">
        <f>IFERROR(IF(DB_Customers!J375&lt;&gt;"",DB_Customers!J375,""),"")</f>
        <v/>
      </c>
      <c r="K381" s="222" t="str">
        <f>IFERROR(IF(DB_Customers!E375&lt;&gt;"",DB_Customers!E375,""),"")</f>
        <v/>
      </c>
      <c r="L381" s="222" t="str">
        <f>IFERROR(IF(DB_Customers!F375&lt;&gt;"",DB_Customers!F375,""),"")</f>
        <v/>
      </c>
      <c r="M381" s="222" t="str">
        <f>IFERROR(IF(DB_Customers!T375&lt;&gt;"",DB_Customers!T375,""),"")</f>
        <v/>
      </c>
      <c r="N381" s="221" t="str">
        <f>IFERROR(IF(DB_Customers!A375&lt;&gt;"",IF(DB_Customers!I375&gt;=10,"Active","Inactive"),""),"")</f>
        <v/>
      </c>
    </row>
    <row r="382" spans="1:14" ht="18" customHeight="1" x14ac:dyDescent="0.25">
      <c r="A382" s="216" t="str">
        <f>IF(DB_Customers!A376&lt;&gt;"",ROW()-9,"")</f>
        <v/>
      </c>
      <c r="B382" s="216" t="str">
        <f>IFERROR(IF(DB_Customers!A376&lt;&gt;"",DB_Customers!A376,""),"")</f>
        <v/>
      </c>
      <c r="C382" s="217" t="str">
        <f>IFERROR(IF(DB_Customers!D376&lt;&gt;"",DB_Customers!D376,""),"")</f>
        <v/>
      </c>
      <c r="D382" s="218" t="str">
        <f>IFERROR(IF(DB_Customers!Q376&lt;&gt;"",DB_Customers!Q376,""),"")</f>
        <v/>
      </c>
      <c r="E382" s="216" t="str">
        <f>IFERROR(IF(DB_Customers!R376&lt;&gt;"",DB_Customers!R376,""),"")</f>
        <v/>
      </c>
      <c r="F382" s="217" t="str">
        <f>IFERROR(IF(DB_Customers!S376&lt;&gt;"",DB_Customers!S376,""),"")</f>
        <v/>
      </c>
      <c r="G382" s="217" t="str">
        <f>IFERROR(IF(DB_Customers!G376&lt;&gt;"",DB_Customers!G376,""),"")</f>
        <v/>
      </c>
      <c r="H382" s="216" t="str">
        <f>IFERROR(IF(DB_Customers!H376&lt;&gt;"",DB_Customers!H376,""),"")</f>
        <v/>
      </c>
      <c r="I382" s="219" t="str">
        <f>IFERROR(IF(DB_Customers!I376&lt;&gt;"",DB_Customers!I376,""),"")</f>
        <v/>
      </c>
      <c r="J382" s="220" t="str">
        <f>IFERROR(IF(DB_Customers!J376&lt;&gt;"",DB_Customers!J376,""),"")</f>
        <v/>
      </c>
      <c r="K382" s="217" t="str">
        <f>IFERROR(IF(DB_Customers!E376&lt;&gt;"",DB_Customers!E376,""),"")</f>
        <v/>
      </c>
      <c r="L382" s="217" t="str">
        <f>IFERROR(IF(DB_Customers!F376&lt;&gt;"",DB_Customers!F376,""),"")</f>
        <v/>
      </c>
      <c r="M382" s="217" t="str">
        <f>IFERROR(IF(DB_Customers!T376&lt;&gt;"",DB_Customers!T376,""),"")</f>
        <v/>
      </c>
      <c r="N382" s="216" t="str">
        <f>IFERROR(IF(DB_Customers!A376&lt;&gt;"",IF(DB_Customers!I376&gt;=10,"Active","Inactive"),""),"")</f>
        <v/>
      </c>
    </row>
    <row r="383" spans="1:14" ht="18" customHeight="1" x14ac:dyDescent="0.25">
      <c r="A383" s="221" t="str">
        <f>IF(DB_Customers!A377&lt;&gt;"",ROW()-9,"")</f>
        <v/>
      </c>
      <c r="B383" s="221" t="str">
        <f>IFERROR(IF(DB_Customers!A377&lt;&gt;"",DB_Customers!A377,""),"")</f>
        <v/>
      </c>
      <c r="C383" s="222" t="str">
        <f>IFERROR(IF(DB_Customers!D377&lt;&gt;"",DB_Customers!D377,""),"")</f>
        <v/>
      </c>
      <c r="D383" s="223" t="str">
        <f>IFERROR(IF(DB_Customers!Q377&lt;&gt;"",DB_Customers!Q377,""),"")</f>
        <v/>
      </c>
      <c r="E383" s="221" t="str">
        <f>IFERROR(IF(DB_Customers!R377&lt;&gt;"",DB_Customers!R377,""),"")</f>
        <v/>
      </c>
      <c r="F383" s="222" t="str">
        <f>IFERROR(IF(DB_Customers!S377&lt;&gt;"",DB_Customers!S377,""),"")</f>
        <v/>
      </c>
      <c r="G383" s="222" t="str">
        <f>IFERROR(IF(DB_Customers!G377&lt;&gt;"",DB_Customers!G377,""),"")</f>
        <v/>
      </c>
      <c r="H383" s="221" t="str">
        <f>IFERROR(IF(DB_Customers!H377&lt;&gt;"",DB_Customers!H377,""),"")</f>
        <v/>
      </c>
      <c r="I383" s="224" t="str">
        <f>IFERROR(IF(DB_Customers!I377&lt;&gt;"",DB_Customers!I377,""),"")</f>
        <v/>
      </c>
      <c r="J383" s="225" t="str">
        <f>IFERROR(IF(DB_Customers!J377&lt;&gt;"",DB_Customers!J377,""),"")</f>
        <v/>
      </c>
      <c r="K383" s="222" t="str">
        <f>IFERROR(IF(DB_Customers!E377&lt;&gt;"",DB_Customers!E377,""),"")</f>
        <v/>
      </c>
      <c r="L383" s="222" t="str">
        <f>IFERROR(IF(DB_Customers!F377&lt;&gt;"",DB_Customers!F377,""),"")</f>
        <v/>
      </c>
      <c r="M383" s="222" t="str">
        <f>IFERROR(IF(DB_Customers!T377&lt;&gt;"",DB_Customers!T377,""),"")</f>
        <v/>
      </c>
      <c r="N383" s="221" t="str">
        <f>IFERROR(IF(DB_Customers!A377&lt;&gt;"",IF(DB_Customers!I377&gt;=10,"Active","Inactive"),""),"")</f>
        <v/>
      </c>
    </row>
    <row r="384" spans="1:14" ht="18" customHeight="1" x14ac:dyDescent="0.25">
      <c r="A384" s="216" t="str">
        <f>IF(DB_Customers!A378&lt;&gt;"",ROW()-9,"")</f>
        <v/>
      </c>
      <c r="B384" s="216" t="str">
        <f>IFERROR(IF(DB_Customers!A378&lt;&gt;"",DB_Customers!A378,""),"")</f>
        <v/>
      </c>
      <c r="C384" s="217" t="str">
        <f>IFERROR(IF(DB_Customers!D378&lt;&gt;"",DB_Customers!D378,""),"")</f>
        <v/>
      </c>
      <c r="D384" s="218" t="str">
        <f>IFERROR(IF(DB_Customers!Q378&lt;&gt;"",DB_Customers!Q378,""),"")</f>
        <v/>
      </c>
      <c r="E384" s="216" t="str">
        <f>IFERROR(IF(DB_Customers!R378&lt;&gt;"",DB_Customers!R378,""),"")</f>
        <v/>
      </c>
      <c r="F384" s="217" t="str">
        <f>IFERROR(IF(DB_Customers!S378&lt;&gt;"",DB_Customers!S378,""),"")</f>
        <v/>
      </c>
      <c r="G384" s="217" t="str">
        <f>IFERROR(IF(DB_Customers!G378&lt;&gt;"",DB_Customers!G378,""),"")</f>
        <v/>
      </c>
      <c r="H384" s="216" t="str">
        <f>IFERROR(IF(DB_Customers!H378&lt;&gt;"",DB_Customers!H378,""),"")</f>
        <v/>
      </c>
      <c r="I384" s="219" t="str">
        <f>IFERROR(IF(DB_Customers!I378&lt;&gt;"",DB_Customers!I378,""),"")</f>
        <v/>
      </c>
      <c r="J384" s="220" t="str">
        <f>IFERROR(IF(DB_Customers!J378&lt;&gt;"",DB_Customers!J378,""),"")</f>
        <v/>
      </c>
      <c r="K384" s="217" t="str">
        <f>IFERROR(IF(DB_Customers!E378&lt;&gt;"",DB_Customers!E378,""),"")</f>
        <v/>
      </c>
      <c r="L384" s="217" t="str">
        <f>IFERROR(IF(DB_Customers!F378&lt;&gt;"",DB_Customers!F378,""),"")</f>
        <v/>
      </c>
      <c r="M384" s="217" t="str">
        <f>IFERROR(IF(DB_Customers!T378&lt;&gt;"",DB_Customers!T378,""),"")</f>
        <v/>
      </c>
      <c r="N384" s="216" t="str">
        <f>IFERROR(IF(DB_Customers!A378&lt;&gt;"",IF(DB_Customers!I378&gt;=10,"Active","Inactive"),""),"")</f>
        <v/>
      </c>
    </row>
    <row r="385" spans="1:14" ht="18" customHeight="1" x14ac:dyDescent="0.25">
      <c r="A385" s="221" t="str">
        <f>IF(DB_Customers!A379&lt;&gt;"",ROW()-9,"")</f>
        <v/>
      </c>
      <c r="B385" s="221" t="str">
        <f>IFERROR(IF(DB_Customers!A379&lt;&gt;"",DB_Customers!A379,""),"")</f>
        <v/>
      </c>
      <c r="C385" s="222" t="str">
        <f>IFERROR(IF(DB_Customers!D379&lt;&gt;"",DB_Customers!D379,""),"")</f>
        <v/>
      </c>
      <c r="D385" s="223" t="str">
        <f>IFERROR(IF(DB_Customers!Q379&lt;&gt;"",DB_Customers!Q379,""),"")</f>
        <v/>
      </c>
      <c r="E385" s="221" t="str">
        <f>IFERROR(IF(DB_Customers!R379&lt;&gt;"",DB_Customers!R379,""),"")</f>
        <v/>
      </c>
      <c r="F385" s="222" t="str">
        <f>IFERROR(IF(DB_Customers!S379&lt;&gt;"",DB_Customers!S379,""),"")</f>
        <v/>
      </c>
      <c r="G385" s="222" t="str">
        <f>IFERROR(IF(DB_Customers!G379&lt;&gt;"",DB_Customers!G379,""),"")</f>
        <v/>
      </c>
      <c r="H385" s="221" t="str">
        <f>IFERROR(IF(DB_Customers!H379&lt;&gt;"",DB_Customers!H379,""),"")</f>
        <v/>
      </c>
      <c r="I385" s="224" t="str">
        <f>IFERROR(IF(DB_Customers!I379&lt;&gt;"",DB_Customers!I379,""),"")</f>
        <v/>
      </c>
      <c r="J385" s="225" t="str">
        <f>IFERROR(IF(DB_Customers!J379&lt;&gt;"",DB_Customers!J379,""),"")</f>
        <v/>
      </c>
      <c r="K385" s="222" t="str">
        <f>IFERROR(IF(DB_Customers!E379&lt;&gt;"",DB_Customers!E379,""),"")</f>
        <v/>
      </c>
      <c r="L385" s="222" t="str">
        <f>IFERROR(IF(DB_Customers!F379&lt;&gt;"",DB_Customers!F379,""),"")</f>
        <v/>
      </c>
      <c r="M385" s="222" t="str">
        <f>IFERROR(IF(DB_Customers!T379&lt;&gt;"",DB_Customers!T379,""),"")</f>
        <v/>
      </c>
      <c r="N385" s="221" t="str">
        <f>IFERROR(IF(DB_Customers!A379&lt;&gt;"",IF(DB_Customers!I379&gt;=10,"Active","Inactive"),""),"")</f>
        <v/>
      </c>
    </row>
    <row r="386" spans="1:14" ht="18" customHeight="1" x14ac:dyDescent="0.25">
      <c r="A386" s="216" t="str">
        <f>IF(DB_Customers!A380&lt;&gt;"",ROW()-9,"")</f>
        <v/>
      </c>
      <c r="B386" s="216" t="str">
        <f>IFERROR(IF(DB_Customers!A380&lt;&gt;"",DB_Customers!A380,""),"")</f>
        <v/>
      </c>
      <c r="C386" s="217" t="str">
        <f>IFERROR(IF(DB_Customers!D380&lt;&gt;"",DB_Customers!D380,""),"")</f>
        <v/>
      </c>
      <c r="D386" s="218" t="str">
        <f>IFERROR(IF(DB_Customers!Q380&lt;&gt;"",DB_Customers!Q380,""),"")</f>
        <v/>
      </c>
      <c r="E386" s="216" t="str">
        <f>IFERROR(IF(DB_Customers!R380&lt;&gt;"",DB_Customers!R380,""),"")</f>
        <v/>
      </c>
      <c r="F386" s="217" t="str">
        <f>IFERROR(IF(DB_Customers!S380&lt;&gt;"",DB_Customers!S380,""),"")</f>
        <v/>
      </c>
      <c r="G386" s="217" t="str">
        <f>IFERROR(IF(DB_Customers!G380&lt;&gt;"",DB_Customers!G380,""),"")</f>
        <v/>
      </c>
      <c r="H386" s="216" t="str">
        <f>IFERROR(IF(DB_Customers!H380&lt;&gt;"",DB_Customers!H380,""),"")</f>
        <v/>
      </c>
      <c r="I386" s="219" t="str">
        <f>IFERROR(IF(DB_Customers!I380&lt;&gt;"",DB_Customers!I380,""),"")</f>
        <v/>
      </c>
      <c r="J386" s="220" t="str">
        <f>IFERROR(IF(DB_Customers!J380&lt;&gt;"",DB_Customers!J380,""),"")</f>
        <v/>
      </c>
      <c r="K386" s="217" t="str">
        <f>IFERROR(IF(DB_Customers!E380&lt;&gt;"",DB_Customers!E380,""),"")</f>
        <v/>
      </c>
      <c r="L386" s="217" t="str">
        <f>IFERROR(IF(DB_Customers!F380&lt;&gt;"",DB_Customers!F380,""),"")</f>
        <v/>
      </c>
      <c r="M386" s="217" t="str">
        <f>IFERROR(IF(DB_Customers!T380&lt;&gt;"",DB_Customers!T380,""),"")</f>
        <v/>
      </c>
      <c r="N386" s="216" t="str">
        <f>IFERROR(IF(DB_Customers!A380&lt;&gt;"",IF(DB_Customers!I380&gt;=10,"Active","Inactive"),""),"")</f>
        <v/>
      </c>
    </row>
    <row r="387" spans="1:14" ht="18" customHeight="1" x14ac:dyDescent="0.25">
      <c r="A387" s="221" t="str">
        <f>IF(DB_Customers!A381&lt;&gt;"",ROW()-9,"")</f>
        <v/>
      </c>
      <c r="B387" s="221" t="str">
        <f>IFERROR(IF(DB_Customers!A381&lt;&gt;"",DB_Customers!A381,""),"")</f>
        <v/>
      </c>
      <c r="C387" s="222" t="str">
        <f>IFERROR(IF(DB_Customers!D381&lt;&gt;"",DB_Customers!D381,""),"")</f>
        <v/>
      </c>
      <c r="D387" s="223" t="str">
        <f>IFERROR(IF(DB_Customers!Q381&lt;&gt;"",DB_Customers!Q381,""),"")</f>
        <v/>
      </c>
      <c r="E387" s="221" t="str">
        <f>IFERROR(IF(DB_Customers!R381&lt;&gt;"",DB_Customers!R381,""),"")</f>
        <v/>
      </c>
      <c r="F387" s="222" t="str">
        <f>IFERROR(IF(DB_Customers!S381&lt;&gt;"",DB_Customers!S381,""),"")</f>
        <v/>
      </c>
      <c r="G387" s="222" t="str">
        <f>IFERROR(IF(DB_Customers!G381&lt;&gt;"",DB_Customers!G381,""),"")</f>
        <v/>
      </c>
      <c r="H387" s="221" t="str">
        <f>IFERROR(IF(DB_Customers!H381&lt;&gt;"",DB_Customers!H381,""),"")</f>
        <v/>
      </c>
      <c r="I387" s="224" t="str">
        <f>IFERROR(IF(DB_Customers!I381&lt;&gt;"",DB_Customers!I381,""),"")</f>
        <v/>
      </c>
      <c r="J387" s="225" t="str">
        <f>IFERROR(IF(DB_Customers!J381&lt;&gt;"",DB_Customers!J381,""),"")</f>
        <v/>
      </c>
      <c r="K387" s="222" t="str">
        <f>IFERROR(IF(DB_Customers!E381&lt;&gt;"",DB_Customers!E381,""),"")</f>
        <v/>
      </c>
      <c r="L387" s="222" t="str">
        <f>IFERROR(IF(DB_Customers!F381&lt;&gt;"",DB_Customers!F381,""),"")</f>
        <v/>
      </c>
      <c r="M387" s="222" t="str">
        <f>IFERROR(IF(DB_Customers!T381&lt;&gt;"",DB_Customers!T381,""),"")</f>
        <v/>
      </c>
      <c r="N387" s="221" t="str">
        <f>IFERROR(IF(DB_Customers!A381&lt;&gt;"",IF(DB_Customers!I381&gt;=10,"Active","Inactive"),""),"")</f>
        <v/>
      </c>
    </row>
    <row r="388" spans="1:14" ht="18" customHeight="1" x14ac:dyDescent="0.25">
      <c r="A388" s="216" t="str">
        <f>IF(DB_Customers!A382&lt;&gt;"",ROW()-9,"")</f>
        <v/>
      </c>
      <c r="B388" s="216" t="str">
        <f>IFERROR(IF(DB_Customers!A382&lt;&gt;"",DB_Customers!A382,""),"")</f>
        <v/>
      </c>
      <c r="C388" s="217" t="str">
        <f>IFERROR(IF(DB_Customers!D382&lt;&gt;"",DB_Customers!D382,""),"")</f>
        <v/>
      </c>
      <c r="D388" s="218" t="str">
        <f>IFERROR(IF(DB_Customers!Q382&lt;&gt;"",DB_Customers!Q382,""),"")</f>
        <v/>
      </c>
      <c r="E388" s="216" t="str">
        <f>IFERROR(IF(DB_Customers!R382&lt;&gt;"",DB_Customers!R382,""),"")</f>
        <v/>
      </c>
      <c r="F388" s="217" t="str">
        <f>IFERROR(IF(DB_Customers!S382&lt;&gt;"",DB_Customers!S382,""),"")</f>
        <v/>
      </c>
      <c r="G388" s="217" t="str">
        <f>IFERROR(IF(DB_Customers!G382&lt;&gt;"",DB_Customers!G382,""),"")</f>
        <v/>
      </c>
      <c r="H388" s="216" t="str">
        <f>IFERROR(IF(DB_Customers!H382&lt;&gt;"",DB_Customers!H382,""),"")</f>
        <v/>
      </c>
      <c r="I388" s="219" t="str">
        <f>IFERROR(IF(DB_Customers!I382&lt;&gt;"",DB_Customers!I382,""),"")</f>
        <v/>
      </c>
      <c r="J388" s="220" t="str">
        <f>IFERROR(IF(DB_Customers!J382&lt;&gt;"",DB_Customers!J382,""),"")</f>
        <v/>
      </c>
      <c r="K388" s="217" t="str">
        <f>IFERROR(IF(DB_Customers!E382&lt;&gt;"",DB_Customers!E382,""),"")</f>
        <v/>
      </c>
      <c r="L388" s="217" t="str">
        <f>IFERROR(IF(DB_Customers!F382&lt;&gt;"",DB_Customers!F382,""),"")</f>
        <v/>
      </c>
      <c r="M388" s="217" t="str">
        <f>IFERROR(IF(DB_Customers!T382&lt;&gt;"",DB_Customers!T382,""),"")</f>
        <v/>
      </c>
      <c r="N388" s="216" t="str">
        <f>IFERROR(IF(DB_Customers!A382&lt;&gt;"",IF(DB_Customers!I382&gt;=10,"Active","Inactive"),""),"")</f>
        <v/>
      </c>
    </row>
    <row r="389" spans="1:14" ht="18" customHeight="1" x14ac:dyDescent="0.25">
      <c r="A389" s="221" t="str">
        <f>IF(DB_Customers!A383&lt;&gt;"",ROW()-9,"")</f>
        <v/>
      </c>
      <c r="B389" s="221" t="str">
        <f>IFERROR(IF(DB_Customers!A383&lt;&gt;"",DB_Customers!A383,""),"")</f>
        <v/>
      </c>
      <c r="C389" s="222" t="str">
        <f>IFERROR(IF(DB_Customers!D383&lt;&gt;"",DB_Customers!D383,""),"")</f>
        <v/>
      </c>
      <c r="D389" s="223" t="str">
        <f>IFERROR(IF(DB_Customers!Q383&lt;&gt;"",DB_Customers!Q383,""),"")</f>
        <v/>
      </c>
      <c r="E389" s="221" t="str">
        <f>IFERROR(IF(DB_Customers!R383&lt;&gt;"",DB_Customers!R383,""),"")</f>
        <v/>
      </c>
      <c r="F389" s="222" t="str">
        <f>IFERROR(IF(DB_Customers!S383&lt;&gt;"",DB_Customers!S383,""),"")</f>
        <v/>
      </c>
      <c r="G389" s="222" t="str">
        <f>IFERROR(IF(DB_Customers!G383&lt;&gt;"",DB_Customers!G383,""),"")</f>
        <v/>
      </c>
      <c r="H389" s="221" t="str">
        <f>IFERROR(IF(DB_Customers!H383&lt;&gt;"",DB_Customers!H383,""),"")</f>
        <v/>
      </c>
      <c r="I389" s="224" t="str">
        <f>IFERROR(IF(DB_Customers!I383&lt;&gt;"",DB_Customers!I383,""),"")</f>
        <v/>
      </c>
      <c r="J389" s="225" t="str">
        <f>IFERROR(IF(DB_Customers!J383&lt;&gt;"",DB_Customers!J383,""),"")</f>
        <v/>
      </c>
      <c r="K389" s="222" t="str">
        <f>IFERROR(IF(DB_Customers!E383&lt;&gt;"",DB_Customers!E383,""),"")</f>
        <v/>
      </c>
      <c r="L389" s="222" t="str">
        <f>IFERROR(IF(DB_Customers!F383&lt;&gt;"",DB_Customers!F383,""),"")</f>
        <v/>
      </c>
      <c r="M389" s="222" t="str">
        <f>IFERROR(IF(DB_Customers!T383&lt;&gt;"",DB_Customers!T383,""),"")</f>
        <v/>
      </c>
      <c r="N389" s="221" t="str">
        <f>IFERROR(IF(DB_Customers!A383&lt;&gt;"",IF(DB_Customers!I383&gt;=10,"Active","Inactive"),""),"")</f>
        <v/>
      </c>
    </row>
    <row r="390" spans="1:14" ht="18" customHeight="1" x14ac:dyDescent="0.25">
      <c r="A390" s="216" t="str">
        <f>IF(DB_Customers!A384&lt;&gt;"",ROW()-9,"")</f>
        <v/>
      </c>
      <c r="B390" s="216" t="str">
        <f>IFERROR(IF(DB_Customers!A384&lt;&gt;"",DB_Customers!A384,""),"")</f>
        <v/>
      </c>
      <c r="C390" s="217" t="str">
        <f>IFERROR(IF(DB_Customers!D384&lt;&gt;"",DB_Customers!D384,""),"")</f>
        <v/>
      </c>
      <c r="D390" s="218" t="str">
        <f>IFERROR(IF(DB_Customers!Q384&lt;&gt;"",DB_Customers!Q384,""),"")</f>
        <v/>
      </c>
      <c r="E390" s="216" t="str">
        <f>IFERROR(IF(DB_Customers!R384&lt;&gt;"",DB_Customers!R384,""),"")</f>
        <v/>
      </c>
      <c r="F390" s="217" t="str">
        <f>IFERROR(IF(DB_Customers!S384&lt;&gt;"",DB_Customers!S384,""),"")</f>
        <v/>
      </c>
      <c r="G390" s="217" t="str">
        <f>IFERROR(IF(DB_Customers!G384&lt;&gt;"",DB_Customers!G384,""),"")</f>
        <v/>
      </c>
      <c r="H390" s="216" t="str">
        <f>IFERROR(IF(DB_Customers!H384&lt;&gt;"",DB_Customers!H384,""),"")</f>
        <v/>
      </c>
      <c r="I390" s="219" t="str">
        <f>IFERROR(IF(DB_Customers!I384&lt;&gt;"",DB_Customers!I384,""),"")</f>
        <v/>
      </c>
      <c r="J390" s="220" t="str">
        <f>IFERROR(IF(DB_Customers!J384&lt;&gt;"",DB_Customers!J384,""),"")</f>
        <v/>
      </c>
      <c r="K390" s="217" t="str">
        <f>IFERROR(IF(DB_Customers!E384&lt;&gt;"",DB_Customers!E384,""),"")</f>
        <v/>
      </c>
      <c r="L390" s="217" t="str">
        <f>IFERROR(IF(DB_Customers!F384&lt;&gt;"",DB_Customers!F384,""),"")</f>
        <v/>
      </c>
      <c r="M390" s="217" t="str">
        <f>IFERROR(IF(DB_Customers!T384&lt;&gt;"",DB_Customers!T384,""),"")</f>
        <v/>
      </c>
      <c r="N390" s="216" t="str">
        <f>IFERROR(IF(DB_Customers!A384&lt;&gt;"",IF(DB_Customers!I384&gt;=10,"Active","Inactive"),""),"")</f>
        <v/>
      </c>
    </row>
    <row r="391" spans="1:14" ht="18" customHeight="1" x14ac:dyDescent="0.25">
      <c r="A391" s="221" t="str">
        <f>IF(DB_Customers!A385&lt;&gt;"",ROW()-9,"")</f>
        <v/>
      </c>
      <c r="B391" s="221" t="str">
        <f>IFERROR(IF(DB_Customers!A385&lt;&gt;"",DB_Customers!A385,""),"")</f>
        <v/>
      </c>
      <c r="C391" s="222" t="str">
        <f>IFERROR(IF(DB_Customers!D385&lt;&gt;"",DB_Customers!D385,""),"")</f>
        <v/>
      </c>
      <c r="D391" s="223" t="str">
        <f>IFERROR(IF(DB_Customers!Q385&lt;&gt;"",DB_Customers!Q385,""),"")</f>
        <v/>
      </c>
      <c r="E391" s="221" t="str">
        <f>IFERROR(IF(DB_Customers!R385&lt;&gt;"",DB_Customers!R385,""),"")</f>
        <v/>
      </c>
      <c r="F391" s="222" t="str">
        <f>IFERROR(IF(DB_Customers!S385&lt;&gt;"",DB_Customers!S385,""),"")</f>
        <v/>
      </c>
      <c r="G391" s="222" t="str">
        <f>IFERROR(IF(DB_Customers!G385&lt;&gt;"",DB_Customers!G385,""),"")</f>
        <v/>
      </c>
      <c r="H391" s="221" t="str">
        <f>IFERROR(IF(DB_Customers!H385&lt;&gt;"",DB_Customers!H385,""),"")</f>
        <v/>
      </c>
      <c r="I391" s="224" t="str">
        <f>IFERROR(IF(DB_Customers!I385&lt;&gt;"",DB_Customers!I385,""),"")</f>
        <v/>
      </c>
      <c r="J391" s="225" t="str">
        <f>IFERROR(IF(DB_Customers!J385&lt;&gt;"",DB_Customers!J385,""),"")</f>
        <v/>
      </c>
      <c r="K391" s="222" t="str">
        <f>IFERROR(IF(DB_Customers!E385&lt;&gt;"",DB_Customers!E385,""),"")</f>
        <v/>
      </c>
      <c r="L391" s="222" t="str">
        <f>IFERROR(IF(DB_Customers!F385&lt;&gt;"",DB_Customers!F385,""),"")</f>
        <v/>
      </c>
      <c r="M391" s="222" t="str">
        <f>IFERROR(IF(DB_Customers!T385&lt;&gt;"",DB_Customers!T385,""),"")</f>
        <v/>
      </c>
      <c r="N391" s="221" t="str">
        <f>IFERROR(IF(DB_Customers!A385&lt;&gt;"",IF(DB_Customers!I385&gt;=10,"Active","Inactive"),""),"")</f>
        <v/>
      </c>
    </row>
    <row r="392" spans="1:14" ht="18" customHeight="1" x14ac:dyDescent="0.25">
      <c r="A392" s="216" t="str">
        <f>IF(DB_Customers!A386&lt;&gt;"",ROW()-9,"")</f>
        <v/>
      </c>
      <c r="B392" s="216" t="str">
        <f>IFERROR(IF(DB_Customers!A386&lt;&gt;"",DB_Customers!A386,""),"")</f>
        <v/>
      </c>
      <c r="C392" s="217" t="str">
        <f>IFERROR(IF(DB_Customers!D386&lt;&gt;"",DB_Customers!D386,""),"")</f>
        <v/>
      </c>
      <c r="D392" s="218" t="str">
        <f>IFERROR(IF(DB_Customers!Q386&lt;&gt;"",DB_Customers!Q386,""),"")</f>
        <v/>
      </c>
      <c r="E392" s="216" t="str">
        <f>IFERROR(IF(DB_Customers!R386&lt;&gt;"",DB_Customers!R386,""),"")</f>
        <v/>
      </c>
      <c r="F392" s="217" t="str">
        <f>IFERROR(IF(DB_Customers!S386&lt;&gt;"",DB_Customers!S386,""),"")</f>
        <v/>
      </c>
      <c r="G392" s="217" t="str">
        <f>IFERROR(IF(DB_Customers!G386&lt;&gt;"",DB_Customers!G386,""),"")</f>
        <v/>
      </c>
      <c r="H392" s="216" t="str">
        <f>IFERROR(IF(DB_Customers!H386&lt;&gt;"",DB_Customers!H386,""),"")</f>
        <v/>
      </c>
      <c r="I392" s="219" t="str">
        <f>IFERROR(IF(DB_Customers!I386&lt;&gt;"",DB_Customers!I386,""),"")</f>
        <v/>
      </c>
      <c r="J392" s="220" t="str">
        <f>IFERROR(IF(DB_Customers!J386&lt;&gt;"",DB_Customers!J386,""),"")</f>
        <v/>
      </c>
      <c r="K392" s="217" t="str">
        <f>IFERROR(IF(DB_Customers!E386&lt;&gt;"",DB_Customers!E386,""),"")</f>
        <v/>
      </c>
      <c r="L392" s="217" t="str">
        <f>IFERROR(IF(DB_Customers!F386&lt;&gt;"",DB_Customers!F386,""),"")</f>
        <v/>
      </c>
      <c r="M392" s="217" t="str">
        <f>IFERROR(IF(DB_Customers!T386&lt;&gt;"",DB_Customers!T386,""),"")</f>
        <v/>
      </c>
      <c r="N392" s="216" t="str">
        <f>IFERROR(IF(DB_Customers!A386&lt;&gt;"",IF(DB_Customers!I386&gt;=10,"Active","Inactive"),""),"")</f>
        <v/>
      </c>
    </row>
    <row r="393" spans="1:14" ht="18" customHeight="1" x14ac:dyDescent="0.25">
      <c r="A393" s="221" t="str">
        <f>IF(DB_Customers!A387&lt;&gt;"",ROW()-9,"")</f>
        <v/>
      </c>
      <c r="B393" s="221" t="str">
        <f>IFERROR(IF(DB_Customers!A387&lt;&gt;"",DB_Customers!A387,""),"")</f>
        <v/>
      </c>
      <c r="C393" s="222" t="str">
        <f>IFERROR(IF(DB_Customers!D387&lt;&gt;"",DB_Customers!D387,""),"")</f>
        <v/>
      </c>
      <c r="D393" s="223" t="str">
        <f>IFERROR(IF(DB_Customers!Q387&lt;&gt;"",DB_Customers!Q387,""),"")</f>
        <v/>
      </c>
      <c r="E393" s="221" t="str">
        <f>IFERROR(IF(DB_Customers!R387&lt;&gt;"",DB_Customers!R387,""),"")</f>
        <v/>
      </c>
      <c r="F393" s="222" t="str">
        <f>IFERROR(IF(DB_Customers!S387&lt;&gt;"",DB_Customers!S387,""),"")</f>
        <v/>
      </c>
      <c r="G393" s="222" t="str">
        <f>IFERROR(IF(DB_Customers!G387&lt;&gt;"",DB_Customers!G387,""),"")</f>
        <v/>
      </c>
      <c r="H393" s="221" t="str">
        <f>IFERROR(IF(DB_Customers!H387&lt;&gt;"",DB_Customers!H387,""),"")</f>
        <v/>
      </c>
      <c r="I393" s="224" t="str">
        <f>IFERROR(IF(DB_Customers!I387&lt;&gt;"",DB_Customers!I387,""),"")</f>
        <v/>
      </c>
      <c r="J393" s="225" t="str">
        <f>IFERROR(IF(DB_Customers!J387&lt;&gt;"",DB_Customers!J387,""),"")</f>
        <v/>
      </c>
      <c r="K393" s="222" t="str">
        <f>IFERROR(IF(DB_Customers!E387&lt;&gt;"",DB_Customers!E387,""),"")</f>
        <v/>
      </c>
      <c r="L393" s="222" t="str">
        <f>IFERROR(IF(DB_Customers!F387&lt;&gt;"",DB_Customers!F387,""),"")</f>
        <v/>
      </c>
      <c r="M393" s="222" t="str">
        <f>IFERROR(IF(DB_Customers!T387&lt;&gt;"",DB_Customers!T387,""),"")</f>
        <v/>
      </c>
      <c r="N393" s="221" t="str">
        <f>IFERROR(IF(DB_Customers!A387&lt;&gt;"",IF(DB_Customers!I387&gt;=10,"Active","Inactive"),""),"")</f>
        <v/>
      </c>
    </row>
    <row r="394" spans="1:14" ht="18" customHeight="1" x14ac:dyDescent="0.25">
      <c r="A394" s="216" t="str">
        <f>IF(DB_Customers!A388&lt;&gt;"",ROW()-9,"")</f>
        <v/>
      </c>
      <c r="B394" s="216" t="str">
        <f>IFERROR(IF(DB_Customers!A388&lt;&gt;"",DB_Customers!A388,""),"")</f>
        <v/>
      </c>
      <c r="C394" s="217" t="str">
        <f>IFERROR(IF(DB_Customers!D388&lt;&gt;"",DB_Customers!D388,""),"")</f>
        <v/>
      </c>
      <c r="D394" s="218" t="str">
        <f>IFERROR(IF(DB_Customers!Q388&lt;&gt;"",DB_Customers!Q388,""),"")</f>
        <v/>
      </c>
      <c r="E394" s="216" t="str">
        <f>IFERROR(IF(DB_Customers!R388&lt;&gt;"",DB_Customers!R388,""),"")</f>
        <v/>
      </c>
      <c r="F394" s="217" t="str">
        <f>IFERROR(IF(DB_Customers!S388&lt;&gt;"",DB_Customers!S388,""),"")</f>
        <v/>
      </c>
      <c r="G394" s="217" t="str">
        <f>IFERROR(IF(DB_Customers!G388&lt;&gt;"",DB_Customers!G388,""),"")</f>
        <v/>
      </c>
      <c r="H394" s="216" t="str">
        <f>IFERROR(IF(DB_Customers!H388&lt;&gt;"",DB_Customers!H388,""),"")</f>
        <v/>
      </c>
      <c r="I394" s="219" t="str">
        <f>IFERROR(IF(DB_Customers!I388&lt;&gt;"",DB_Customers!I388,""),"")</f>
        <v/>
      </c>
      <c r="J394" s="220" t="str">
        <f>IFERROR(IF(DB_Customers!J388&lt;&gt;"",DB_Customers!J388,""),"")</f>
        <v/>
      </c>
      <c r="K394" s="217" t="str">
        <f>IFERROR(IF(DB_Customers!E388&lt;&gt;"",DB_Customers!E388,""),"")</f>
        <v/>
      </c>
      <c r="L394" s="217" t="str">
        <f>IFERROR(IF(DB_Customers!F388&lt;&gt;"",DB_Customers!F388,""),"")</f>
        <v/>
      </c>
      <c r="M394" s="217" t="str">
        <f>IFERROR(IF(DB_Customers!T388&lt;&gt;"",DB_Customers!T388,""),"")</f>
        <v/>
      </c>
      <c r="N394" s="216" t="str">
        <f>IFERROR(IF(DB_Customers!A388&lt;&gt;"",IF(DB_Customers!I388&gt;=10,"Active","Inactive"),""),"")</f>
        <v/>
      </c>
    </row>
    <row r="395" spans="1:14" ht="18" customHeight="1" x14ac:dyDescent="0.25">
      <c r="A395" s="221" t="str">
        <f>IF(DB_Customers!A389&lt;&gt;"",ROW()-9,"")</f>
        <v/>
      </c>
      <c r="B395" s="221" t="str">
        <f>IFERROR(IF(DB_Customers!A389&lt;&gt;"",DB_Customers!A389,""),"")</f>
        <v/>
      </c>
      <c r="C395" s="222" t="str">
        <f>IFERROR(IF(DB_Customers!D389&lt;&gt;"",DB_Customers!D389,""),"")</f>
        <v/>
      </c>
      <c r="D395" s="223" t="str">
        <f>IFERROR(IF(DB_Customers!Q389&lt;&gt;"",DB_Customers!Q389,""),"")</f>
        <v/>
      </c>
      <c r="E395" s="221" t="str">
        <f>IFERROR(IF(DB_Customers!R389&lt;&gt;"",DB_Customers!R389,""),"")</f>
        <v/>
      </c>
      <c r="F395" s="222" t="str">
        <f>IFERROR(IF(DB_Customers!S389&lt;&gt;"",DB_Customers!S389,""),"")</f>
        <v/>
      </c>
      <c r="G395" s="222" t="str">
        <f>IFERROR(IF(DB_Customers!G389&lt;&gt;"",DB_Customers!G389,""),"")</f>
        <v/>
      </c>
      <c r="H395" s="221" t="str">
        <f>IFERROR(IF(DB_Customers!H389&lt;&gt;"",DB_Customers!H389,""),"")</f>
        <v/>
      </c>
      <c r="I395" s="224" t="str">
        <f>IFERROR(IF(DB_Customers!I389&lt;&gt;"",DB_Customers!I389,""),"")</f>
        <v/>
      </c>
      <c r="J395" s="225" t="str">
        <f>IFERROR(IF(DB_Customers!J389&lt;&gt;"",DB_Customers!J389,""),"")</f>
        <v/>
      </c>
      <c r="K395" s="222" t="str">
        <f>IFERROR(IF(DB_Customers!E389&lt;&gt;"",DB_Customers!E389,""),"")</f>
        <v/>
      </c>
      <c r="L395" s="222" t="str">
        <f>IFERROR(IF(DB_Customers!F389&lt;&gt;"",DB_Customers!F389,""),"")</f>
        <v/>
      </c>
      <c r="M395" s="222" t="str">
        <f>IFERROR(IF(DB_Customers!T389&lt;&gt;"",DB_Customers!T389,""),"")</f>
        <v/>
      </c>
      <c r="N395" s="221" t="str">
        <f>IFERROR(IF(DB_Customers!A389&lt;&gt;"",IF(DB_Customers!I389&gt;=10,"Active","Inactive"),""),"")</f>
        <v/>
      </c>
    </row>
    <row r="396" spans="1:14" ht="18" customHeight="1" x14ac:dyDescent="0.25">
      <c r="A396" s="216" t="str">
        <f>IF(DB_Customers!A390&lt;&gt;"",ROW()-9,"")</f>
        <v/>
      </c>
      <c r="B396" s="216" t="str">
        <f>IFERROR(IF(DB_Customers!A390&lt;&gt;"",DB_Customers!A390,""),"")</f>
        <v/>
      </c>
      <c r="C396" s="217" t="str">
        <f>IFERROR(IF(DB_Customers!D390&lt;&gt;"",DB_Customers!D390,""),"")</f>
        <v/>
      </c>
      <c r="D396" s="218" t="str">
        <f>IFERROR(IF(DB_Customers!Q390&lt;&gt;"",DB_Customers!Q390,""),"")</f>
        <v/>
      </c>
      <c r="E396" s="216" t="str">
        <f>IFERROR(IF(DB_Customers!R390&lt;&gt;"",DB_Customers!R390,""),"")</f>
        <v/>
      </c>
      <c r="F396" s="217" t="str">
        <f>IFERROR(IF(DB_Customers!S390&lt;&gt;"",DB_Customers!S390,""),"")</f>
        <v/>
      </c>
      <c r="G396" s="217" t="str">
        <f>IFERROR(IF(DB_Customers!G390&lt;&gt;"",DB_Customers!G390,""),"")</f>
        <v/>
      </c>
      <c r="H396" s="216" t="str">
        <f>IFERROR(IF(DB_Customers!H390&lt;&gt;"",DB_Customers!H390,""),"")</f>
        <v/>
      </c>
      <c r="I396" s="219" t="str">
        <f>IFERROR(IF(DB_Customers!I390&lt;&gt;"",DB_Customers!I390,""),"")</f>
        <v/>
      </c>
      <c r="J396" s="220" t="str">
        <f>IFERROR(IF(DB_Customers!J390&lt;&gt;"",DB_Customers!J390,""),"")</f>
        <v/>
      </c>
      <c r="K396" s="217" t="str">
        <f>IFERROR(IF(DB_Customers!E390&lt;&gt;"",DB_Customers!E390,""),"")</f>
        <v/>
      </c>
      <c r="L396" s="217" t="str">
        <f>IFERROR(IF(DB_Customers!F390&lt;&gt;"",DB_Customers!F390,""),"")</f>
        <v/>
      </c>
      <c r="M396" s="217" t="str">
        <f>IFERROR(IF(DB_Customers!T390&lt;&gt;"",DB_Customers!T390,""),"")</f>
        <v/>
      </c>
      <c r="N396" s="216" t="str">
        <f>IFERROR(IF(DB_Customers!A390&lt;&gt;"",IF(DB_Customers!I390&gt;=10,"Active","Inactive"),""),"")</f>
        <v/>
      </c>
    </row>
    <row r="397" spans="1:14" ht="18" customHeight="1" x14ac:dyDescent="0.25">
      <c r="A397" s="221" t="str">
        <f>IF(DB_Customers!A391&lt;&gt;"",ROW()-9,"")</f>
        <v/>
      </c>
      <c r="B397" s="221" t="str">
        <f>IFERROR(IF(DB_Customers!A391&lt;&gt;"",DB_Customers!A391,""),"")</f>
        <v/>
      </c>
      <c r="C397" s="222" t="str">
        <f>IFERROR(IF(DB_Customers!D391&lt;&gt;"",DB_Customers!D391,""),"")</f>
        <v/>
      </c>
      <c r="D397" s="223" t="str">
        <f>IFERROR(IF(DB_Customers!Q391&lt;&gt;"",DB_Customers!Q391,""),"")</f>
        <v/>
      </c>
      <c r="E397" s="221" t="str">
        <f>IFERROR(IF(DB_Customers!R391&lt;&gt;"",DB_Customers!R391,""),"")</f>
        <v/>
      </c>
      <c r="F397" s="222" t="str">
        <f>IFERROR(IF(DB_Customers!S391&lt;&gt;"",DB_Customers!S391,""),"")</f>
        <v/>
      </c>
      <c r="G397" s="222" t="str">
        <f>IFERROR(IF(DB_Customers!G391&lt;&gt;"",DB_Customers!G391,""),"")</f>
        <v/>
      </c>
      <c r="H397" s="221" t="str">
        <f>IFERROR(IF(DB_Customers!H391&lt;&gt;"",DB_Customers!H391,""),"")</f>
        <v/>
      </c>
      <c r="I397" s="224" t="str">
        <f>IFERROR(IF(DB_Customers!I391&lt;&gt;"",DB_Customers!I391,""),"")</f>
        <v/>
      </c>
      <c r="J397" s="225" t="str">
        <f>IFERROR(IF(DB_Customers!J391&lt;&gt;"",DB_Customers!J391,""),"")</f>
        <v/>
      </c>
      <c r="K397" s="222" t="str">
        <f>IFERROR(IF(DB_Customers!E391&lt;&gt;"",DB_Customers!E391,""),"")</f>
        <v/>
      </c>
      <c r="L397" s="222" t="str">
        <f>IFERROR(IF(DB_Customers!F391&lt;&gt;"",DB_Customers!F391,""),"")</f>
        <v/>
      </c>
      <c r="M397" s="222" t="str">
        <f>IFERROR(IF(DB_Customers!T391&lt;&gt;"",DB_Customers!T391,""),"")</f>
        <v/>
      </c>
      <c r="N397" s="221" t="str">
        <f>IFERROR(IF(DB_Customers!A391&lt;&gt;"",IF(DB_Customers!I391&gt;=10,"Active","Inactive"),""),"")</f>
        <v/>
      </c>
    </row>
    <row r="398" spans="1:14" ht="18" customHeight="1" x14ac:dyDescent="0.25">
      <c r="A398" s="216" t="str">
        <f>IF(DB_Customers!A392&lt;&gt;"",ROW()-9,"")</f>
        <v/>
      </c>
      <c r="B398" s="216" t="str">
        <f>IFERROR(IF(DB_Customers!A392&lt;&gt;"",DB_Customers!A392,""),"")</f>
        <v/>
      </c>
      <c r="C398" s="217" t="str">
        <f>IFERROR(IF(DB_Customers!D392&lt;&gt;"",DB_Customers!D392,""),"")</f>
        <v/>
      </c>
      <c r="D398" s="218" t="str">
        <f>IFERROR(IF(DB_Customers!Q392&lt;&gt;"",DB_Customers!Q392,""),"")</f>
        <v/>
      </c>
      <c r="E398" s="216" t="str">
        <f>IFERROR(IF(DB_Customers!R392&lt;&gt;"",DB_Customers!R392,""),"")</f>
        <v/>
      </c>
      <c r="F398" s="217" t="str">
        <f>IFERROR(IF(DB_Customers!S392&lt;&gt;"",DB_Customers!S392,""),"")</f>
        <v/>
      </c>
      <c r="G398" s="217" t="str">
        <f>IFERROR(IF(DB_Customers!G392&lt;&gt;"",DB_Customers!G392,""),"")</f>
        <v/>
      </c>
      <c r="H398" s="216" t="str">
        <f>IFERROR(IF(DB_Customers!H392&lt;&gt;"",DB_Customers!H392,""),"")</f>
        <v/>
      </c>
      <c r="I398" s="219" t="str">
        <f>IFERROR(IF(DB_Customers!I392&lt;&gt;"",DB_Customers!I392,""),"")</f>
        <v/>
      </c>
      <c r="J398" s="220" t="str">
        <f>IFERROR(IF(DB_Customers!J392&lt;&gt;"",DB_Customers!J392,""),"")</f>
        <v/>
      </c>
      <c r="K398" s="217" t="str">
        <f>IFERROR(IF(DB_Customers!E392&lt;&gt;"",DB_Customers!E392,""),"")</f>
        <v/>
      </c>
      <c r="L398" s="217" t="str">
        <f>IFERROR(IF(DB_Customers!F392&lt;&gt;"",DB_Customers!F392,""),"")</f>
        <v/>
      </c>
      <c r="M398" s="217" t="str">
        <f>IFERROR(IF(DB_Customers!T392&lt;&gt;"",DB_Customers!T392,""),"")</f>
        <v/>
      </c>
      <c r="N398" s="216" t="str">
        <f>IFERROR(IF(DB_Customers!A392&lt;&gt;"",IF(DB_Customers!I392&gt;=10,"Active","Inactive"),""),"")</f>
        <v/>
      </c>
    </row>
    <row r="399" spans="1:14" ht="18" customHeight="1" x14ac:dyDescent="0.25">
      <c r="A399" s="221" t="str">
        <f>IF(DB_Customers!A393&lt;&gt;"",ROW()-9,"")</f>
        <v/>
      </c>
      <c r="B399" s="221" t="str">
        <f>IFERROR(IF(DB_Customers!A393&lt;&gt;"",DB_Customers!A393,""),"")</f>
        <v/>
      </c>
      <c r="C399" s="222" t="str">
        <f>IFERROR(IF(DB_Customers!D393&lt;&gt;"",DB_Customers!D393,""),"")</f>
        <v/>
      </c>
      <c r="D399" s="223" t="str">
        <f>IFERROR(IF(DB_Customers!Q393&lt;&gt;"",DB_Customers!Q393,""),"")</f>
        <v/>
      </c>
      <c r="E399" s="221" t="str">
        <f>IFERROR(IF(DB_Customers!R393&lt;&gt;"",DB_Customers!R393,""),"")</f>
        <v/>
      </c>
      <c r="F399" s="222" t="str">
        <f>IFERROR(IF(DB_Customers!S393&lt;&gt;"",DB_Customers!S393,""),"")</f>
        <v/>
      </c>
      <c r="G399" s="222" t="str">
        <f>IFERROR(IF(DB_Customers!G393&lt;&gt;"",DB_Customers!G393,""),"")</f>
        <v/>
      </c>
      <c r="H399" s="221" t="str">
        <f>IFERROR(IF(DB_Customers!H393&lt;&gt;"",DB_Customers!H393,""),"")</f>
        <v/>
      </c>
      <c r="I399" s="224" t="str">
        <f>IFERROR(IF(DB_Customers!I393&lt;&gt;"",DB_Customers!I393,""),"")</f>
        <v/>
      </c>
      <c r="J399" s="225" t="str">
        <f>IFERROR(IF(DB_Customers!J393&lt;&gt;"",DB_Customers!J393,""),"")</f>
        <v/>
      </c>
      <c r="K399" s="222" t="str">
        <f>IFERROR(IF(DB_Customers!E393&lt;&gt;"",DB_Customers!E393,""),"")</f>
        <v/>
      </c>
      <c r="L399" s="222" t="str">
        <f>IFERROR(IF(DB_Customers!F393&lt;&gt;"",DB_Customers!F393,""),"")</f>
        <v/>
      </c>
      <c r="M399" s="222" t="str">
        <f>IFERROR(IF(DB_Customers!T393&lt;&gt;"",DB_Customers!T393,""),"")</f>
        <v/>
      </c>
      <c r="N399" s="221" t="str">
        <f>IFERROR(IF(DB_Customers!A393&lt;&gt;"",IF(DB_Customers!I393&gt;=10,"Active","Inactive"),""),"")</f>
        <v/>
      </c>
    </row>
    <row r="400" spans="1:14" ht="18" customHeight="1" x14ac:dyDescent="0.25">
      <c r="A400" s="216" t="str">
        <f>IF(DB_Customers!A394&lt;&gt;"",ROW()-9,"")</f>
        <v/>
      </c>
      <c r="B400" s="216" t="str">
        <f>IFERROR(IF(DB_Customers!A394&lt;&gt;"",DB_Customers!A394,""),"")</f>
        <v/>
      </c>
      <c r="C400" s="217" t="str">
        <f>IFERROR(IF(DB_Customers!D394&lt;&gt;"",DB_Customers!D394,""),"")</f>
        <v/>
      </c>
      <c r="D400" s="218" t="str">
        <f>IFERROR(IF(DB_Customers!Q394&lt;&gt;"",DB_Customers!Q394,""),"")</f>
        <v/>
      </c>
      <c r="E400" s="216" t="str">
        <f>IFERROR(IF(DB_Customers!R394&lt;&gt;"",DB_Customers!R394,""),"")</f>
        <v/>
      </c>
      <c r="F400" s="217" t="str">
        <f>IFERROR(IF(DB_Customers!S394&lt;&gt;"",DB_Customers!S394,""),"")</f>
        <v/>
      </c>
      <c r="G400" s="217" t="str">
        <f>IFERROR(IF(DB_Customers!G394&lt;&gt;"",DB_Customers!G394,""),"")</f>
        <v/>
      </c>
      <c r="H400" s="216" t="str">
        <f>IFERROR(IF(DB_Customers!H394&lt;&gt;"",DB_Customers!H394,""),"")</f>
        <v/>
      </c>
      <c r="I400" s="219" t="str">
        <f>IFERROR(IF(DB_Customers!I394&lt;&gt;"",DB_Customers!I394,""),"")</f>
        <v/>
      </c>
      <c r="J400" s="220" t="str">
        <f>IFERROR(IF(DB_Customers!J394&lt;&gt;"",DB_Customers!J394,""),"")</f>
        <v/>
      </c>
      <c r="K400" s="217" t="str">
        <f>IFERROR(IF(DB_Customers!E394&lt;&gt;"",DB_Customers!E394,""),"")</f>
        <v/>
      </c>
      <c r="L400" s="217" t="str">
        <f>IFERROR(IF(DB_Customers!F394&lt;&gt;"",DB_Customers!F394,""),"")</f>
        <v/>
      </c>
      <c r="M400" s="217" t="str">
        <f>IFERROR(IF(DB_Customers!T394&lt;&gt;"",DB_Customers!T394,""),"")</f>
        <v/>
      </c>
      <c r="N400" s="216" t="str">
        <f>IFERROR(IF(DB_Customers!A394&lt;&gt;"",IF(DB_Customers!I394&gt;=10,"Active","Inactive"),""),"")</f>
        <v/>
      </c>
    </row>
    <row r="401" spans="1:14" ht="18" customHeight="1" x14ac:dyDescent="0.25">
      <c r="A401" s="221" t="str">
        <f>IF(DB_Customers!A395&lt;&gt;"",ROW()-9,"")</f>
        <v/>
      </c>
      <c r="B401" s="221" t="str">
        <f>IFERROR(IF(DB_Customers!A395&lt;&gt;"",DB_Customers!A395,""),"")</f>
        <v/>
      </c>
      <c r="C401" s="222" t="str">
        <f>IFERROR(IF(DB_Customers!D395&lt;&gt;"",DB_Customers!D395,""),"")</f>
        <v/>
      </c>
      <c r="D401" s="223" t="str">
        <f>IFERROR(IF(DB_Customers!Q395&lt;&gt;"",DB_Customers!Q395,""),"")</f>
        <v/>
      </c>
      <c r="E401" s="221" t="str">
        <f>IFERROR(IF(DB_Customers!R395&lt;&gt;"",DB_Customers!R395,""),"")</f>
        <v/>
      </c>
      <c r="F401" s="222" t="str">
        <f>IFERROR(IF(DB_Customers!S395&lt;&gt;"",DB_Customers!S395,""),"")</f>
        <v/>
      </c>
      <c r="G401" s="222" t="str">
        <f>IFERROR(IF(DB_Customers!G395&lt;&gt;"",DB_Customers!G395,""),"")</f>
        <v/>
      </c>
      <c r="H401" s="221" t="str">
        <f>IFERROR(IF(DB_Customers!H395&lt;&gt;"",DB_Customers!H395,""),"")</f>
        <v/>
      </c>
      <c r="I401" s="224" t="str">
        <f>IFERROR(IF(DB_Customers!I395&lt;&gt;"",DB_Customers!I395,""),"")</f>
        <v/>
      </c>
      <c r="J401" s="225" t="str">
        <f>IFERROR(IF(DB_Customers!J395&lt;&gt;"",DB_Customers!J395,""),"")</f>
        <v/>
      </c>
      <c r="K401" s="222" t="str">
        <f>IFERROR(IF(DB_Customers!E395&lt;&gt;"",DB_Customers!E395,""),"")</f>
        <v/>
      </c>
      <c r="L401" s="222" t="str">
        <f>IFERROR(IF(DB_Customers!F395&lt;&gt;"",DB_Customers!F395,""),"")</f>
        <v/>
      </c>
      <c r="M401" s="222" t="str">
        <f>IFERROR(IF(DB_Customers!T395&lt;&gt;"",DB_Customers!T395,""),"")</f>
        <v/>
      </c>
      <c r="N401" s="221" t="str">
        <f>IFERROR(IF(DB_Customers!A395&lt;&gt;"",IF(DB_Customers!I395&gt;=10,"Active","Inactive"),""),"")</f>
        <v/>
      </c>
    </row>
    <row r="402" spans="1:14" ht="18" customHeight="1" x14ac:dyDescent="0.25">
      <c r="A402" s="216" t="str">
        <f>IF(DB_Customers!A396&lt;&gt;"",ROW()-9,"")</f>
        <v/>
      </c>
      <c r="B402" s="216" t="str">
        <f>IFERROR(IF(DB_Customers!A396&lt;&gt;"",DB_Customers!A396,""),"")</f>
        <v/>
      </c>
      <c r="C402" s="217" t="str">
        <f>IFERROR(IF(DB_Customers!D396&lt;&gt;"",DB_Customers!D396,""),"")</f>
        <v/>
      </c>
      <c r="D402" s="218" t="str">
        <f>IFERROR(IF(DB_Customers!Q396&lt;&gt;"",DB_Customers!Q396,""),"")</f>
        <v/>
      </c>
      <c r="E402" s="216" t="str">
        <f>IFERROR(IF(DB_Customers!R396&lt;&gt;"",DB_Customers!R396,""),"")</f>
        <v/>
      </c>
      <c r="F402" s="217" t="str">
        <f>IFERROR(IF(DB_Customers!S396&lt;&gt;"",DB_Customers!S396,""),"")</f>
        <v/>
      </c>
      <c r="G402" s="217" t="str">
        <f>IFERROR(IF(DB_Customers!G396&lt;&gt;"",DB_Customers!G396,""),"")</f>
        <v/>
      </c>
      <c r="H402" s="216" t="str">
        <f>IFERROR(IF(DB_Customers!H396&lt;&gt;"",DB_Customers!H396,""),"")</f>
        <v/>
      </c>
      <c r="I402" s="219" t="str">
        <f>IFERROR(IF(DB_Customers!I396&lt;&gt;"",DB_Customers!I396,""),"")</f>
        <v/>
      </c>
      <c r="J402" s="220" t="str">
        <f>IFERROR(IF(DB_Customers!J396&lt;&gt;"",DB_Customers!J396,""),"")</f>
        <v/>
      </c>
      <c r="K402" s="217" t="str">
        <f>IFERROR(IF(DB_Customers!E396&lt;&gt;"",DB_Customers!E396,""),"")</f>
        <v/>
      </c>
      <c r="L402" s="217" t="str">
        <f>IFERROR(IF(DB_Customers!F396&lt;&gt;"",DB_Customers!F396,""),"")</f>
        <v/>
      </c>
      <c r="M402" s="217" t="str">
        <f>IFERROR(IF(DB_Customers!T396&lt;&gt;"",DB_Customers!T396,""),"")</f>
        <v/>
      </c>
      <c r="N402" s="216" t="str">
        <f>IFERROR(IF(DB_Customers!A396&lt;&gt;"",IF(DB_Customers!I396&gt;=10,"Active","Inactive"),""),"")</f>
        <v/>
      </c>
    </row>
    <row r="403" spans="1:14" ht="18" customHeight="1" x14ac:dyDescent="0.25">
      <c r="A403" s="221" t="str">
        <f>IF(DB_Customers!A397&lt;&gt;"",ROW()-9,"")</f>
        <v/>
      </c>
      <c r="B403" s="221" t="str">
        <f>IFERROR(IF(DB_Customers!A397&lt;&gt;"",DB_Customers!A397,""),"")</f>
        <v/>
      </c>
      <c r="C403" s="222" t="str">
        <f>IFERROR(IF(DB_Customers!D397&lt;&gt;"",DB_Customers!D397,""),"")</f>
        <v/>
      </c>
      <c r="D403" s="223" t="str">
        <f>IFERROR(IF(DB_Customers!Q397&lt;&gt;"",DB_Customers!Q397,""),"")</f>
        <v/>
      </c>
      <c r="E403" s="221" t="str">
        <f>IFERROR(IF(DB_Customers!R397&lt;&gt;"",DB_Customers!R397,""),"")</f>
        <v/>
      </c>
      <c r="F403" s="222" t="str">
        <f>IFERROR(IF(DB_Customers!S397&lt;&gt;"",DB_Customers!S397,""),"")</f>
        <v/>
      </c>
      <c r="G403" s="222" t="str">
        <f>IFERROR(IF(DB_Customers!G397&lt;&gt;"",DB_Customers!G397,""),"")</f>
        <v/>
      </c>
      <c r="H403" s="221" t="str">
        <f>IFERROR(IF(DB_Customers!H397&lt;&gt;"",DB_Customers!H397,""),"")</f>
        <v/>
      </c>
      <c r="I403" s="224" t="str">
        <f>IFERROR(IF(DB_Customers!I397&lt;&gt;"",DB_Customers!I397,""),"")</f>
        <v/>
      </c>
      <c r="J403" s="225" t="str">
        <f>IFERROR(IF(DB_Customers!J397&lt;&gt;"",DB_Customers!J397,""),"")</f>
        <v/>
      </c>
      <c r="K403" s="222" t="str">
        <f>IFERROR(IF(DB_Customers!E397&lt;&gt;"",DB_Customers!E397,""),"")</f>
        <v/>
      </c>
      <c r="L403" s="222" t="str">
        <f>IFERROR(IF(DB_Customers!F397&lt;&gt;"",DB_Customers!F397,""),"")</f>
        <v/>
      </c>
      <c r="M403" s="222" t="str">
        <f>IFERROR(IF(DB_Customers!T397&lt;&gt;"",DB_Customers!T397,""),"")</f>
        <v/>
      </c>
      <c r="N403" s="221" t="str">
        <f>IFERROR(IF(DB_Customers!A397&lt;&gt;"",IF(DB_Customers!I397&gt;=10,"Active","Inactive"),""),"")</f>
        <v/>
      </c>
    </row>
    <row r="404" spans="1:14" ht="18" customHeight="1" x14ac:dyDescent="0.25">
      <c r="A404" s="216" t="str">
        <f>IF(DB_Customers!A398&lt;&gt;"",ROW()-9,"")</f>
        <v/>
      </c>
      <c r="B404" s="216" t="str">
        <f>IFERROR(IF(DB_Customers!A398&lt;&gt;"",DB_Customers!A398,""),"")</f>
        <v/>
      </c>
      <c r="C404" s="217" t="str">
        <f>IFERROR(IF(DB_Customers!D398&lt;&gt;"",DB_Customers!D398,""),"")</f>
        <v/>
      </c>
      <c r="D404" s="218" t="str">
        <f>IFERROR(IF(DB_Customers!Q398&lt;&gt;"",DB_Customers!Q398,""),"")</f>
        <v/>
      </c>
      <c r="E404" s="216" t="str">
        <f>IFERROR(IF(DB_Customers!R398&lt;&gt;"",DB_Customers!R398,""),"")</f>
        <v/>
      </c>
      <c r="F404" s="217" t="str">
        <f>IFERROR(IF(DB_Customers!S398&lt;&gt;"",DB_Customers!S398,""),"")</f>
        <v/>
      </c>
      <c r="G404" s="217" t="str">
        <f>IFERROR(IF(DB_Customers!G398&lt;&gt;"",DB_Customers!G398,""),"")</f>
        <v/>
      </c>
      <c r="H404" s="216" t="str">
        <f>IFERROR(IF(DB_Customers!H398&lt;&gt;"",DB_Customers!H398,""),"")</f>
        <v/>
      </c>
      <c r="I404" s="219" t="str">
        <f>IFERROR(IF(DB_Customers!I398&lt;&gt;"",DB_Customers!I398,""),"")</f>
        <v/>
      </c>
      <c r="J404" s="220" t="str">
        <f>IFERROR(IF(DB_Customers!J398&lt;&gt;"",DB_Customers!J398,""),"")</f>
        <v/>
      </c>
      <c r="K404" s="217" t="str">
        <f>IFERROR(IF(DB_Customers!E398&lt;&gt;"",DB_Customers!E398,""),"")</f>
        <v/>
      </c>
      <c r="L404" s="217" t="str">
        <f>IFERROR(IF(DB_Customers!F398&lt;&gt;"",DB_Customers!F398,""),"")</f>
        <v/>
      </c>
      <c r="M404" s="217" t="str">
        <f>IFERROR(IF(DB_Customers!T398&lt;&gt;"",DB_Customers!T398,""),"")</f>
        <v/>
      </c>
      <c r="N404" s="216" t="str">
        <f>IFERROR(IF(DB_Customers!A398&lt;&gt;"",IF(DB_Customers!I398&gt;=10,"Active","Inactive"),""),"")</f>
        <v/>
      </c>
    </row>
    <row r="405" spans="1:14" ht="18" customHeight="1" x14ac:dyDescent="0.25">
      <c r="A405" s="221" t="str">
        <f>IF(DB_Customers!A399&lt;&gt;"",ROW()-9,"")</f>
        <v/>
      </c>
      <c r="B405" s="221" t="str">
        <f>IFERROR(IF(DB_Customers!A399&lt;&gt;"",DB_Customers!A399,""),"")</f>
        <v/>
      </c>
      <c r="C405" s="222" t="str">
        <f>IFERROR(IF(DB_Customers!D399&lt;&gt;"",DB_Customers!D399,""),"")</f>
        <v/>
      </c>
      <c r="D405" s="223" t="str">
        <f>IFERROR(IF(DB_Customers!Q399&lt;&gt;"",DB_Customers!Q399,""),"")</f>
        <v/>
      </c>
      <c r="E405" s="221" t="str">
        <f>IFERROR(IF(DB_Customers!R399&lt;&gt;"",DB_Customers!R399,""),"")</f>
        <v/>
      </c>
      <c r="F405" s="222" t="str">
        <f>IFERROR(IF(DB_Customers!S399&lt;&gt;"",DB_Customers!S399,""),"")</f>
        <v/>
      </c>
      <c r="G405" s="222" t="str">
        <f>IFERROR(IF(DB_Customers!G399&lt;&gt;"",DB_Customers!G399,""),"")</f>
        <v/>
      </c>
      <c r="H405" s="221" t="str">
        <f>IFERROR(IF(DB_Customers!H399&lt;&gt;"",DB_Customers!H399,""),"")</f>
        <v/>
      </c>
      <c r="I405" s="224" t="str">
        <f>IFERROR(IF(DB_Customers!I399&lt;&gt;"",DB_Customers!I399,""),"")</f>
        <v/>
      </c>
      <c r="J405" s="225" t="str">
        <f>IFERROR(IF(DB_Customers!J399&lt;&gt;"",DB_Customers!J399,""),"")</f>
        <v/>
      </c>
      <c r="K405" s="222" t="str">
        <f>IFERROR(IF(DB_Customers!E399&lt;&gt;"",DB_Customers!E399,""),"")</f>
        <v/>
      </c>
      <c r="L405" s="222" t="str">
        <f>IFERROR(IF(DB_Customers!F399&lt;&gt;"",DB_Customers!F399,""),"")</f>
        <v/>
      </c>
      <c r="M405" s="222" t="str">
        <f>IFERROR(IF(DB_Customers!T399&lt;&gt;"",DB_Customers!T399,""),"")</f>
        <v/>
      </c>
      <c r="N405" s="221" t="str">
        <f>IFERROR(IF(DB_Customers!A399&lt;&gt;"",IF(DB_Customers!I399&gt;=10,"Active","Inactive"),""),"")</f>
        <v/>
      </c>
    </row>
    <row r="406" spans="1:14" ht="18" customHeight="1" x14ac:dyDescent="0.25">
      <c r="A406" s="216" t="str">
        <f>IF(DB_Customers!A400&lt;&gt;"",ROW()-9,"")</f>
        <v/>
      </c>
      <c r="B406" s="216" t="str">
        <f>IFERROR(IF(DB_Customers!A400&lt;&gt;"",DB_Customers!A400,""),"")</f>
        <v/>
      </c>
      <c r="C406" s="217" t="str">
        <f>IFERROR(IF(DB_Customers!D400&lt;&gt;"",DB_Customers!D400,""),"")</f>
        <v/>
      </c>
      <c r="D406" s="218" t="str">
        <f>IFERROR(IF(DB_Customers!Q400&lt;&gt;"",DB_Customers!Q400,""),"")</f>
        <v/>
      </c>
      <c r="E406" s="216" t="str">
        <f>IFERROR(IF(DB_Customers!R400&lt;&gt;"",DB_Customers!R400,""),"")</f>
        <v/>
      </c>
      <c r="F406" s="217" t="str">
        <f>IFERROR(IF(DB_Customers!S400&lt;&gt;"",DB_Customers!S400,""),"")</f>
        <v/>
      </c>
      <c r="G406" s="217" t="str">
        <f>IFERROR(IF(DB_Customers!G400&lt;&gt;"",DB_Customers!G400,""),"")</f>
        <v/>
      </c>
      <c r="H406" s="216" t="str">
        <f>IFERROR(IF(DB_Customers!H400&lt;&gt;"",DB_Customers!H400,""),"")</f>
        <v/>
      </c>
      <c r="I406" s="219" t="str">
        <f>IFERROR(IF(DB_Customers!I400&lt;&gt;"",DB_Customers!I400,""),"")</f>
        <v/>
      </c>
      <c r="J406" s="220" t="str">
        <f>IFERROR(IF(DB_Customers!J400&lt;&gt;"",DB_Customers!J400,""),"")</f>
        <v/>
      </c>
      <c r="K406" s="217" t="str">
        <f>IFERROR(IF(DB_Customers!E400&lt;&gt;"",DB_Customers!E400,""),"")</f>
        <v/>
      </c>
      <c r="L406" s="217" t="str">
        <f>IFERROR(IF(DB_Customers!F400&lt;&gt;"",DB_Customers!F400,""),"")</f>
        <v/>
      </c>
      <c r="M406" s="217" t="str">
        <f>IFERROR(IF(DB_Customers!T400&lt;&gt;"",DB_Customers!T400,""),"")</f>
        <v/>
      </c>
      <c r="N406" s="216" t="str">
        <f>IFERROR(IF(DB_Customers!A400&lt;&gt;"",IF(DB_Customers!I400&gt;=10,"Active","Inactive"),""),"")</f>
        <v/>
      </c>
    </row>
    <row r="407" spans="1:14" ht="18" customHeight="1" x14ac:dyDescent="0.25">
      <c r="A407" s="221" t="str">
        <f>IF(DB_Customers!A401&lt;&gt;"",ROW()-9,"")</f>
        <v/>
      </c>
      <c r="B407" s="221" t="str">
        <f>IFERROR(IF(DB_Customers!A401&lt;&gt;"",DB_Customers!A401,""),"")</f>
        <v/>
      </c>
      <c r="C407" s="222" t="str">
        <f>IFERROR(IF(DB_Customers!D401&lt;&gt;"",DB_Customers!D401,""),"")</f>
        <v/>
      </c>
      <c r="D407" s="223" t="str">
        <f>IFERROR(IF(DB_Customers!Q401&lt;&gt;"",DB_Customers!Q401,""),"")</f>
        <v/>
      </c>
      <c r="E407" s="221" t="str">
        <f>IFERROR(IF(DB_Customers!R401&lt;&gt;"",DB_Customers!R401,""),"")</f>
        <v/>
      </c>
      <c r="F407" s="222" t="str">
        <f>IFERROR(IF(DB_Customers!S401&lt;&gt;"",DB_Customers!S401,""),"")</f>
        <v/>
      </c>
      <c r="G407" s="222" t="str">
        <f>IFERROR(IF(DB_Customers!G401&lt;&gt;"",DB_Customers!G401,""),"")</f>
        <v/>
      </c>
      <c r="H407" s="221" t="str">
        <f>IFERROR(IF(DB_Customers!H401&lt;&gt;"",DB_Customers!H401,""),"")</f>
        <v/>
      </c>
      <c r="I407" s="224" t="str">
        <f>IFERROR(IF(DB_Customers!I401&lt;&gt;"",DB_Customers!I401,""),"")</f>
        <v/>
      </c>
      <c r="J407" s="225" t="str">
        <f>IFERROR(IF(DB_Customers!J401&lt;&gt;"",DB_Customers!J401,""),"")</f>
        <v/>
      </c>
      <c r="K407" s="222" t="str">
        <f>IFERROR(IF(DB_Customers!E401&lt;&gt;"",DB_Customers!E401,""),"")</f>
        <v/>
      </c>
      <c r="L407" s="222" t="str">
        <f>IFERROR(IF(DB_Customers!F401&lt;&gt;"",DB_Customers!F401,""),"")</f>
        <v/>
      </c>
      <c r="M407" s="222" t="str">
        <f>IFERROR(IF(DB_Customers!T401&lt;&gt;"",DB_Customers!T401,""),"")</f>
        <v/>
      </c>
      <c r="N407" s="221" t="str">
        <f>IFERROR(IF(DB_Customers!A401&lt;&gt;"",IF(DB_Customers!I401&gt;=10,"Active","Inactive"),""),"")</f>
        <v/>
      </c>
    </row>
    <row r="408" spans="1:14" ht="18" customHeight="1" x14ac:dyDescent="0.25">
      <c r="A408" s="216" t="str">
        <f>IF(DB_Customers!A402&lt;&gt;"",ROW()-9,"")</f>
        <v/>
      </c>
      <c r="B408" s="216" t="str">
        <f>IFERROR(IF(DB_Customers!A402&lt;&gt;"",DB_Customers!A402,""),"")</f>
        <v/>
      </c>
      <c r="C408" s="217" t="str">
        <f>IFERROR(IF(DB_Customers!D402&lt;&gt;"",DB_Customers!D402,""),"")</f>
        <v/>
      </c>
      <c r="D408" s="218" t="str">
        <f>IFERROR(IF(DB_Customers!Q402&lt;&gt;"",DB_Customers!Q402,""),"")</f>
        <v/>
      </c>
      <c r="E408" s="216" t="str">
        <f>IFERROR(IF(DB_Customers!R402&lt;&gt;"",DB_Customers!R402,""),"")</f>
        <v/>
      </c>
      <c r="F408" s="217" t="str">
        <f>IFERROR(IF(DB_Customers!S402&lt;&gt;"",DB_Customers!S402,""),"")</f>
        <v/>
      </c>
      <c r="G408" s="217" t="str">
        <f>IFERROR(IF(DB_Customers!G402&lt;&gt;"",DB_Customers!G402,""),"")</f>
        <v/>
      </c>
      <c r="H408" s="216" t="str">
        <f>IFERROR(IF(DB_Customers!H402&lt;&gt;"",DB_Customers!H402,""),"")</f>
        <v/>
      </c>
      <c r="I408" s="219" t="str">
        <f>IFERROR(IF(DB_Customers!I402&lt;&gt;"",DB_Customers!I402,""),"")</f>
        <v/>
      </c>
      <c r="J408" s="220" t="str">
        <f>IFERROR(IF(DB_Customers!J402&lt;&gt;"",DB_Customers!J402,""),"")</f>
        <v/>
      </c>
      <c r="K408" s="217" t="str">
        <f>IFERROR(IF(DB_Customers!E402&lt;&gt;"",DB_Customers!E402,""),"")</f>
        <v/>
      </c>
      <c r="L408" s="217" t="str">
        <f>IFERROR(IF(DB_Customers!F402&lt;&gt;"",DB_Customers!F402,""),"")</f>
        <v/>
      </c>
      <c r="M408" s="217" t="str">
        <f>IFERROR(IF(DB_Customers!T402&lt;&gt;"",DB_Customers!T402,""),"")</f>
        <v/>
      </c>
      <c r="N408" s="216" t="str">
        <f>IFERROR(IF(DB_Customers!A402&lt;&gt;"",IF(DB_Customers!I402&gt;=10,"Active","Inactive"),""),"")</f>
        <v/>
      </c>
    </row>
    <row r="409" spans="1:14" ht="18" customHeight="1" x14ac:dyDescent="0.25">
      <c r="A409" s="221" t="str">
        <f>IF(DB_Customers!A403&lt;&gt;"",ROW()-9,"")</f>
        <v/>
      </c>
      <c r="B409" s="221" t="str">
        <f>IFERROR(IF(DB_Customers!A403&lt;&gt;"",DB_Customers!A403,""),"")</f>
        <v/>
      </c>
      <c r="C409" s="222" t="str">
        <f>IFERROR(IF(DB_Customers!D403&lt;&gt;"",DB_Customers!D403,""),"")</f>
        <v/>
      </c>
      <c r="D409" s="223" t="str">
        <f>IFERROR(IF(DB_Customers!Q403&lt;&gt;"",DB_Customers!Q403,""),"")</f>
        <v/>
      </c>
      <c r="E409" s="221" t="str">
        <f>IFERROR(IF(DB_Customers!R403&lt;&gt;"",DB_Customers!R403,""),"")</f>
        <v/>
      </c>
      <c r="F409" s="222" t="str">
        <f>IFERROR(IF(DB_Customers!S403&lt;&gt;"",DB_Customers!S403,""),"")</f>
        <v/>
      </c>
      <c r="G409" s="222" t="str">
        <f>IFERROR(IF(DB_Customers!G403&lt;&gt;"",DB_Customers!G403,""),"")</f>
        <v/>
      </c>
      <c r="H409" s="221" t="str">
        <f>IFERROR(IF(DB_Customers!H403&lt;&gt;"",DB_Customers!H403,""),"")</f>
        <v/>
      </c>
      <c r="I409" s="224" t="str">
        <f>IFERROR(IF(DB_Customers!I403&lt;&gt;"",DB_Customers!I403,""),"")</f>
        <v/>
      </c>
      <c r="J409" s="225" t="str">
        <f>IFERROR(IF(DB_Customers!J403&lt;&gt;"",DB_Customers!J403,""),"")</f>
        <v/>
      </c>
      <c r="K409" s="222" t="str">
        <f>IFERROR(IF(DB_Customers!E403&lt;&gt;"",DB_Customers!E403,""),"")</f>
        <v/>
      </c>
      <c r="L409" s="222" t="str">
        <f>IFERROR(IF(DB_Customers!F403&lt;&gt;"",DB_Customers!F403,""),"")</f>
        <v/>
      </c>
      <c r="M409" s="222" t="str">
        <f>IFERROR(IF(DB_Customers!T403&lt;&gt;"",DB_Customers!T403,""),"")</f>
        <v/>
      </c>
      <c r="N409" s="221" t="str">
        <f>IFERROR(IF(DB_Customers!A403&lt;&gt;"",IF(DB_Customers!I403&gt;=10,"Active","Inactive"),""),"")</f>
        <v/>
      </c>
    </row>
    <row r="410" spans="1:14" ht="18" customHeight="1" x14ac:dyDescent="0.25">
      <c r="A410" s="216" t="str">
        <f>IF(DB_Customers!A404&lt;&gt;"",ROW()-9,"")</f>
        <v/>
      </c>
      <c r="B410" s="216" t="str">
        <f>IFERROR(IF(DB_Customers!A404&lt;&gt;"",DB_Customers!A404,""),"")</f>
        <v/>
      </c>
      <c r="C410" s="217" t="str">
        <f>IFERROR(IF(DB_Customers!D404&lt;&gt;"",DB_Customers!D404,""),"")</f>
        <v/>
      </c>
      <c r="D410" s="218" t="str">
        <f>IFERROR(IF(DB_Customers!Q404&lt;&gt;"",DB_Customers!Q404,""),"")</f>
        <v/>
      </c>
      <c r="E410" s="216" t="str">
        <f>IFERROR(IF(DB_Customers!R404&lt;&gt;"",DB_Customers!R404,""),"")</f>
        <v/>
      </c>
      <c r="F410" s="217" t="str">
        <f>IFERROR(IF(DB_Customers!S404&lt;&gt;"",DB_Customers!S404,""),"")</f>
        <v/>
      </c>
      <c r="G410" s="217" t="str">
        <f>IFERROR(IF(DB_Customers!G404&lt;&gt;"",DB_Customers!G404,""),"")</f>
        <v/>
      </c>
      <c r="H410" s="216" t="str">
        <f>IFERROR(IF(DB_Customers!H404&lt;&gt;"",DB_Customers!H404,""),"")</f>
        <v/>
      </c>
      <c r="I410" s="219" t="str">
        <f>IFERROR(IF(DB_Customers!I404&lt;&gt;"",DB_Customers!I404,""),"")</f>
        <v/>
      </c>
      <c r="J410" s="220" t="str">
        <f>IFERROR(IF(DB_Customers!J404&lt;&gt;"",DB_Customers!J404,""),"")</f>
        <v/>
      </c>
      <c r="K410" s="217" t="str">
        <f>IFERROR(IF(DB_Customers!E404&lt;&gt;"",DB_Customers!E404,""),"")</f>
        <v/>
      </c>
      <c r="L410" s="217" t="str">
        <f>IFERROR(IF(DB_Customers!F404&lt;&gt;"",DB_Customers!F404,""),"")</f>
        <v/>
      </c>
      <c r="M410" s="217" t="str">
        <f>IFERROR(IF(DB_Customers!T404&lt;&gt;"",DB_Customers!T404,""),"")</f>
        <v/>
      </c>
      <c r="N410" s="216" t="str">
        <f>IFERROR(IF(DB_Customers!A404&lt;&gt;"",IF(DB_Customers!I404&gt;=10,"Active","Inactive"),""),"")</f>
        <v/>
      </c>
    </row>
    <row r="411" spans="1:14" ht="18" customHeight="1" x14ac:dyDescent="0.25">
      <c r="A411" s="221" t="str">
        <f>IF(DB_Customers!A405&lt;&gt;"",ROW()-9,"")</f>
        <v/>
      </c>
      <c r="B411" s="221" t="str">
        <f>IFERROR(IF(DB_Customers!A405&lt;&gt;"",DB_Customers!A405,""),"")</f>
        <v/>
      </c>
      <c r="C411" s="222" t="str">
        <f>IFERROR(IF(DB_Customers!D405&lt;&gt;"",DB_Customers!D405,""),"")</f>
        <v/>
      </c>
      <c r="D411" s="223" t="str">
        <f>IFERROR(IF(DB_Customers!Q405&lt;&gt;"",DB_Customers!Q405,""),"")</f>
        <v/>
      </c>
      <c r="E411" s="221" t="str">
        <f>IFERROR(IF(DB_Customers!R405&lt;&gt;"",DB_Customers!R405,""),"")</f>
        <v/>
      </c>
      <c r="F411" s="222" t="str">
        <f>IFERROR(IF(DB_Customers!S405&lt;&gt;"",DB_Customers!S405,""),"")</f>
        <v/>
      </c>
      <c r="G411" s="222" t="str">
        <f>IFERROR(IF(DB_Customers!G405&lt;&gt;"",DB_Customers!G405,""),"")</f>
        <v/>
      </c>
      <c r="H411" s="221" t="str">
        <f>IFERROR(IF(DB_Customers!H405&lt;&gt;"",DB_Customers!H405,""),"")</f>
        <v/>
      </c>
      <c r="I411" s="224" t="str">
        <f>IFERROR(IF(DB_Customers!I405&lt;&gt;"",DB_Customers!I405,""),"")</f>
        <v/>
      </c>
      <c r="J411" s="225" t="str">
        <f>IFERROR(IF(DB_Customers!J405&lt;&gt;"",DB_Customers!J405,""),"")</f>
        <v/>
      </c>
      <c r="K411" s="222" t="str">
        <f>IFERROR(IF(DB_Customers!E405&lt;&gt;"",DB_Customers!E405,""),"")</f>
        <v/>
      </c>
      <c r="L411" s="222" t="str">
        <f>IFERROR(IF(DB_Customers!F405&lt;&gt;"",DB_Customers!F405,""),"")</f>
        <v/>
      </c>
      <c r="M411" s="222" t="str">
        <f>IFERROR(IF(DB_Customers!T405&lt;&gt;"",DB_Customers!T405,""),"")</f>
        <v/>
      </c>
      <c r="N411" s="221" t="str">
        <f>IFERROR(IF(DB_Customers!A405&lt;&gt;"",IF(DB_Customers!I405&gt;=10,"Active","Inactive"),""),"")</f>
        <v/>
      </c>
    </row>
    <row r="412" spans="1:14" ht="18" customHeight="1" x14ac:dyDescent="0.25">
      <c r="A412" s="216" t="str">
        <f>IF(DB_Customers!A406&lt;&gt;"",ROW()-9,"")</f>
        <v/>
      </c>
      <c r="B412" s="216" t="str">
        <f>IFERROR(IF(DB_Customers!A406&lt;&gt;"",DB_Customers!A406,""),"")</f>
        <v/>
      </c>
      <c r="C412" s="217" t="str">
        <f>IFERROR(IF(DB_Customers!D406&lt;&gt;"",DB_Customers!D406,""),"")</f>
        <v/>
      </c>
      <c r="D412" s="218" t="str">
        <f>IFERROR(IF(DB_Customers!Q406&lt;&gt;"",DB_Customers!Q406,""),"")</f>
        <v/>
      </c>
      <c r="E412" s="216" t="str">
        <f>IFERROR(IF(DB_Customers!R406&lt;&gt;"",DB_Customers!R406,""),"")</f>
        <v/>
      </c>
      <c r="F412" s="217" t="str">
        <f>IFERROR(IF(DB_Customers!S406&lt;&gt;"",DB_Customers!S406,""),"")</f>
        <v/>
      </c>
      <c r="G412" s="217" t="str">
        <f>IFERROR(IF(DB_Customers!G406&lt;&gt;"",DB_Customers!G406,""),"")</f>
        <v/>
      </c>
      <c r="H412" s="216" t="str">
        <f>IFERROR(IF(DB_Customers!H406&lt;&gt;"",DB_Customers!H406,""),"")</f>
        <v/>
      </c>
      <c r="I412" s="219" t="str">
        <f>IFERROR(IF(DB_Customers!I406&lt;&gt;"",DB_Customers!I406,""),"")</f>
        <v/>
      </c>
      <c r="J412" s="220" t="str">
        <f>IFERROR(IF(DB_Customers!J406&lt;&gt;"",DB_Customers!J406,""),"")</f>
        <v/>
      </c>
      <c r="K412" s="217" t="str">
        <f>IFERROR(IF(DB_Customers!E406&lt;&gt;"",DB_Customers!E406,""),"")</f>
        <v/>
      </c>
      <c r="L412" s="217" t="str">
        <f>IFERROR(IF(DB_Customers!F406&lt;&gt;"",DB_Customers!F406,""),"")</f>
        <v/>
      </c>
      <c r="M412" s="217" t="str">
        <f>IFERROR(IF(DB_Customers!T406&lt;&gt;"",DB_Customers!T406,""),"")</f>
        <v/>
      </c>
      <c r="N412" s="216" t="str">
        <f>IFERROR(IF(DB_Customers!A406&lt;&gt;"",IF(DB_Customers!I406&gt;=10,"Active","Inactive"),""),"")</f>
        <v/>
      </c>
    </row>
    <row r="413" spans="1:14" ht="18" customHeight="1" x14ac:dyDescent="0.25">
      <c r="A413" s="221" t="str">
        <f>IF(DB_Customers!A407&lt;&gt;"",ROW()-9,"")</f>
        <v/>
      </c>
      <c r="B413" s="221" t="str">
        <f>IFERROR(IF(DB_Customers!A407&lt;&gt;"",DB_Customers!A407,""),"")</f>
        <v/>
      </c>
      <c r="C413" s="222" t="str">
        <f>IFERROR(IF(DB_Customers!D407&lt;&gt;"",DB_Customers!D407,""),"")</f>
        <v/>
      </c>
      <c r="D413" s="223" t="str">
        <f>IFERROR(IF(DB_Customers!Q407&lt;&gt;"",DB_Customers!Q407,""),"")</f>
        <v/>
      </c>
      <c r="E413" s="221" t="str">
        <f>IFERROR(IF(DB_Customers!R407&lt;&gt;"",DB_Customers!R407,""),"")</f>
        <v/>
      </c>
      <c r="F413" s="222" t="str">
        <f>IFERROR(IF(DB_Customers!S407&lt;&gt;"",DB_Customers!S407,""),"")</f>
        <v/>
      </c>
      <c r="G413" s="222" t="str">
        <f>IFERROR(IF(DB_Customers!G407&lt;&gt;"",DB_Customers!G407,""),"")</f>
        <v/>
      </c>
      <c r="H413" s="221" t="str">
        <f>IFERROR(IF(DB_Customers!H407&lt;&gt;"",DB_Customers!H407,""),"")</f>
        <v/>
      </c>
      <c r="I413" s="224" t="str">
        <f>IFERROR(IF(DB_Customers!I407&lt;&gt;"",DB_Customers!I407,""),"")</f>
        <v/>
      </c>
      <c r="J413" s="225" t="str">
        <f>IFERROR(IF(DB_Customers!J407&lt;&gt;"",DB_Customers!J407,""),"")</f>
        <v/>
      </c>
      <c r="K413" s="222" t="str">
        <f>IFERROR(IF(DB_Customers!E407&lt;&gt;"",DB_Customers!E407,""),"")</f>
        <v/>
      </c>
      <c r="L413" s="222" t="str">
        <f>IFERROR(IF(DB_Customers!F407&lt;&gt;"",DB_Customers!F407,""),"")</f>
        <v/>
      </c>
      <c r="M413" s="222" t="str">
        <f>IFERROR(IF(DB_Customers!T407&lt;&gt;"",DB_Customers!T407,""),"")</f>
        <v/>
      </c>
      <c r="N413" s="221" t="str">
        <f>IFERROR(IF(DB_Customers!A407&lt;&gt;"",IF(DB_Customers!I407&gt;=10,"Active","Inactive"),""),"")</f>
        <v/>
      </c>
    </row>
    <row r="414" spans="1:14" ht="18" customHeight="1" x14ac:dyDescent="0.25">
      <c r="A414" s="216" t="str">
        <f>IF(DB_Customers!A408&lt;&gt;"",ROW()-9,"")</f>
        <v/>
      </c>
      <c r="B414" s="216" t="str">
        <f>IFERROR(IF(DB_Customers!A408&lt;&gt;"",DB_Customers!A408,""),"")</f>
        <v/>
      </c>
      <c r="C414" s="217" t="str">
        <f>IFERROR(IF(DB_Customers!D408&lt;&gt;"",DB_Customers!D408,""),"")</f>
        <v/>
      </c>
      <c r="D414" s="218" t="str">
        <f>IFERROR(IF(DB_Customers!Q408&lt;&gt;"",DB_Customers!Q408,""),"")</f>
        <v/>
      </c>
      <c r="E414" s="216" t="str">
        <f>IFERROR(IF(DB_Customers!R408&lt;&gt;"",DB_Customers!R408,""),"")</f>
        <v/>
      </c>
      <c r="F414" s="217" t="str">
        <f>IFERROR(IF(DB_Customers!S408&lt;&gt;"",DB_Customers!S408,""),"")</f>
        <v/>
      </c>
      <c r="G414" s="217" t="str">
        <f>IFERROR(IF(DB_Customers!G408&lt;&gt;"",DB_Customers!G408,""),"")</f>
        <v/>
      </c>
      <c r="H414" s="216" t="str">
        <f>IFERROR(IF(DB_Customers!H408&lt;&gt;"",DB_Customers!H408,""),"")</f>
        <v/>
      </c>
      <c r="I414" s="219" t="str">
        <f>IFERROR(IF(DB_Customers!I408&lt;&gt;"",DB_Customers!I408,""),"")</f>
        <v/>
      </c>
      <c r="J414" s="220" t="str">
        <f>IFERROR(IF(DB_Customers!J408&lt;&gt;"",DB_Customers!J408,""),"")</f>
        <v/>
      </c>
      <c r="K414" s="217" t="str">
        <f>IFERROR(IF(DB_Customers!E408&lt;&gt;"",DB_Customers!E408,""),"")</f>
        <v/>
      </c>
      <c r="L414" s="217" t="str">
        <f>IFERROR(IF(DB_Customers!F408&lt;&gt;"",DB_Customers!F408,""),"")</f>
        <v/>
      </c>
      <c r="M414" s="217" t="str">
        <f>IFERROR(IF(DB_Customers!T408&lt;&gt;"",DB_Customers!T408,""),"")</f>
        <v/>
      </c>
      <c r="N414" s="216" t="str">
        <f>IFERROR(IF(DB_Customers!A408&lt;&gt;"",IF(DB_Customers!I408&gt;=10,"Active","Inactive"),""),"")</f>
        <v/>
      </c>
    </row>
    <row r="415" spans="1:14" ht="18" customHeight="1" x14ac:dyDescent="0.25">
      <c r="A415" s="221" t="str">
        <f>IF(DB_Customers!A409&lt;&gt;"",ROW()-9,"")</f>
        <v/>
      </c>
      <c r="B415" s="221" t="str">
        <f>IFERROR(IF(DB_Customers!A409&lt;&gt;"",DB_Customers!A409,""),"")</f>
        <v/>
      </c>
      <c r="C415" s="222" t="str">
        <f>IFERROR(IF(DB_Customers!D409&lt;&gt;"",DB_Customers!D409,""),"")</f>
        <v/>
      </c>
      <c r="D415" s="223" t="str">
        <f>IFERROR(IF(DB_Customers!Q409&lt;&gt;"",DB_Customers!Q409,""),"")</f>
        <v/>
      </c>
      <c r="E415" s="221" t="str">
        <f>IFERROR(IF(DB_Customers!R409&lt;&gt;"",DB_Customers!R409,""),"")</f>
        <v/>
      </c>
      <c r="F415" s="222" t="str">
        <f>IFERROR(IF(DB_Customers!S409&lt;&gt;"",DB_Customers!S409,""),"")</f>
        <v/>
      </c>
      <c r="G415" s="222" t="str">
        <f>IFERROR(IF(DB_Customers!G409&lt;&gt;"",DB_Customers!G409,""),"")</f>
        <v/>
      </c>
      <c r="H415" s="221" t="str">
        <f>IFERROR(IF(DB_Customers!H409&lt;&gt;"",DB_Customers!H409,""),"")</f>
        <v/>
      </c>
      <c r="I415" s="224" t="str">
        <f>IFERROR(IF(DB_Customers!I409&lt;&gt;"",DB_Customers!I409,""),"")</f>
        <v/>
      </c>
      <c r="J415" s="225" t="str">
        <f>IFERROR(IF(DB_Customers!J409&lt;&gt;"",DB_Customers!J409,""),"")</f>
        <v/>
      </c>
      <c r="K415" s="222" t="str">
        <f>IFERROR(IF(DB_Customers!E409&lt;&gt;"",DB_Customers!E409,""),"")</f>
        <v/>
      </c>
      <c r="L415" s="222" t="str">
        <f>IFERROR(IF(DB_Customers!F409&lt;&gt;"",DB_Customers!F409,""),"")</f>
        <v/>
      </c>
      <c r="M415" s="222" t="str">
        <f>IFERROR(IF(DB_Customers!T409&lt;&gt;"",DB_Customers!T409,""),"")</f>
        <v/>
      </c>
      <c r="N415" s="221" t="str">
        <f>IFERROR(IF(DB_Customers!A409&lt;&gt;"",IF(DB_Customers!I409&gt;=10,"Active","Inactive"),""),"")</f>
        <v/>
      </c>
    </row>
    <row r="416" spans="1:14" ht="18" customHeight="1" x14ac:dyDescent="0.25">
      <c r="A416" s="216" t="str">
        <f>IF(DB_Customers!A410&lt;&gt;"",ROW()-9,"")</f>
        <v/>
      </c>
      <c r="B416" s="216" t="str">
        <f>IFERROR(IF(DB_Customers!A410&lt;&gt;"",DB_Customers!A410,""),"")</f>
        <v/>
      </c>
      <c r="C416" s="217" t="str">
        <f>IFERROR(IF(DB_Customers!D410&lt;&gt;"",DB_Customers!D410,""),"")</f>
        <v/>
      </c>
      <c r="D416" s="218" t="str">
        <f>IFERROR(IF(DB_Customers!Q410&lt;&gt;"",DB_Customers!Q410,""),"")</f>
        <v/>
      </c>
      <c r="E416" s="216" t="str">
        <f>IFERROR(IF(DB_Customers!R410&lt;&gt;"",DB_Customers!R410,""),"")</f>
        <v/>
      </c>
      <c r="F416" s="217" t="str">
        <f>IFERROR(IF(DB_Customers!S410&lt;&gt;"",DB_Customers!S410,""),"")</f>
        <v/>
      </c>
      <c r="G416" s="217" t="str">
        <f>IFERROR(IF(DB_Customers!G410&lt;&gt;"",DB_Customers!G410,""),"")</f>
        <v/>
      </c>
      <c r="H416" s="216" t="str">
        <f>IFERROR(IF(DB_Customers!H410&lt;&gt;"",DB_Customers!H410,""),"")</f>
        <v/>
      </c>
      <c r="I416" s="219" t="str">
        <f>IFERROR(IF(DB_Customers!I410&lt;&gt;"",DB_Customers!I410,""),"")</f>
        <v/>
      </c>
      <c r="J416" s="220" t="str">
        <f>IFERROR(IF(DB_Customers!J410&lt;&gt;"",DB_Customers!J410,""),"")</f>
        <v/>
      </c>
      <c r="K416" s="217" t="str">
        <f>IFERROR(IF(DB_Customers!E410&lt;&gt;"",DB_Customers!E410,""),"")</f>
        <v/>
      </c>
      <c r="L416" s="217" t="str">
        <f>IFERROR(IF(DB_Customers!F410&lt;&gt;"",DB_Customers!F410,""),"")</f>
        <v/>
      </c>
      <c r="M416" s="217" t="str">
        <f>IFERROR(IF(DB_Customers!T410&lt;&gt;"",DB_Customers!T410,""),"")</f>
        <v/>
      </c>
      <c r="N416" s="216" t="str">
        <f>IFERROR(IF(DB_Customers!A410&lt;&gt;"",IF(DB_Customers!I410&gt;=10,"Active","Inactive"),""),"")</f>
        <v/>
      </c>
    </row>
    <row r="417" spans="1:14" ht="18" customHeight="1" x14ac:dyDescent="0.25">
      <c r="A417" s="221" t="str">
        <f>IF(DB_Customers!A411&lt;&gt;"",ROW()-9,"")</f>
        <v/>
      </c>
      <c r="B417" s="221" t="str">
        <f>IFERROR(IF(DB_Customers!A411&lt;&gt;"",DB_Customers!A411,""),"")</f>
        <v/>
      </c>
      <c r="C417" s="222" t="str">
        <f>IFERROR(IF(DB_Customers!D411&lt;&gt;"",DB_Customers!D411,""),"")</f>
        <v/>
      </c>
      <c r="D417" s="223" t="str">
        <f>IFERROR(IF(DB_Customers!Q411&lt;&gt;"",DB_Customers!Q411,""),"")</f>
        <v/>
      </c>
      <c r="E417" s="221" t="str">
        <f>IFERROR(IF(DB_Customers!R411&lt;&gt;"",DB_Customers!R411,""),"")</f>
        <v/>
      </c>
      <c r="F417" s="222" t="str">
        <f>IFERROR(IF(DB_Customers!S411&lt;&gt;"",DB_Customers!S411,""),"")</f>
        <v/>
      </c>
      <c r="G417" s="222" t="str">
        <f>IFERROR(IF(DB_Customers!G411&lt;&gt;"",DB_Customers!G411,""),"")</f>
        <v/>
      </c>
      <c r="H417" s="221" t="str">
        <f>IFERROR(IF(DB_Customers!H411&lt;&gt;"",DB_Customers!H411,""),"")</f>
        <v/>
      </c>
      <c r="I417" s="224" t="str">
        <f>IFERROR(IF(DB_Customers!I411&lt;&gt;"",DB_Customers!I411,""),"")</f>
        <v/>
      </c>
      <c r="J417" s="225" t="str">
        <f>IFERROR(IF(DB_Customers!J411&lt;&gt;"",DB_Customers!J411,""),"")</f>
        <v/>
      </c>
      <c r="K417" s="222" t="str">
        <f>IFERROR(IF(DB_Customers!E411&lt;&gt;"",DB_Customers!E411,""),"")</f>
        <v/>
      </c>
      <c r="L417" s="222" t="str">
        <f>IFERROR(IF(DB_Customers!F411&lt;&gt;"",DB_Customers!F411,""),"")</f>
        <v/>
      </c>
      <c r="M417" s="222" t="str">
        <f>IFERROR(IF(DB_Customers!T411&lt;&gt;"",DB_Customers!T411,""),"")</f>
        <v/>
      </c>
      <c r="N417" s="221" t="str">
        <f>IFERROR(IF(DB_Customers!A411&lt;&gt;"",IF(DB_Customers!I411&gt;=10,"Active","Inactive"),""),"")</f>
        <v/>
      </c>
    </row>
    <row r="418" spans="1:14" ht="18" customHeight="1" x14ac:dyDescent="0.25">
      <c r="A418" s="216" t="str">
        <f>IF(DB_Customers!A412&lt;&gt;"",ROW()-9,"")</f>
        <v/>
      </c>
      <c r="B418" s="216" t="str">
        <f>IFERROR(IF(DB_Customers!A412&lt;&gt;"",DB_Customers!A412,""),"")</f>
        <v/>
      </c>
      <c r="C418" s="217" t="str">
        <f>IFERROR(IF(DB_Customers!D412&lt;&gt;"",DB_Customers!D412,""),"")</f>
        <v/>
      </c>
      <c r="D418" s="218" t="str">
        <f>IFERROR(IF(DB_Customers!Q412&lt;&gt;"",DB_Customers!Q412,""),"")</f>
        <v/>
      </c>
      <c r="E418" s="216" t="str">
        <f>IFERROR(IF(DB_Customers!R412&lt;&gt;"",DB_Customers!R412,""),"")</f>
        <v/>
      </c>
      <c r="F418" s="217" t="str">
        <f>IFERROR(IF(DB_Customers!S412&lt;&gt;"",DB_Customers!S412,""),"")</f>
        <v/>
      </c>
      <c r="G418" s="217" t="str">
        <f>IFERROR(IF(DB_Customers!G412&lt;&gt;"",DB_Customers!G412,""),"")</f>
        <v/>
      </c>
      <c r="H418" s="216" t="str">
        <f>IFERROR(IF(DB_Customers!H412&lt;&gt;"",DB_Customers!H412,""),"")</f>
        <v/>
      </c>
      <c r="I418" s="219" t="str">
        <f>IFERROR(IF(DB_Customers!I412&lt;&gt;"",DB_Customers!I412,""),"")</f>
        <v/>
      </c>
      <c r="J418" s="220" t="str">
        <f>IFERROR(IF(DB_Customers!J412&lt;&gt;"",DB_Customers!J412,""),"")</f>
        <v/>
      </c>
      <c r="K418" s="217" t="str">
        <f>IFERROR(IF(DB_Customers!E412&lt;&gt;"",DB_Customers!E412,""),"")</f>
        <v/>
      </c>
      <c r="L418" s="217" t="str">
        <f>IFERROR(IF(DB_Customers!F412&lt;&gt;"",DB_Customers!F412,""),"")</f>
        <v/>
      </c>
      <c r="M418" s="217" t="str">
        <f>IFERROR(IF(DB_Customers!T412&lt;&gt;"",DB_Customers!T412,""),"")</f>
        <v/>
      </c>
      <c r="N418" s="216" t="str">
        <f>IFERROR(IF(DB_Customers!A412&lt;&gt;"",IF(DB_Customers!I412&gt;=10,"Active","Inactive"),""),"")</f>
        <v/>
      </c>
    </row>
    <row r="419" spans="1:14" ht="18" customHeight="1" x14ac:dyDescent="0.25">
      <c r="A419" s="221" t="str">
        <f>IF(DB_Customers!A413&lt;&gt;"",ROW()-9,"")</f>
        <v/>
      </c>
      <c r="B419" s="221" t="str">
        <f>IFERROR(IF(DB_Customers!A413&lt;&gt;"",DB_Customers!A413,""),"")</f>
        <v/>
      </c>
      <c r="C419" s="222" t="str">
        <f>IFERROR(IF(DB_Customers!D413&lt;&gt;"",DB_Customers!D413,""),"")</f>
        <v/>
      </c>
      <c r="D419" s="223" t="str">
        <f>IFERROR(IF(DB_Customers!Q413&lt;&gt;"",DB_Customers!Q413,""),"")</f>
        <v/>
      </c>
      <c r="E419" s="221" t="str">
        <f>IFERROR(IF(DB_Customers!R413&lt;&gt;"",DB_Customers!R413,""),"")</f>
        <v/>
      </c>
      <c r="F419" s="222" t="str">
        <f>IFERROR(IF(DB_Customers!S413&lt;&gt;"",DB_Customers!S413,""),"")</f>
        <v/>
      </c>
      <c r="G419" s="222" t="str">
        <f>IFERROR(IF(DB_Customers!G413&lt;&gt;"",DB_Customers!G413,""),"")</f>
        <v/>
      </c>
      <c r="H419" s="221" t="str">
        <f>IFERROR(IF(DB_Customers!H413&lt;&gt;"",DB_Customers!H413,""),"")</f>
        <v/>
      </c>
      <c r="I419" s="224" t="str">
        <f>IFERROR(IF(DB_Customers!I413&lt;&gt;"",DB_Customers!I413,""),"")</f>
        <v/>
      </c>
      <c r="J419" s="225" t="str">
        <f>IFERROR(IF(DB_Customers!J413&lt;&gt;"",DB_Customers!J413,""),"")</f>
        <v/>
      </c>
      <c r="K419" s="222" t="str">
        <f>IFERROR(IF(DB_Customers!E413&lt;&gt;"",DB_Customers!E413,""),"")</f>
        <v/>
      </c>
      <c r="L419" s="222" t="str">
        <f>IFERROR(IF(DB_Customers!F413&lt;&gt;"",DB_Customers!F413,""),"")</f>
        <v/>
      </c>
      <c r="M419" s="222" t="str">
        <f>IFERROR(IF(DB_Customers!T413&lt;&gt;"",DB_Customers!T413,""),"")</f>
        <v/>
      </c>
      <c r="N419" s="221" t="str">
        <f>IFERROR(IF(DB_Customers!A413&lt;&gt;"",IF(DB_Customers!I413&gt;=10,"Active","Inactive"),""),"")</f>
        <v/>
      </c>
    </row>
    <row r="420" spans="1:14" ht="18" customHeight="1" x14ac:dyDescent="0.25">
      <c r="A420" s="216" t="str">
        <f>IF(DB_Customers!A414&lt;&gt;"",ROW()-9,"")</f>
        <v/>
      </c>
      <c r="B420" s="216" t="str">
        <f>IFERROR(IF(DB_Customers!A414&lt;&gt;"",DB_Customers!A414,""),"")</f>
        <v/>
      </c>
      <c r="C420" s="217" t="str">
        <f>IFERROR(IF(DB_Customers!D414&lt;&gt;"",DB_Customers!D414,""),"")</f>
        <v/>
      </c>
      <c r="D420" s="218" t="str">
        <f>IFERROR(IF(DB_Customers!Q414&lt;&gt;"",DB_Customers!Q414,""),"")</f>
        <v/>
      </c>
      <c r="E420" s="216" t="str">
        <f>IFERROR(IF(DB_Customers!R414&lt;&gt;"",DB_Customers!R414,""),"")</f>
        <v/>
      </c>
      <c r="F420" s="217" t="str">
        <f>IFERROR(IF(DB_Customers!S414&lt;&gt;"",DB_Customers!S414,""),"")</f>
        <v/>
      </c>
      <c r="G420" s="217" t="str">
        <f>IFERROR(IF(DB_Customers!G414&lt;&gt;"",DB_Customers!G414,""),"")</f>
        <v/>
      </c>
      <c r="H420" s="216" t="str">
        <f>IFERROR(IF(DB_Customers!H414&lt;&gt;"",DB_Customers!H414,""),"")</f>
        <v/>
      </c>
      <c r="I420" s="219" t="str">
        <f>IFERROR(IF(DB_Customers!I414&lt;&gt;"",DB_Customers!I414,""),"")</f>
        <v/>
      </c>
      <c r="J420" s="220" t="str">
        <f>IFERROR(IF(DB_Customers!J414&lt;&gt;"",DB_Customers!J414,""),"")</f>
        <v/>
      </c>
      <c r="K420" s="217" t="str">
        <f>IFERROR(IF(DB_Customers!E414&lt;&gt;"",DB_Customers!E414,""),"")</f>
        <v/>
      </c>
      <c r="L420" s="217" t="str">
        <f>IFERROR(IF(DB_Customers!F414&lt;&gt;"",DB_Customers!F414,""),"")</f>
        <v/>
      </c>
      <c r="M420" s="217" t="str">
        <f>IFERROR(IF(DB_Customers!T414&lt;&gt;"",DB_Customers!T414,""),"")</f>
        <v/>
      </c>
      <c r="N420" s="216" t="str">
        <f>IFERROR(IF(DB_Customers!A414&lt;&gt;"",IF(DB_Customers!I414&gt;=10,"Active","Inactive"),""),"")</f>
        <v/>
      </c>
    </row>
    <row r="421" spans="1:14" ht="18" customHeight="1" x14ac:dyDescent="0.25">
      <c r="A421" s="221" t="str">
        <f>IF(DB_Customers!A415&lt;&gt;"",ROW()-9,"")</f>
        <v/>
      </c>
      <c r="B421" s="221" t="str">
        <f>IFERROR(IF(DB_Customers!A415&lt;&gt;"",DB_Customers!A415,""),"")</f>
        <v/>
      </c>
      <c r="C421" s="222" t="str">
        <f>IFERROR(IF(DB_Customers!D415&lt;&gt;"",DB_Customers!D415,""),"")</f>
        <v/>
      </c>
      <c r="D421" s="223" t="str">
        <f>IFERROR(IF(DB_Customers!Q415&lt;&gt;"",DB_Customers!Q415,""),"")</f>
        <v/>
      </c>
      <c r="E421" s="221" t="str">
        <f>IFERROR(IF(DB_Customers!R415&lt;&gt;"",DB_Customers!R415,""),"")</f>
        <v/>
      </c>
      <c r="F421" s="222" t="str">
        <f>IFERROR(IF(DB_Customers!S415&lt;&gt;"",DB_Customers!S415,""),"")</f>
        <v/>
      </c>
      <c r="G421" s="222" t="str">
        <f>IFERROR(IF(DB_Customers!G415&lt;&gt;"",DB_Customers!G415,""),"")</f>
        <v/>
      </c>
      <c r="H421" s="221" t="str">
        <f>IFERROR(IF(DB_Customers!H415&lt;&gt;"",DB_Customers!H415,""),"")</f>
        <v/>
      </c>
      <c r="I421" s="224" t="str">
        <f>IFERROR(IF(DB_Customers!I415&lt;&gt;"",DB_Customers!I415,""),"")</f>
        <v/>
      </c>
      <c r="J421" s="225" t="str">
        <f>IFERROR(IF(DB_Customers!J415&lt;&gt;"",DB_Customers!J415,""),"")</f>
        <v/>
      </c>
      <c r="K421" s="222" t="str">
        <f>IFERROR(IF(DB_Customers!E415&lt;&gt;"",DB_Customers!E415,""),"")</f>
        <v/>
      </c>
      <c r="L421" s="222" t="str">
        <f>IFERROR(IF(DB_Customers!F415&lt;&gt;"",DB_Customers!F415,""),"")</f>
        <v/>
      </c>
      <c r="M421" s="222" t="str">
        <f>IFERROR(IF(DB_Customers!T415&lt;&gt;"",DB_Customers!T415,""),"")</f>
        <v/>
      </c>
      <c r="N421" s="221" t="str">
        <f>IFERROR(IF(DB_Customers!A415&lt;&gt;"",IF(DB_Customers!I415&gt;=10,"Active","Inactive"),""),"")</f>
        <v/>
      </c>
    </row>
    <row r="422" spans="1:14" ht="18" customHeight="1" x14ac:dyDescent="0.25">
      <c r="A422" s="216" t="str">
        <f>IF(DB_Customers!A416&lt;&gt;"",ROW()-9,"")</f>
        <v/>
      </c>
      <c r="B422" s="216" t="str">
        <f>IFERROR(IF(DB_Customers!A416&lt;&gt;"",DB_Customers!A416,""),"")</f>
        <v/>
      </c>
      <c r="C422" s="217" t="str">
        <f>IFERROR(IF(DB_Customers!D416&lt;&gt;"",DB_Customers!D416,""),"")</f>
        <v/>
      </c>
      <c r="D422" s="218" t="str">
        <f>IFERROR(IF(DB_Customers!Q416&lt;&gt;"",DB_Customers!Q416,""),"")</f>
        <v/>
      </c>
      <c r="E422" s="216" t="str">
        <f>IFERROR(IF(DB_Customers!R416&lt;&gt;"",DB_Customers!R416,""),"")</f>
        <v/>
      </c>
      <c r="F422" s="217" t="str">
        <f>IFERROR(IF(DB_Customers!S416&lt;&gt;"",DB_Customers!S416,""),"")</f>
        <v/>
      </c>
      <c r="G422" s="217" t="str">
        <f>IFERROR(IF(DB_Customers!G416&lt;&gt;"",DB_Customers!G416,""),"")</f>
        <v/>
      </c>
      <c r="H422" s="216" t="str">
        <f>IFERROR(IF(DB_Customers!H416&lt;&gt;"",DB_Customers!H416,""),"")</f>
        <v/>
      </c>
      <c r="I422" s="219" t="str">
        <f>IFERROR(IF(DB_Customers!I416&lt;&gt;"",DB_Customers!I416,""),"")</f>
        <v/>
      </c>
      <c r="J422" s="220" t="str">
        <f>IFERROR(IF(DB_Customers!J416&lt;&gt;"",DB_Customers!J416,""),"")</f>
        <v/>
      </c>
      <c r="K422" s="217" t="str">
        <f>IFERROR(IF(DB_Customers!E416&lt;&gt;"",DB_Customers!E416,""),"")</f>
        <v/>
      </c>
      <c r="L422" s="217" t="str">
        <f>IFERROR(IF(DB_Customers!F416&lt;&gt;"",DB_Customers!F416,""),"")</f>
        <v/>
      </c>
      <c r="M422" s="217" t="str">
        <f>IFERROR(IF(DB_Customers!T416&lt;&gt;"",DB_Customers!T416,""),"")</f>
        <v/>
      </c>
      <c r="N422" s="216" t="str">
        <f>IFERROR(IF(DB_Customers!A416&lt;&gt;"",IF(DB_Customers!I416&gt;=10,"Active","Inactive"),""),"")</f>
        <v/>
      </c>
    </row>
    <row r="423" spans="1:14" ht="18" customHeight="1" x14ac:dyDescent="0.25">
      <c r="A423" s="221" t="str">
        <f>IF(DB_Customers!A417&lt;&gt;"",ROW()-9,"")</f>
        <v/>
      </c>
      <c r="B423" s="221" t="str">
        <f>IFERROR(IF(DB_Customers!A417&lt;&gt;"",DB_Customers!A417,""),"")</f>
        <v/>
      </c>
      <c r="C423" s="222" t="str">
        <f>IFERROR(IF(DB_Customers!D417&lt;&gt;"",DB_Customers!D417,""),"")</f>
        <v/>
      </c>
      <c r="D423" s="223" t="str">
        <f>IFERROR(IF(DB_Customers!Q417&lt;&gt;"",DB_Customers!Q417,""),"")</f>
        <v/>
      </c>
      <c r="E423" s="221" t="str">
        <f>IFERROR(IF(DB_Customers!R417&lt;&gt;"",DB_Customers!R417,""),"")</f>
        <v/>
      </c>
      <c r="F423" s="222" t="str">
        <f>IFERROR(IF(DB_Customers!S417&lt;&gt;"",DB_Customers!S417,""),"")</f>
        <v/>
      </c>
      <c r="G423" s="222" t="str">
        <f>IFERROR(IF(DB_Customers!G417&lt;&gt;"",DB_Customers!G417,""),"")</f>
        <v/>
      </c>
      <c r="H423" s="221" t="str">
        <f>IFERROR(IF(DB_Customers!H417&lt;&gt;"",DB_Customers!H417,""),"")</f>
        <v/>
      </c>
      <c r="I423" s="224" t="str">
        <f>IFERROR(IF(DB_Customers!I417&lt;&gt;"",DB_Customers!I417,""),"")</f>
        <v/>
      </c>
      <c r="J423" s="225" t="str">
        <f>IFERROR(IF(DB_Customers!J417&lt;&gt;"",DB_Customers!J417,""),"")</f>
        <v/>
      </c>
      <c r="K423" s="222" t="str">
        <f>IFERROR(IF(DB_Customers!E417&lt;&gt;"",DB_Customers!E417,""),"")</f>
        <v/>
      </c>
      <c r="L423" s="222" t="str">
        <f>IFERROR(IF(DB_Customers!F417&lt;&gt;"",DB_Customers!F417,""),"")</f>
        <v/>
      </c>
      <c r="M423" s="222" t="str">
        <f>IFERROR(IF(DB_Customers!T417&lt;&gt;"",DB_Customers!T417,""),"")</f>
        <v/>
      </c>
      <c r="N423" s="221" t="str">
        <f>IFERROR(IF(DB_Customers!A417&lt;&gt;"",IF(DB_Customers!I417&gt;=10,"Active","Inactive"),""),"")</f>
        <v/>
      </c>
    </row>
    <row r="424" spans="1:14" ht="18" customHeight="1" x14ac:dyDescent="0.25">
      <c r="A424" s="216" t="str">
        <f>IF(DB_Customers!A418&lt;&gt;"",ROW()-9,"")</f>
        <v/>
      </c>
      <c r="B424" s="216" t="str">
        <f>IFERROR(IF(DB_Customers!A418&lt;&gt;"",DB_Customers!A418,""),"")</f>
        <v/>
      </c>
      <c r="C424" s="217" t="str">
        <f>IFERROR(IF(DB_Customers!D418&lt;&gt;"",DB_Customers!D418,""),"")</f>
        <v/>
      </c>
      <c r="D424" s="218" t="str">
        <f>IFERROR(IF(DB_Customers!Q418&lt;&gt;"",DB_Customers!Q418,""),"")</f>
        <v/>
      </c>
      <c r="E424" s="216" t="str">
        <f>IFERROR(IF(DB_Customers!R418&lt;&gt;"",DB_Customers!R418,""),"")</f>
        <v/>
      </c>
      <c r="F424" s="217" t="str">
        <f>IFERROR(IF(DB_Customers!S418&lt;&gt;"",DB_Customers!S418,""),"")</f>
        <v/>
      </c>
      <c r="G424" s="217" t="str">
        <f>IFERROR(IF(DB_Customers!G418&lt;&gt;"",DB_Customers!G418,""),"")</f>
        <v/>
      </c>
      <c r="H424" s="216" t="str">
        <f>IFERROR(IF(DB_Customers!H418&lt;&gt;"",DB_Customers!H418,""),"")</f>
        <v/>
      </c>
      <c r="I424" s="219" t="str">
        <f>IFERROR(IF(DB_Customers!I418&lt;&gt;"",DB_Customers!I418,""),"")</f>
        <v/>
      </c>
      <c r="J424" s="220" t="str">
        <f>IFERROR(IF(DB_Customers!J418&lt;&gt;"",DB_Customers!J418,""),"")</f>
        <v/>
      </c>
      <c r="K424" s="217" t="str">
        <f>IFERROR(IF(DB_Customers!E418&lt;&gt;"",DB_Customers!E418,""),"")</f>
        <v/>
      </c>
      <c r="L424" s="217" t="str">
        <f>IFERROR(IF(DB_Customers!F418&lt;&gt;"",DB_Customers!F418,""),"")</f>
        <v/>
      </c>
      <c r="M424" s="217" t="str">
        <f>IFERROR(IF(DB_Customers!T418&lt;&gt;"",DB_Customers!T418,""),"")</f>
        <v/>
      </c>
      <c r="N424" s="216" t="str">
        <f>IFERROR(IF(DB_Customers!A418&lt;&gt;"",IF(DB_Customers!I418&gt;=10,"Active","Inactive"),""),"")</f>
        <v/>
      </c>
    </row>
    <row r="425" spans="1:14" ht="18" customHeight="1" x14ac:dyDescent="0.25">
      <c r="A425" s="221" t="str">
        <f>IF(DB_Customers!A419&lt;&gt;"",ROW()-9,"")</f>
        <v/>
      </c>
      <c r="B425" s="221" t="str">
        <f>IFERROR(IF(DB_Customers!A419&lt;&gt;"",DB_Customers!A419,""),"")</f>
        <v/>
      </c>
      <c r="C425" s="222" t="str">
        <f>IFERROR(IF(DB_Customers!D419&lt;&gt;"",DB_Customers!D419,""),"")</f>
        <v/>
      </c>
      <c r="D425" s="223" t="str">
        <f>IFERROR(IF(DB_Customers!Q419&lt;&gt;"",DB_Customers!Q419,""),"")</f>
        <v/>
      </c>
      <c r="E425" s="221" t="str">
        <f>IFERROR(IF(DB_Customers!R419&lt;&gt;"",DB_Customers!R419,""),"")</f>
        <v/>
      </c>
      <c r="F425" s="222" t="str">
        <f>IFERROR(IF(DB_Customers!S419&lt;&gt;"",DB_Customers!S419,""),"")</f>
        <v/>
      </c>
      <c r="G425" s="222" t="str">
        <f>IFERROR(IF(DB_Customers!G419&lt;&gt;"",DB_Customers!G419,""),"")</f>
        <v/>
      </c>
      <c r="H425" s="221" t="str">
        <f>IFERROR(IF(DB_Customers!H419&lt;&gt;"",DB_Customers!H419,""),"")</f>
        <v/>
      </c>
      <c r="I425" s="224" t="str">
        <f>IFERROR(IF(DB_Customers!I419&lt;&gt;"",DB_Customers!I419,""),"")</f>
        <v/>
      </c>
      <c r="J425" s="225" t="str">
        <f>IFERROR(IF(DB_Customers!J419&lt;&gt;"",DB_Customers!J419,""),"")</f>
        <v/>
      </c>
      <c r="K425" s="222" t="str">
        <f>IFERROR(IF(DB_Customers!E419&lt;&gt;"",DB_Customers!E419,""),"")</f>
        <v/>
      </c>
      <c r="L425" s="222" t="str">
        <f>IFERROR(IF(DB_Customers!F419&lt;&gt;"",DB_Customers!F419,""),"")</f>
        <v/>
      </c>
      <c r="M425" s="222" t="str">
        <f>IFERROR(IF(DB_Customers!T419&lt;&gt;"",DB_Customers!T419,""),"")</f>
        <v/>
      </c>
      <c r="N425" s="221" t="str">
        <f>IFERROR(IF(DB_Customers!A419&lt;&gt;"",IF(DB_Customers!I419&gt;=10,"Active","Inactive"),""),"")</f>
        <v/>
      </c>
    </row>
    <row r="426" spans="1:14" ht="18" customHeight="1" x14ac:dyDescent="0.25">
      <c r="A426" s="216" t="str">
        <f>IF(DB_Customers!A420&lt;&gt;"",ROW()-9,"")</f>
        <v/>
      </c>
      <c r="B426" s="216" t="str">
        <f>IFERROR(IF(DB_Customers!A420&lt;&gt;"",DB_Customers!A420,""),"")</f>
        <v/>
      </c>
      <c r="C426" s="217" t="str">
        <f>IFERROR(IF(DB_Customers!D420&lt;&gt;"",DB_Customers!D420,""),"")</f>
        <v/>
      </c>
      <c r="D426" s="218" t="str">
        <f>IFERROR(IF(DB_Customers!Q420&lt;&gt;"",DB_Customers!Q420,""),"")</f>
        <v/>
      </c>
      <c r="E426" s="216" t="str">
        <f>IFERROR(IF(DB_Customers!R420&lt;&gt;"",DB_Customers!R420,""),"")</f>
        <v/>
      </c>
      <c r="F426" s="217" t="str">
        <f>IFERROR(IF(DB_Customers!S420&lt;&gt;"",DB_Customers!S420,""),"")</f>
        <v/>
      </c>
      <c r="G426" s="217" t="str">
        <f>IFERROR(IF(DB_Customers!G420&lt;&gt;"",DB_Customers!G420,""),"")</f>
        <v/>
      </c>
      <c r="H426" s="216" t="str">
        <f>IFERROR(IF(DB_Customers!H420&lt;&gt;"",DB_Customers!H420,""),"")</f>
        <v/>
      </c>
      <c r="I426" s="219" t="str">
        <f>IFERROR(IF(DB_Customers!I420&lt;&gt;"",DB_Customers!I420,""),"")</f>
        <v/>
      </c>
      <c r="J426" s="220" t="str">
        <f>IFERROR(IF(DB_Customers!J420&lt;&gt;"",DB_Customers!J420,""),"")</f>
        <v/>
      </c>
      <c r="K426" s="217" t="str">
        <f>IFERROR(IF(DB_Customers!E420&lt;&gt;"",DB_Customers!E420,""),"")</f>
        <v/>
      </c>
      <c r="L426" s="217" t="str">
        <f>IFERROR(IF(DB_Customers!F420&lt;&gt;"",DB_Customers!F420,""),"")</f>
        <v/>
      </c>
      <c r="M426" s="217" t="str">
        <f>IFERROR(IF(DB_Customers!T420&lt;&gt;"",DB_Customers!T420,""),"")</f>
        <v/>
      </c>
      <c r="N426" s="216" t="str">
        <f>IFERROR(IF(DB_Customers!A420&lt;&gt;"",IF(DB_Customers!I420&gt;=10,"Active","Inactive"),""),"")</f>
        <v/>
      </c>
    </row>
    <row r="427" spans="1:14" ht="18" customHeight="1" x14ac:dyDescent="0.25">
      <c r="A427" s="221" t="str">
        <f>IF(DB_Customers!A421&lt;&gt;"",ROW()-9,"")</f>
        <v/>
      </c>
      <c r="B427" s="221" t="str">
        <f>IFERROR(IF(DB_Customers!A421&lt;&gt;"",DB_Customers!A421,""),"")</f>
        <v/>
      </c>
      <c r="C427" s="222" t="str">
        <f>IFERROR(IF(DB_Customers!D421&lt;&gt;"",DB_Customers!D421,""),"")</f>
        <v/>
      </c>
      <c r="D427" s="223" t="str">
        <f>IFERROR(IF(DB_Customers!Q421&lt;&gt;"",DB_Customers!Q421,""),"")</f>
        <v/>
      </c>
      <c r="E427" s="221" t="str">
        <f>IFERROR(IF(DB_Customers!R421&lt;&gt;"",DB_Customers!R421,""),"")</f>
        <v/>
      </c>
      <c r="F427" s="222" t="str">
        <f>IFERROR(IF(DB_Customers!S421&lt;&gt;"",DB_Customers!S421,""),"")</f>
        <v/>
      </c>
      <c r="G427" s="222" t="str">
        <f>IFERROR(IF(DB_Customers!G421&lt;&gt;"",DB_Customers!G421,""),"")</f>
        <v/>
      </c>
      <c r="H427" s="221" t="str">
        <f>IFERROR(IF(DB_Customers!H421&lt;&gt;"",DB_Customers!H421,""),"")</f>
        <v/>
      </c>
      <c r="I427" s="224" t="str">
        <f>IFERROR(IF(DB_Customers!I421&lt;&gt;"",DB_Customers!I421,""),"")</f>
        <v/>
      </c>
      <c r="J427" s="225" t="str">
        <f>IFERROR(IF(DB_Customers!J421&lt;&gt;"",DB_Customers!J421,""),"")</f>
        <v/>
      </c>
      <c r="K427" s="222" t="str">
        <f>IFERROR(IF(DB_Customers!E421&lt;&gt;"",DB_Customers!E421,""),"")</f>
        <v/>
      </c>
      <c r="L427" s="222" t="str">
        <f>IFERROR(IF(DB_Customers!F421&lt;&gt;"",DB_Customers!F421,""),"")</f>
        <v/>
      </c>
      <c r="M427" s="222" t="str">
        <f>IFERROR(IF(DB_Customers!T421&lt;&gt;"",DB_Customers!T421,""),"")</f>
        <v/>
      </c>
      <c r="N427" s="221" t="str">
        <f>IFERROR(IF(DB_Customers!A421&lt;&gt;"",IF(DB_Customers!I421&gt;=10,"Active","Inactive"),""),"")</f>
        <v/>
      </c>
    </row>
    <row r="428" spans="1:14" ht="18" customHeight="1" x14ac:dyDescent="0.25">
      <c r="A428" s="216" t="str">
        <f>IF(DB_Customers!A422&lt;&gt;"",ROW()-9,"")</f>
        <v/>
      </c>
      <c r="B428" s="216" t="str">
        <f>IFERROR(IF(DB_Customers!A422&lt;&gt;"",DB_Customers!A422,""),"")</f>
        <v/>
      </c>
      <c r="C428" s="217" t="str">
        <f>IFERROR(IF(DB_Customers!D422&lt;&gt;"",DB_Customers!D422,""),"")</f>
        <v/>
      </c>
      <c r="D428" s="218" t="str">
        <f>IFERROR(IF(DB_Customers!Q422&lt;&gt;"",DB_Customers!Q422,""),"")</f>
        <v/>
      </c>
      <c r="E428" s="216" t="str">
        <f>IFERROR(IF(DB_Customers!R422&lt;&gt;"",DB_Customers!R422,""),"")</f>
        <v/>
      </c>
      <c r="F428" s="217" t="str">
        <f>IFERROR(IF(DB_Customers!S422&lt;&gt;"",DB_Customers!S422,""),"")</f>
        <v/>
      </c>
      <c r="G428" s="217" t="str">
        <f>IFERROR(IF(DB_Customers!G422&lt;&gt;"",DB_Customers!G422,""),"")</f>
        <v/>
      </c>
      <c r="H428" s="216" t="str">
        <f>IFERROR(IF(DB_Customers!H422&lt;&gt;"",DB_Customers!H422,""),"")</f>
        <v/>
      </c>
      <c r="I428" s="219" t="str">
        <f>IFERROR(IF(DB_Customers!I422&lt;&gt;"",DB_Customers!I422,""),"")</f>
        <v/>
      </c>
      <c r="J428" s="220" t="str">
        <f>IFERROR(IF(DB_Customers!J422&lt;&gt;"",DB_Customers!J422,""),"")</f>
        <v/>
      </c>
      <c r="K428" s="217" t="str">
        <f>IFERROR(IF(DB_Customers!E422&lt;&gt;"",DB_Customers!E422,""),"")</f>
        <v/>
      </c>
      <c r="L428" s="217" t="str">
        <f>IFERROR(IF(DB_Customers!F422&lt;&gt;"",DB_Customers!F422,""),"")</f>
        <v/>
      </c>
      <c r="M428" s="217" t="str">
        <f>IFERROR(IF(DB_Customers!T422&lt;&gt;"",DB_Customers!T422,""),"")</f>
        <v/>
      </c>
      <c r="N428" s="216" t="str">
        <f>IFERROR(IF(DB_Customers!A422&lt;&gt;"",IF(DB_Customers!I422&gt;=10,"Active","Inactive"),""),"")</f>
        <v/>
      </c>
    </row>
    <row r="429" spans="1:14" ht="18" customHeight="1" x14ac:dyDescent="0.25">
      <c r="A429" s="221" t="str">
        <f>IF(DB_Customers!A423&lt;&gt;"",ROW()-9,"")</f>
        <v/>
      </c>
      <c r="B429" s="221" t="str">
        <f>IFERROR(IF(DB_Customers!A423&lt;&gt;"",DB_Customers!A423,""),"")</f>
        <v/>
      </c>
      <c r="C429" s="222" t="str">
        <f>IFERROR(IF(DB_Customers!D423&lt;&gt;"",DB_Customers!D423,""),"")</f>
        <v/>
      </c>
      <c r="D429" s="223" t="str">
        <f>IFERROR(IF(DB_Customers!Q423&lt;&gt;"",DB_Customers!Q423,""),"")</f>
        <v/>
      </c>
      <c r="E429" s="221" t="str">
        <f>IFERROR(IF(DB_Customers!R423&lt;&gt;"",DB_Customers!R423,""),"")</f>
        <v/>
      </c>
      <c r="F429" s="222" t="str">
        <f>IFERROR(IF(DB_Customers!S423&lt;&gt;"",DB_Customers!S423,""),"")</f>
        <v/>
      </c>
      <c r="G429" s="222" t="str">
        <f>IFERROR(IF(DB_Customers!G423&lt;&gt;"",DB_Customers!G423,""),"")</f>
        <v/>
      </c>
      <c r="H429" s="221" t="str">
        <f>IFERROR(IF(DB_Customers!H423&lt;&gt;"",DB_Customers!H423,""),"")</f>
        <v/>
      </c>
      <c r="I429" s="224" t="str">
        <f>IFERROR(IF(DB_Customers!I423&lt;&gt;"",DB_Customers!I423,""),"")</f>
        <v/>
      </c>
      <c r="J429" s="225" t="str">
        <f>IFERROR(IF(DB_Customers!J423&lt;&gt;"",DB_Customers!J423,""),"")</f>
        <v/>
      </c>
      <c r="K429" s="222" t="str">
        <f>IFERROR(IF(DB_Customers!E423&lt;&gt;"",DB_Customers!E423,""),"")</f>
        <v/>
      </c>
      <c r="L429" s="222" t="str">
        <f>IFERROR(IF(DB_Customers!F423&lt;&gt;"",DB_Customers!F423,""),"")</f>
        <v/>
      </c>
      <c r="M429" s="222" t="str">
        <f>IFERROR(IF(DB_Customers!T423&lt;&gt;"",DB_Customers!T423,""),"")</f>
        <v/>
      </c>
      <c r="N429" s="221" t="str">
        <f>IFERROR(IF(DB_Customers!A423&lt;&gt;"",IF(DB_Customers!I423&gt;=10,"Active","Inactive"),""),"")</f>
        <v/>
      </c>
    </row>
    <row r="430" spans="1:14" ht="18" customHeight="1" x14ac:dyDescent="0.25">
      <c r="A430" s="216" t="str">
        <f>IF(DB_Customers!A424&lt;&gt;"",ROW()-9,"")</f>
        <v/>
      </c>
      <c r="B430" s="216" t="str">
        <f>IFERROR(IF(DB_Customers!A424&lt;&gt;"",DB_Customers!A424,""),"")</f>
        <v/>
      </c>
      <c r="C430" s="217" t="str">
        <f>IFERROR(IF(DB_Customers!D424&lt;&gt;"",DB_Customers!D424,""),"")</f>
        <v/>
      </c>
      <c r="D430" s="218" t="str">
        <f>IFERROR(IF(DB_Customers!Q424&lt;&gt;"",DB_Customers!Q424,""),"")</f>
        <v/>
      </c>
      <c r="E430" s="216" t="str">
        <f>IFERROR(IF(DB_Customers!R424&lt;&gt;"",DB_Customers!R424,""),"")</f>
        <v/>
      </c>
      <c r="F430" s="217" t="str">
        <f>IFERROR(IF(DB_Customers!S424&lt;&gt;"",DB_Customers!S424,""),"")</f>
        <v/>
      </c>
      <c r="G430" s="217" t="str">
        <f>IFERROR(IF(DB_Customers!G424&lt;&gt;"",DB_Customers!G424,""),"")</f>
        <v/>
      </c>
      <c r="H430" s="216" t="str">
        <f>IFERROR(IF(DB_Customers!H424&lt;&gt;"",DB_Customers!H424,""),"")</f>
        <v/>
      </c>
      <c r="I430" s="219" t="str">
        <f>IFERROR(IF(DB_Customers!I424&lt;&gt;"",DB_Customers!I424,""),"")</f>
        <v/>
      </c>
      <c r="J430" s="220" t="str">
        <f>IFERROR(IF(DB_Customers!J424&lt;&gt;"",DB_Customers!J424,""),"")</f>
        <v/>
      </c>
      <c r="K430" s="217" t="str">
        <f>IFERROR(IF(DB_Customers!E424&lt;&gt;"",DB_Customers!E424,""),"")</f>
        <v/>
      </c>
      <c r="L430" s="217" t="str">
        <f>IFERROR(IF(DB_Customers!F424&lt;&gt;"",DB_Customers!F424,""),"")</f>
        <v/>
      </c>
      <c r="M430" s="217" t="str">
        <f>IFERROR(IF(DB_Customers!T424&lt;&gt;"",DB_Customers!T424,""),"")</f>
        <v/>
      </c>
      <c r="N430" s="216" t="str">
        <f>IFERROR(IF(DB_Customers!A424&lt;&gt;"",IF(DB_Customers!I424&gt;=10,"Active","Inactive"),""),"")</f>
        <v/>
      </c>
    </row>
    <row r="431" spans="1:14" ht="18" customHeight="1" x14ac:dyDescent="0.25">
      <c r="A431" s="221" t="str">
        <f>IF(DB_Customers!A425&lt;&gt;"",ROW()-9,"")</f>
        <v/>
      </c>
      <c r="B431" s="221" t="str">
        <f>IFERROR(IF(DB_Customers!A425&lt;&gt;"",DB_Customers!A425,""),"")</f>
        <v/>
      </c>
      <c r="C431" s="222" t="str">
        <f>IFERROR(IF(DB_Customers!D425&lt;&gt;"",DB_Customers!D425,""),"")</f>
        <v/>
      </c>
      <c r="D431" s="223" t="str">
        <f>IFERROR(IF(DB_Customers!Q425&lt;&gt;"",DB_Customers!Q425,""),"")</f>
        <v/>
      </c>
      <c r="E431" s="221" t="str">
        <f>IFERROR(IF(DB_Customers!R425&lt;&gt;"",DB_Customers!R425,""),"")</f>
        <v/>
      </c>
      <c r="F431" s="222" t="str">
        <f>IFERROR(IF(DB_Customers!S425&lt;&gt;"",DB_Customers!S425,""),"")</f>
        <v/>
      </c>
      <c r="G431" s="222" t="str">
        <f>IFERROR(IF(DB_Customers!G425&lt;&gt;"",DB_Customers!G425,""),"")</f>
        <v/>
      </c>
      <c r="H431" s="221" t="str">
        <f>IFERROR(IF(DB_Customers!H425&lt;&gt;"",DB_Customers!H425,""),"")</f>
        <v/>
      </c>
      <c r="I431" s="224" t="str">
        <f>IFERROR(IF(DB_Customers!I425&lt;&gt;"",DB_Customers!I425,""),"")</f>
        <v/>
      </c>
      <c r="J431" s="225" t="str">
        <f>IFERROR(IF(DB_Customers!J425&lt;&gt;"",DB_Customers!J425,""),"")</f>
        <v/>
      </c>
      <c r="K431" s="222" t="str">
        <f>IFERROR(IF(DB_Customers!E425&lt;&gt;"",DB_Customers!E425,""),"")</f>
        <v/>
      </c>
      <c r="L431" s="222" t="str">
        <f>IFERROR(IF(DB_Customers!F425&lt;&gt;"",DB_Customers!F425,""),"")</f>
        <v/>
      </c>
      <c r="M431" s="222" t="str">
        <f>IFERROR(IF(DB_Customers!T425&lt;&gt;"",DB_Customers!T425,""),"")</f>
        <v/>
      </c>
      <c r="N431" s="221" t="str">
        <f>IFERROR(IF(DB_Customers!A425&lt;&gt;"",IF(DB_Customers!I425&gt;=10,"Active","Inactive"),""),"")</f>
        <v/>
      </c>
    </row>
    <row r="432" spans="1:14" ht="18" customHeight="1" x14ac:dyDescent="0.25">
      <c r="A432" s="216" t="str">
        <f>IF(DB_Customers!A426&lt;&gt;"",ROW()-9,"")</f>
        <v/>
      </c>
      <c r="B432" s="216" t="str">
        <f>IFERROR(IF(DB_Customers!A426&lt;&gt;"",DB_Customers!A426,""),"")</f>
        <v/>
      </c>
      <c r="C432" s="217" t="str">
        <f>IFERROR(IF(DB_Customers!D426&lt;&gt;"",DB_Customers!D426,""),"")</f>
        <v/>
      </c>
      <c r="D432" s="218" t="str">
        <f>IFERROR(IF(DB_Customers!Q426&lt;&gt;"",DB_Customers!Q426,""),"")</f>
        <v/>
      </c>
      <c r="E432" s="216" t="str">
        <f>IFERROR(IF(DB_Customers!R426&lt;&gt;"",DB_Customers!R426,""),"")</f>
        <v/>
      </c>
      <c r="F432" s="217" t="str">
        <f>IFERROR(IF(DB_Customers!S426&lt;&gt;"",DB_Customers!S426,""),"")</f>
        <v/>
      </c>
      <c r="G432" s="217" t="str">
        <f>IFERROR(IF(DB_Customers!G426&lt;&gt;"",DB_Customers!G426,""),"")</f>
        <v/>
      </c>
      <c r="H432" s="216" t="str">
        <f>IFERROR(IF(DB_Customers!H426&lt;&gt;"",DB_Customers!H426,""),"")</f>
        <v/>
      </c>
      <c r="I432" s="219" t="str">
        <f>IFERROR(IF(DB_Customers!I426&lt;&gt;"",DB_Customers!I426,""),"")</f>
        <v/>
      </c>
      <c r="J432" s="220" t="str">
        <f>IFERROR(IF(DB_Customers!J426&lt;&gt;"",DB_Customers!J426,""),"")</f>
        <v/>
      </c>
      <c r="K432" s="217" t="str">
        <f>IFERROR(IF(DB_Customers!E426&lt;&gt;"",DB_Customers!E426,""),"")</f>
        <v/>
      </c>
      <c r="L432" s="217" t="str">
        <f>IFERROR(IF(DB_Customers!F426&lt;&gt;"",DB_Customers!F426,""),"")</f>
        <v/>
      </c>
      <c r="M432" s="217" t="str">
        <f>IFERROR(IF(DB_Customers!T426&lt;&gt;"",DB_Customers!T426,""),"")</f>
        <v/>
      </c>
      <c r="N432" s="216" t="str">
        <f>IFERROR(IF(DB_Customers!A426&lt;&gt;"",IF(DB_Customers!I426&gt;=10,"Active","Inactive"),""),"")</f>
        <v/>
      </c>
    </row>
    <row r="433" spans="1:14" ht="18" customHeight="1" x14ac:dyDescent="0.25">
      <c r="A433" s="221" t="str">
        <f>IF(DB_Customers!A427&lt;&gt;"",ROW()-9,"")</f>
        <v/>
      </c>
      <c r="B433" s="221" t="str">
        <f>IFERROR(IF(DB_Customers!A427&lt;&gt;"",DB_Customers!A427,""),"")</f>
        <v/>
      </c>
      <c r="C433" s="222" t="str">
        <f>IFERROR(IF(DB_Customers!D427&lt;&gt;"",DB_Customers!D427,""),"")</f>
        <v/>
      </c>
      <c r="D433" s="223" t="str">
        <f>IFERROR(IF(DB_Customers!Q427&lt;&gt;"",DB_Customers!Q427,""),"")</f>
        <v/>
      </c>
      <c r="E433" s="221" t="str">
        <f>IFERROR(IF(DB_Customers!R427&lt;&gt;"",DB_Customers!R427,""),"")</f>
        <v/>
      </c>
      <c r="F433" s="222" t="str">
        <f>IFERROR(IF(DB_Customers!S427&lt;&gt;"",DB_Customers!S427,""),"")</f>
        <v/>
      </c>
      <c r="G433" s="222" t="str">
        <f>IFERROR(IF(DB_Customers!G427&lt;&gt;"",DB_Customers!G427,""),"")</f>
        <v/>
      </c>
      <c r="H433" s="221" t="str">
        <f>IFERROR(IF(DB_Customers!H427&lt;&gt;"",DB_Customers!H427,""),"")</f>
        <v/>
      </c>
      <c r="I433" s="224" t="str">
        <f>IFERROR(IF(DB_Customers!I427&lt;&gt;"",DB_Customers!I427,""),"")</f>
        <v/>
      </c>
      <c r="J433" s="225" t="str">
        <f>IFERROR(IF(DB_Customers!J427&lt;&gt;"",DB_Customers!J427,""),"")</f>
        <v/>
      </c>
      <c r="K433" s="222" t="str">
        <f>IFERROR(IF(DB_Customers!E427&lt;&gt;"",DB_Customers!E427,""),"")</f>
        <v/>
      </c>
      <c r="L433" s="222" t="str">
        <f>IFERROR(IF(DB_Customers!F427&lt;&gt;"",DB_Customers!F427,""),"")</f>
        <v/>
      </c>
      <c r="M433" s="222" t="str">
        <f>IFERROR(IF(DB_Customers!T427&lt;&gt;"",DB_Customers!T427,""),"")</f>
        <v/>
      </c>
      <c r="N433" s="221" t="str">
        <f>IFERROR(IF(DB_Customers!A427&lt;&gt;"",IF(DB_Customers!I427&gt;=10,"Active","Inactive"),""),"")</f>
        <v/>
      </c>
    </row>
    <row r="434" spans="1:14" ht="18" customHeight="1" x14ac:dyDescent="0.25">
      <c r="A434" s="216" t="str">
        <f>IF(DB_Customers!A428&lt;&gt;"",ROW()-9,"")</f>
        <v/>
      </c>
      <c r="B434" s="216" t="str">
        <f>IFERROR(IF(DB_Customers!A428&lt;&gt;"",DB_Customers!A428,""),"")</f>
        <v/>
      </c>
      <c r="C434" s="217" t="str">
        <f>IFERROR(IF(DB_Customers!D428&lt;&gt;"",DB_Customers!D428,""),"")</f>
        <v/>
      </c>
      <c r="D434" s="218" t="str">
        <f>IFERROR(IF(DB_Customers!Q428&lt;&gt;"",DB_Customers!Q428,""),"")</f>
        <v/>
      </c>
      <c r="E434" s="216" t="str">
        <f>IFERROR(IF(DB_Customers!R428&lt;&gt;"",DB_Customers!R428,""),"")</f>
        <v/>
      </c>
      <c r="F434" s="217" t="str">
        <f>IFERROR(IF(DB_Customers!S428&lt;&gt;"",DB_Customers!S428,""),"")</f>
        <v/>
      </c>
      <c r="G434" s="217" t="str">
        <f>IFERROR(IF(DB_Customers!G428&lt;&gt;"",DB_Customers!G428,""),"")</f>
        <v/>
      </c>
      <c r="H434" s="216" t="str">
        <f>IFERROR(IF(DB_Customers!H428&lt;&gt;"",DB_Customers!H428,""),"")</f>
        <v/>
      </c>
      <c r="I434" s="219" t="str">
        <f>IFERROR(IF(DB_Customers!I428&lt;&gt;"",DB_Customers!I428,""),"")</f>
        <v/>
      </c>
      <c r="J434" s="220" t="str">
        <f>IFERROR(IF(DB_Customers!J428&lt;&gt;"",DB_Customers!J428,""),"")</f>
        <v/>
      </c>
      <c r="K434" s="217" t="str">
        <f>IFERROR(IF(DB_Customers!E428&lt;&gt;"",DB_Customers!E428,""),"")</f>
        <v/>
      </c>
      <c r="L434" s="217" t="str">
        <f>IFERROR(IF(DB_Customers!F428&lt;&gt;"",DB_Customers!F428,""),"")</f>
        <v/>
      </c>
      <c r="M434" s="217" t="str">
        <f>IFERROR(IF(DB_Customers!T428&lt;&gt;"",DB_Customers!T428,""),"")</f>
        <v/>
      </c>
      <c r="N434" s="216" t="str">
        <f>IFERROR(IF(DB_Customers!A428&lt;&gt;"",IF(DB_Customers!I428&gt;=10,"Active","Inactive"),""),"")</f>
        <v/>
      </c>
    </row>
    <row r="435" spans="1:14" ht="18" customHeight="1" x14ac:dyDescent="0.25">
      <c r="A435" s="221" t="str">
        <f>IF(DB_Customers!A429&lt;&gt;"",ROW()-9,"")</f>
        <v/>
      </c>
      <c r="B435" s="221" t="str">
        <f>IFERROR(IF(DB_Customers!A429&lt;&gt;"",DB_Customers!A429,""),"")</f>
        <v/>
      </c>
      <c r="C435" s="222" t="str">
        <f>IFERROR(IF(DB_Customers!D429&lt;&gt;"",DB_Customers!D429,""),"")</f>
        <v/>
      </c>
      <c r="D435" s="223" t="str">
        <f>IFERROR(IF(DB_Customers!Q429&lt;&gt;"",DB_Customers!Q429,""),"")</f>
        <v/>
      </c>
      <c r="E435" s="221" t="str">
        <f>IFERROR(IF(DB_Customers!R429&lt;&gt;"",DB_Customers!R429,""),"")</f>
        <v/>
      </c>
      <c r="F435" s="222" t="str">
        <f>IFERROR(IF(DB_Customers!S429&lt;&gt;"",DB_Customers!S429,""),"")</f>
        <v/>
      </c>
      <c r="G435" s="222" t="str">
        <f>IFERROR(IF(DB_Customers!G429&lt;&gt;"",DB_Customers!G429,""),"")</f>
        <v/>
      </c>
      <c r="H435" s="221" t="str">
        <f>IFERROR(IF(DB_Customers!H429&lt;&gt;"",DB_Customers!H429,""),"")</f>
        <v/>
      </c>
      <c r="I435" s="224" t="str">
        <f>IFERROR(IF(DB_Customers!I429&lt;&gt;"",DB_Customers!I429,""),"")</f>
        <v/>
      </c>
      <c r="J435" s="225" t="str">
        <f>IFERROR(IF(DB_Customers!J429&lt;&gt;"",DB_Customers!J429,""),"")</f>
        <v/>
      </c>
      <c r="K435" s="222" t="str">
        <f>IFERROR(IF(DB_Customers!E429&lt;&gt;"",DB_Customers!E429,""),"")</f>
        <v/>
      </c>
      <c r="L435" s="222" t="str">
        <f>IFERROR(IF(DB_Customers!F429&lt;&gt;"",DB_Customers!F429,""),"")</f>
        <v/>
      </c>
      <c r="M435" s="222" t="str">
        <f>IFERROR(IF(DB_Customers!T429&lt;&gt;"",DB_Customers!T429,""),"")</f>
        <v/>
      </c>
      <c r="N435" s="221" t="str">
        <f>IFERROR(IF(DB_Customers!A429&lt;&gt;"",IF(DB_Customers!I429&gt;=10,"Active","Inactive"),""),"")</f>
        <v/>
      </c>
    </row>
    <row r="436" spans="1:14" ht="18" customHeight="1" x14ac:dyDescent="0.25">
      <c r="A436" s="216" t="str">
        <f>IF(DB_Customers!A430&lt;&gt;"",ROW()-9,"")</f>
        <v/>
      </c>
      <c r="B436" s="216" t="str">
        <f>IFERROR(IF(DB_Customers!A430&lt;&gt;"",DB_Customers!A430,""),"")</f>
        <v/>
      </c>
      <c r="C436" s="217" t="str">
        <f>IFERROR(IF(DB_Customers!D430&lt;&gt;"",DB_Customers!D430,""),"")</f>
        <v/>
      </c>
      <c r="D436" s="218" t="str">
        <f>IFERROR(IF(DB_Customers!Q430&lt;&gt;"",DB_Customers!Q430,""),"")</f>
        <v/>
      </c>
      <c r="E436" s="216" t="str">
        <f>IFERROR(IF(DB_Customers!R430&lt;&gt;"",DB_Customers!R430,""),"")</f>
        <v/>
      </c>
      <c r="F436" s="217" t="str">
        <f>IFERROR(IF(DB_Customers!S430&lt;&gt;"",DB_Customers!S430,""),"")</f>
        <v/>
      </c>
      <c r="G436" s="217" t="str">
        <f>IFERROR(IF(DB_Customers!G430&lt;&gt;"",DB_Customers!G430,""),"")</f>
        <v/>
      </c>
      <c r="H436" s="216" t="str">
        <f>IFERROR(IF(DB_Customers!H430&lt;&gt;"",DB_Customers!H430,""),"")</f>
        <v/>
      </c>
      <c r="I436" s="219" t="str">
        <f>IFERROR(IF(DB_Customers!I430&lt;&gt;"",DB_Customers!I430,""),"")</f>
        <v/>
      </c>
      <c r="J436" s="220" t="str">
        <f>IFERROR(IF(DB_Customers!J430&lt;&gt;"",DB_Customers!J430,""),"")</f>
        <v/>
      </c>
      <c r="K436" s="217" t="str">
        <f>IFERROR(IF(DB_Customers!E430&lt;&gt;"",DB_Customers!E430,""),"")</f>
        <v/>
      </c>
      <c r="L436" s="217" t="str">
        <f>IFERROR(IF(DB_Customers!F430&lt;&gt;"",DB_Customers!F430,""),"")</f>
        <v/>
      </c>
      <c r="M436" s="217" t="str">
        <f>IFERROR(IF(DB_Customers!T430&lt;&gt;"",DB_Customers!T430,""),"")</f>
        <v/>
      </c>
      <c r="N436" s="216" t="str">
        <f>IFERROR(IF(DB_Customers!A430&lt;&gt;"",IF(DB_Customers!I430&gt;=10,"Active","Inactive"),""),"")</f>
        <v/>
      </c>
    </row>
    <row r="437" spans="1:14" ht="18" customHeight="1" x14ac:dyDescent="0.25">
      <c r="A437" s="221" t="str">
        <f>IF(DB_Customers!A431&lt;&gt;"",ROW()-9,"")</f>
        <v/>
      </c>
      <c r="B437" s="221" t="str">
        <f>IFERROR(IF(DB_Customers!A431&lt;&gt;"",DB_Customers!A431,""),"")</f>
        <v/>
      </c>
      <c r="C437" s="222" t="str">
        <f>IFERROR(IF(DB_Customers!D431&lt;&gt;"",DB_Customers!D431,""),"")</f>
        <v/>
      </c>
      <c r="D437" s="223" t="str">
        <f>IFERROR(IF(DB_Customers!Q431&lt;&gt;"",DB_Customers!Q431,""),"")</f>
        <v/>
      </c>
      <c r="E437" s="221" t="str">
        <f>IFERROR(IF(DB_Customers!R431&lt;&gt;"",DB_Customers!R431,""),"")</f>
        <v/>
      </c>
      <c r="F437" s="222" t="str">
        <f>IFERROR(IF(DB_Customers!S431&lt;&gt;"",DB_Customers!S431,""),"")</f>
        <v/>
      </c>
      <c r="G437" s="222" t="str">
        <f>IFERROR(IF(DB_Customers!G431&lt;&gt;"",DB_Customers!G431,""),"")</f>
        <v/>
      </c>
      <c r="H437" s="221" t="str">
        <f>IFERROR(IF(DB_Customers!H431&lt;&gt;"",DB_Customers!H431,""),"")</f>
        <v/>
      </c>
      <c r="I437" s="224" t="str">
        <f>IFERROR(IF(DB_Customers!I431&lt;&gt;"",DB_Customers!I431,""),"")</f>
        <v/>
      </c>
      <c r="J437" s="225" t="str">
        <f>IFERROR(IF(DB_Customers!J431&lt;&gt;"",DB_Customers!J431,""),"")</f>
        <v/>
      </c>
      <c r="K437" s="222" t="str">
        <f>IFERROR(IF(DB_Customers!E431&lt;&gt;"",DB_Customers!E431,""),"")</f>
        <v/>
      </c>
      <c r="L437" s="222" t="str">
        <f>IFERROR(IF(DB_Customers!F431&lt;&gt;"",DB_Customers!F431,""),"")</f>
        <v/>
      </c>
      <c r="M437" s="222" t="str">
        <f>IFERROR(IF(DB_Customers!T431&lt;&gt;"",DB_Customers!T431,""),"")</f>
        <v/>
      </c>
      <c r="N437" s="221" t="str">
        <f>IFERROR(IF(DB_Customers!A431&lt;&gt;"",IF(DB_Customers!I431&gt;=10,"Active","Inactive"),""),"")</f>
        <v/>
      </c>
    </row>
    <row r="438" spans="1:14" ht="18" customHeight="1" x14ac:dyDescent="0.25">
      <c r="A438" s="216" t="str">
        <f>IF(DB_Customers!A432&lt;&gt;"",ROW()-9,"")</f>
        <v/>
      </c>
      <c r="B438" s="216" t="str">
        <f>IFERROR(IF(DB_Customers!A432&lt;&gt;"",DB_Customers!A432,""),"")</f>
        <v/>
      </c>
      <c r="C438" s="217" t="str">
        <f>IFERROR(IF(DB_Customers!D432&lt;&gt;"",DB_Customers!D432,""),"")</f>
        <v/>
      </c>
      <c r="D438" s="218" t="str">
        <f>IFERROR(IF(DB_Customers!Q432&lt;&gt;"",DB_Customers!Q432,""),"")</f>
        <v/>
      </c>
      <c r="E438" s="216" t="str">
        <f>IFERROR(IF(DB_Customers!R432&lt;&gt;"",DB_Customers!R432,""),"")</f>
        <v/>
      </c>
      <c r="F438" s="217" t="str">
        <f>IFERROR(IF(DB_Customers!S432&lt;&gt;"",DB_Customers!S432,""),"")</f>
        <v/>
      </c>
      <c r="G438" s="217" t="str">
        <f>IFERROR(IF(DB_Customers!G432&lt;&gt;"",DB_Customers!G432,""),"")</f>
        <v/>
      </c>
      <c r="H438" s="216" t="str">
        <f>IFERROR(IF(DB_Customers!H432&lt;&gt;"",DB_Customers!H432,""),"")</f>
        <v/>
      </c>
      <c r="I438" s="219" t="str">
        <f>IFERROR(IF(DB_Customers!I432&lt;&gt;"",DB_Customers!I432,""),"")</f>
        <v/>
      </c>
      <c r="J438" s="220" t="str">
        <f>IFERROR(IF(DB_Customers!J432&lt;&gt;"",DB_Customers!J432,""),"")</f>
        <v/>
      </c>
      <c r="K438" s="217" t="str">
        <f>IFERROR(IF(DB_Customers!E432&lt;&gt;"",DB_Customers!E432,""),"")</f>
        <v/>
      </c>
      <c r="L438" s="217" t="str">
        <f>IFERROR(IF(DB_Customers!F432&lt;&gt;"",DB_Customers!F432,""),"")</f>
        <v/>
      </c>
      <c r="M438" s="217" t="str">
        <f>IFERROR(IF(DB_Customers!T432&lt;&gt;"",DB_Customers!T432,""),"")</f>
        <v/>
      </c>
      <c r="N438" s="216" t="str">
        <f>IFERROR(IF(DB_Customers!A432&lt;&gt;"",IF(DB_Customers!I432&gt;=10,"Active","Inactive"),""),"")</f>
        <v/>
      </c>
    </row>
    <row r="439" spans="1:14" ht="18" customHeight="1" x14ac:dyDescent="0.25">
      <c r="A439" s="221" t="str">
        <f>IF(DB_Customers!A433&lt;&gt;"",ROW()-9,"")</f>
        <v/>
      </c>
      <c r="B439" s="221" t="str">
        <f>IFERROR(IF(DB_Customers!A433&lt;&gt;"",DB_Customers!A433,""),"")</f>
        <v/>
      </c>
      <c r="C439" s="222" t="str">
        <f>IFERROR(IF(DB_Customers!D433&lt;&gt;"",DB_Customers!D433,""),"")</f>
        <v/>
      </c>
      <c r="D439" s="223" t="str">
        <f>IFERROR(IF(DB_Customers!Q433&lt;&gt;"",DB_Customers!Q433,""),"")</f>
        <v/>
      </c>
      <c r="E439" s="221" t="str">
        <f>IFERROR(IF(DB_Customers!R433&lt;&gt;"",DB_Customers!R433,""),"")</f>
        <v/>
      </c>
      <c r="F439" s="222" t="str">
        <f>IFERROR(IF(DB_Customers!S433&lt;&gt;"",DB_Customers!S433,""),"")</f>
        <v/>
      </c>
      <c r="G439" s="222" t="str">
        <f>IFERROR(IF(DB_Customers!G433&lt;&gt;"",DB_Customers!G433,""),"")</f>
        <v/>
      </c>
      <c r="H439" s="221" t="str">
        <f>IFERROR(IF(DB_Customers!H433&lt;&gt;"",DB_Customers!H433,""),"")</f>
        <v/>
      </c>
      <c r="I439" s="224" t="str">
        <f>IFERROR(IF(DB_Customers!I433&lt;&gt;"",DB_Customers!I433,""),"")</f>
        <v/>
      </c>
      <c r="J439" s="225" t="str">
        <f>IFERROR(IF(DB_Customers!J433&lt;&gt;"",DB_Customers!J433,""),"")</f>
        <v/>
      </c>
      <c r="K439" s="222" t="str">
        <f>IFERROR(IF(DB_Customers!E433&lt;&gt;"",DB_Customers!E433,""),"")</f>
        <v/>
      </c>
      <c r="L439" s="222" t="str">
        <f>IFERROR(IF(DB_Customers!F433&lt;&gt;"",DB_Customers!F433,""),"")</f>
        <v/>
      </c>
      <c r="M439" s="222" t="str">
        <f>IFERROR(IF(DB_Customers!T433&lt;&gt;"",DB_Customers!T433,""),"")</f>
        <v/>
      </c>
      <c r="N439" s="221" t="str">
        <f>IFERROR(IF(DB_Customers!A433&lt;&gt;"",IF(DB_Customers!I433&gt;=10,"Active","Inactive"),""),"")</f>
        <v/>
      </c>
    </row>
    <row r="440" spans="1:14" ht="18" customHeight="1" x14ac:dyDescent="0.25">
      <c r="A440" s="216" t="str">
        <f>IF(DB_Customers!A434&lt;&gt;"",ROW()-9,"")</f>
        <v/>
      </c>
      <c r="B440" s="216" t="str">
        <f>IFERROR(IF(DB_Customers!A434&lt;&gt;"",DB_Customers!A434,""),"")</f>
        <v/>
      </c>
      <c r="C440" s="217" t="str">
        <f>IFERROR(IF(DB_Customers!D434&lt;&gt;"",DB_Customers!D434,""),"")</f>
        <v/>
      </c>
      <c r="D440" s="218" t="str">
        <f>IFERROR(IF(DB_Customers!Q434&lt;&gt;"",DB_Customers!Q434,""),"")</f>
        <v/>
      </c>
      <c r="E440" s="216" t="str">
        <f>IFERROR(IF(DB_Customers!R434&lt;&gt;"",DB_Customers!R434,""),"")</f>
        <v/>
      </c>
      <c r="F440" s="217" t="str">
        <f>IFERROR(IF(DB_Customers!S434&lt;&gt;"",DB_Customers!S434,""),"")</f>
        <v/>
      </c>
      <c r="G440" s="217" t="str">
        <f>IFERROR(IF(DB_Customers!G434&lt;&gt;"",DB_Customers!G434,""),"")</f>
        <v/>
      </c>
      <c r="H440" s="216" t="str">
        <f>IFERROR(IF(DB_Customers!H434&lt;&gt;"",DB_Customers!H434,""),"")</f>
        <v/>
      </c>
      <c r="I440" s="219" t="str">
        <f>IFERROR(IF(DB_Customers!I434&lt;&gt;"",DB_Customers!I434,""),"")</f>
        <v/>
      </c>
      <c r="J440" s="220" t="str">
        <f>IFERROR(IF(DB_Customers!J434&lt;&gt;"",DB_Customers!J434,""),"")</f>
        <v/>
      </c>
      <c r="K440" s="217" t="str">
        <f>IFERROR(IF(DB_Customers!E434&lt;&gt;"",DB_Customers!E434,""),"")</f>
        <v/>
      </c>
      <c r="L440" s="217" t="str">
        <f>IFERROR(IF(DB_Customers!F434&lt;&gt;"",DB_Customers!F434,""),"")</f>
        <v/>
      </c>
      <c r="M440" s="217" t="str">
        <f>IFERROR(IF(DB_Customers!T434&lt;&gt;"",DB_Customers!T434,""),"")</f>
        <v/>
      </c>
      <c r="N440" s="216" t="str">
        <f>IFERROR(IF(DB_Customers!A434&lt;&gt;"",IF(DB_Customers!I434&gt;=10,"Active","Inactive"),""),"")</f>
        <v/>
      </c>
    </row>
    <row r="441" spans="1:14" ht="18" customHeight="1" x14ac:dyDescent="0.25">
      <c r="A441" s="221" t="str">
        <f>IF(DB_Customers!A435&lt;&gt;"",ROW()-9,"")</f>
        <v/>
      </c>
      <c r="B441" s="221" t="str">
        <f>IFERROR(IF(DB_Customers!A435&lt;&gt;"",DB_Customers!A435,""),"")</f>
        <v/>
      </c>
      <c r="C441" s="222" t="str">
        <f>IFERROR(IF(DB_Customers!D435&lt;&gt;"",DB_Customers!D435,""),"")</f>
        <v/>
      </c>
      <c r="D441" s="223" t="str">
        <f>IFERROR(IF(DB_Customers!Q435&lt;&gt;"",DB_Customers!Q435,""),"")</f>
        <v/>
      </c>
      <c r="E441" s="221" t="str">
        <f>IFERROR(IF(DB_Customers!R435&lt;&gt;"",DB_Customers!R435,""),"")</f>
        <v/>
      </c>
      <c r="F441" s="222" t="str">
        <f>IFERROR(IF(DB_Customers!S435&lt;&gt;"",DB_Customers!S435,""),"")</f>
        <v/>
      </c>
      <c r="G441" s="222" t="str">
        <f>IFERROR(IF(DB_Customers!G435&lt;&gt;"",DB_Customers!G435,""),"")</f>
        <v/>
      </c>
      <c r="H441" s="221" t="str">
        <f>IFERROR(IF(DB_Customers!H435&lt;&gt;"",DB_Customers!H435,""),"")</f>
        <v/>
      </c>
      <c r="I441" s="224" t="str">
        <f>IFERROR(IF(DB_Customers!I435&lt;&gt;"",DB_Customers!I435,""),"")</f>
        <v/>
      </c>
      <c r="J441" s="225" t="str">
        <f>IFERROR(IF(DB_Customers!J435&lt;&gt;"",DB_Customers!J435,""),"")</f>
        <v/>
      </c>
      <c r="K441" s="222" t="str">
        <f>IFERROR(IF(DB_Customers!E435&lt;&gt;"",DB_Customers!E435,""),"")</f>
        <v/>
      </c>
      <c r="L441" s="222" t="str">
        <f>IFERROR(IF(DB_Customers!F435&lt;&gt;"",DB_Customers!F435,""),"")</f>
        <v/>
      </c>
      <c r="M441" s="222" t="str">
        <f>IFERROR(IF(DB_Customers!T435&lt;&gt;"",DB_Customers!T435,""),"")</f>
        <v/>
      </c>
      <c r="N441" s="221" t="str">
        <f>IFERROR(IF(DB_Customers!A435&lt;&gt;"",IF(DB_Customers!I435&gt;=10,"Active","Inactive"),""),"")</f>
        <v/>
      </c>
    </row>
    <row r="442" spans="1:14" ht="18" customHeight="1" x14ac:dyDescent="0.25">
      <c r="A442" s="216" t="str">
        <f>IF(DB_Customers!A436&lt;&gt;"",ROW()-9,"")</f>
        <v/>
      </c>
      <c r="B442" s="216" t="str">
        <f>IFERROR(IF(DB_Customers!A436&lt;&gt;"",DB_Customers!A436,""),"")</f>
        <v/>
      </c>
      <c r="C442" s="217" t="str">
        <f>IFERROR(IF(DB_Customers!D436&lt;&gt;"",DB_Customers!D436,""),"")</f>
        <v/>
      </c>
      <c r="D442" s="218" t="str">
        <f>IFERROR(IF(DB_Customers!Q436&lt;&gt;"",DB_Customers!Q436,""),"")</f>
        <v/>
      </c>
      <c r="E442" s="216" t="str">
        <f>IFERROR(IF(DB_Customers!R436&lt;&gt;"",DB_Customers!R436,""),"")</f>
        <v/>
      </c>
      <c r="F442" s="217" t="str">
        <f>IFERROR(IF(DB_Customers!S436&lt;&gt;"",DB_Customers!S436,""),"")</f>
        <v/>
      </c>
      <c r="G442" s="217" t="str">
        <f>IFERROR(IF(DB_Customers!G436&lt;&gt;"",DB_Customers!G436,""),"")</f>
        <v/>
      </c>
      <c r="H442" s="216" t="str">
        <f>IFERROR(IF(DB_Customers!H436&lt;&gt;"",DB_Customers!H436,""),"")</f>
        <v/>
      </c>
      <c r="I442" s="219" t="str">
        <f>IFERROR(IF(DB_Customers!I436&lt;&gt;"",DB_Customers!I436,""),"")</f>
        <v/>
      </c>
      <c r="J442" s="220" t="str">
        <f>IFERROR(IF(DB_Customers!J436&lt;&gt;"",DB_Customers!J436,""),"")</f>
        <v/>
      </c>
      <c r="K442" s="217" t="str">
        <f>IFERROR(IF(DB_Customers!E436&lt;&gt;"",DB_Customers!E436,""),"")</f>
        <v/>
      </c>
      <c r="L442" s="217" t="str">
        <f>IFERROR(IF(DB_Customers!F436&lt;&gt;"",DB_Customers!F436,""),"")</f>
        <v/>
      </c>
      <c r="M442" s="217" t="str">
        <f>IFERROR(IF(DB_Customers!T436&lt;&gt;"",DB_Customers!T436,""),"")</f>
        <v/>
      </c>
      <c r="N442" s="216" t="str">
        <f>IFERROR(IF(DB_Customers!A436&lt;&gt;"",IF(DB_Customers!I436&gt;=10,"Active","Inactive"),""),"")</f>
        <v/>
      </c>
    </row>
    <row r="443" spans="1:14" ht="18" customHeight="1" x14ac:dyDescent="0.25">
      <c r="A443" s="221" t="str">
        <f>IF(DB_Customers!A437&lt;&gt;"",ROW()-9,"")</f>
        <v/>
      </c>
      <c r="B443" s="221" t="str">
        <f>IFERROR(IF(DB_Customers!A437&lt;&gt;"",DB_Customers!A437,""),"")</f>
        <v/>
      </c>
      <c r="C443" s="222" t="str">
        <f>IFERROR(IF(DB_Customers!D437&lt;&gt;"",DB_Customers!D437,""),"")</f>
        <v/>
      </c>
      <c r="D443" s="223" t="str">
        <f>IFERROR(IF(DB_Customers!Q437&lt;&gt;"",DB_Customers!Q437,""),"")</f>
        <v/>
      </c>
      <c r="E443" s="221" t="str">
        <f>IFERROR(IF(DB_Customers!R437&lt;&gt;"",DB_Customers!R437,""),"")</f>
        <v/>
      </c>
      <c r="F443" s="222" t="str">
        <f>IFERROR(IF(DB_Customers!S437&lt;&gt;"",DB_Customers!S437,""),"")</f>
        <v/>
      </c>
      <c r="G443" s="222" t="str">
        <f>IFERROR(IF(DB_Customers!G437&lt;&gt;"",DB_Customers!G437,""),"")</f>
        <v/>
      </c>
      <c r="H443" s="221" t="str">
        <f>IFERROR(IF(DB_Customers!H437&lt;&gt;"",DB_Customers!H437,""),"")</f>
        <v/>
      </c>
      <c r="I443" s="224" t="str">
        <f>IFERROR(IF(DB_Customers!I437&lt;&gt;"",DB_Customers!I437,""),"")</f>
        <v/>
      </c>
      <c r="J443" s="225" t="str">
        <f>IFERROR(IF(DB_Customers!J437&lt;&gt;"",DB_Customers!J437,""),"")</f>
        <v/>
      </c>
      <c r="K443" s="222" t="str">
        <f>IFERROR(IF(DB_Customers!E437&lt;&gt;"",DB_Customers!E437,""),"")</f>
        <v/>
      </c>
      <c r="L443" s="222" t="str">
        <f>IFERROR(IF(DB_Customers!F437&lt;&gt;"",DB_Customers!F437,""),"")</f>
        <v/>
      </c>
      <c r="M443" s="222" t="str">
        <f>IFERROR(IF(DB_Customers!T437&lt;&gt;"",DB_Customers!T437,""),"")</f>
        <v/>
      </c>
      <c r="N443" s="221" t="str">
        <f>IFERROR(IF(DB_Customers!A437&lt;&gt;"",IF(DB_Customers!I437&gt;=10,"Active","Inactive"),""),"")</f>
        <v/>
      </c>
    </row>
    <row r="444" spans="1:14" ht="18" customHeight="1" x14ac:dyDescent="0.25">
      <c r="A444" s="216" t="str">
        <f>IF(DB_Customers!A438&lt;&gt;"",ROW()-9,"")</f>
        <v/>
      </c>
      <c r="B444" s="216" t="str">
        <f>IFERROR(IF(DB_Customers!A438&lt;&gt;"",DB_Customers!A438,""),"")</f>
        <v/>
      </c>
      <c r="C444" s="217" t="str">
        <f>IFERROR(IF(DB_Customers!D438&lt;&gt;"",DB_Customers!D438,""),"")</f>
        <v/>
      </c>
      <c r="D444" s="218" t="str">
        <f>IFERROR(IF(DB_Customers!Q438&lt;&gt;"",DB_Customers!Q438,""),"")</f>
        <v/>
      </c>
      <c r="E444" s="216" t="str">
        <f>IFERROR(IF(DB_Customers!R438&lt;&gt;"",DB_Customers!R438,""),"")</f>
        <v/>
      </c>
      <c r="F444" s="217" t="str">
        <f>IFERROR(IF(DB_Customers!S438&lt;&gt;"",DB_Customers!S438,""),"")</f>
        <v/>
      </c>
      <c r="G444" s="217" t="str">
        <f>IFERROR(IF(DB_Customers!G438&lt;&gt;"",DB_Customers!G438,""),"")</f>
        <v/>
      </c>
      <c r="H444" s="216" t="str">
        <f>IFERROR(IF(DB_Customers!H438&lt;&gt;"",DB_Customers!H438,""),"")</f>
        <v/>
      </c>
      <c r="I444" s="219" t="str">
        <f>IFERROR(IF(DB_Customers!I438&lt;&gt;"",DB_Customers!I438,""),"")</f>
        <v/>
      </c>
      <c r="J444" s="220" t="str">
        <f>IFERROR(IF(DB_Customers!J438&lt;&gt;"",DB_Customers!J438,""),"")</f>
        <v/>
      </c>
      <c r="K444" s="217" t="str">
        <f>IFERROR(IF(DB_Customers!E438&lt;&gt;"",DB_Customers!E438,""),"")</f>
        <v/>
      </c>
      <c r="L444" s="217" t="str">
        <f>IFERROR(IF(DB_Customers!F438&lt;&gt;"",DB_Customers!F438,""),"")</f>
        <v/>
      </c>
      <c r="M444" s="217" t="str">
        <f>IFERROR(IF(DB_Customers!T438&lt;&gt;"",DB_Customers!T438,""),"")</f>
        <v/>
      </c>
      <c r="N444" s="216" t="str">
        <f>IFERROR(IF(DB_Customers!A438&lt;&gt;"",IF(DB_Customers!I438&gt;=10,"Active","Inactive"),""),"")</f>
        <v/>
      </c>
    </row>
    <row r="445" spans="1:14" ht="18" customHeight="1" x14ac:dyDescent="0.25">
      <c r="A445" s="221" t="str">
        <f>IF(DB_Customers!A439&lt;&gt;"",ROW()-9,"")</f>
        <v/>
      </c>
      <c r="B445" s="221" t="str">
        <f>IFERROR(IF(DB_Customers!A439&lt;&gt;"",DB_Customers!A439,""),"")</f>
        <v/>
      </c>
      <c r="C445" s="222" t="str">
        <f>IFERROR(IF(DB_Customers!D439&lt;&gt;"",DB_Customers!D439,""),"")</f>
        <v/>
      </c>
      <c r="D445" s="223" t="str">
        <f>IFERROR(IF(DB_Customers!Q439&lt;&gt;"",DB_Customers!Q439,""),"")</f>
        <v/>
      </c>
      <c r="E445" s="221" t="str">
        <f>IFERROR(IF(DB_Customers!R439&lt;&gt;"",DB_Customers!R439,""),"")</f>
        <v/>
      </c>
      <c r="F445" s="222" t="str">
        <f>IFERROR(IF(DB_Customers!S439&lt;&gt;"",DB_Customers!S439,""),"")</f>
        <v/>
      </c>
      <c r="G445" s="222" t="str">
        <f>IFERROR(IF(DB_Customers!G439&lt;&gt;"",DB_Customers!G439,""),"")</f>
        <v/>
      </c>
      <c r="H445" s="221" t="str">
        <f>IFERROR(IF(DB_Customers!H439&lt;&gt;"",DB_Customers!H439,""),"")</f>
        <v/>
      </c>
      <c r="I445" s="224" t="str">
        <f>IFERROR(IF(DB_Customers!I439&lt;&gt;"",DB_Customers!I439,""),"")</f>
        <v/>
      </c>
      <c r="J445" s="225" t="str">
        <f>IFERROR(IF(DB_Customers!J439&lt;&gt;"",DB_Customers!J439,""),"")</f>
        <v/>
      </c>
      <c r="K445" s="222" t="str">
        <f>IFERROR(IF(DB_Customers!E439&lt;&gt;"",DB_Customers!E439,""),"")</f>
        <v/>
      </c>
      <c r="L445" s="222" t="str">
        <f>IFERROR(IF(DB_Customers!F439&lt;&gt;"",DB_Customers!F439,""),"")</f>
        <v/>
      </c>
      <c r="M445" s="222" t="str">
        <f>IFERROR(IF(DB_Customers!T439&lt;&gt;"",DB_Customers!T439,""),"")</f>
        <v/>
      </c>
      <c r="N445" s="221" t="str">
        <f>IFERROR(IF(DB_Customers!A439&lt;&gt;"",IF(DB_Customers!I439&gt;=10,"Active","Inactive"),""),"")</f>
        <v/>
      </c>
    </row>
    <row r="446" spans="1:14" ht="18" customHeight="1" x14ac:dyDescent="0.25">
      <c r="A446" s="216" t="str">
        <f>IF(DB_Customers!A440&lt;&gt;"",ROW()-9,"")</f>
        <v/>
      </c>
      <c r="B446" s="216" t="str">
        <f>IFERROR(IF(DB_Customers!A440&lt;&gt;"",DB_Customers!A440,""),"")</f>
        <v/>
      </c>
      <c r="C446" s="217" t="str">
        <f>IFERROR(IF(DB_Customers!D440&lt;&gt;"",DB_Customers!D440,""),"")</f>
        <v/>
      </c>
      <c r="D446" s="218" t="str">
        <f>IFERROR(IF(DB_Customers!Q440&lt;&gt;"",DB_Customers!Q440,""),"")</f>
        <v/>
      </c>
      <c r="E446" s="216" t="str">
        <f>IFERROR(IF(DB_Customers!R440&lt;&gt;"",DB_Customers!R440,""),"")</f>
        <v/>
      </c>
      <c r="F446" s="217" t="str">
        <f>IFERROR(IF(DB_Customers!S440&lt;&gt;"",DB_Customers!S440,""),"")</f>
        <v/>
      </c>
      <c r="G446" s="217" t="str">
        <f>IFERROR(IF(DB_Customers!G440&lt;&gt;"",DB_Customers!G440,""),"")</f>
        <v/>
      </c>
      <c r="H446" s="216" t="str">
        <f>IFERROR(IF(DB_Customers!H440&lt;&gt;"",DB_Customers!H440,""),"")</f>
        <v/>
      </c>
      <c r="I446" s="219" t="str">
        <f>IFERROR(IF(DB_Customers!I440&lt;&gt;"",DB_Customers!I440,""),"")</f>
        <v/>
      </c>
      <c r="J446" s="220" t="str">
        <f>IFERROR(IF(DB_Customers!J440&lt;&gt;"",DB_Customers!J440,""),"")</f>
        <v/>
      </c>
      <c r="K446" s="217" t="str">
        <f>IFERROR(IF(DB_Customers!E440&lt;&gt;"",DB_Customers!E440,""),"")</f>
        <v/>
      </c>
      <c r="L446" s="217" t="str">
        <f>IFERROR(IF(DB_Customers!F440&lt;&gt;"",DB_Customers!F440,""),"")</f>
        <v/>
      </c>
      <c r="M446" s="217" t="str">
        <f>IFERROR(IF(DB_Customers!T440&lt;&gt;"",DB_Customers!T440,""),"")</f>
        <v/>
      </c>
      <c r="N446" s="216" t="str">
        <f>IFERROR(IF(DB_Customers!A440&lt;&gt;"",IF(DB_Customers!I440&gt;=10,"Active","Inactive"),""),"")</f>
        <v/>
      </c>
    </row>
    <row r="447" spans="1:14" ht="18" customHeight="1" x14ac:dyDescent="0.25">
      <c r="A447" s="221" t="str">
        <f>IF(DB_Customers!A441&lt;&gt;"",ROW()-9,"")</f>
        <v/>
      </c>
      <c r="B447" s="221" t="str">
        <f>IFERROR(IF(DB_Customers!A441&lt;&gt;"",DB_Customers!A441,""),"")</f>
        <v/>
      </c>
      <c r="C447" s="222" t="str">
        <f>IFERROR(IF(DB_Customers!D441&lt;&gt;"",DB_Customers!D441,""),"")</f>
        <v/>
      </c>
      <c r="D447" s="223" t="str">
        <f>IFERROR(IF(DB_Customers!Q441&lt;&gt;"",DB_Customers!Q441,""),"")</f>
        <v/>
      </c>
      <c r="E447" s="221" t="str">
        <f>IFERROR(IF(DB_Customers!R441&lt;&gt;"",DB_Customers!R441,""),"")</f>
        <v/>
      </c>
      <c r="F447" s="222" t="str">
        <f>IFERROR(IF(DB_Customers!S441&lt;&gt;"",DB_Customers!S441,""),"")</f>
        <v/>
      </c>
      <c r="G447" s="222" t="str">
        <f>IFERROR(IF(DB_Customers!G441&lt;&gt;"",DB_Customers!G441,""),"")</f>
        <v/>
      </c>
      <c r="H447" s="221" t="str">
        <f>IFERROR(IF(DB_Customers!H441&lt;&gt;"",DB_Customers!H441,""),"")</f>
        <v/>
      </c>
      <c r="I447" s="224" t="str">
        <f>IFERROR(IF(DB_Customers!I441&lt;&gt;"",DB_Customers!I441,""),"")</f>
        <v/>
      </c>
      <c r="J447" s="225" t="str">
        <f>IFERROR(IF(DB_Customers!J441&lt;&gt;"",DB_Customers!J441,""),"")</f>
        <v/>
      </c>
      <c r="K447" s="222" t="str">
        <f>IFERROR(IF(DB_Customers!E441&lt;&gt;"",DB_Customers!E441,""),"")</f>
        <v/>
      </c>
      <c r="L447" s="222" t="str">
        <f>IFERROR(IF(DB_Customers!F441&lt;&gt;"",DB_Customers!F441,""),"")</f>
        <v/>
      </c>
      <c r="M447" s="222" t="str">
        <f>IFERROR(IF(DB_Customers!T441&lt;&gt;"",DB_Customers!T441,""),"")</f>
        <v/>
      </c>
      <c r="N447" s="221" t="str">
        <f>IFERROR(IF(DB_Customers!A441&lt;&gt;"",IF(DB_Customers!I441&gt;=10,"Active","Inactive"),""),"")</f>
        <v/>
      </c>
    </row>
    <row r="448" spans="1:14" ht="18" customHeight="1" x14ac:dyDescent="0.25">
      <c r="A448" s="216" t="str">
        <f>IF(DB_Customers!A442&lt;&gt;"",ROW()-9,"")</f>
        <v/>
      </c>
      <c r="B448" s="216" t="str">
        <f>IFERROR(IF(DB_Customers!A442&lt;&gt;"",DB_Customers!A442,""),"")</f>
        <v/>
      </c>
      <c r="C448" s="217" t="str">
        <f>IFERROR(IF(DB_Customers!D442&lt;&gt;"",DB_Customers!D442,""),"")</f>
        <v/>
      </c>
      <c r="D448" s="218" t="str">
        <f>IFERROR(IF(DB_Customers!Q442&lt;&gt;"",DB_Customers!Q442,""),"")</f>
        <v/>
      </c>
      <c r="E448" s="216" t="str">
        <f>IFERROR(IF(DB_Customers!R442&lt;&gt;"",DB_Customers!R442,""),"")</f>
        <v/>
      </c>
      <c r="F448" s="217" t="str">
        <f>IFERROR(IF(DB_Customers!S442&lt;&gt;"",DB_Customers!S442,""),"")</f>
        <v/>
      </c>
      <c r="G448" s="217" t="str">
        <f>IFERROR(IF(DB_Customers!G442&lt;&gt;"",DB_Customers!G442,""),"")</f>
        <v/>
      </c>
      <c r="H448" s="216" t="str">
        <f>IFERROR(IF(DB_Customers!H442&lt;&gt;"",DB_Customers!H442,""),"")</f>
        <v/>
      </c>
      <c r="I448" s="219" t="str">
        <f>IFERROR(IF(DB_Customers!I442&lt;&gt;"",DB_Customers!I442,""),"")</f>
        <v/>
      </c>
      <c r="J448" s="220" t="str">
        <f>IFERROR(IF(DB_Customers!J442&lt;&gt;"",DB_Customers!J442,""),"")</f>
        <v/>
      </c>
      <c r="K448" s="217" t="str">
        <f>IFERROR(IF(DB_Customers!E442&lt;&gt;"",DB_Customers!E442,""),"")</f>
        <v/>
      </c>
      <c r="L448" s="217" t="str">
        <f>IFERROR(IF(DB_Customers!F442&lt;&gt;"",DB_Customers!F442,""),"")</f>
        <v/>
      </c>
      <c r="M448" s="217" t="str">
        <f>IFERROR(IF(DB_Customers!T442&lt;&gt;"",DB_Customers!T442,""),"")</f>
        <v/>
      </c>
      <c r="N448" s="216" t="str">
        <f>IFERROR(IF(DB_Customers!A442&lt;&gt;"",IF(DB_Customers!I442&gt;=10,"Active","Inactive"),""),"")</f>
        <v/>
      </c>
    </row>
    <row r="449" spans="1:14" ht="18" customHeight="1" x14ac:dyDescent="0.25">
      <c r="A449" s="221" t="str">
        <f>IF(DB_Customers!A443&lt;&gt;"",ROW()-9,"")</f>
        <v/>
      </c>
      <c r="B449" s="221" t="str">
        <f>IFERROR(IF(DB_Customers!A443&lt;&gt;"",DB_Customers!A443,""),"")</f>
        <v/>
      </c>
      <c r="C449" s="222" t="str">
        <f>IFERROR(IF(DB_Customers!D443&lt;&gt;"",DB_Customers!D443,""),"")</f>
        <v/>
      </c>
      <c r="D449" s="223" t="str">
        <f>IFERROR(IF(DB_Customers!Q443&lt;&gt;"",DB_Customers!Q443,""),"")</f>
        <v/>
      </c>
      <c r="E449" s="221" t="str">
        <f>IFERROR(IF(DB_Customers!R443&lt;&gt;"",DB_Customers!R443,""),"")</f>
        <v/>
      </c>
      <c r="F449" s="222" t="str">
        <f>IFERROR(IF(DB_Customers!S443&lt;&gt;"",DB_Customers!S443,""),"")</f>
        <v/>
      </c>
      <c r="G449" s="222" t="str">
        <f>IFERROR(IF(DB_Customers!G443&lt;&gt;"",DB_Customers!G443,""),"")</f>
        <v/>
      </c>
      <c r="H449" s="221" t="str">
        <f>IFERROR(IF(DB_Customers!H443&lt;&gt;"",DB_Customers!H443,""),"")</f>
        <v/>
      </c>
      <c r="I449" s="224" t="str">
        <f>IFERROR(IF(DB_Customers!I443&lt;&gt;"",DB_Customers!I443,""),"")</f>
        <v/>
      </c>
      <c r="J449" s="225" t="str">
        <f>IFERROR(IF(DB_Customers!J443&lt;&gt;"",DB_Customers!J443,""),"")</f>
        <v/>
      </c>
      <c r="K449" s="222" t="str">
        <f>IFERROR(IF(DB_Customers!E443&lt;&gt;"",DB_Customers!E443,""),"")</f>
        <v/>
      </c>
      <c r="L449" s="222" t="str">
        <f>IFERROR(IF(DB_Customers!F443&lt;&gt;"",DB_Customers!F443,""),"")</f>
        <v/>
      </c>
      <c r="M449" s="222" t="str">
        <f>IFERROR(IF(DB_Customers!T443&lt;&gt;"",DB_Customers!T443,""),"")</f>
        <v/>
      </c>
      <c r="N449" s="221" t="str">
        <f>IFERROR(IF(DB_Customers!A443&lt;&gt;"",IF(DB_Customers!I443&gt;=10,"Active","Inactive"),""),"")</f>
        <v/>
      </c>
    </row>
    <row r="450" spans="1:14" ht="18" customHeight="1" x14ac:dyDescent="0.25">
      <c r="A450" s="216" t="str">
        <f>IF(DB_Customers!A444&lt;&gt;"",ROW()-9,"")</f>
        <v/>
      </c>
      <c r="B450" s="216" t="str">
        <f>IFERROR(IF(DB_Customers!A444&lt;&gt;"",DB_Customers!A444,""),"")</f>
        <v/>
      </c>
      <c r="C450" s="217" t="str">
        <f>IFERROR(IF(DB_Customers!D444&lt;&gt;"",DB_Customers!D444,""),"")</f>
        <v/>
      </c>
      <c r="D450" s="218" t="str">
        <f>IFERROR(IF(DB_Customers!Q444&lt;&gt;"",DB_Customers!Q444,""),"")</f>
        <v/>
      </c>
      <c r="E450" s="216" t="str">
        <f>IFERROR(IF(DB_Customers!R444&lt;&gt;"",DB_Customers!R444,""),"")</f>
        <v/>
      </c>
      <c r="F450" s="217" t="str">
        <f>IFERROR(IF(DB_Customers!S444&lt;&gt;"",DB_Customers!S444,""),"")</f>
        <v/>
      </c>
      <c r="G450" s="217" t="str">
        <f>IFERROR(IF(DB_Customers!G444&lt;&gt;"",DB_Customers!G444,""),"")</f>
        <v/>
      </c>
      <c r="H450" s="216" t="str">
        <f>IFERROR(IF(DB_Customers!H444&lt;&gt;"",DB_Customers!H444,""),"")</f>
        <v/>
      </c>
      <c r="I450" s="219" t="str">
        <f>IFERROR(IF(DB_Customers!I444&lt;&gt;"",DB_Customers!I444,""),"")</f>
        <v/>
      </c>
      <c r="J450" s="220" t="str">
        <f>IFERROR(IF(DB_Customers!J444&lt;&gt;"",DB_Customers!J444,""),"")</f>
        <v/>
      </c>
      <c r="K450" s="217" t="str">
        <f>IFERROR(IF(DB_Customers!E444&lt;&gt;"",DB_Customers!E444,""),"")</f>
        <v/>
      </c>
      <c r="L450" s="217" t="str">
        <f>IFERROR(IF(DB_Customers!F444&lt;&gt;"",DB_Customers!F444,""),"")</f>
        <v/>
      </c>
      <c r="M450" s="217" t="str">
        <f>IFERROR(IF(DB_Customers!T444&lt;&gt;"",DB_Customers!T444,""),"")</f>
        <v/>
      </c>
      <c r="N450" s="216" t="str">
        <f>IFERROR(IF(DB_Customers!A444&lt;&gt;"",IF(DB_Customers!I444&gt;=10,"Active","Inactive"),""),"")</f>
        <v/>
      </c>
    </row>
    <row r="451" spans="1:14" ht="18" customHeight="1" x14ac:dyDescent="0.25">
      <c r="A451" s="221" t="str">
        <f>IF(DB_Customers!A445&lt;&gt;"",ROW()-9,"")</f>
        <v/>
      </c>
      <c r="B451" s="221" t="str">
        <f>IFERROR(IF(DB_Customers!A445&lt;&gt;"",DB_Customers!A445,""),"")</f>
        <v/>
      </c>
      <c r="C451" s="222" t="str">
        <f>IFERROR(IF(DB_Customers!D445&lt;&gt;"",DB_Customers!D445,""),"")</f>
        <v/>
      </c>
      <c r="D451" s="223" t="str">
        <f>IFERROR(IF(DB_Customers!Q445&lt;&gt;"",DB_Customers!Q445,""),"")</f>
        <v/>
      </c>
      <c r="E451" s="221" t="str">
        <f>IFERROR(IF(DB_Customers!R445&lt;&gt;"",DB_Customers!R445,""),"")</f>
        <v/>
      </c>
      <c r="F451" s="222" t="str">
        <f>IFERROR(IF(DB_Customers!S445&lt;&gt;"",DB_Customers!S445,""),"")</f>
        <v/>
      </c>
      <c r="G451" s="222" t="str">
        <f>IFERROR(IF(DB_Customers!G445&lt;&gt;"",DB_Customers!G445,""),"")</f>
        <v/>
      </c>
      <c r="H451" s="221" t="str">
        <f>IFERROR(IF(DB_Customers!H445&lt;&gt;"",DB_Customers!H445,""),"")</f>
        <v/>
      </c>
      <c r="I451" s="224" t="str">
        <f>IFERROR(IF(DB_Customers!I445&lt;&gt;"",DB_Customers!I445,""),"")</f>
        <v/>
      </c>
      <c r="J451" s="225" t="str">
        <f>IFERROR(IF(DB_Customers!J445&lt;&gt;"",DB_Customers!J445,""),"")</f>
        <v/>
      </c>
      <c r="K451" s="222" t="str">
        <f>IFERROR(IF(DB_Customers!E445&lt;&gt;"",DB_Customers!E445,""),"")</f>
        <v/>
      </c>
      <c r="L451" s="222" t="str">
        <f>IFERROR(IF(DB_Customers!F445&lt;&gt;"",DB_Customers!F445,""),"")</f>
        <v/>
      </c>
      <c r="M451" s="222" t="str">
        <f>IFERROR(IF(DB_Customers!T445&lt;&gt;"",DB_Customers!T445,""),"")</f>
        <v/>
      </c>
      <c r="N451" s="221" t="str">
        <f>IFERROR(IF(DB_Customers!A445&lt;&gt;"",IF(DB_Customers!I445&gt;=10,"Active","Inactive"),""),"")</f>
        <v/>
      </c>
    </row>
    <row r="452" spans="1:14" ht="18" customHeight="1" x14ac:dyDescent="0.25">
      <c r="A452" s="216" t="str">
        <f>IF(DB_Customers!A446&lt;&gt;"",ROW()-9,"")</f>
        <v/>
      </c>
      <c r="B452" s="216" t="str">
        <f>IFERROR(IF(DB_Customers!A446&lt;&gt;"",DB_Customers!A446,""),"")</f>
        <v/>
      </c>
      <c r="C452" s="217" t="str">
        <f>IFERROR(IF(DB_Customers!D446&lt;&gt;"",DB_Customers!D446,""),"")</f>
        <v/>
      </c>
      <c r="D452" s="218" t="str">
        <f>IFERROR(IF(DB_Customers!Q446&lt;&gt;"",DB_Customers!Q446,""),"")</f>
        <v/>
      </c>
      <c r="E452" s="216" t="str">
        <f>IFERROR(IF(DB_Customers!R446&lt;&gt;"",DB_Customers!R446,""),"")</f>
        <v/>
      </c>
      <c r="F452" s="217" t="str">
        <f>IFERROR(IF(DB_Customers!S446&lt;&gt;"",DB_Customers!S446,""),"")</f>
        <v/>
      </c>
      <c r="G452" s="217" t="str">
        <f>IFERROR(IF(DB_Customers!G446&lt;&gt;"",DB_Customers!G446,""),"")</f>
        <v/>
      </c>
      <c r="H452" s="216" t="str">
        <f>IFERROR(IF(DB_Customers!H446&lt;&gt;"",DB_Customers!H446,""),"")</f>
        <v/>
      </c>
      <c r="I452" s="219" t="str">
        <f>IFERROR(IF(DB_Customers!I446&lt;&gt;"",DB_Customers!I446,""),"")</f>
        <v/>
      </c>
      <c r="J452" s="220" t="str">
        <f>IFERROR(IF(DB_Customers!J446&lt;&gt;"",DB_Customers!J446,""),"")</f>
        <v/>
      </c>
      <c r="K452" s="217" t="str">
        <f>IFERROR(IF(DB_Customers!E446&lt;&gt;"",DB_Customers!E446,""),"")</f>
        <v/>
      </c>
      <c r="L452" s="217" t="str">
        <f>IFERROR(IF(DB_Customers!F446&lt;&gt;"",DB_Customers!F446,""),"")</f>
        <v/>
      </c>
      <c r="M452" s="217" t="str">
        <f>IFERROR(IF(DB_Customers!T446&lt;&gt;"",DB_Customers!T446,""),"")</f>
        <v/>
      </c>
      <c r="N452" s="216" t="str">
        <f>IFERROR(IF(DB_Customers!A446&lt;&gt;"",IF(DB_Customers!I446&gt;=10,"Active","Inactive"),""),"")</f>
        <v/>
      </c>
    </row>
    <row r="453" spans="1:14" ht="18" customHeight="1" x14ac:dyDescent="0.25">
      <c r="A453" s="221" t="str">
        <f>IF(DB_Customers!A447&lt;&gt;"",ROW()-9,"")</f>
        <v/>
      </c>
      <c r="B453" s="221" t="str">
        <f>IFERROR(IF(DB_Customers!A447&lt;&gt;"",DB_Customers!A447,""),"")</f>
        <v/>
      </c>
      <c r="C453" s="222" t="str">
        <f>IFERROR(IF(DB_Customers!D447&lt;&gt;"",DB_Customers!D447,""),"")</f>
        <v/>
      </c>
      <c r="D453" s="223" t="str">
        <f>IFERROR(IF(DB_Customers!Q447&lt;&gt;"",DB_Customers!Q447,""),"")</f>
        <v/>
      </c>
      <c r="E453" s="221" t="str">
        <f>IFERROR(IF(DB_Customers!R447&lt;&gt;"",DB_Customers!R447,""),"")</f>
        <v/>
      </c>
      <c r="F453" s="222" t="str">
        <f>IFERROR(IF(DB_Customers!S447&lt;&gt;"",DB_Customers!S447,""),"")</f>
        <v/>
      </c>
      <c r="G453" s="222" t="str">
        <f>IFERROR(IF(DB_Customers!G447&lt;&gt;"",DB_Customers!G447,""),"")</f>
        <v/>
      </c>
      <c r="H453" s="221" t="str">
        <f>IFERROR(IF(DB_Customers!H447&lt;&gt;"",DB_Customers!H447,""),"")</f>
        <v/>
      </c>
      <c r="I453" s="224" t="str">
        <f>IFERROR(IF(DB_Customers!I447&lt;&gt;"",DB_Customers!I447,""),"")</f>
        <v/>
      </c>
      <c r="J453" s="225" t="str">
        <f>IFERROR(IF(DB_Customers!J447&lt;&gt;"",DB_Customers!J447,""),"")</f>
        <v/>
      </c>
      <c r="K453" s="222" t="str">
        <f>IFERROR(IF(DB_Customers!E447&lt;&gt;"",DB_Customers!E447,""),"")</f>
        <v/>
      </c>
      <c r="L453" s="222" t="str">
        <f>IFERROR(IF(DB_Customers!F447&lt;&gt;"",DB_Customers!F447,""),"")</f>
        <v/>
      </c>
      <c r="M453" s="222" t="str">
        <f>IFERROR(IF(DB_Customers!T447&lt;&gt;"",DB_Customers!T447,""),"")</f>
        <v/>
      </c>
      <c r="N453" s="221" t="str">
        <f>IFERROR(IF(DB_Customers!A447&lt;&gt;"",IF(DB_Customers!I447&gt;=10,"Active","Inactive"),""),"")</f>
        <v/>
      </c>
    </row>
    <row r="454" spans="1:14" ht="18" customHeight="1" x14ac:dyDescent="0.25">
      <c r="A454" s="216" t="str">
        <f>IF(DB_Customers!A448&lt;&gt;"",ROW()-9,"")</f>
        <v/>
      </c>
      <c r="B454" s="216" t="str">
        <f>IFERROR(IF(DB_Customers!A448&lt;&gt;"",DB_Customers!A448,""),"")</f>
        <v/>
      </c>
      <c r="C454" s="217" t="str">
        <f>IFERROR(IF(DB_Customers!D448&lt;&gt;"",DB_Customers!D448,""),"")</f>
        <v/>
      </c>
      <c r="D454" s="218" t="str">
        <f>IFERROR(IF(DB_Customers!Q448&lt;&gt;"",DB_Customers!Q448,""),"")</f>
        <v/>
      </c>
      <c r="E454" s="216" t="str">
        <f>IFERROR(IF(DB_Customers!R448&lt;&gt;"",DB_Customers!R448,""),"")</f>
        <v/>
      </c>
      <c r="F454" s="217" t="str">
        <f>IFERROR(IF(DB_Customers!S448&lt;&gt;"",DB_Customers!S448,""),"")</f>
        <v/>
      </c>
      <c r="G454" s="217" t="str">
        <f>IFERROR(IF(DB_Customers!G448&lt;&gt;"",DB_Customers!G448,""),"")</f>
        <v/>
      </c>
      <c r="H454" s="216" t="str">
        <f>IFERROR(IF(DB_Customers!H448&lt;&gt;"",DB_Customers!H448,""),"")</f>
        <v/>
      </c>
      <c r="I454" s="219" t="str">
        <f>IFERROR(IF(DB_Customers!I448&lt;&gt;"",DB_Customers!I448,""),"")</f>
        <v/>
      </c>
      <c r="J454" s="220" t="str">
        <f>IFERROR(IF(DB_Customers!J448&lt;&gt;"",DB_Customers!J448,""),"")</f>
        <v/>
      </c>
      <c r="K454" s="217" t="str">
        <f>IFERROR(IF(DB_Customers!E448&lt;&gt;"",DB_Customers!E448,""),"")</f>
        <v/>
      </c>
      <c r="L454" s="217" t="str">
        <f>IFERROR(IF(DB_Customers!F448&lt;&gt;"",DB_Customers!F448,""),"")</f>
        <v/>
      </c>
      <c r="M454" s="217" t="str">
        <f>IFERROR(IF(DB_Customers!T448&lt;&gt;"",DB_Customers!T448,""),"")</f>
        <v/>
      </c>
      <c r="N454" s="216" t="str">
        <f>IFERROR(IF(DB_Customers!A448&lt;&gt;"",IF(DB_Customers!I448&gt;=10,"Active","Inactive"),""),"")</f>
        <v/>
      </c>
    </row>
    <row r="455" spans="1:14" ht="18" customHeight="1" x14ac:dyDescent="0.25">
      <c r="A455" s="221" t="str">
        <f>IF(DB_Customers!A449&lt;&gt;"",ROW()-9,"")</f>
        <v/>
      </c>
      <c r="B455" s="221" t="str">
        <f>IFERROR(IF(DB_Customers!A449&lt;&gt;"",DB_Customers!A449,""),"")</f>
        <v/>
      </c>
      <c r="C455" s="222" t="str">
        <f>IFERROR(IF(DB_Customers!D449&lt;&gt;"",DB_Customers!D449,""),"")</f>
        <v/>
      </c>
      <c r="D455" s="223" t="str">
        <f>IFERROR(IF(DB_Customers!Q449&lt;&gt;"",DB_Customers!Q449,""),"")</f>
        <v/>
      </c>
      <c r="E455" s="221" t="str">
        <f>IFERROR(IF(DB_Customers!R449&lt;&gt;"",DB_Customers!R449,""),"")</f>
        <v/>
      </c>
      <c r="F455" s="222" t="str">
        <f>IFERROR(IF(DB_Customers!S449&lt;&gt;"",DB_Customers!S449,""),"")</f>
        <v/>
      </c>
      <c r="G455" s="222" t="str">
        <f>IFERROR(IF(DB_Customers!G449&lt;&gt;"",DB_Customers!G449,""),"")</f>
        <v/>
      </c>
      <c r="H455" s="221" t="str">
        <f>IFERROR(IF(DB_Customers!H449&lt;&gt;"",DB_Customers!H449,""),"")</f>
        <v/>
      </c>
      <c r="I455" s="224" t="str">
        <f>IFERROR(IF(DB_Customers!I449&lt;&gt;"",DB_Customers!I449,""),"")</f>
        <v/>
      </c>
      <c r="J455" s="225" t="str">
        <f>IFERROR(IF(DB_Customers!J449&lt;&gt;"",DB_Customers!J449,""),"")</f>
        <v/>
      </c>
      <c r="K455" s="222" t="str">
        <f>IFERROR(IF(DB_Customers!E449&lt;&gt;"",DB_Customers!E449,""),"")</f>
        <v/>
      </c>
      <c r="L455" s="222" t="str">
        <f>IFERROR(IF(DB_Customers!F449&lt;&gt;"",DB_Customers!F449,""),"")</f>
        <v/>
      </c>
      <c r="M455" s="222" t="str">
        <f>IFERROR(IF(DB_Customers!T449&lt;&gt;"",DB_Customers!T449,""),"")</f>
        <v/>
      </c>
      <c r="N455" s="221" t="str">
        <f>IFERROR(IF(DB_Customers!A449&lt;&gt;"",IF(DB_Customers!I449&gt;=10,"Active","Inactive"),""),"")</f>
        <v/>
      </c>
    </row>
    <row r="456" spans="1:14" ht="18" customHeight="1" x14ac:dyDescent="0.25">
      <c r="A456" s="216" t="str">
        <f>IF(DB_Customers!A450&lt;&gt;"",ROW()-9,"")</f>
        <v/>
      </c>
      <c r="B456" s="216" t="str">
        <f>IFERROR(IF(DB_Customers!A450&lt;&gt;"",DB_Customers!A450,""),"")</f>
        <v/>
      </c>
      <c r="C456" s="217" t="str">
        <f>IFERROR(IF(DB_Customers!D450&lt;&gt;"",DB_Customers!D450,""),"")</f>
        <v/>
      </c>
      <c r="D456" s="218" t="str">
        <f>IFERROR(IF(DB_Customers!Q450&lt;&gt;"",DB_Customers!Q450,""),"")</f>
        <v/>
      </c>
      <c r="E456" s="216" t="str">
        <f>IFERROR(IF(DB_Customers!R450&lt;&gt;"",DB_Customers!R450,""),"")</f>
        <v/>
      </c>
      <c r="F456" s="217" t="str">
        <f>IFERROR(IF(DB_Customers!S450&lt;&gt;"",DB_Customers!S450,""),"")</f>
        <v/>
      </c>
      <c r="G456" s="217" t="str">
        <f>IFERROR(IF(DB_Customers!G450&lt;&gt;"",DB_Customers!G450,""),"")</f>
        <v/>
      </c>
      <c r="H456" s="216" t="str">
        <f>IFERROR(IF(DB_Customers!H450&lt;&gt;"",DB_Customers!H450,""),"")</f>
        <v/>
      </c>
      <c r="I456" s="219" t="str">
        <f>IFERROR(IF(DB_Customers!I450&lt;&gt;"",DB_Customers!I450,""),"")</f>
        <v/>
      </c>
      <c r="J456" s="220" t="str">
        <f>IFERROR(IF(DB_Customers!J450&lt;&gt;"",DB_Customers!J450,""),"")</f>
        <v/>
      </c>
      <c r="K456" s="217" t="str">
        <f>IFERROR(IF(DB_Customers!E450&lt;&gt;"",DB_Customers!E450,""),"")</f>
        <v/>
      </c>
      <c r="L456" s="217" t="str">
        <f>IFERROR(IF(DB_Customers!F450&lt;&gt;"",DB_Customers!F450,""),"")</f>
        <v/>
      </c>
      <c r="M456" s="217" t="str">
        <f>IFERROR(IF(DB_Customers!T450&lt;&gt;"",DB_Customers!T450,""),"")</f>
        <v/>
      </c>
      <c r="N456" s="216" t="str">
        <f>IFERROR(IF(DB_Customers!A450&lt;&gt;"",IF(DB_Customers!I450&gt;=10,"Active","Inactive"),""),"")</f>
        <v/>
      </c>
    </row>
    <row r="457" spans="1:14" ht="18" customHeight="1" x14ac:dyDescent="0.25">
      <c r="A457" s="221" t="str">
        <f>IF(DB_Customers!A451&lt;&gt;"",ROW()-9,"")</f>
        <v/>
      </c>
      <c r="B457" s="221" t="str">
        <f>IFERROR(IF(DB_Customers!A451&lt;&gt;"",DB_Customers!A451,""),"")</f>
        <v/>
      </c>
      <c r="C457" s="222" t="str">
        <f>IFERROR(IF(DB_Customers!D451&lt;&gt;"",DB_Customers!D451,""),"")</f>
        <v/>
      </c>
      <c r="D457" s="223" t="str">
        <f>IFERROR(IF(DB_Customers!Q451&lt;&gt;"",DB_Customers!Q451,""),"")</f>
        <v/>
      </c>
      <c r="E457" s="221" t="str">
        <f>IFERROR(IF(DB_Customers!R451&lt;&gt;"",DB_Customers!R451,""),"")</f>
        <v/>
      </c>
      <c r="F457" s="222" t="str">
        <f>IFERROR(IF(DB_Customers!S451&lt;&gt;"",DB_Customers!S451,""),"")</f>
        <v/>
      </c>
      <c r="G457" s="222" t="str">
        <f>IFERROR(IF(DB_Customers!G451&lt;&gt;"",DB_Customers!G451,""),"")</f>
        <v/>
      </c>
      <c r="H457" s="221" t="str">
        <f>IFERROR(IF(DB_Customers!H451&lt;&gt;"",DB_Customers!H451,""),"")</f>
        <v/>
      </c>
      <c r="I457" s="224" t="str">
        <f>IFERROR(IF(DB_Customers!I451&lt;&gt;"",DB_Customers!I451,""),"")</f>
        <v/>
      </c>
      <c r="J457" s="225" t="str">
        <f>IFERROR(IF(DB_Customers!J451&lt;&gt;"",DB_Customers!J451,""),"")</f>
        <v/>
      </c>
      <c r="K457" s="222" t="str">
        <f>IFERROR(IF(DB_Customers!E451&lt;&gt;"",DB_Customers!E451,""),"")</f>
        <v/>
      </c>
      <c r="L457" s="222" t="str">
        <f>IFERROR(IF(DB_Customers!F451&lt;&gt;"",DB_Customers!F451,""),"")</f>
        <v/>
      </c>
      <c r="M457" s="222" t="str">
        <f>IFERROR(IF(DB_Customers!T451&lt;&gt;"",DB_Customers!T451,""),"")</f>
        <v/>
      </c>
      <c r="N457" s="221" t="str">
        <f>IFERROR(IF(DB_Customers!A451&lt;&gt;"",IF(DB_Customers!I451&gt;=10,"Active","Inactive"),""),"")</f>
        <v/>
      </c>
    </row>
    <row r="458" spans="1:14" ht="18" customHeight="1" x14ac:dyDescent="0.25">
      <c r="A458" s="216" t="str">
        <f>IF(DB_Customers!A452&lt;&gt;"",ROW()-9,"")</f>
        <v/>
      </c>
      <c r="B458" s="216" t="str">
        <f>IFERROR(IF(DB_Customers!A452&lt;&gt;"",DB_Customers!A452,""),"")</f>
        <v/>
      </c>
      <c r="C458" s="217" t="str">
        <f>IFERROR(IF(DB_Customers!D452&lt;&gt;"",DB_Customers!D452,""),"")</f>
        <v/>
      </c>
      <c r="D458" s="218" t="str">
        <f>IFERROR(IF(DB_Customers!Q452&lt;&gt;"",DB_Customers!Q452,""),"")</f>
        <v/>
      </c>
      <c r="E458" s="216" t="str">
        <f>IFERROR(IF(DB_Customers!R452&lt;&gt;"",DB_Customers!R452,""),"")</f>
        <v/>
      </c>
      <c r="F458" s="217" t="str">
        <f>IFERROR(IF(DB_Customers!S452&lt;&gt;"",DB_Customers!S452,""),"")</f>
        <v/>
      </c>
      <c r="G458" s="217" t="str">
        <f>IFERROR(IF(DB_Customers!G452&lt;&gt;"",DB_Customers!G452,""),"")</f>
        <v/>
      </c>
      <c r="H458" s="216" t="str">
        <f>IFERROR(IF(DB_Customers!H452&lt;&gt;"",DB_Customers!H452,""),"")</f>
        <v/>
      </c>
      <c r="I458" s="219" t="str">
        <f>IFERROR(IF(DB_Customers!I452&lt;&gt;"",DB_Customers!I452,""),"")</f>
        <v/>
      </c>
      <c r="J458" s="220" t="str">
        <f>IFERROR(IF(DB_Customers!J452&lt;&gt;"",DB_Customers!J452,""),"")</f>
        <v/>
      </c>
      <c r="K458" s="217" t="str">
        <f>IFERROR(IF(DB_Customers!E452&lt;&gt;"",DB_Customers!E452,""),"")</f>
        <v/>
      </c>
      <c r="L458" s="217" t="str">
        <f>IFERROR(IF(DB_Customers!F452&lt;&gt;"",DB_Customers!F452,""),"")</f>
        <v/>
      </c>
      <c r="M458" s="217" t="str">
        <f>IFERROR(IF(DB_Customers!T452&lt;&gt;"",DB_Customers!T452,""),"")</f>
        <v/>
      </c>
      <c r="N458" s="216" t="str">
        <f>IFERROR(IF(DB_Customers!A452&lt;&gt;"",IF(DB_Customers!I452&gt;=10,"Active","Inactive"),""),"")</f>
        <v/>
      </c>
    </row>
    <row r="459" spans="1:14" ht="18" customHeight="1" x14ac:dyDescent="0.25">
      <c r="A459" s="221" t="str">
        <f>IF(DB_Customers!A453&lt;&gt;"",ROW()-9,"")</f>
        <v/>
      </c>
      <c r="B459" s="221" t="str">
        <f>IFERROR(IF(DB_Customers!A453&lt;&gt;"",DB_Customers!A453,""),"")</f>
        <v/>
      </c>
      <c r="C459" s="222" t="str">
        <f>IFERROR(IF(DB_Customers!D453&lt;&gt;"",DB_Customers!D453,""),"")</f>
        <v/>
      </c>
      <c r="D459" s="223" t="str">
        <f>IFERROR(IF(DB_Customers!Q453&lt;&gt;"",DB_Customers!Q453,""),"")</f>
        <v/>
      </c>
      <c r="E459" s="221" t="str">
        <f>IFERROR(IF(DB_Customers!R453&lt;&gt;"",DB_Customers!R453,""),"")</f>
        <v/>
      </c>
      <c r="F459" s="222" t="str">
        <f>IFERROR(IF(DB_Customers!S453&lt;&gt;"",DB_Customers!S453,""),"")</f>
        <v/>
      </c>
      <c r="G459" s="222" t="str">
        <f>IFERROR(IF(DB_Customers!G453&lt;&gt;"",DB_Customers!G453,""),"")</f>
        <v/>
      </c>
      <c r="H459" s="221" t="str">
        <f>IFERROR(IF(DB_Customers!H453&lt;&gt;"",DB_Customers!H453,""),"")</f>
        <v/>
      </c>
      <c r="I459" s="224" t="str">
        <f>IFERROR(IF(DB_Customers!I453&lt;&gt;"",DB_Customers!I453,""),"")</f>
        <v/>
      </c>
      <c r="J459" s="225" t="str">
        <f>IFERROR(IF(DB_Customers!J453&lt;&gt;"",DB_Customers!J453,""),"")</f>
        <v/>
      </c>
      <c r="K459" s="222" t="str">
        <f>IFERROR(IF(DB_Customers!E453&lt;&gt;"",DB_Customers!E453,""),"")</f>
        <v/>
      </c>
      <c r="L459" s="222" t="str">
        <f>IFERROR(IF(DB_Customers!F453&lt;&gt;"",DB_Customers!F453,""),"")</f>
        <v/>
      </c>
      <c r="M459" s="222" t="str">
        <f>IFERROR(IF(DB_Customers!T453&lt;&gt;"",DB_Customers!T453,""),"")</f>
        <v/>
      </c>
      <c r="N459" s="221" t="str">
        <f>IFERROR(IF(DB_Customers!A453&lt;&gt;"",IF(DB_Customers!I453&gt;=10,"Active","Inactive"),""),"")</f>
        <v/>
      </c>
    </row>
    <row r="460" spans="1:14" ht="18" customHeight="1" x14ac:dyDescent="0.25">
      <c r="A460" s="216" t="str">
        <f>IF(DB_Customers!A454&lt;&gt;"",ROW()-9,"")</f>
        <v/>
      </c>
      <c r="B460" s="216" t="str">
        <f>IFERROR(IF(DB_Customers!A454&lt;&gt;"",DB_Customers!A454,""),"")</f>
        <v/>
      </c>
      <c r="C460" s="217" t="str">
        <f>IFERROR(IF(DB_Customers!D454&lt;&gt;"",DB_Customers!D454,""),"")</f>
        <v/>
      </c>
      <c r="D460" s="218" t="str">
        <f>IFERROR(IF(DB_Customers!Q454&lt;&gt;"",DB_Customers!Q454,""),"")</f>
        <v/>
      </c>
      <c r="E460" s="216" t="str">
        <f>IFERROR(IF(DB_Customers!R454&lt;&gt;"",DB_Customers!R454,""),"")</f>
        <v/>
      </c>
      <c r="F460" s="217" t="str">
        <f>IFERROR(IF(DB_Customers!S454&lt;&gt;"",DB_Customers!S454,""),"")</f>
        <v/>
      </c>
      <c r="G460" s="217" t="str">
        <f>IFERROR(IF(DB_Customers!G454&lt;&gt;"",DB_Customers!G454,""),"")</f>
        <v/>
      </c>
      <c r="H460" s="216" t="str">
        <f>IFERROR(IF(DB_Customers!H454&lt;&gt;"",DB_Customers!H454,""),"")</f>
        <v/>
      </c>
      <c r="I460" s="219" t="str">
        <f>IFERROR(IF(DB_Customers!I454&lt;&gt;"",DB_Customers!I454,""),"")</f>
        <v/>
      </c>
      <c r="J460" s="220" t="str">
        <f>IFERROR(IF(DB_Customers!J454&lt;&gt;"",DB_Customers!J454,""),"")</f>
        <v/>
      </c>
      <c r="K460" s="217" t="str">
        <f>IFERROR(IF(DB_Customers!E454&lt;&gt;"",DB_Customers!E454,""),"")</f>
        <v/>
      </c>
      <c r="L460" s="217" t="str">
        <f>IFERROR(IF(DB_Customers!F454&lt;&gt;"",DB_Customers!F454,""),"")</f>
        <v/>
      </c>
      <c r="M460" s="217" t="str">
        <f>IFERROR(IF(DB_Customers!T454&lt;&gt;"",DB_Customers!T454,""),"")</f>
        <v/>
      </c>
      <c r="N460" s="216" t="str">
        <f>IFERROR(IF(DB_Customers!A454&lt;&gt;"",IF(DB_Customers!I454&gt;=10,"Active","Inactive"),""),"")</f>
        <v/>
      </c>
    </row>
    <row r="461" spans="1:14" ht="18" customHeight="1" x14ac:dyDescent="0.25">
      <c r="A461" s="221" t="str">
        <f>IF(DB_Customers!A455&lt;&gt;"",ROW()-9,"")</f>
        <v/>
      </c>
      <c r="B461" s="221" t="str">
        <f>IFERROR(IF(DB_Customers!A455&lt;&gt;"",DB_Customers!A455,""),"")</f>
        <v/>
      </c>
      <c r="C461" s="222" t="str">
        <f>IFERROR(IF(DB_Customers!D455&lt;&gt;"",DB_Customers!D455,""),"")</f>
        <v/>
      </c>
      <c r="D461" s="223" t="str">
        <f>IFERROR(IF(DB_Customers!Q455&lt;&gt;"",DB_Customers!Q455,""),"")</f>
        <v/>
      </c>
      <c r="E461" s="221" t="str">
        <f>IFERROR(IF(DB_Customers!R455&lt;&gt;"",DB_Customers!R455,""),"")</f>
        <v/>
      </c>
      <c r="F461" s="222" t="str">
        <f>IFERROR(IF(DB_Customers!S455&lt;&gt;"",DB_Customers!S455,""),"")</f>
        <v/>
      </c>
      <c r="G461" s="222" t="str">
        <f>IFERROR(IF(DB_Customers!G455&lt;&gt;"",DB_Customers!G455,""),"")</f>
        <v/>
      </c>
      <c r="H461" s="221" t="str">
        <f>IFERROR(IF(DB_Customers!H455&lt;&gt;"",DB_Customers!H455,""),"")</f>
        <v/>
      </c>
      <c r="I461" s="224" t="str">
        <f>IFERROR(IF(DB_Customers!I455&lt;&gt;"",DB_Customers!I455,""),"")</f>
        <v/>
      </c>
      <c r="J461" s="225" t="str">
        <f>IFERROR(IF(DB_Customers!J455&lt;&gt;"",DB_Customers!J455,""),"")</f>
        <v/>
      </c>
      <c r="K461" s="222" t="str">
        <f>IFERROR(IF(DB_Customers!E455&lt;&gt;"",DB_Customers!E455,""),"")</f>
        <v/>
      </c>
      <c r="L461" s="222" t="str">
        <f>IFERROR(IF(DB_Customers!F455&lt;&gt;"",DB_Customers!F455,""),"")</f>
        <v/>
      </c>
      <c r="M461" s="222" t="str">
        <f>IFERROR(IF(DB_Customers!T455&lt;&gt;"",DB_Customers!T455,""),"")</f>
        <v/>
      </c>
      <c r="N461" s="221" t="str">
        <f>IFERROR(IF(DB_Customers!A455&lt;&gt;"",IF(DB_Customers!I455&gt;=10,"Active","Inactive"),""),"")</f>
        <v/>
      </c>
    </row>
    <row r="462" spans="1:14" ht="18" customHeight="1" x14ac:dyDescent="0.25">
      <c r="A462" s="216" t="str">
        <f>IF(DB_Customers!A456&lt;&gt;"",ROW()-9,"")</f>
        <v/>
      </c>
      <c r="B462" s="216" t="str">
        <f>IFERROR(IF(DB_Customers!A456&lt;&gt;"",DB_Customers!A456,""),"")</f>
        <v/>
      </c>
      <c r="C462" s="217" t="str">
        <f>IFERROR(IF(DB_Customers!D456&lt;&gt;"",DB_Customers!D456,""),"")</f>
        <v/>
      </c>
      <c r="D462" s="218" t="str">
        <f>IFERROR(IF(DB_Customers!Q456&lt;&gt;"",DB_Customers!Q456,""),"")</f>
        <v/>
      </c>
      <c r="E462" s="216" t="str">
        <f>IFERROR(IF(DB_Customers!R456&lt;&gt;"",DB_Customers!R456,""),"")</f>
        <v/>
      </c>
      <c r="F462" s="217" t="str">
        <f>IFERROR(IF(DB_Customers!S456&lt;&gt;"",DB_Customers!S456,""),"")</f>
        <v/>
      </c>
      <c r="G462" s="217" t="str">
        <f>IFERROR(IF(DB_Customers!G456&lt;&gt;"",DB_Customers!G456,""),"")</f>
        <v/>
      </c>
      <c r="H462" s="216" t="str">
        <f>IFERROR(IF(DB_Customers!H456&lt;&gt;"",DB_Customers!H456,""),"")</f>
        <v/>
      </c>
      <c r="I462" s="219" t="str">
        <f>IFERROR(IF(DB_Customers!I456&lt;&gt;"",DB_Customers!I456,""),"")</f>
        <v/>
      </c>
      <c r="J462" s="220" t="str">
        <f>IFERROR(IF(DB_Customers!J456&lt;&gt;"",DB_Customers!J456,""),"")</f>
        <v/>
      </c>
      <c r="K462" s="217" t="str">
        <f>IFERROR(IF(DB_Customers!E456&lt;&gt;"",DB_Customers!E456,""),"")</f>
        <v/>
      </c>
      <c r="L462" s="217" t="str">
        <f>IFERROR(IF(DB_Customers!F456&lt;&gt;"",DB_Customers!F456,""),"")</f>
        <v/>
      </c>
      <c r="M462" s="217" t="str">
        <f>IFERROR(IF(DB_Customers!T456&lt;&gt;"",DB_Customers!T456,""),"")</f>
        <v/>
      </c>
      <c r="N462" s="216" t="str">
        <f>IFERROR(IF(DB_Customers!A456&lt;&gt;"",IF(DB_Customers!I456&gt;=10,"Active","Inactive"),""),"")</f>
        <v/>
      </c>
    </row>
    <row r="463" spans="1:14" ht="18" customHeight="1" x14ac:dyDescent="0.25">
      <c r="A463" s="221" t="str">
        <f>IF(DB_Customers!A457&lt;&gt;"",ROW()-9,"")</f>
        <v/>
      </c>
      <c r="B463" s="221" t="str">
        <f>IFERROR(IF(DB_Customers!A457&lt;&gt;"",DB_Customers!A457,""),"")</f>
        <v/>
      </c>
      <c r="C463" s="222" t="str">
        <f>IFERROR(IF(DB_Customers!D457&lt;&gt;"",DB_Customers!D457,""),"")</f>
        <v/>
      </c>
      <c r="D463" s="223" t="str">
        <f>IFERROR(IF(DB_Customers!Q457&lt;&gt;"",DB_Customers!Q457,""),"")</f>
        <v/>
      </c>
      <c r="E463" s="221" t="str">
        <f>IFERROR(IF(DB_Customers!R457&lt;&gt;"",DB_Customers!R457,""),"")</f>
        <v/>
      </c>
      <c r="F463" s="222" t="str">
        <f>IFERROR(IF(DB_Customers!S457&lt;&gt;"",DB_Customers!S457,""),"")</f>
        <v/>
      </c>
      <c r="G463" s="222" t="str">
        <f>IFERROR(IF(DB_Customers!G457&lt;&gt;"",DB_Customers!G457,""),"")</f>
        <v/>
      </c>
      <c r="H463" s="221" t="str">
        <f>IFERROR(IF(DB_Customers!H457&lt;&gt;"",DB_Customers!H457,""),"")</f>
        <v/>
      </c>
      <c r="I463" s="224" t="str">
        <f>IFERROR(IF(DB_Customers!I457&lt;&gt;"",DB_Customers!I457,""),"")</f>
        <v/>
      </c>
      <c r="J463" s="225" t="str">
        <f>IFERROR(IF(DB_Customers!J457&lt;&gt;"",DB_Customers!J457,""),"")</f>
        <v/>
      </c>
      <c r="K463" s="222" t="str">
        <f>IFERROR(IF(DB_Customers!E457&lt;&gt;"",DB_Customers!E457,""),"")</f>
        <v/>
      </c>
      <c r="L463" s="222" t="str">
        <f>IFERROR(IF(DB_Customers!F457&lt;&gt;"",DB_Customers!F457,""),"")</f>
        <v/>
      </c>
      <c r="M463" s="222" t="str">
        <f>IFERROR(IF(DB_Customers!T457&lt;&gt;"",DB_Customers!T457,""),"")</f>
        <v/>
      </c>
      <c r="N463" s="221" t="str">
        <f>IFERROR(IF(DB_Customers!A457&lt;&gt;"",IF(DB_Customers!I457&gt;=10,"Active","Inactive"),""),"")</f>
        <v/>
      </c>
    </row>
    <row r="464" spans="1:14" ht="18" customHeight="1" x14ac:dyDescent="0.25">
      <c r="A464" s="216" t="str">
        <f>IF(DB_Customers!A458&lt;&gt;"",ROW()-9,"")</f>
        <v/>
      </c>
      <c r="B464" s="216" t="str">
        <f>IFERROR(IF(DB_Customers!A458&lt;&gt;"",DB_Customers!A458,""),"")</f>
        <v/>
      </c>
      <c r="C464" s="217" t="str">
        <f>IFERROR(IF(DB_Customers!D458&lt;&gt;"",DB_Customers!D458,""),"")</f>
        <v/>
      </c>
      <c r="D464" s="218" t="str">
        <f>IFERROR(IF(DB_Customers!Q458&lt;&gt;"",DB_Customers!Q458,""),"")</f>
        <v/>
      </c>
      <c r="E464" s="216" t="str">
        <f>IFERROR(IF(DB_Customers!R458&lt;&gt;"",DB_Customers!R458,""),"")</f>
        <v/>
      </c>
      <c r="F464" s="217" t="str">
        <f>IFERROR(IF(DB_Customers!S458&lt;&gt;"",DB_Customers!S458,""),"")</f>
        <v/>
      </c>
      <c r="G464" s="217" t="str">
        <f>IFERROR(IF(DB_Customers!G458&lt;&gt;"",DB_Customers!G458,""),"")</f>
        <v/>
      </c>
      <c r="H464" s="216" t="str">
        <f>IFERROR(IF(DB_Customers!H458&lt;&gt;"",DB_Customers!H458,""),"")</f>
        <v/>
      </c>
      <c r="I464" s="219" t="str">
        <f>IFERROR(IF(DB_Customers!I458&lt;&gt;"",DB_Customers!I458,""),"")</f>
        <v/>
      </c>
      <c r="J464" s="220" t="str">
        <f>IFERROR(IF(DB_Customers!J458&lt;&gt;"",DB_Customers!J458,""),"")</f>
        <v/>
      </c>
      <c r="K464" s="217" t="str">
        <f>IFERROR(IF(DB_Customers!E458&lt;&gt;"",DB_Customers!E458,""),"")</f>
        <v/>
      </c>
      <c r="L464" s="217" t="str">
        <f>IFERROR(IF(DB_Customers!F458&lt;&gt;"",DB_Customers!F458,""),"")</f>
        <v/>
      </c>
      <c r="M464" s="217" t="str">
        <f>IFERROR(IF(DB_Customers!T458&lt;&gt;"",DB_Customers!T458,""),"")</f>
        <v/>
      </c>
      <c r="N464" s="216" t="str">
        <f>IFERROR(IF(DB_Customers!A458&lt;&gt;"",IF(DB_Customers!I458&gt;=10,"Active","Inactive"),""),"")</f>
        <v/>
      </c>
    </row>
    <row r="465" spans="1:14" ht="18" customHeight="1" x14ac:dyDescent="0.25">
      <c r="A465" s="221" t="str">
        <f>IF(DB_Customers!A459&lt;&gt;"",ROW()-9,"")</f>
        <v/>
      </c>
      <c r="B465" s="221" t="str">
        <f>IFERROR(IF(DB_Customers!A459&lt;&gt;"",DB_Customers!A459,""),"")</f>
        <v/>
      </c>
      <c r="C465" s="222" t="str">
        <f>IFERROR(IF(DB_Customers!D459&lt;&gt;"",DB_Customers!D459,""),"")</f>
        <v/>
      </c>
      <c r="D465" s="223" t="str">
        <f>IFERROR(IF(DB_Customers!Q459&lt;&gt;"",DB_Customers!Q459,""),"")</f>
        <v/>
      </c>
      <c r="E465" s="221" t="str">
        <f>IFERROR(IF(DB_Customers!R459&lt;&gt;"",DB_Customers!R459,""),"")</f>
        <v/>
      </c>
      <c r="F465" s="222" t="str">
        <f>IFERROR(IF(DB_Customers!S459&lt;&gt;"",DB_Customers!S459,""),"")</f>
        <v/>
      </c>
      <c r="G465" s="222" t="str">
        <f>IFERROR(IF(DB_Customers!G459&lt;&gt;"",DB_Customers!G459,""),"")</f>
        <v/>
      </c>
      <c r="H465" s="221" t="str">
        <f>IFERROR(IF(DB_Customers!H459&lt;&gt;"",DB_Customers!H459,""),"")</f>
        <v/>
      </c>
      <c r="I465" s="224" t="str">
        <f>IFERROR(IF(DB_Customers!I459&lt;&gt;"",DB_Customers!I459,""),"")</f>
        <v/>
      </c>
      <c r="J465" s="225" t="str">
        <f>IFERROR(IF(DB_Customers!J459&lt;&gt;"",DB_Customers!J459,""),"")</f>
        <v/>
      </c>
      <c r="K465" s="222" t="str">
        <f>IFERROR(IF(DB_Customers!E459&lt;&gt;"",DB_Customers!E459,""),"")</f>
        <v/>
      </c>
      <c r="L465" s="222" t="str">
        <f>IFERROR(IF(DB_Customers!F459&lt;&gt;"",DB_Customers!F459,""),"")</f>
        <v/>
      </c>
      <c r="M465" s="222" t="str">
        <f>IFERROR(IF(DB_Customers!T459&lt;&gt;"",DB_Customers!T459,""),"")</f>
        <v/>
      </c>
      <c r="N465" s="221" t="str">
        <f>IFERROR(IF(DB_Customers!A459&lt;&gt;"",IF(DB_Customers!I459&gt;=10,"Active","Inactive"),""),"")</f>
        <v/>
      </c>
    </row>
    <row r="466" spans="1:14" ht="18" customHeight="1" x14ac:dyDescent="0.25">
      <c r="A466" s="216" t="str">
        <f>IF(DB_Customers!A460&lt;&gt;"",ROW()-9,"")</f>
        <v/>
      </c>
      <c r="B466" s="216" t="str">
        <f>IFERROR(IF(DB_Customers!A460&lt;&gt;"",DB_Customers!A460,""),"")</f>
        <v/>
      </c>
      <c r="C466" s="217" t="str">
        <f>IFERROR(IF(DB_Customers!D460&lt;&gt;"",DB_Customers!D460,""),"")</f>
        <v/>
      </c>
      <c r="D466" s="218" t="str">
        <f>IFERROR(IF(DB_Customers!Q460&lt;&gt;"",DB_Customers!Q460,""),"")</f>
        <v/>
      </c>
      <c r="E466" s="216" t="str">
        <f>IFERROR(IF(DB_Customers!R460&lt;&gt;"",DB_Customers!R460,""),"")</f>
        <v/>
      </c>
      <c r="F466" s="217" t="str">
        <f>IFERROR(IF(DB_Customers!S460&lt;&gt;"",DB_Customers!S460,""),"")</f>
        <v/>
      </c>
      <c r="G466" s="217" t="str">
        <f>IFERROR(IF(DB_Customers!G460&lt;&gt;"",DB_Customers!G460,""),"")</f>
        <v/>
      </c>
      <c r="H466" s="216" t="str">
        <f>IFERROR(IF(DB_Customers!H460&lt;&gt;"",DB_Customers!H460,""),"")</f>
        <v/>
      </c>
      <c r="I466" s="219" t="str">
        <f>IFERROR(IF(DB_Customers!I460&lt;&gt;"",DB_Customers!I460,""),"")</f>
        <v/>
      </c>
      <c r="J466" s="220" t="str">
        <f>IFERROR(IF(DB_Customers!J460&lt;&gt;"",DB_Customers!J460,""),"")</f>
        <v/>
      </c>
      <c r="K466" s="217" t="str">
        <f>IFERROR(IF(DB_Customers!E460&lt;&gt;"",DB_Customers!E460,""),"")</f>
        <v/>
      </c>
      <c r="L466" s="217" t="str">
        <f>IFERROR(IF(DB_Customers!F460&lt;&gt;"",DB_Customers!F460,""),"")</f>
        <v/>
      </c>
      <c r="M466" s="217" t="str">
        <f>IFERROR(IF(DB_Customers!T460&lt;&gt;"",DB_Customers!T460,""),"")</f>
        <v/>
      </c>
      <c r="N466" s="216" t="str">
        <f>IFERROR(IF(DB_Customers!A460&lt;&gt;"",IF(DB_Customers!I460&gt;=10,"Active","Inactive"),""),"")</f>
        <v/>
      </c>
    </row>
    <row r="467" spans="1:14" ht="18" customHeight="1" x14ac:dyDescent="0.25">
      <c r="A467" s="221" t="str">
        <f>IF(DB_Customers!A461&lt;&gt;"",ROW()-9,"")</f>
        <v/>
      </c>
      <c r="B467" s="221" t="str">
        <f>IFERROR(IF(DB_Customers!A461&lt;&gt;"",DB_Customers!A461,""),"")</f>
        <v/>
      </c>
      <c r="C467" s="222" t="str">
        <f>IFERROR(IF(DB_Customers!D461&lt;&gt;"",DB_Customers!D461,""),"")</f>
        <v/>
      </c>
      <c r="D467" s="223" t="str">
        <f>IFERROR(IF(DB_Customers!Q461&lt;&gt;"",DB_Customers!Q461,""),"")</f>
        <v/>
      </c>
      <c r="E467" s="221" t="str">
        <f>IFERROR(IF(DB_Customers!R461&lt;&gt;"",DB_Customers!R461,""),"")</f>
        <v/>
      </c>
      <c r="F467" s="222" t="str">
        <f>IFERROR(IF(DB_Customers!S461&lt;&gt;"",DB_Customers!S461,""),"")</f>
        <v/>
      </c>
      <c r="G467" s="222" t="str">
        <f>IFERROR(IF(DB_Customers!G461&lt;&gt;"",DB_Customers!G461,""),"")</f>
        <v/>
      </c>
      <c r="H467" s="221" t="str">
        <f>IFERROR(IF(DB_Customers!H461&lt;&gt;"",DB_Customers!H461,""),"")</f>
        <v/>
      </c>
      <c r="I467" s="224" t="str">
        <f>IFERROR(IF(DB_Customers!I461&lt;&gt;"",DB_Customers!I461,""),"")</f>
        <v/>
      </c>
      <c r="J467" s="225" t="str">
        <f>IFERROR(IF(DB_Customers!J461&lt;&gt;"",DB_Customers!J461,""),"")</f>
        <v/>
      </c>
      <c r="K467" s="222" t="str">
        <f>IFERROR(IF(DB_Customers!E461&lt;&gt;"",DB_Customers!E461,""),"")</f>
        <v/>
      </c>
      <c r="L467" s="222" t="str">
        <f>IFERROR(IF(DB_Customers!F461&lt;&gt;"",DB_Customers!F461,""),"")</f>
        <v/>
      </c>
      <c r="M467" s="222" t="str">
        <f>IFERROR(IF(DB_Customers!T461&lt;&gt;"",DB_Customers!T461,""),"")</f>
        <v/>
      </c>
      <c r="N467" s="221" t="str">
        <f>IFERROR(IF(DB_Customers!A461&lt;&gt;"",IF(DB_Customers!I461&gt;=10,"Active","Inactive"),""),"")</f>
        <v/>
      </c>
    </row>
    <row r="468" spans="1:14" ht="18" customHeight="1" x14ac:dyDescent="0.25">
      <c r="A468" s="216" t="str">
        <f>IF(DB_Customers!A462&lt;&gt;"",ROW()-9,"")</f>
        <v/>
      </c>
      <c r="B468" s="216" t="str">
        <f>IFERROR(IF(DB_Customers!A462&lt;&gt;"",DB_Customers!A462,""),"")</f>
        <v/>
      </c>
      <c r="C468" s="217" t="str">
        <f>IFERROR(IF(DB_Customers!D462&lt;&gt;"",DB_Customers!D462,""),"")</f>
        <v/>
      </c>
      <c r="D468" s="218" t="str">
        <f>IFERROR(IF(DB_Customers!Q462&lt;&gt;"",DB_Customers!Q462,""),"")</f>
        <v/>
      </c>
      <c r="E468" s="216" t="str">
        <f>IFERROR(IF(DB_Customers!R462&lt;&gt;"",DB_Customers!R462,""),"")</f>
        <v/>
      </c>
      <c r="F468" s="217" t="str">
        <f>IFERROR(IF(DB_Customers!S462&lt;&gt;"",DB_Customers!S462,""),"")</f>
        <v/>
      </c>
      <c r="G468" s="217" t="str">
        <f>IFERROR(IF(DB_Customers!G462&lt;&gt;"",DB_Customers!G462,""),"")</f>
        <v/>
      </c>
      <c r="H468" s="216" t="str">
        <f>IFERROR(IF(DB_Customers!H462&lt;&gt;"",DB_Customers!H462,""),"")</f>
        <v/>
      </c>
      <c r="I468" s="219" t="str">
        <f>IFERROR(IF(DB_Customers!I462&lt;&gt;"",DB_Customers!I462,""),"")</f>
        <v/>
      </c>
      <c r="J468" s="220" t="str">
        <f>IFERROR(IF(DB_Customers!J462&lt;&gt;"",DB_Customers!J462,""),"")</f>
        <v/>
      </c>
      <c r="K468" s="217" t="str">
        <f>IFERROR(IF(DB_Customers!E462&lt;&gt;"",DB_Customers!E462,""),"")</f>
        <v/>
      </c>
      <c r="L468" s="217" t="str">
        <f>IFERROR(IF(DB_Customers!F462&lt;&gt;"",DB_Customers!F462,""),"")</f>
        <v/>
      </c>
      <c r="M468" s="217" t="str">
        <f>IFERROR(IF(DB_Customers!T462&lt;&gt;"",DB_Customers!T462,""),"")</f>
        <v/>
      </c>
      <c r="N468" s="216" t="str">
        <f>IFERROR(IF(DB_Customers!A462&lt;&gt;"",IF(DB_Customers!I462&gt;=10,"Active","Inactive"),""),"")</f>
        <v/>
      </c>
    </row>
    <row r="469" spans="1:14" ht="18" customHeight="1" x14ac:dyDescent="0.25">
      <c r="A469" s="221" t="str">
        <f>IF(DB_Customers!A463&lt;&gt;"",ROW()-9,"")</f>
        <v/>
      </c>
      <c r="B469" s="221" t="str">
        <f>IFERROR(IF(DB_Customers!A463&lt;&gt;"",DB_Customers!A463,""),"")</f>
        <v/>
      </c>
      <c r="C469" s="222" t="str">
        <f>IFERROR(IF(DB_Customers!D463&lt;&gt;"",DB_Customers!D463,""),"")</f>
        <v/>
      </c>
      <c r="D469" s="223" t="str">
        <f>IFERROR(IF(DB_Customers!Q463&lt;&gt;"",DB_Customers!Q463,""),"")</f>
        <v/>
      </c>
      <c r="E469" s="221" t="str">
        <f>IFERROR(IF(DB_Customers!R463&lt;&gt;"",DB_Customers!R463,""),"")</f>
        <v/>
      </c>
      <c r="F469" s="222" t="str">
        <f>IFERROR(IF(DB_Customers!S463&lt;&gt;"",DB_Customers!S463,""),"")</f>
        <v/>
      </c>
      <c r="G469" s="222" t="str">
        <f>IFERROR(IF(DB_Customers!G463&lt;&gt;"",DB_Customers!G463,""),"")</f>
        <v/>
      </c>
      <c r="H469" s="221" t="str">
        <f>IFERROR(IF(DB_Customers!H463&lt;&gt;"",DB_Customers!H463,""),"")</f>
        <v/>
      </c>
      <c r="I469" s="224" t="str">
        <f>IFERROR(IF(DB_Customers!I463&lt;&gt;"",DB_Customers!I463,""),"")</f>
        <v/>
      </c>
      <c r="J469" s="225" t="str">
        <f>IFERROR(IF(DB_Customers!J463&lt;&gt;"",DB_Customers!J463,""),"")</f>
        <v/>
      </c>
      <c r="K469" s="222" t="str">
        <f>IFERROR(IF(DB_Customers!E463&lt;&gt;"",DB_Customers!E463,""),"")</f>
        <v/>
      </c>
      <c r="L469" s="222" t="str">
        <f>IFERROR(IF(DB_Customers!F463&lt;&gt;"",DB_Customers!F463,""),"")</f>
        <v/>
      </c>
      <c r="M469" s="222" t="str">
        <f>IFERROR(IF(DB_Customers!T463&lt;&gt;"",DB_Customers!T463,""),"")</f>
        <v/>
      </c>
      <c r="N469" s="221" t="str">
        <f>IFERROR(IF(DB_Customers!A463&lt;&gt;"",IF(DB_Customers!I463&gt;=10,"Active","Inactive"),""),"")</f>
        <v/>
      </c>
    </row>
    <row r="470" spans="1:14" ht="18" customHeight="1" x14ac:dyDescent="0.25">
      <c r="A470" s="216" t="str">
        <f>IF(DB_Customers!A464&lt;&gt;"",ROW()-9,"")</f>
        <v/>
      </c>
      <c r="B470" s="216" t="str">
        <f>IFERROR(IF(DB_Customers!A464&lt;&gt;"",DB_Customers!A464,""),"")</f>
        <v/>
      </c>
      <c r="C470" s="217" t="str">
        <f>IFERROR(IF(DB_Customers!D464&lt;&gt;"",DB_Customers!D464,""),"")</f>
        <v/>
      </c>
      <c r="D470" s="218" t="str">
        <f>IFERROR(IF(DB_Customers!Q464&lt;&gt;"",DB_Customers!Q464,""),"")</f>
        <v/>
      </c>
      <c r="E470" s="216" t="str">
        <f>IFERROR(IF(DB_Customers!R464&lt;&gt;"",DB_Customers!R464,""),"")</f>
        <v/>
      </c>
      <c r="F470" s="217" t="str">
        <f>IFERROR(IF(DB_Customers!S464&lt;&gt;"",DB_Customers!S464,""),"")</f>
        <v/>
      </c>
      <c r="G470" s="217" t="str">
        <f>IFERROR(IF(DB_Customers!G464&lt;&gt;"",DB_Customers!G464,""),"")</f>
        <v/>
      </c>
      <c r="H470" s="216" t="str">
        <f>IFERROR(IF(DB_Customers!H464&lt;&gt;"",DB_Customers!H464,""),"")</f>
        <v/>
      </c>
      <c r="I470" s="219" t="str">
        <f>IFERROR(IF(DB_Customers!I464&lt;&gt;"",DB_Customers!I464,""),"")</f>
        <v/>
      </c>
      <c r="J470" s="220" t="str">
        <f>IFERROR(IF(DB_Customers!J464&lt;&gt;"",DB_Customers!J464,""),"")</f>
        <v/>
      </c>
      <c r="K470" s="217" t="str">
        <f>IFERROR(IF(DB_Customers!E464&lt;&gt;"",DB_Customers!E464,""),"")</f>
        <v/>
      </c>
      <c r="L470" s="217" t="str">
        <f>IFERROR(IF(DB_Customers!F464&lt;&gt;"",DB_Customers!F464,""),"")</f>
        <v/>
      </c>
      <c r="M470" s="217" t="str">
        <f>IFERROR(IF(DB_Customers!T464&lt;&gt;"",DB_Customers!T464,""),"")</f>
        <v/>
      </c>
      <c r="N470" s="216" t="str">
        <f>IFERROR(IF(DB_Customers!A464&lt;&gt;"",IF(DB_Customers!I464&gt;=10,"Active","Inactive"),""),"")</f>
        <v/>
      </c>
    </row>
    <row r="471" spans="1:14" ht="18" customHeight="1" x14ac:dyDescent="0.25">
      <c r="A471" s="221" t="str">
        <f>IF(DB_Customers!A465&lt;&gt;"",ROW()-9,"")</f>
        <v/>
      </c>
      <c r="B471" s="221" t="str">
        <f>IFERROR(IF(DB_Customers!A465&lt;&gt;"",DB_Customers!A465,""),"")</f>
        <v/>
      </c>
      <c r="C471" s="222" t="str">
        <f>IFERROR(IF(DB_Customers!D465&lt;&gt;"",DB_Customers!D465,""),"")</f>
        <v/>
      </c>
      <c r="D471" s="223" t="str">
        <f>IFERROR(IF(DB_Customers!Q465&lt;&gt;"",DB_Customers!Q465,""),"")</f>
        <v/>
      </c>
      <c r="E471" s="221" t="str">
        <f>IFERROR(IF(DB_Customers!R465&lt;&gt;"",DB_Customers!R465,""),"")</f>
        <v/>
      </c>
      <c r="F471" s="222" t="str">
        <f>IFERROR(IF(DB_Customers!S465&lt;&gt;"",DB_Customers!S465,""),"")</f>
        <v/>
      </c>
      <c r="G471" s="222" t="str">
        <f>IFERROR(IF(DB_Customers!G465&lt;&gt;"",DB_Customers!G465,""),"")</f>
        <v/>
      </c>
      <c r="H471" s="221" t="str">
        <f>IFERROR(IF(DB_Customers!H465&lt;&gt;"",DB_Customers!H465,""),"")</f>
        <v/>
      </c>
      <c r="I471" s="224" t="str">
        <f>IFERROR(IF(DB_Customers!I465&lt;&gt;"",DB_Customers!I465,""),"")</f>
        <v/>
      </c>
      <c r="J471" s="225" t="str">
        <f>IFERROR(IF(DB_Customers!J465&lt;&gt;"",DB_Customers!J465,""),"")</f>
        <v/>
      </c>
      <c r="K471" s="222" t="str">
        <f>IFERROR(IF(DB_Customers!E465&lt;&gt;"",DB_Customers!E465,""),"")</f>
        <v/>
      </c>
      <c r="L471" s="222" t="str">
        <f>IFERROR(IF(DB_Customers!F465&lt;&gt;"",DB_Customers!F465,""),"")</f>
        <v/>
      </c>
      <c r="M471" s="222" t="str">
        <f>IFERROR(IF(DB_Customers!T465&lt;&gt;"",DB_Customers!T465,""),"")</f>
        <v/>
      </c>
      <c r="N471" s="221" t="str">
        <f>IFERROR(IF(DB_Customers!A465&lt;&gt;"",IF(DB_Customers!I465&gt;=10,"Active","Inactive"),""),"")</f>
        <v/>
      </c>
    </row>
    <row r="472" spans="1:14" ht="18" customHeight="1" x14ac:dyDescent="0.25">
      <c r="A472" s="216" t="str">
        <f>IF(DB_Customers!A466&lt;&gt;"",ROW()-9,"")</f>
        <v/>
      </c>
      <c r="B472" s="216" t="str">
        <f>IFERROR(IF(DB_Customers!A466&lt;&gt;"",DB_Customers!A466,""),"")</f>
        <v/>
      </c>
      <c r="C472" s="217" t="str">
        <f>IFERROR(IF(DB_Customers!D466&lt;&gt;"",DB_Customers!D466,""),"")</f>
        <v/>
      </c>
      <c r="D472" s="218" t="str">
        <f>IFERROR(IF(DB_Customers!Q466&lt;&gt;"",DB_Customers!Q466,""),"")</f>
        <v/>
      </c>
      <c r="E472" s="216" t="str">
        <f>IFERROR(IF(DB_Customers!R466&lt;&gt;"",DB_Customers!R466,""),"")</f>
        <v/>
      </c>
      <c r="F472" s="217" t="str">
        <f>IFERROR(IF(DB_Customers!S466&lt;&gt;"",DB_Customers!S466,""),"")</f>
        <v/>
      </c>
      <c r="G472" s="217" t="str">
        <f>IFERROR(IF(DB_Customers!G466&lt;&gt;"",DB_Customers!G466,""),"")</f>
        <v/>
      </c>
      <c r="H472" s="216" t="str">
        <f>IFERROR(IF(DB_Customers!H466&lt;&gt;"",DB_Customers!H466,""),"")</f>
        <v/>
      </c>
      <c r="I472" s="219" t="str">
        <f>IFERROR(IF(DB_Customers!I466&lt;&gt;"",DB_Customers!I466,""),"")</f>
        <v/>
      </c>
      <c r="J472" s="220" t="str">
        <f>IFERROR(IF(DB_Customers!J466&lt;&gt;"",DB_Customers!J466,""),"")</f>
        <v/>
      </c>
      <c r="K472" s="217" t="str">
        <f>IFERROR(IF(DB_Customers!E466&lt;&gt;"",DB_Customers!E466,""),"")</f>
        <v/>
      </c>
      <c r="L472" s="217" t="str">
        <f>IFERROR(IF(DB_Customers!F466&lt;&gt;"",DB_Customers!F466,""),"")</f>
        <v/>
      </c>
      <c r="M472" s="217" t="str">
        <f>IFERROR(IF(DB_Customers!T466&lt;&gt;"",DB_Customers!T466,""),"")</f>
        <v/>
      </c>
      <c r="N472" s="216" t="str">
        <f>IFERROR(IF(DB_Customers!A466&lt;&gt;"",IF(DB_Customers!I466&gt;=10,"Active","Inactive"),""),"")</f>
        <v/>
      </c>
    </row>
    <row r="473" spans="1:14" ht="18" customHeight="1" x14ac:dyDescent="0.25">
      <c r="A473" s="221" t="str">
        <f>IF(DB_Customers!A467&lt;&gt;"",ROW()-9,"")</f>
        <v/>
      </c>
      <c r="B473" s="221" t="str">
        <f>IFERROR(IF(DB_Customers!A467&lt;&gt;"",DB_Customers!A467,""),"")</f>
        <v/>
      </c>
      <c r="C473" s="222" t="str">
        <f>IFERROR(IF(DB_Customers!D467&lt;&gt;"",DB_Customers!D467,""),"")</f>
        <v/>
      </c>
      <c r="D473" s="223" t="str">
        <f>IFERROR(IF(DB_Customers!Q467&lt;&gt;"",DB_Customers!Q467,""),"")</f>
        <v/>
      </c>
      <c r="E473" s="221" t="str">
        <f>IFERROR(IF(DB_Customers!R467&lt;&gt;"",DB_Customers!R467,""),"")</f>
        <v/>
      </c>
      <c r="F473" s="222" t="str">
        <f>IFERROR(IF(DB_Customers!S467&lt;&gt;"",DB_Customers!S467,""),"")</f>
        <v/>
      </c>
      <c r="G473" s="222" t="str">
        <f>IFERROR(IF(DB_Customers!G467&lt;&gt;"",DB_Customers!G467,""),"")</f>
        <v/>
      </c>
      <c r="H473" s="221" t="str">
        <f>IFERROR(IF(DB_Customers!H467&lt;&gt;"",DB_Customers!H467,""),"")</f>
        <v/>
      </c>
      <c r="I473" s="224" t="str">
        <f>IFERROR(IF(DB_Customers!I467&lt;&gt;"",DB_Customers!I467,""),"")</f>
        <v/>
      </c>
      <c r="J473" s="225" t="str">
        <f>IFERROR(IF(DB_Customers!J467&lt;&gt;"",DB_Customers!J467,""),"")</f>
        <v/>
      </c>
      <c r="K473" s="222" t="str">
        <f>IFERROR(IF(DB_Customers!E467&lt;&gt;"",DB_Customers!E467,""),"")</f>
        <v/>
      </c>
      <c r="L473" s="222" t="str">
        <f>IFERROR(IF(DB_Customers!F467&lt;&gt;"",DB_Customers!F467,""),"")</f>
        <v/>
      </c>
      <c r="M473" s="222" t="str">
        <f>IFERROR(IF(DB_Customers!T467&lt;&gt;"",DB_Customers!T467,""),"")</f>
        <v/>
      </c>
      <c r="N473" s="221" t="str">
        <f>IFERROR(IF(DB_Customers!A467&lt;&gt;"",IF(DB_Customers!I467&gt;=10,"Active","Inactive"),""),"")</f>
        <v/>
      </c>
    </row>
    <row r="474" spans="1:14" ht="18" customHeight="1" x14ac:dyDescent="0.25">
      <c r="A474" s="216" t="str">
        <f>IF(DB_Customers!A468&lt;&gt;"",ROW()-9,"")</f>
        <v/>
      </c>
      <c r="B474" s="216" t="str">
        <f>IFERROR(IF(DB_Customers!A468&lt;&gt;"",DB_Customers!A468,""),"")</f>
        <v/>
      </c>
      <c r="C474" s="217" t="str">
        <f>IFERROR(IF(DB_Customers!D468&lt;&gt;"",DB_Customers!D468,""),"")</f>
        <v/>
      </c>
      <c r="D474" s="218" t="str">
        <f>IFERROR(IF(DB_Customers!Q468&lt;&gt;"",DB_Customers!Q468,""),"")</f>
        <v/>
      </c>
      <c r="E474" s="216" t="str">
        <f>IFERROR(IF(DB_Customers!R468&lt;&gt;"",DB_Customers!R468,""),"")</f>
        <v/>
      </c>
      <c r="F474" s="217" t="str">
        <f>IFERROR(IF(DB_Customers!S468&lt;&gt;"",DB_Customers!S468,""),"")</f>
        <v/>
      </c>
      <c r="G474" s="217" t="str">
        <f>IFERROR(IF(DB_Customers!G468&lt;&gt;"",DB_Customers!G468,""),"")</f>
        <v/>
      </c>
      <c r="H474" s="216" t="str">
        <f>IFERROR(IF(DB_Customers!H468&lt;&gt;"",DB_Customers!H468,""),"")</f>
        <v/>
      </c>
      <c r="I474" s="219" t="str">
        <f>IFERROR(IF(DB_Customers!I468&lt;&gt;"",DB_Customers!I468,""),"")</f>
        <v/>
      </c>
      <c r="J474" s="220" t="str">
        <f>IFERROR(IF(DB_Customers!J468&lt;&gt;"",DB_Customers!J468,""),"")</f>
        <v/>
      </c>
      <c r="K474" s="217" t="str">
        <f>IFERROR(IF(DB_Customers!E468&lt;&gt;"",DB_Customers!E468,""),"")</f>
        <v/>
      </c>
      <c r="L474" s="217" t="str">
        <f>IFERROR(IF(DB_Customers!F468&lt;&gt;"",DB_Customers!F468,""),"")</f>
        <v/>
      </c>
      <c r="M474" s="217" t="str">
        <f>IFERROR(IF(DB_Customers!T468&lt;&gt;"",DB_Customers!T468,""),"")</f>
        <v/>
      </c>
      <c r="N474" s="216" t="str">
        <f>IFERROR(IF(DB_Customers!A468&lt;&gt;"",IF(DB_Customers!I468&gt;=10,"Active","Inactive"),""),"")</f>
        <v/>
      </c>
    </row>
    <row r="475" spans="1:14" ht="18" customHeight="1" x14ac:dyDescent="0.25">
      <c r="A475" s="221" t="str">
        <f>IF(DB_Customers!A469&lt;&gt;"",ROW()-9,"")</f>
        <v/>
      </c>
      <c r="B475" s="221" t="str">
        <f>IFERROR(IF(DB_Customers!A469&lt;&gt;"",DB_Customers!A469,""),"")</f>
        <v/>
      </c>
      <c r="C475" s="222" t="str">
        <f>IFERROR(IF(DB_Customers!D469&lt;&gt;"",DB_Customers!D469,""),"")</f>
        <v/>
      </c>
      <c r="D475" s="223" t="str">
        <f>IFERROR(IF(DB_Customers!Q469&lt;&gt;"",DB_Customers!Q469,""),"")</f>
        <v/>
      </c>
      <c r="E475" s="221" t="str">
        <f>IFERROR(IF(DB_Customers!R469&lt;&gt;"",DB_Customers!R469,""),"")</f>
        <v/>
      </c>
      <c r="F475" s="222" t="str">
        <f>IFERROR(IF(DB_Customers!S469&lt;&gt;"",DB_Customers!S469,""),"")</f>
        <v/>
      </c>
      <c r="G475" s="222" t="str">
        <f>IFERROR(IF(DB_Customers!G469&lt;&gt;"",DB_Customers!G469,""),"")</f>
        <v/>
      </c>
      <c r="H475" s="221" t="str">
        <f>IFERROR(IF(DB_Customers!H469&lt;&gt;"",DB_Customers!H469,""),"")</f>
        <v/>
      </c>
      <c r="I475" s="224" t="str">
        <f>IFERROR(IF(DB_Customers!I469&lt;&gt;"",DB_Customers!I469,""),"")</f>
        <v/>
      </c>
      <c r="J475" s="225" t="str">
        <f>IFERROR(IF(DB_Customers!J469&lt;&gt;"",DB_Customers!J469,""),"")</f>
        <v/>
      </c>
      <c r="K475" s="222" t="str">
        <f>IFERROR(IF(DB_Customers!E469&lt;&gt;"",DB_Customers!E469,""),"")</f>
        <v/>
      </c>
      <c r="L475" s="222" t="str">
        <f>IFERROR(IF(DB_Customers!F469&lt;&gt;"",DB_Customers!F469,""),"")</f>
        <v/>
      </c>
      <c r="M475" s="222" t="str">
        <f>IFERROR(IF(DB_Customers!T469&lt;&gt;"",DB_Customers!T469,""),"")</f>
        <v/>
      </c>
      <c r="N475" s="221" t="str">
        <f>IFERROR(IF(DB_Customers!A469&lt;&gt;"",IF(DB_Customers!I469&gt;=10,"Active","Inactive"),""),"")</f>
        <v/>
      </c>
    </row>
    <row r="476" spans="1:14" ht="18" customHeight="1" x14ac:dyDescent="0.25">
      <c r="A476" s="216" t="str">
        <f>IF(DB_Customers!A470&lt;&gt;"",ROW()-9,"")</f>
        <v/>
      </c>
      <c r="B476" s="216" t="str">
        <f>IFERROR(IF(DB_Customers!A470&lt;&gt;"",DB_Customers!A470,""),"")</f>
        <v/>
      </c>
      <c r="C476" s="217" t="str">
        <f>IFERROR(IF(DB_Customers!D470&lt;&gt;"",DB_Customers!D470,""),"")</f>
        <v/>
      </c>
      <c r="D476" s="218" t="str">
        <f>IFERROR(IF(DB_Customers!Q470&lt;&gt;"",DB_Customers!Q470,""),"")</f>
        <v/>
      </c>
      <c r="E476" s="216" t="str">
        <f>IFERROR(IF(DB_Customers!R470&lt;&gt;"",DB_Customers!R470,""),"")</f>
        <v/>
      </c>
      <c r="F476" s="217" t="str">
        <f>IFERROR(IF(DB_Customers!S470&lt;&gt;"",DB_Customers!S470,""),"")</f>
        <v/>
      </c>
      <c r="G476" s="217" t="str">
        <f>IFERROR(IF(DB_Customers!G470&lt;&gt;"",DB_Customers!G470,""),"")</f>
        <v/>
      </c>
      <c r="H476" s="216" t="str">
        <f>IFERROR(IF(DB_Customers!H470&lt;&gt;"",DB_Customers!H470,""),"")</f>
        <v/>
      </c>
      <c r="I476" s="219" t="str">
        <f>IFERROR(IF(DB_Customers!I470&lt;&gt;"",DB_Customers!I470,""),"")</f>
        <v/>
      </c>
      <c r="J476" s="220" t="str">
        <f>IFERROR(IF(DB_Customers!J470&lt;&gt;"",DB_Customers!J470,""),"")</f>
        <v/>
      </c>
      <c r="K476" s="217" t="str">
        <f>IFERROR(IF(DB_Customers!E470&lt;&gt;"",DB_Customers!E470,""),"")</f>
        <v/>
      </c>
      <c r="L476" s="217" t="str">
        <f>IFERROR(IF(DB_Customers!F470&lt;&gt;"",DB_Customers!F470,""),"")</f>
        <v/>
      </c>
      <c r="M476" s="217" t="str">
        <f>IFERROR(IF(DB_Customers!T470&lt;&gt;"",DB_Customers!T470,""),"")</f>
        <v/>
      </c>
      <c r="N476" s="216" t="str">
        <f>IFERROR(IF(DB_Customers!A470&lt;&gt;"",IF(DB_Customers!I470&gt;=10,"Active","Inactive"),""),"")</f>
        <v/>
      </c>
    </row>
    <row r="477" spans="1:14" ht="18" customHeight="1" x14ac:dyDescent="0.25">
      <c r="A477" s="221" t="str">
        <f>IF(DB_Customers!A471&lt;&gt;"",ROW()-9,"")</f>
        <v/>
      </c>
      <c r="B477" s="221" t="str">
        <f>IFERROR(IF(DB_Customers!A471&lt;&gt;"",DB_Customers!A471,""),"")</f>
        <v/>
      </c>
      <c r="C477" s="222" t="str">
        <f>IFERROR(IF(DB_Customers!D471&lt;&gt;"",DB_Customers!D471,""),"")</f>
        <v/>
      </c>
      <c r="D477" s="223" t="str">
        <f>IFERROR(IF(DB_Customers!Q471&lt;&gt;"",DB_Customers!Q471,""),"")</f>
        <v/>
      </c>
      <c r="E477" s="221" t="str">
        <f>IFERROR(IF(DB_Customers!R471&lt;&gt;"",DB_Customers!R471,""),"")</f>
        <v/>
      </c>
      <c r="F477" s="222" t="str">
        <f>IFERROR(IF(DB_Customers!S471&lt;&gt;"",DB_Customers!S471,""),"")</f>
        <v/>
      </c>
      <c r="G477" s="222" t="str">
        <f>IFERROR(IF(DB_Customers!G471&lt;&gt;"",DB_Customers!G471,""),"")</f>
        <v/>
      </c>
      <c r="H477" s="221" t="str">
        <f>IFERROR(IF(DB_Customers!H471&lt;&gt;"",DB_Customers!H471,""),"")</f>
        <v/>
      </c>
      <c r="I477" s="224" t="str">
        <f>IFERROR(IF(DB_Customers!I471&lt;&gt;"",DB_Customers!I471,""),"")</f>
        <v/>
      </c>
      <c r="J477" s="225" t="str">
        <f>IFERROR(IF(DB_Customers!J471&lt;&gt;"",DB_Customers!J471,""),"")</f>
        <v/>
      </c>
      <c r="K477" s="222" t="str">
        <f>IFERROR(IF(DB_Customers!E471&lt;&gt;"",DB_Customers!E471,""),"")</f>
        <v/>
      </c>
      <c r="L477" s="222" t="str">
        <f>IFERROR(IF(DB_Customers!F471&lt;&gt;"",DB_Customers!F471,""),"")</f>
        <v/>
      </c>
      <c r="M477" s="222" t="str">
        <f>IFERROR(IF(DB_Customers!T471&lt;&gt;"",DB_Customers!T471,""),"")</f>
        <v/>
      </c>
      <c r="N477" s="221" t="str">
        <f>IFERROR(IF(DB_Customers!A471&lt;&gt;"",IF(DB_Customers!I471&gt;=10,"Active","Inactive"),""),"")</f>
        <v/>
      </c>
    </row>
    <row r="478" spans="1:14" ht="18" customHeight="1" x14ac:dyDescent="0.25">
      <c r="A478" s="216" t="str">
        <f>IF(DB_Customers!A472&lt;&gt;"",ROW()-9,"")</f>
        <v/>
      </c>
      <c r="B478" s="216" t="str">
        <f>IFERROR(IF(DB_Customers!A472&lt;&gt;"",DB_Customers!A472,""),"")</f>
        <v/>
      </c>
      <c r="C478" s="217" t="str">
        <f>IFERROR(IF(DB_Customers!D472&lt;&gt;"",DB_Customers!D472,""),"")</f>
        <v/>
      </c>
      <c r="D478" s="218" t="str">
        <f>IFERROR(IF(DB_Customers!Q472&lt;&gt;"",DB_Customers!Q472,""),"")</f>
        <v/>
      </c>
      <c r="E478" s="216" t="str">
        <f>IFERROR(IF(DB_Customers!R472&lt;&gt;"",DB_Customers!R472,""),"")</f>
        <v/>
      </c>
      <c r="F478" s="217" t="str">
        <f>IFERROR(IF(DB_Customers!S472&lt;&gt;"",DB_Customers!S472,""),"")</f>
        <v/>
      </c>
      <c r="G478" s="217" t="str">
        <f>IFERROR(IF(DB_Customers!G472&lt;&gt;"",DB_Customers!G472,""),"")</f>
        <v/>
      </c>
      <c r="H478" s="216" t="str">
        <f>IFERROR(IF(DB_Customers!H472&lt;&gt;"",DB_Customers!H472,""),"")</f>
        <v/>
      </c>
      <c r="I478" s="219" t="str">
        <f>IFERROR(IF(DB_Customers!I472&lt;&gt;"",DB_Customers!I472,""),"")</f>
        <v/>
      </c>
      <c r="J478" s="220" t="str">
        <f>IFERROR(IF(DB_Customers!J472&lt;&gt;"",DB_Customers!J472,""),"")</f>
        <v/>
      </c>
      <c r="K478" s="217" t="str">
        <f>IFERROR(IF(DB_Customers!E472&lt;&gt;"",DB_Customers!E472,""),"")</f>
        <v/>
      </c>
      <c r="L478" s="217" t="str">
        <f>IFERROR(IF(DB_Customers!F472&lt;&gt;"",DB_Customers!F472,""),"")</f>
        <v/>
      </c>
      <c r="M478" s="217" t="str">
        <f>IFERROR(IF(DB_Customers!T472&lt;&gt;"",DB_Customers!T472,""),"")</f>
        <v/>
      </c>
      <c r="N478" s="216" t="str">
        <f>IFERROR(IF(DB_Customers!A472&lt;&gt;"",IF(DB_Customers!I472&gt;=10,"Active","Inactive"),""),"")</f>
        <v/>
      </c>
    </row>
    <row r="479" spans="1:14" ht="18" customHeight="1" x14ac:dyDescent="0.25">
      <c r="A479" s="221" t="str">
        <f>IF(DB_Customers!A473&lt;&gt;"",ROW()-9,"")</f>
        <v/>
      </c>
      <c r="B479" s="221" t="str">
        <f>IFERROR(IF(DB_Customers!A473&lt;&gt;"",DB_Customers!A473,""),"")</f>
        <v/>
      </c>
      <c r="C479" s="222" t="str">
        <f>IFERROR(IF(DB_Customers!D473&lt;&gt;"",DB_Customers!D473,""),"")</f>
        <v/>
      </c>
      <c r="D479" s="223" t="str">
        <f>IFERROR(IF(DB_Customers!Q473&lt;&gt;"",DB_Customers!Q473,""),"")</f>
        <v/>
      </c>
      <c r="E479" s="221" t="str">
        <f>IFERROR(IF(DB_Customers!R473&lt;&gt;"",DB_Customers!R473,""),"")</f>
        <v/>
      </c>
      <c r="F479" s="222" t="str">
        <f>IFERROR(IF(DB_Customers!S473&lt;&gt;"",DB_Customers!S473,""),"")</f>
        <v/>
      </c>
      <c r="G479" s="222" t="str">
        <f>IFERROR(IF(DB_Customers!G473&lt;&gt;"",DB_Customers!G473,""),"")</f>
        <v/>
      </c>
      <c r="H479" s="221" t="str">
        <f>IFERROR(IF(DB_Customers!H473&lt;&gt;"",DB_Customers!H473,""),"")</f>
        <v/>
      </c>
      <c r="I479" s="224" t="str">
        <f>IFERROR(IF(DB_Customers!I473&lt;&gt;"",DB_Customers!I473,""),"")</f>
        <v/>
      </c>
      <c r="J479" s="225" t="str">
        <f>IFERROR(IF(DB_Customers!J473&lt;&gt;"",DB_Customers!J473,""),"")</f>
        <v/>
      </c>
      <c r="K479" s="222" t="str">
        <f>IFERROR(IF(DB_Customers!E473&lt;&gt;"",DB_Customers!E473,""),"")</f>
        <v/>
      </c>
      <c r="L479" s="222" t="str">
        <f>IFERROR(IF(DB_Customers!F473&lt;&gt;"",DB_Customers!F473,""),"")</f>
        <v/>
      </c>
      <c r="M479" s="222" t="str">
        <f>IFERROR(IF(DB_Customers!T473&lt;&gt;"",DB_Customers!T473,""),"")</f>
        <v/>
      </c>
      <c r="N479" s="221" t="str">
        <f>IFERROR(IF(DB_Customers!A473&lt;&gt;"",IF(DB_Customers!I473&gt;=10,"Active","Inactive"),""),"")</f>
        <v/>
      </c>
    </row>
    <row r="480" spans="1:14" ht="18" customHeight="1" x14ac:dyDescent="0.25">
      <c r="A480" s="216" t="str">
        <f>IF(DB_Customers!A474&lt;&gt;"",ROW()-9,"")</f>
        <v/>
      </c>
      <c r="B480" s="216" t="str">
        <f>IFERROR(IF(DB_Customers!A474&lt;&gt;"",DB_Customers!A474,""),"")</f>
        <v/>
      </c>
      <c r="C480" s="217" t="str">
        <f>IFERROR(IF(DB_Customers!D474&lt;&gt;"",DB_Customers!D474,""),"")</f>
        <v/>
      </c>
      <c r="D480" s="218" t="str">
        <f>IFERROR(IF(DB_Customers!Q474&lt;&gt;"",DB_Customers!Q474,""),"")</f>
        <v/>
      </c>
      <c r="E480" s="216" t="str">
        <f>IFERROR(IF(DB_Customers!R474&lt;&gt;"",DB_Customers!R474,""),"")</f>
        <v/>
      </c>
      <c r="F480" s="217" t="str">
        <f>IFERROR(IF(DB_Customers!S474&lt;&gt;"",DB_Customers!S474,""),"")</f>
        <v/>
      </c>
      <c r="G480" s="217" t="str">
        <f>IFERROR(IF(DB_Customers!G474&lt;&gt;"",DB_Customers!G474,""),"")</f>
        <v/>
      </c>
      <c r="H480" s="216" t="str">
        <f>IFERROR(IF(DB_Customers!H474&lt;&gt;"",DB_Customers!H474,""),"")</f>
        <v/>
      </c>
      <c r="I480" s="219" t="str">
        <f>IFERROR(IF(DB_Customers!I474&lt;&gt;"",DB_Customers!I474,""),"")</f>
        <v/>
      </c>
      <c r="J480" s="220" t="str">
        <f>IFERROR(IF(DB_Customers!J474&lt;&gt;"",DB_Customers!J474,""),"")</f>
        <v/>
      </c>
      <c r="K480" s="217" t="str">
        <f>IFERROR(IF(DB_Customers!E474&lt;&gt;"",DB_Customers!E474,""),"")</f>
        <v/>
      </c>
      <c r="L480" s="217" t="str">
        <f>IFERROR(IF(DB_Customers!F474&lt;&gt;"",DB_Customers!F474,""),"")</f>
        <v/>
      </c>
      <c r="M480" s="217" t="str">
        <f>IFERROR(IF(DB_Customers!T474&lt;&gt;"",DB_Customers!T474,""),"")</f>
        <v/>
      </c>
      <c r="N480" s="216" t="str">
        <f>IFERROR(IF(DB_Customers!A474&lt;&gt;"",IF(DB_Customers!I474&gt;=10,"Active","Inactive"),""),"")</f>
        <v/>
      </c>
    </row>
    <row r="481" spans="1:14" ht="18" customHeight="1" x14ac:dyDescent="0.25">
      <c r="A481" s="221" t="str">
        <f>IF(DB_Customers!A475&lt;&gt;"",ROW()-9,"")</f>
        <v/>
      </c>
      <c r="B481" s="221" t="str">
        <f>IFERROR(IF(DB_Customers!A475&lt;&gt;"",DB_Customers!A475,""),"")</f>
        <v/>
      </c>
      <c r="C481" s="222" t="str">
        <f>IFERROR(IF(DB_Customers!D475&lt;&gt;"",DB_Customers!D475,""),"")</f>
        <v/>
      </c>
      <c r="D481" s="223" t="str">
        <f>IFERROR(IF(DB_Customers!Q475&lt;&gt;"",DB_Customers!Q475,""),"")</f>
        <v/>
      </c>
      <c r="E481" s="221" t="str">
        <f>IFERROR(IF(DB_Customers!R475&lt;&gt;"",DB_Customers!R475,""),"")</f>
        <v/>
      </c>
      <c r="F481" s="222" t="str">
        <f>IFERROR(IF(DB_Customers!S475&lt;&gt;"",DB_Customers!S475,""),"")</f>
        <v/>
      </c>
      <c r="G481" s="222" t="str">
        <f>IFERROR(IF(DB_Customers!G475&lt;&gt;"",DB_Customers!G475,""),"")</f>
        <v/>
      </c>
      <c r="H481" s="221" t="str">
        <f>IFERROR(IF(DB_Customers!H475&lt;&gt;"",DB_Customers!H475,""),"")</f>
        <v/>
      </c>
      <c r="I481" s="224" t="str">
        <f>IFERROR(IF(DB_Customers!I475&lt;&gt;"",DB_Customers!I475,""),"")</f>
        <v/>
      </c>
      <c r="J481" s="225" t="str">
        <f>IFERROR(IF(DB_Customers!J475&lt;&gt;"",DB_Customers!J475,""),"")</f>
        <v/>
      </c>
      <c r="K481" s="222" t="str">
        <f>IFERROR(IF(DB_Customers!E475&lt;&gt;"",DB_Customers!E475,""),"")</f>
        <v/>
      </c>
      <c r="L481" s="222" t="str">
        <f>IFERROR(IF(DB_Customers!F475&lt;&gt;"",DB_Customers!F475,""),"")</f>
        <v/>
      </c>
      <c r="M481" s="222" t="str">
        <f>IFERROR(IF(DB_Customers!T475&lt;&gt;"",DB_Customers!T475,""),"")</f>
        <v/>
      </c>
      <c r="N481" s="221" t="str">
        <f>IFERROR(IF(DB_Customers!A475&lt;&gt;"",IF(DB_Customers!I475&gt;=10,"Active","Inactive"),""),"")</f>
        <v/>
      </c>
    </row>
    <row r="482" spans="1:14" ht="18" customHeight="1" x14ac:dyDescent="0.25">
      <c r="A482" s="216" t="str">
        <f>IF(DB_Customers!A476&lt;&gt;"",ROW()-9,"")</f>
        <v/>
      </c>
      <c r="B482" s="216" t="str">
        <f>IFERROR(IF(DB_Customers!A476&lt;&gt;"",DB_Customers!A476,""),"")</f>
        <v/>
      </c>
      <c r="C482" s="217" t="str">
        <f>IFERROR(IF(DB_Customers!D476&lt;&gt;"",DB_Customers!D476,""),"")</f>
        <v/>
      </c>
      <c r="D482" s="218" t="str">
        <f>IFERROR(IF(DB_Customers!Q476&lt;&gt;"",DB_Customers!Q476,""),"")</f>
        <v/>
      </c>
      <c r="E482" s="216" t="str">
        <f>IFERROR(IF(DB_Customers!R476&lt;&gt;"",DB_Customers!R476,""),"")</f>
        <v/>
      </c>
      <c r="F482" s="217" t="str">
        <f>IFERROR(IF(DB_Customers!S476&lt;&gt;"",DB_Customers!S476,""),"")</f>
        <v/>
      </c>
      <c r="G482" s="217" t="str">
        <f>IFERROR(IF(DB_Customers!G476&lt;&gt;"",DB_Customers!G476,""),"")</f>
        <v/>
      </c>
      <c r="H482" s="216" t="str">
        <f>IFERROR(IF(DB_Customers!H476&lt;&gt;"",DB_Customers!H476,""),"")</f>
        <v/>
      </c>
      <c r="I482" s="219" t="str">
        <f>IFERROR(IF(DB_Customers!I476&lt;&gt;"",DB_Customers!I476,""),"")</f>
        <v/>
      </c>
      <c r="J482" s="220" t="str">
        <f>IFERROR(IF(DB_Customers!J476&lt;&gt;"",DB_Customers!J476,""),"")</f>
        <v/>
      </c>
      <c r="K482" s="217" t="str">
        <f>IFERROR(IF(DB_Customers!E476&lt;&gt;"",DB_Customers!E476,""),"")</f>
        <v/>
      </c>
      <c r="L482" s="217" t="str">
        <f>IFERROR(IF(DB_Customers!F476&lt;&gt;"",DB_Customers!F476,""),"")</f>
        <v/>
      </c>
      <c r="M482" s="217" t="str">
        <f>IFERROR(IF(DB_Customers!T476&lt;&gt;"",DB_Customers!T476,""),"")</f>
        <v/>
      </c>
      <c r="N482" s="216" t="str">
        <f>IFERROR(IF(DB_Customers!A476&lt;&gt;"",IF(DB_Customers!I476&gt;=10,"Active","Inactive"),""),"")</f>
        <v/>
      </c>
    </row>
    <row r="483" spans="1:14" ht="18" customHeight="1" x14ac:dyDescent="0.25">
      <c r="A483" s="221" t="str">
        <f>IF(DB_Customers!A477&lt;&gt;"",ROW()-9,"")</f>
        <v/>
      </c>
      <c r="B483" s="221" t="str">
        <f>IFERROR(IF(DB_Customers!A477&lt;&gt;"",DB_Customers!A477,""),"")</f>
        <v/>
      </c>
      <c r="C483" s="222" t="str">
        <f>IFERROR(IF(DB_Customers!D477&lt;&gt;"",DB_Customers!D477,""),"")</f>
        <v/>
      </c>
      <c r="D483" s="223" t="str">
        <f>IFERROR(IF(DB_Customers!Q477&lt;&gt;"",DB_Customers!Q477,""),"")</f>
        <v/>
      </c>
      <c r="E483" s="221" t="str">
        <f>IFERROR(IF(DB_Customers!R477&lt;&gt;"",DB_Customers!R477,""),"")</f>
        <v/>
      </c>
      <c r="F483" s="222" t="str">
        <f>IFERROR(IF(DB_Customers!S477&lt;&gt;"",DB_Customers!S477,""),"")</f>
        <v/>
      </c>
      <c r="G483" s="222" t="str">
        <f>IFERROR(IF(DB_Customers!G477&lt;&gt;"",DB_Customers!G477,""),"")</f>
        <v/>
      </c>
      <c r="H483" s="221" t="str">
        <f>IFERROR(IF(DB_Customers!H477&lt;&gt;"",DB_Customers!H477,""),"")</f>
        <v/>
      </c>
      <c r="I483" s="224" t="str">
        <f>IFERROR(IF(DB_Customers!I477&lt;&gt;"",DB_Customers!I477,""),"")</f>
        <v/>
      </c>
      <c r="J483" s="225" t="str">
        <f>IFERROR(IF(DB_Customers!J477&lt;&gt;"",DB_Customers!J477,""),"")</f>
        <v/>
      </c>
      <c r="K483" s="222" t="str">
        <f>IFERROR(IF(DB_Customers!E477&lt;&gt;"",DB_Customers!E477,""),"")</f>
        <v/>
      </c>
      <c r="L483" s="222" t="str">
        <f>IFERROR(IF(DB_Customers!F477&lt;&gt;"",DB_Customers!F477,""),"")</f>
        <v/>
      </c>
      <c r="M483" s="222" t="str">
        <f>IFERROR(IF(DB_Customers!T477&lt;&gt;"",DB_Customers!T477,""),"")</f>
        <v/>
      </c>
      <c r="N483" s="221" t="str">
        <f>IFERROR(IF(DB_Customers!A477&lt;&gt;"",IF(DB_Customers!I477&gt;=10,"Active","Inactive"),""),"")</f>
        <v/>
      </c>
    </row>
    <row r="484" spans="1:14" ht="18" customHeight="1" x14ac:dyDescent="0.25">
      <c r="A484" s="216" t="str">
        <f>IF(DB_Customers!A478&lt;&gt;"",ROW()-9,"")</f>
        <v/>
      </c>
      <c r="B484" s="216" t="str">
        <f>IFERROR(IF(DB_Customers!A478&lt;&gt;"",DB_Customers!A478,""),"")</f>
        <v/>
      </c>
      <c r="C484" s="217" t="str">
        <f>IFERROR(IF(DB_Customers!D478&lt;&gt;"",DB_Customers!D478,""),"")</f>
        <v/>
      </c>
      <c r="D484" s="218" t="str">
        <f>IFERROR(IF(DB_Customers!Q478&lt;&gt;"",DB_Customers!Q478,""),"")</f>
        <v/>
      </c>
      <c r="E484" s="216" t="str">
        <f>IFERROR(IF(DB_Customers!R478&lt;&gt;"",DB_Customers!R478,""),"")</f>
        <v/>
      </c>
      <c r="F484" s="217" t="str">
        <f>IFERROR(IF(DB_Customers!S478&lt;&gt;"",DB_Customers!S478,""),"")</f>
        <v/>
      </c>
      <c r="G484" s="217" t="str">
        <f>IFERROR(IF(DB_Customers!G478&lt;&gt;"",DB_Customers!G478,""),"")</f>
        <v/>
      </c>
      <c r="H484" s="216" t="str">
        <f>IFERROR(IF(DB_Customers!H478&lt;&gt;"",DB_Customers!H478,""),"")</f>
        <v/>
      </c>
      <c r="I484" s="219" t="str">
        <f>IFERROR(IF(DB_Customers!I478&lt;&gt;"",DB_Customers!I478,""),"")</f>
        <v/>
      </c>
      <c r="J484" s="220" t="str">
        <f>IFERROR(IF(DB_Customers!J478&lt;&gt;"",DB_Customers!J478,""),"")</f>
        <v/>
      </c>
      <c r="K484" s="217" t="str">
        <f>IFERROR(IF(DB_Customers!E478&lt;&gt;"",DB_Customers!E478,""),"")</f>
        <v/>
      </c>
      <c r="L484" s="217" t="str">
        <f>IFERROR(IF(DB_Customers!F478&lt;&gt;"",DB_Customers!F478,""),"")</f>
        <v/>
      </c>
      <c r="M484" s="217" t="str">
        <f>IFERROR(IF(DB_Customers!T478&lt;&gt;"",DB_Customers!T478,""),"")</f>
        <v/>
      </c>
      <c r="N484" s="216" t="str">
        <f>IFERROR(IF(DB_Customers!A478&lt;&gt;"",IF(DB_Customers!I478&gt;=10,"Active","Inactive"),""),"")</f>
        <v/>
      </c>
    </row>
    <row r="485" spans="1:14" ht="18" customHeight="1" x14ac:dyDescent="0.25">
      <c r="A485" s="221" t="str">
        <f>IF(DB_Customers!A479&lt;&gt;"",ROW()-9,"")</f>
        <v/>
      </c>
      <c r="B485" s="221" t="str">
        <f>IFERROR(IF(DB_Customers!A479&lt;&gt;"",DB_Customers!A479,""),"")</f>
        <v/>
      </c>
      <c r="C485" s="222" t="str">
        <f>IFERROR(IF(DB_Customers!D479&lt;&gt;"",DB_Customers!D479,""),"")</f>
        <v/>
      </c>
      <c r="D485" s="223" t="str">
        <f>IFERROR(IF(DB_Customers!Q479&lt;&gt;"",DB_Customers!Q479,""),"")</f>
        <v/>
      </c>
      <c r="E485" s="221" t="str">
        <f>IFERROR(IF(DB_Customers!R479&lt;&gt;"",DB_Customers!R479,""),"")</f>
        <v/>
      </c>
      <c r="F485" s="222" t="str">
        <f>IFERROR(IF(DB_Customers!S479&lt;&gt;"",DB_Customers!S479,""),"")</f>
        <v/>
      </c>
      <c r="G485" s="222" t="str">
        <f>IFERROR(IF(DB_Customers!G479&lt;&gt;"",DB_Customers!G479,""),"")</f>
        <v/>
      </c>
      <c r="H485" s="221" t="str">
        <f>IFERROR(IF(DB_Customers!H479&lt;&gt;"",DB_Customers!H479,""),"")</f>
        <v/>
      </c>
      <c r="I485" s="224" t="str">
        <f>IFERROR(IF(DB_Customers!I479&lt;&gt;"",DB_Customers!I479,""),"")</f>
        <v/>
      </c>
      <c r="J485" s="225" t="str">
        <f>IFERROR(IF(DB_Customers!J479&lt;&gt;"",DB_Customers!J479,""),"")</f>
        <v/>
      </c>
      <c r="K485" s="222" t="str">
        <f>IFERROR(IF(DB_Customers!E479&lt;&gt;"",DB_Customers!E479,""),"")</f>
        <v/>
      </c>
      <c r="L485" s="222" t="str">
        <f>IFERROR(IF(DB_Customers!F479&lt;&gt;"",DB_Customers!F479,""),"")</f>
        <v/>
      </c>
      <c r="M485" s="222" t="str">
        <f>IFERROR(IF(DB_Customers!T479&lt;&gt;"",DB_Customers!T479,""),"")</f>
        <v/>
      </c>
      <c r="N485" s="221" t="str">
        <f>IFERROR(IF(DB_Customers!A479&lt;&gt;"",IF(DB_Customers!I479&gt;=10,"Active","Inactive"),""),"")</f>
        <v/>
      </c>
    </row>
    <row r="486" spans="1:14" ht="18" customHeight="1" x14ac:dyDescent="0.25">
      <c r="A486" s="216" t="str">
        <f>IF(DB_Customers!A480&lt;&gt;"",ROW()-9,"")</f>
        <v/>
      </c>
      <c r="B486" s="216" t="str">
        <f>IFERROR(IF(DB_Customers!A480&lt;&gt;"",DB_Customers!A480,""),"")</f>
        <v/>
      </c>
      <c r="C486" s="217" t="str">
        <f>IFERROR(IF(DB_Customers!D480&lt;&gt;"",DB_Customers!D480,""),"")</f>
        <v/>
      </c>
      <c r="D486" s="218" t="str">
        <f>IFERROR(IF(DB_Customers!Q480&lt;&gt;"",DB_Customers!Q480,""),"")</f>
        <v/>
      </c>
      <c r="E486" s="216" t="str">
        <f>IFERROR(IF(DB_Customers!R480&lt;&gt;"",DB_Customers!R480,""),"")</f>
        <v/>
      </c>
      <c r="F486" s="217" t="str">
        <f>IFERROR(IF(DB_Customers!S480&lt;&gt;"",DB_Customers!S480,""),"")</f>
        <v/>
      </c>
      <c r="G486" s="217" t="str">
        <f>IFERROR(IF(DB_Customers!G480&lt;&gt;"",DB_Customers!G480,""),"")</f>
        <v/>
      </c>
      <c r="H486" s="216" t="str">
        <f>IFERROR(IF(DB_Customers!H480&lt;&gt;"",DB_Customers!H480,""),"")</f>
        <v/>
      </c>
      <c r="I486" s="219" t="str">
        <f>IFERROR(IF(DB_Customers!I480&lt;&gt;"",DB_Customers!I480,""),"")</f>
        <v/>
      </c>
      <c r="J486" s="220" t="str">
        <f>IFERROR(IF(DB_Customers!J480&lt;&gt;"",DB_Customers!J480,""),"")</f>
        <v/>
      </c>
      <c r="K486" s="217" t="str">
        <f>IFERROR(IF(DB_Customers!E480&lt;&gt;"",DB_Customers!E480,""),"")</f>
        <v/>
      </c>
      <c r="L486" s="217" t="str">
        <f>IFERROR(IF(DB_Customers!F480&lt;&gt;"",DB_Customers!F480,""),"")</f>
        <v/>
      </c>
      <c r="M486" s="217" t="str">
        <f>IFERROR(IF(DB_Customers!T480&lt;&gt;"",DB_Customers!T480,""),"")</f>
        <v/>
      </c>
      <c r="N486" s="216" t="str">
        <f>IFERROR(IF(DB_Customers!A480&lt;&gt;"",IF(DB_Customers!I480&gt;=10,"Active","Inactive"),""),"")</f>
        <v/>
      </c>
    </row>
    <row r="487" spans="1:14" ht="18" customHeight="1" x14ac:dyDescent="0.25">
      <c r="A487" s="221" t="str">
        <f>IF(DB_Customers!A481&lt;&gt;"",ROW()-9,"")</f>
        <v/>
      </c>
      <c r="B487" s="221" t="str">
        <f>IFERROR(IF(DB_Customers!A481&lt;&gt;"",DB_Customers!A481,""),"")</f>
        <v/>
      </c>
      <c r="C487" s="222" t="str">
        <f>IFERROR(IF(DB_Customers!D481&lt;&gt;"",DB_Customers!D481,""),"")</f>
        <v/>
      </c>
      <c r="D487" s="223" t="str">
        <f>IFERROR(IF(DB_Customers!Q481&lt;&gt;"",DB_Customers!Q481,""),"")</f>
        <v/>
      </c>
      <c r="E487" s="221" t="str">
        <f>IFERROR(IF(DB_Customers!R481&lt;&gt;"",DB_Customers!R481,""),"")</f>
        <v/>
      </c>
      <c r="F487" s="222" t="str">
        <f>IFERROR(IF(DB_Customers!S481&lt;&gt;"",DB_Customers!S481,""),"")</f>
        <v/>
      </c>
      <c r="G487" s="222" t="str">
        <f>IFERROR(IF(DB_Customers!G481&lt;&gt;"",DB_Customers!G481,""),"")</f>
        <v/>
      </c>
      <c r="H487" s="221" t="str">
        <f>IFERROR(IF(DB_Customers!H481&lt;&gt;"",DB_Customers!H481,""),"")</f>
        <v/>
      </c>
      <c r="I487" s="224" t="str">
        <f>IFERROR(IF(DB_Customers!I481&lt;&gt;"",DB_Customers!I481,""),"")</f>
        <v/>
      </c>
      <c r="J487" s="225" t="str">
        <f>IFERROR(IF(DB_Customers!J481&lt;&gt;"",DB_Customers!J481,""),"")</f>
        <v/>
      </c>
      <c r="K487" s="222" t="str">
        <f>IFERROR(IF(DB_Customers!E481&lt;&gt;"",DB_Customers!E481,""),"")</f>
        <v/>
      </c>
      <c r="L487" s="222" t="str">
        <f>IFERROR(IF(DB_Customers!F481&lt;&gt;"",DB_Customers!F481,""),"")</f>
        <v/>
      </c>
      <c r="M487" s="222" t="str">
        <f>IFERROR(IF(DB_Customers!T481&lt;&gt;"",DB_Customers!T481,""),"")</f>
        <v/>
      </c>
      <c r="N487" s="221" t="str">
        <f>IFERROR(IF(DB_Customers!A481&lt;&gt;"",IF(DB_Customers!I481&gt;=10,"Active","Inactive"),""),"")</f>
        <v/>
      </c>
    </row>
    <row r="488" spans="1:14" ht="18" customHeight="1" x14ac:dyDescent="0.25">
      <c r="A488" s="216" t="str">
        <f>IF(DB_Customers!A482&lt;&gt;"",ROW()-9,"")</f>
        <v/>
      </c>
      <c r="B488" s="216" t="str">
        <f>IFERROR(IF(DB_Customers!A482&lt;&gt;"",DB_Customers!A482,""),"")</f>
        <v/>
      </c>
      <c r="C488" s="217" t="str">
        <f>IFERROR(IF(DB_Customers!D482&lt;&gt;"",DB_Customers!D482,""),"")</f>
        <v/>
      </c>
      <c r="D488" s="218" t="str">
        <f>IFERROR(IF(DB_Customers!Q482&lt;&gt;"",DB_Customers!Q482,""),"")</f>
        <v/>
      </c>
      <c r="E488" s="216" t="str">
        <f>IFERROR(IF(DB_Customers!R482&lt;&gt;"",DB_Customers!R482,""),"")</f>
        <v/>
      </c>
      <c r="F488" s="217" t="str">
        <f>IFERROR(IF(DB_Customers!S482&lt;&gt;"",DB_Customers!S482,""),"")</f>
        <v/>
      </c>
      <c r="G488" s="217" t="str">
        <f>IFERROR(IF(DB_Customers!G482&lt;&gt;"",DB_Customers!G482,""),"")</f>
        <v/>
      </c>
      <c r="H488" s="216" t="str">
        <f>IFERROR(IF(DB_Customers!H482&lt;&gt;"",DB_Customers!H482,""),"")</f>
        <v/>
      </c>
      <c r="I488" s="219" t="str">
        <f>IFERROR(IF(DB_Customers!I482&lt;&gt;"",DB_Customers!I482,""),"")</f>
        <v/>
      </c>
      <c r="J488" s="220" t="str">
        <f>IFERROR(IF(DB_Customers!J482&lt;&gt;"",DB_Customers!J482,""),"")</f>
        <v/>
      </c>
      <c r="K488" s="217" t="str">
        <f>IFERROR(IF(DB_Customers!E482&lt;&gt;"",DB_Customers!E482,""),"")</f>
        <v/>
      </c>
      <c r="L488" s="217" t="str">
        <f>IFERROR(IF(DB_Customers!F482&lt;&gt;"",DB_Customers!F482,""),"")</f>
        <v/>
      </c>
      <c r="M488" s="217" t="str">
        <f>IFERROR(IF(DB_Customers!T482&lt;&gt;"",DB_Customers!T482,""),"")</f>
        <v/>
      </c>
      <c r="N488" s="216" t="str">
        <f>IFERROR(IF(DB_Customers!A482&lt;&gt;"",IF(DB_Customers!I482&gt;=10,"Active","Inactive"),""),"")</f>
        <v/>
      </c>
    </row>
    <row r="489" spans="1:14" ht="18" customHeight="1" x14ac:dyDescent="0.25">
      <c r="A489" s="221" t="str">
        <f>IF(DB_Customers!A483&lt;&gt;"",ROW()-9,"")</f>
        <v/>
      </c>
      <c r="B489" s="221" t="str">
        <f>IFERROR(IF(DB_Customers!A483&lt;&gt;"",DB_Customers!A483,""),"")</f>
        <v/>
      </c>
      <c r="C489" s="222" t="str">
        <f>IFERROR(IF(DB_Customers!D483&lt;&gt;"",DB_Customers!D483,""),"")</f>
        <v/>
      </c>
      <c r="D489" s="223" t="str">
        <f>IFERROR(IF(DB_Customers!Q483&lt;&gt;"",DB_Customers!Q483,""),"")</f>
        <v/>
      </c>
      <c r="E489" s="221" t="str">
        <f>IFERROR(IF(DB_Customers!R483&lt;&gt;"",DB_Customers!R483,""),"")</f>
        <v/>
      </c>
      <c r="F489" s="222" t="str">
        <f>IFERROR(IF(DB_Customers!S483&lt;&gt;"",DB_Customers!S483,""),"")</f>
        <v/>
      </c>
      <c r="G489" s="222" t="str">
        <f>IFERROR(IF(DB_Customers!G483&lt;&gt;"",DB_Customers!G483,""),"")</f>
        <v/>
      </c>
      <c r="H489" s="221" t="str">
        <f>IFERROR(IF(DB_Customers!H483&lt;&gt;"",DB_Customers!H483,""),"")</f>
        <v/>
      </c>
      <c r="I489" s="224" t="str">
        <f>IFERROR(IF(DB_Customers!I483&lt;&gt;"",DB_Customers!I483,""),"")</f>
        <v/>
      </c>
      <c r="J489" s="225" t="str">
        <f>IFERROR(IF(DB_Customers!J483&lt;&gt;"",DB_Customers!J483,""),"")</f>
        <v/>
      </c>
      <c r="K489" s="222" t="str">
        <f>IFERROR(IF(DB_Customers!E483&lt;&gt;"",DB_Customers!E483,""),"")</f>
        <v/>
      </c>
      <c r="L489" s="222" t="str">
        <f>IFERROR(IF(DB_Customers!F483&lt;&gt;"",DB_Customers!F483,""),"")</f>
        <v/>
      </c>
      <c r="M489" s="222" t="str">
        <f>IFERROR(IF(DB_Customers!T483&lt;&gt;"",DB_Customers!T483,""),"")</f>
        <v/>
      </c>
      <c r="N489" s="221" t="str">
        <f>IFERROR(IF(DB_Customers!A483&lt;&gt;"",IF(DB_Customers!I483&gt;=10,"Active","Inactive"),""),"")</f>
        <v/>
      </c>
    </row>
    <row r="490" spans="1:14" ht="18" customHeight="1" x14ac:dyDescent="0.25">
      <c r="A490" s="216" t="str">
        <f>IF(DB_Customers!A484&lt;&gt;"",ROW()-9,"")</f>
        <v/>
      </c>
      <c r="B490" s="216" t="str">
        <f>IFERROR(IF(DB_Customers!A484&lt;&gt;"",DB_Customers!A484,""),"")</f>
        <v/>
      </c>
      <c r="C490" s="217" t="str">
        <f>IFERROR(IF(DB_Customers!D484&lt;&gt;"",DB_Customers!D484,""),"")</f>
        <v/>
      </c>
      <c r="D490" s="218" t="str">
        <f>IFERROR(IF(DB_Customers!Q484&lt;&gt;"",DB_Customers!Q484,""),"")</f>
        <v/>
      </c>
      <c r="E490" s="216" t="str">
        <f>IFERROR(IF(DB_Customers!R484&lt;&gt;"",DB_Customers!R484,""),"")</f>
        <v/>
      </c>
      <c r="F490" s="217" t="str">
        <f>IFERROR(IF(DB_Customers!S484&lt;&gt;"",DB_Customers!S484,""),"")</f>
        <v/>
      </c>
      <c r="G490" s="217" t="str">
        <f>IFERROR(IF(DB_Customers!G484&lt;&gt;"",DB_Customers!G484,""),"")</f>
        <v/>
      </c>
      <c r="H490" s="216" t="str">
        <f>IFERROR(IF(DB_Customers!H484&lt;&gt;"",DB_Customers!H484,""),"")</f>
        <v/>
      </c>
      <c r="I490" s="219" t="str">
        <f>IFERROR(IF(DB_Customers!I484&lt;&gt;"",DB_Customers!I484,""),"")</f>
        <v/>
      </c>
      <c r="J490" s="220" t="str">
        <f>IFERROR(IF(DB_Customers!J484&lt;&gt;"",DB_Customers!J484,""),"")</f>
        <v/>
      </c>
      <c r="K490" s="217" t="str">
        <f>IFERROR(IF(DB_Customers!E484&lt;&gt;"",DB_Customers!E484,""),"")</f>
        <v/>
      </c>
      <c r="L490" s="217" t="str">
        <f>IFERROR(IF(DB_Customers!F484&lt;&gt;"",DB_Customers!F484,""),"")</f>
        <v/>
      </c>
      <c r="M490" s="217" t="str">
        <f>IFERROR(IF(DB_Customers!T484&lt;&gt;"",DB_Customers!T484,""),"")</f>
        <v/>
      </c>
      <c r="N490" s="216" t="str">
        <f>IFERROR(IF(DB_Customers!A484&lt;&gt;"",IF(DB_Customers!I484&gt;=10,"Active","Inactive"),""),"")</f>
        <v/>
      </c>
    </row>
    <row r="491" spans="1:14" ht="18" customHeight="1" x14ac:dyDescent="0.25">
      <c r="A491" s="221" t="str">
        <f>IF(DB_Customers!A485&lt;&gt;"",ROW()-9,"")</f>
        <v/>
      </c>
      <c r="B491" s="221" t="str">
        <f>IFERROR(IF(DB_Customers!A485&lt;&gt;"",DB_Customers!A485,""),"")</f>
        <v/>
      </c>
      <c r="C491" s="222" t="str">
        <f>IFERROR(IF(DB_Customers!D485&lt;&gt;"",DB_Customers!D485,""),"")</f>
        <v/>
      </c>
      <c r="D491" s="223" t="str">
        <f>IFERROR(IF(DB_Customers!Q485&lt;&gt;"",DB_Customers!Q485,""),"")</f>
        <v/>
      </c>
      <c r="E491" s="221" t="str">
        <f>IFERROR(IF(DB_Customers!R485&lt;&gt;"",DB_Customers!R485,""),"")</f>
        <v/>
      </c>
      <c r="F491" s="222" t="str">
        <f>IFERROR(IF(DB_Customers!S485&lt;&gt;"",DB_Customers!S485,""),"")</f>
        <v/>
      </c>
      <c r="G491" s="222" t="str">
        <f>IFERROR(IF(DB_Customers!G485&lt;&gt;"",DB_Customers!G485,""),"")</f>
        <v/>
      </c>
      <c r="H491" s="221" t="str">
        <f>IFERROR(IF(DB_Customers!H485&lt;&gt;"",DB_Customers!H485,""),"")</f>
        <v/>
      </c>
      <c r="I491" s="224" t="str">
        <f>IFERROR(IF(DB_Customers!I485&lt;&gt;"",DB_Customers!I485,""),"")</f>
        <v/>
      </c>
      <c r="J491" s="225" t="str">
        <f>IFERROR(IF(DB_Customers!J485&lt;&gt;"",DB_Customers!J485,""),"")</f>
        <v/>
      </c>
      <c r="K491" s="222" t="str">
        <f>IFERROR(IF(DB_Customers!E485&lt;&gt;"",DB_Customers!E485,""),"")</f>
        <v/>
      </c>
      <c r="L491" s="222" t="str">
        <f>IFERROR(IF(DB_Customers!F485&lt;&gt;"",DB_Customers!F485,""),"")</f>
        <v/>
      </c>
      <c r="M491" s="222" t="str">
        <f>IFERROR(IF(DB_Customers!T485&lt;&gt;"",DB_Customers!T485,""),"")</f>
        <v/>
      </c>
      <c r="N491" s="221" t="str">
        <f>IFERROR(IF(DB_Customers!A485&lt;&gt;"",IF(DB_Customers!I485&gt;=10,"Active","Inactive"),""),"")</f>
        <v/>
      </c>
    </row>
    <row r="492" spans="1:14" ht="18" customHeight="1" x14ac:dyDescent="0.25">
      <c r="A492" s="216" t="str">
        <f>IF(DB_Customers!A486&lt;&gt;"",ROW()-9,"")</f>
        <v/>
      </c>
      <c r="B492" s="216" t="str">
        <f>IFERROR(IF(DB_Customers!A486&lt;&gt;"",DB_Customers!A486,""),"")</f>
        <v/>
      </c>
      <c r="C492" s="217" t="str">
        <f>IFERROR(IF(DB_Customers!D486&lt;&gt;"",DB_Customers!D486,""),"")</f>
        <v/>
      </c>
      <c r="D492" s="218" t="str">
        <f>IFERROR(IF(DB_Customers!Q486&lt;&gt;"",DB_Customers!Q486,""),"")</f>
        <v/>
      </c>
      <c r="E492" s="216" t="str">
        <f>IFERROR(IF(DB_Customers!R486&lt;&gt;"",DB_Customers!R486,""),"")</f>
        <v/>
      </c>
      <c r="F492" s="217" t="str">
        <f>IFERROR(IF(DB_Customers!S486&lt;&gt;"",DB_Customers!S486,""),"")</f>
        <v/>
      </c>
      <c r="G492" s="217" t="str">
        <f>IFERROR(IF(DB_Customers!G486&lt;&gt;"",DB_Customers!G486,""),"")</f>
        <v/>
      </c>
      <c r="H492" s="216" t="str">
        <f>IFERROR(IF(DB_Customers!H486&lt;&gt;"",DB_Customers!H486,""),"")</f>
        <v/>
      </c>
      <c r="I492" s="219" t="str">
        <f>IFERROR(IF(DB_Customers!I486&lt;&gt;"",DB_Customers!I486,""),"")</f>
        <v/>
      </c>
      <c r="J492" s="220" t="str">
        <f>IFERROR(IF(DB_Customers!J486&lt;&gt;"",DB_Customers!J486,""),"")</f>
        <v/>
      </c>
      <c r="K492" s="217" t="str">
        <f>IFERROR(IF(DB_Customers!E486&lt;&gt;"",DB_Customers!E486,""),"")</f>
        <v/>
      </c>
      <c r="L492" s="217" t="str">
        <f>IFERROR(IF(DB_Customers!F486&lt;&gt;"",DB_Customers!F486,""),"")</f>
        <v/>
      </c>
      <c r="M492" s="217" t="str">
        <f>IFERROR(IF(DB_Customers!T486&lt;&gt;"",DB_Customers!T486,""),"")</f>
        <v/>
      </c>
      <c r="N492" s="216" t="str">
        <f>IFERROR(IF(DB_Customers!A486&lt;&gt;"",IF(DB_Customers!I486&gt;=10,"Active","Inactive"),""),"")</f>
        <v/>
      </c>
    </row>
    <row r="493" spans="1:14" ht="18" customHeight="1" x14ac:dyDescent="0.25">
      <c r="A493" s="221" t="str">
        <f>IF(DB_Customers!A487&lt;&gt;"",ROW()-9,"")</f>
        <v/>
      </c>
      <c r="B493" s="221" t="str">
        <f>IFERROR(IF(DB_Customers!A487&lt;&gt;"",DB_Customers!A487,""),"")</f>
        <v/>
      </c>
      <c r="C493" s="222" t="str">
        <f>IFERROR(IF(DB_Customers!D487&lt;&gt;"",DB_Customers!D487,""),"")</f>
        <v/>
      </c>
      <c r="D493" s="223" t="str">
        <f>IFERROR(IF(DB_Customers!Q487&lt;&gt;"",DB_Customers!Q487,""),"")</f>
        <v/>
      </c>
      <c r="E493" s="221" t="str">
        <f>IFERROR(IF(DB_Customers!R487&lt;&gt;"",DB_Customers!R487,""),"")</f>
        <v/>
      </c>
      <c r="F493" s="222" t="str">
        <f>IFERROR(IF(DB_Customers!S487&lt;&gt;"",DB_Customers!S487,""),"")</f>
        <v/>
      </c>
      <c r="G493" s="222" t="str">
        <f>IFERROR(IF(DB_Customers!G487&lt;&gt;"",DB_Customers!G487,""),"")</f>
        <v/>
      </c>
      <c r="H493" s="221" t="str">
        <f>IFERROR(IF(DB_Customers!H487&lt;&gt;"",DB_Customers!H487,""),"")</f>
        <v/>
      </c>
      <c r="I493" s="224" t="str">
        <f>IFERROR(IF(DB_Customers!I487&lt;&gt;"",DB_Customers!I487,""),"")</f>
        <v/>
      </c>
      <c r="J493" s="225" t="str">
        <f>IFERROR(IF(DB_Customers!J487&lt;&gt;"",DB_Customers!J487,""),"")</f>
        <v/>
      </c>
      <c r="K493" s="222" t="str">
        <f>IFERROR(IF(DB_Customers!E487&lt;&gt;"",DB_Customers!E487,""),"")</f>
        <v/>
      </c>
      <c r="L493" s="222" t="str">
        <f>IFERROR(IF(DB_Customers!F487&lt;&gt;"",DB_Customers!F487,""),"")</f>
        <v/>
      </c>
      <c r="M493" s="222" t="str">
        <f>IFERROR(IF(DB_Customers!T487&lt;&gt;"",DB_Customers!T487,""),"")</f>
        <v/>
      </c>
      <c r="N493" s="221" t="str">
        <f>IFERROR(IF(DB_Customers!A487&lt;&gt;"",IF(DB_Customers!I487&gt;=10,"Active","Inactive"),""),"")</f>
        <v/>
      </c>
    </row>
    <row r="494" spans="1:14" ht="18" customHeight="1" x14ac:dyDescent="0.25">
      <c r="A494" s="216" t="str">
        <f>IF(DB_Customers!A488&lt;&gt;"",ROW()-9,"")</f>
        <v/>
      </c>
      <c r="B494" s="216" t="str">
        <f>IFERROR(IF(DB_Customers!A488&lt;&gt;"",DB_Customers!A488,""),"")</f>
        <v/>
      </c>
      <c r="C494" s="217" t="str">
        <f>IFERROR(IF(DB_Customers!D488&lt;&gt;"",DB_Customers!D488,""),"")</f>
        <v/>
      </c>
      <c r="D494" s="218" t="str">
        <f>IFERROR(IF(DB_Customers!Q488&lt;&gt;"",DB_Customers!Q488,""),"")</f>
        <v/>
      </c>
      <c r="E494" s="216" t="str">
        <f>IFERROR(IF(DB_Customers!R488&lt;&gt;"",DB_Customers!R488,""),"")</f>
        <v/>
      </c>
      <c r="F494" s="217" t="str">
        <f>IFERROR(IF(DB_Customers!S488&lt;&gt;"",DB_Customers!S488,""),"")</f>
        <v/>
      </c>
      <c r="G494" s="217" t="str">
        <f>IFERROR(IF(DB_Customers!G488&lt;&gt;"",DB_Customers!G488,""),"")</f>
        <v/>
      </c>
      <c r="H494" s="216" t="str">
        <f>IFERROR(IF(DB_Customers!H488&lt;&gt;"",DB_Customers!H488,""),"")</f>
        <v/>
      </c>
      <c r="I494" s="219" t="str">
        <f>IFERROR(IF(DB_Customers!I488&lt;&gt;"",DB_Customers!I488,""),"")</f>
        <v/>
      </c>
      <c r="J494" s="220" t="str">
        <f>IFERROR(IF(DB_Customers!J488&lt;&gt;"",DB_Customers!J488,""),"")</f>
        <v/>
      </c>
      <c r="K494" s="217" t="str">
        <f>IFERROR(IF(DB_Customers!E488&lt;&gt;"",DB_Customers!E488,""),"")</f>
        <v/>
      </c>
      <c r="L494" s="217" t="str">
        <f>IFERROR(IF(DB_Customers!F488&lt;&gt;"",DB_Customers!F488,""),"")</f>
        <v/>
      </c>
      <c r="M494" s="217" t="str">
        <f>IFERROR(IF(DB_Customers!T488&lt;&gt;"",DB_Customers!T488,""),"")</f>
        <v/>
      </c>
      <c r="N494" s="216" t="str">
        <f>IFERROR(IF(DB_Customers!A488&lt;&gt;"",IF(DB_Customers!I488&gt;=10,"Active","Inactive"),""),"")</f>
        <v/>
      </c>
    </row>
    <row r="495" spans="1:14" ht="18" customHeight="1" x14ac:dyDescent="0.25">
      <c r="A495" s="221" t="str">
        <f>IF(DB_Customers!A489&lt;&gt;"",ROW()-9,"")</f>
        <v/>
      </c>
      <c r="B495" s="221" t="str">
        <f>IFERROR(IF(DB_Customers!A489&lt;&gt;"",DB_Customers!A489,""),"")</f>
        <v/>
      </c>
      <c r="C495" s="222" t="str">
        <f>IFERROR(IF(DB_Customers!D489&lt;&gt;"",DB_Customers!D489,""),"")</f>
        <v/>
      </c>
      <c r="D495" s="223" t="str">
        <f>IFERROR(IF(DB_Customers!Q489&lt;&gt;"",DB_Customers!Q489,""),"")</f>
        <v/>
      </c>
      <c r="E495" s="221" t="str">
        <f>IFERROR(IF(DB_Customers!R489&lt;&gt;"",DB_Customers!R489,""),"")</f>
        <v/>
      </c>
      <c r="F495" s="222" t="str">
        <f>IFERROR(IF(DB_Customers!S489&lt;&gt;"",DB_Customers!S489,""),"")</f>
        <v/>
      </c>
      <c r="G495" s="222" t="str">
        <f>IFERROR(IF(DB_Customers!G489&lt;&gt;"",DB_Customers!G489,""),"")</f>
        <v/>
      </c>
      <c r="H495" s="221" t="str">
        <f>IFERROR(IF(DB_Customers!H489&lt;&gt;"",DB_Customers!H489,""),"")</f>
        <v/>
      </c>
      <c r="I495" s="224" t="str">
        <f>IFERROR(IF(DB_Customers!I489&lt;&gt;"",DB_Customers!I489,""),"")</f>
        <v/>
      </c>
      <c r="J495" s="225" t="str">
        <f>IFERROR(IF(DB_Customers!J489&lt;&gt;"",DB_Customers!J489,""),"")</f>
        <v/>
      </c>
      <c r="K495" s="222" t="str">
        <f>IFERROR(IF(DB_Customers!E489&lt;&gt;"",DB_Customers!E489,""),"")</f>
        <v/>
      </c>
      <c r="L495" s="222" t="str">
        <f>IFERROR(IF(DB_Customers!F489&lt;&gt;"",DB_Customers!F489,""),"")</f>
        <v/>
      </c>
      <c r="M495" s="222" t="str">
        <f>IFERROR(IF(DB_Customers!T489&lt;&gt;"",DB_Customers!T489,""),"")</f>
        <v/>
      </c>
      <c r="N495" s="221" t="str">
        <f>IFERROR(IF(DB_Customers!A489&lt;&gt;"",IF(DB_Customers!I489&gt;=10,"Active","Inactive"),""),"")</f>
        <v/>
      </c>
    </row>
    <row r="496" spans="1:14" ht="18" customHeight="1" x14ac:dyDescent="0.25">
      <c r="A496" s="216" t="str">
        <f>IF(DB_Customers!A490&lt;&gt;"",ROW()-9,"")</f>
        <v/>
      </c>
      <c r="B496" s="216" t="str">
        <f>IFERROR(IF(DB_Customers!A490&lt;&gt;"",DB_Customers!A490,""),"")</f>
        <v/>
      </c>
      <c r="C496" s="217" t="str">
        <f>IFERROR(IF(DB_Customers!D490&lt;&gt;"",DB_Customers!D490,""),"")</f>
        <v/>
      </c>
      <c r="D496" s="218" t="str">
        <f>IFERROR(IF(DB_Customers!Q490&lt;&gt;"",DB_Customers!Q490,""),"")</f>
        <v/>
      </c>
      <c r="E496" s="216" t="str">
        <f>IFERROR(IF(DB_Customers!R490&lt;&gt;"",DB_Customers!R490,""),"")</f>
        <v/>
      </c>
      <c r="F496" s="217" t="str">
        <f>IFERROR(IF(DB_Customers!S490&lt;&gt;"",DB_Customers!S490,""),"")</f>
        <v/>
      </c>
      <c r="G496" s="217" t="str">
        <f>IFERROR(IF(DB_Customers!G490&lt;&gt;"",DB_Customers!G490,""),"")</f>
        <v/>
      </c>
      <c r="H496" s="216" t="str">
        <f>IFERROR(IF(DB_Customers!H490&lt;&gt;"",DB_Customers!H490,""),"")</f>
        <v/>
      </c>
      <c r="I496" s="219" t="str">
        <f>IFERROR(IF(DB_Customers!I490&lt;&gt;"",DB_Customers!I490,""),"")</f>
        <v/>
      </c>
      <c r="J496" s="220" t="str">
        <f>IFERROR(IF(DB_Customers!J490&lt;&gt;"",DB_Customers!J490,""),"")</f>
        <v/>
      </c>
      <c r="K496" s="217" t="str">
        <f>IFERROR(IF(DB_Customers!E490&lt;&gt;"",DB_Customers!E490,""),"")</f>
        <v/>
      </c>
      <c r="L496" s="217" t="str">
        <f>IFERROR(IF(DB_Customers!F490&lt;&gt;"",DB_Customers!F490,""),"")</f>
        <v/>
      </c>
      <c r="M496" s="217" t="str">
        <f>IFERROR(IF(DB_Customers!T490&lt;&gt;"",DB_Customers!T490,""),"")</f>
        <v/>
      </c>
      <c r="N496" s="216" t="str">
        <f>IFERROR(IF(DB_Customers!A490&lt;&gt;"",IF(DB_Customers!I490&gt;=10,"Active","Inactive"),""),"")</f>
        <v/>
      </c>
    </row>
    <row r="497" spans="1:14" ht="18" customHeight="1" x14ac:dyDescent="0.25">
      <c r="A497" s="221" t="str">
        <f>IF(DB_Customers!A491&lt;&gt;"",ROW()-9,"")</f>
        <v/>
      </c>
      <c r="B497" s="221" t="str">
        <f>IFERROR(IF(DB_Customers!A491&lt;&gt;"",DB_Customers!A491,""),"")</f>
        <v/>
      </c>
      <c r="C497" s="222" t="str">
        <f>IFERROR(IF(DB_Customers!D491&lt;&gt;"",DB_Customers!D491,""),"")</f>
        <v/>
      </c>
      <c r="D497" s="223" t="str">
        <f>IFERROR(IF(DB_Customers!Q491&lt;&gt;"",DB_Customers!Q491,""),"")</f>
        <v/>
      </c>
      <c r="E497" s="221" t="str">
        <f>IFERROR(IF(DB_Customers!R491&lt;&gt;"",DB_Customers!R491,""),"")</f>
        <v/>
      </c>
      <c r="F497" s="222" t="str">
        <f>IFERROR(IF(DB_Customers!S491&lt;&gt;"",DB_Customers!S491,""),"")</f>
        <v/>
      </c>
      <c r="G497" s="222" t="str">
        <f>IFERROR(IF(DB_Customers!G491&lt;&gt;"",DB_Customers!G491,""),"")</f>
        <v/>
      </c>
      <c r="H497" s="221" t="str">
        <f>IFERROR(IF(DB_Customers!H491&lt;&gt;"",DB_Customers!H491,""),"")</f>
        <v/>
      </c>
      <c r="I497" s="224" t="str">
        <f>IFERROR(IF(DB_Customers!I491&lt;&gt;"",DB_Customers!I491,""),"")</f>
        <v/>
      </c>
      <c r="J497" s="225" t="str">
        <f>IFERROR(IF(DB_Customers!J491&lt;&gt;"",DB_Customers!J491,""),"")</f>
        <v/>
      </c>
      <c r="K497" s="222" t="str">
        <f>IFERROR(IF(DB_Customers!E491&lt;&gt;"",DB_Customers!E491,""),"")</f>
        <v/>
      </c>
      <c r="L497" s="222" t="str">
        <f>IFERROR(IF(DB_Customers!F491&lt;&gt;"",DB_Customers!F491,""),"")</f>
        <v/>
      </c>
      <c r="M497" s="222" t="str">
        <f>IFERROR(IF(DB_Customers!T491&lt;&gt;"",DB_Customers!T491,""),"")</f>
        <v/>
      </c>
      <c r="N497" s="221" t="str">
        <f>IFERROR(IF(DB_Customers!A491&lt;&gt;"",IF(DB_Customers!I491&gt;=10,"Active","Inactive"),""),"")</f>
        <v/>
      </c>
    </row>
    <row r="498" spans="1:14" ht="18" customHeight="1" x14ac:dyDescent="0.25">
      <c r="A498" s="216" t="str">
        <f>IF(DB_Customers!A492&lt;&gt;"",ROW()-9,"")</f>
        <v/>
      </c>
      <c r="B498" s="216" t="str">
        <f>IFERROR(IF(DB_Customers!A492&lt;&gt;"",DB_Customers!A492,""),"")</f>
        <v/>
      </c>
      <c r="C498" s="217" t="str">
        <f>IFERROR(IF(DB_Customers!D492&lt;&gt;"",DB_Customers!D492,""),"")</f>
        <v/>
      </c>
      <c r="D498" s="218" t="str">
        <f>IFERROR(IF(DB_Customers!Q492&lt;&gt;"",DB_Customers!Q492,""),"")</f>
        <v/>
      </c>
      <c r="E498" s="216" t="str">
        <f>IFERROR(IF(DB_Customers!R492&lt;&gt;"",DB_Customers!R492,""),"")</f>
        <v/>
      </c>
      <c r="F498" s="217" t="str">
        <f>IFERROR(IF(DB_Customers!S492&lt;&gt;"",DB_Customers!S492,""),"")</f>
        <v/>
      </c>
      <c r="G498" s="217" t="str">
        <f>IFERROR(IF(DB_Customers!G492&lt;&gt;"",DB_Customers!G492,""),"")</f>
        <v/>
      </c>
      <c r="H498" s="216" t="str">
        <f>IFERROR(IF(DB_Customers!H492&lt;&gt;"",DB_Customers!H492,""),"")</f>
        <v/>
      </c>
      <c r="I498" s="219" t="str">
        <f>IFERROR(IF(DB_Customers!I492&lt;&gt;"",DB_Customers!I492,""),"")</f>
        <v/>
      </c>
      <c r="J498" s="220" t="str">
        <f>IFERROR(IF(DB_Customers!J492&lt;&gt;"",DB_Customers!J492,""),"")</f>
        <v/>
      </c>
      <c r="K498" s="217" t="str">
        <f>IFERROR(IF(DB_Customers!E492&lt;&gt;"",DB_Customers!E492,""),"")</f>
        <v/>
      </c>
      <c r="L498" s="217" t="str">
        <f>IFERROR(IF(DB_Customers!F492&lt;&gt;"",DB_Customers!F492,""),"")</f>
        <v/>
      </c>
      <c r="M498" s="217" t="str">
        <f>IFERROR(IF(DB_Customers!T492&lt;&gt;"",DB_Customers!T492,""),"")</f>
        <v/>
      </c>
      <c r="N498" s="216" t="str">
        <f>IFERROR(IF(DB_Customers!A492&lt;&gt;"",IF(DB_Customers!I492&gt;=10,"Active","Inactive"),""),"")</f>
        <v/>
      </c>
    </row>
    <row r="499" spans="1:14" ht="18" customHeight="1" x14ac:dyDescent="0.25">
      <c r="A499" s="221" t="str">
        <f>IF(DB_Customers!A493&lt;&gt;"",ROW()-9,"")</f>
        <v/>
      </c>
      <c r="B499" s="221" t="str">
        <f>IFERROR(IF(DB_Customers!A493&lt;&gt;"",DB_Customers!A493,""),"")</f>
        <v/>
      </c>
      <c r="C499" s="222" t="str">
        <f>IFERROR(IF(DB_Customers!D493&lt;&gt;"",DB_Customers!D493,""),"")</f>
        <v/>
      </c>
      <c r="D499" s="223" t="str">
        <f>IFERROR(IF(DB_Customers!Q493&lt;&gt;"",DB_Customers!Q493,""),"")</f>
        <v/>
      </c>
      <c r="E499" s="221" t="str">
        <f>IFERROR(IF(DB_Customers!R493&lt;&gt;"",DB_Customers!R493,""),"")</f>
        <v/>
      </c>
      <c r="F499" s="222" t="str">
        <f>IFERROR(IF(DB_Customers!S493&lt;&gt;"",DB_Customers!S493,""),"")</f>
        <v/>
      </c>
      <c r="G499" s="222" t="str">
        <f>IFERROR(IF(DB_Customers!G493&lt;&gt;"",DB_Customers!G493,""),"")</f>
        <v/>
      </c>
      <c r="H499" s="221" t="str">
        <f>IFERROR(IF(DB_Customers!H493&lt;&gt;"",DB_Customers!H493,""),"")</f>
        <v/>
      </c>
      <c r="I499" s="224" t="str">
        <f>IFERROR(IF(DB_Customers!I493&lt;&gt;"",DB_Customers!I493,""),"")</f>
        <v/>
      </c>
      <c r="J499" s="225" t="str">
        <f>IFERROR(IF(DB_Customers!J493&lt;&gt;"",DB_Customers!J493,""),"")</f>
        <v/>
      </c>
      <c r="K499" s="222" t="str">
        <f>IFERROR(IF(DB_Customers!E493&lt;&gt;"",DB_Customers!E493,""),"")</f>
        <v/>
      </c>
      <c r="L499" s="222" t="str">
        <f>IFERROR(IF(DB_Customers!F493&lt;&gt;"",DB_Customers!F493,""),"")</f>
        <v/>
      </c>
      <c r="M499" s="222" t="str">
        <f>IFERROR(IF(DB_Customers!T493&lt;&gt;"",DB_Customers!T493,""),"")</f>
        <v/>
      </c>
      <c r="N499" s="221" t="str">
        <f>IFERROR(IF(DB_Customers!A493&lt;&gt;"",IF(DB_Customers!I493&gt;=10,"Active","Inactive"),""),"")</f>
        <v/>
      </c>
    </row>
    <row r="500" spans="1:14" ht="18" customHeight="1" x14ac:dyDescent="0.25">
      <c r="A500" s="216" t="str">
        <f>IF(DB_Customers!A494&lt;&gt;"",ROW()-9,"")</f>
        <v/>
      </c>
      <c r="B500" s="216" t="str">
        <f>IFERROR(IF(DB_Customers!A494&lt;&gt;"",DB_Customers!A494,""),"")</f>
        <v/>
      </c>
      <c r="C500" s="217" t="str">
        <f>IFERROR(IF(DB_Customers!D494&lt;&gt;"",DB_Customers!D494,""),"")</f>
        <v/>
      </c>
      <c r="D500" s="218" t="str">
        <f>IFERROR(IF(DB_Customers!Q494&lt;&gt;"",DB_Customers!Q494,""),"")</f>
        <v/>
      </c>
      <c r="E500" s="216" t="str">
        <f>IFERROR(IF(DB_Customers!R494&lt;&gt;"",DB_Customers!R494,""),"")</f>
        <v/>
      </c>
      <c r="F500" s="217" t="str">
        <f>IFERROR(IF(DB_Customers!S494&lt;&gt;"",DB_Customers!S494,""),"")</f>
        <v/>
      </c>
      <c r="G500" s="217" t="str">
        <f>IFERROR(IF(DB_Customers!G494&lt;&gt;"",DB_Customers!G494,""),"")</f>
        <v/>
      </c>
      <c r="H500" s="216" t="str">
        <f>IFERROR(IF(DB_Customers!H494&lt;&gt;"",DB_Customers!H494,""),"")</f>
        <v/>
      </c>
      <c r="I500" s="219" t="str">
        <f>IFERROR(IF(DB_Customers!I494&lt;&gt;"",DB_Customers!I494,""),"")</f>
        <v/>
      </c>
      <c r="J500" s="220" t="str">
        <f>IFERROR(IF(DB_Customers!J494&lt;&gt;"",DB_Customers!J494,""),"")</f>
        <v/>
      </c>
      <c r="K500" s="217" t="str">
        <f>IFERROR(IF(DB_Customers!E494&lt;&gt;"",DB_Customers!E494,""),"")</f>
        <v/>
      </c>
      <c r="L500" s="217" t="str">
        <f>IFERROR(IF(DB_Customers!F494&lt;&gt;"",DB_Customers!F494,""),"")</f>
        <v/>
      </c>
      <c r="M500" s="217" t="str">
        <f>IFERROR(IF(DB_Customers!T494&lt;&gt;"",DB_Customers!T494,""),"")</f>
        <v/>
      </c>
      <c r="N500" s="216" t="str">
        <f>IFERROR(IF(DB_Customers!A494&lt;&gt;"",IF(DB_Customers!I494&gt;=10,"Active","Inactive"),""),"")</f>
        <v/>
      </c>
    </row>
    <row r="501" spans="1:14" ht="18" customHeight="1" x14ac:dyDescent="0.25">
      <c r="A501" s="221" t="str">
        <f>IF(DB_Customers!A495&lt;&gt;"",ROW()-9,"")</f>
        <v/>
      </c>
      <c r="B501" s="221" t="str">
        <f>IFERROR(IF(DB_Customers!A495&lt;&gt;"",DB_Customers!A495,""),"")</f>
        <v/>
      </c>
      <c r="C501" s="222" t="str">
        <f>IFERROR(IF(DB_Customers!D495&lt;&gt;"",DB_Customers!D495,""),"")</f>
        <v/>
      </c>
      <c r="D501" s="223" t="str">
        <f>IFERROR(IF(DB_Customers!Q495&lt;&gt;"",DB_Customers!Q495,""),"")</f>
        <v/>
      </c>
      <c r="E501" s="221" t="str">
        <f>IFERROR(IF(DB_Customers!R495&lt;&gt;"",DB_Customers!R495,""),"")</f>
        <v/>
      </c>
      <c r="F501" s="222" t="str">
        <f>IFERROR(IF(DB_Customers!S495&lt;&gt;"",DB_Customers!S495,""),"")</f>
        <v/>
      </c>
      <c r="G501" s="222" t="str">
        <f>IFERROR(IF(DB_Customers!G495&lt;&gt;"",DB_Customers!G495,""),"")</f>
        <v/>
      </c>
      <c r="H501" s="221" t="str">
        <f>IFERROR(IF(DB_Customers!H495&lt;&gt;"",DB_Customers!H495,""),"")</f>
        <v/>
      </c>
      <c r="I501" s="224" t="str">
        <f>IFERROR(IF(DB_Customers!I495&lt;&gt;"",DB_Customers!I495,""),"")</f>
        <v/>
      </c>
      <c r="J501" s="225" t="str">
        <f>IFERROR(IF(DB_Customers!J495&lt;&gt;"",DB_Customers!J495,""),"")</f>
        <v/>
      </c>
      <c r="K501" s="222" t="str">
        <f>IFERROR(IF(DB_Customers!E495&lt;&gt;"",DB_Customers!E495,""),"")</f>
        <v/>
      </c>
      <c r="L501" s="222" t="str">
        <f>IFERROR(IF(DB_Customers!F495&lt;&gt;"",DB_Customers!F495,""),"")</f>
        <v/>
      </c>
      <c r="M501" s="222" t="str">
        <f>IFERROR(IF(DB_Customers!T495&lt;&gt;"",DB_Customers!T495,""),"")</f>
        <v/>
      </c>
      <c r="N501" s="221" t="str">
        <f>IFERROR(IF(DB_Customers!A495&lt;&gt;"",IF(DB_Customers!I495&gt;=10,"Active","Inactive"),""),"")</f>
        <v/>
      </c>
    </row>
    <row r="502" spans="1:14" ht="18" customHeight="1" x14ac:dyDescent="0.25">
      <c r="A502" s="216" t="str">
        <f>IF(DB_Customers!A496&lt;&gt;"",ROW()-9,"")</f>
        <v/>
      </c>
      <c r="B502" s="216" t="str">
        <f>IFERROR(IF(DB_Customers!A496&lt;&gt;"",DB_Customers!A496,""),"")</f>
        <v/>
      </c>
      <c r="C502" s="217" t="str">
        <f>IFERROR(IF(DB_Customers!D496&lt;&gt;"",DB_Customers!D496,""),"")</f>
        <v/>
      </c>
      <c r="D502" s="218" t="str">
        <f>IFERROR(IF(DB_Customers!Q496&lt;&gt;"",DB_Customers!Q496,""),"")</f>
        <v/>
      </c>
      <c r="E502" s="216" t="str">
        <f>IFERROR(IF(DB_Customers!R496&lt;&gt;"",DB_Customers!R496,""),"")</f>
        <v/>
      </c>
      <c r="F502" s="217" t="str">
        <f>IFERROR(IF(DB_Customers!S496&lt;&gt;"",DB_Customers!S496,""),"")</f>
        <v/>
      </c>
      <c r="G502" s="217" t="str">
        <f>IFERROR(IF(DB_Customers!G496&lt;&gt;"",DB_Customers!G496,""),"")</f>
        <v/>
      </c>
      <c r="H502" s="216" t="str">
        <f>IFERROR(IF(DB_Customers!H496&lt;&gt;"",DB_Customers!H496,""),"")</f>
        <v/>
      </c>
      <c r="I502" s="219" t="str">
        <f>IFERROR(IF(DB_Customers!I496&lt;&gt;"",DB_Customers!I496,""),"")</f>
        <v/>
      </c>
      <c r="J502" s="220" t="str">
        <f>IFERROR(IF(DB_Customers!J496&lt;&gt;"",DB_Customers!J496,""),"")</f>
        <v/>
      </c>
      <c r="K502" s="217" t="str">
        <f>IFERROR(IF(DB_Customers!E496&lt;&gt;"",DB_Customers!E496,""),"")</f>
        <v/>
      </c>
      <c r="L502" s="217" t="str">
        <f>IFERROR(IF(DB_Customers!F496&lt;&gt;"",DB_Customers!F496,""),"")</f>
        <v/>
      </c>
      <c r="M502" s="217" t="str">
        <f>IFERROR(IF(DB_Customers!T496&lt;&gt;"",DB_Customers!T496,""),"")</f>
        <v/>
      </c>
      <c r="N502" s="216" t="str">
        <f>IFERROR(IF(DB_Customers!A496&lt;&gt;"",IF(DB_Customers!I496&gt;=10,"Active","Inactive"),""),"")</f>
        <v/>
      </c>
    </row>
    <row r="503" spans="1:14" ht="18" customHeight="1" x14ac:dyDescent="0.25">
      <c r="A503" s="221" t="str">
        <f>IF(DB_Customers!A497&lt;&gt;"",ROW()-9,"")</f>
        <v/>
      </c>
      <c r="B503" s="221" t="str">
        <f>IFERROR(IF(DB_Customers!A497&lt;&gt;"",DB_Customers!A497,""),"")</f>
        <v/>
      </c>
      <c r="C503" s="222" t="str">
        <f>IFERROR(IF(DB_Customers!D497&lt;&gt;"",DB_Customers!D497,""),"")</f>
        <v/>
      </c>
      <c r="D503" s="223" t="str">
        <f>IFERROR(IF(DB_Customers!Q497&lt;&gt;"",DB_Customers!Q497,""),"")</f>
        <v/>
      </c>
      <c r="E503" s="221" t="str">
        <f>IFERROR(IF(DB_Customers!R497&lt;&gt;"",DB_Customers!R497,""),"")</f>
        <v/>
      </c>
      <c r="F503" s="222" t="str">
        <f>IFERROR(IF(DB_Customers!S497&lt;&gt;"",DB_Customers!S497,""),"")</f>
        <v/>
      </c>
      <c r="G503" s="222" t="str">
        <f>IFERROR(IF(DB_Customers!G497&lt;&gt;"",DB_Customers!G497,""),"")</f>
        <v/>
      </c>
      <c r="H503" s="221" t="str">
        <f>IFERROR(IF(DB_Customers!H497&lt;&gt;"",DB_Customers!H497,""),"")</f>
        <v/>
      </c>
      <c r="I503" s="224" t="str">
        <f>IFERROR(IF(DB_Customers!I497&lt;&gt;"",DB_Customers!I497,""),"")</f>
        <v/>
      </c>
      <c r="J503" s="225" t="str">
        <f>IFERROR(IF(DB_Customers!J497&lt;&gt;"",DB_Customers!J497,""),"")</f>
        <v/>
      </c>
      <c r="K503" s="222" t="str">
        <f>IFERROR(IF(DB_Customers!E497&lt;&gt;"",DB_Customers!E497,""),"")</f>
        <v/>
      </c>
      <c r="L503" s="222" t="str">
        <f>IFERROR(IF(DB_Customers!F497&lt;&gt;"",DB_Customers!F497,""),"")</f>
        <v/>
      </c>
      <c r="M503" s="222" t="str">
        <f>IFERROR(IF(DB_Customers!T497&lt;&gt;"",DB_Customers!T497,""),"")</f>
        <v/>
      </c>
      <c r="N503" s="221" t="str">
        <f>IFERROR(IF(DB_Customers!A497&lt;&gt;"",IF(DB_Customers!I497&gt;=10,"Active","Inactive"),""),"")</f>
        <v/>
      </c>
    </row>
    <row r="504" spans="1:14" ht="18" customHeight="1" x14ac:dyDescent="0.25">
      <c r="A504" s="216" t="str">
        <f>IF(DB_Customers!A498&lt;&gt;"",ROW()-9,"")</f>
        <v/>
      </c>
      <c r="B504" s="216" t="str">
        <f>IFERROR(IF(DB_Customers!A498&lt;&gt;"",DB_Customers!A498,""),"")</f>
        <v/>
      </c>
      <c r="C504" s="217" t="str">
        <f>IFERROR(IF(DB_Customers!D498&lt;&gt;"",DB_Customers!D498,""),"")</f>
        <v/>
      </c>
      <c r="D504" s="218" t="str">
        <f>IFERROR(IF(DB_Customers!Q498&lt;&gt;"",DB_Customers!Q498,""),"")</f>
        <v/>
      </c>
      <c r="E504" s="216" t="str">
        <f>IFERROR(IF(DB_Customers!R498&lt;&gt;"",DB_Customers!R498,""),"")</f>
        <v/>
      </c>
      <c r="F504" s="217" t="str">
        <f>IFERROR(IF(DB_Customers!S498&lt;&gt;"",DB_Customers!S498,""),"")</f>
        <v/>
      </c>
      <c r="G504" s="217" t="str">
        <f>IFERROR(IF(DB_Customers!G498&lt;&gt;"",DB_Customers!G498,""),"")</f>
        <v/>
      </c>
      <c r="H504" s="216" t="str">
        <f>IFERROR(IF(DB_Customers!H498&lt;&gt;"",DB_Customers!H498,""),"")</f>
        <v/>
      </c>
      <c r="I504" s="219" t="str">
        <f>IFERROR(IF(DB_Customers!I498&lt;&gt;"",DB_Customers!I498,""),"")</f>
        <v/>
      </c>
      <c r="J504" s="220" t="str">
        <f>IFERROR(IF(DB_Customers!J498&lt;&gt;"",DB_Customers!J498,""),"")</f>
        <v/>
      </c>
      <c r="K504" s="217" t="str">
        <f>IFERROR(IF(DB_Customers!E498&lt;&gt;"",DB_Customers!E498,""),"")</f>
        <v/>
      </c>
      <c r="L504" s="217" t="str">
        <f>IFERROR(IF(DB_Customers!F498&lt;&gt;"",DB_Customers!F498,""),"")</f>
        <v/>
      </c>
      <c r="M504" s="217" t="str">
        <f>IFERROR(IF(DB_Customers!T498&lt;&gt;"",DB_Customers!T498,""),"")</f>
        <v/>
      </c>
      <c r="N504" s="216" t="str">
        <f>IFERROR(IF(DB_Customers!A498&lt;&gt;"",IF(DB_Customers!I498&gt;=10,"Active","Inactive"),""),"")</f>
        <v/>
      </c>
    </row>
    <row r="505" spans="1:14" ht="18" customHeight="1" x14ac:dyDescent="0.25">
      <c r="A505" s="221" t="str">
        <f>IF(DB_Customers!A499&lt;&gt;"",ROW()-9,"")</f>
        <v/>
      </c>
      <c r="B505" s="221" t="str">
        <f>IFERROR(IF(DB_Customers!A499&lt;&gt;"",DB_Customers!A499,""),"")</f>
        <v/>
      </c>
      <c r="C505" s="222" t="str">
        <f>IFERROR(IF(DB_Customers!D499&lt;&gt;"",DB_Customers!D499,""),"")</f>
        <v/>
      </c>
      <c r="D505" s="223" t="str">
        <f>IFERROR(IF(DB_Customers!Q499&lt;&gt;"",DB_Customers!Q499,""),"")</f>
        <v/>
      </c>
      <c r="E505" s="221" t="str">
        <f>IFERROR(IF(DB_Customers!R499&lt;&gt;"",DB_Customers!R499,""),"")</f>
        <v/>
      </c>
      <c r="F505" s="222" t="str">
        <f>IFERROR(IF(DB_Customers!S499&lt;&gt;"",DB_Customers!S499,""),"")</f>
        <v/>
      </c>
      <c r="G505" s="222" t="str">
        <f>IFERROR(IF(DB_Customers!G499&lt;&gt;"",DB_Customers!G499,""),"")</f>
        <v/>
      </c>
      <c r="H505" s="221" t="str">
        <f>IFERROR(IF(DB_Customers!H499&lt;&gt;"",DB_Customers!H499,""),"")</f>
        <v/>
      </c>
      <c r="I505" s="224" t="str">
        <f>IFERROR(IF(DB_Customers!I499&lt;&gt;"",DB_Customers!I499,""),"")</f>
        <v/>
      </c>
      <c r="J505" s="225" t="str">
        <f>IFERROR(IF(DB_Customers!J499&lt;&gt;"",DB_Customers!J499,""),"")</f>
        <v/>
      </c>
      <c r="K505" s="222" t="str">
        <f>IFERROR(IF(DB_Customers!E499&lt;&gt;"",DB_Customers!E499,""),"")</f>
        <v/>
      </c>
      <c r="L505" s="222" t="str">
        <f>IFERROR(IF(DB_Customers!F499&lt;&gt;"",DB_Customers!F499,""),"")</f>
        <v/>
      </c>
      <c r="M505" s="222" t="str">
        <f>IFERROR(IF(DB_Customers!T499&lt;&gt;"",DB_Customers!T499,""),"")</f>
        <v/>
      </c>
      <c r="N505" s="221" t="str">
        <f>IFERROR(IF(DB_Customers!A499&lt;&gt;"",IF(DB_Customers!I499&gt;=10,"Active","Inactive"),""),"")</f>
        <v/>
      </c>
    </row>
    <row r="506" spans="1:14" ht="18" customHeight="1" x14ac:dyDescent="0.25">
      <c r="A506" s="216" t="str">
        <f>IF(DB_Customers!A500&lt;&gt;"",ROW()-9,"")</f>
        <v/>
      </c>
      <c r="B506" s="216" t="str">
        <f>IFERROR(IF(DB_Customers!A500&lt;&gt;"",DB_Customers!A500,""),"")</f>
        <v/>
      </c>
      <c r="C506" s="217" t="str">
        <f>IFERROR(IF(DB_Customers!D500&lt;&gt;"",DB_Customers!D500,""),"")</f>
        <v/>
      </c>
      <c r="D506" s="218" t="str">
        <f>IFERROR(IF(DB_Customers!Q500&lt;&gt;"",DB_Customers!Q500,""),"")</f>
        <v/>
      </c>
      <c r="E506" s="216" t="str">
        <f>IFERROR(IF(DB_Customers!R500&lt;&gt;"",DB_Customers!R500,""),"")</f>
        <v/>
      </c>
      <c r="F506" s="217" t="str">
        <f>IFERROR(IF(DB_Customers!S500&lt;&gt;"",DB_Customers!S500,""),"")</f>
        <v/>
      </c>
      <c r="G506" s="217" t="str">
        <f>IFERROR(IF(DB_Customers!G500&lt;&gt;"",DB_Customers!G500,""),"")</f>
        <v/>
      </c>
      <c r="H506" s="216" t="str">
        <f>IFERROR(IF(DB_Customers!H500&lt;&gt;"",DB_Customers!H500,""),"")</f>
        <v/>
      </c>
      <c r="I506" s="219" t="str">
        <f>IFERROR(IF(DB_Customers!I500&lt;&gt;"",DB_Customers!I500,""),"")</f>
        <v/>
      </c>
      <c r="J506" s="220" t="str">
        <f>IFERROR(IF(DB_Customers!J500&lt;&gt;"",DB_Customers!J500,""),"")</f>
        <v/>
      </c>
      <c r="K506" s="217" t="str">
        <f>IFERROR(IF(DB_Customers!E500&lt;&gt;"",DB_Customers!E500,""),"")</f>
        <v/>
      </c>
      <c r="L506" s="217" t="str">
        <f>IFERROR(IF(DB_Customers!F500&lt;&gt;"",DB_Customers!F500,""),"")</f>
        <v/>
      </c>
      <c r="M506" s="217" t="str">
        <f>IFERROR(IF(DB_Customers!T500&lt;&gt;"",DB_Customers!T500,""),"")</f>
        <v/>
      </c>
      <c r="N506" s="216" t="str">
        <f>IFERROR(IF(DB_Customers!A500&lt;&gt;"",IF(DB_Customers!I500&gt;=10,"Active","Inactive"),""),"")</f>
        <v/>
      </c>
    </row>
    <row r="507" spans="1:14" ht="18" customHeight="1" x14ac:dyDescent="0.25">
      <c r="A507" s="221" t="str">
        <f>IF(DB_Customers!A501&lt;&gt;"",ROW()-9,"")</f>
        <v/>
      </c>
      <c r="B507" s="221" t="str">
        <f>IFERROR(IF(DB_Customers!A501&lt;&gt;"",DB_Customers!A501,""),"")</f>
        <v/>
      </c>
      <c r="C507" s="222" t="str">
        <f>IFERROR(IF(DB_Customers!D501&lt;&gt;"",DB_Customers!D501,""),"")</f>
        <v/>
      </c>
      <c r="D507" s="223" t="str">
        <f>IFERROR(IF(DB_Customers!Q501&lt;&gt;"",DB_Customers!Q501,""),"")</f>
        <v/>
      </c>
      <c r="E507" s="221" t="str">
        <f>IFERROR(IF(DB_Customers!R501&lt;&gt;"",DB_Customers!R501,""),"")</f>
        <v/>
      </c>
      <c r="F507" s="222" t="str">
        <f>IFERROR(IF(DB_Customers!S501&lt;&gt;"",DB_Customers!S501,""),"")</f>
        <v/>
      </c>
      <c r="G507" s="222" t="str">
        <f>IFERROR(IF(DB_Customers!G501&lt;&gt;"",DB_Customers!G501,""),"")</f>
        <v/>
      </c>
      <c r="H507" s="221" t="str">
        <f>IFERROR(IF(DB_Customers!H501&lt;&gt;"",DB_Customers!H501,""),"")</f>
        <v/>
      </c>
      <c r="I507" s="224" t="str">
        <f>IFERROR(IF(DB_Customers!I501&lt;&gt;"",DB_Customers!I501,""),"")</f>
        <v/>
      </c>
      <c r="J507" s="225" t="str">
        <f>IFERROR(IF(DB_Customers!J501&lt;&gt;"",DB_Customers!J501,""),"")</f>
        <v/>
      </c>
      <c r="K507" s="222" t="str">
        <f>IFERROR(IF(DB_Customers!E501&lt;&gt;"",DB_Customers!E501,""),"")</f>
        <v/>
      </c>
      <c r="L507" s="222" t="str">
        <f>IFERROR(IF(DB_Customers!F501&lt;&gt;"",DB_Customers!F501,""),"")</f>
        <v/>
      </c>
      <c r="M507" s="222" t="str">
        <f>IFERROR(IF(DB_Customers!T501&lt;&gt;"",DB_Customers!T501,""),"")</f>
        <v/>
      </c>
      <c r="N507" s="221" t="str">
        <f>IFERROR(IF(DB_Customers!A501&lt;&gt;"",IF(DB_Customers!I501&gt;=10,"Active","Inactive"),""),"")</f>
        <v/>
      </c>
    </row>
    <row r="508" spans="1:14" ht="18" customHeight="1" x14ac:dyDescent="0.25">
      <c r="A508" s="216" t="str">
        <f>IF(DB_Customers!A502&lt;&gt;"",ROW()-9,"")</f>
        <v/>
      </c>
      <c r="B508" s="216" t="str">
        <f>IFERROR(IF(DB_Customers!A502&lt;&gt;"",DB_Customers!A502,""),"")</f>
        <v/>
      </c>
      <c r="C508" s="217" t="str">
        <f>IFERROR(IF(DB_Customers!D502&lt;&gt;"",DB_Customers!D502,""),"")</f>
        <v/>
      </c>
      <c r="D508" s="218" t="str">
        <f>IFERROR(IF(DB_Customers!Q502&lt;&gt;"",DB_Customers!Q502,""),"")</f>
        <v/>
      </c>
      <c r="E508" s="216" t="str">
        <f>IFERROR(IF(DB_Customers!R502&lt;&gt;"",DB_Customers!R502,""),"")</f>
        <v/>
      </c>
      <c r="F508" s="217" t="str">
        <f>IFERROR(IF(DB_Customers!S502&lt;&gt;"",DB_Customers!S502,""),"")</f>
        <v/>
      </c>
      <c r="G508" s="217" t="str">
        <f>IFERROR(IF(DB_Customers!G502&lt;&gt;"",DB_Customers!G502,""),"")</f>
        <v/>
      </c>
      <c r="H508" s="216" t="str">
        <f>IFERROR(IF(DB_Customers!H502&lt;&gt;"",DB_Customers!H502,""),"")</f>
        <v/>
      </c>
      <c r="I508" s="219" t="str">
        <f>IFERROR(IF(DB_Customers!I502&lt;&gt;"",DB_Customers!I502,""),"")</f>
        <v/>
      </c>
      <c r="J508" s="220" t="str">
        <f>IFERROR(IF(DB_Customers!J502&lt;&gt;"",DB_Customers!J502,""),"")</f>
        <v/>
      </c>
      <c r="K508" s="217" t="str">
        <f>IFERROR(IF(DB_Customers!E502&lt;&gt;"",DB_Customers!E502,""),"")</f>
        <v/>
      </c>
      <c r="L508" s="217" t="str">
        <f>IFERROR(IF(DB_Customers!F502&lt;&gt;"",DB_Customers!F502,""),"")</f>
        <v/>
      </c>
      <c r="M508" s="217" t="str">
        <f>IFERROR(IF(DB_Customers!T502&lt;&gt;"",DB_Customers!T502,""),"")</f>
        <v/>
      </c>
      <c r="N508" s="216" t="str">
        <f>IFERROR(IF(DB_Customers!A502&lt;&gt;"",IF(DB_Customers!I502&gt;=10,"Active","Inactive"),""),"")</f>
        <v/>
      </c>
    </row>
    <row r="509" spans="1:14" ht="18" customHeight="1" x14ac:dyDescent="0.25">
      <c r="A509" s="221" t="str">
        <f>IF(DB_Customers!A503&lt;&gt;"",ROW()-9,"")</f>
        <v/>
      </c>
      <c r="B509" s="221" t="str">
        <f>IFERROR(IF(DB_Customers!A503&lt;&gt;"",DB_Customers!A503,""),"")</f>
        <v/>
      </c>
      <c r="C509" s="222" t="str">
        <f>IFERROR(IF(DB_Customers!D503&lt;&gt;"",DB_Customers!D503,""),"")</f>
        <v/>
      </c>
      <c r="D509" s="222" t="str">
        <f>IFERROR(IF(DB_Customers!Q503&lt;&gt;"",DB_Customers!Q503,""),"")</f>
        <v/>
      </c>
      <c r="E509" s="221" t="str">
        <f>IFERROR(IF(DB_Customers!R503&lt;&gt;"",DB_Customers!R503,""),"")</f>
        <v/>
      </c>
      <c r="F509" s="222" t="str">
        <f>IFERROR(IF(DB_Customers!S503&lt;&gt;"",DB_Customers!S503,""),"")</f>
        <v/>
      </c>
      <c r="G509" s="222" t="str">
        <f>IFERROR(IF(DB_Customers!G503&lt;&gt;"",DB_Customers!G503,""),"")</f>
        <v/>
      </c>
      <c r="H509" s="221" t="str">
        <f>IFERROR(IF(DB_Customers!H503&lt;&gt;"",DB_Customers!H503,""),"")</f>
        <v/>
      </c>
      <c r="I509" s="221" t="str">
        <f>IFERROR(IF(DB_Customers!I503&lt;&gt;"",DB_Customers!I503,""),"")</f>
        <v/>
      </c>
      <c r="J509" s="221" t="str">
        <f>IFERROR(IF(DB_Customers!J503&lt;&gt;"",DB_Customers!J503,""),"")</f>
        <v/>
      </c>
      <c r="K509" s="222" t="str">
        <f>IFERROR(IF(DB_Customers!E503&lt;&gt;"",DB_Customers!E503,""),"")</f>
        <v/>
      </c>
      <c r="L509" s="222" t="str">
        <f>IFERROR(IF(DB_Customers!F503&lt;&gt;"",DB_Customers!F503,""),"")</f>
        <v/>
      </c>
      <c r="M509" s="222" t="str">
        <f>IFERROR(IF(DB_Customers!T503&lt;&gt;"",DB_Customers!T503,""),"")</f>
        <v/>
      </c>
      <c r="N509" s="221" t="str">
        <f>IFERROR(IF(DB_Customers!A503&lt;&gt;"",IF(DB_Customers!I503&gt;=10,"Active","Inactive"),""),"")</f>
        <v/>
      </c>
    </row>
    <row r="510" spans="1:14" ht="25.5" customHeight="1" x14ac:dyDescent="0.25">
      <c r="A510" s="70" t="s">
        <v>301</v>
      </c>
      <c r="C510" s="71">
        <f>COUNTA(B9:B508)</f>
        <v>500</v>
      </c>
      <c r="D510" s="65"/>
      <c r="E510" s="65"/>
      <c r="F510" s="65"/>
      <c r="G510" s="65"/>
      <c r="H510" s="65"/>
      <c r="I510" s="65"/>
      <c r="J510" s="65"/>
      <c r="K510" s="65"/>
      <c r="L510" s="65"/>
      <c r="M510" s="65"/>
      <c r="N510" s="65"/>
    </row>
    <row r="512" spans="1:14" ht="24" customHeight="1" x14ac:dyDescent="0.25">
      <c r="A512" s="72" t="s">
        <v>302</v>
      </c>
    </row>
    <row r="513" spans="1:1" ht="15.75" customHeight="1" x14ac:dyDescent="0.25">
      <c r="A513" s="73" t="s">
        <v>303</v>
      </c>
    </row>
    <row r="514" spans="1:1" ht="15.75" customHeight="1" x14ac:dyDescent="0.25">
      <c r="A514" s="73" t="s">
        <v>304</v>
      </c>
    </row>
    <row r="515" spans="1:1" ht="15.75" customHeight="1" x14ac:dyDescent="0.25">
      <c r="A515" s="73" t="s">
        <v>305</v>
      </c>
    </row>
    <row r="516" spans="1:1" ht="15.75" customHeight="1" x14ac:dyDescent="0.25">
      <c r="A516" s="73" t="s">
        <v>306</v>
      </c>
    </row>
    <row r="517" spans="1:1" ht="15.75" customHeight="1" x14ac:dyDescent="0.25">
      <c r="A517" s="73" t="s">
        <v>307</v>
      </c>
    </row>
    <row r="518" spans="1:1" ht="15.75" customHeight="1" x14ac:dyDescent="0.25">
      <c r="A518" s="73" t="s">
        <v>308</v>
      </c>
    </row>
  </sheetData>
  <autoFilter ref="A8:N508" xr:uid="{00000000-0009-0000-0000-000008000000}"/>
  <mergeCells count="5">
    <mergeCell ref="A6:N6"/>
    <mergeCell ref="A4:N4"/>
    <mergeCell ref="A2:N2"/>
    <mergeCell ref="G5:N5"/>
    <mergeCell ref="A1:N1"/>
  </mergeCells>
  <conditionalFormatting sqref="A9:N508">
    <cfRule type="expression" dxfId="107" priority="2">
      <formula>AND($C$5&lt;&gt;"",ISNUMBER(SEARCH($C$5,$B9)))</formula>
    </cfRule>
    <cfRule type="expression" dxfId="106" priority="3">
      <formula>AND($C$5&lt;&gt;"",NOT(ISNUMBER(SEARCH($C$5,$B9))))</formula>
    </cfRule>
  </conditionalFormatting>
  <conditionalFormatting sqref="A10:N509">
    <cfRule type="expression" dxfId="105" priority="4">
      <formula>AND($B$5&lt;&gt;"",$B10&lt;&gt;"",ISNUMBER(SEARCH($B$5,$B10)))</formula>
    </cfRule>
  </conditionalFormatting>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27AE60"/>
  </sheetPr>
  <dimension ref="A1:L208"/>
  <sheetViews>
    <sheetView zoomScaleNormal="100" workbookViewId="0">
      <pane ySplit="8" topLeftCell="A48" activePane="bottomLeft" state="frozen"/>
      <selection pane="bottomLeft" activeCell="F13" sqref="F13"/>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359" t="s">
        <v>309</v>
      </c>
      <c r="B1" s="265"/>
      <c r="C1" s="265"/>
      <c r="D1" s="265"/>
      <c r="E1" s="265"/>
      <c r="F1" s="265"/>
      <c r="G1" s="265"/>
      <c r="H1" s="265"/>
      <c r="I1" s="265"/>
      <c r="J1" s="265"/>
      <c r="K1" s="265"/>
      <c r="L1" s="265"/>
    </row>
    <row r="2" spans="1:12" ht="19.5" customHeight="1" x14ac:dyDescent="0.25">
      <c r="A2" s="357" t="s">
        <v>310</v>
      </c>
      <c r="B2" s="265"/>
      <c r="C2" s="265"/>
      <c r="D2" s="265"/>
      <c r="E2" s="265"/>
      <c r="F2" s="265"/>
      <c r="G2" s="265"/>
      <c r="H2" s="265"/>
      <c r="I2" s="265"/>
      <c r="J2" s="265"/>
      <c r="K2" s="265"/>
      <c r="L2" s="265"/>
    </row>
    <row r="3" spans="1:12" ht="18" customHeight="1" x14ac:dyDescent="0.25">
      <c r="A3" s="323" t="s">
        <v>311</v>
      </c>
      <c r="B3" s="265"/>
      <c r="C3" s="265"/>
      <c r="D3" s="324" t="s">
        <v>312</v>
      </c>
      <c r="E3" s="265"/>
      <c r="F3" s="265"/>
      <c r="G3" s="351" t="s">
        <v>313</v>
      </c>
      <c r="H3" s="265"/>
      <c r="I3" s="265"/>
      <c r="J3" s="265"/>
      <c r="K3" s="265"/>
      <c r="L3" s="265"/>
    </row>
    <row r="4" spans="1:12" ht="27.75" customHeight="1" x14ac:dyDescent="0.25">
      <c r="A4" s="363">
        <v>4000</v>
      </c>
      <c r="B4" s="265"/>
      <c r="C4" s="265"/>
      <c r="D4" s="361">
        <f ca="1">COUNTIFS(DB_Savings!$G:$G,"Agent 01",DB_Savings!$E:$E,TODAY())</f>
        <v>0</v>
      </c>
      <c r="E4" s="265"/>
      <c r="F4" s="265"/>
      <c r="G4" s="362" t="str">
        <f ca="1">TEXT(TODAY(),"DDDD, DD MMMM YYYY")</f>
        <v>Friday, 24 April 2026</v>
      </c>
      <c r="H4" s="265"/>
      <c r="I4" s="265"/>
      <c r="J4" s="265"/>
      <c r="K4" s="265"/>
      <c r="L4" s="265"/>
    </row>
    <row r="5" spans="1:12" ht="21.75" customHeight="1" x14ac:dyDescent="0.25">
      <c r="A5" s="360" t="str">
        <f ca="1">IF(SUMIFS(DB_Savings!$F:$F,DB_Savings!$G:$G,"Agent 01",DB_Savings!$E:$E,TODAY())&gt;=J4,"✅ DAILY TARGET ACHIEVED! Well done Agent 01!","⏳ Collection in progress — Keep going! Remaining: GHC "&amp;TEXT(J4-SUMIFS(DB_Savings!$F:$F,DB_Savings!$G:$G,"Agent 01",DB_Savings!$E:$E,TODAY()),"#,##0.00"))</f>
        <v>✅ DAILY TARGET ACHIEVED! Well done Agent 01!</v>
      </c>
      <c r="B5" s="265"/>
      <c r="C5" s="265"/>
      <c r="D5" s="265"/>
      <c r="E5" s="265"/>
      <c r="F5" s="265"/>
      <c r="G5" s="265"/>
      <c r="H5" s="265"/>
      <c r="I5" s="265"/>
      <c r="J5" s="265"/>
      <c r="K5" s="265"/>
      <c r="L5" s="265"/>
    </row>
    <row r="6" spans="1:12" ht="7.5" customHeight="1" x14ac:dyDescent="0.25"/>
    <row r="7" spans="1:12" ht="19.5" customHeight="1" x14ac:dyDescent="0.25">
      <c r="A7" s="358" t="s">
        <v>314</v>
      </c>
      <c r="B7" s="265"/>
      <c r="C7" s="265"/>
      <c r="D7" s="265"/>
      <c r="E7" s="265"/>
      <c r="F7" s="265"/>
      <c r="G7" s="265"/>
      <c r="H7" s="265"/>
      <c r="I7" s="265"/>
      <c r="J7" s="265"/>
      <c r="K7" s="265"/>
      <c r="L7" s="265"/>
    </row>
    <row r="8" spans="1:12" ht="19.5" customHeight="1" x14ac:dyDescent="0.25">
      <c r="A8" s="36" t="s">
        <v>315</v>
      </c>
      <c r="B8" s="36" t="s">
        <v>77</v>
      </c>
      <c r="C8" s="36" t="s">
        <v>316</v>
      </c>
      <c r="D8" s="36" t="s">
        <v>78</v>
      </c>
      <c r="E8" s="36" t="s">
        <v>317</v>
      </c>
      <c r="F8" s="36" t="s">
        <v>318</v>
      </c>
      <c r="G8" s="36" t="s">
        <v>14</v>
      </c>
      <c r="H8" s="75" t="s">
        <v>319</v>
      </c>
      <c r="I8" s="36" t="s">
        <v>13</v>
      </c>
      <c r="J8" s="36" t="s">
        <v>320</v>
      </c>
      <c r="K8" s="36" t="s">
        <v>321</v>
      </c>
    </row>
    <row r="9" spans="1:12" ht="15" customHeight="1" x14ac:dyDescent="0.25">
      <c r="A9" s="76"/>
      <c r="B9" s="37" t="str">
        <f>IF(A9="","",IFERROR(VLOOKUP(A9,DB_Customers!$A:$D,4,0),"❌ Account Not Found"))</f>
        <v/>
      </c>
      <c r="C9" s="77" t="str">
        <f>IF(A9="","",IFERROR(IF(SUMIF(DB_Savings!$C:$C,A9,DB_Savings!$F:$F)=0,VLOOKUP(A9,DB_Customers!$A:$I,9,0),VLOOKUP(A9,DB_Customers!$A:$N,14,0)),"❌ Acct Not Found"))</f>
        <v/>
      </c>
      <c r="D9" s="78" t="str">
        <f t="shared" ref="D9:D40" ca="1" si="0">IF(A9="","",TODAY())</f>
        <v/>
      </c>
      <c r="E9" s="79"/>
      <c r="F9" s="80" t="str">
        <f t="shared" ref="F9:F40" si="1">IF(OR(A9="",E9=""),"",IF(C9="","",C9+E9))</f>
        <v/>
      </c>
      <c r="G9" s="39" t="s">
        <v>133</v>
      </c>
      <c r="H9" s="81"/>
      <c r="I9" s="82" t="str">
        <f>IF(A9="","Pending",IF(H9="","⚠️ Enter Agent Code",IF(IFERROR(VLOOKUP(G9,DB_Agents!$B:$I,8,0),"")=H9,IF(AND(A9&lt;&gt;"",E9&lt;&gt;""),"Saved","Pending"),"🔒 BLOCKED — Wrong Code")))</f>
        <v>Pending</v>
      </c>
      <c r="J9" s="83" t="str">
        <f t="shared" ref="J9:J40" ca="1" si="2">IF(I9="Saved",TEXT(TODAY(),"YYYY-MM-DD")&amp;" Auto","—")</f>
        <v>—</v>
      </c>
      <c r="K9" s="84"/>
    </row>
    <row r="10" spans="1:12" ht="15" customHeight="1" x14ac:dyDescent="0.25">
      <c r="A10" s="85"/>
      <c r="B10" s="41" t="str">
        <f>IF(A10="","",IFERROR(VLOOKUP(A10,DB_Customers!$A:$D,4,0),"❌ Account Not Found"))</f>
        <v/>
      </c>
      <c r="C10" s="86" t="str">
        <f>IF(A10="","",IFERROR(IF(SUMIF(DB_Savings!$C:$C,A10,DB_Savings!$F:$F)=0,VLOOKUP(A10,DB_Customers!$A:$I,9,0),VLOOKUP(A10,DB_Customers!$A:$N,14,0)),"❌ Acct Not Found"))</f>
        <v/>
      </c>
      <c r="D10" s="87" t="str">
        <f t="shared" ca="1" si="0"/>
        <v/>
      </c>
      <c r="E10" s="79"/>
      <c r="F10" s="88" t="str">
        <f t="shared" si="1"/>
        <v/>
      </c>
      <c r="G10" s="43" t="s">
        <v>133</v>
      </c>
      <c r="H10" s="81"/>
      <c r="I10" s="89" t="str">
        <f>IF(A10="","Pending",IF(H10="","⚠️ Enter Agent Code",IF(IFERROR(VLOOKUP(G10,DB_Agents!$B:$I,8,0),"")=H10,IF(AND(A10&lt;&gt;"",E10&lt;&gt;""),"Saved","Pending"),"🔒 BLOCKED — Wrong Code")))</f>
        <v>Pending</v>
      </c>
      <c r="J10" s="90" t="str">
        <f t="shared" ca="1" si="2"/>
        <v>—</v>
      </c>
      <c r="K10" s="91"/>
    </row>
    <row r="11" spans="1:12" ht="15" customHeight="1" x14ac:dyDescent="0.25">
      <c r="A11" s="76"/>
      <c r="B11" s="37" t="str">
        <f>IF(A11="","",IFERROR(VLOOKUP(A11,DB_Customers!$A:$D,4,0),"❌ Account Not Found"))</f>
        <v/>
      </c>
      <c r="C11" s="77" t="str">
        <f>IF(A11="","",IFERROR(IF(SUMIF(DB_Savings!$C:$C,A11,DB_Savings!$F:$F)=0,VLOOKUP(A11,DB_Customers!$A:$I,9,0),VLOOKUP(A11,DB_Customers!$A:$N,14,0)),"❌ Acct Not Found"))</f>
        <v/>
      </c>
      <c r="D11" s="78" t="str">
        <f t="shared" ca="1" si="0"/>
        <v/>
      </c>
      <c r="E11" s="79"/>
      <c r="F11" s="80" t="str">
        <f t="shared" si="1"/>
        <v/>
      </c>
      <c r="G11" s="39" t="s">
        <v>133</v>
      </c>
      <c r="H11" s="81"/>
      <c r="I11" s="82" t="str">
        <f>IF(A11="","Pending",IF(H11="","⚠️ Enter Agent Code",IF(IFERROR(VLOOKUP(G11,DB_Agents!$B:$I,8,0),"")=H11,IF(AND(A11&lt;&gt;"",E11&lt;&gt;""),"Saved","Pending"),"🔒 BLOCKED — Wrong Code")))</f>
        <v>Pending</v>
      </c>
      <c r="J11" s="83" t="str">
        <f t="shared" ca="1" si="2"/>
        <v>—</v>
      </c>
      <c r="K11" s="84"/>
    </row>
    <row r="12" spans="1:12" ht="15" customHeight="1" x14ac:dyDescent="0.25">
      <c r="A12" s="85"/>
      <c r="B12" s="41" t="str">
        <f>IF(A12="","",IFERROR(VLOOKUP(A12,DB_Customers!$A:$D,4,0),"❌ Account Not Found"))</f>
        <v/>
      </c>
      <c r="C12" s="86" t="str">
        <f>IF(A12="","",IFERROR(IF(SUMIF(DB_Savings!$C:$C,A12,DB_Savings!$F:$F)=0,VLOOKUP(A12,DB_Customers!$A:$I,9,0),VLOOKUP(A12,DB_Customers!$A:$N,14,0)),"❌ Acct Not Found"))</f>
        <v/>
      </c>
      <c r="D12" s="87" t="str">
        <f t="shared" ca="1" si="0"/>
        <v/>
      </c>
      <c r="E12" s="79"/>
      <c r="F12" s="88" t="str">
        <f t="shared" si="1"/>
        <v/>
      </c>
      <c r="G12" s="43" t="s">
        <v>133</v>
      </c>
      <c r="H12" s="81"/>
      <c r="I12" s="89" t="str">
        <f>IF(A12="","Pending",IF(H12="","⚠️ Enter Agent Code",IF(IFERROR(VLOOKUP(G12,DB_Agents!$B:$I,8,0),"")=H12,IF(AND(A12&lt;&gt;"",E12&lt;&gt;""),"Saved","Pending"),"🔒 BLOCKED — Wrong Code")))</f>
        <v>Pending</v>
      </c>
      <c r="J12" s="90" t="str">
        <f t="shared" ca="1" si="2"/>
        <v>—</v>
      </c>
      <c r="K12" s="91"/>
    </row>
    <row r="13" spans="1:12" ht="15" customHeight="1" x14ac:dyDescent="0.25">
      <c r="A13" s="76"/>
      <c r="B13" s="37" t="str">
        <f>IF(A13="","",IFERROR(VLOOKUP(A13,DB_Customers!$A:$D,4,0),"❌ Account Not Found"))</f>
        <v/>
      </c>
      <c r="C13" s="77" t="str">
        <f>IF(A13="","",IFERROR(IF(SUMIF(DB_Savings!$C:$C,A13,DB_Savings!$F:$F)=0,VLOOKUP(A13,DB_Customers!$A:$I,9,0),VLOOKUP(A13,DB_Customers!$A:$N,14,0)),"❌ Acct Not Found"))</f>
        <v/>
      </c>
      <c r="D13" s="78" t="str">
        <f t="shared" ca="1" si="0"/>
        <v/>
      </c>
      <c r="E13" s="79"/>
      <c r="F13" s="80" t="str">
        <f t="shared" si="1"/>
        <v/>
      </c>
      <c r="G13" s="39" t="s">
        <v>133</v>
      </c>
      <c r="H13" s="81"/>
      <c r="I13" s="82" t="str">
        <f>IF(A13="","Pending",IF(H13="","⚠️ Enter Agent Code",IF(IFERROR(VLOOKUP(G13,DB_Agents!$B:$I,8,0),"")=H13,IF(AND(A13&lt;&gt;"",E13&lt;&gt;""),"Saved","Pending"),"🔒 BLOCKED — Wrong Code")))</f>
        <v>Pending</v>
      </c>
      <c r="J13" s="83" t="str">
        <f t="shared" ca="1" si="2"/>
        <v>—</v>
      </c>
      <c r="K13" s="84"/>
    </row>
    <row r="14" spans="1:12" ht="15" customHeight="1" x14ac:dyDescent="0.25">
      <c r="A14" s="85"/>
      <c r="B14" s="41" t="str">
        <f>IF(A14="","",IFERROR(VLOOKUP(A14,DB_Customers!$A:$D,4,0),"❌ Account Not Found"))</f>
        <v/>
      </c>
      <c r="C14" s="86" t="str">
        <f>IF(A14="","",IFERROR(IF(SUMIF(DB_Savings!$C:$C,A14,DB_Savings!$F:$F)=0,VLOOKUP(A14,DB_Customers!$A:$I,9,0),VLOOKUP(A14,DB_Customers!$A:$N,14,0)),"❌ Acct Not Found"))</f>
        <v/>
      </c>
      <c r="D14" s="87" t="str">
        <f t="shared" ca="1" si="0"/>
        <v/>
      </c>
      <c r="E14" s="79"/>
      <c r="F14" s="88" t="str">
        <f t="shared" si="1"/>
        <v/>
      </c>
      <c r="G14" s="43" t="s">
        <v>133</v>
      </c>
      <c r="H14" s="81"/>
      <c r="I14" s="89" t="str">
        <f>IF(A14="","Pending",IF(H14="","⚠️ Enter Agent Code",IF(IFERROR(VLOOKUP(G14,DB_Agents!$B:$I,8,0),"")=H14,IF(AND(A14&lt;&gt;"",E14&lt;&gt;""),"Saved","Pending"),"🔒 BLOCKED — Wrong Code")))</f>
        <v>Pending</v>
      </c>
      <c r="J14" s="90" t="str">
        <f t="shared" ca="1" si="2"/>
        <v>—</v>
      </c>
      <c r="K14" s="91"/>
    </row>
    <row r="15" spans="1:12" ht="15" customHeight="1" x14ac:dyDescent="0.25">
      <c r="A15" s="76"/>
      <c r="B15" s="37" t="str">
        <f>IF(A15="","",IFERROR(VLOOKUP(A15,DB_Customers!$A:$D,4,0),"❌ Account Not Found"))</f>
        <v/>
      </c>
      <c r="C15" s="77" t="str">
        <f>IF(A15="","",IFERROR(IF(SUMIF(DB_Savings!$C:$C,A15,DB_Savings!$F:$F)=0,VLOOKUP(A15,DB_Customers!$A:$I,9,0),VLOOKUP(A15,DB_Customers!$A:$N,14,0)),"❌ Acct Not Found"))</f>
        <v/>
      </c>
      <c r="D15" s="78" t="str">
        <f t="shared" ca="1" si="0"/>
        <v/>
      </c>
      <c r="E15" s="79"/>
      <c r="F15" s="80" t="str">
        <f t="shared" si="1"/>
        <v/>
      </c>
      <c r="G15" s="39" t="s">
        <v>133</v>
      </c>
      <c r="H15" s="81"/>
      <c r="I15" s="82" t="str">
        <f>IF(A15="","Pending",IF(H15="","⚠️ Enter Agent Code",IF(IFERROR(VLOOKUP(G15,DB_Agents!$B:$I,8,0),"")=H15,IF(AND(A15&lt;&gt;"",E15&lt;&gt;""),"Saved","Pending"),"🔒 BLOCKED — Wrong Code")))</f>
        <v>Pending</v>
      </c>
      <c r="J15" s="83" t="str">
        <f t="shared" ca="1" si="2"/>
        <v>—</v>
      </c>
      <c r="K15" s="84"/>
    </row>
    <row r="16" spans="1:12" ht="15" customHeight="1" x14ac:dyDescent="0.25">
      <c r="A16" s="85"/>
      <c r="B16" s="41" t="str">
        <f>IF(A16="","",IFERROR(VLOOKUP(A16,DB_Customers!$A:$D,4,0),"❌ Account Not Found"))</f>
        <v/>
      </c>
      <c r="C16" s="86" t="str">
        <f>IF(A16="","",IFERROR(IF(SUMIF(DB_Savings!$C:$C,A16,DB_Savings!$F:$F)=0,VLOOKUP(A16,DB_Customers!$A:$I,9,0),VLOOKUP(A16,DB_Customers!$A:$N,14,0)),"❌ Acct Not Found"))</f>
        <v/>
      </c>
      <c r="D16" s="87" t="str">
        <f t="shared" ca="1" si="0"/>
        <v/>
      </c>
      <c r="E16" s="79"/>
      <c r="F16" s="88" t="str">
        <f t="shared" si="1"/>
        <v/>
      </c>
      <c r="G16" s="43" t="s">
        <v>133</v>
      </c>
      <c r="H16" s="81"/>
      <c r="I16" s="89" t="str">
        <f>IF(A16="","Pending",IF(H16="","⚠️ Enter Agent Code",IF(IFERROR(VLOOKUP(G16,DB_Agents!$B:$I,8,0),"")=H16,IF(AND(A16&lt;&gt;"",E16&lt;&gt;""),"Saved","Pending"),"🔒 BLOCKED — Wrong Code")))</f>
        <v>Pending</v>
      </c>
      <c r="J16" s="90" t="str">
        <f t="shared" ca="1" si="2"/>
        <v>—</v>
      </c>
      <c r="K16" s="91"/>
    </row>
    <row r="17" spans="1:11" ht="15" customHeight="1" x14ac:dyDescent="0.25">
      <c r="A17" s="76"/>
      <c r="B17" s="37" t="str">
        <f>IF(A17="","",IFERROR(VLOOKUP(A17,DB_Customers!$A:$D,4,0),"❌ Account Not Found"))</f>
        <v/>
      </c>
      <c r="C17" s="77" t="str">
        <f>IF(A17="","",IFERROR(IF(SUMIF(DB_Savings!$C:$C,A17,DB_Savings!$F:$F)=0,VLOOKUP(A17,DB_Customers!$A:$I,9,0),VLOOKUP(A17,DB_Customers!$A:$N,14,0)),"❌ Acct Not Found"))</f>
        <v/>
      </c>
      <c r="D17" s="78" t="str">
        <f t="shared" ca="1" si="0"/>
        <v/>
      </c>
      <c r="E17" s="79"/>
      <c r="F17" s="80" t="str">
        <f t="shared" si="1"/>
        <v/>
      </c>
      <c r="G17" s="39" t="s">
        <v>133</v>
      </c>
      <c r="H17" s="81"/>
      <c r="I17" s="82" t="str">
        <f>IF(A17="","Pending",IF(H17="","⚠️ Enter Agent Code",IF(IFERROR(VLOOKUP(G17,DB_Agents!$B:$I,8,0),"")=H17,IF(AND(A17&lt;&gt;"",E17&lt;&gt;""),"Saved","Pending"),"🔒 BLOCKED — Wrong Code")))</f>
        <v>Pending</v>
      </c>
      <c r="J17" s="83" t="str">
        <f t="shared" ca="1" si="2"/>
        <v>—</v>
      </c>
      <c r="K17" s="84"/>
    </row>
    <row r="18" spans="1:11" ht="15" customHeight="1" x14ac:dyDescent="0.25">
      <c r="A18" s="85"/>
      <c r="B18" s="41" t="str">
        <f>IF(A18="","",IFERROR(VLOOKUP(A18,DB_Customers!$A:$D,4,0),"❌ Account Not Found"))</f>
        <v/>
      </c>
      <c r="C18" s="86" t="str">
        <f>IF(A18="","",IFERROR(IF(SUMIF(DB_Savings!$C:$C,A18,DB_Savings!$F:$F)=0,VLOOKUP(A18,DB_Customers!$A:$I,9,0),VLOOKUP(A18,DB_Customers!$A:$N,14,0)),"❌ Acct Not Found"))</f>
        <v/>
      </c>
      <c r="D18" s="87" t="str">
        <f t="shared" ca="1" si="0"/>
        <v/>
      </c>
      <c r="E18" s="79"/>
      <c r="F18" s="88" t="str">
        <f t="shared" si="1"/>
        <v/>
      </c>
      <c r="G18" s="43" t="s">
        <v>133</v>
      </c>
      <c r="H18" s="81"/>
      <c r="I18" s="89" t="str">
        <f>IF(A18="","Pending",IF(H18="","⚠️ Enter Agent Code",IF(IFERROR(VLOOKUP(G18,DB_Agents!$B:$I,8,0),"")=H18,IF(AND(A18&lt;&gt;"",E18&lt;&gt;""),"Saved","Pending"),"🔒 BLOCKED — Wrong Code")))</f>
        <v>Pending</v>
      </c>
      <c r="J18" s="90" t="str">
        <f t="shared" ca="1" si="2"/>
        <v>—</v>
      </c>
      <c r="K18" s="91"/>
    </row>
    <row r="19" spans="1:11" ht="15" customHeight="1" x14ac:dyDescent="0.25">
      <c r="A19" s="76"/>
      <c r="B19" s="37" t="str">
        <f>IF(A19="","",IFERROR(VLOOKUP(A19,DB_Customers!$A:$D,4,0),"❌ Account Not Found"))</f>
        <v/>
      </c>
      <c r="C19" s="77" t="str">
        <f>IF(A19="","",IFERROR(IF(SUMIF(DB_Savings!$C:$C,A19,DB_Savings!$F:$F)=0,VLOOKUP(A19,DB_Customers!$A:$I,9,0),VLOOKUP(A19,DB_Customers!$A:$N,14,0)),"❌ Acct Not Found"))</f>
        <v/>
      </c>
      <c r="D19" s="78" t="str">
        <f t="shared" ca="1" si="0"/>
        <v/>
      </c>
      <c r="E19" s="79"/>
      <c r="F19" s="80" t="str">
        <f t="shared" si="1"/>
        <v/>
      </c>
      <c r="G19" s="39" t="s">
        <v>133</v>
      </c>
      <c r="H19" s="81"/>
      <c r="I19" s="82" t="str">
        <f>IF(A19="","Pending",IF(H19="","⚠️ Enter Agent Code",IF(IFERROR(VLOOKUP(G19,DB_Agents!$B:$I,8,0),"")=H19,IF(AND(A19&lt;&gt;"",E19&lt;&gt;""),"Saved","Pending"),"🔒 BLOCKED — Wrong Code")))</f>
        <v>Pending</v>
      </c>
      <c r="J19" s="83" t="str">
        <f t="shared" ca="1" si="2"/>
        <v>—</v>
      </c>
      <c r="K19" s="84"/>
    </row>
    <row r="20" spans="1:11" ht="15" customHeight="1" x14ac:dyDescent="0.25">
      <c r="A20" s="85"/>
      <c r="B20" s="41" t="str">
        <f>IF(A20="","",IFERROR(VLOOKUP(A20,DB_Customers!$A:$D,4,0),"❌ Account Not Found"))</f>
        <v/>
      </c>
      <c r="C20" s="86" t="str">
        <f>IF(A20="","",IFERROR(IF(SUMIF(DB_Savings!$C:$C,A20,DB_Savings!$F:$F)=0,VLOOKUP(A20,DB_Customers!$A:$I,9,0),VLOOKUP(A20,DB_Customers!$A:$N,14,0)),"❌ Acct Not Found"))</f>
        <v/>
      </c>
      <c r="D20" s="87" t="str">
        <f t="shared" ca="1" si="0"/>
        <v/>
      </c>
      <c r="E20" s="79"/>
      <c r="F20" s="88" t="str">
        <f t="shared" si="1"/>
        <v/>
      </c>
      <c r="G20" s="43" t="s">
        <v>133</v>
      </c>
      <c r="H20" s="81"/>
      <c r="I20" s="89" t="str">
        <f>IF(A20="","Pending",IF(H20="","⚠️ Enter Agent Code",IF(IFERROR(VLOOKUP(G20,DB_Agents!$B:$I,8,0),"")=H20,IF(AND(A20&lt;&gt;"",E20&lt;&gt;""),"Saved","Pending"),"🔒 BLOCKED — Wrong Code")))</f>
        <v>Pending</v>
      </c>
      <c r="J20" s="90" t="str">
        <f t="shared" ca="1" si="2"/>
        <v>—</v>
      </c>
      <c r="K20" s="91"/>
    </row>
    <row r="21" spans="1:11" ht="15" customHeight="1" x14ac:dyDescent="0.25">
      <c r="A21" s="76"/>
      <c r="B21" s="37" t="str">
        <f>IF(A21="","",IFERROR(VLOOKUP(A21,DB_Customers!$A:$D,4,0),"❌ Account Not Found"))</f>
        <v/>
      </c>
      <c r="C21" s="77" t="str">
        <f>IF(A21="","",IFERROR(IF(SUMIF(DB_Savings!$C:$C,A21,DB_Savings!$F:$F)=0,VLOOKUP(A21,DB_Customers!$A:$I,9,0),VLOOKUP(A21,DB_Customers!$A:$N,14,0)),"❌ Acct Not Found"))</f>
        <v/>
      </c>
      <c r="D21" s="78" t="str">
        <f t="shared" ca="1" si="0"/>
        <v/>
      </c>
      <c r="E21" s="79"/>
      <c r="F21" s="80" t="str">
        <f t="shared" si="1"/>
        <v/>
      </c>
      <c r="G21" s="39" t="s">
        <v>133</v>
      </c>
      <c r="H21" s="81"/>
      <c r="I21" s="82" t="str">
        <f>IF(A21="","Pending",IF(H21="","⚠️ Enter Agent Code",IF(IFERROR(VLOOKUP(G21,DB_Agents!$B:$I,8,0),"")=H21,IF(AND(A21&lt;&gt;"",E21&lt;&gt;""),"Saved","Pending"),"🔒 BLOCKED — Wrong Code")))</f>
        <v>Pending</v>
      </c>
      <c r="J21" s="83" t="str">
        <f t="shared" ca="1" si="2"/>
        <v>—</v>
      </c>
      <c r="K21" s="84"/>
    </row>
    <row r="22" spans="1:11" ht="15" customHeight="1" x14ac:dyDescent="0.25">
      <c r="A22" s="85"/>
      <c r="B22" s="41" t="str">
        <f>IF(A22="","",IFERROR(VLOOKUP(A22,DB_Customers!$A:$D,4,0),"❌ Account Not Found"))</f>
        <v/>
      </c>
      <c r="C22" s="86" t="str">
        <f>IF(A22="","",IFERROR(IF(SUMIF(DB_Savings!$C:$C,A22,DB_Savings!$F:$F)=0,VLOOKUP(A22,DB_Customers!$A:$I,9,0),VLOOKUP(A22,DB_Customers!$A:$N,14,0)),"❌ Acct Not Found"))</f>
        <v/>
      </c>
      <c r="D22" s="87" t="str">
        <f t="shared" ca="1" si="0"/>
        <v/>
      </c>
      <c r="E22" s="79"/>
      <c r="F22" s="88" t="str">
        <f t="shared" si="1"/>
        <v/>
      </c>
      <c r="G22" s="43" t="s">
        <v>133</v>
      </c>
      <c r="H22" s="81"/>
      <c r="I22" s="89" t="str">
        <f>IF(A22="","Pending",IF(H22="","⚠️ Enter Agent Code",IF(IFERROR(VLOOKUP(G22,DB_Agents!$B:$I,8,0),"")=H22,IF(AND(A22&lt;&gt;"",E22&lt;&gt;""),"Saved","Pending"),"🔒 BLOCKED — Wrong Code")))</f>
        <v>Pending</v>
      </c>
      <c r="J22" s="90" t="str">
        <f t="shared" ca="1" si="2"/>
        <v>—</v>
      </c>
      <c r="K22" s="91"/>
    </row>
    <row r="23" spans="1:11" ht="15" customHeight="1" x14ac:dyDescent="0.25">
      <c r="A23" s="76"/>
      <c r="B23" s="37" t="str">
        <f>IF(A23="","",IFERROR(VLOOKUP(A23,DB_Customers!$A:$D,4,0),"❌ Account Not Found"))</f>
        <v/>
      </c>
      <c r="C23" s="77" t="str">
        <f>IF(A23="","",IFERROR(IF(SUMIF(DB_Savings!$C:$C,A23,DB_Savings!$F:$F)=0,VLOOKUP(A23,DB_Customers!$A:$I,9,0),VLOOKUP(A23,DB_Customers!$A:$N,14,0)),"❌ Acct Not Found"))</f>
        <v/>
      </c>
      <c r="D23" s="78" t="str">
        <f t="shared" ca="1" si="0"/>
        <v/>
      </c>
      <c r="E23" s="79"/>
      <c r="F23" s="80" t="str">
        <f t="shared" si="1"/>
        <v/>
      </c>
      <c r="G23" s="39" t="s">
        <v>133</v>
      </c>
      <c r="H23" s="81"/>
      <c r="I23" s="82" t="str">
        <f>IF(A23="","Pending",IF(H23="","⚠️ Enter Agent Code",IF(IFERROR(VLOOKUP(G23,DB_Agents!$B:$I,8,0),"")=H23,IF(AND(A23&lt;&gt;"",E23&lt;&gt;""),"Saved","Pending"),"🔒 BLOCKED — Wrong Code")))</f>
        <v>Pending</v>
      </c>
      <c r="J23" s="83" t="str">
        <f t="shared" ca="1" si="2"/>
        <v>—</v>
      </c>
      <c r="K23" s="84"/>
    </row>
    <row r="24" spans="1:11" ht="15" customHeight="1" x14ac:dyDescent="0.25">
      <c r="A24" s="85"/>
      <c r="B24" s="41" t="str">
        <f>IF(A24="","",IFERROR(VLOOKUP(A24,DB_Customers!$A:$D,4,0),"❌ Account Not Found"))</f>
        <v/>
      </c>
      <c r="C24" s="86" t="str">
        <f>IF(A24="","",IFERROR(IF(SUMIF(DB_Savings!$C:$C,A24,DB_Savings!$F:$F)=0,VLOOKUP(A24,DB_Customers!$A:$I,9,0),VLOOKUP(A24,DB_Customers!$A:$N,14,0)),"❌ Acct Not Found"))</f>
        <v/>
      </c>
      <c r="D24" s="87" t="str">
        <f t="shared" ca="1" si="0"/>
        <v/>
      </c>
      <c r="E24" s="79"/>
      <c r="F24" s="88" t="str">
        <f t="shared" si="1"/>
        <v/>
      </c>
      <c r="G24" s="43" t="s">
        <v>133</v>
      </c>
      <c r="H24" s="81"/>
      <c r="I24" s="89" t="str">
        <f>IF(A24="","Pending",IF(H24="","⚠️ Enter Agent Code",IF(IFERROR(VLOOKUP(G24,DB_Agents!$B:$I,8,0),"")=H24,IF(AND(A24&lt;&gt;"",E24&lt;&gt;""),"Saved","Pending"),"🔒 BLOCKED — Wrong Code")))</f>
        <v>Pending</v>
      </c>
      <c r="J24" s="90" t="str">
        <f t="shared" ca="1" si="2"/>
        <v>—</v>
      </c>
      <c r="K24" s="91"/>
    </row>
    <row r="25" spans="1:11" ht="15" customHeight="1" x14ac:dyDescent="0.25">
      <c r="A25" s="76"/>
      <c r="B25" s="37" t="str">
        <f>IF(A25="","",IFERROR(VLOOKUP(A25,DB_Customers!$A:$D,4,0),"❌ Account Not Found"))</f>
        <v/>
      </c>
      <c r="C25" s="77" t="str">
        <f>IF(A25="","",IFERROR(IF(SUMIF(DB_Savings!$C:$C,A25,DB_Savings!$F:$F)=0,VLOOKUP(A25,DB_Customers!$A:$I,9,0),VLOOKUP(A25,DB_Customers!$A:$N,14,0)),"❌ Acct Not Found"))</f>
        <v/>
      </c>
      <c r="D25" s="78" t="str">
        <f t="shared" ca="1" si="0"/>
        <v/>
      </c>
      <c r="E25" s="79"/>
      <c r="F25" s="80" t="str">
        <f t="shared" si="1"/>
        <v/>
      </c>
      <c r="G25" s="39" t="s">
        <v>133</v>
      </c>
      <c r="H25" s="81"/>
      <c r="I25" s="82" t="str">
        <f>IF(A25="","Pending",IF(H25="","⚠️ Enter Agent Code",IF(IFERROR(VLOOKUP(G25,DB_Agents!$B:$I,8,0),"")=H25,IF(AND(A25&lt;&gt;"",E25&lt;&gt;""),"Saved","Pending"),"🔒 BLOCKED — Wrong Code")))</f>
        <v>Pending</v>
      </c>
      <c r="J25" s="83" t="str">
        <f t="shared" ca="1" si="2"/>
        <v>—</v>
      </c>
      <c r="K25" s="84"/>
    </row>
    <row r="26" spans="1:11" ht="15" customHeight="1" x14ac:dyDescent="0.25">
      <c r="A26" s="85"/>
      <c r="B26" s="41" t="str">
        <f>IF(A26="","",IFERROR(VLOOKUP(A26,DB_Customers!$A:$D,4,0),"❌ Account Not Found"))</f>
        <v/>
      </c>
      <c r="C26" s="86" t="str">
        <f>IF(A26="","",IFERROR(IF(SUMIF(DB_Savings!$C:$C,A26,DB_Savings!$F:$F)=0,VLOOKUP(A26,DB_Customers!$A:$I,9,0),VLOOKUP(A26,DB_Customers!$A:$N,14,0)),"❌ Acct Not Found"))</f>
        <v/>
      </c>
      <c r="D26" s="87" t="str">
        <f t="shared" ca="1" si="0"/>
        <v/>
      </c>
      <c r="E26" s="79"/>
      <c r="F26" s="88" t="str">
        <f t="shared" si="1"/>
        <v/>
      </c>
      <c r="G26" s="43" t="s">
        <v>133</v>
      </c>
      <c r="H26" s="81"/>
      <c r="I26" s="89" t="str">
        <f>IF(A26="","Pending",IF(H26="","⚠️ Enter Agent Code",IF(IFERROR(VLOOKUP(G26,DB_Agents!$B:$I,8,0),"")=H26,IF(AND(A26&lt;&gt;"",E26&lt;&gt;""),"Saved","Pending"),"🔒 BLOCKED — Wrong Code")))</f>
        <v>Pending</v>
      </c>
      <c r="J26" s="90" t="str">
        <f t="shared" ca="1" si="2"/>
        <v>—</v>
      </c>
      <c r="K26" s="91"/>
    </row>
    <row r="27" spans="1:11" ht="15" customHeight="1" x14ac:dyDescent="0.25">
      <c r="A27" s="76"/>
      <c r="B27" s="37" t="str">
        <f>IF(A27="","",IFERROR(VLOOKUP(A27,DB_Customers!$A:$D,4,0),"❌ Account Not Found"))</f>
        <v/>
      </c>
      <c r="C27" s="77" t="str">
        <f>IF(A27="","",IFERROR(IF(SUMIF(DB_Savings!$C:$C,A27,DB_Savings!$F:$F)=0,VLOOKUP(A27,DB_Customers!$A:$I,9,0),VLOOKUP(A27,DB_Customers!$A:$N,14,0)),"❌ Acct Not Found"))</f>
        <v/>
      </c>
      <c r="D27" s="78" t="str">
        <f t="shared" ca="1" si="0"/>
        <v/>
      </c>
      <c r="E27" s="79"/>
      <c r="F27" s="80" t="str">
        <f t="shared" si="1"/>
        <v/>
      </c>
      <c r="G27" s="39" t="s">
        <v>133</v>
      </c>
      <c r="H27" s="81"/>
      <c r="I27" s="82" t="str">
        <f>IF(A27="","Pending",IF(H27="","⚠️ Enter Agent Code",IF(IFERROR(VLOOKUP(G27,DB_Agents!$B:$I,8,0),"")=H27,IF(AND(A27&lt;&gt;"",E27&lt;&gt;""),"Saved","Pending"),"🔒 BLOCKED — Wrong Code")))</f>
        <v>Pending</v>
      </c>
      <c r="J27" s="83" t="str">
        <f t="shared" ca="1" si="2"/>
        <v>—</v>
      </c>
      <c r="K27" s="84"/>
    </row>
    <row r="28" spans="1:11" ht="15" customHeight="1" x14ac:dyDescent="0.25">
      <c r="A28" s="85"/>
      <c r="B28" s="41" t="str">
        <f>IF(A28="","",IFERROR(VLOOKUP(A28,DB_Customers!$A:$D,4,0),"❌ Account Not Found"))</f>
        <v/>
      </c>
      <c r="C28" s="86" t="str">
        <f>IF(A28="","",IFERROR(IF(SUMIF(DB_Savings!$C:$C,A28,DB_Savings!$F:$F)=0,VLOOKUP(A28,DB_Customers!$A:$I,9,0),VLOOKUP(A28,DB_Customers!$A:$N,14,0)),"❌ Acct Not Found"))</f>
        <v/>
      </c>
      <c r="D28" s="87" t="str">
        <f t="shared" ca="1" si="0"/>
        <v/>
      </c>
      <c r="E28" s="79"/>
      <c r="F28" s="88" t="str">
        <f t="shared" si="1"/>
        <v/>
      </c>
      <c r="G28" s="43" t="s">
        <v>133</v>
      </c>
      <c r="H28" s="81"/>
      <c r="I28" s="89" t="str">
        <f>IF(A28="","Pending",IF(H28="","⚠️ Enter Agent Code",IF(IFERROR(VLOOKUP(G28,DB_Agents!$B:$I,8,0),"")=H28,IF(AND(A28&lt;&gt;"",E28&lt;&gt;""),"Saved","Pending"),"🔒 BLOCKED — Wrong Code")))</f>
        <v>Pending</v>
      </c>
      <c r="J28" s="90" t="str">
        <f t="shared" ca="1" si="2"/>
        <v>—</v>
      </c>
      <c r="K28" s="91"/>
    </row>
    <row r="29" spans="1:11" ht="15" customHeight="1" x14ac:dyDescent="0.25">
      <c r="A29" s="76"/>
      <c r="B29" s="37" t="str">
        <f>IF(A29="","",IFERROR(VLOOKUP(A29,DB_Customers!$A:$D,4,0),"❌ Account Not Found"))</f>
        <v/>
      </c>
      <c r="C29" s="77" t="str">
        <f>IF(A29="","",IFERROR(IF(SUMIF(DB_Savings!$C:$C,A29,DB_Savings!$F:$F)=0,VLOOKUP(A29,DB_Customers!$A:$I,9,0),VLOOKUP(A29,DB_Customers!$A:$N,14,0)),"❌ Acct Not Found"))</f>
        <v/>
      </c>
      <c r="D29" s="78" t="str">
        <f t="shared" ca="1" si="0"/>
        <v/>
      </c>
      <c r="E29" s="79"/>
      <c r="F29" s="80" t="str">
        <f t="shared" si="1"/>
        <v/>
      </c>
      <c r="G29" s="39" t="s">
        <v>133</v>
      </c>
      <c r="H29" s="81"/>
      <c r="I29" s="82" t="str">
        <f>IF(A29="","Pending",IF(H29="","⚠️ Enter Agent Code",IF(IFERROR(VLOOKUP(G29,DB_Agents!$B:$I,8,0),"")=H29,IF(AND(A29&lt;&gt;"",E29&lt;&gt;""),"Saved","Pending"),"🔒 BLOCKED — Wrong Code")))</f>
        <v>Pending</v>
      </c>
      <c r="J29" s="83" t="str">
        <f t="shared" ca="1" si="2"/>
        <v>—</v>
      </c>
      <c r="K29" s="84"/>
    </row>
    <row r="30" spans="1:11" ht="15" customHeight="1" x14ac:dyDescent="0.25">
      <c r="A30" s="85"/>
      <c r="B30" s="41" t="str">
        <f>IF(A30="","",IFERROR(VLOOKUP(A30,DB_Customers!$A:$D,4,0),"❌ Account Not Found"))</f>
        <v/>
      </c>
      <c r="C30" s="86" t="str">
        <f>IF(A30="","",IFERROR(IF(SUMIF(DB_Savings!$C:$C,A30,DB_Savings!$F:$F)=0,VLOOKUP(A30,DB_Customers!$A:$I,9,0),VLOOKUP(A30,DB_Customers!$A:$N,14,0)),"❌ Acct Not Found"))</f>
        <v/>
      </c>
      <c r="D30" s="87" t="str">
        <f t="shared" ca="1" si="0"/>
        <v/>
      </c>
      <c r="E30" s="79"/>
      <c r="F30" s="88" t="str">
        <f t="shared" si="1"/>
        <v/>
      </c>
      <c r="G30" s="43" t="s">
        <v>133</v>
      </c>
      <c r="H30" s="81"/>
      <c r="I30" s="89" t="str">
        <f>IF(A30="","Pending",IF(H30="","⚠️ Enter Agent Code",IF(IFERROR(VLOOKUP(G30,DB_Agents!$B:$I,8,0),"")=H30,IF(AND(A30&lt;&gt;"",E30&lt;&gt;""),"Saved","Pending"),"🔒 BLOCKED — Wrong Code")))</f>
        <v>Pending</v>
      </c>
      <c r="J30" s="90" t="str">
        <f t="shared" ca="1" si="2"/>
        <v>—</v>
      </c>
      <c r="K30" s="91"/>
    </row>
    <row r="31" spans="1:11" ht="15" customHeight="1" x14ac:dyDescent="0.25">
      <c r="A31" s="76"/>
      <c r="B31" s="37" t="str">
        <f>IF(A31="","",IFERROR(VLOOKUP(A31,DB_Customers!$A:$D,4,0),"❌ Account Not Found"))</f>
        <v/>
      </c>
      <c r="C31" s="77" t="str">
        <f>IF(A31="","",IFERROR(IF(SUMIF(DB_Savings!$C:$C,A31,DB_Savings!$F:$F)=0,VLOOKUP(A31,DB_Customers!$A:$I,9,0),VLOOKUP(A31,DB_Customers!$A:$N,14,0)),"❌ Acct Not Found"))</f>
        <v/>
      </c>
      <c r="D31" s="78" t="str">
        <f t="shared" ca="1" si="0"/>
        <v/>
      </c>
      <c r="E31" s="79"/>
      <c r="F31" s="80" t="str">
        <f t="shared" si="1"/>
        <v/>
      </c>
      <c r="G31" s="39" t="s">
        <v>133</v>
      </c>
      <c r="H31" s="81"/>
      <c r="I31" s="82" t="str">
        <f>IF(A31="","Pending",IF(H31="","⚠️ Enter Agent Code",IF(IFERROR(VLOOKUP(G31,DB_Agents!$B:$I,8,0),"")=H31,IF(AND(A31&lt;&gt;"",E31&lt;&gt;""),"Saved","Pending"),"🔒 BLOCKED — Wrong Code")))</f>
        <v>Pending</v>
      </c>
      <c r="J31" s="83" t="str">
        <f t="shared" ca="1" si="2"/>
        <v>—</v>
      </c>
      <c r="K31" s="84"/>
    </row>
    <row r="32" spans="1:11" ht="15" customHeight="1" x14ac:dyDescent="0.25">
      <c r="A32" s="85"/>
      <c r="B32" s="41" t="str">
        <f>IF(A32="","",IFERROR(VLOOKUP(A32,DB_Customers!$A:$D,4,0),"❌ Account Not Found"))</f>
        <v/>
      </c>
      <c r="C32" s="86" t="str">
        <f>IF(A32="","",IFERROR(IF(SUMIF(DB_Savings!$C:$C,A32,DB_Savings!$F:$F)=0,VLOOKUP(A32,DB_Customers!$A:$I,9,0),VLOOKUP(A32,DB_Customers!$A:$N,14,0)),"❌ Acct Not Found"))</f>
        <v/>
      </c>
      <c r="D32" s="87" t="str">
        <f t="shared" ca="1" si="0"/>
        <v/>
      </c>
      <c r="E32" s="79"/>
      <c r="F32" s="88" t="str">
        <f t="shared" si="1"/>
        <v/>
      </c>
      <c r="G32" s="43" t="s">
        <v>133</v>
      </c>
      <c r="H32" s="81"/>
      <c r="I32" s="89" t="str">
        <f>IF(A32="","Pending",IF(H32="","⚠️ Enter Agent Code",IF(IFERROR(VLOOKUP(G32,DB_Agents!$B:$I,8,0),"")=H32,IF(AND(A32&lt;&gt;"",E32&lt;&gt;""),"Saved","Pending"),"🔒 BLOCKED — Wrong Code")))</f>
        <v>Pending</v>
      </c>
      <c r="J32" s="90" t="str">
        <f t="shared" ca="1" si="2"/>
        <v>—</v>
      </c>
      <c r="K32" s="91"/>
    </row>
    <row r="33" spans="1:11" ht="15" customHeight="1" x14ac:dyDescent="0.25">
      <c r="A33" s="76"/>
      <c r="B33" s="37" t="str">
        <f>IF(A33="","",IFERROR(VLOOKUP(A33,DB_Customers!$A:$D,4,0),"❌ Account Not Found"))</f>
        <v/>
      </c>
      <c r="C33" s="77" t="str">
        <f>IF(A33="","",IFERROR(IF(SUMIF(DB_Savings!$C:$C,A33,DB_Savings!$F:$F)=0,VLOOKUP(A33,DB_Customers!$A:$I,9,0),VLOOKUP(A33,DB_Customers!$A:$N,14,0)),"❌ Acct Not Found"))</f>
        <v/>
      </c>
      <c r="D33" s="78" t="str">
        <f t="shared" ca="1" si="0"/>
        <v/>
      </c>
      <c r="E33" s="79"/>
      <c r="F33" s="80" t="str">
        <f t="shared" si="1"/>
        <v/>
      </c>
      <c r="G33" s="39" t="s">
        <v>133</v>
      </c>
      <c r="H33" s="81"/>
      <c r="I33" s="82" t="str">
        <f>IF(A33="","Pending",IF(H33="","⚠️ Enter Agent Code",IF(IFERROR(VLOOKUP(G33,DB_Agents!$B:$I,8,0),"")=H33,IF(AND(A33&lt;&gt;"",E33&lt;&gt;""),"Saved","Pending"),"🔒 BLOCKED — Wrong Code")))</f>
        <v>Pending</v>
      </c>
      <c r="J33" s="83" t="str">
        <f t="shared" ca="1" si="2"/>
        <v>—</v>
      </c>
      <c r="K33" s="84"/>
    </row>
    <row r="34" spans="1:11" ht="15" customHeight="1" x14ac:dyDescent="0.25">
      <c r="A34" s="85"/>
      <c r="B34" s="41" t="str">
        <f>IF(A34="","",IFERROR(VLOOKUP(A34,DB_Customers!$A:$D,4,0),"❌ Account Not Found"))</f>
        <v/>
      </c>
      <c r="C34" s="86" t="str">
        <f>IF(A34="","",IFERROR(IF(SUMIF(DB_Savings!$C:$C,A34,DB_Savings!$F:$F)=0,VLOOKUP(A34,DB_Customers!$A:$I,9,0),VLOOKUP(A34,DB_Customers!$A:$N,14,0)),"❌ Acct Not Found"))</f>
        <v/>
      </c>
      <c r="D34" s="87" t="str">
        <f t="shared" ca="1" si="0"/>
        <v/>
      </c>
      <c r="E34" s="79"/>
      <c r="F34" s="88" t="str">
        <f t="shared" si="1"/>
        <v/>
      </c>
      <c r="G34" s="43" t="s">
        <v>133</v>
      </c>
      <c r="H34" s="81"/>
      <c r="I34" s="89" t="str">
        <f>IF(A34="","Pending",IF(H34="","⚠️ Enter Agent Code",IF(IFERROR(VLOOKUP(G34,DB_Agents!$B:$I,8,0),"")=H34,IF(AND(A34&lt;&gt;"",E34&lt;&gt;""),"Saved","Pending"),"🔒 BLOCKED — Wrong Code")))</f>
        <v>Pending</v>
      </c>
      <c r="J34" s="90" t="str">
        <f t="shared" ca="1" si="2"/>
        <v>—</v>
      </c>
      <c r="K34" s="91"/>
    </row>
    <row r="35" spans="1:11" ht="15" customHeight="1" x14ac:dyDescent="0.25">
      <c r="A35" s="76"/>
      <c r="B35" s="37" t="str">
        <f>IF(A35="","",IFERROR(VLOOKUP(A35,DB_Customers!$A:$D,4,0),"❌ Account Not Found"))</f>
        <v/>
      </c>
      <c r="C35" s="77" t="str">
        <f>IF(A35="","",IFERROR(IF(SUMIF(DB_Savings!$C:$C,A35,DB_Savings!$F:$F)=0,VLOOKUP(A35,DB_Customers!$A:$I,9,0),VLOOKUP(A35,DB_Customers!$A:$N,14,0)),"❌ Acct Not Found"))</f>
        <v/>
      </c>
      <c r="D35" s="78" t="str">
        <f t="shared" ca="1" si="0"/>
        <v/>
      </c>
      <c r="E35" s="79"/>
      <c r="F35" s="80" t="str">
        <f t="shared" si="1"/>
        <v/>
      </c>
      <c r="G35" s="39" t="s">
        <v>133</v>
      </c>
      <c r="H35" s="81"/>
      <c r="I35" s="82" t="str">
        <f>IF(A35="","Pending",IF(H35="","⚠️ Enter Agent Code",IF(IFERROR(VLOOKUP(G35,DB_Agents!$B:$I,8,0),"")=H35,IF(AND(A35&lt;&gt;"",E35&lt;&gt;""),"Saved","Pending"),"🔒 BLOCKED — Wrong Code")))</f>
        <v>Pending</v>
      </c>
      <c r="J35" s="83" t="str">
        <f t="shared" ca="1" si="2"/>
        <v>—</v>
      </c>
      <c r="K35" s="84"/>
    </row>
    <row r="36" spans="1:11" ht="15" customHeight="1" x14ac:dyDescent="0.25">
      <c r="A36" s="85"/>
      <c r="B36" s="41" t="str">
        <f>IF(A36="","",IFERROR(VLOOKUP(A36,DB_Customers!$A:$D,4,0),"❌ Account Not Found"))</f>
        <v/>
      </c>
      <c r="C36" s="86" t="str">
        <f>IF(A36="","",IFERROR(IF(SUMIF(DB_Savings!$C:$C,A36,DB_Savings!$F:$F)=0,VLOOKUP(A36,DB_Customers!$A:$I,9,0),VLOOKUP(A36,DB_Customers!$A:$N,14,0)),"❌ Acct Not Found"))</f>
        <v/>
      </c>
      <c r="D36" s="87" t="str">
        <f t="shared" ca="1" si="0"/>
        <v/>
      </c>
      <c r="E36" s="79"/>
      <c r="F36" s="88" t="str">
        <f t="shared" si="1"/>
        <v/>
      </c>
      <c r="G36" s="43" t="s">
        <v>133</v>
      </c>
      <c r="H36" s="81"/>
      <c r="I36" s="89" t="str">
        <f>IF(A36="","Pending",IF(H36="","⚠️ Enter Agent Code",IF(IFERROR(VLOOKUP(G36,DB_Agents!$B:$I,8,0),"")=H36,IF(AND(A36&lt;&gt;"",E36&lt;&gt;""),"Saved","Pending"),"🔒 BLOCKED — Wrong Code")))</f>
        <v>Pending</v>
      </c>
      <c r="J36" s="90" t="str">
        <f t="shared" ca="1" si="2"/>
        <v>—</v>
      </c>
      <c r="K36" s="91"/>
    </row>
    <row r="37" spans="1:11" ht="15" customHeight="1" x14ac:dyDescent="0.25">
      <c r="A37" s="76"/>
      <c r="B37" s="37" t="str">
        <f>IF(A37="","",IFERROR(VLOOKUP(A37,DB_Customers!$A:$D,4,0),"❌ Account Not Found"))</f>
        <v/>
      </c>
      <c r="C37" s="77" t="str">
        <f>IF(A37="","",IFERROR(IF(SUMIF(DB_Savings!$C:$C,A37,DB_Savings!$F:$F)=0,VLOOKUP(A37,DB_Customers!$A:$I,9,0),VLOOKUP(A37,DB_Customers!$A:$N,14,0)),"❌ Acct Not Found"))</f>
        <v/>
      </c>
      <c r="D37" s="78" t="str">
        <f t="shared" ca="1" si="0"/>
        <v/>
      </c>
      <c r="E37" s="79"/>
      <c r="F37" s="80" t="str">
        <f t="shared" si="1"/>
        <v/>
      </c>
      <c r="G37" s="39" t="s">
        <v>133</v>
      </c>
      <c r="H37" s="81"/>
      <c r="I37" s="82" t="str">
        <f>IF(A37="","Pending",IF(H37="","⚠️ Enter Agent Code",IF(IFERROR(VLOOKUP(G37,DB_Agents!$B:$I,8,0),"")=H37,IF(AND(A37&lt;&gt;"",E37&lt;&gt;""),"Saved","Pending"),"🔒 BLOCKED — Wrong Code")))</f>
        <v>Pending</v>
      </c>
      <c r="J37" s="83" t="str">
        <f t="shared" ca="1" si="2"/>
        <v>—</v>
      </c>
      <c r="K37" s="84"/>
    </row>
    <row r="38" spans="1:11" ht="15" customHeight="1" x14ac:dyDescent="0.25">
      <c r="A38" s="85"/>
      <c r="B38" s="41" t="str">
        <f>IF(A38="","",IFERROR(VLOOKUP(A38,DB_Customers!$A:$D,4,0),"❌ Account Not Found"))</f>
        <v/>
      </c>
      <c r="C38" s="86" t="str">
        <f>IF(A38="","",IFERROR(IF(SUMIF(DB_Savings!$C:$C,A38,DB_Savings!$F:$F)=0,VLOOKUP(A38,DB_Customers!$A:$I,9,0),VLOOKUP(A38,DB_Customers!$A:$N,14,0)),"❌ Acct Not Found"))</f>
        <v/>
      </c>
      <c r="D38" s="87" t="str">
        <f t="shared" ca="1" si="0"/>
        <v/>
      </c>
      <c r="E38" s="79"/>
      <c r="F38" s="88" t="str">
        <f t="shared" si="1"/>
        <v/>
      </c>
      <c r="G38" s="43" t="s">
        <v>133</v>
      </c>
      <c r="H38" s="81"/>
      <c r="I38" s="89" t="str">
        <f>IF(A38="","Pending",IF(H38="","⚠️ Enter Agent Code",IF(IFERROR(VLOOKUP(G38,DB_Agents!$B:$I,8,0),"")=H38,IF(AND(A38&lt;&gt;"",E38&lt;&gt;""),"Saved","Pending"),"🔒 BLOCKED — Wrong Code")))</f>
        <v>Pending</v>
      </c>
      <c r="J38" s="90" t="str">
        <f t="shared" ca="1" si="2"/>
        <v>—</v>
      </c>
      <c r="K38" s="91"/>
    </row>
    <row r="39" spans="1:11" ht="15" customHeight="1" x14ac:dyDescent="0.25">
      <c r="A39" s="76"/>
      <c r="B39" s="37" t="str">
        <f>IF(A39="","",IFERROR(VLOOKUP(A39,DB_Customers!$A:$D,4,0),"❌ Account Not Found"))</f>
        <v/>
      </c>
      <c r="C39" s="77" t="str">
        <f>IF(A39="","",IFERROR(IF(SUMIF(DB_Savings!$C:$C,A39,DB_Savings!$F:$F)=0,VLOOKUP(A39,DB_Customers!$A:$I,9,0),VLOOKUP(A39,DB_Customers!$A:$N,14,0)),"❌ Acct Not Found"))</f>
        <v/>
      </c>
      <c r="D39" s="78" t="str">
        <f t="shared" ca="1" si="0"/>
        <v/>
      </c>
      <c r="E39" s="79"/>
      <c r="F39" s="80" t="str">
        <f t="shared" si="1"/>
        <v/>
      </c>
      <c r="G39" s="39" t="s">
        <v>133</v>
      </c>
      <c r="H39" s="81"/>
      <c r="I39" s="82" t="str">
        <f>IF(A39="","Pending",IF(H39="","⚠️ Enter Agent Code",IF(IFERROR(VLOOKUP(G39,DB_Agents!$B:$I,8,0),"")=H39,IF(AND(A39&lt;&gt;"",E39&lt;&gt;""),"Saved","Pending"),"🔒 BLOCKED — Wrong Code")))</f>
        <v>Pending</v>
      </c>
      <c r="J39" s="83" t="str">
        <f t="shared" ca="1" si="2"/>
        <v>—</v>
      </c>
      <c r="K39" s="84"/>
    </row>
    <row r="40" spans="1:11" ht="15" customHeight="1" x14ac:dyDescent="0.25">
      <c r="A40" s="85"/>
      <c r="B40" s="41" t="str">
        <f>IF(A40="","",IFERROR(VLOOKUP(A40,DB_Customers!$A:$D,4,0),"❌ Account Not Found"))</f>
        <v/>
      </c>
      <c r="C40" s="86" t="str">
        <f>IF(A40="","",IFERROR(IF(SUMIF(DB_Savings!$C:$C,A40,DB_Savings!$F:$F)=0,VLOOKUP(A40,DB_Customers!$A:$I,9,0),VLOOKUP(A40,DB_Customers!$A:$N,14,0)),"❌ Acct Not Found"))</f>
        <v/>
      </c>
      <c r="D40" s="87" t="str">
        <f t="shared" ca="1" si="0"/>
        <v/>
      </c>
      <c r="E40" s="79"/>
      <c r="F40" s="88" t="str">
        <f t="shared" si="1"/>
        <v/>
      </c>
      <c r="G40" s="43" t="s">
        <v>133</v>
      </c>
      <c r="H40" s="81"/>
      <c r="I40" s="89" t="str">
        <f>IF(A40="","Pending",IF(H40="","⚠️ Enter Agent Code",IF(IFERROR(VLOOKUP(G40,DB_Agents!$B:$I,8,0),"")=H40,IF(AND(A40&lt;&gt;"",E40&lt;&gt;""),"Saved","Pending"),"🔒 BLOCKED — Wrong Code")))</f>
        <v>Pending</v>
      </c>
      <c r="J40" s="90" t="str">
        <f t="shared" ca="1" si="2"/>
        <v>—</v>
      </c>
      <c r="K40" s="91"/>
    </row>
    <row r="41" spans="1:11" ht="15" customHeight="1" x14ac:dyDescent="0.25">
      <c r="A41" s="76"/>
      <c r="B41" s="37" t="str">
        <f>IF(A41="","",IFERROR(VLOOKUP(A41,DB_Customers!$A:$D,4,0),"❌ Account Not Found"))</f>
        <v/>
      </c>
      <c r="C41" s="77" t="str">
        <f>IF(A41="","",IFERROR(IF(SUMIF(DB_Savings!$C:$C,A41,DB_Savings!$F:$F)=0,VLOOKUP(A41,DB_Customers!$A:$I,9,0),VLOOKUP(A41,DB_Customers!$A:$N,14,0)),"❌ Acct Not Found"))</f>
        <v/>
      </c>
      <c r="D41" s="78" t="str">
        <f t="shared" ref="D41:D72" ca="1" si="3">IF(A41="","",TODAY())</f>
        <v/>
      </c>
      <c r="E41" s="79"/>
      <c r="F41" s="80" t="str">
        <f t="shared" ref="F41:F72" si="4">IF(OR(A41="",E41=""),"",IF(C41="","",C41+E41))</f>
        <v/>
      </c>
      <c r="G41" s="39" t="s">
        <v>133</v>
      </c>
      <c r="H41" s="81"/>
      <c r="I41" s="82" t="str">
        <f>IF(A41="","Pending",IF(H41="","⚠️ Enter Agent Code",IF(IFERROR(VLOOKUP(G41,DB_Agents!$B:$I,8,0),"")=H41,IF(AND(A41&lt;&gt;"",E41&lt;&gt;""),"Saved","Pending"),"🔒 BLOCKED — Wrong Code")))</f>
        <v>Pending</v>
      </c>
      <c r="J41" s="83" t="str">
        <f t="shared" ref="J41:J72" ca="1" si="5">IF(I41="Saved",TEXT(TODAY(),"YYYY-MM-DD")&amp;" Auto","—")</f>
        <v>—</v>
      </c>
      <c r="K41" s="84"/>
    </row>
    <row r="42" spans="1:11" ht="15" customHeight="1" x14ac:dyDescent="0.25">
      <c r="A42" s="85"/>
      <c r="B42" s="41" t="str">
        <f>IF(A42="","",IFERROR(VLOOKUP(A42,DB_Customers!$A:$D,4,0),"❌ Account Not Found"))</f>
        <v/>
      </c>
      <c r="C42" s="86" t="str">
        <f>IF(A42="","",IFERROR(IF(SUMIF(DB_Savings!$C:$C,A42,DB_Savings!$F:$F)=0,VLOOKUP(A42,DB_Customers!$A:$I,9,0),VLOOKUP(A42,DB_Customers!$A:$N,14,0)),"❌ Acct Not Found"))</f>
        <v/>
      </c>
      <c r="D42" s="87" t="str">
        <f t="shared" ca="1" si="3"/>
        <v/>
      </c>
      <c r="E42" s="79"/>
      <c r="F42" s="88" t="str">
        <f t="shared" si="4"/>
        <v/>
      </c>
      <c r="G42" s="43" t="s">
        <v>133</v>
      </c>
      <c r="H42" s="81"/>
      <c r="I42" s="89" t="str">
        <f>IF(A42="","Pending",IF(H42="","⚠️ Enter Agent Code",IF(IFERROR(VLOOKUP(G42,DB_Agents!$B:$I,8,0),"")=H42,IF(AND(A42&lt;&gt;"",E42&lt;&gt;""),"Saved","Pending"),"🔒 BLOCKED — Wrong Code")))</f>
        <v>Pending</v>
      </c>
      <c r="J42" s="90" t="str">
        <f t="shared" ca="1" si="5"/>
        <v>—</v>
      </c>
      <c r="K42" s="91"/>
    </row>
    <row r="43" spans="1:11" ht="15" customHeight="1" x14ac:dyDescent="0.25">
      <c r="A43" s="76"/>
      <c r="B43" s="37" t="str">
        <f>IF(A43="","",IFERROR(VLOOKUP(A43,DB_Customers!$A:$D,4,0),"❌ Account Not Found"))</f>
        <v/>
      </c>
      <c r="C43" s="77" t="str">
        <f>IF(A43="","",IFERROR(IF(SUMIF(DB_Savings!$C:$C,A43,DB_Savings!$F:$F)=0,VLOOKUP(A43,DB_Customers!$A:$I,9,0),VLOOKUP(A43,DB_Customers!$A:$N,14,0)),"❌ Acct Not Found"))</f>
        <v/>
      </c>
      <c r="D43" s="78" t="str">
        <f t="shared" ca="1" si="3"/>
        <v/>
      </c>
      <c r="E43" s="79"/>
      <c r="F43" s="80" t="str">
        <f t="shared" si="4"/>
        <v/>
      </c>
      <c r="G43" s="39" t="s">
        <v>133</v>
      </c>
      <c r="H43" s="81"/>
      <c r="I43" s="82" t="str">
        <f>IF(A43="","Pending",IF(H43="","⚠️ Enter Agent Code",IF(IFERROR(VLOOKUP(G43,DB_Agents!$B:$I,8,0),"")=H43,IF(AND(A43&lt;&gt;"",E43&lt;&gt;""),"Saved","Pending"),"🔒 BLOCKED — Wrong Code")))</f>
        <v>Pending</v>
      </c>
      <c r="J43" s="83" t="str">
        <f t="shared" ca="1" si="5"/>
        <v>—</v>
      </c>
      <c r="K43" s="84"/>
    </row>
    <row r="44" spans="1:11" ht="15" customHeight="1" x14ac:dyDescent="0.25">
      <c r="A44" s="85"/>
      <c r="B44" s="41" t="str">
        <f>IF(A44="","",IFERROR(VLOOKUP(A44,DB_Customers!$A:$D,4,0),"❌ Account Not Found"))</f>
        <v/>
      </c>
      <c r="C44" s="86" t="str">
        <f>IF(A44="","",IFERROR(IF(SUMIF(DB_Savings!$C:$C,A44,DB_Savings!$F:$F)=0,VLOOKUP(A44,DB_Customers!$A:$I,9,0),VLOOKUP(A44,DB_Customers!$A:$N,14,0)),"❌ Acct Not Found"))</f>
        <v/>
      </c>
      <c r="D44" s="87" t="str">
        <f t="shared" ca="1" si="3"/>
        <v/>
      </c>
      <c r="E44" s="79"/>
      <c r="F44" s="88" t="str">
        <f t="shared" si="4"/>
        <v/>
      </c>
      <c r="G44" s="43" t="s">
        <v>133</v>
      </c>
      <c r="H44" s="81"/>
      <c r="I44" s="89" t="str">
        <f>IF(A44="","Pending",IF(H44="","⚠️ Enter Agent Code",IF(IFERROR(VLOOKUP(G44,DB_Agents!$B:$I,8,0),"")=H44,IF(AND(A44&lt;&gt;"",E44&lt;&gt;""),"Saved","Pending"),"🔒 BLOCKED — Wrong Code")))</f>
        <v>Pending</v>
      </c>
      <c r="J44" s="90" t="str">
        <f t="shared" ca="1" si="5"/>
        <v>—</v>
      </c>
      <c r="K44" s="91"/>
    </row>
    <row r="45" spans="1:11" ht="15" customHeight="1" x14ac:dyDescent="0.25">
      <c r="A45" s="76"/>
      <c r="B45" s="37" t="str">
        <f>IF(A45="","",IFERROR(VLOOKUP(A45,DB_Customers!$A:$D,4,0),"❌ Account Not Found"))</f>
        <v/>
      </c>
      <c r="C45" s="77" t="str">
        <f>IF(A45="","",IFERROR(IF(SUMIF(DB_Savings!$C:$C,A45,DB_Savings!$F:$F)=0,VLOOKUP(A45,DB_Customers!$A:$I,9,0),VLOOKUP(A45,DB_Customers!$A:$N,14,0)),"❌ Acct Not Found"))</f>
        <v/>
      </c>
      <c r="D45" s="78" t="str">
        <f t="shared" ca="1" si="3"/>
        <v/>
      </c>
      <c r="E45" s="79"/>
      <c r="F45" s="80" t="str">
        <f t="shared" si="4"/>
        <v/>
      </c>
      <c r="G45" s="39" t="s">
        <v>133</v>
      </c>
      <c r="H45" s="81"/>
      <c r="I45" s="82" t="str">
        <f>IF(A45="","Pending",IF(H45="","⚠️ Enter Agent Code",IF(IFERROR(VLOOKUP(G45,DB_Agents!$B:$I,8,0),"")=H45,IF(AND(A45&lt;&gt;"",E45&lt;&gt;""),"Saved","Pending"),"🔒 BLOCKED — Wrong Code")))</f>
        <v>Pending</v>
      </c>
      <c r="J45" s="83" t="str">
        <f t="shared" ca="1" si="5"/>
        <v>—</v>
      </c>
      <c r="K45" s="84"/>
    </row>
    <row r="46" spans="1:11" ht="15" customHeight="1" x14ac:dyDescent="0.25">
      <c r="A46" s="85"/>
      <c r="B46" s="41" t="str">
        <f>IF(A46="","",IFERROR(VLOOKUP(A46,DB_Customers!$A:$D,4,0),"❌ Account Not Found"))</f>
        <v/>
      </c>
      <c r="C46" s="86" t="str">
        <f>IF(A46="","",IFERROR(IF(SUMIF(DB_Savings!$C:$C,A46,DB_Savings!$F:$F)=0,VLOOKUP(A46,DB_Customers!$A:$I,9,0),VLOOKUP(A46,DB_Customers!$A:$N,14,0)),"❌ Acct Not Found"))</f>
        <v/>
      </c>
      <c r="D46" s="87" t="str">
        <f t="shared" ca="1" si="3"/>
        <v/>
      </c>
      <c r="E46" s="79"/>
      <c r="F46" s="88" t="str">
        <f t="shared" si="4"/>
        <v/>
      </c>
      <c r="G46" s="43" t="s">
        <v>133</v>
      </c>
      <c r="H46" s="81"/>
      <c r="I46" s="89" t="str">
        <f>IF(A46="","Pending",IF(H46="","⚠️ Enter Agent Code",IF(IFERROR(VLOOKUP(G46,DB_Agents!$B:$I,8,0),"")=H46,IF(AND(A46&lt;&gt;"",E46&lt;&gt;""),"Saved","Pending"),"🔒 BLOCKED — Wrong Code")))</f>
        <v>Pending</v>
      </c>
      <c r="J46" s="90" t="str">
        <f t="shared" ca="1" si="5"/>
        <v>—</v>
      </c>
      <c r="K46" s="91"/>
    </row>
    <row r="47" spans="1:11" ht="15" customHeight="1" x14ac:dyDescent="0.25">
      <c r="A47" s="76"/>
      <c r="B47" s="37" t="str">
        <f>IF(A47="","",IFERROR(VLOOKUP(A47,DB_Customers!$A:$D,4,0),"❌ Account Not Found"))</f>
        <v/>
      </c>
      <c r="C47" s="77" t="str">
        <f>IF(A47="","",IFERROR(IF(SUMIF(DB_Savings!$C:$C,A47,DB_Savings!$F:$F)=0,VLOOKUP(A47,DB_Customers!$A:$I,9,0),VLOOKUP(A47,DB_Customers!$A:$N,14,0)),"❌ Acct Not Found"))</f>
        <v/>
      </c>
      <c r="D47" s="78" t="str">
        <f t="shared" ca="1" si="3"/>
        <v/>
      </c>
      <c r="E47" s="79"/>
      <c r="F47" s="80" t="str">
        <f t="shared" si="4"/>
        <v/>
      </c>
      <c r="G47" s="39" t="s">
        <v>133</v>
      </c>
      <c r="H47" s="81"/>
      <c r="I47" s="82" t="str">
        <f>IF(A47="","Pending",IF(H47="","⚠️ Enter Agent Code",IF(IFERROR(VLOOKUP(G47,DB_Agents!$B:$I,8,0),"")=H47,IF(AND(A47&lt;&gt;"",E47&lt;&gt;""),"Saved","Pending"),"🔒 BLOCKED — Wrong Code")))</f>
        <v>Pending</v>
      </c>
      <c r="J47" s="83" t="str">
        <f t="shared" ca="1" si="5"/>
        <v>—</v>
      </c>
      <c r="K47" s="84"/>
    </row>
    <row r="48" spans="1:11" ht="15" customHeight="1" x14ac:dyDescent="0.25">
      <c r="A48" s="85"/>
      <c r="B48" s="41" t="str">
        <f>IF(A48="","",IFERROR(VLOOKUP(A48,DB_Customers!$A:$D,4,0),"❌ Account Not Found"))</f>
        <v/>
      </c>
      <c r="C48" s="86" t="str">
        <f>IF(A48="","",IFERROR(IF(SUMIF(DB_Savings!$C:$C,A48,DB_Savings!$F:$F)=0,VLOOKUP(A48,DB_Customers!$A:$I,9,0),VLOOKUP(A48,DB_Customers!$A:$N,14,0)),"❌ Acct Not Found"))</f>
        <v/>
      </c>
      <c r="D48" s="87" t="str">
        <f t="shared" ca="1" si="3"/>
        <v/>
      </c>
      <c r="E48" s="79"/>
      <c r="F48" s="88" t="str">
        <f t="shared" si="4"/>
        <v/>
      </c>
      <c r="G48" s="43" t="s">
        <v>133</v>
      </c>
      <c r="H48" s="81"/>
      <c r="I48" s="89" t="str">
        <f>IF(A48="","Pending",IF(H48="","⚠️ Enter Agent Code",IF(IFERROR(VLOOKUP(G48,DB_Agents!$B:$I,8,0),"")=H48,IF(AND(A48&lt;&gt;"",E48&lt;&gt;""),"Saved","Pending"),"🔒 BLOCKED — Wrong Code")))</f>
        <v>Pending</v>
      </c>
      <c r="J48" s="90" t="str">
        <f t="shared" ca="1" si="5"/>
        <v>—</v>
      </c>
      <c r="K48" s="91"/>
    </row>
    <row r="49" spans="1:11" ht="15" customHeight="1" x14ac:dyDescent="0.25">
      <c r="A49" s="76"/>
      <c r="B49" s="37" t="str">
        <f>IF(A49="","",IFERROR(VLOOKUP(A49,DB_Customers!$A:$D,4,0),"❌ Account Not Found"))</f>
        <v/>
      </c>
      <c r="C49" s="77" t="str">
        <f>IF(A49="","",IFERROR(IF(SUMIF(DB_Savings!$C:$C,A49,DB_Savings!$F:$F)=0,VLOOKUP(A49,DB_Customers!$A:$I,9,0),VLOOKUP(A49,DB_Customers!$A:$N,14,0)),"❌ Acct Not Found"))</f>
        <v/>
      </c>
      <c r="D49" s="78" t="str">
        <f t="shared" ca="1" si="3"/>
        <v/>
      </c>
      <c r="E49" s="79"/>
      <c r="F49" s="80" t="str">
        <f t="shared" si="4"/>
        <v/>
      </c>
      <c r="G49" s="39" t="s">
        <v>133</v>
      </c>
      <c r="H49" s="81"/>
      <c r="I49" s="82" t="str">
        <f>IF(A49="","Pending",IF(H49="","⚠️ Enter Agent Code",IF(IFERROR(VLOOKUP(G49,DB_Agents!$B:$I,8,0),"")=H49,IF(AND(A49&lt;&gt;"",E49&lt;&gt;""),"Saved","Pending"),"🔒 BLOCKED — Wrong Code")))</f>
        <v>Pending</v>
      </c>
      <c r="J49" s="83" t="str">
        <f t="shared" ca="1" si="5"/>
        <v>—</v>
      </c>
      <c r="K49" s="84"/>
    </row>
    <row r="50" spans="1:11" ht="15" customHeight="1" x14ac:dyDescent="0.25">
      <c r="A50" s="85"/>
      <c r="B50" s="41" t="str">
        <f>IF(A50="","",IFERROR(VLOOKUP(A50,DB_Customers!$A:$D,4,0),"❌ Account Not Found"))</f>
        <v/>
      </c>
      <c r="C50" s="86" t="str">
        <f>IF(A50="","",IFERROR(IF(SUMIF(DB_Savings!$C:$C,A50,DB_Savings!$F:$F)=0,VLOOKUP(A50,DB_Customers!$A:$I,9,0),VLOOKUP(A50,DB_Customers!$A:$N,14,0)),"❌ Acct Not Found"))</f>
        <v/>
      </c>
      <c r="D50" s="87" t="str">
        <f t="shared" ca="1" si="3"/>
        <v/>
      </c>
      <c r="E50" s="79"/>
      <c r="F50" s="88" t="str">
        <f t="shared" si="4"/>
        <v/>
      </c>
      <c r="G50" s="43" t="s">
        <v>133</v>
      </c>
      <c r="H50" s="81"/>
      <c r="I50" s="89" t="str">
        <f>IF(A50="","Pending",IF(H50="","⚠️ Enter Agent Code",IF(IFERROR(VLOOKUP(G50,DB_Agents!$B:$I,8,0),"")=H50,IF(AND(A50&lt;&gt;"",E50&lt;&gt;""),"Saved","Pending"),"🔒 BLOCKED — Wrong Code")))</f>
        <v>Pending</v>
      </c>
      <c r="J50" s="90" t="str">
        <f t="shared" ca="1" si="5"/>
        <v>—</v>
      </c>
      <c r="K50" s="91"/>
    </row>
    <row r="51" spans="1:11" ht="15" customHeight="1" x14ac:dyDescent="0.25">
      <c r="A51" s="76"/>
      <c r="B51" s="37" t="str">
        <f>IF(A51="","",IFERROR(VLOOKUP(A51,DB_Customers!$A:$D,4,0),"❌ Account Not Found"))</f>
        <v/>
      </c>
      <c r="C51" s="77" t="str">
        <f>IF(A51="","",IFERROR(IF(SUMIF(DB_Savings!$C:$C,A51,DB_Savings!$F:$F)=0,VLOOKUP(A51,DB_Customers!$A:$I,9,0),VLOOKUP(A51,DB_Customers!$A:$N,14,0)),"❌ Acct Not Found"))</f>
        <v/>
      </c>
      <c r="D51" s="78" t="str">
        <f t="shared" ca="1" si="3"/>
        <v/>
      </c>
      <c r="E51" s="79"/>
      <c r="F51" s="80" t="str">
        <f t="shared" si="4"/>
        <v/>
      </c>
      <c r="G51" s="39" t="s">
        <v>133</v>
      </c>
      <c r="H51" s="81"/>
      <c r="I51" s="82" t="str">
        <f>IF(A51="","Pending",IF(H51="","⚠️ Enter Agent Code",IF(IFERROR(VLOOKUP(G51,DB_Agents!$B:$I,8,0),"")=H51,IF(AND(A51&lt;&gt;"",E51&lt;&gt;""),"Saved","Pending"),"🔒 BLOCKED — Wrong Code")))</f>
        <v>Pending</v>
      </c>
      <c r="J51" s="83" t="str">
        <f t="shared" ca="1" si="5"/>
        <v>—</v>
      </c>
      <c r="K51" s="84"/>
    </row>
    <row r="52" spans="1:11" ht="15" customHeight="1" x14ac:dyDescent="0.25">
      <c r="A52" s="85"/>
      <c r="B52" s="41" t="str">
        <f>IF(A52="","",IFERROR(VLOOKUP(A52,DB_Customers!$A:$D,4,0),"❌ Account Not Found"))</f>
        <v/>
      </c>
      <c r="C52" s="86" t="str">
        <f>IF(A52="","",IFERROR(IF(SUMIF(DB_Savings!$C:$C,A52,DB_Savings!$F:$F)=0,VLOOKUP(A52,DB_Customers!$A:$I,9,0),VLOOKUP(A52,DB_Customers!$A:$N,14,0)),"❌ Acct Not Found"))</f>
        <v/>
      </c>
      <c r="D52" s="87" t="str">
        <f t="shared" ca="1" si="3"/>
        <v/>
      </c>
      <c r="E52" s="79"/>
      <c r="F52" s="88" t="str">
        <f t="shared" si="4"/>
        <v/>
      </c>
      <c r="G52" s="43" t="s">
        <v>133</v>
      </c>
      <c r="H52" s="81"/>
      <c r="I52" s="89" t="str">
        <f>IF(A52="","Pending",IF(H52="","⚠️ Enter Agent Code",IF(IFERROR(VLOOKUP(G52,DB_Agents!$B:$I,8,0),"")=H52,IF(AND(A52&lt;&gt;"",E52&lt;&gt;""),"Saved","Pending"),"🔒 BLOCKED — Wrong Code")))</f>
        <v>Pending</v>
      </c>
      <c r="J52" s="90" t="str">
        <f t="shared" ca="1" si="5"/>
        <v>—</v>
      </c>
      <c r="K52" s="91"/>
    </row>
    <row r="53" spans="1:11" ht="15" customHeight="1" x14ac:dyDescent="0.25">
      <c r="A53" s="76"/>
      <c r="B53" s="37" t="str">
        <f>IF(A53="","",IFERROR(VLOOKUP(A53,DB_Customers!$A:$D,4,0),"❌ Account Not Found"))</f>
        <v/>
      </c>
      <c r="C53" s="77" t="str">
        <f>IF(A53="","",IFERROR(IF(SUMIF(DB_Savings!$C:$C,A53,DB_Savings!$F:$F)=0,VLOOKUP(A53,DB_Customers!$A:$I,9,0),VLOOKUP(A53,DB_Customers!$A:$N,14,0)),"❌ Acct Not Found"))</f>
        <v/>
      </c>
      <c r="D53" s="78" t="str">
        <f t="shared" ca="1" si="3"/>
        <v/>
      </c>
      <c r="E53" s="79"/>
      <c r="F53" s="80" t="str">
        <f t="shared" si="4"/>
        <v/>
      </c>
      <c r="G53" s="39" t="s">
        <v>133</v>
      </c>
      <c r="H53" s="81"/>
      <c r="I53" s="82" t="str">
        <f>IF(A53="","Pending",IF(H53="","⚠️ Enter Agent Code",IF(IFERROR(VLOOKUP(G53,DB_Agents!$B:$I,8,0),"")=H53,IF(AND(A53&lt;&gt;"",E53&lt;&gt;""),"Saved","Pending"),"🔒 BLOCKED — Wrong Code")))</f>
        <v>Pending</v>
      </c>
      <c r="J53" s="83" t="str">
        <f t="shared" ca="1" si="5"/>
        <v>—</v>
      </c>
      <c r="K53" s="84"/>
    </row>
    <row r="54" spans="1:11" ht="15" customHeight="1" x14ac:dyDescent="0.25">
      <c r="A54" s="85"/>
      <c r="B54" s="41" t="str">
        <f>IF(A54="","",IFERROR(VLOOKUP(A54,DB_Customers!$A:$D,4,0),"❌ Account Not Found"))</f>
        <v/>
      </c>
      <c r="C54" s="86" t="str">
        <f>IF(A54="","",IFERROR(IF(SUMIF(DB_Savings!$C:$C,A54,DB_Savings!$F:$F)=0,VLOOKUP(A54,DB_Customers!$A:$I,9,0),VLOOKUP(A54,DB_Customers!$A:$N,14,0)),"❌ Acct Not Found"))</f>
        <v/>
      </c>
      <c r="D54" s="87" t="str">
        <f t="shared" ca="1" si="3"/>
        <v/>
      </c>
      <c r="E54" s="79"/>
      <c r="F54" s="88" t="str">
        <f t="shared" si="4"/>
        <v/>
      </c>
      <c r="G54" s="43" t="s">
        <v>133</v>
      </c>
      <c r="H54" s="81"/>
      <c r="I54" s="89" t="str">
        <f>IF(A54="","Pending",IF(H54="","⚠️ Enter Agent Code",IF(IFERROR(VLOOKUP(G54,DB_Agents!$B:$I,8,0),"")=H54,IF(AND(A54&lt;&gt;"",E54&lt;&gt;""),"Saved","Pending"),"🔒 BLOCKED — Wrong Code")))</f>
        <v>Pending</v>
      </c>
      <c r="J54" s="90" t="str">
        <f t="shared" ca="1" si="5"/>
        <v>—</v>
      </c>
      <c r="K54" s="91"/>
    </row>
    <row r="55" spans="1:11" ht="15" customHeight="1" x14ac:dyDescent="0.25">
      <c r="A55" s="76"/>
      <c r="B55" s="37" t="str">
        <f>IF(A55="","",IFERROR(VLOOKUP(A55,DB_Customers!$A:$D,4,0),"❌ Account Not Found"))</f>
        <v/>
      </c>
      <c r="C55" s="77" t="str">
        <f>IF(A55="","",IFERROR(IF(SUMIF(DB_Savings!$C:$C,A55,DB_Savings!$F:$F)=0,VLOOKUP(A55,DB_Customers!$A:$I,9,0),VLOOKUP(A55,DB_Customers!$A:$N,14,0)),"❌ Acct Not Found"))</f>
        <v/>
      </c>
      <c r="D55" s="78" t="str">
        <f t="shared" ca="1" si="3"/>
        <v/>
      </c>
      <c r="E55" s="79"/>
      <c r="F55" s="80" t="str">
        <f t="shared" si="4"/>
        <v/>
      </c>
      <c r="G55" s="39" t="s">
        <v>133</v>
      </c>
      <c r="H55" s="81"/>
      <c r="I55" s="82" t="str">
        <f>IF(A55="","Pending",IF(H55="","⚠️ Enter Agent Code",IF(IFERROR(VLOOKUP(G55,DB_Agents!$B:$I,8,0),"")=H55,IF(AND(A55&lt;&gt;"",E55&lt;&gt;""),"Saved","Pending"),"🔒 BLOCKED — Wrong Code")))</f>
        <v>Pending</v>
      </c>
      <c r="J55" s="83" t="str">
        <f t="shared" ca="1" si="5"/>
        <v>—</v>
      </c>
      <c r="K55" s="84"/>
    </row>
    <row r="56" spans="1:11" ht="15" customHeight="1" x14ac:dyDescent="0.25">
      <c r="A56" s="85"/>
      <c r="B56" s="41" t="str">
        <f>IF(A56="","",IFERROR(VLOOKUP(A56,DB_Customers!$A:$D,4,0),"❌ Account Not Found"))</f>
        <v/>
      </c>
      <c r="C56" s="86" t="str">
        <f>IF(A56="","",IFERROR(IF(SUMIF(DB_Savings!$C:$C,A56,DB_Savings!$F:$F)=0,VLOOKUP(A56,DB_Customers!$A:$I,9,0),VLOOKUP(A56,DB_Customers!$A:$N,14,0)),"❌ Acct Not Found"))</f>
        <v/>
      </c>
      <c r="D56" s="87" t="str">
        <f t="shared" ca="1" si="3"/>
        <v/>
      </c>
      <c r="E56" s="79"/>
      <c r="F56" s="88" t="str">
        <f t="shared" si="4"/>
        <v/>
      </c>
      <c r="G56" s="43" t="s">
        <v>133</v>
      </c>
      <c r="H56" s="81"/>
      <c r="I56" s="89" t="str">
        <f>IF(A56="","Pending",IF(H56="","⚠️ Enter Agent Code",IF(IFERROR(VLOOKUP(G56,DB_Agents!$B:$I,8,0),"")=H56,IF(AND(A56&lt;&gt;"",E56&lt;&gt;""),"Saved","Pending"),"🔒 BLOCKED — Wrong Code")))</f>
        <v>Pending</v>
      </c>
      <c r="J56" s="90" t="str">
        <f t="shared" ca="1" si="5"/>
        <v>—</v>
      </c>
      <c r="K56" s="91"/>
    </row>
    <row r="57" spans="1:11" ht="15" customHeight="1" x14ac:dyDescent="0.25">
      <c r="A57" s="76"/>
      <c r="B57" s="37" t="str">
        <f>IF(A57="","",IFERROR(VLOOKUP(A57,DB_Customers!$A:$D,4,0),"❌ Account Not Found"))</f>
        <v/>
      </c>
      <c r="C57" s="77" t="str">
        <f>IF(A57="","",IFERROR(IF(SUMIF(DB_Savings!$C:$C,A57,DB_Savings!$F:$F)=0,VLOOKUP(A57,DB_Customers!$A:$I,9,0),VLOOKUP(A57,DB_Customers!$A:$N,14,0)),"❌ Acct Not Found"))</f>
        <v/>
      </c>
      <c r="D57" s="78" t="str">
        <f t="shared" ca="1" si="3"/>
        <v/>
      </c>
      <c r="E57" s="79"/>
      <c r="F57" s="80" t="str">
        <f t="shared" si="4"/>
        <v/>
      </c>
      <c r="G57" s="39" t="s">
        <v>133</v>
      </c>
      <c r="H57" s="81"/>
      <c r="I57" s="82" t="str">
        <f>IF(A57="","Pending",IF(H57="","⚠️ Enter Agent Code",IF(IFERROR(VLOOKUP(G57,DB_Agents!$B:$I,8,0),"")=H57,IF(AND(A57&lt;&gt;"",E57&lt;&gt;""),"Saved","Pending"),"🔒 BLOCKED — Wrong Code")))</f>
        <v>Pending</v>
      </c>
      <c r="J57" s="83" t="str">
        <f t="shared" ca="1" si="5"/>
        <v>—</v>
      </c>
      <c r="K57" s="84"/>
    </row>
    <row r="58" spans="1:11" ht="15" customHeight="1" x14ac:dyDescent="0.25">
      <c r="A58" s="85"/>
      <c r="B58" s="41" t="str">
        <f>IF(A58="","",IFERROR(VLOOKUP(A58,DB_Customers!$A:$D,4,0),"❌ Account Not Found"))</f>
        <v/>
      </c>
      <c r="C58" s="86" t="str">
        <f>IF(A58="","",IFERROR(IF(SUMIF(DB_Savings!$C:$C,A58,DB_Savings!$F:$F)=0,VLOOKUP(A58,DB_Customers!$A:$I,9,0),VLOOKUP(A58,DB_Customers!$A:$N,14,0)),"❌ Acct Not Found"))</f>
        <v/>
      </c>
      <c r="D58" s="87" t="str">
        <f t="shared" ca="1" si="3"/>
        <v/>
      </c>
      <c r="E58" s="79"/>
      <c r="F58" s="88" t="str">
        <f t="shared" si="4"/>
        <v/>
      </c>
      <c r="G58" s="43" t="s">
        <v>133</v>
      </c>
      <c r="H58" s="81"/>
      <c r="I58" s="89" t="str">
        <f>IF(A58="","Pending",IF(H58="","⚠️ Enter Agent Code",IF(IFERROR(VLOOKUP(G58,DB_Agents!$B:$I,8,0),"")=H58,IF(AND(A58&lt;&gt;"",E58&lt;&gt;""),"Saved","Pending"),"🔒 BLOCKED — Wrong Code")))</f>
        <v>Pending</v>
      </c>
      <c r="J58" s="90" t="str">
        <f t="shared" ca="1" si="5"/>
        <v>—</v>
      </c>
      <c r="K58" s="91"/>
    </row>
    <row r="59" spans="1:11" ht="15" customHeight="1" x14ac:dyDescent="0.25">
      <c r="A59" s="76"/>
      <c r="B59" s="37" t="str">
        <f>IF(A59="","",IFERROR(VLOOKUP(A59,DB_Customers!$A:$D,4,0),"❌ Account Not Found"))</f>
        <v/>
      </c>
      <c r="C59" s="77" t="str">
        <f>IF(A59="","",IFERROR(IF(SUMIF(DB_Savings!$C:$C,A59,DB_Savings!$F:$F)=0,VLOOKUP(A59,DB_Customers!$A:$I,9,0),VLOOKUP(A59,DB_Customers!$A:$N,14,0)),"❌ Acct Not Found"))</f>
        <v/>
      </c>
      <c r="D59" s="78" t="str">
        <f t="shared" ca="1" si="3"/>
        <v/>
      </c>
      <c r="E59" s="79"/>
      <c r="F59" s="80" t="str">
        <f t="shared" si="4"/>
        <v/>
      </c>
      <c r="G59" s="39" t="s">
        <v>133</v>
      </c>
      <c r="H59" s="81"/>
      <c r="I59" s="82" t="str">
        <f>IF(A59="","Pending",IF(H59="","⚠️ Enter Agent Code",IF(IFERROR(VLOOKUP(G59,DB_Agents!$B:$I,8,0),"")=H59,IF(AND(A59&lt;&gt;"",E59&lt;&gt;""),"Saved","Pending"),"🔒 BLOCKED — Wrong Code")))</f>
        <v>Pending</v>
      </c>
      <c r="J59" s="83" t="str">
        <f t="shared" ca="1" si="5"/>
        <v>—</v>
      </c>
      <c r="K59" s="84"/>
    </row>
    <row r="60" spans="1:11" ht="15" customHeight="1" x14ac:dyDescent="0.25">
      <c r="A60" s="85"/>
      <c r="B60" s="41" t="str">
        <f>IF(A60="","",IFERROR(VLOOKUP(A60,DB_Customers!$A:$D,4,0),"❌ Account Not Found"))</f>
        <v/>
      </c>
      <c r="C60" s="86" t="str">
        <f>IF(A60="","",IFERROR(IF(SUMIF(DB_Savings!$C:$C,A60,DB_Savings!$F:$F)=0,VLOOKUP(A60,DB_Customers!$A:$I,9,0),VLOOKUP(A60,DB_Customers!$A:$N,14,0)),"❌ Acct Not Found"))</f>
        <v/>
      </c>
      <c r="D60" s="87" t="str">
        <f t="shared" ca="1" si="3"/>
        <v/>
      </c>
      <c r="E60" s="79"/>
      <c r="F60" s="88" t="str">
        <f t="shared" si="4"/>
        <v/>
      </c>
      <c r="G60" s="43" t="s">
        <v>133</v>
      </c>
      <c r="H60" s="81"/>
      <c r="I60" s="89" t="str">
        <f>IF(A60="","Pending",IF(H60="","⚠️ Enter Agent Code",IF(IFERROR(VLOOKUP(G60,DB_Agents!$B:$I,8,0),"")=H60,IF(AND(A60&lt;&gt;"",E60&lt;&gt;""),"Saved","Pending"),"🔒 BLOCKED — Wrong Code")))</f>
        <v>Pending</v>
      </c>
      <c r="J60" s="90" t="str">
        <f t="shared" ca="1" si="5"/>
        <v>—</v>
      </c>
      <c r="K60" s="91"/>
    </row>
    <row r="61" spans="1:11" ht="15" customHeight="1" x14ac:dyDescent="0.25">
      <c r="A61" s="76"/>
      <c r="B61" s="37" t="str">
        <f>IF(A61="","",IFERROR(VLOOKUP(A61,DB_Customers!$A:$D,4,0),"❌ Account Not Found"))</f>
        <v/>
      </c>
      <c r="C61" s="77" t="str">
        <f>IF(A61="","",IFERROR(IF(SUMIF(DB_Savings!$C:$C,A61,DB_Savings!$F:$F)=0,VLOOKUP(A61,DB_Customers!$A:$I,9,0),VLOOKUP(A61,DB_Customers!$A:$N,14,0)),"❌ Acct Not Found"))</f>
        <v/>
      </c>
      <c r="D61" s="78" t="str">
        <f t="shared" ca="1" si="3"/>
        <v/>
      </c>
      <c r="E61" s="79"/>
      <c r="F61" s="80" t="str">
        <f t="shared" si="4"/>
        <v/>
      </c>
      <c r="G61" s="39" t="s">
        <v>133</v>
      </c>
      <c r="H61" s="81"/>
      <c r="I61" s="82" t="str">
        <f>IF(A61="","Pending",IF(H61="","⚠️ Enter Agent Code",IF(IFERROR(VLOOKUP(G61,DB_Agents!$B:$I,8,0),"")=H61,IF(AND(A61&lt;&gt;"",E61&lt;&gt;""),"Saved","Pending"),"🔒 BLOCKED — Wrong Code")))</f>
        <v>Pending</v>
      </c>
      <c r="J61" s="83" t="str">
        <f t="shared" ca="1" si="5"/>
        <v>—</v>
      </c>
      <c r="K61" s="84"/>
    </row>
    <row r="62" spans="1:11" ht="15" customHeight="1" x14ac:dyDescent="0.25">
      <c r="A62" s="85"/>
      <c r="B62" s="41" t="str">
        <f>IF(A62="","",IFERROR(VLOOKUP(A62,DB_Customers!$A:$D,4,0),"❌ Account Not Found"))</f>
        <v/>
      </c>
      <c r="C62" s="86" t="str">
        <f>IF(A62="","",IFERROR(IF(SUMIF(DB_Savings!$C:$C,A62,DB_Savings!$F:$F)=0,VLOOKUP(A62,DB_Customers!$A:$I,9,0),VLOOKUP(A62,DB_Customers!$A:$N,14,0)),"❌ Acct Not Found"))</f>
        <v/>
      </c>
      <c r="D62" s="87" t="str">
        <f t="shared" ca="1" si="3"/>
        <v/>
      </c>
      <c r="E62" s="79"/>
      <c r="F62" s="88" t="str">
        <f t="shared" si="4"/>
        <v/>
      </c>
      <c r="G62" s="43" t="s">
        <v>133</v>
      </c>
      <c r="H62" s="81"/>
      <c r="I62" s="89" t="str">
        <f>IF(A62="","Pending",IF(H62="","⚠️ Enter Agent Code",IF(IFERROR(VLOOKUP(G62,DB_Agents!$B:$I,8,0),"")=H62,IF(AND(A62&lt;&gt;"",E62&lt;&gt;""),"Saved","Pending"),"🔒 BLOCKED — Wrong Code")))</f>
        <v>Pending</v>
      </c>
      <c r="J62" s="90" t="str">
        <f t="shared" ca="1" si="5"/>
        <v>—</v>
      </c>
      <c r="K62" s="91"/>
    </row>
    <row r="63" spans="1:11" ht="15" customHeight="1" x14ac:dyDescent="0.25">
      <c r="A63" s="76"/>
      <c r="B63" s="37" t="str">
        <f>IF(A63="","",IFERROR(VLOOKUP(A63,DB_Customers!$A:$D,4,0),"❌ Account Not Found"))</f>
        <v/>
      </c>
      <c r="C63" s="77" t="str">
        <f>IF(A63="","",IFERROR(IF(SUMIF(DB_Savings!$C:$C,A63,DB_Savings!$F:$F)=0,VLOOKUP(A63,DB_Customers!$A:$I,9,0),VLOOKUP(A63,DB_Customers!$A:$N,14,0)),"❌ Acct Not Found"))</f>
        <v/>
      </c>
      <c r="D63" s="78" t="str">
        <f t="shared" ca="1" si="3"/>
        <v/>
      </c>
      <c r="E63" s="79"/>
      <c r="F63" s="80" t="str">
        <f t="shared" si="4"/>
        <v/>
      </c>
      <c r="G63" s="39" t="s">
        <v>133</v>
      </c>
      <c r="H63" s="81"/>
      <c r="I63" s="82" t="str">
        <f>IF(A63="","Pending",IF(H63="","⚠️ Enter Agent Code",IF(IFERROR(VLOOKUP(G63,DB_Agents!$B:$I,8,0),"")=H63,IF(AND(A63&lt;&gt;"",E63&lt;&gt;""),"Saved","Pending"),"🔒 BLOCKED — Wrong Code")))</f>
        <v>Pending</v>
      </c>
      <c r="J63" s="83" t="str">
        <f t="shared" ca="1" si="5"/>
        <v>—</v>
      </c>
      <c r="K63" s="84"/>
    </row>
    <row r="64" spans="1:11" ht="15" customHeight="1" x14ac:dyDescent="0.25">
      <c r="A64" s="85"/>
      <c r="B64" s="41" t="str">
        <f>IF(A64="","",IFERROR(VLOOKUP(A64,DB_Customers!$A:$D,4,0),"❌ Account Not Found"))</f>
        <v/>
      </c>
      <c r="C64" s="86" t="str">
        <f>IF(A64="","",IFERROR(IF(SUMIF(DB_Savings!$C:$C,A64,DB_Savings!$F:$F)=0,VLOOKUP(A64,DB_Customers!$A:$I,9,0),VLOOKUP(A64,DB_Customers!$A:$N,14,0)),"❌ Acct Not Found"))</f>
        <v/>
      </c>
      <c r="D64" s="87" t="str">
        <f t="shared" ca="1" si="3"/>
        <v/>
      </c>
      <c r="E64" s="79"/>
      <c r="F64" s="88" t="str">
        <f t="shared" si="4"/>
        <v/>
      </c>
      <c r="G64" s="43" t="s">
        <v>133</v>
      </c>
      <c r="H64" s="81"/>
      <c r="I64" s="89" t="str">
        <f>IF(A64="","Pending",IF(H64="","⚠️ Enter Agent Code",IF(IFERROR(VLOOKUP(G64,DB_Agents!$B:$I,8,0),"")=H64,IF(AND(A64&lt;&gt;"",E64&lt;&gt;""),"Saved","Pending"),"🔒 BLOCKED — Wrong Code")))</f>
        <v>Pending</v>
      </c>
      <c r="J64" s="90" t="str">
        <f t="shared" ca="1" si="5"/>
        <v>—</v>
      </c>
      <c r="K64" s="91"/>
    </row>
    <row r="65" spans="1:11" ht="15" customHeight="1" x14ac:dyDescent="0.25">
      <c r="A65" s="76"/>
      <c r="B65" s="37" t="str">
        <f>IF(A65="","",IFERROR(VLOOKUP(A65,DB_Customers!$A:$D,4,0),"❌ Account Not Found"))</f>
        <v/>
      </c>
      <c r="C65" s="77" t="str">
        <f>IF(A65="","",IFERROR(IF(SUMIF(DB_Savings!$C:$C,A65,DB_Savings!$F:$F)=0,VLOOKUP(A65,DB_Customers!$A:$I,9,0),VLOOKUP(A65,DB_Customers!$A:$N,14,0)),"❌ Acct Not Found"))</f>
        <v/>
      </c>
      <c r="D65" s="78" t="str">
        <f t="shared" ca="1" si="3"/>
        <v/>
      </c>
      <c r="E65" s="79"/>
      <c r="F65" s="80" t="str">
        <f t="shared" si="4"/>
        <v/>
      </c>
      <c r="G65" s="39" t="s">
        <v>133</v>
      </c>
      <c r="H65" s="81"/>
      <c r="I65" s="82" t="str">
        <f>IF(A65="","Pending",IF(H65="","⚠️ Enter Agent Code",IF(IFERROR(VLOOKUP(G65,DB_Agents!$B:$I,8,0),"")=H65,IF(AND(A65&lt;&gt;"",E65&lt;&gt;""),"Saved","Pending"),"🔒 BLOCKED — Wrong Code")))</f>
        <v>Pending</v>
      </c>
      <c r="J65" s="83" t="str">
        <f t="shared" ca="1" si="5"/>
        <v>—</v>
      </c>
      <c r="K65" s="84"/>
    </row>
    <row r="66" spans="1:11" ht="15" customHeight="1" x14ac:dyDescent="0.25">
      <c r="A66" s="85"/>
      <c r="B66" s="41" t="str">
        <f>IF(A66="","",IFERROR(VLOOKUP(A66,DB_Customers!$A:$D,4,0),"❌ Account Not Found"))</f>
        <v/>
      </c>
      <c r="C66" s="86" t="str">
        <f>IF(A66="","",IFERROR(IF(SUMIF(DB_Savings!$C:$C,A66,DB_Savings!$F:$F)=0,VLOOKUP(A66,DB_Customers!$A:$I,9,0),VLOOKUP(A66,DB_Customers!$A:$N,14,0)),"❌ Acct Not Found"))</f>
        <v/>
      </c>
      <c r="D66" s="87" t="str">
        <f t="shared" ca="1" si="3"/>
        <v/>
      </c>
      <c r="E66" s="79"/>
      <c r="F66" s="88" t="str">
        <f t="shared" si="4"/>
        <v/>
      </c>
      <c r="G66" s="43" t="s">
        <v>133</v>
      </c>
      <c r="H66" s="81"/>
      <c r="I66" s="89" t="str">
        <f>IF(A66="","Pending",IF(H66="","⚠️ Enter Agent Code",IF(IFERROR(VLOOKUP(G66,DB_Agents!$B:$I,8,0),"")=H66,IF(AND(A66&lt;&gt;"",E66&lt;&gt;""),"Saved","Pending"),"🔒 BLOCKED — Wrong Code")))</f>
        <v>Pending</v>
      </c>
      <c r="J66" s="90" t="str">
        <f t="shared" ca="1" si="5"/>
        <v>—</v>
      </c>
      <c r="K66" s="91"/>
    </row>
    <row r="67" spans="1:11" ht="15" customHeight="1" x14ac:dyDescent="0.25">
      <c r="A67" s="76"/>
      <c r="B67" s="37" t="str">
        <f>IF(A67="","",IFERROR(VLOOKUP(A67,DB_Customers!$A:$D,4,0),"❌ Account Not Found"))</f>
        <v/>
      </c>
      <c r="C67" s="77" t="str">
        <f>IF(A67="","",IFERROR(IF(SUMIF(DB_Savings!$C:$C,A67,DB_Savings!$F:$F)=0,VLOOKUP(A67,DB_Customers!$A:$I,9,0),VLOOKUP(A67,DB_Customers!$A:$N,14,0)),"❌ Acct Not Found"))</f>
        <v/>
      </c>
      <c r="D67" s="78" t="str">
        <f t="shared" ca="1" si="3"/>
        <v/>
      </c>
      <c r="E67" s="79"/>
      <c r="F67" s="80" t="str">
        <f t="shared" si="4"/>
        <v/>
      </c>
      <c r="G67" s="39" t="s">
        <v>133</v>
      </c>
      <c r="H67" s="81"/>
      <c r="I67" s="82" t="str">
        <f>IF(A67="","Pending",IF(H67="","⚠️ Enter Agent Code",IF(IFERROR(VLOOKUP(G67,DB_Agents!$B:$I,8,0),"")=H67,IF(AND(A67&lt;&gt;"",E67&lt;&gt;""),"Saved","Pending"),"🔒 BLOCKED — Wrong Code")))</f>
        <v>Pending</v>
      </c>
      <c r="J67" s="83" t="str">
        <f t="shared" ca="1" si="5"/>
        <v>—</v>
      </c>
      <c r="K67" s="84"/>
    </row>
    <row r="68" spans="1:11" ht="15" customHeight="1" x14ac:dyDescent="0.25">
      <c r="A68" s="85"/>
      <c r="B68" s="41" t="str">
        <f>IF(A68="","",IFERROR(VLOOKUP(A68,DB_Customers!$A:$D,4,0),"❌ Account Not Found"))</f>
        <v/>
      </c>
      <c r="C68" s="86" t="str">
        <f>IF(A68="","",IFERROR(IF(SUMIF(DB_Savings!$C:$C,A68,DB_Savings!$F:$F)=0,VLOOKUP(A68,DB_Customers!$A:$I,9,0),VLOOKUP(A68,DB_Customers!$A:$N,14,0)),"❌ Acct Not Found"))</f>
        <v/>
      </c>
      <c r="D68" s="87" t="str">
        <f t="shared" ca="1" si="3"/>
        <v/>
      </c>
      <c r="E68" s="79"/>
      <c r="F68" s="88" t="str">
        <f t="shared" si="4"/>
        <v/>
      </c>
      <c r="G68" s="43" t="s">
        <v>133</v>
      </c>
      <c r="H68" s="81"/>
      <c r="I68" s="89" t="str">
        <f>IF(A68="","Pending",IF(H68="","⚠️ Enter Agent Code",IF(IFERROR(VLOOKUP(G68,DB_Agents!$B:$I,8,0),"")=H68,IF(AND(A68&lt;&gt;"",E68&lt;&gt;""),"Saved","Pending"),"🔒 BLOCKED — Wrong Code")))</f>
        <v>Pending</v>
      </c>
      <c r="J68" s="90" t="str">
        <f t="shared" ca="1" si="5"/>
        <v>—</v>
      </c>
      <c r="K68" s="91"/>
    </row>
    <row r="69" spans="1:11" ht="15" customHeight="1" x14ac:dyDescent="0.25">
      <c r="A69" s="76"/>
      <c r="B69" s="37" t="str">
        <f>IF(A69="","",IFERROR(VLOOKUP(A69,DB_Customers!$A:$D,4,0),"❌ Account Not Found"))</f>
        <v/>
      </c>
      <c r="C69" s="77" t="str">
        <f>IF(A69="","",IFERROR(IF(SUMIF(DB_Savings!$C:$C,A69,DB_Savings!$F:$F)=0,VLOOKUP(A69,DB_Customers!$A:$I,9,0),VLOOKUP(A69,DB_Customers!$A:$N,14,0)),"❌ Acct Not Found"))</f>
        <v/>
      </c>
      <c r="D69" s="78" t="str">
        <f t="shared" ca="1" si="3"/>
        <v/>
      </c>
      <c r="E69" s="79"/>
      <c r="F69" s="80" t="str">
        <f t="shared" si="4"/>
        <v/>
      </c>
      <c r="G69" s="39" t="s">
        <v>133</v>
      </c>
      <c r="H69" s="81"/>
      <c r="I69" s="82" t="str">
        <f>IF(A69="","Pending",IF(H69="","⚠️ Enter Agent Code",IF(IFERROR(VLOOKUP(G69,DB_Agents!$B:$I,8,0),"")=H69,IF(AND(A69&lt;&gt;"",E69&lt;&gt;""),"Saved","Pending"),"🔒 BLOCKED — Wrong Code")))</f>
        <v>Pending</v>
      </c>
      <c r="J69" s="83" t="str">
        <f t="shared" ca="1" si="5"/>
        <v>—</v>
      </c>
      <c r="K69" s="84"/>
    </row>
    <row r="70" spans="1:11" ht="15" customHeight="1" x14ac:dyDescent="0.25">
      <c r="A70" s="85"/>
      <c r="B70" s="41" t="str">
        <f>IF(A70="","",IFERROR(VLOOKUP(A70,DB_Customers!$A:$D,4,0),"❌ Account Not Found"))</f>
        <v/>
      </c>
      <c r="C70" s="86" t="str">
        <f>IF(A70="","",IFERROR(IF(SUMIF(DB_Savings!$C:$C,A70,DB_Savings!$F:$F)=0,VLOOKUP(A70,DB_Customers!$A:$I,9,0),VLOOKUP(A70,DB_Customers!$A:$N,14,0)),"❌ Acct Not Found"))</f>
        <v/>
      </c>
      <c r="D70" s="87" t="str">
        <f t="shared" ca="1" si="3"/>
        <v/>
      </c>
      <c r="E70" s="79"/>
      <c r="F70" s="88" t="str">
        <f t="shared" si="4"/>
        <v/>
      </c>
      <c r="G70" s="43" t="s">
        <v>133</v>
      </c>
      <c r="H70" s="81"/>
      <c r="I70" s="89" t="str">
        <f>IF(A70="","Pending",IF(H70="","⚠️ Enter Agent Code",IF(IFERROR(VLOOKUP(G70,DB_Agents!$B:$I,8,0),"")=H70,IF(AND(A70&lt;&gt;"",E70&lt;&gt;""),"Saved","Pending"),"🔒 BLOCKED — Wrong Code")))</f>
        <v>Pending</v>
      </c>
      <c r="J70" s="90" t="str">
        <f t="shared" ca="1" si="5"/>
        <v>—</v>
      </c>
      <c r="K70" s="91"/>
    </row>
    <row r="71" spans="1:11" ht="15" customHeight="1" x14ac:dyDescent="0.25">
      <c r="A71" s="76"/>
      <c r="B71" s="37" t="str">
        <f>IF(A71="","",IFERROR(VLOOKUP(A71,DB_Customers!$A:$D,4,0),"❌ Account Not Found"))</f>
        <v/>
      </c>
      <c r="C71" s="77" t="str">
        <f>IF(A71="","",IFERROR(IF(SUMIF(DB_Savings!$C:$C,A71,DB_Savings!$F:$F)=0,VLOOKUP(A71,DB_Customers!$A:$I,9,0),VLOOKUP(A71,DB_Customers!$A:$N,14,0)),"❌ Acct Not Found"))</f>
        <v/>
      </c>
      <c r="D71" s="78" t="str">
        <f t="shared" ca="1" si="3"/>
        <v/>
      </c>
      <c r="E71" s="79"/>
      <c r="F71" s="80" t="str">
        <f t="shared" si="4"/>
        <v/>
      </c>
      <c r="G71" s="39" t="s">
        <v>133</v>
      </c>
      <c r="H71" s="81"/>
      <c r="I71" s="82" t="str">
        <f>IF(A71="","Pending",IF(H71="","⚠️ Enter Agent Code",IF(IFERROR(VLOOKUP(G71,DB_Agents!$B:$I,8,0),"")=H71,IF(AND(A71&lt;&gt;"",E71&lt;&gt;""),"Saved","Pending"),"🔒 BLOCKED — Wrong Code")))</f>
        <v>Pending</v>
      </c>
      <c r="J71" s="83" t="str">
        <f t="shared" ca="1" si="5"/>
        <v>—</v>
      </c>
      <c r="K71" s="84"/>
    </row>
    <row r="72" spans="1:11" ht="15" customHeight="1" x14ac:dyDescent="0.25">
      <c r="A72" s="85"/>
      <c r="B72" s="41" t="str">
        <f>IF(A72="","",IFERROR(VLOOKUP(A72,DB_Customers!$A:$D,4,0),"❌ Account Not Found"))</f>
        <v/>
      </c>
      <c r="C72" s="86" t="str">
        <f>IF(A72="","",IFERROR(IF(SUMIF(DB_Savings!$C:$C,A72,DB_Savings!$F:$F)=0,VLOOKUP(A72,DB_Customers!$A:$I,9,0),VLOOKUP(A72,DB_Customers!$A:$N,14,0)),"❌ Acct Not Found"))</f>
        <v/>
      </c>
      <c r="D72" s="87" t="str">
        <f t="shared" ca="1" si="3"/>
        <v/>
      </c>
      <c r="E72" s="79"/>
      <c r="F72" s="88" t="str">
        <f t="shared" si="4"/>
        <v/>
      </c>
      <c r="G72" s="43" t="s">
        <v>133</v>
      </c>
      <c r="H72" s="81"/>
      <c r="I72" s="89" t="str">
        <f>IF(A72="","Pending",IF(H72="","⚠️ Enter Agent Code",IF(IFERROR(VLOOKUP(G72,DB_Agents!$B:$I,8,0),"")=H72,IF(AND(A72&lt;&gt;"",E72&lt;&gt;""),"Saved","Pending"),"🔒 BLOCKED — Wrong Code")))</f>
        <v>Pending</v>
      </c>
      <c r="J72" s="90" t="str">
        <f t="shared" ca="1" si="5"/>
        <v>—</v>
      </c>
      <c r="K72" s="91"/>
    </row>
    <row r="73" spans="1:11" ht="15" customHeight="1" x14ac:dyDescent="0.25">
      <c r="A73" s="76"/>
      <c r="B73" s="37" t="str">
        <f>IF(A73="","",IFERROR(VLOOKUP(A73,DB_Customers!$A:$D,4,0),"❌ Account Not Found"))</f>
        <v/>
      </c>
      <c r="C73" s="77" t="str">
        <f>IF(A73="","",IFERROR(IF(SUMIF(DB_Savings!$C:$C,A73,DB_Savings!$F:$F)=0,VLOOKUP(A73,DB_Customers!$A:$I,9,0),VLOOKUP(A73,DB_Customers!$A:$N,14,0)),"❌ Acct Not Found"))</f>
        <v/>
      </c>
      <c r="D73" s="78" t="str">
        <f t="shared" ref="D73:D104" ca="1" si="6">IF(A73="","",TODAY())</f>
        <v/>
      </c>
      <c r="E73" s="79"/>
      <c r="F73" s="80" t="str">
        <f t="shared" ref="F73:F104" si="7">IF(OR(A73="",E73=""),"",IF(C73="","",C73+E73))</f>
        <v/>
      </c>
      <c r="G73" s="39" t="s">
        <v>133</v>
      </c>
      <c r="H73" s="81"/>
      <c r="I73" s="82" t="str">
        <f>IF(A73="","Pending",IF(H73="","⚠️ Enter Agent Code",IF(IFERROR(VLOOKUP(G73,DB_Agents!$B:$I,8,0),"")=H73,IF(AND(A73&lt;&gt;"",E73&lt;&gt;""),"Saved","Pending"),"🔒 BLOCKED — Wrong Code")))</f>
        <v>Pending</v>
      </c>
      <c r="J73" s="83" t="str">
        <f t="shared" ref="J73:J104" ca="1" si="8">IF(I73="Saved",TEXT(TODAY(),"YYYY-MM-DD")&amp;" Auto","—")</f>
        <v>—</v>
      </c>
      <c r="K73" s="84"/>
    </row>
    <row r="74" spans="1:11" ht="15" customHeight="1" x14ac:dyDescent="0.25">
      <c r="A74" s="85"/>
      <c r="B74" s="41" t="str">
        <f>IF(A74="","",IFERROR(VLOOKUP(A74,DB_Customers!$A:$D,4,0),"❌ Account Not Found"))</f>
        <v/>
      </c>
      <c r="C74" s="86" t="str">
        <f>IF(A74="","",IFERROR(IF(SUMIF(DB_Savings!$C:$C,A74,DB_Savings!$F:$F)=0,VLOOKUP(A74,DB_Customers!$A:$I,9,0),VLOOKUP(A74,DB_Customers!$A:$N,14,0)),"❌ Acct Not Found"))</f>
        <v/>
      </c>
      <c r="D74" s="87" t="str">
        <f t="shared" ca="1" si="6"/>
        <v/>
      </c>
      <c r="E74" s="79"/>
      <c r="F74" s="88" t="str">
        <f t="shared" si="7"/>
        <v/>
      </c>
      <c r="G74" s="43" t="s">
        <v>133</v>
      </c>
      <c r="H74" s="81"/>
      <c r="I74" s="89" t="str">
        <f>IF(A74="","Pending",IF(H74="","⚠️ Enter Agent Code",IF(IFERROR(VLOOKUP(G74,DB_Agents!$B:$I,8,0),"")=H74,IF(AND(A74&lt;&gt;"",E74&lt;&gt;""),"Saved","Pending"),"🔒 BLOCKED — Wrong Code")))</f>
        <v>Pending</v>
      </c>
      <c r="J74" s="90" t="str">
        <f t="shared" ca="1" si="8"/>
        <v>—</v>
      </c>
      <c r="K74" s="91"/>
    </row>
    <row r="75" spans="1:11" ht="15" customHeight="1" x14ac:dyDescent="0.25">
      <c r="A75" s="76"/>
      <c r="B75" s="37" t="str">
        <f>IF(A75="","",IFERROR(VLOOKUP(A75,DB_Customers!$A:$D,4,0),"❌ Account Not Found"))</f>
        <v/>
      </c>
      <c r="C75" s="77" t="str">
        <f>IF(A75="","",IFERROR(IF(SUMIF(DB_Savings!$C:$C,A75,DB_Savings!$F:$F)=0,VLOOKUP(A75,DB_Customers!$A:$I,9,0),VLOOKUP(A75,DB_Customers!$A:$N,14,0)),"❌ Acct Not Found"))</f>
        <v/>
      </c>
      <c r="D75" s="78" t="str">
        <f t="shared" ca="1" si="6"/>
        <v/>
      </c>
      <c r="E75" s="79"/>
      <c r="F75" s="80" t="str">
        <f t="shared" si="7"/>
        <v/>
      </c>
      <c r="G75" s="39" t="s">
        <v>133</v>
      </c>
      <c r="H75" s="81"/>
      <c r="I75" s="82" t="str">
        <f>IF(A75="","Pending",IF(H75="","⚠️ Enter Agent Code",IF(IFERROR(VLOOKUP(G75,DB_Agents!$B:$I,8,0),"")=H75,IF(AND(A75&lt;&gt;"",E75&lt;&gt;""),"Saved","Pending"),"🔒 BLOCKED — Wrong Code")))</f>
        <v>Pending</v>
      </c>
      <c r="J75" s="83" t="str">
        <f t="shared" ca="1" si="8"/>
        <v>—</v>
      </c>
      <c r="K75" s="84"/>
    </row>
    <row r="76" spans="1:11" ht="15" customHeight="1" x14ac:dyDescent="0.25">
      <c r="A76" s="85"/>
      <c r="B76" s="41" t="str">
        <f>IF(A76="","",IFERROR(VLOOKUP(A76,DB_Customers!$A:$D,4,0),"❌ Account Not Found"))</f>
        <v/>
      </c>
      <c r="C76" s="86" t="str">
        <f>IF(A76="","",IFERROR(IF(SUMIF(DB_Savings!$C:$C,A76,DB_Savings!$F:$F)=0,VLOOKUP(A76,DB_Customers!$A:$I,9,0),VLOOKUP(A76,DB_Customers!$A:$N,14,0)),"❌ Acct Not Found"))</f>
        <v/>
      </c>
      <c r="D76" s="87" t="str">
        <f t="shared" ca="1" si="6"/>
        <v/>
      </c>
      <c r="E76" s="79"/>
      <c r="F76" s="88" t="str">
        <f t="shared" si="7"/>
        <v/>
      </c>
      <c r="G76" s="43" t="s">
        <v>133</v>
      </c>
      <c r="H76" s="81"/>
      <c r="I76" s="89" t="str">
        <f>IF(A76="","Pending",IF(H76="","⚠️ Enter Agent Code",IF(IFERROR(VLOOKUP(G76,DB_Agents!$B:$I,8,0),"")=H76,IF(AND(A76&lt;&gt;"",E76&lt;&gt;""),"Saved","Pending"),"🔒 BLOCKED — Wrong Code")))</f>
        <v>Pending</v>
      </c>
      <c r="J76" s="90" t="str">
        <f t="shared" ca="1" si="8"/>
        <v>—</v>
      </c>
      <c r="K76" s="91"/>
    </row>
    <row r="77" spans="1:11" ht="15" customHeight="1" x14ac:dyDescent="0.25">
      <c r="A77" s="76"/>
      <c r="B77" s="37" t="str">
        <f>IF(A77="","",IFERROR(VLOOKUP(A77,DB_Customers!$A:$D,4,0),"❌ Account Not Found"))</f>
        <v/>
      </c>
      <c r="C77" s="77" t="str">
        <f>IF(A77="","",IFERROR(IF(SUMIF(DB_Savings!$C:$C,A77,DB_Savings!$F:$F)=0,VLOOKUP(A77,DB_Customers!$A:$I,9,0),VLOOKUP(A77,DB_Customers!$A:$N,14,0)),"❌ Acct Not Found"))</f>
        <v/>
      </c>
      <c r="D77" s="78" t="str">
        <f t="shared" ca="1" si="6"/>
        <v/>
      </c>
      <c r="E77" s="79"/>
      <c r="F77" s="80" t="str">
        <f t="shared" si="7"/>
        <v/>
      </c>
      <c r="G77" s="39" t="s">
        <v>133</v>
      </c>
      <c r="H77" s="81"/>
      <c r="I77" s="82" t="str">
        <f>IF(A77="","Pending",IF(H77="","⚠️ Enter Agent Code",IF(IFERROR(VLOOKUP(G77,DB_Agents!$B:$I,8,0),"")=H77,IF(AND(A77&lt;&gt;"",E77&lt;&gt;""),"Saved","Pending"),"🔒 BLOCKED — Wrong Code")))</f>
        <v>Pending</v>
      </c>
      <c r="J77" s="83" t="str">
        <f t="shared" ca="1" si="8"/>
        <v>—</v>
      </c>
      <c r="K77" s="84"/>
    </row>
    <row r="78" spans="1:11" ht="15" customHeight="1" x14ac:dyDescent="0.25">
      <c r="A78" s="85"/>
      <c r="B78" s="41" t="str">
        <f>IF(A78="","",IFERROR(VLOOKUP(A78,DB_Customers!$A:$D,4,0),"❌ Account Not Found"))</f>
        <v/>
      </c>
      <c r="C78" s="86" t="str">
        <f>IF(A78="","",IFERROR(IF(SUMIF(DB_Savings!$C:$C,A78,DB_Savings!$F:$F)=0,VLOOKUP(A78,DB_Customers!$A:$I,9,0),VLOOKUP(A78,DB_Customers!$A:$N,14,0)),"❌ Acct Not Found"))</f>
        <v/>
      </c>
      <c r="D78" s="87" t="str">
        <f t="shared" ca="1" si="6"/>
        <v/>
      </c>
      <c r="E78" s="79"/>
      <c r="F78" s="88" t="str">
        <f t="shared" si="7"/>
        <v/>
      </c>
      <c r="G78" s="43" t="s">
        <v>133</v>
      </c>
      <c r="H78" s="81"/>
      <c r="I78" s="89" t="str">
        <f>IF(A78="","Pending",IF(H78="","⚠️ Enter Agent Code",IF(IFERROR(VLOOKUP(G78,DB_Agents!$B:$I,8,0),"")=H78,IF(AND(A78&lt;&gt;"",E78&lt;&gt;""),"Saved","Pending"),"🔒 BLOCKED — Wrong Code")))</f>
        <v>Pending</v>
      </c>
      <c r="J78" s="90" t="str">
        <f t="shared" ca="1" si="8"/>
        <v>—</v>
      </c>
      <c r="K78" s="91"/>
    </row>
    <row r="79" spans="1:11" ht="15" customHeight="1" x14ac:dyDescent="0.25">
      <c r="A79" s="76"/>
      <c r="B79" s="37" t="str">
        <f>IF(A79="","",IFERROR(VLOOKUP(A79,DB_Customers!$A:$D,4,0),"❌ Account Not Found"))</f>
        <v/>
      </c>
      <c r="C79" s="77" t="str">
        <f>IF(A79="","",IFERROR(IF(SUMIF(DB_Savings!$C:$C,A79,DB_Savings!$F:$F)=0,VLOOKUP(A79,DB_Customers!$A:$I,9,0),VLOOKUP(A79,DB_Customers!$A:$N,14,0)),"❌ Acct Not Found"))</f>
        <v/>
      </c>
      <c r="D79" s="78" t="str">
        <f t="shared" ca="1" si="6"/>
        <v/>
      </c>
      <c r="E79" s="79"/>
      <c r="F79" s="80" t="str">
        <f t="shared" si="7"/>
        <v/>
      </c>
      <c r="G79" s="39" t="s">
        <v>133</v>
      </c>
      <c r="H79" s="81"/>
      <c r="I79" s="82" t="str">
        <f>IF(A79="","Pending",IF(H79="","⚠️ Enter Agent Code",IF(IFERROR(VLOOKUP(G79,DB_Agents!$B:$I,8,0),"")=H79,IF(AND(A79&lt;&gt;"",E79&lt;&gt;""),"Saved","Pending"),"🔒 BLOCKED — Wrong Code")))</f>
        <v>Pending</v>
      </c>
      <c r="J79" s="83" t="str">
        <f t="shared" ca="1" si="8"/>
        <v>—</v>
      </c>
      <c r="K79" s="84"/>
    </row>
    <row r="80" spans="1:11" ht="15" customHeight="1" x14ac:dyDescent="0.25">
      <c r="A80" s="85"/>
      <c r="B80" s="41" t="str">
        <f>IF(A80="","",IFERROR(VLOOKUP(A80,DB_Customers!$A:$D,4,0),"❌ Account Not Found"))</f>
        <v/>
      </c>
      <c r="C80" s="86" t="str">
        <f>IF(A80="","",IFERROR(IF(SUMIF(DB_Savings!$C:$C,A80,DB_Savings!$F:$F)=0,VLOOKUP(A80,DB_Customers!$A:$I,9,0),VLOOKUP(A80,DB_Customers!$A:$N,14,0)),"❌ Acct Not Found"))</f>
        <v/>
      </c>
      <c r="D80" s="87" t="str">
        <f t="shared" ca="1" si="6"/>
        <v/>
      </c>
      <c r="E80" s="79"/>
      <c r="F80" s="88" t="str">
        <f t="shared" si="7"/>
        <v/>
      </c>
      <c r="G80" s="43" t="s">
        <v>133</v>
      </c>
      <c r="H80" s="81"/>
      <c r="I80" s="89" t="str">
        <f>IF(A80="","Pending",IF(H80="","⚠️ Enter Agent Code",IF(IFERROR(VLOOKUP(G80,DB_Agents!$B:$I,8,0),"")=H80,IF(AND(A80&lt;&gt;"",E80&lt;&gt;""),"Saved","Pending"),"🔒 BLOCKED — Wrong Code")))</f>
        <v>Pending</v>
      </c>
      <c r="J80" s="90" t="str">
        <f t="shared" ca="1" si="8"/>
        <v>—</v>
      </c>
      <c r="K80" s="91"/>
    </row>
    <row r="81" spans="1:11" ht="15" customHeight="1" x14ac:dyDescent="0.25">
      <c r="A81" s="76"/>
      <c r="B81" s="37" t="str">
        <f>IF(A81="","",IFERROR(VLOOKUP(A81,DB_Customers!$A:$D,4,0),"❌ Account Not Found"))</f>
        <v/>
      </c>
      <c r="C81" s="77" t="str">
        <f>IF(A81="","",IFERROR(IF(SUMIF(DB_Savings!$C:$C,A81,DB_Savings!$F:$F)=0,VLOOKUP(A81,DB_Customers!$A:$I,9,0),VLOOKUP(A81,DB_Customers!$A:$N,14,0)),"❌ Acct Not Found"))</f>
        <v/>
      </c>
      <c r="D81" s="78" t="str">
        <f t="shared" ca="1" si="6"/>
        <v/>
      </c>
      <c r="E81" s="79"/>
      <c r="F81" s="80" t="str">
        <f t="shared" si="7"/>
        <v/>
      </c>
      <c r="G81" s="39" t="s">
        <v>133</v>
      </c>
      <c r="H81" s="81"/>
      <c r="I81" s="82" t="str">
        <f>IF(A81="","Pending",IF(H81="","⚠️ Enter Agent Code",IF(IFERROR(VLOOKUP(G81,DB_Agents!$B:$I,8,0),"")=H81,IF(AND(A81&lt;&gt;"",E81&lt;&gt;""),"Saved","Pending"),"🔒 BLOCKED — Wrong Code")))</f>
        <v>Pending</v>
      </c>
      <c r="J81" s="83" t="str">
        <f t="shared" ca="1" si="8"/>
        <v>—</v>
      </c>
      <c r="K81" s="84"/>
    </row>
    <row r="82" spans="1:11" ht="15" customHeight="1" x14ac:dyDescent="0.25">
      <c r="A82" s="85"/>
      <c r="B82" s="41" t="str">
        <f>IF(A82="","",IFERROR(VLOOKUP(A82,DB_Customers!$A:$D,4,0),"❌ Account Not Found"))</f>
        <v/>
      </c>
      <c r="C82" s="86" t="str">
        <f>IF(A82="","",IFERROR(IF(SUMIF(DB_Savings!$C:$C,A82,DB_Savings!$F:$F)=0,VLOOKUP(A82,DB_Customers!$A:$I,9,0),VLOOKUP(A82,DB_Customers!$A:$N,14,0)),"❌ Acct Not Found"))</f>
        <v/>
      </c>
      <c r="D82" s="87" t="str">
        <f t="shared" ca="1" si="6"/>
        <v/>
      </c>
      <c r="E82" s="79"/>
      <c r="F82" s="88" t="str">
        <f t="shared" si="7"/>
        <v/>
      </c>
      <c r="G82" s="43" t="s">
        <v>133</v>
      </c>
      <c r="H82" s="81"/>
      <c r="I82" s="89" t="str">
        <f>IF(A82="","Pending",IF(H82="","⚠️ Enter Agent Code",IF(IFERROR(VLOOKUP(G82,DB_Agents!$B:$I,8,0),"")=H82,IF(AND(A82&lt;&gt;"",E82&lt;&gt;""),"Saved","Pending"),"🔒 BLOCKED — Wrong Code")))</f>
        <v>Pending</v>
      </c>
      <c r="J82" s="90" t="str">
        <f t="shared" ca="1" si="8"/>
        <v>—</v>
      </c>
      <c r="K82" s="91"/>
    </row>
    <row r="83" spans="1:11" ht="15" customHeight="1" x14ac:dyDescent="0.25">
      <c r="A83" s="76"/>
      <c r="B83" s="37" t="str">
        <f>IF(A83="","",IFERROR(VLOOKUP(A83,DB_Customers!$A:$D,4,0),"❌ Account Not Found"))</f>
        <v/>
      </c>
      <c r="C83" s="77" t="str">
        <f>IF(A83="","",IFERROR(IF(SUMIF(DB_Savings!$C:$C,A83,DB_Savings!$F:$F)=0,VLOOKUP(A83,DB_Customers!$A:$I,9,0),VLOOKUP(A83,DB_Customers!$A:$N,14,0)),"❌ Acct Not Found"))</f>
        <v/>
      </c>
      <c r="D83" s="78" t="str">
        <f t="shared" ca="1" si="6"/>
        <v/>
      </c>
      <c r="E83" s="79"/>
      <c r="F83" s="80" t="str">
        <f t="shared" si="7"/>
        <v/>
      </c>
      <c r="G83" s="39" t="s">
        <v>133</v>
      </c>
      <c r="H83" s="81"/>
      <c r="I83" s="82" t="str">
        <f>IF(A83="","Pending",IF(H83="","⚠️ Enter Agent Code",IF(IFERROR(VLOOKUP(G83,DB_Agents!$B:$I,8,0),"")=H83,IF(AND(A83&lt;&gt;"",E83&lt;&gt;""),"Saved","Pending"),"🔒 BLOCKED — Wrong Code")))</f>
        <v>Pending</v>
      </c>
      <c r="J83" s="83" t="str">
        <f t="shared" ca="1" si="8"/>
        <v>—</v>
      </c>
      <c r="K83" s="84"/>
    </row>
    <row r="84" spans="1:11" ht="15" customHeight="1" x14ac:dyDescent="0.25">
      <c r="A84" s="85"/>
      <c r="B84" s="41" t="str">
        <f>IF(A84="","",IFERROR(VLOOKUP(A84,DB_Customers!$A:$D,4,0),"❌ Account Not Found"))</f>
        <v/>
      </c>
      <c r="C84" s="86" t="str">
        <f>IF(A84="","",IFERROR(IF(SUMIF(DB_Savings!$C:$C,A84,DB_Savings!$F:$F)=0,VLOOKUP(A84,DB_Customers!$A:$I,9,0),VLOOKUP(A84,DB_Customers!$A:$N,14,0)),"❌ Acct Not Found"))</f>
        <v/>
      </c>
      <c r="D84" s="87" t="str">
        <f t="shared" ca="1" si="6"/>
        <v/>
      </c>
      <c r="E84" s="79"/>
      <c r="F84" s="88" t="str">
        <f t="shared" si="7"/>
        <v/>
      </c>
      <c r="G84" s="43" t="s">
        <v>133</v>
      </c>
      <c r="H84" s="81"/>
      <c r="I84" s="89" t="str">
        <f>IF(A84="","Pending",IF(H84="","⚠️ Enter Agent Code",IF(IFERROR(VLOOKUP(G84,DB_Agents!$B:$I,8,0),"")=H84,IF(AND(A84&lt;&gt;"",E84&lt;&gt;""),"Saved","Pending"),"🔒 BLOCKED — Wrong Code")))</f>
        <v>Pending</v>
      </c>
      <c r="J84" s="90" t="str">
        <f t="shared" ca="1" si="8"/>
        <v>—</v>
      </c>
      <c r="K84" s="91"/>
    </row>
    <row r="85" spans="1:11" ht="15" customHeight="1" x14ac:dyDescent="0.25">
      <c r="A85" s="76"/>
      <c r="B85" s="37" t="str">
        <f>IF(A85="","",IFERROR(VLOOKUP(A85,DB_Customers!$A:$D,4,0),"❌ Account Not Found"))</f>
        <v/>
      </c>
      <c r="C85" s="77" t="str">
        <f>IF(A85="","",IFERROR(IF(SUMIF(DB_Savings!$C:$C,A85,DB_Savings!$F:$F)=0,VLOOKUP(A85,DB_Customers!$A:$I,9,0),VLOOKUP(A85,DB_Customers!$A:$N,14,0)),"❌ Acct Not Found"))</f>
        <v/>
      </c>
      <c r="D85" s="78" t="str">
        <f t="shared" ca="1" si="6"/>
        <v/>
      </c>
      <c r="E85" s="79"/>
      <c r="F85" s="80" t="str">
        <f t="shared" si="7"/>
        <v/>
      </c>
      <c r="G85" s="39" t="s">
        <v>133</v>
      </c>
      <c r="H85" s="81"/>
      <c r="I85" s="82" t="str">
        <f>IF(A85="","Pending",IF(H85="","⚠️ Enter Agent Code",IF(IFERROR(VLOOKUP(G85,DB_Agents!$B:$I,8,0),"")=H85,IF(AND(A85&lt;&gt;"",E85&lt;&gt;""),"Saved","Pending"),"🔒 BLOCKED — Wrong Code")))</f>
        <v>Pending</v>
      </c>
      <c r="J85" s="83" t="str">
        <f t="shared" ca="1" si="8"/>
        <v>—</v>
      </c>
      <c r="K85" s="84"/>
    </row>
    <row r="86" spans="1:11" ht="15" customHeight="1" x14ac:dyDescent="0.25">
      <c r="A86" s="85"/>
      <c r="B86" s="41" t="str">
        <f>IF(A86="","",IFERROR(VLOOKUP(A86,DB_Customers!$A:$D,4,0),"❌ Account Not Found"))</f>
        <v/>
      </c>
      <c r="C86" s="86" t="str">
        <f>IF(A86="","",IFERROR(IF(SUMIF(DB_Savings!$C:$C,A86,DB_Savings!$F:$F)=0,VLOOKUP(A86,DB_Customers!$A:$I,9,0),VLOOKUP(A86,DB_Customers!$A:$N,14,0)),"❌ Acct Not Found"))</f>
        <v/>
      </c>
      <c r="D86" s="87" t="str">
        <f t="shared" ca="1" si="6"/>
        <v/>
      </c>
      <c r="E86" s="79"/>
      <c r="F86" s="88" t="str">
        <f t="shared" si="7"/>
        <v/>
      </c>
      <c r="G86" s="43" t="s">
        <v>133</v>
      </c>
      <c r="H86" s="81"/>
      <c r="I86" s="89" t="str">
        <f>IF(A86="","Pending",IF(H86="","⚠️ Enter Agent Code",IF(IFERROR(VLOOKUP(G86,DB_Agents!$B:$I,8,0),"")=H86,IF(AND(A86&lt;&gt;"",E86&lt;&gt;""),"Saved","Pending"),"🔒 BLOCKED — Wrong Code")))</f>
        <v>Pending</v>
      </c>
      <c r="J86" s="90" t="str">
        <f t="shared" ca="1" si="8"/>
        <v>—</v>
      </c>
      <c r="K86" s="91"/>
    </row>
    <row r="87" spans="1:11" ht="15" customHeight="1" x14ac:dyDescent="0.25">
      <c r="A87" s="76"/>
      <c r="B87" s="37" t="str">
        <f>IF(A87="","",IFERROR(VLOOKUP(A87,DB_Customers!$A:$D,4,0),"❌ Account Not Found"))</f>
        <v/>
      </c>
      <c r="C87" s="77" t="str">
        <f>IF(A87="","",IFERROR(IF(SUMIF(DB_Savings!$C:$C,A87,DB_Savings!$F:$F)=0,VLOOKUP(A87,DB_Customers!$A:$I,9,0),VLOOKUP(A87,DB_Customers!$A:$N,14,0)),"❌ Acct Not Found"))</f>
        <v/>
      </c>
      <c r="D87" s="78" t="str">
        <f t="shared" ca="1" si="6"/>
        <v/>
      </c>
      <c r="E87" s="79"/>
      <c r="F87" s="80" t="str">
        <f t="shared" si="7"/>
        <v/>
      </c>
      <c r="G87" s="39" t="s">
        <v>133</v>
      </c>
      <c r="H87" s="81"/>
      <c r="I87" s="82" t="str">
        <f>IF(A87="","Pending",IF(H87="","⚠️ Enter Agent Code",IF(IFERROR(VLOOKUP(G87,DB_Agents!$B:$I,8,0),"")=H87,IF(AND(A87&lt;&gt;"",E87&lt;&gt;""),"Saved","Pending"),"🔒 BLOCKED — Wrong Code")))</f>
        <v>Pending</v>
      </c>
      <c r="J87" s="83" t="str">
        <f t="shared" ca="1" si="8"/>
        <v>—</v>
      </c>
      <c r="K87" s="84"/>
    </row>
    <row r="88" spans="1:11" ht="15" customHeight="1" x14ac:dyDescent="0.25">
      <c r="A88" s="85"/>
      <c r="B88" s="41" t="str">
        <f>IF(A88="","",IFERROR(VLOOKUP(A88,DB_Customers!$A:$D,4,0),"❌ Account Not Found"))</f>
        <v/>
      </c>
      <c r="C88" s="86" t="str">
        <f>IF(A88="","",IFERROR(IF(SUMIF(DB_Savings!$C:$C,A88,DB_Savings!$F:$F)=0,VLOOKUP(A88,DB_Customers!$A:$I,9,0),VLOOKUP(A88,DB_Customers!$A:$N,14,0)),"❌ Acct Not Found"))</f>
        <v/>
      </c>
      <c r="D88" s="87" t="str">
        <f t="shared" ca="1" si="6"/>
        <v/>
      </c>
      <c r="E88" s="79"/>
      <c r="F88" s="88" t="str">
        <f t="shared" si="7"/>
        <v/>
      </c>
      <c r="G88" s="43" t="s">
        <v>133</v>
      </c>
      <c r="H88" s="81"/>
      <c r="I88" s="89" t="str">
        <f>IF(A88="","Pending",IF(H88="","⚠️ Enter Agent Code",IF(IFERROR(VLOOKUP(G88,DB_Agents!$B:$I,8,0),"")=H88,IF(AND(A88&lt;&gt;"",E88&lt;&gt;""),"Saved","Pending"),"🔒 BLOCKED — Wrong Code")))</f>
        <v>Pending</v>
      </c>
      <c r="J88" s="90" t="str">
        <f t="shared" ca="1" si="8"/>
        <v>—</v>
      </c>
      <c r="K88" s="91"/>
    </row>
    <row r="89" spans="1:11" ht="15" customHeight="1" x14ac:dyDescent="0.25">
      <c r="A89" s="76"/>
      <c r="B89" s="37" t="str">
        <f>IF(A89="","",IFERROR(VLOOKUP(A89,DB_Customers!$A:$D,4,0),"❌ Account Not Found"))</f>
        <v/>
      </c>
      <c r="C89" s="77" t="str">
        <f>IF(A89="","",IFERROR(IF(SUMIF(DB_Savings!$C:$C,A89,DB_Savings!$F:$F)=0,VLOOKUP(A89,DB_Customers!$A:$I,9,0),VLOOKUP(A89,DB_Customers!$A:$N,14,0)),"❌ Acct Not Found"))</f>
        <v/>
      </c>
      <c r="D89" s="78" t="str">
        <f t="shared" ca="1" si="6"/>
        <v/>
      </c>
      <c r="E89" s="79"/>
      <c r="F89" s="80" t="str">
        <f t="shared" si="7"/>
        <v/>
      </c>
      <c r="G89" s="39" t="s">
        <v>133</v>
      </c>
      <c r="H89" s="81"/>
      <c r="I89" s="82" t="str">
        <f>IF(A89="","Pending",IF(H89="","⚠️ Enter Agent Code",IF(IFERROR(VLOOKUP(G89,DB_Agents!$B:$I,8,0),"")=H89,IF(AND(A89&lt;&gt;"",E89&lt;&gt;""),"Saved","Pending"),"🔒 BLOCKED — Wrong Code")))</f>
        <v>Pending</v>
      </c>
      <c r="J89" s="83" t="str">
        <f t="shared" ca="1" si="8"/>
        <v>—</v>
      </c>
      <c r="K89" s="84"/>
    </row>
    <row r="90" spans="1:11" ht="15" customHeight="1" x14ac:dyDescent="0.25">
      <c r="A90" s="85"/>
      <c r="B90" s="41" t="str">
        <f>IF(A90="","",IFERROR(VLOOKUP(A90,DB_Customers!$A:$D,4,0),"❌ Account Not Found"))</f>
        <v/>
      </c>
      <c r="C90" s="86" t="str">
        <f>IF(A90="","",IFERROR(IF(SUMIF(DB_Savings!$C:$C,A90,DB_Savings!$F:$F)=0,VLOOKUP(A90,DB_Customers!$A:$I,9,0),VLOOKUP(A90,DB_Customers!$A:$N,14,0)),"❌ Acct Not Found"))</f>
        <v/>
      </c>
      <c r="D90" s="87" t="str">
        <f t="shared" ca="1" si="6"/>
        <v/>
      </c>
      <c r="E90" s="79"/>
      <c r="F90" s="88" t="str">
        <f t="shared" si="7"/>
        <v/>
      </c>
      <c r="G90" s="43" t="s">
        <v>133</v>
      </c>
      <c r="H90" s="81"/>
      <c r="I90" s="89" t="str">
        <f>IF(A90="","Pending",IF(H90="","⚠️ Enter Agent Code",IF(IFERROR(VLOOKUP(G90,DB_Agents!$B:$I,8,0),"")=H90,IF(AND(A90&lt;&gt;"",E90&lt;&gt;""),"Saved","Pending"),"🔒 BLOCKED — Wrong Code")))</f>
        <v>Pending</v>
      </c>
      <c r="J90" s="90" t="str">
        <f t="shared" ca="1" si="8"/>
        <v>—</v>
      </c>
      <c r="K90" s="91"/>
    </row>
    <row r="91" spans="1:11" ht="15" customHeight="1" x14ac:dyDescent="0.25">
      <c r="A91" s="76"/>
      <c r="B91" s="37" t="str">
        <f>IF(A91="","",IFERROR(VLOOKUP(A91,DB_Customers!$A:$D,4,0),"❌ Account Not Found"))</f>
        <v/>
      </c>
      <c r="C91" s="77" t="str">
        <f>IF(A91="","",IFERROR(IF(SUMIF(DB_Savings!$C:$C,A91,DB_Savings!$F:$F)=0,VLOOKUP(A91,DB_Customers!$A:$I,9,0),VLOOKUP(A91,DB_Customers!$A:$N,14,0)),"❌ Acct Not Found"))</f>
        <v/>
      </c>
      <c r="D91" s="78" t="str">
        <f t="shared" ca="1" si="6"/>
        <v/>
      </c>
      <c r="E91" s="79"/>
      <c r="F91" s="80" t="str">
        <f t="shared" si="7"/>
        <v/>
      </c>
      <c r="G91" s="39" t="s">
        <v>133</v>
      </c>
      <c r="H91" s="81"/>
      <c r="I91" s="82" t="str">
        <f>IF(A91="","Pending",IF(H91="","⚠️ Enter Agent Code",IF(IFERROR(VLOOKUP(G91,DB_Agents!$B:$I,8,0),"")=H91,IF(AND(A91&lt;&gt;"",E91&lt;&gt;""),"Saved","Pending"),"🔒 BLOCKED — Wrong Code")))</f>
        <v>Pending</v>
      </c>
      <c r="J91" s="83" t="str">
        <f t="shared" ca="1" si="8"/>
        <v>—</v>
      </c>
      <c r="K91" s="84"/>
    </row>
    <row r="92" spans="1:11" ht="15" customHeight="1" x14ac:dyDescent="0.25">
      <c r="A92" s="85"/>
      <c r="B92" s="41" t="str">
        <f>IF(A92="","",IFERROR(VLOOKUP(A92,DB_Customers!$A:$D,4,0),"❌ Account Not Found"))</f>
        <v/>
      </c>
      <c r="C92" s="86" t="str">
        <f>IF(A92="","",IFERROR(IF(SUMIF(DB_Savings!$C:$C,A92,DB_Savings!$F:$F)=0,VLOOKUP(A92,DB_Customers!$A:$I,9,0),VLOOKUP(A92,DB_Customers!$A:$N,14,0)),"❌ Acct Not Found"))</f>
        <v/>
      </c>
      <c r="D92" s="87" t="str">
        <f t="shared" ca="1" si="6"/>
        <v/>
      </c>
      <c r="E92" s="79"/>
      <c r="F92" s="88" t="str">
        <f t="shared" si="7"/>
        <v/>
      </c>
      <c r="G92" s="43" t="s">
        <v>133</v>
      </c>
      <c r="H92" s="81"/>
      <c r="I92" s="89" t="str">
        <f>IF(A92="","Pending",IF(H92="","⚠️ Enter Agent Code",IF(IFERROR(VLOOKUP(G92,DB_Agents!$B:$I,8,0),"")=H92,IF(AND(A92&lt;&gt;"",E92&lt;&gt;""),"Saved","Pending"),"🔒 BLOCKED — Wrong Code")))</f>
        <v>Pending</v>
      </c>
      <c r="J92" s="90" t="str">
        <f t="shared" ca="1" si="8"/>
        <v>—</v>
      </c>
      <c r="K92" s="91"/>
    </row>
    <row r="93" spans="1:11" ht="15" customHeight="1" x14ac:dyDescent="0.25">
      <c r="A93" s="76"/>
      <c r="B93" s="37" t="str">
        <f>IF(A93="","",IFERROR(VLOOKUP(A93,DB_Customers!$A:$D,4,0),"❌ Account Not Found"))</f>
        <v/>
      </c>
      <c r="C93" s="77" t="str">
        <f>IF(A93="","",IFERROR(IF(SUMIF(DB_Savings!$C:$C,A93,DB_Savings!$F:$F)=0,VLOOKUP(A93,DB_Customers!$A:$I,9,0),VLOOKUP(A93,DB_Customers!$A:$N,14,0)),"❌ Acct Not Found"))</f>
        <v/>
      </c>
      <c r="D93" s="78" t="str">
        <f t="shared" ca="1" si="6"/>
        <v/>
      </c>
      <c r="E93" s="79"/>
      <c r="F93" s="80" t="str">
        <f t="shared" si="7"/>
        <v/>
      </c>
      <c r="G93" s="39" t="s">
        <v>133</v>
      </c>
      <c r="H93" s="81"/>
      <c r="I93" s="82" t="str">
        <f>IF(A93="","Pending",IF(H93="","⚠️ Enter Agent Code",IF(IFERROR(VLOOKUP(G93,DB_Agents!$B:$I,8,0),"")=H93,IF(AND(A93&lt;&gt;"",E93&lt;&gt;""),"Saved","Pending"),"🔒 BLOCKED — Wrong Code")))</f>
        <v>Pending</v>
      </c>
      <c r="J93" s="83" t="str">
        <f t="shared" ca="1" si="8"/>
        <v>—</v>
      </c>
      <c r="K93" s="84"/>
    </row>
    <row r="94" spans="1:11" ht="15" customHeight="1" x14ac:dyDescent="0.25">
      <c r="A94" s="85"/>
      <c r="B94" s="41" t="str">
        <f>IF(A94="","",IFERROR(VLOOKUP(A94,DB_Customers!$A:$D,4,0),"❌ Account Not Found"))</f>
        <v/>
      </c>
      <c r="C94" s="86" t="str">
        <f>IF(A94="","",IFERROR(IF(SUMIF(DB_Savings!$C:$C,A94,DB_Savings!$F:$F)=0,VLOOKUP(A94,DB_Customers!$A:$I,9,0),VLOOKUP(A94,DB_Customers!$A:$N,14,0)),"❌ Acct Not Found"))</f>
        <v/>
      </c>
      <c r="D94" s="87" t="str">
        <f t="shared" ca="1" si="6"/>
        <v/>
      </c>
      <c r="E94" s="79"/>
      <c r="F94" s="88" t="str">
        <f t="shared" si="7"/>
        <v/>
      </c>
      <c r="G94" s="43" t="s">
        <v>133</v>
      </c>
      <c r="H94" s="81"/>
      <c r="I94" s="89" t="str">
        <f>IF(A94="","Pending",IF(H94="","⚠️ Enter Agent Code",IF(IFERROR(VLOOKUP(G94,DB_Agents!$B:$I,8,0),"")=H94,IF(AND(A94&lt;&gt;"",E94&lt;&gt;""),"Saved","Pending"),"🔒 BLOCKED — Wrong Code")))</f>
        <v>Pending</v>
      </c>
      <c r="J94" s="90" t="str">
        <f t="shared" ca="1" si="8"/>
        <v>—</v>
      </c>
      <c r="K94" s="91"/>
    </row>
    <row r="95" spans="1:11" ht="15" customHeight="1" x14ac:dyDescent="0.25">
      <c r="A95" s="76"/>
      <c r="B95" s="37" t="str">
        <f>IF(A95="","",IFERROR(VLOOKUP(A95,DB_Customers!$A:$D,4,0),"❌ Account Not Found"))</f>
        <v/>
      </c>
      <c r="C95" s="77" t="str">
        <f>IF(A95="","",IFERROR(IF(SUMIF(DB_Savings!$C:$C,A95,DB_Savings!$F:$F)=0,VLOOKUP(A95,DB_Customers!$A:$I,9,0),VLOOKUP(A95,DB_Customers!$A:$N,14,0)),"❌ Acct Not Found"))</f>
        <v/>
      </c>
      <c r="D95" s="78" t="str">
        <f t="shared" ca="1" si="6"/>
        <v/>
      </c>
      <c r="E95" s="79"/>
      <c r="F95" s="80" t="str">
        <f t="shared" si="7"/>
        <v/>
      </c>
      <c r="G95" s="39" t="s">
        <v>133</v>
      </c>
      <c r="H95" s="81"/>
      <c r="I95" s="82" t="str">
        <f>IF(A95="","Pending",IF(H95="","⚠️ Enter Agent Code",IF(IFERROR(VLOOKUP(G95,DB_Agents!$B:$I,8,0),"")=H95,IF(AND(A95&lt;&gt;"",E95&lt;&gt;""),"Saved","Pending"),"🔒 BLOCKED — Wrong Code")))</f>
        <v>Pending</v>
      </c>
      <c r="J95" s="83" t="str">
        <f t="shared" ca="1" si="8"/>
        <v>—</v>
      </c>
      <c r="K95" s="84"/>
    </row>
    <row r="96" spans="1:11" ht="15" customHeight="1" x14ac:dyDescent="0.25">
      <c r="A96" s="85"/>
      <c r="B96" s="41" t="str">
        <f>IF(A96="","",IFERROR(VLOOKUP(A96,DB_Customers!$A:$D,4,0),"❌ Account Not Found"))</f>
        <v/>
      </c>
      <c r="C96" s="86" t="str">
        <f>IF(A96="","",IFERROR(IF(SUMIF(DB_Savings!$C:$C,A96,DB_Savings!$F:$F)=0,VLOOKUP(A96,DB_Customers!$A:$I,9,0),VLOOKUP(A96,DB_Customers!$A:$N,14,0)),"❌ Acct Not Found"))</f>
        <v/>
      </c>
      <c r="D96" s="87" t="str">
        <f t="shared" ca="1" si="6"/>
        <v/>
      </c>
      <c r="E96" s="79"/>
      <c r="F96" s="88" t="str">
        <f t="shared" si="7"/>
        <v/>
      </c>
      <c r="G96" s="43" t="s">
        <v>133</v>
      </c>
      <c r="H96" s="81"/>
      <c r="I96" s="89" t="str">
        <f>IF(A96="","Pending",IF(H96="","⚠️ Enter Agent Code",IF(IFERROR(VLOOKUP(G96,DB_Agents!$B:$I,8,0),"")=H96,IF(AND(A96&lt;&gt;"",E96&lt;&gt;""),"Saved","Pending"),"🔒 BLOCKED — Wrong Code")))</f>
        <v>Pending</v>
      </c>
      <c r="J96" s="90" t="str">
        <f t="shared" ca="1" si="8"/>
        <v>—</v>
      </c>
      <c r="K96" s="91"/>
    </row>
    <row r="97" spans="1:11" ht="15" customHeight="1" x14ac:dyDescent="0.25">
      <c r="A97" s="76"/>
      <c r="B97" s="37" t="str">
        <f>IF(A97="","",IFERROR(VLOOKUP(A97,DB_Customers!$A:$D,4,0),"❌ Account Not Found"))</f>
        <v/>
      </c>
      <c r="C97" s="77" t="str">
        <f>IF(A97="","",IFERROR(IF(SUMIF(DB_Savings!$C:$C,A97,DB_Savings!$F:$F)=0,VLOOKUP(A97,DB_Customers!$A:$I,9,0),VLOOKUP(A97,DB_Customers!$A:$N,14,0)),"❌ Acct Not Found"))</f>
        <v/>
      </c>
      <c r="D97" s="78" t="str">
        <f t="shared" ca="1" si="6"/>
        <v/>
      </c>
      <c r="E97" s="79"/>
      <c r="F97" s="80" t="str">
        <f t="shared" si="7"/>
        <v/>
      </c>
      <c r="G97" s="39" t="s">
        <v>133</v>
      </c>
      <c r="H97" s="81"/>
      <c r="I97" s="82" t="str">
        <f>IF(A97="","Pending",IF(H97="","⚠️ Enter Agent Code",IF(IFERROR(VLOOKUP(G97,DB_Agents!$B:$I,8,0),"")=H97,IF(AND(A97&lt;&gt;"",E97&lt;&gt;""),"Saved","Pending"),"🔒 BLOCKED — Wrong Code")))</f>
        <v>Pending</v>
      </c>
      <c r="J97" s="83" t="str">
        <f t="shared" ca="1" si="8"/>
        <v>—</v>
      </c>
      <c r="K97" s="84"/>
    </row>
    <row r="98" spans="1:11" ht="15" customHeight="1" x14ac:dyDescent="0.25">
      <c r="A98" s="85"/>
      <c r="B98" s="41" t="str">
        <f>IF(A98="","",IFERROR(VLOOKUP(A98,DB_Customers!$A:$D,4,0),"❌ Account Not Found"))</f>
        <v/>
      </c>
      <c r="C98" s="86" t="str">
        <f>IF(A98="","",IFERROR(IF(SUMIF(DB_Savings!$C:$C,A98,DB_Savings!$F:$F)=0,VLOOKUP(A98,DB_Customers!$A:$I,9,0),VLOOKUP(A98,DB_Customers!$A:$N,14,0)),"❌ Acct Not Found"))</f>
        <v/>
      </c>
      <c r="D98" s="87" t="str">
        <f t="shared" ca="1" si="6"/>
        <v/>
      </c>
      <c r="E98" s="79"/>
      <c r="F98" s="88" t="str">
        <f t="shared" si="7"/>
        <v/>
      </c>
      <c r="G98" s="43" t="s">
        <v>133</v>
      </c>
      <c r="H98" s="81"/>
      <c r="I98" s="89" t="str">
        <f>IF(A98="","Pending",IF(H98="","⚠️ Enter Agent Code",IF(IFERROR(VLOOKUP(G98,DB_Agents!$B:$I,8,0),"")=H98,IF(AND(A98&lt;&gt;"",E98&lt;&gt;""),"Saved","Pending"),"🔒 BLOCKED — Wrong Code")))</f>
        <v>Pending</v>
      </c>
      <c r="J98" s="90" t="str">
        <f t="shared" ca="1" si="8"/>
        <v>—</v>
      </c>
      <c r="K98" s="91"/>
    </row>
    <row r="99" spans="1:11" ht="15" customHeight="1" x14ac:dyDescent="0.25">
      <c r="A99" s="76"/>
      <c r="B99" s="37" t="str">
        <f>IF(A99="","",IFERROR(VLOOKUP(A99,DB_Customers!$A:$D,4,0),"❌ Account Not Found"))</f>
        <v/>
      </c>
      <c r="C99" s="77" t="str">
        <f>IF(A99="","",IFERROR(IF(SUMIF(DB_Savings!$C:$C,A99,DB_Savings!$F:$F)=0,VLOOKUP(A99,DB_Customers!$A:$I,9,0),VLOOKUP(A99,DB_Customers!$A:$N,14,0)),"❌ Acct Not Found"))</f>
        <v/>
      </c>
      <c r="D99" s="78" t="str">
        <f t="shared" ca="1" si="6"/>
        <v/>
      </c>
      <c r="E99" s="79"/>
      <c r="F99" s="80" t="str">
        <f t="shared" si="7"/>
        <v/>
      </c>
      <c r="G99" s="39" t="s">
        <v>133</v>
      </c>
      <c r="H99" s="81"/>
      <c r="I99" s="82" t="str">
        <f>IF(A99="","Pending",IF(H99="","⚠️ Enter Agent Code",IF(IFERROR(VLOOKUP(G99,DB_Agents!$B:$I,8,0),"")=H99,IF(AND(A99&lt;&gt;"",E99&lt;&gt;""),"Saved","Pending"),"🔒 BLOCKED — Wrong Code")))</f>
        <v>Pending</v>
      </c>
      <c r="J99" s="83" t="str">
        <f t="shared" ca="1" si="8"/>
        <v>—</v>
      </c>
      <c r="K99" s="84"/>
    </row>
    <row r="100" spans="1:11" ht="15" customHeight="1" x14ac:dyDescent="0.25">
      <c r="A100" s="85"/>
      <c r="B100" s="41" t="str">
        <f>IF(A100="","",IFERROR(VLOOKUP(A100,DB_Customers!$A:$D,4,0),"❌ Account Not Found"))</f>
        <v/>
      </c>
      <c r="C100" s="86" t="str">
        <f>IF(A100="","",IFERROR(IF(SUMIF(DB_Savings!$C:$C,A100,DB_Savings!$F:$F)=0,VLOOKUP(A100,DB_Customers!$A:$I,9,0),VLOOKUP(A100,DB_Customers!$A:$N,14,0)),"❌ Acct Not Found"))</f>
        <v/>
      </c>
      <c r="D100" s="87" t="str">
        <f t="shared" ca="1" si="6"/>
        <v/>
      </c>
      <c r="E100" s="79"/>
      <c r="F100" s="88" t="str">
        <f t="shared" si="7"/>
        <v/>
      </c>
      <c r="G100" s="43" t="s">
        <v>133</v>
      </c>
      <c r="H100" s="81"/>
      <c r="I100" s="89" t="str">
        <f>IF(A100="","Pending",IF(H100="","⚠️ Enter Agent Code",IF(IFERROR(VLOOKUP(G100,DB_Agents!$B:$I,8,0),"")=H100,IF(AND(A100&lt;&gt;"",E100&lt;&gt;""),"Saved","Pending"),"🔒 BLOCKED — Wrong Code")))</f>
        <v>Pending</v>
      </c>
      <c r="J100" s="90" t="str">
        <f t="shared" ca="1" si="8"/>
        <v>—</v>
      </c>
      <c r="K100" s="91"/>
    </row>
    <row r="101" spans="1:11" ht="15" customHeight="1" x14ac:dyDescent="0.25">
      <c r="A101" s="76"/>
      <c r="B101" s="37" t="str">
        <f>IF(A101="","",IFERROR(VLOOKUP(A101,DB_Customers!$A:$D,4,0),"❌ Account Not Found"))</f>
        <v/>
      </c>
      <c r="C101" s="77" t="str">
        <f>IF(A101="","",IFERROR(IF(SUMIF(DB_Savings!$C:$C,A101,DB_Savings!$F:$F)=0,VLOOKUP(A101,DB_Customers!$A:$I,9,0),VLOOKUP(A101,DB_Customers!$A:$N,14,0)),"❌ Acct Not Found"))</f>
        <v/>
      </c>
      <c r="D101" s="78" t="str">
        <f t="shared" ca="1" si="6"/>
        <v/>
      </c>
      <c r="E101" s="79"/>
      <c r="F101" s="80" t="str">
        <f t="shared" si="7"/>
        <v/>
      </c>
      <c r="G101" s="39" t="s">
        <v>133</v>
      </c>
      <c r="H101" s="81"/>
      <c r="I101" s="82" t="str">
        <f>IF(A101="","Pending",IF(H101="","⚠️ Enter Agent Code",IF(IFERROR(VLOOKUP(G101,DB_Agents!$B:$I,8,0),"")=H101,IF(AND(A101&lt;&gt;"",E101&lt;&gt;""),"Saved","Pending"),"🔒 BLOCKED — Wrong Code")))</f>
        <v>Pending</v>
      </c>
      <c r="J101" s="83" t="str">
        <f t="shared" ca="1" si="8"/>
        <v>—</v>
      </c>
      <c r="K101" s="84"/>
    </row>
    <row r="102" spans="1:11" ht="15" customHeight="1" x14ac:dyDescent="0.25">
      <c r="A102" s="85"/>
      <c r="B102" s="41" t="str">
        <f>IF(A102="","",IFERROR(VLOOKUP(A102,DB_Customers!$A:$D,4,0),"❌ Account Not Found"))</f>
        <v/>
      </c>
      <c r="C102" s="86" t="str">
        <f>IF(A102="","",IFERROR(IF(SUMIF(DB_Savings!$C:$C,A102,DB_Savings!$F:$F)=0,VLOOKUP(A102,DB_Customers!$A:$I,9,0),VLOOKUP(A102,DB_Customers!$A:$N,14,0)),"❌ Acct Not Found"))</f>
        <v/>
      </c>
      <c r="D102" s="87" t="str">
        <f t="shared" ca="1" si="6"/>
        <v/>
      </c>
      <c r="E102" s="79"/>
      <c r="F102" s="88" t="str">
        <f t="shared" si="7"/>
        <v/>
      </c>
      <c r="G102" s="43" t="s">
        <v>133</v>
      </c>
      <c r="H102" s="81"/>
      <c r="I102" s="89" t="str">
        <f>IF(A102="","Pending",IF(H102="","⚠️ Enter Agent Code",IF(IFERROR(VLOOKUP(G102,DB_Agents!$B:$I,8,0),"")=H102,IF(AND(A102&lt;&gt;"",E102&lt;&gt;""),"Saved","Pending"),"🔒 BLOCKED — Wrong Code")))</f>
        <v>Pending</v>
      </c>
      <c r="J102" s="90" t="str">
        <f t="shared" ca="1" si="8"/>
        <v>—</v>
      </c>
      <c r="K102" s="91"/>
    </row>
    <row r="103" spans="1:11" ht="15" customHeight="1" x14ac:dyDescent="0.25">
      <c r="A103" s="76"/>
      <c r="B103" s="37" t="str">
        <f>IF(A103="","",IFERROR(VLOOKUP(A103,DB_Customers!$A:$D,4,0),"❌ Account Not Found"))</f>
        <v/>
      </c>
      <c r="C103" s="77" t="str">
        <f>IF(A103="","",IFERROR(IF(SUMIF(DB_Savings!$C:$C,A103,DB_Savings!$F:$F)=0,VLOOKUP(A103,DB_Customers!$A:$I,9,0),VLOOKUP(A103,DB_Customers!$A:$N,14,0)),"❌ Acct Not Found"))</f>
        <v/>
      </c>
      <c r="D103" s="78" t="str">
        <f t="shared" ca="1" si="6"/>
        <v/>
      </c>
      <c r="E103" s="79"/>
      <c r="F103" s="80" t="str">
        <f t="shared" si="7"/>
        <v/>
      </c>
      <c r="G103" s="39" t="s">
        <v>133</v>
      </c>
      <c r="H103" s="81"/>
      <c r="I103" s="82" t="str">
        <f>IF(A103="","Pending",IF(H103="","⚠️ Enter Agent Code",IF(IFERROR(VLOOKUP(G103,DB_Agents!$B:$I,8,0),"")=H103,IF(AND(A103&lt;&gt;"",E103&lt;&gt;""),"Saved","Pending"),"🔒 BLOCKED — Wrong Code")))</f>
        <v>Pending</v>
      </c>
      <c r="J103" s="83" t="str">
        <f t="shared" ca="1" si="8"/>
        <v>—</v>
      </c>
      <c r="K103" s="84"/>
    </row>
    <row r="104" spans="1:11" ht="15" customHeight="1" x14ac:dyDescent="0.25">
      <c r="A104" s="85"/>
      <c r="B104" s="41" t="str">
        <f>IF(A104="","",IFERROR(VLOOKUP(A104,DB_Customers!$A:$D,4,0),"❌ Account Not Found"))</f>
        <v/>
      </c>
      <c r="C104" s="86" t="str">
        <f>IF(A104="","",IFERROR(IF(SUMIF(DB_Savings!$C:$C,A104,DB_Savings!$F:$F)=0,VLOOKUP(A104,DB_Customers!$A:$I,9,0),VLOOKUP(A104,DB_Customers!$A:$N,14,0)),"❌ Acct Not Found"))</f>
        <v/>
      </c>
      <c r="D104" s="87" t="str">
        <f t="shared" ca="1" si="6"/>
        <v/>
      </c>
      <c r="E104" s="79"/>
      <c r="F104" s="88" t="str">
        <f t="shared" si="7"/>
        <v/>
      </c>
      <c r="G104" s="43" t="s">
        <v>133</v>
      </c>
      <c r="H104" s="81"/>
      <c r="I104" s="89" t="str">
        <f>IF(A104="","Pending",IF(H104="","⚠️ Enter Agent Code",IF(IFERROR(VLOOKUP(G104,DB_Agents!$B:$I,8,0),"")=H104,IF(AND(A104&lt;&gt;"",E104&lt;&gt;""),"Saved","Pending"),"🔒 BLOCKED — Wrong Code")))</f>
        <v>Pending</v>
      </c>
      <c r="J104" s="90" t="str">
        <f t="shared" ca="1" si="8"/>
        <v>—</v>
      </c>
      <c r="K104" s="91"/>
    </row>
    <row r="105" spans="1:11" ht="15" customHeight="1" x14ac:dyDescent="0.25">
      <c r="A105" s="76"/>
      <c r="B105" s="37" t="str">
        <f>IF(A105="","",IFERROR(VLOOKUP(A105,DB_Customers!$A:$D,4,0),"❌ Account Not Found"))</f>
        <v/>
      </c>
      <c r="C105" s="77" t="str">
        <f>IF(A105="","",IFERROR(IF(SUMIF(DB_Savings!$C:$C,A105,DB_Savings!$F:$F)=0,VLOOKUP(A105,DB_Customers!$A:$I,9,0),VLOOKUP(A105,DB_Customers!$A:$N,14,0)),"❌ Acct Not Found"))</f>
        <v/>
      </c>
      <c r="D105" s="78" t="str">
        <f t="shared" ref="D105:D136" ca="1" si="9">IF(A105="","",TODAY())</f>
        <v/>
      </c>
      <c r="E105" s="79"/>
      <c r="F105" s="80" t="str">
        <f t="shared" ref="F105:F136" si="10">IF(OR(A105="",E105=""),"",IF(C105="","",C105+E105))</f>
        <v/>
      </c>
      <c r="G105" s="39" t="s">
        <v>133</v>
      </c>
      <c r="H105" s="81"/>
      <c r="I105" s="82" t="str">
        <f>IF(A105="","Pending",IF(H105="","⚠️ Enter Agent Code",IF(IFERROR(VLOOKUP(G105,DB_Agents!$B:$I,8,0),"")=H105,IF(AND(A105&lt;&gt;"",E105&lt;&gt;""),"Saved","Pending"),"🔒 BLOCKED — Wrong Code")))</f>
        <v>Pending</v>
      </c>
      <c r="J105" s="83" t="str">
        <f t="shared" ref="J105:J136" ca="1" si="11">IF(I105="Saved",TEXT(TODAY(),"YYYY-MM-DD")&amp;" Auto","—")</f>
        <v>—</v>
      </c>
      <c r="K105" s="84"/>
    </row>
    <row r="106" spans="1:11" ht="15" customHeight="1" x14ac:dyDescent="0.25">
      <c r="A106" s="85"/>
      <c r="B106" s="41" t="str">
        <f>IF(A106="","",IFERROR(VLOOKUP(A106,DB_Customers!$A:$D,4,0),"❌ Account Not Found"))</f>
        <v/>
      </c>
      <c r="C106" s="86" t="str">
        <f>IF(A106="","",IFERROR(IF(SUMIF(DB_Savings!$C:$C,A106,DB_Savings!$F:$F)=0,VLOOKUP(A106,DB_Customers!$A:$I,9,0),VLOOKUP(A106,DB_Customers!$A:$N,14,0)),"❌ Acct Not Found"))</f>
        <v/>
      </c>
      <c r="D106" s="87" t="str">
        <f t="shared" ca="1" si="9"/>
        <v/>
      </c>
      <c r="E106" s="79"/>
      <c r="F106" s="88" t="str">
        <f t="shared" si="10"/>
        <v/>
      </c>
      <c r="G106" s="43" t="s">
        <v>133</v>
      </c>
      <c r="H106" s="81"/>
      <c r="I106" s="89" t="str">
        <f>IF(A106="","Pending",IF(H106="","⚠️ Enter Agent Code",IF(IFERROR(VLOOKUP(G106,DB_Agents!$B:$I,8,0),"")=H106,IF(AND(A106&lt;&gt;"",E106&lt;&gt;""),"Saved","Pending"),"🔒 BLOCKED — Wrong Code")))</f>
        <v>Pending</v>
      </c>
      <c r="J106" s="90" t="str">
        <f t="shared" ca="1" si="11"/>
        <v>—</v>
      </c>
      <c r="K106" s="91"/>
    </row>
    <row r="107" spans="1:11" ht="15" customHeight="1" x14ac:dyDescent="0.25">
      <c r="A107" s="76"/>
      <c r="B107" s="37" t="str">
        <f>IF(A107="","",IFERROR(VLOOKUP(A107,DB_Customers!$A:$D,4,0),"❌ Account Not Found"))</f>
        <v/>
      </c>
      <c r="C107" s="77" t="str">
        <f>IF(A107="","",IFERROR(IF(SUMIF(DB_Savings!$C:$C,A107,DB_Savings!$F:$F)=0,VLOOKUP(A107,DB_Customers!$A:$I,9,0),VLOOKUP(A107,DB_Customers!$A:$N,14,0)),"❌ Acct Not Found"))</f>
        <v/>
      </c>
      <c r="D107" s="78" t="str">
        <f t="shared" ca="1" si="9"/>
        <v/>
      </c>
      <c r="E107" s="79"/>
      <c r="F107" s="80" t="str">
        <f t="shared" si="10"/>
        <v/>
      </c>
      <c r="G107" s="39" t="s">
        <v>133</v>
      </c>
      <c r="H107" s="81"/>
      <c r="I107" s="82" t="str">
        <f>IF(A107="","Pending",IF(H107="","⚠️ Enter Agent Code",IF(IFERROR(VLOOKUP(G107,DB_Agents!$B:$I,8,0),"")=H107,IF(AND(A107&lt;&gt;"",E107&lt;&gt;""),"Saved","Pending"),"🔒 BLOCKED — Wrong Code")))</f>
        <v>Pending</v>
      </c>
      <c r="J107" s="83" t="str">
        <f t="shared" ca="1" si="11"/>
        <v>—</v>
      </c>
      <c r="K107" s="84"/>
    </row>
    <row r="108" spans="1:11" ht="15" customHeight="1" x14ac:dyDescent="0.25">
      <c r="A108" s="85"/>
      <c r="B108" s="41" t="str">
        <f>IF(A108="","",IFERROR(VLOOKUP(A108,DB_Customers!$A:$D,4,0),"❌ Account Not Found"))</f>
        <v/>
      </c>
      <c r="C108" s="86" t="str">
        <f>IF(A108="","",IFERROR(IF(SUMIF(DB_Savings!$C:$C,A108,DB_Savings!$F:$F)=0,VLOOKUP(A108,DB_Customers!$A:$I,9,0),VLOOKUP(A108,DB_Customers!$A:$N,14,0)),"❌ Acct Not Found"))</f>
        <v/>
      </c>
      <c r="D108" s="87" t="str">
        <f t="shared" ca="1" si="9"/>
        <v/>
      </c>
      <c r="E108" s="79"/>
      <c r="F108" s="88" t="str">
        <f t="shared" si="10"/>
        <v/>
      </c>
      <c r="G108" s="43" t="s">
        <v>133</v>
      </c>
      <c r="H108" s="81"/>
      <c r="I108" s="89" t="str">
        <f>IF(A108="","Pending",IF(H108="","⚠️ Enter Agent Code",IF(IFERROR(VLOOKUP(G108,DB_Agents!$B:$I,8,0),"")=H108,IF(AND(A108&lt;&gt;"",E108&lt;&gt;""),"Saved","Pending"),"🔒 BLOCKED — Wrong Code")))</f>
        <v>Pending</v>
      </c>
      <c r="J108" s="90" t="str">
        <f t="shared" ca="1" si="11"/>
        <v>—</v>
      </c>
      <c r="K108" s="91"/>
    </row>
    <row r="109" spans="1:11" ht="15" customHeight="1" x14ac:dyDescent="0.25">
      <c r="A109" s="76"/>
      <c r="B109" s="37" t="str">
        <f>IF(A109="","",IFERROR(VLOOKUP(A109,DB_Customers!$A:$D,4,0),"❌ Account Not Found"))</f>
        <v/>
      </c>
      <c r="C109" s="77" t="str">
        <f>IF(A109="","",IFERROR(IF(SUMIF(DB_Savings!$C:$C,A109,DB_Savings!$F:$F)=0,VLOOKUP(A109,DB_Customers!$A:$I,9,0),VLOOKUP(A109,DB_Customers!$A:$N,14,0)),"❌ Acct Not Found"))</f>
        <v/>
      </c>
      <c r="D109" s="78" t="str">
        <f t="shared" ca="1" si="9"/>
        <v/>
      </c>
      <c r="E109" s="79"/>
      <c r="F109" s="80" t="str">
        <f t="shared" si="10"/>
        <v/>
      </c>
      <c r="G109" s="39" t="s">
        <v>133</v>
      </c>
      <c r="H109" s="81"/>
      <c r="I109" s="82" t="str">
        <f>IF(A109="","Pending",IF(H109="","⚠️ Enter Agent Code",IF(IFERROR(VLOOKUP(G109,DB_Agents!$B:$I,8,0),"")=H109,IF(AND(A109&lt;&gt;"",E109&lt;&gt;""),"Saved","Pending"),"🔒 BLOCKED — Wrong Code")))</f>
        <v>Pending</v>
      </c>
      <c r="J109" s="83" t="str">
        <f t="shared" ca="1" si="11"/>
        <v>—</v>
      </c>
      <c r="K109" s="84"/>
    </row>
    <row r="110" spans="1:11" ht="15" customHeight="1" x14ac:dyDescent="0.25">
      <c r="A110" s="85"/>
      <c r="B110" s="41" t="str">
        <f>IF(A110="","",IFERROR(VLOOKUP(A110,DB_Customers!$A:$D,4,0),"❌ Account Not Found"))</f>
        <v/>
      </c>
      <c r="C110" s="86" t="str">
        <f>IF(A110="","",IFERROR(IF(SUMIF(DB_Savings!$C:$C,A110,DB_Savings!$F:$F)=0,VLOOKUP(A110,DB_Customers!$A:$I,9,0),VLOOKUP(A110,DB_Customers!$A:$N,14,0)),"❌ Acct Not Found"))</f>
        <v/>
      </c>
      <c r="D110" s="87" t="str">
        <f t="shared" ca="1" si="9"/>
        <v/>
      </c>
      <c r="E110" s="79"/>
      <c r="F110" s="88" t="str">
        <f t="shared" si="10"/>
        <v/>
      </c>
      <c r="G110" s="43" t="s">
        <v>133</v>
      </c>
      <c r="H110" s="81"/>
      <c r="I110" s="89" t="str">
        <f>IF(A110="","Pending",IF(H110="","⚠️ Enter Agent Code",IF(IFERROR(VLOOKUP(G110,DB_Agents!$B:$I,8,0),"")=H110,IF(AND(A110&lt;&gt;"",E110&lt;&gt;""),"Saved","Pending"),"🔒 BLOCKED — Wrong Code")))</f>
        <v>Pending</v>
      </c>
      <c r="J110" s="90" t="str">
        <f t="shared" ca="1" si="11"/>
        <v>—</v>
      </c>
      <c r="K110" s="91"/>
    </row>
    <row r="111" spans="1:11" ht="15" customHeight="1" x14ac:dyDescent="0.25">
      <c r="A111" s="76"/>
      <c r="B111" s="37" t="str">
        <f>IF(A111="","",IFERROR(VLOOKUP(A111,DB_Customers!$A:$D,4,0),"❌ Account Not Found"))</f>
        <v/>
      </c>
      <c r="C111" s="77" t="str">
        <f>IF(A111="","",IFERROR(IF(SUMIF(DB_Savings!$C:$C,A111,DB_Savings!$F:$F)=0,VLOOKUP(A111,DB_Customers!$A:$I,9,0),VLOOKUP(A111,DB_Customers!$A:$N,14,0)),"❌ Acct Not Found"))</f>
        <v/>
      </c>
      <c r="D111" s="78" t="str">
        <f t="shared" ca="1" si="9"/>
        <v/>
      </c>
      <c r="E111" s="79"/>
      <c r="F111" s="80" t="str">
        <f t="shared" si="10"/>
        <v/>
      </c>
      <c r="G111" s="39" t="s">
        <v>133</v>
      </c>
      <c r="H111" s="81"/>
      <c r="I111" s="82" t="str">
        <f>IF(A111="","Pending",IF(H111="","⚠️ Enter Agent Code",IF(IFERROR(VLOOKUP(G111,DB_Agents!$B:$I,8,0),"")=H111,IF(AND(A111&lt;&gt;"",E111&lt;&gt;""),"Saved","Pending"),"🔒 BLOCKED — Wrong Code")))</f>
        <v>Pending</v>
      </c>
      <c r="J111" s="83" t="str">
        <f t="shared" ca="1" si="11"/>
        <v>—</v>
      </c>
      <c r="K111" s="84"/>
    </row>
    <row r="112" spans="1:11" ht="15" customHeight="1" x14ac:dyDescent="0.25">
      <c r="A112" s="85"/>
      <c r="B112" s="41" t="str">
        <f>IF(A112="","",IFERROR(VLOOKUP(A112,DB_Customers!$A:$D,4,0),"❌ Account Not Found"))</f>
        <v/>
      </c>
      <c r="C112" s="86" t="str">
        <f>IF(A112="","",IFERROR(IF(SUMIF(DB_Savings!$C:$C,A112,DB_Savings!$F:$F)=0,VLOOKUP(A112,DB_Customers!$A:$I,9,0),VLOOKUP(A112,DB_Customers!$A:$N,14,0)),"❌ Acct Not Found"))</f>
        <v/>
      </c>
      <c r="D112" s="87" t="str">
        <f t="shared" ca="1" si="9"/>
        <v/>
      </c>
      <c r="E112" s="79"/>
      <c r="F112" s="88" t="str">
        <f t="shared" si="10"/>
        <v/>
      </c>
      <c r="G112" s="43" t="s">
        <v>133</v>
      </c>
      <c r="H112" s="81"/>
      <c r="I112" s="89" t="str">
        <f>IF(A112="","Pending",IF(H112="","⚠️ Enter Agent Code",IF(IFERROR(VLOOKUP(G112,DB_Agents!$B:$I,8,0),"")=H112,IF(AND(A112&lt;&gt;"",E112&lt;&gt;""),"Saved","Pending"),"🔒 BLOCKED — Wrong Code")))</f>
        <v>Pending</v>
      </c>
      <c r="J112" s="90" t="str">
        <f t="shared" ca="1" si="11"/>
        <v>—</v>
      </c>
      <c r="K112" s="91"/>
    </row>
    <row r="113" spans="1:11" ht="15" customHeight="1" x14ac:dyDescent="0.25">
      <c r="A113" s="76"/>
      <c r="B113" s="37" t="str">
        <f>IF(A113="","",IFERROR(VLOOKUP(A113,DB_Customers!$A:$D,4,0),"❌ Account Not Found"))</f>
        <v/>
      </c>
      <c r="C113" s="77" t="str">
        <f>IF(A113="","",IFERROR(IF(SUMIF(DB_Savings!$C:$C,A113,DB_Savings!$F:$F)=0,VLOOKUP(A113,DB_Customers!$A:$I,9,0),VLOOKUP(A113,DB_Customers!$A:$N,14,0)),"❌ Acct Not Found"))</f>
        <v/>
      </c>
      <c r="D113" s="78" t="str">
        <f t="shared" ca="1" si="9"/>
        <v/>
      </c>
      <c r="E113" s="79"/>
      <c r="F113" s="80" t="str">
        <f t="shared" si="10"/>
        <v/>
      </c>
      <c r="G113" s="39" t="s">
        <v>133</v>
      </c>
      <c r="H113" s="81"/>
      <c r="I113" s="82" t="str">
        <f>IF(A113="","Pending",IF(H113="","⚠️ Enter Agent Code",IF(IFERROR(VLOOKUP(G113,DB_Agents!$B:$I,8,0),"")=H113,IF(AND(A113&lt;&gt;"",E113&lt;&gt;""),"Saved","Pending"),"🔒 BLOCKED — Wrong Code")))</f>
        <v>Pending</v>
      </c>
      <c r="J113" s="83" t="str">
        <f t="shared" ca="1" si="11"/>
        <v>—</v>
      </c>
      <c r="K113" s="84"/>
    </row>
    <row r="114" spans="1:11" ht="15" customHeight="1" x14ac:dyDescent="0.25">
      <c r="A114" s="85"/>
      <c r="B114" s="41" t="str">
        <f>IF(A114="","",IFERROR(VLOOKUP(A114,DB_Customers!$A:$D,4,0),"❌ Account Not Found"))</f>
        <v/>
      </c>
      <c r="C114" s="86" t="str">
        <f>IF(A114="","",IFERROR(IF(SUMIF(DB_Savings!$C:$C,A114,DB_Savings!$F:$F)=0,VLOOKUP(A114,DB_Customers!$A:$I,9,0),VLOOKUP(A114,DB_Customers!$A:$N,14,0)),"❌ Acct Not Found"))</f>
        <v/>
      </c>
      <c r="D114" s="87" t="str">
        <f t="shared" ca="1" si="9"/>
        <v/>
      </c>
      <c r="E114" s="79"/>
      <c r="F114" s="88" t="str">
        <f t="shared" si="10"/>
        <v/>
      </c>
      <c r="G114" s="43" t="s">
        <v>133</v>
      </c>
      <c r="H114" s="81"/>
      <c r="I114" s="89" t="str">
        <f>IF(A114="","Pending",IF(H114="","⚠️ Enter Agent Code",IF(IFERROR(VLOOKUP(G114,DB_Agents!$B:$I,8,0),"")=H114,IF(AND(A114&lt;&gt;"",E114&lt;&gt;""),"Saved","Pending"),"🔒 BLOCKED — Wrong Code")))</f>
        <v>Pending</v>
      </c>
      <c r="J114" s="90" t="str">
        <f t="shared" ca="1" si="11"/>
        <v>—</v>
      </c>
      <c r="K114" s="91"/>
    </row>
    <row r="115" spans="1:11" ht="15" customHeight="1" x14ac:dyDescent="0.25">
      <c r="A115" s="76"/>
      <c r="B115" s="37" t="str">
        <f>IF(A115="","",IFERROR(VLOOKUP(A115,DB_Customers!$A:$D,4,0),"❌ Account Not Found"))</f>
        <v/>
      </c>
      <c r="C115" s="77" t="str">
        <f>IF(A115="","",IFERROR(IF(SUMIF(DB_Savings!$C:$C,A115,DB_Savings!$F:$F)=0,VLOOKUP(A115,DB_Customers!$A:$I,9,0),VLOOKUP(A115,DB_Customers!$A:$N,14,0)),"❌ Acct Not Found"))</f>
        <v/>
      </c>
      <c r="D115" s="78" t="str">
        <f t="shared" ca="1" si="9"/>
        <v/>
      </c>
      <c r="E115" s="79"/>
      <c r="F115" s="80" t="str">
        <f t="shared" si="10"/>
        <v/>
      </c>
      <c r="G115" s="39" t="s">
        <v>133</v>
      </c>
      <c r="H115" s="81"/>
      <c r="I115" s="82" t="str">
        <f>IF(A115="","Pending",IF(H115="","⚠️ Enter Agent Code",IF(IFERROR(VLOOKUP(G115,DB_Agents!$B:$I,8,0),"")=H115,IF(AND(A115&lt;&gt;"",E115&lt;&gt;""),"Saved","Pending"),"🔒 BLOCKED — Wrong Code")))</f>
        <v>Pending</v>
      </c>
      <c r="J115" s="83" t="str">
        <f t="shared" ca="1" si="11"/>
        <v>—</v>
      </c>
      <c r="K115" s="84"/>
    </row>
    <row r="116" spans="1:11" ht="15" customHeight="1" x14ac:dyDescent="0.25">
      <c r="A116" s="85"/>
      <c r="B116" s="41" t="str">
        <f>IF(A116="","",IFERROR(VLOOKUP(A116,DB_Customers!$A:$D,4,0),"❌ Account Not Found"))</f>
        <v/>
      </c>
      <c r="C116" s="86" t="str">
        <f>IF(A116="","",IFERROR(IF(SUMIF(DB_Savings!$C:$C,A116,DB_Savings!$F:$F)=0,VLOOKUP(A116,DB_Customers!$A:$I,9,0),VLOOKUP(A116,DB_Customers!$A:$N,14,0)),"❌ Acct Not Found"))</f>
        <v/>
      </c>
      <c r="D116" s="87" t="str">
        <f t="shared" ca="1" si="9"/>
        <v/>
      </c>
      <c r="E116" s="79"/>
      <c r="F116" s="88" t="str">
        <f t="shared" si="10"/>
        <v/>
      </c>
      <c r="G116" s="43" t="s">
        <v>133</v>
      </c>
      <c r="H116" s="81"/>
      <c r="I116" s="89" t="str">
        <f>IF(A116="","Pending",IF(H116="","⚠️ Enter Agent Code",IF(IFERROR(VLOOKUP(G116,DB_Agents!$B:$I,8,0),"")=H116,IF(AND(A116&lt;&gt;"",E116&lt;&gt;""),"Saved","Pending"),"🔒 BLOCKED — Wrong Code")))</f>
        <v>Pending</v>
      </c>
      <c r="J116" s="90" t="str">
        <f t="shared" ca="1" si="11"/>
        <v>—</v>
      </c>
      <c r="K116" s="91"/>
    </row>
    <row r="117" spans="1:11" ht="15" customHeight="1" x14ac:dyDescent="0.25">
      <c r="A117" s="76"/>
      <c r="B117" s="37" t="str">
        <f>IF(A117="","",IFERROR(VLOOKUP(A117,DB_Customers!$A:$D,4,0),"❌ Account Not Found"))</f>
        <v/>
      </c>
      <c r="C117" s="77" t="str">
        <f>IF(A117="","",IFERROR(IF(SUMIF(DB_Savings!$C:$C,A117,DB_Savings!$F:$F)=0,VLOOKUP(A117,DB_Customers!$A:$I,9,0),VLOOKUP(A117,DB_Customers!$A:$N,14,0)),"❌ Acct Not Found"))</f>
        <v/>
      </c>
      <c r="D117" s="78" t="str">
        <f t="shared" ca="1" si="9"/>
        <v/>
      </c>
      <c r="E117" s="79"/>
      <c r="F117" s="80" t="str">
        <f t="shared" si="10"/>
        <v/>
      </c>
      <c r="G117" s="39" t="s">
        <v>133</v>
      </c>
      <c r="H117" s="81"/>
      <c r="I117" s="82" t="str">
        <f>IF(A117="","Pending",IF(H117="","⚠️ Enter Agent Code",IF(IFERROR(VLOOKUP(G117,DB_Agents!$B:$I,8,0),"")=H117,IF(AND(A117&lt;&gt;"",E117&lt;&gt;""),"Saved","Pending"),"🔒 BLOCKED — Wrong Code")))</f>
        <v>Pending</v>
      </c>
      <c r="J117" s="83" t="str">
        <f t="shared" ca="1" si="11"/>
        <v>—</v>
      </c>
      <c r="K117" s="84"/>
    </row>
    <row r="118" spans="1:11" ht="15" customHeight="1" x14ac:dyDescent="0.25">
      <c r="A118" s="85"/>
      <c r="B118" s="41" t="str">
        <f>IF(A118="","",IFERROR(VLOOKUP(A118,DB_Customers!$A:$D,4,0),"❌ Account Not Found"))</f>
        <v/>
      </c>
      <c r="C118" s="86" t="str">
        <f>IF(A118="","",IFERROR(IF(SUMIF(DB_Savings!$C:$C,A118,DB_Savings!$F:$F)=0,VLOOKUP(A118,DB_Customers!$A:$I,9,0),VLOOKUP(A118,DB_Customers!$A:$N,14,0)),"❌ Acct Not Found"))</f>
        <v/>
      </c>
      <c r="D118" s="87" t="str">
        <f t="shared" ca="1" si="9"/>
        <v/>
      </c>
      <c r="E118" s="79"/>
      <c r="F118" s="88" t="str">
        <f t="shared" si="10"/>
        <v/>
      </c>
      <c r="G118" s="43" t="s">
        <v>133</v>
      </c>
      <c r="H118" s="81"/>
      <c r="I118" s="89" t="str">
        <f>IF(A118="","Pending",IF(H118="","⚠️ Enter Agent Code",IF(IFERROR(VLOOKUP(G118,DB_Agents!$B:$I,8,0),"")=H118,IF(AND(A118&lt;&gt;"",E118&lt;&gt;""),"Saved","Pending"),"🔒 BLOCKED — Wrong Code")))</f>
        <v>Pending</v>
      </c>
      <c r="J118" s="90" t="str">
        <f t="shared" ca="1" si="11"/>
        <v>—</v>
      </c>
      <c r="K118" s="91"/>
    </row>
    <row r="119" spans="1:11" ht="15" customHeight="1" x14ac:dyDescent="0.25">
      <c r="A119" s="76"/>
      <c r="B119" s="37" t="str">
        <f>IF(A119="","",IFERROR(VLOOKUP(A119,DB_Customers!$A:$D,4,0),"❌ Account Not Found"))</f>
        <v/>
      </c>
      <c r="C119" s="77" t="str">
        <f>IF(A119="","",IFERROR(IF(SUMIF(DB_Savings!$C:$C,A119,DB_Savings!$F:$F)=0,VLOOKUP(A119,DB_Customers!$A:$I,9,0),VLOOKUP(A119,DB_Customers!$A:$N,14,0)),"❌ Acct Not Found"))</f>
        <v/>
      </c>
      <c r="D119" s="78" t="str">
        <f t="shared" ca="1" si="9"/>
        <v/>
      </c>
      <c r="E119" s="79"/>
      <c r="F119" s="80" t="str">
        <f t="shared" si="10"/>
        <v/>
      </c>
      <c r="G119" s="39" t="s">
        <v>133</v>
      </c>
      <c r="H119" s="81"/>
      <c r="I119" s="82" t="str">
        <f>IF(A119="","Pending",IF(H119="","⚠️ Enter Agent Code",IF(IFERROR(VLOOKUP(G119,DB_Agents!$B:$I,8,0),"")=H119,IF(AND(A119&lt;&gt;"",E119&lt;&gt;""),"Saved","Pending"),"🔒 BLOCKED — Wrong Code")))</f>
        <v>Pending</v>
      </c>
      <c r="J119" s="83" t="str">
        <f t="shared" ca="1" si="11"/>
        <v>—</v>
      </c>
      <c r="K119" s="84"/>
    </row>
    <row r="120" spans="1:11" ht="15" customHeight="1" x14ac:dyDescent="0.25">
      <c r="A120" s="85"/>
      <c r="B120" s="41" t="str">
        <f>IF(A120="","",IFERROR(VLOOKUP(A120,DB_Customers!$A:$D,4,0),"❌ Account Not Found"))</f>
        <v/>
      </c>
      <c r="C120" s="86" t="str">
        <f>IF(A120="","",IFERROR(IF(SUMIF(DB_Savings!$C:$C,A120,DB_Savings!$F:$F)=0,VLOOKUP(A120,DB_Customers!$A:$I,9,0),VLOOKUP(A120,DB_Customers!$A:$N,14,0)),"❌ Acct Not Found"))</f>
        <v/>
      </c>
      <c r="D120" s="87" t="str">
        <f t="shared" ca="1" si="9"/>
        <v/>
      </c>
      <c r="E120" s="79"/>
      <c r="F120" s="88" t="str">
        <f t="shared" si="10"/>
        <v/>
      </c>
      <c r="G120" s="43" t="s">
        <v>133</v>
      </c>
      <c r="H120" s="81"/>
      <c r="I120" s="89" t="str">
        <f>IF(A120="","Pending",IF(H120="","⚠️ Enter Agent Code",IF(IFERROR(VLOOKUP(G120,DB_Agents!$B:$I,8,0),"")=H120,IF(AND(A120&lt;&gt;"",E120&lt;&gt;""),"Saved","Pending"),"🔒 BLOCKED — Wrong Code")))</f>
        <v>Pending</v>
      </c>
      <c r="J120" s="90" t="str">
        <f t="shared" ca="1" si="11"/>
        <v>—</v>
      </c>
      <c r="K120" s="91"/>
    </row>
    <row r="121" spans="1:11" ht="15" customHeight="1" x14ac:dyDescent="0.25">
      <c r="A121" s="76"/>
      <c r="B121" s="37" t="str">
        <f>IF(A121="","",IFERROR(VLOOKUP(A121,DB_Customers!$A:$D,4,0),"❌ Account Not Found"))</f>
        <v/>
      </c>
      <c r="C121" s="77" t="str">
        <f>IF(A121="","",IFERROR(IF(SUMIF(DB_Savings!$C:$C,A121,DB_Savings!$F:$F)=0,VLOOKUP(A121,DB_Customers!$A:$I,9,0),VLOOKUP(A121,DB_Customers!$A:$N,14,0)),"❌ Acct Not Found"))</f>
        <v/>
      </c>
      <c r="D121" s="78" t="str">
        <f t="shared" ca="1" si="9"/>
        <v/>
      </c>
      <c r="E121" s="79"/>
      <c r="F121" s="80" t="str">
        <f t="shared" si="10"/>
        <v/>
      </c>
      <c r="G121" s="39" t="s">
        <v>133</v>
      </c>
      <c r="H121" s="81"/>
      <c r="I121" s="82" t="str">
        <f>IF(A121="","Pending",IF(H121="","⚠️ Enter Agent Code",IF(IFERROR(VLOOKUP(G121,DB_Agents!$B:$I,8,0),"")=H121,IF(AND(A121&lt;&gt;"",E121&lt;&gt;""),"Saved","Pending"),"🔒 BLOCKED — Wrong Code")))</f>
        <v>Pending</v>
      </c>
      <c r="J121" s="83" t="str">
        <f t="shared" ca="1" si="11"/>
        <v>—</v>
      </c>
      <c r="K121" s="84"/>
    </row>
    <row r="122" spans="1:11" ht="15" customHeight="1" x14ac:dyDescent="0.25">
      <c r="A122" s="85"/>
      <c r="B122" s="41" t="str">
        <f>IF(A122="","",IFERROR(VLOOKUP(A122,DB_Customers!$A:$D,4,0),"❌ Account Not Found"))</f>
        <v/>
      </c>
      <c r="C122" s="86" t="str">
        <f>IF(A122="","",IFERROR(IF(SUMIF(DB_Savings!$C:$C,A122,DB_Savings!$F:$F)=0,VLOOKUP(A122,DB_Customers!$A:$I,9,0),VLOOKUP(A122,DB_Customers!$A:$N,14,0)),"❌ Acct Not Found"))</f>
        <v/>
      </c>
      <c r="D122" s="87" t="str">
        <f t="shared" ca="1" si="9"/>
        <v/>
      </c>
      <c r="E122" s="79"/>
      <c r="F122" s="88" t="str">
        <f t="shared" si="10"/>
        <v/>
      </c>
      <c r="G122" s="43" t="s">
        <v>133</v>
      </c>
      <c r="H122" s="81"/>
      <c r="I122" s="89" t="str">
        <f>IF(A122="","Pending",IF(H122="","⚠️ Enter Agent Code",IF(IFERROR(VLOOKUP(G122,DB_Agents!$B:$I,8,0),"")=H122,IF(AND(A122&lt;&gt;"",E122&lt;&gt;""),"Saved","Pending"),"🔒 BLOCKED — Wrong Code")))</f>
        <v>Pending</v>
      </c>
      <c r="J122" s="90" t="str">
        <f t="shared" ca="1" si="11"/>
        <v>—</v>
      </c>
      <c r="K122" s="91"/>
    </row>
    <row r="123" spans="1:11" ht="15" customHeight="1" x14ac:dyDescent="0.25">
      <c r="A123" s="76"/>
      <c r="B123" s="37" t="str">
        <f>IF(A123="","",IFERROR(VLOOKUP(A123,DB_Customers!$A:$D,4,0),"❌ Account Not Found"))</f>
        <v/>
      </c>
      <c r="C123" s="77" t="str">
        <f>IF(A123="","",IFERROR(IF(SUMIF(DB_Savings!$C:$C,A123,DB_Savings!$F:$F)=0,VLOOKUP(A123,DB_Customers!$A:$I,9,0),VLOOKUP(A123,DB_Customers!$A:$N,14,0)),"❌ Acct Not Found"))</f>
        <v/>
      </c>
      <c r="D123" s="78" t="str">
        <f t="shared" ca="1" si="9"/>
        <v/>
      </c>
      <c r="E123" s="79"/>
      <c r="F123" s="80" t="str">
        <f t="shared" si="10"/>
        <v/>
      </c>
      <c r="G123" s="39" t="s">
        <v>133</v>
      </c>
      <c r="H123" s="81"/>
      <c r="I123" s="82" t="str">
        <f>IF(A123="","Pending",IF(H123="","⚠️ Enter Agent Code",IF(IFERROR(VLOOKUP(G123,DB_Agents!$B:$I,8,0),"")=H123,IF(AND(A123&lt;&gt;"",E123&lt;&gt;""),"Saved","Pending"),"🔒 BLOCKED — Wrong Code")))</f>
        <v>Pending</v>
      </c>
      <c r="J123" s="83" t="str">
        <f t="shared" ca="1" si="11"/>
        <v>—</v>
      </c>
      <c r="K123" s="84"/>
    </row>
    <row r="124" spans="1:11" ht="15" customHeight="1" x14ac:dyDescent="0.25">
      <c r="A124" s="85"/>
      <c r="B124" s="41" t="str">
        <f>IF(A124="","",IFERROR(VLOOKUP(A124,DB_Customers!$A:$D,4,0),"❌ Account Not Found"))</f>
        <v/>
      </c>
      <c r="C124" s="86" t="str">
        <f>IF(A124="","",IFERROR(IF(SUMIF(DB_Savings!$C:$C,A124,DB_Savings!$F:$F)=0,VLOOKUP(A124,DB_Customers!$A:$I,9,0),VLOOKUP(A124,DB_Customers!$A:$N,14,0)),"❌ Acct Not Found"))</f>
        <v/>
      </c>
      <c r="D124" s="87" t="str">
        <f t="shared" ca="1" si="9"/>
        <v/>
      </c>
      <c r="E124" s="79"/>
      <c r="F124" s="88" t="str">
        <f t="shared" si="10"/>
        <v/>
      </c>
      <c r="G124" s="43" t="s">
        <v>133</v>
      </c>
      <c r="H124" s="81"/>
      <c r="I124" s="89" t="str">
        <f>IF(A124="","Pending",IF(H124="","⚠️ Enter Agent Code",IF(IFERROR(VLOOKUP(G124,DB_Agents!$B:$I,8,0),"")=H124,IF(AND(A124&lt;&gt;"",E124&lt;&gt;""),"Saved","Pending"),"🔒 BLOCKED — Wrong Code")))</f>
        <v>Pending</v>
      </c>
      <c r="J124" s="90" t="str">
        <f t="shared" ca="1" si="11"/>
        <v>—</v>
      </c>
      <c r="K124" s="91"/>
    </row>
    <row r="125" spans="1:11" ht="15" customHeight="1" x14ac:dyDescent="0.25">
      <c r="A125" s="76"/>
      <c r="B125" s="37" t="str">
        <f>IF(A125="","",IFERROR(VLOOKUP(A125,DB_Customers!$A:$D,4,0),"❌ Account Not Found"))</f>
        <v/>
      </c>
      <c r="C125" s="77" t="str">
        <f>IF(A125="","",IFERROR(IF(SUMIF(DB_Savings!$C:$C,A125,DB_Savings!$F:$F)=0,VLOOKUP(A125,DB_Customers!$A:$I,9,0),VLOOKUP(A125,DB_Customers!$A:$N,14,0)),"❌ Acct Not Found"))</f>
        <v/>
      </c>
      <c r="D125" s="78" t="str">
        <f t="shared" ca="1" si="9"/>
        <v/>
      </c>
      <c r="E125" s="79"/>
      <c r="F125" s="80" t="str">
        <f t="shared" si="10"/>
        <v/>
      </c>
      <c r="G125" s="39" t="s">
        <v>133</v>
      </c>
      <c r="H125" s="81"/>
      <c r="I125" s="82" t="str">
        <f>IF(A125="","Pending",IF(H125="","⚠️ Enter Agent Code",IF(IFERROR(VLOOKUP(G125,DB_Agents!$B:$I,8,0),"")=H125,IF(AND(A125&lt;&gt;"",E125&lt;&gt;""),"Saved","Pending"),"🔒 BLOCKED — Wrong Code")))</f>
        <v>Pending</v>
      </c>
      <c r="J125" s="83" t="str">
        <f t="shared" ca="1" si="11"/>
        <v>—</v>
      </c>
      <c r="K125" s="84"/>
    </row>
    <row r="126" spans="1:11" ht="15" customHeight="1" x14ac:dyDescent="0.25">
      <c r="A126" s="85"/>
      <c r="B126" s="41" t="str">
        <f>IF(A126="","",IFERROR(VLOOKUP(A126,DB_Customers!$A:$D,4,0),"❌ Account Not Found"))</f>
        <v/>
      </c>
      <c r="C126" s="86" t="str">
        <f>IF(A126="","",IFERROR(IF(SUMIF(DB_Savings!$C:$C,A126,DB_Savings!$F:$F)=0,VLOOKUP(A126,DB_Customers!$A:$I,9,0),VLOOKUP(A126,DB_Customers!$A:$N,14,0)),"❌ Acct Not Found"))</f>
        <v/>
      </c>
      <c r="D126" s="87" t="str">
        <f t="shared" ca="1" si="9"/>
        <v/>
      </c>
      <c r="E126" s="79"/>
      <c r="F126" s="88" t="str">
        <f t="shared" si="10"/>
        <v/>
      </c>
      <c r="G126" s="43" t="s">
        <v>133</v>
      </c>
      <c r="H126" s="81"/>
      <c r="I126" s="89" t="str">
        <f>IF(A126="","Pending",IF(H126="","⚠️ Enter Agent Code",IF(IFERROR(VLOOKUP(G126,DB_Agents!$B:$I,8,0),"")=H126,IF(AND(A126&lt;&gt;"",E126&lt;&gt;""),"Saved","Pending"),"🔒 BLOCKED — Wrong Code")))</f>
        <v>Pending</v>
      </c>
      <c r="J126" s="90" t="str">
        <f t="shared" ca="1" si="11"/>
        <v>—</v>
      </c>
      <c r="K126" s="91"/>
    </row>
    <row r="127" spans="1:11" ht="15" customHeight="1" x14ac:dyDescent="0.25">
      <c r="A127" s="76"/>
      <c r="B127" s="37" t="str">
        <f>IF(A127="","",IFERROR(VLOOKUP(A127,DB_Customers!$A:$D,4,0),"❌ Account Not Found"))</f>
        <v/>
      </c>
      <c r="C127" s="77" t="str">
        <f>IF(A127="","",IFERROR(IF(SUMIF(DB_Savings!$C:$C,A127,DB_Savings!$F:$F)=0,VLOOKUP(A127,DB_Customers!$A:$I,9,0),VLOOKUP(A127,DB_Customers!$A:$N,14,0)),"❌ Acct Not Found"))</f>
        <v/>
      </c>
      <c r="D127" s="78" t="str">
        <f t="shared" ca="1" si="9"/>
        <v/>
      </c>
      <c r="E127" s="79"/>
      <c r="F127" s="80" t="str">
        <f t="shared" si="10"/>
        <v/>
      </c>
      <c r="G127" s="39" t="s">
        <v>133</v>
      </c>
      <c r="H127" s="81"/>
      <c r="I127" s="82" t="str">
        <f>IF(A127="","Pending",IF(H127="","⚠️ Enter Agent Code",IF(IFERROR(VLOOKUP(G127,DB_Agents!$B:$I,8,0),"")=H127,IF(AND(A127&lt;&gt;"",E127&lt;&gt;""),"Saved","Pending"),"🔒 BLOCKED — Wrong Code")))</f>
        <v>Pending</v>
      </c>
      <c r="J127" s="83" t="str">
        <f t="shared" ca="1" si="11"/>
        <v>—</v>
      </c>
      <c r="K127" s="84"/>
    </row>
    <row r="128" spans="1:11" ht="15" customHeight="1" x14ac:dyDescent="0.25">
      <c r="A128" s="85"/>
      <c r="B128" s="41" t="str">
        <f>IF(A128="","",IFERROR(VLOOKUP(A128,DB_Customers!$A:$D,4,0),"❌ Account Not Found"))</f>
        <v/>
      </c>
      <c r="C128" s="86" t="str">
        <f>IF(A128="","",IFERROR(IF(SUMIF(DB_Savings!$C:$C,A128,DB_Savings!$F:$F)=0,VLOOKUP(A128,DB_Customers!$A:$I,9,0),VLOOKUP(A128,DB_Customers!$A:$N,14,0)),"❌ Acct Not Found"))</f>
        <v/>
      </c>
      <c r="D128" s="87" t="str">
        <f t="shared" ca="1" si="9"/>
        <v/>
      </c>
      <c r="E128" s="79"/>
      <c r="F128" s="88" t="str">
        <f t="shared" si="10"/>
        <v/>
      </c>
      <c r="G128" s="43" t="s">
        <v>133</v>
      </c>
      <c r="H128" s="81"/>
      <c r="I128" s="89" t="str">
        <f>IF(A128="","Pending",IF(H128="","⚠️ Enter Agent Code",IF(IFERROR(VLOOKUP(G128,DB_Agents!$B:$I,8,0),"")=H128,IF(AND(A128&lt;&gt;"",E128&lt;&gt;""),"Saved","Pending"),"🔒 BLOCKED — Wrong Code")))</f>
        <v>Pending</v>
      </c>
      <c r="J128" s="90" t="str">
        <f t="shared" ca="1" si="11"/>
        <v>—</v>
      </c>
      <c r="K128" s="91"/>
    </row>
    <row r="129" spans="1:11" ht="15" customHeight="1" x14ac:dyDescent="0.25">
      <c r="A129" s="76"/>
      <c r="B129" s="37" t="str">
        <f>IF(A129="","",IFERROR(VLOOKUP(A129,DB_Customers!$A:$D,4,0),"❌ Account Not Found"))</f>
        <v/>
      </c>
      <c r="C129" s="77" t="str">
        <f>IF(A129="","",IFERROR(IF(SUMIF(DB_Savings!$C:$C,A129,DB_Savings!$F:$F)=0,VLOOKUP(A129,DB_Customers!$A:$I,9,0),VLOOKUP(A129,DB_Customers!$A:$N,14,0)),"❌ Acct Not Found"))</f>
        <v/>
      </c>
      <c r="D129" s="78" t="str">
        <f t="shared" ca="1" si="9"/>
        <v/>
      </c>
      <c r="E129" s="79"/>
      <c r="F129" s="80" t="str">
        <f t="shared" si="10"/>
        <v/>
      </c>
      <c r="G129" s="39" t="s">
        <v>133</v>
      </c>
      <c r="H129" s="81"/>
      <c r="I129" s="82" t="str">
        <f>IF(A129="","Pending",IF(H129="","⚠️ Enter Agent Code",IF(IFERROR(VLOOKUP(G129,DB_Agents!$B:$I,8,0),"")=H129,IF(AND(A129&lt;&gt;"",E129&lt;&gt;""),"Saved","Pending"),"🔒 BLOCKED — Wrong Code")))</f>
        <v>Pending</v>
      </c>
      <c r="J129" s="83" t="str">
        <f t="shared" ca="1" si="11"/>
        <v>—</v>
      </c>
      <c r="K129" s="84"/>
    </row>
    <row r="130" spans="1:11" ht="15" customHeight="1" x14ac:dyDescent="0.25">
      <c r="A130" s="85"/>
      <c r="B130" s="41" t="str">
        <f>IF(A130="","",IFERROR(VLOOKUP(A130,DB_Customers!$A:$D,4,0),"❌ Account Not Found"))</f>
        <v/>
      </c>
      <c r="C130" s="86" t="str">
        <f>IF(A130="","",IFERROR(IF(SUMIF(DB_Savings!$C:$C,A130,DB_Savings!$F:$F)=0,VLOOKUP(A130,DB_Customers!$A:$I,9,0),VLOOKUP(A130,DB_Customers!$A:$N,14,0)),"❌ Acct Not Found"))</f>
        <v/>
      </c>
      <c r="D130" s="87" t="str">
        <f t="shared" ca="1" si="9"/>
        <v/>
      </c>
      <c r="E130" s="79"/>
      <c r="F130" s="88" t="str">
        <f t="shared" si="10"/>
        <v/>
      </c>
      <c r="G130" s="43" t="s">
        <v>133</v>
      </c>
      <c r="H130" s="81"/>
      <c r="I130" s="89" t="str">
        <f>IF(A130="","Pending",IF(H130="","⚠️ Enter Agent Code",IF(IFERROR(VLOOKUP(G130,DB_Agents!$B:$I,8,0),"")=H130,IF(AND(A130&lt;&gt;"",E130&lt;&gt;""),"Saved","Pending"),"🔒 BLOCKED — Wrong Code")))</f>
        <v>Pending</v>
      </c>
      <c r="J130" s="90" t="str">
        <f t="shared" ca="1" si="11"/>
        <v>—</v>
      </c>
      <c r="K130" s="91"/>
    </row>
    <row r="131" spans="1:11" ht="15" customHeight="1" x14ac:dyDescent="0.25">
      <c r="A131" s="76"/>
      <c r="B131" s="37" t="str">
        <f>IF(A131="","",IFERROR(VLOOKUP(A131,DB_Customers!$A:$D,4,0),"❌ Account Not Found"))</f>
        <v/>
      </c>
      <c r="C131" s="77" t="str">
        <f>IF(A131="","",IFERROR(IF(SUMIF(DB_Savings!$C:$C,A131,DB_Savings!$F:$F)=0,VLOOKUP(A131,DB_Customers!$A:$I,9,0),VLOOKUP(A131,DB_Customers!$A:$N,14,0)),"❌ Acct Not Found"))</f>
        <v/>
      </c>
      <c r="D131" s="78" t="str">
        <f t="shared" ca="1" si="9"/>
        <v/>
      </c>
      <c r="E131" s="79"/>
      <c r="F131" s="80" t="str">
        <f t="shared" si="10"/>
        <v/>
      </c>
      <c r="G131" s="39" t="s">
        <v>133</v>
      </c>
      <c r="H131" s="81"/>
      <c r="I131" s="82" t="str">
        <f>IF(A131="","Pending",IF(H131="","⚠️ Enter Agent Code",IF(IFERROR(VLOOKUP(G131,DB_Agents!$B:$I,8,0),"")=H131,IF(AND(A131&lt;&gt;"",E131&lt;&gt;""),"Saved","Pending"),"🔒 BLOCKED — Wrong Code")))</f>
        <v>Pending</v>
      </c>
      <c r="J131" s="83" t="str">
        <f t="shared" ca="1" si="11"/>
        <v>—</v>
      </c>
      <c r="K131" s="84"/>
    </row>
    <row r="132" spans="1:11" ht="15" customHeight="1" x14ac:dyDescent="0.25">
      <c r="A132" s="85"/>
      <c r="B132" s="41" t="str">
        <f>IF(A132="","",IFERROR(VLOOKUP(A132,DB_Customers!$A:$D,4,0),"❌ Account Not Found"))</f>
        <v/>
      </c>
      <c r="C132" s="86" t="str">
        <f>IF(A132="","",IFERROR(IF(SUMIF(DB_Savings!$C:$C,A132,DB_Savings!$F:$F)=0,VLOOKUP(A132,DB_Customers!$A:$I,9,0),VLOOKUP(A132,DB_Customers!$A:$N,14,0)),"❌ Acct Not Found"))</f>
        <v/>
      </c>
      <c r="D132" s="87" t="str">
        <f t="shared" ca="1" si="9"/>
        <v/>
      </c>
      <c r="E132" s="79"/>
      <c r="F132" s="88" t="str">
        <f t="shared" si="10"/>
        <v/>
      </c>
      <c r="G132" s="43" t="s">
        <v>133</v>
      </c>
      <c r="H132" s="81"/>
      <c r="I132" s="89" t="str">
        <f>IF(A132="","Pending",IF(H132="","⚠️ Enter Agent Code",IF(IFERROR(VLOOKUP(G132,DB_Agents!$B:$I,8,0),"")=H132,IF(AND(A132&lt;&gt;"",E132&lt;&gt;""),"Saved","Pending"),"🔒 BLOCKED — Wrong Code")))</f>
        <v>Pending</v>
      </c>
      <c r="J132" s="90" t="str">
        <f t="shared" ca="1" si="11"/>
        <v>—</v>
      </c>
      <c r="K132" s="91"/>
    </row>
    <row r="133" spans="1:11" ht="15" customHeight="1" x14ac:dyDescent="0.25">
      <c r="A133" s="76"/>
      <c r="B133" s="37" t="str">
        <f>IF(A133="","",IFERROR(VLOOKUP(A133,DB_Customers!$A:$D,4,0),"❌ Account Not Found"))</f>
        <v/>
      </c>
      <c r="C133" s="77" t="str">
        <f>IF(A133="","",IFERROR(IF(SUMIF(DB_Savings!$C:$C,A133,DB_Savings!$F:$F)=0,VLOOKUP(A133,DB_Customers!$A:$I,9,0),VLOOKUP(A133,DB_Customers!$A:$N,14,0)),"❌ Acct Not Found"))</f>
        <v/>
      </c>
      <c r="D133" s="78" t="str">
        <f t="shared" ca="1" si="9"/>
        <v/>
      </c>
      <c r="E133" s="79"/>
      <c r="F133" s="80" t="str">
        <f t="shared" si="10"/>
        <v/>
      </c>
      <c r="G133" s="39" t="s">
        <v>133</v>
      </c>
      <c r="H133" s="81"/>
      <c r="I133" s="82" t="str">
        <f>IF(A133="","Pending",IF(H133="","⚠️ Enter Agent Code",IF(IFERROR(VLOOKUP(G133,DB_Agents!$B:$I,8,0),"")=H133,IF(AND(A133&lt;&gt;"",E133&lt;&gt;""),"Saved","Pending"),"🔒 BLOCKED — Wrong Code")))</f>
        <v>Pending</v>
      </c>
      <c r="J133" s="83" t="str">
        <f t="shared" ca="1" si="11"/>
        <v>—</v>
      </c>
      <c r="K133" s="84"/>
    </row>
    <row r="134" spans="1:11" ht="15" customHeight="1" x14ac:dyDescent="0.25">
      <c r="A134" s="85"/>
      <c r="B134" s="41" t="str">
        <f>IF(A134="","",IFERROR(VLOOKUP(A134,DB_Customers!$A:$D,4,0),"❌ Account Not Found"))</f>
        <v/>
      </c>
      <c r="C134" s="86" t="str">
        <f>IF(A134="","",IFERROR(IF(SUMIF(DB_Savings!$C:$C,A134,DB_Savings!$F:$F)=0,VLOOKUP(A134,DB_Customers!$A:$I,9,0),VLOOKUP(A134,DB_Customers!$A:$N,14,0)),"❌ Acct Not Found"))</f>
        <v/>
      </c>
      <c r="D134" s="87" t="str">
        <f t="shared" ca="1" si="9"/>
        <v/>
      </c>
      <c r="E134" s="79"/>
      <c r="F134" s="88" t="str">
        <f t="shared" si="10"/>
        <v/>
      </c>
      <c r="G134" s="43" t="s">
        <v>133</v>
      </c>
      <c r="H134" s="81"/>
      <c r="I134" s="89" t="str">
        <f>IF(A134="","Pending",IF(H134="","⚠️ Enter Agent Code",IF(IFERROR(VLOOKUP(G134,DB_Agents!$B:$I,8,0),"")=H134,IF(AND(A134&lt;&gt;"",E134&lt;&gt;""),"Saved","Pending"),"🔒 BLOCKED — Wrong Code")))</f>
        <v>Pending</v>
      </c>
      <c r="J134" s="90" t="str">
        <f t="shared" ca="1" si="11"/>
        <v>—</v>
      </c>
      <c r="K134" s="91"/>
    </row>
    <row r="135" spans="1:11" ht="15" customHeight="1" x14ac:dyDescent="0.25">
      <c r="A135" s="76"/>
      <c r="B135" s="37" t="str">
        <f>IF(A135="","",IFERROR(VLOOKUP(A135,DB_Customers!$A:$D,4,0),"❌ Account Not Found"))</f>
        <v/>
      </c>
      <c r="C135" s="77" t="str">
        <f>IF(A135="","",IFERROR(IF(SUMIF(DB_Savings!$C:$C,A135,DB_Savings!$F:$F)=0,VLOOKUP(A135,DB_Customers!$A:$I,9,0),VLOOKUP(A135,DB_Customers!$A:$N,14,0)),"❌ Acct Not Found"))</f>
        <v/>
      </c>
      <c r="D135" s="78" t="str">
        <f t="shared" ca="1" si="9"/>
        <v/>
      </c>
      <c r="E135" s="79"/>
      <c r="F135" s="80" t="str">
        <f t="shared" si="10"/>
        <v/>
      </c>
      <c r="G135" s="39" t="s">
        <v>133</v>
      </c>
      <c r="H135" s="81"/>
      <c r="I135" s="82" t="str">
        <f>IF(A135="","Pending",IF(H135="","⚠️ Enter Agent Code",IF(IFERROR(VLOOKUP(G135,DB_Agents!$B:$I,8,0),"")=H135,IF(AND(A135&lt;&gt;"",E135&lt;&gt;""),"Saved","Pending"),"🔒 BLOCKED — Wrong Code")))</f>
        <v>Pending</v>
      </c>
      <c r="J135" s="83" t="str">
        <f t="shared" ca="1" si="11"/>
        <v>—</v>
      </c>
      <c r="K135" s="84"/>
    </row>
    <row r="136" spans="1:11" ht="15" customHeight="1" x14ac:dyDescent="0.25">
      <c r="A136" s="85"/>
      <c r="B136" s="41" t="str">
        <f>IF(A136="","",IFERROR(VLOOKUP(A136,DB_Customers!$A:$D,4,0),"❌ Account Not Found"))</f>
        <v/>
      </c>
      <c r="C136" s="86" t="str">
        <f>IF(A136="","",IFERROR(IF(SUMIF(DB_Savings!$C:$C,A136,DB_Savings!$F:$F)=0,VLOOKUP(A136,DB_Customers!$A:$I,9,0),VLOOKUP(A136,DB_Customers!$A:$N,14,0)),"❌ Acct Not Found"))</f>
        <v/>
      </c>
      <c r="D136" s="87" t="str">
        <f t="shared" ca="1" si="9"/>
        <v/>
      </c>
      <c r="E136" s="79"/>
      <c r="F136" s="88" t="str">
        <f t="shared" si="10"/>
        <v/>
      </c>
      <c r="G136" s="43" t="s">
        <v>133</v>
      </c>
      <c r="H136" s="81"/>
      <c r="I136" s="89" t="str">
        <f>IF(A136="","Pending",IF(H136="","⚠️ Enter Agent Code",IF(IFERROR(VLOOKUP(G136,DB_Agents!$B:$I,8,0),"")=H136,IF(AND(A136&lt;&gt;"",E136&lt;&gt;""),"Saved","Pending"),"🔒 BLOCKED — Wrong Code")))</f>
        <v>Pending</v>
      </c>
      <c r="J136" s="90" t="str">
        <f t="shared" ca="1" si="11"/>
        <v>—</v>
      </c>
      <c r="K136" s="91"/>
    </row>
    <row r="137" spans="1:11" ht="15" customHeight="1" x14ac:dyDescent="0.25">
      <c r="A137" s="76"/>
      <c r="B137" s="37" t="str">
        <f>IF(A137="","",IFERROR(VLOOKUP(A137,DB_Customers!$A:$D,4,0),"❌ Account Not Found"))</f>
        <v/>
      </c>
      <c r="C137" s="77" t="str">
        <f>IF(A137="","",IFERROR(IF(SUMIF(DB_Savings!$C:$C,A137,DB_Savings!$F:$F)=0,VLOOKUP(A137,DB_Customers!$A:$I,9,0),VLOOKUP(A137,DB_Customers!$A:$N,14,0)),"❌ Acct Not Found"))</f>
        <v/>
      </c>
      <c r="D137" s="78" t="str">
        <f t="shared" ref="D137:D168" ca="1" si="12">IF(A137="","",TODAY())</f>
        <v/>
      </c>
      <c r="E137" s="79"/>
      <c r="F137" s="80" t="str">
        <f t="shared" ref="F137:F168" si="13">IF(OR(A137="",E137=""),"",IF(C137="","",C137+E137))</f>
        <v/>
      </c>
      <c r="G137" s="39" t="s">
        <v>133</v>
      </c>
      <c r="H137" s="81"/>
      <c r="I137" s="82" t="str">
        <f>IF(A137="","Pending",IF(H137="","⚠️ Enter Agent Code",IF(IFERROR(VLOOKUP(G137,DB_Agents!$B:$I,8,0),"")=H137,IF(AND(A137&lt;&gt;"",E137&lt;&gt;""),"Saved","Pending"),"🔒 BLOCKED — Wrong Code")))</f>
        <v>Pending</v>
      </c>
      <c r="J137" s="83" t="str">
        <f t="shared" ref="J137:J168" ca="1" si="14">IF(I137="Saved",TEXT(TODAY(),"YYYY-MM-DD")&amp;" Auto","—")</f>
        <v>—</v>
      </c>
      <c r="K137" s="84"/>
    </row>
    <row r="138" spans="1:11" ht="15" customHeight="1" x14ac:dyDescent="0.25">
      <c r="A138" s="85"/>
      <c r="B138" s="41" t="str">
        <f>IF(A138="","",IFERROR(VLOOKUP(A138,DB_Customers!$A:$D,4,0),"❌ Account Not Found"))</f>
        <v/>
      </c>
      <c r="C138" s="86" t="str">
        <f>IF(A138="","",IFERROR(IF(SUMIF(DB_Savings!$C:$C,A138,DB_Savings!$F:$F)=0,VLOOKUP(A138,DB_Customers!$A:$I,9,0),VLOOKUP(A138,DB_Customers!$A:$N,14,0)),"❌ Acct Not Found"))</f>
        <v/>
      </c>
      <c r="D138" s="87" t="str">
        <f t="shared" ca="1" si="12"/>
        <v/>
      </c>
      <c r="E138" s="79"/>
      <c r="F138" s="88" t="str">
        <f t="shared" si="13"/>
        <v/>
      </c>
      <c r="G138" s="43" t="s">
        <v>133</v>
      </c>
      <c r="H138" s="81"/>
      <c r="I138" s="89" t="str">
        <f>IF(A138="","Pending",IF(H138="","⚠️ Enter Agent Code",IF(IFERROR(VLOOKUP(G138,DB_Agents!$B:$I,8,0),"")=H138,IF(AND(A138&lt;&gt;"",E138&lt;&gt;""),"Saved","Pending"),"🔒 BLOCKED — Wrong Code")))</f>
        <v>Pending</v>
      </c>
      <c r="J138" s="90" t="str">
        <f t="shared" ca="1" si="14"/>
        <v>—</v>
      </c>
      <c r="K138" s="91"/>
    </row>
    <row r="139" spans="1:11" ht="15" customHeight="1" x14ac:dyDescent="0.25">
      <c r="A139" s="76"/>
      <c r="B139" s="37" t="str">
        <f>IF(A139="","",IFERROR(VLOOKUP(A139,DB_Customers!$A:$D,4,0),"❌ Account Not Found"))</f>
        <v/>
      </c>
      <c r="C139" s="77" t="str">
        <f>IF(A139="","",IFERROR(IF(SUMIF(DB_Savings!$C:$C,A139,DB_Savings!$F:$F)=0,VLOOKUP(A139,DB_Customers!$A:$I,9,0),VLOOKUP(A139,DB_Customers!$A:$N,14,0)),"❌ Acct Not Found"))</f>
        <v/>
      </c>
      <c r="D139" s="78" t="str">
        <f t="shared" ca="1" si="12"/>
        <v/>
      </c>
      <c r="E139" s="79"/>
      <c r="F139" s="80" t="str">
        <f t="shared" si="13"/>
        <v/>
      </c>
      <c r="G139" s="39" t="s">
        <v>133</v>
      </c>
      <c r="H139" s="81"/>
      <c r="I139" s="82" t="str">
        <f>IF(A139="","Pending",IF(H139="","⚠️ Enter Agent Code",IF(IFERROR(VLOOKUP(G139,DB_Agents!$B:$I,8,0),"")=H139,IF(AND(A139&lt;&gt;"",E139&lt;&gt;""),"Saved","Pending"),"🔒 BLOCKED — Wrong Code")))</f>
        <v>Pending</v>
      </c>
      <c r="J139" s="83" t="str">
        <f t="shared" ca="1" si="14"/>
        <v>—</v>
      </c>
      <c r="K139" s="84"/>
    </row>
    <row r="140" spans="1:11" ht="15" customHeight="1" x14ac:dyDescent="0.25">
      <c r="A140" s="85"/>
      <c r="B140" s="41" t="str">
        <f>IF(A140="","",IFERROR(VLOOKUP(A140,DB_Customers!$A:$D,4,0),"❌ Account Not Found"))</f>
        <v/>
      </c>
      <c r="C140" s="86" t="str">
        <f>IF(A140="","",IFERROR(IF(SUMIF(DB_Savings!$C:$C,A140,DB_Savings!$F:$F)=0,VLOOKUP(A140,DB_Customers!$A:$I,9,0),VLOOKUP(A140,DB_Customers!$A:$N,14,0)),"❌ Acct Not Found"))</f>
        <v/>
      </c>
      <c r="D140" s="87" t="str">
        <f t="shared" ca="1" si="12"/>
        <v/>
      </c>
      <c r="E140" s="79"/>
      <c r="F140" s="88" t="str">
        <f t="shared" si="13"/>
        <v/>
      </c>
      <c r="G140" s="43" t="s">
        <v>133</v>
      </c>
      <c r="H140" s="81"/>
      <c r="I140" s="89" t="str">
        <f>IF(A140="","Pending",IF(H140="","⚠️ Enter Agent Code",IF(IFERROR(VLOOKUP(G140,DB_Agents!$B:$I,8,0),"")=H140,IF(AND(A140&lt;&gt;"",E140&lt;&gt;""),"Saved","Pending"),"🔒 BLOCKED — Wrong Code")))</f>
        <v>Pending</v>
      </c>
      <c r="J140" s="90" t="str">
        <f t="shared" ca="1" si="14"/>
        <v>—</v>
      </c>
      <c r="K140" s="91"/>
    </row>
    <row r="141" spans="1:11" ht="15" customHeight="1" x14ac:dyDescent="0.25">
      <c r="A141" s="76"/>
      <c r="B141" s="37" t="str">
        <f>IF(A141="","",IFERROR(VLOOKUP(A141,DB_Customers!$A:$D,4,0),"❌ Account Not Found"))</f>
        <v/>
      </c>
      <c r="C141" s="77" t="str">
        <f>IF(A141="","",IFERROR(IF(SUMIF(DB_Savings!$C:$C,A141,DB_Savings!$F:$F)=0,VLOOKUP(A141,DB_Customers!$A:$I,9,0),VLOOKUP(A141,DB_Customers!$A:$N,14,0)),"❌ Acct Not Found"))</f>
        <v/>
      </c>
      <c r="D141" s="78" t="str">
        <f t="shared" ca="1" si="12"/>
        <v/>
      </c>
      <c r="E141" s="79"/>
      <c r="F141" s="80" t="str">
        <f t="shared" si="13"/>
        <v/>
      </c>
      <c r="G141" s="39" t="s">
        <v>133</v>
      </c>
      <c r="H141" s="81"/>
      <c r="I141" s="82" t="str">
        <f>IF(A141="","Pending",IF(H141="","⚠️ Enter Agent Code",IF(IFERROR(VLOOKUP(G141,DB_Agents!$B:$I,8,0),"")=H141,IF(AND(A141&lt;&gt;"",E141&lt;&gt;""),"Saved","Pending"),"🔒 BLOCKED — Wrong Code")))</f>
        <v>Pending</v>
      </c>
      <c r="J141" s="83" t="str">
        <f t="shared" ca="1" si="14"/>
        <v>—</v>
      </c>
      <c r="K141" s="84"/>
    </row>
    <row r="142" spans="1:11" ht="15" customHeight="1" x14ac:dyDescent="0.25">
      <c r="A142" s="85"/>
      <c r="B142" s="41" t="str">
        <f>IF(A142="","",IFERROR(VLOOKUP(A142,DB_Customers!$A:$D,4,0),"❌ Account Not Found"))</f>
        <v/>
      </c>
      <c r="C142" s="86" t="str">
        <f>IF(A142="","",IFERROR(IF(SUMIF(DB_Savings!$C:$C,A142,DB_Savings!$F:$F)=0,VLOOKUP(A142,DB_Customers!$A:$I,9,0),VLOOKUP(A142,DB_Customers!$A:$N,14,0)),"❌ Acct Not Found"))</f>
        <v/>
      </c>
      <c r="D142" s="87" t="str">
        <f t="shared" ca="1" si="12"/>
        <v/>
      </c>
      <c r="E142" s="79"/>
      <c r="F142" s="88" t="str">
        <f t="shared" si="13"/>
        <v/>
      </c>
      <c r="G142" s="43" t="s">
        <v>133</v>
      </c>
      <c r="H142" s="81"/>
      <c r="I142" s="89" t="str">
        <f>IF(A142="","Pending",IF(H142="","⚠️ Enter Agent Code",IF(IFERROR(VLOOKUP(G142,DB_Agents!$B:$I,8,0),"")=H142,IF(AND(A142&lt;&gt;"",E142&lt;&gt;""),"Saved","Pending"),"🔒 BLOCKED — Wrong Code")))</f>
        <v>Pending</v>
      </c>
      <c r="J142" s="90" t="str">
        <f t="shared" ca="1" si="14"/>
        <v>—</v>
      </c>
      <c r="K142" s="91"/>
    </row>
    <row r="143" spans="1:11" ht="15" customHeight="1" x14ac:dyDescent="0.25">
      <c r="A143" s="76"/>
      <c r="B143" s="37" t="str">
        <f>IF(A143="","",IFERROR(VLOOKUP(A143,DB_Customers!$A:$D,4,0),"❌ Account Not Found"))</f>
        <v/>
      </c>
      <c r="C143" s="77" t="str">
        <f>IF(A143="","",IFERROR(IF(SUMIF(DB_Savings!$C:$C,A143,DB_Savings!$F:$F)=0,VLOOKUP(A143,DB_Customers!$A:$I,9,0),VLOOKUP(A143,DB_Customers!$A:$N,14,0)),"❌ Acct Not Found"))</f>
        <v/>
      </c>
      <c r="D143" s="78" t="str">
        <f t="shared" ca="1" si="12"/>
        <v/>
      </c>
      <c r="E143" s="79"/>
      <c r="F143" s="80" t="str">
        <f t="shared" si="13"/>
        <v/>
      </c>
      <c r="G143" s="39" t="s">
        <v>133</v>
      </c>
      <c r="H143" s="81"/>
      <c r="I143" s="82" t="str">
        <f>IF(A143="","Pending",IF(H143="","⚠️ Enter Agent Code",IF(IFERROR(VLOOKUP(G143,DB_Agents!$B:$I,8,0),"")=H143,IF(AND(A143&lt;&gt;"",E143&lt;&gt;""),"Saved","Pending"),"🔒 BLOCKED — Wrong Code")))</f>
        <v>Pending</v>
      </c>
      <c r="J143" s="83" t="str">
        <f t="shared" ca="1" si="14"/>
        <v>—</v>
      </c>
      <c r="K143" s="84"/>
    </row>
    <row r="144" spans="1:11" ht="15" customHeight="1" x14ac:dyDescent="0.25">
      <c r="A144" s="85"/>
      <c r="B144" s="41" t="str">
        <f>IF(A144="","",IFERROR(VLOOKUP(A144,DB_Customers!$A:$D,4,0),"❌ Account Not Found"))</f>
        <v/>
      </c>
      <c r="C144" s="86" t="str">
        <f>IF(A144="","",IFERROR(IF(SUMIF(DB_Savings!$C:$C,A144,DB_Savings!$F:$F)=0,VLOOKUP(A144,DB_Customers!$A:$I,9,0),VLOOKUP(A144,DB_Customers!$A:$N,14,0)),"❌ Acct Not Found"))</f>
        <v/>
      </c>
      <c r="D144" s="87" t="str">
        <f t="shared" ca="1" si="12"/>
        <v/>
      </c>
      <c r="E144" s="79"/>
      <c r="F144" s="88" t="str">
        <f t="shared" si="13"/>
        <v/>
      </c>
      <c r="G144" s="43" t="s">
        <v>133</v>
      </c>
      <c r="H144" s="81"/>
      <c r="I144" s="89" t="str">
        <f>IF(A144="","Pending",IF(H144="","⚠️ Enter Agent Code",IF(IFERROR(VLOOKUP(G144,DB_Agents!$B:$I,8,0),"")=H144,IF(AND(A144&lt;&gt;"",E144&lt;&gt;""),"Saved","Pending"),"🔒 BLOCKED — Wrong Code")))</f>
        <v>Pending</v>
      </c>
      <c r="J144" s="90" t="str">
        <f t="shared" ca="1" si="14"/>
        <v>—</v>
      </c>
      <c r="K144" s="91"/>
    </row>
    <row r="145" spans="1:11" ht="15" customHeight="1" x14ac:dyDescent="0.25">
      <c r="A145" s="76"/>
      <c r="B145" s="37" t="str">
        <f>IF(A145="","",IFERROR(VLOOKUP(A145,DB_Customers!$A:$D,4,0),"❌ Account Not Found"))</f>
        <v/>
      </c>
      <c r="C145" s="77" t="str">
        <f>IF(A145="","",IFERROR(IF(SUMIF(DB_Savings!$C:$C,A145,DB_Savings!$F:$F)=0,VLOOKUP(A145,DB_Customers!$A:$I,9,0),VLOOKUP(A145,DB_Customers!$A:$N,14,0)),"❌ Acct Not Found"))</f>
        <v/>
      </c>
      <c r="D145" s="78" t="str">
        <f t="shared" ca="1" si="12"/>
        <v/>
      </c>
      <c r="E145" s="79"/>
      <c r="F145" s="80" t="str">
        <f t="shared" si="13"/>
        <v/>
      </c>
      <c r="G145" s="39" t="s">
        <v>133</v>
      </c>
      <c r="H145" s="81"/>
      <c r="I145" s="82" t="str">
        <f>IF(A145="","Pending",IF(H145="","⚠️ Enter Agent Code",IF(IFERROR(VLOOKUP(G145,DB_Agents!$B:$I,8,0),"")=H145,IF(AND(A145&lt;&gt;"",E145&lt;&gt;""),"Saved","Pending"),"🔒 BLOCKED — Wrong Code")))</f>
        <v>Pending</v>
      </c>
      <c r="J145" s="83" t="str">
        <f t="shared" ca="1" si="14"/>
        <v>—</v>
      </c>
      <c r="K145" s="84"/>
    </row>
    <row r="146" spans="1:11" ht="15" customHeight="1" x14ac:dyDescent="0.25">
      <c r="A146" s="85"/>
      <c r="B146" s="41" t="str">
        <f>IF(A146="","",IFERROR(VLOOKUP(A146,DB_Customers!$A:$D,4,0),"❌ Account Not Found"))</f>
        <v/>
      </c>
      <c r="C146" s="86" t="str">
        <f>IF(A146="","",IFERROR(IF(SUMIF(DB_Savings!$C:$C,A146,DB_Savings!$F:$F)=0,VLOOKUP(A146,DB_Customers!$A:$I,9,0),VLOOKUP(A146,DB_Customers!$A:$N,14,0)),"❌ Acct Not Found"))</f>
        <v/>
      </c>
      <c r="D146" s="87" t="str">
        <f t="shared" ca="1" si="12"/>
        <v/>
      </c>
      <c r="E146" s="79"/>
      <c r="F146" s="88" t="str">
        <f t="shared" si="13"/>
        <v/>
      </c>
      <c r="G146" s="43" t="s">
        <v>133</v>
      </c>
      <c r="H146" s="81"/>
      <c r="I146" s="89" t="str">
        <f>IF(A146="","Pending",IF(H146="","⚠️ Enter Agent Code",IF(IFERROR(VLOOKUP(G146,DB_Agents!$B:$I,8,0),"")=H146,IF(AND(A146&lt;&gt;"",E146&lt;&gt;""),"Saved","Pending"),"🔒 BLOCKED — Wrong Code")))</f>
        <v>Pending</v>
      </c>
      <c r="J146" s="90" t="str">
        <f t="shared" ca="1" si="14"/>
        <v>—</v>
      </c>
      <c r="K146" s="91"/>
    </row>
    <row r="147" spans="1:11" ht="15" customHeight="1" x14ac:dyDescent="0.25">
      <c r="A147" s="76"/>
      <c r="B147" s="37" t="str">
        <f>IF(A147="","",IFERROR(VLOOKUP(A147,DB_Customers!$A:$D,4,0),"❌ Account Not Found"))</f>
        <v/>
      </c>
      <c r="C147" s="77" t="str">
        <f>IF(A147="","",IFERROR(IF(SUMIF(DB_Savings!$C:$C,A147,DB_Savings!$F:$F)=0,VLOOKUP(A147,DB_Customers!$A:$I,9,0),VLOOKUP(A147,DB_Customers!$A:$N,14,0)),"❌ Acct Not Found"))</f>
        <v/>
      </c>
      <c r="D147" s="78" t="str">
        <f t="shared" ca="1" si="12"/>
        <v/>
      </c>
      <c r="E147" s="79"/>
      <c r="F147" s="80" t="str">
        <f t="shared" si="13"/>
        <v/>
      </c>
      <c r="G147" s="39" t="s">
        <v>133</v>
      </c>
      <c r="H147" s="81"/>
      <c r="I147" s="82" t="str">
        <f>IF(A147="","Pending",IF(H147="","⚠️ Enter Agent Code",IF(IFERROR(VLOOKUP(G147,DB_Agents!$B:$I,8,0),"")=H147,IF(AND(A147&lt;&gt;"",E147&lt;&gt;""),"Saved","Pending"),"🔒 BLOCKED — Wrong Code")))</f>
        <v>Pending</v>
      </c>
      <c r="J147" s="83" t="str">
        <f t="shared" ca="1" si="14"/>
        <v>—</v>
      </c>
      <c r="K147" s="84"/>
    </row>
    <row r="148" spans="1:11" ht="15" customHeight="1" x14ac:dyDescent="0.25">
      <c r="A148" s="85"/>
      <c r="B148" s="41" t="str">
        <f>IF(A148="","",IFERROR(VLOOKUP(A148,DB_Customers!$A:$D,4,0),"❌ Account Not Found"))</f>
        <v/>
      </c>
      <c r="C148" s="86" t="str">
        <f>IF(A148="","",IFERROR(IF(SUMIF(DB_Savings!$C:$C,A148,DB_Savings!$F:$F)=0,VLOOKUP(A148,DB_Customers!$A:$I,9,0),VLOOKUP(A148,DB_Customers!$A:$N,14,0)),"❌ Acct Not Found"))</f>
        <v/>
      </c>
      <c r="D148" s="87" t="str">
        <f t="shared" ca="1" si="12"/>
        <v/>
      </c>
      <c r="E148" s="79"/>
      <c r="F148" s="88" t="str">
        <f t="shared" si="13"/>
        <v/>
      </c>
      <c r="G148" s="43" t="s">
        <v>133</v>
      </c>
      <c r="H148" s="81"/>
      <c r="I148" s="89" t="str">
        <f>IF(A148="","Pending",IF(H148="","⚠️ Enter Agent Code",IF(IFERROR(VLOOKUP(G148,DB_Agents!$B:$I,8,0),"")=H148,IF(AND(A148&lt;&gt;"",E148&lt;&gt;""),"Saved","Pending"),"🔒 BLOCKED — Wrong Code")))</f>
        <v>Pending</v>
      </c>
      <c r="J148" s="90" t="str">
        <f t="shared" ca="1" si="14"/>
        <v>—</v>
      </c>
      <c r="K148" s="91"/>
    </row>
    <row r="149" spans="1:11" ht="15" customHeight="1" x14ac:dyDescent="0.25">
      <c r="A149" s="76"/>
      <c r="B149" s="37" t="str">
        <f>IF(A149="","",IFERROR(VLOOKUP(A149,DB_Customers!$A:$D,4,0),"❌ Account Not Found"))</f>
        <v/>
      </c>
      <c r="C149" s="77" t="str">
        <f>IF(A149="","",IFERROR(IF(SUMIF(DB_Savings!$C:$C,A149,DB_Savings!$F:$F)=0,VLOOKUP(A149,DB_Customers!$A:$I,9,0),VLOOKUP(A149,DB_Customers!$A:$N,14,0)),"❌ Acct Not Found"))</f>
        <v/>
      </c>
      <c r="D149" s="78" t="str">
        <f t="shared" ca="1" si="12"/>
        <v/>
      </c>
      <c r="E149" s="79"/>
      <c r="F149" s="80" t="str">
        <f t="shared" si="13"/>
        <v/>
      </c>
      <c r="G149" s="39" t="s">
        <v>133</v>
      </c>
      <c r="H149" s="81"/>
      <c r="I149" s="82" t="str">
        <f>IF(A149="","Pending",IF(H149="","⚠️ Enter Agent Code",IF(IFERROR(VLOOKUP(G149,DB_Agents!$B:$I,8,0),"")=H149,IF(AND(A149&lt;&gt;"",E149&lt;&gt;""),"Saved","Pending"),"🔒 BLOCKED — Wrong Code")))</f>
        <v>Pending</v>
      </c>
      <c r="J149" s="83" t="str">
        <f t="shared" ca="1" si="14"/>
        <v>—</v>
      </c>
      <c r="K149" s="84"/>
    </row>
    <row r="150" spans="1:11" ht="15" customHeight="1" x14ac:dyDescent="0.25">
      <c r="A150" s="85"/>
      <c r="B150" s="41" t="str">
        <f>IF(A150="","",IFERROR(VLOOKUP(A150,DB_Customers!$A:$D,4,0),"❌ Account Not Found"))</f>
        <v/>
      </c>
      <c r="C150" s="86" t="str">
        <f>IF(A150="","",IFERROR(IF(SUMIF(DB_Savings!$C:$C,A150,DB_Savings!$F:$F)=0,VLOOKUP(A150,DB_Customers!$A:$I,9,0),VLOOKUP(A150,DB_Customers!$A:$N,14,0)),"❌ Acct Not Found"))</f>
        <v/>
      </c>
      <c r="D150" s="87" t="str">
        <f t="shared" ca="1" si="12"/>
        <v/>
      </c>
      <c r="E150" s="79"/>
      <c r="F150" s="88" t="str">
        <f t="shared" si="13"/>
        <v/>
      </c>
      <c r="G150" s="43" t="s">
        <v>133</v>
      </c>
      <c r="H150" s="81"/>
      <c r="I150" s="89" t="str">
        <f>IF(A150="","Pending",IF(H150="","⚠️ Enter Agent Code",IF(IFERROR(VLOOKUP(G150,DB_Agents!$B:$I,8,0),"")=H150,IF(AND(A150&lt;&gt;"",E150&lt;&gt;""),"Saved","Pending"),"🔒 BLOCKED — Wrong Code")))</f>
        <v>Pending</v>
      </c>
      <c r="J150" s="90" t="str">
        <f t="shared" ca="1" si="14"/>
        <v>—</v>
      </c>
      <c r="K150" s="91"/>
    </row>
    <row r="151" spans="1:11" ht="15" customHeight="1" x14ac:dyDescent="0.25">
      <c r="A151" s="76"/>
      <c r="B151" s="37" t="str">
        <f>IF(A151="","",IFERROR(VLOOKUP(A151,DB_Customers!$A:$D,4,0),"❌ Account Not Found"))</f>
        <v/>
      </c>
      <c r="C151" s="77" t="str">
        <f>IF(A151="","",IFERROR(IF(SUMIF(DB_Savings!$C:$C,A151,DB_Savings!$F:$F)=0,VLOOKUP(A151,DB_Customers!$A:$I,9,0),VLOOKUP(A151,DB_Customers!$A:$N,14,0)),"❌ Acct Not Found"))</f>
        <v/>
      </c>
      <c r="D151" s="78" t="str">
        <f t="shared" ca="1" si="12"/>
        <v/>
      </c>
      <c r="E151" s="79"/>
      <c r="F151" s="80" t="str">
        <f t="shared" si="13"/>
        <v/>
      </c>
      <c r="G151" s="39" t="s">
        <v>133</v>
      </c>
      <c r="H151" s="81"/>
      <c r="I151" s="82" t="str">
        <f>IF(A151="","Pending",IF(H151="","⚠️ Enter Agent Code",IF(IFERROR(VLOOKUP(G151,DB_Agents!$B:$I,8,0),"")=H151,IF(AND(A151&lt;&gt;"",E151&lt;&gt;""),"Saved","Pending"),"🔒 BLOCKED — Wrong Code")))</f>
        <v>Pending</v>
      </c>
      <c r="J151" s="83" t="str">
        <f t="shared" ca="1" si="14"/>
        <v>—</v>
      </c>
      <c r="K151" s="84"/>
    </row>
    <row r="152" spans="1:11" ht="15" customHeight="1" x14ac:dyDescent="0.25">
      <c r="A152" s="85"/>
      <c r="B152" s="41" t="str">
        <f>IF(A152="","",IFERROR(VLOOKUP(A152,DB_Customers!$A:$D,4,0),"❌ Account Not Found"))</f>
        <v/>
      </c>
      <c r="C152" s="86" t="str">
        <f>IF(A152="","",IFERROR(IF(SUMIF(DB_Savings!$C:$C,A152,DB_Savings!$F:$F)=0,VLOOKUP(A152,DB_Customers!$A:$I,9,0),VLOOKUP(A152,DB_Customers!$A:$N,14,0)),"❌ Acct Not Found"))</f>
        <v/>
      </c>
      <c r="D152" s="87" t="str">
        <f t="shared" ca="1" si="12"/>
        <v/>
      </c>
      <c r="E152" s="79"/>
      <c r="F152" s="88" t="str">
        <f t="shared" si="13"/>
        <v/>
      </c>
      <c r="G152" s="43" t="s">
        <v>133</v>
      </c>
      <c r="H152" s="81"/>
      <c r="I152" s="89" t="str">
        <f>IF(A152="","Pending",IF(H152="","⚠️ Enter Agent Code",IF(IFERROR(VLOOKUP(G152,DB_Agents!$B:$I,8,0),"")=H152,IF(AND(A152&lt;&gt;"",E152&lt;&gt;""),"Saved","Pending"),"🔒 BLOCKED — Wrong Code")))</f>
        <v>Pending</v>
      </c>
      <c r="J152" s="90" t="str">
        <f t="shared" ca="1" si="14"/>
        <v>—</v>
      </c>
      <c r="K152" s="91"/>
    </row>
    <row r="153" spans="1:11" ht="15" customHeight="1" x14ac:dyDescent="0.25">
      <c r="A153" s="76"/>
      <c r="B153" s="37" t="str">
        <f>IF(A153="","",IFERROR(VLOOKUP(A153,DB_Customers!$A:$D,4,0),"❌ Account Not Found"))</f>
        <v/>
      </c>
      <c r="C153" s="77" t="str">
        <f>IF(A153="","",IFERROR(IF(SUMIF(DB_Savings!$C:$C,A153,DB_Savings!$F:$F)=0,VLOOKUP(A153,DB_Customers!$A:$I,9,0),VLOOKUP(A153,DB_Customers!$A:$N,14,0)),"❌ Acct Not Found"))</f>
        <v/>
      </c>
      <c r="D153" s="78" t="str">
        <f t="shared" ca="1" si="12"/>
        <v/>
      </c>
      <c r="E153" s="79"/>
      <c r="F153" s="80" t="str">
        <f t="shared" si="13"/>
        <v/>
      </c>
      <c r="G153" s="39" t="s">
        <v>133</v>
      </c>
      <c r="H153" s="81"/>
      <c r="I153" s="82" t="str">
        <f>IF(A153="","Pending",IF(H153="","⚠️ Enter Agent Code",IF(IFERROR(VLOOKUP(G153,DB_Agents!$B:$I,8,0),"")=H153,IF(AND(A153&lt;&gt;"",E153&lt;&gt;""),"Saved","Pending"),"🔒 BLOCKED — Wrong Code")))</f>
        <v>Pending</v>
      </c>
      <c r="J153" s="83" t="str">
        <f t="shared" ca="1" si="14"/>
        <v>—</v>
      </c>
      <c r="K153" s="84"/>
    </row>
    <row r="154" spans="1:11" ht="15" customHeight="1" x14ac:dyDescent="0.25">
      <c r="A154" s="85"/>
      <c r="B154" s="41" t="str">
        <f>IF(A154="","",IFERROR(VLOOKUP(A154,DB_Customers!$A:$D,4,0),"❌ Account Not Found"))</f>
        <v/>
      </c>
      <c r="C154" s="86" t="str">
        <f>IF(A154="","",IFERROR(IF(SUMIF(DB_Savings!$C:$C,A154,DB_Savings!$F:$F)=0,VLOOKUP(A154,DB_Customers!$A:$I,9,0),VLOOKUP(A154,DB_Customers!$A:$N,14,0)),"❌ Acct Not Found"))</f>
        <v/>
      </c>
      <c r="D154" s="87" t="str">
        <f t="shared" ca="1" si="12"/>
        <v/>
      </c>
      <c r="E154" s="79"/>
      <c r="F154" s="88" t="str">
        <f t="shared" si="13"/>
        <v/>
      </c>
      <c r="G154" s="43" t="s">
        <v>133</v>
      </c>
      <c r="H154" s="81"/>
      <c r="I154" s="89" t="str">
        <f>IF(A154="","Pending",IF(H154="","⚠️ Enter Agent Code",IF(IFERROR(VLOOKUP(G154,DB_Agents!$B:$I,8,0),"")=H154,IF(AND(A154&lt;&gt;"",E154&lt;&gt;""),"Saved","Pending"),"🔒 BLOCKED — Wrong Code")))</f>
        <v>Pending</v>
      </c>
      <c r="J154" s="90" t="str">
        <f t="shared" ca="1" si="14"/>
        <v>—</v>
      </c>
      <c r="K154" s="91"/>
    </row>
    <row r="155" spans="1:11" ht="15" customHeight="1" x14ac:dyDescent="0.25">
      <c r="A155" s="76"/>
      <c r="B155" s="37" t="str">
        <f>IF(A155="","",IFERROR(VLOOKUP(A155,DB_Customers!$A:$D,4,0),"❌ Account Not Found"))</f>
        <v/>
      </c>
      <c r="C155" s="77" t="str">
        <f>IF(A155="","",IFERROR(IF(SUMIF(DB_Savings!$C:$C,A155,DB_Savings!$F:$F)=0,VLOOKUP(A155,DB_Customers!$A:$I,9,0),VLOOKUP(A155,DB_Customers!$A:$N,14,0)),"❌ Acct Not Found"))</f>
        <v/>
      </c>
      <c r="D155" s="78" t="str">
        <f t="shared" ca="1" si="12"/>
        <v/>
      </c>
      <c r="E155" s="79"/>
      <c r="F155" s="80" t="str">
        <f t="shared" si="13"/>
        <v/>
      </c>
      <c r="G155" s="39" t="s">
        <v>133</v>
      </c>
      <c r="H155" s="81"/>
      <c r="I155" s="82" t="str">
        <f>IF(A155="","Pending",IF(H155="","⚠️ Enter Agent Code",IF(IFERROR(VLOOKUP(G155,DB_Agents!$B:$I,8,0),"")=H155,IF(AND(A155&lt;&gt;"",E155&lt;&gt;""),"Saved","Pending"),"🔒 BLOCKED — Wrong Code")))</f>
        <v>Pending</v>
      </c>
      <c r="J155" s="83" t="str">
        <f t="shared" ca="1" si="14"/>
        <v>—</v>
      </c>
      <c r="K155" s="84"/>
    </row>
    <row r="156" spans="1:11" ht="15" customHeight="1" x14ac:dyDescent="0.25">
      <c r="A156" s="85"/>
      <c r="B156" s="41" t="str">
        <f>IF(A156="","",IFERROR(VLOOKUP(A156,DB_Customers!$A:$D,4,0),"❌ Account Not Found"))</f>
        <v/>
      </c>
      <c r="C156" s="86" t="str">
        <f>IF(A156="","",IFERROR(IF(SUMIF(DB_Savings!$C:$C,A156,DB_Savings!$F:$F)=0,VLOOKUP(A156,DB_Customers!$A:$I,9,0),VLOOKUP(A156,DB_Customers!$A:$N,14,0)),"❌ Acct Not Found"))</f>
        <v/>
      </c>
      <c r="D156" s="87" t="str">
        <f t="shared" ca="1" si="12"/>
        <v/>
      </c>
      <c r="E156" s="79"/>
      <c r="F156" s="88" t="str">
        <f t="shared" si="13"/>
        <v/>
      </c>
      <c r="G156" s="43" t="s">
        <v>133</v>
      </c>
      <c r="H156" s="81"/>
      <c r="I156" s="89" t="str">
        <f>IF(A156="","Pending",IF(H156="","⚠️ Enter Agent Code",IF(IFERROR(VLOOKUP(G156,DB_Agents!$B:$I,8,0),"")=H156,IF(AND(A156&lt;&gt;"",E156&lt;&gt;""),"Saved","Pending"),"🔒 BLOCKED — Wrong Code")))</f>
        <v>Pending</v>
      </c>
      <c r="J156" s="90" t="str">
        <f t="shared" ca="1" si="14"/>
        <v>—</v>
      </c>
      <c r="K156" s="91"/>
    </row>
    <row r="157" spans="1:11" ht="15" customHeight="1" x14ac:dyDescent="0.25">
      <c r="A157" s="76"/>
      <c r="B157" s="37" t="str">
        <f>IF(A157="","",IFERROR(VLOOKUP(A157,DB_Customers!$A:$D,4,0),"❌ Account Not Found"))</f>
        <v/>
      </c>
      <c r="C157" s="77" t="str">
        <f>IF(A157="","",IFERROR(IF(SUMIF(DB_Savings!$C:$C,A157,DB_Savings!$F:$F)=0,VLOOKUP(A157,DB_Customers!$A:$I,9,0),VLOOKUP(A157,DB_Customers!$A:$N,14,0)),"❌ Acct Not Found"))</f>
        <v/>
      </c>
      <c r="D157" s="78" t="str">
        <f t="shared" ca="1" si="12"/>
        <v/>
      </c>
      <c r="E157" s="79"/>
      <c r="F157" s="80" t="str">
        <f t="shared" si="13"/>
        <v/>
      </c>
      <c r="G157" s="39" t="s">
        <v>133</v>
      </c>
      <c r="H157" s="81"/>
      <c r="I157" s="82" t="str">
        <f>IF(A157="","Pending",IF(H157="","⚠️ Enter Agent Code",IF(IFERROR(VLOOKUP(G157,DB_Agents!$B:$I,8,0),"")=H157,IF(AND(A157&lt;&gt;"",E157&lt;&gt;""),"Saved","Pending"),"🔒 BLOCKED — Wrong Code")))</f>
        <v>Pending</v>
      </c>
      <c r="J157" s="83" t="str">
        <f t="shared" ca="1" si="14"/>
        <v>—</v>
      </c>
      <c r="K157" s="84"/>
    </row>
    <row r="158" spans="1:11" ht="15" customHeight="1" x14ac:dyDescent="0.25">
      <c r="A158" s="85"/>
      <c r="B158" s="41" t="str">
        <f>IF(A158="","",IFERROR(VLOOKUP(A158,DB_Customers!$A:$D,4,0),"❌ Account Not Found"))</f>
        <v/>
      </c>
      <c r="C158" s="86" t="str">
        <f>IF(A158="","",IFERROR(IF(SUMIF(DB_Savings!$C:$C,A158,DB_Savings!$F:$F)=0,VLOOKUP(A158,DB_Customers!$A:$I,9,0),VLOOKUP(A158,DB_Customers!$A:$N,14,0)),"❌ Acct Not Found"))</f>
        <v/>
      </c>
      <c r="D158" s="87" t="str">
        <f t="shared" ca="1" si="12"/>
        <v/>
      </c>
      <c r="E158" s="79"/>
      <c r="F158" s="88" t="str">
        <f t="shared" si="13"/>
        <v/>
      </c>
      <c r="G158" s="43" t="s">
        <v>133</v>
      </c>
      <c r="H158" s="81"/>
      <c r="I158" s="89" t="str">
        <f>IF(A158="","Pending",IF(H158="","⚠️ Enter Agent Code",IF(IFERROR(VLOOKUP(G158,DB_Agents!$B:$I,8,0),"")=H158,IF(AND(A158&lt;&gt;"",E158&lt;&gt;""),"Saved","Pending"),"🔒 BLOCKED — Wrong Code")))</f>
        <v>Pending</v>
      </c>
      <c r="J158" s="90" t="str">
        <f t="shared" ca="1" si="14"/>
        <v>—</v>
      </c>
      <c r="K158" s="91"/>
    </row>
    <row r="159" spans="1:11" ht="15" customHeight="1" x14ac:dyDescent="0.25">
      <c r="A159" s="76"/>
      <c r="B159" s="37" t="str">
        <f>IF(A159="","",IFERROR(VLOOKUP(A159,DB_Customers!$A:$D,4,0),"❌ Account Not Found"))</f>
        <v/>
      </c>
      <c r="C159" s="77" t="str">
        <f>IF(A159="","",IFERROR(IF(SUMIF(DB_Savings!$C:$C,A159,DB_Savings!$F:$F)=0,VLOOKUP(A159,DB_Customers!$A:$I,9,0),VLOOKUP(A159,DB_Customers!$A:$N,14,0)),"❌ Acct Not Found"))</f>
        <v/>
      </c>
      <c r="D159" s="78" t="str">
        <f t="shared" ca="1" si="12"/>
        <v/>
      </c>
      <c r="E159" s="79"/>
      <c r="F159" s="80" t="str">
        <f t="shared" si="13"/>
        <v/>
      </c>
      <c r="G159" s="39" t="s">
        <v>133</v>
      </c>
      <c r="H159" s="81"/>
      <c r="I159" s="82" t="str">
        <f>IF(A159="","Pending",IF(H159="","⚠️ Enter Agent Code",IF(IFERROR(VLOOKUP(G159,DB_Agents!$B:$I,8,0),"")=H159,IF(AND(A159&lt;&gt;"",E159&lt;&gt;""),"Saved","Pending"),"🔒 BLOCKED — Wrong Code")))</f>
        <v>Pending</v>
      </c>
      <c r="J159" s="83" t="str">
        <f t="shared" ca="1" si="14"/>
        <v>—</v>
      </c>
      <c r="K159" s="84"/>
    </row>
    <row r="160" spans="1:11" ht="15" customHeight="1" x14ac:dyDescent="0.25">
      <c r="A160" s="85"/>
      <c r="B160" s="41" t="str">
        <f>IF(A160="","",IFERROR(VLOOKUP(A160,DB_Customers!$A:$D,4,0),"❌ Account Not Found"))</f>
        <v/>
      </c>
      <c r="C160" s="86" t="str">
        <f>IF(A160="","",IFERROR(IF(SUMIF(DB_Savings!$C:$C,A160,DB_Savings!$F:$F)=0,VLOOKUP(A160,DB_Customers!$A:$I,9,0),VLOOKUP(A160,DB_Customers!$A:$N,14,0)),"❌ Acct Not Found"))</f>
        <v/>
      </c>
      <c r="D160" s="87" t="str">
        <f t="shared" ca="1" si="12"/>
        <v/>
      </c>
      <c r="E160" s="79"/>
      <c r="F160" s="88" t="str">
        <f t="shared" si="13"/>
        <v/>
      </c>
      <c r="G160" s="43" t="s">
        <v>133</v>
      </c>
      <c r="H160" s="81"/>
      <c r="I160" s="89" t="str">
        <f>IF(A160="","Pending",IF(H160="","⚠️ Enter Agent Code",IF(IFERROR(VLOOKUP(G160,DB_Agents!$B:$I,8,0),"")=H160,IF(AND(A160&lt;&gt;"",E160&lt;&gt;""),"Saved","Pending"),"🔒 BLOCKED — Wrong Code")))</f>
        <v>Pending</v>
      </c>
      <c r="J160" s="90" t="str">
        <f t="shared" ca="1" si="14"/>
        <v>—</v>
      </c>
      <c r="K160" s="91"/>
    </row>
    <row r="161" spans="1:11" ht="15" customHeight="1" x14ac:dyDescent="0.25">
      <c r="A161" s="76"/>
      <c r="B161" s="37" t="str">
        <f>IF(A161="","",IFERROR(VLOOKUP(A161,DB_Customers!$A:$D,4,0),"❌ Account Not Found"))</f>
        <v/>
      </c>
      <c r="C161" s="77" t="str">
        <f>IF(A161="","",IFERROR(IF(SUMIF(DB_Savings!$C:$C,A161,DB_Savings!$F:$F)=0,VLOOKUP(A161,DB_Customers!$A:$I,9,0),VLOOKUP(A161,DB_Customers!$A:$N,14,0)),"❌ Acct Not Found"))</f>
        <v/>
      </c>
      <c r="D161" s="78" t="str">
        <f t="shared" ca="1" si="12"/>
        <v/>
      </c>
      <c r="E161" s="79"/>
      <c r="F161" s="80" t="str">
        <f t="shared" si="13"/>
        <v/>
      </c>
      <c r="G161" s="39" t="s">
        <v>133</v>
      </c>
      <c r="H161" s="81"/>
      <c r="I161" s="82" t="str">
        <f>IF(A161="","Pending",IF(H161="","⚠️ Enter Agent Code",IF(IFERROR(VLOOKUP(G161,DB_Agents!$B:$I,8,0),"")=H161,IF(AND(A161&lt;&gt;"",E161&lt;&gt;""),"Saved","Pending"),"🔒 BLOCKED — Wrong Code")))</f>
        <v>Pending</v>
      </c>
      <c r="J161" s="83" t="str">
        <f t="shared" ca="1" si="14"/>
        <v>—</v>
      </c>
      <c r="K161" s="84"/>
    </row>
    <row r="162" spans="1:11" ht="15" customHeight="1" x14ac:dyDescent="0.25">
      <c r="A162" s="85"/>
      <c r="B162" s="41" t="str">
        <f>IF(A162="","",IFERROR(VLOOKUP(A162,DB_Customers!$A:$D,4,0),"❌ Account Not Found"))</f>
        <v/>
      </c>
      <c r="C162" s="86" t="str">
        <f>IF(A162="","",IFERROR(IF(SUMIF(DB_Savings!$C:$C,A162,DB_Savings!$F:$F)=0,VLOOKUP(A162,DB_Customers!$A:$I,9,0),VLOOKUP(A162,DB_Customers!$A:$N,14,0)),"❌ Acct Not Found"))</f>
        <v/>
      </c>
      <c r="D162" s="87" t="str">
        <f t="shared" ca="1" si="12"/>
        <v/>
      </c>
      <c r="E162" s="79"/>
      <c r="F162" s="88" t="str">
        <f t="shared" si="13"/>
        <v/>
      </c>
      <c r="G162" s="43" t="s">
        <v>133</v>
      </c>
      <c r="H162" s="81"/>
      <c r="I162" s="89" t="str">
        <f>IF(A162="","Pending",IF(H162="","⚠️ Enter Agent Code",IF(IFERROR(VLOOKUP(G162,DB_Agents!$B:$I,8,0),"")=H162,IF(AND(A162&lt;&gt;"",E162&lt;&gt;""),"Saved","Pending"),"🔒 BLOCKED — Wrong Code")))</f>
        <v>Pending</v>
      </c>
      <c r="J162" s="90" t="str">
        <f t="shared" ca="1" si="14"/>
        <v>—</v>
      </c>
      <c r="K162" s="91"/>
    </row>
    <row r="163" spans="1:11" ht="15" customHeight="1" x14ac:dyDescent="0.25">
      <c r="A163" s="76"/>
      <c r="B163" s="37" t="str">
        <f>IF(A163="","",IFERROR(VLOOKUP(A163,DB_Customers!$A:$D,4,0),"❌ Account Not Found"))</f>
        <v/>
      </c>
      <c r="C163" s="77" t="str">
        <f>IF(A163="","",IFERROR(IF(SUMIF(DB_Savings!$C:$C,A163,DB_Savings!$F:$F)=0,VLOOKUP(A163,DB_Customers!$A:$I,9,0),VLOOKUP(A163,DB_Customers!$A:$N,14,0)),"❌ Acct Not Found"))</f>
        <v/>
      </c>
      <c r="D163" s="78" t="str">
        <f t="shared" ca="1" si="12"/>
        <v/>
      </c>
      <c r="E163" s="79"/>
      <c r="F163" s="80" t="str">
        <f t="shared" si="13"/>
        <v/>
      </c>
      <c r="G163" s="39" t="s">
        <v>133</v>
      </c>
      <c r="H163" s="81"/>
      <c r="I163" s="82" t="str">
        <f>IF(A163="","Pending",IF(H163="","⚠️ Enter Agent Code",IF(IFERROR(VLOOKUP(G163,DB_Agents!$B:$I,8,0),"")=H163,IF(AND(A163&lt;&gt;"",E163&lt;&gt;""),"Saved","Pending"),"🔒 BLOCKED — Wrong Code")))</f>
        <v>Pending</v>
      </c>
      <c r="J163" s="83" t="str">
        <f t="shared" ca="1" si="14"/>
        <v>—</v>
      </c>
      <c r="K163" s="84"/>
    </row>
    <row r="164" spans="1:11" ht="15" customHeight="1" x14ac:dyDescent="0.25">
      <c r="A164" s="85"/>
      <c r="B164" s="41" t="str">
        <f>IF(A164="","",IFERROR(VLOOKUP(A164,DB_Customers!$A:$D,4,0),"❌ Account Not Found"))</f>
        <v/>
      </c>
      <c r="C164" s="86" t="str">
        <f>IF(A164="","",IFERROR(IF(SUMIF(DB_Savings!$C:$C,A164,DB_Savings!$F:$F)=0,VLOOKUP(A164,DB_Customers!$A:$I,9,0),VLOOKUP(A164,DB_Customers!$A:$N,14,0)),"❌ Acct Not Found"))</f>
        <v/>
      </c>
      <c r="D164" s="87" t="str">
        <f t="shared" ca="1" si="12"/>
        <v/>
      </c>
      <c r="E164" s="79"/>
      <c r="F164" s="88" t="str">
        <f t="shared" si="13"/>
        <v/>
      </c>
      <c r="G164" s="43" t="s">
        <v>133</v>
      </c>
      <c r="H164" s="81"/>
      <c r="I164" s="89" t="str">
        <f>IF(A164="","Pending",IF(H164="","⚠️ Enter Agent Code",IF(IFERROR(VLOOKUP(G164,DB_Agents!$B:$I,8,0),"")=H164,IF(AND(A164&lt;&gt;"",E164&lt;&gt;""),"Saved","Pending"),"🔒 BLOCKED — Wrong Code")))</f>
        <v>Pending</v>
      </c>
      <c r="J164" s="90" t="str">
        <f t="shared" ca="1" si="14"/>
        <v>—</v>
      </c>
      <c r="K164" s="91"/>
    </row>
    <row r="165" spans="1:11" ht="15" customHeight="1" x14ac:dyDescent="0.25">
      <c r="A165" s="76"/>
      <c r="B165" s="37" t="str">
        <f>IF(A165="","",IFERROR(VLOOKUP(A165,DB_Customers!$A:$D,4,0),"❌ Account Not Found"))</f>
        <v/>
      </c>
      <c r="C165" s="77" t="str">
        <f>IF(A165="","",IFERROR(IF(SUMIF(DB_Savings!$C:$C,A165,DB_Savings!$F:$F)=0,VLOOKUP(A165,DB_Customers!$A:$I,9,0),VLOOKUP(A165,DB_Customers!$A:$N,14,0)),"❌ Acct Not Found"))</f>
        <v/>
      </c>
      <c r="D165" s="78" t="str">
        <f t="shared" ca="1" si="12"/>
        <v/>
      </c>
      <c r="E165" s="79"/>
      <c r="F165" s="80" t="str">
        <f t="shared" si="13"/>
        <v/>
      </c>
      <c r="G165" s="39" t="s">
        <v>133</v>
      </c>
      <c r="H165" s="81"/>
      <c r="I165" s="82" t="str">
        <f>IF(A165="","Pending",IF(H165="","⚠️ Enter Agent Code",IF(IFERROR(VLOOKUP(G165,DB_Agents!$B:$I,8,0),"")=H165,IF(AND(A165&lt;&gt;"",E165&lt;&gt;""),"Saved","Pending"),"🔒 BLOCKED — Wrong Code")))</f>
        <v>Pending</v>
      </c>
      <c r="J165" s="83" t="str">
        <f t="shared" ca="1" si="14"/>
        <v>—</v>
      </c>
      <c r="K165" s="84"/>
    </row>
    <row r="166" spans="1:11" ht="15" customHeight="1" x14ac:dyDescent="0.25">
      <c r="A166" s="85"/>
      <c r="B166" s="41" t="str">
        <f>IF(A166="","",IFERROR(VLOOKUP(A166,DB_Customers!$A:$D,4,0),"❌ Account Not Found"))</f>
        <v/>
      </c>
      <c r="C166" s="86" t="str">
        <f>IF(A166="","",IFERROR(IF(SUMIF(DB_Savings!$C:$C,A166,DB_Savings!$F:$F)=0,VLOOKUP(A166,DB_Customers!$A:$I,9,0),VLOOKUP(A166,DB_Customers!$A:$N,14,0)),"❌ Acct Not Found"))</f>
        <v/>
      </c>
      <c r="D166" s="87" t="str">
        <f t="shared" ca="1" si="12"/>
        <v/>
      </c>
      <c r="E166" s="79"/>
      <c r="F166" s="88" t="str">
        <f t="shared" si="13"/>
        <v/>
      </c>
      <c r="G166" s="43" t="s">
        <v>133</v>
      </c>
      <c r="H166" s="81"/>
      <c r="I166" s="89" t="str">
        <f>IF(A166="","Pending",IF(H166="","⚠️ Enter Agent Code",IF(IFERROR(VLOOKUP(G166,DB_Agents!$B:$I,8,0),"")=H166,IF(AND(A166&lt;&gt;"",E166&lt;&gt;""),"Saved","Pending"),"🔒 BLOCKED — Wrong Code")))</f>
        <v>Pending</v>
      </c>
      <c r="J166" s="90" t="str">
        <f t="shared" ca="1" si="14"/>
        <v>—</v>
      </c>
      <c r="K166" s="91"/>
    </row>
    <row r="167" spans="1:11" ht="15" customHeight="1" x14ac:dyDescent="0.25">
      <c r="A167" s="76"/>
      <c r="B167" s="37" t="str">
        <f>IF(A167="","",IFERROR(VLOOKUP(A167,DB_Customers!$A:$D,4,0),"❌ Account Not Found"))</f>
        <v/>
      </c>
      <c r="C167" s="77" t="str">
        <f>IF(A167="","",IFERROR(IF(SUMIF(DB_Savings!$C:$C,A167,DB_Savings!$F:$F)=0,VLOOKUP(A167,DB_Customers!$A:$I,9,0),VLOOKUP(A167,DB_Customers!$A:$N,14,0)),"❌ Acct Not Found"))</f>
        <v/>
      </c>
      <c r="D167" s="78" t="str">
        <f t="shared" ca="1" si="12"/>
        <v/>
      </c>
      <c r="E167" s="79"/>
      <c r="F167" s="80" t="str">
        <f t="shared" si="13"/>
        <v/>
      </c>
      <c r="G167" s="39" t="s">
        <v>133</v>
      </c>
      <c r="H167" s="81"/>
      <c r="I167" s="82" t="str">
        <f>IF(A167="","Pending",IF(H167="","⚠️ Enter Agent Code",IF(IFERROR(VLOOKUP(G167,DB_Agents!$B:$I,8,0),"")=H167,IF(AND(A167&lt;&gt;"",E167&lt;&gt;""),"Saved","Pending"),"🔒 BLOCKED — Wrong Code")))</f>
        <v>Pending</v>
      </c>
      <c r="J167" s="83" t="str">
        <f t="shared" ca="1" si="14"/>
        <v>—</v>
      </c>
      <c r="K167" s="84"/>
    </row>
    <row r="168" spans="1:11" ht="15" customHeight="1" x14ac:dyDescent="0.25">
      <c r="A168" s="85"/>
      <c r="B168" s="41" t="str">
        <f>IF(A168="","",IFERROR(VLOOKUP(A168,DB_Customers!$A:$D,4,0),"❌ Account Not Found"))</f>
        <v/>
      </c>
      <c r="C168" s="86" t="str">
        <f>IF(A168="","",IFERROR(IF(SUMIF(DB_Savings!$C:$C,A168,DB_Savings!$F:$F)=0,VLOOKUP(A168,DB_Customers!$A:$I,9,0),VLOOKUP(A168,DB_Customers!$A:$N,14,0)),"❌ Acct Not Found"))</f>
        <v/>
      </c>
      <c r="D168" s="87" t="str">
        <f t="shared" ca="1" si="12"/>
        <v/>
      </c>
      <c r="E168" s="79"/>
      <c r="F168" s="88" t="str">
        <f t="shared" si="13"/>
        <v/>
      </c>
      <c r="G168" s="43" t="s">
        <v>133</v>
      </c>
      <c r="H168" s="81"/>
      <c r="I168" s="89" t="str">
        <f>IF(A168="","Pending",IF(H168="","⚠️ Enter Agent Code",IF(IFERROR(VLOOKUP(G168,DB_Agents!$B:$I,8,0),"")=H168,IF(AND(A168&lt;&gt;"",E168&lt;&gt;""),"Saved","Pending"),"🔒 BLOCKED — Wrong Code")))</f>
        <v>Pending</v>
      </c>
      <c r="J168" s="90" t="str">
        <f t="shared" ca="1" si="14"/>
        <v>—</v>
      </c>
      <c r="K168" s="91"/>
    </row>
    <row r="169" spans="1:11" ht="15" customHeight="1" x14ac:dyDescent="0.25">
      <c r="A169" s="76"/>
      <c r="B169" s="37" t="str">
        <f>IF(A169="","",IFERROR(VLOOKUP(A169,DB_Customers!$A:$D,4,0),"❌ Account Not Found"))</f>
        <v/>
      </c>
      <c r="C169" s="77" t="str">
        <f>IF(A169="","",IFERROR(IF(SUMIF(DB_Savings!$C:$C,A169,DB_Savings!$F:$F)=0,VLOOKUP(A169,DB_Customers!$A:$I,9,0),VLOOKUP(A169,DB_Customers!$A:$N,14,0)),"❌ Acct Not Found"))</f>
        <v/>
      </c>
      <c r="D169" s="78" t="str">
        <f t="shared" ref="D169:D200" ca="1" si="15">IF(A169="","",TODAY())</f>
        <v/>
      </c>
      <c r="E169" s="79"/>
      <c r="F169" s="80" t="str">
        <f t="shared" ref="F169:F200" si="16">IF(OR(A169="",E169=""),"",IF(C169="","",C169+E169))</f>
        <v/>
      </c>
      <c r="G169" s="39" t="s">
        <v>133</v>
      </c>
      <c r="H169" s="81"/>
      <c r="I169" s="82" t="str">
        <f>IF(A169="","Pending",IF(H169="","⚠️ Enter Agent Code",IF(IFERROR(VLOOKUP(G169,DB_Agents!$B:$I,8,0),"")=H169,IF(AND(A169&lt;&gt;"",E169&lt;&gt;""),"Saved","Pending"),"🔒 BLOCKED — Wrong Code")))</f>
        <v>Pending</v>
      </c>
      <c r="J169" s="83" t="str">
        <f t="shared" ref="J169:J200" ca="1" si="17">IF(I169="Saved",TEXT(TODAY(),"YYYY-MM-DD")&amp;" Auto","—")</f>
        <v>—</v>
      </c>
      <c r="K169" s="84"/>
    </row>
    <row r="170" spans="1:11" ht="15" customHeight="1" x14ac:dyDescent="0.25">
      <c r="A170" s="85"/>
      <c r="B170" s="41" t="str">
        <f>IF(A170="","",IFERROR(VLOOKUP(A170,DB_Customers!$A:$D,4,0),"❌ Account Not Found"))</f>
        <v/>
      </c>
      <c r="C170" s="86" t="str">
        <f>IF(A170="","",IFERROR(IF(SUMIF(DB_Savings!$C:$C,A170,DB_Savings!$F:$F)=0,VLOOKUP(A170,DB_Customers!$A:$I,9,0),VLOOKUP(A170,DB_Customers!$A:$N,14,0)),"❌ Acct Not Found"))</f>
        <v/>
      </c>
      <c r="D170" s="87" t="str">
        <f t="shared" ca="1" si="15"/>
        <v/>
      </c>
      <c r="E170" s="79"/>
      <c r="F170" s="88" t="str">
        <f t="shared" si="16"/>
        <v/>
      </c>
      <c r="G170" s="43" t="s">
        <v>133</v>
      </c>
      <c r="H170" s="81"/>
      <c r="I170" s="89" t="str">
        <f>IF(A170="","Pending",IF(H170="","⚠️ Enter Agent Code",IF(IFERROR(VLOOKUP(G170,DB_Agents!$B:$I,8,0),"")=H170,IF(AND(A170&lt;&gt;"",E170&lt;&gt;""),"Saved","Pending"),"🔒 BLOCKED — Wrong Code")))</f>
        <v>Pending</v>
      </c>
      <c r="J170" s="90" t="str">
        <f t="shared" ca="1" si="17"/>
        <v>—</v>
      </c>
      <c r="K170" s="91"/>
    </row>
    <row r="171" spans="1:11" ht="15" customHeight="1" x14ac:dyDescent="0.25">
      <c r="A171" s="76"/>
      <c r="B171" s="37" t="str">
        <f>IF(A171="","",IFERROR(VLOOKUP(A171,DB_Customers!$A:$D,4,0),"❌ Account Not Found"))</f>
        <v/>
      </c>
      <c r="C171" s="77" t="str">
        <f>IF(A171="","",IFERROR(IF(SUMIF(DB_Savings!$C:$C,A171,DB_Savings!$F:$F)=0,VLOOKUP(A171,DB_Customers!$A:$I,9,0),VLOOKUP(A171,DB_Customers!$A:$N,14,0)),"❌ Acct Not Found"))</f>
        <v/>
      </c>
      <c r="D171" s="78" t="str">
        <f t="shared" ca="1" si="15"/>
        <v/>
      </c>
      <c r="E171" s="79"/>
      <c r="F171" s="80" t="str">
        <f t="shared" si="16"/>
        <v/>
      </c>
      <c r="G171" s="39" t="s">
        <v>133</v>
      </c>
      <c r="H171" s="81"/>
      <c r="I171" s="82" t="str">
        <f>IF(A171="","Pending",IF(H171="","⚠️ Enter Agent Code",IF(IFERROR(VLOOKUP(G171,DB_Agents!$B:$I,8,0),"")=H171,IF(AND(A171&lt;&gt;"",E171&lt;&gt;""),"Saved","Pending"),"🔒 BLOCKED — Wrong Code")))</f>
        <v>Pending</v>
      </c>
      <c r="J171" s="83" t="str">
        <f t="shared" ca="1" si="17"/>
        <v>—</v>
      </c>
      <c r="K171" s="84"/>
    </row>
    <row r="172" spans="1:11" ht="15" customHeight="1" x14ac:dyDescent="0.25">
      <c r="A172" s="85"/>
      <c r="B172" s="41" t="str">
        <f>IF(A172="","",IFERROR(VLOOKUP(A172,DB_Customers!$A:$D,4,0),"❌ Account Not Found"))</f>
        <v/>
      </c>
      <c r="C172" s="86" t="str">
        <f>IF(A172="","",IFERROR(IF(SUMIF(DB_Savings!$C:$C,A172,DB_Savings!$F:$F)=0,VLOOKUP(A172,DB_Customers!$A:$I,9,0),VLOOKUP(A172,DB_Customers!$A:$N,14,0)),"❌ Acct Not Found"))</f>
        <v/>
      </c>
      <c r="D172" s="87" t="str">
        <f t="shared" ca="1" si="15"/>
        <v/>
      </c>
      <c r="E172" s="79"/>
      <c r="F172" s="88" t="str">
        <f t="shared" si="16"/>
        <v/>
      </c>
      <c r="G172" s="43" t="s">
        <v>133</v>
      </c>
      <c r="H172" s="81"/>
      <c r="I172" s="89" t="str">
        <f>IF(A172="","Pending",IF(H172="","⚠️ Enter Agent Code",IF(IFERROR(VLOOKUP(G172,DB_Agents!$B:$I,8,0),"")=H172,IF(AND(A172&lt;&gt;"",E172&lt;&gt;""),"Saved","Pending"),"🔒 BLOCKED — Wrong Code")))</f>
        <v>Pending</v>
      </c>
      <c r="J172" s="90" t="str">
        <f t="shared" ca="1" si="17"/>
        <v>—</v>
      </c>
      <c r="K172" s="91"/>
    </row>
    <row r="173" spans="1:11" ht="15" customHeight="1" x14ac:dyDescent="0.25">
      <c r="A173" s="76"/>
      <c r="B173" s="37" t="str">
        <f>IF(A173="","",IFERROR(VLOOKUP(A173,DB_Customers!$A:$D,4,0),"❌ Account Not Found"))</f>
        <v/>
      </c>
      <c r="C173" s="77" t="str">
        <f>IF(A173="","",IFERROR(IF(SUMIF(DB_Savings!$C:$C,A173,DB_Savings!$F:$F)=0,VLOOKUP(A173,DB_Customers!$A:$I,9,0),VLOOKUP(A173,DB_Customers!$A:$N,14,0)),"❌ Acct Not Found"))</f>
        <v/>
      </c>
      <c r="D173" s="78" t="str">
        <f t="shared" ca="1" si="15"/>
        <v/>
      </c>
      <c r="E173" s="79"/>
      <c r="F173" s="80" t="str">
        <f t="shared" si="16"/>
        <v/>
      </c>
      <c r="G173" s="39" t="s">
        <v>133</v>
      </c>
      <c r="H173" s="81"/>
      <c r="I173" s="82" t="str">
        <f>IF(A173="","Pending",IF(H173="","⚠️ Enter Agent Code",IF(IFERROR(VLOOKUP(G173,DB_Agents!$B:$I,8,0),"")=H173,IF(AND(A173&lt;&gt;"",E173&lt;&gt;""),"Saved","Pending"),"🔒 BLOCKED — Wrong Code")))</f>
        <v>Pending</v>
      </c>
      <c r="J173" s="83" t="str">
        <f t="shared" ca="1" si="17"/>
        <v>—</v>
      </c>
      <c r="K173" s="84"/>
    </row>
    <row r="174" spans="1:11" ht="15" customHeight="1" x14ac:dyDescent="0.25">
      <c r="A174" s="85"/>
      <c r="B174" s="41" t="str">
        <f>IF(A174="","",IFERROR(VLOOKUP(A174,DB_Customers!$A:$D,4,0),"❌ Account Not Found"))</f>
        <v/>
      </c>
      <c r="C174" s="86" t="str">
        <f>IF(A174="","",IFERROR(IF(SUMIF(DB_Savings!$C:$C,A174,DB_Savings!$F:$F)=0,VLOOKUP(A174,DB_Customers!$A:$I,9,0),VLOOKUP(A174,DB_Customers!$A:$N,14,0)),"❌ Acct Not Found"))</f>
        <v/>
      </c>
      <c r="D174" s="87" t="str">
        <f t="shared" ca="1" si="15"/>
        <v/>
      </c>
      <c r="E174" s="79"/>
      <c r="F174" s="88" t="str">
        <f t="shared" si="16"/>
        <v/>
      </c>
      <c r="G174" s="43" t="s">
        <v>133</v>
      </c>
      <c r="H174" s="81"/>
      <c r="I174" s="89" t="str">
        <f>IF(A174="","Pending",IF(H174="","⚠️ Enter Agent Code",IF(IFERROR(VLOOKUP(G174,DB_Agents!$B:$I,8,0),"")=H174,IF(AND(A174&lt;&gt;"",E174&lt;&gt;""),"Saved","Pending"),"🔒 BLOCKED — Wrong Code")))</f>
        <v>Pending</v>
      </c>
      <c r="J174" s="90" t="str">
        <f t="shared" ca="1" si="17"/>
        <v>—</v>
      </c>
      <c r="K174" s="91"/>
    </row>
    <row r="175" spans="1:11" ht="15" customHeight="1" x14ac:dyDescent="0.25">
      <c r="A175" s="76"/>
      <c r="B175" s="37" t="str">
        <f>IF(A175="","",IFERROR(VLOOKUP(A175,DB_Customers!$A:$D,4,0),"❌ Account Not Found"))</f>
        <v/>
      </c>
      <c r="C175" s="77" t="str">
        <f>IF(A175="","",IFERROR(IF(SUMIF(DB_Savings!$C:$C,A175,DB_Savings!$F:$F)=0,VLOOKUP(A175,DB_Customers!$A:$I,9,0),VLOOKUP(A175,DB_Customers!$A:$N,14,0)),"❌ Acct Not Found"))</f>
        <v/>
      </c>
      <c r="D175" s="78" t="str">
        <f t="shared" ca="1" si="15"/>
        <v/>
      </c>
      <c r="E175" s="79"/>
      <c r="F175" s="80" t="str">
        <f t="shared" si="16"/>
        <v/>
      </c>
      <c r="G175" s="39" t="s">
        <v>133</v>
      </c>
      <c r="H175" s="81"/>
      <c r="I175" s="82" t="str">
        <f>IF(A175="","Pending",IF(H175="","⚠️ Enter Agent Code",IF(IFERROR(VLOOKUP(G175,DB_Agents!$B:$I,8,0),"")=H175,IF(AND(A175&lt;&gt;"",E175&lt;&gt;""),"Saved","Pending"),"🔒 BLOCKED — Wrong Code")))</f>
        <v>Pending</v>
      </c>
      <c r="J175" s="83" t="str">
        <f t="shared" ca="1" si="17"/>
        <v>—</v>
      </c>
      <c r="K175" s="84"/>
    </row>
    <row r="176" spans="1:11" ht="15" customHeight="1" x14ac:dyDescent="0.25">
      <c r="A176" s="85"/>
      <c r="B176" s="41" t="str">
        <f>IF(A176="","",IFERROR(VLOOKUP(A176,DB_Customers!$A:$D,4,0),"❌ Account Not Found"))</f>
        <v/>
      </c>
      <c r="C176" s="86" t="str">
        <f>IF(A176="","",IFERROR(IF(SUMIF(DB_Savings!$C:$C,A176,DB_Savings!$F:$F)=0,VLOOKUP(A176,DB_Customers!$A:$I,9,0),VLOOKUP(A176,DB_Customers!$A:$N,14,0)),"❌ Acct Not Found"))</f>
        <v/>
      </c>
      <c r="D176" s="87" t="str">
        <f t="shared" ca="1" si="15"/>
        <v/>
      </c>
      <c r="E176" s="79"/>
      <c r="F176" s="88" t="str">
        <f t="shared" si="16"/>
        <v/>
      </c>
      <c r="G176" s="43" t="s">
        <v>133</v>
      </c>
      <c r="H176" s="81"/>
      <c r="I176" s="89" t="str">
        <f>IF(A176="","Pending",IF(H176="","⚠️ Enter Agent Code",IF(IFERROR(VLOOKUP(G176,DB_Agents!$B:$I,8,0),"")=H176,IF(AND(A176&lt;&gt;"",E176&lt;&gt;""),"Saved","Pending"),"🔒 BLOCKED — Wrong Code")))</f>
        <v>Pending</v>
      </c>
      <c r="J176" s="90" t="str">
        <f t="shared" ca="1" si="17"/>
        <v>—</v>
      </c>
      <c r="K176" s="91"/>
    </row>
    <row r="177" spans="1:11" ht="15" customHeight="1" x14ac:dyDescent="0.25">
      <c r="A177" s="76"/>
      <c r="B177" s="37" t="str">
        <f>IF(A177="","",IFERROR(VLOOKUP(A177,DB_Customers!$A:$D,4,0),"❌ Account Not Found"))</f>
        <v/>
      </c>
      <c r="C177" s="77" t="str">
        <f>IF(A177="","",IFERROR(IF(SUMIF(DB_Savings!$C:$C,A177,DB_Savings!$F:$F)=0,VLOOKUP(A177,DB_Customers!$A:$I,9,0),VLOOKUP(A177,DB_Customers!$A:$N,14,0)),"❌ Acct Not Found"))</f>
        <v/>
      </c>
      <c r="D177" s="78" t="str">
        <f t="shared" ca="1" si="15"/>
        <v/>
      </c>
      <c r="E177" s="79"/>
      <c r="F177" s="80" t="str">
        <f t="shared" si="16"/>
        <v/>
      </c>
      <c r="G177" s="39" t="s">
        <v>133</v>
      </c>
      <c r="H177" s="81"/>
      <c r="I177" s="82" t="str">
        <f>IF(A177="","Pending",IF(H177="","⚠️ Enter Agent Code",IF(IFERROR(VLOOKUP(G177,DB_Agents!$B:$I,8,0),"")=H177,IF(AND(A177&lt;&gt;"",E177&lt;&gt;""),"Saved","Pending"),"🔒 BLOCKED — Wrong Code")))</f>
        <v>Pending</v>
      </c>
      <c r="J177" s="83" t="str">
        <f t="shared" ca="1" si="17"/>
        <v>—</v>
      </c>
      <c r="K177" s="84"/>
    </row>
    <row r="178" spans="1:11" ht="15" customHeight="1" x14ac:dyDescent="0.25">
      <c r="A178" s="85"/>
      <c r="B178" s="41" t="str">
        <f>IF(A178="","",IFERROR(VLOOKUP(A178,DB_Customers!$A:$D,4,0),"❌ Account Not Found"))</f>
        <v/>
      </c>
      <c r="C178" s="86" t="str">
        <f>IF(A178="","",IFERROR(IF(SUMIF(DB_Savings!$C:$C,A178,DB_Savings!$F:$F)=0,VLOOKUP(A178,DB_Customers!$A:$I,9,0),VLOOKUP(A178,DB_Customers!$A:$N,14,0)),"❌ Acct Not Found"))</f>
        <v/>
      </c>
      <c r="D178" s="87" t="str">
        <f t="shared" ca="1" si="15"/>
        <v/>
      </c>
      <c r="E178" s="79"/>
      <c r="F178" s="88" t="str">
        <f t="shared" si="16"/>
        <v/>
      </c>
      <c r="G178" s="43" t="s">
        <v>133</v>
      </c>
      <c r="H178" s="81"/>
      <c r="I178" s="89" t="str">
        <f>IF(A178="","Pending",IF(H178="","⚠️ Enter Agent Code",IF(IFERROR(VLOOKUP(G178,DB_Agents!$B:$I,8,0),"")=H178,IF(AND(A178&lt;&gt;"",E178&lt;&gt;""),"Saved","Pending"),"🔒 BLOCKED — Wrong Code")))</f>
        <v>Pending</v>
      </c>
      <c r="J178" s="90" t="str">
        <f t="shared" ca="1" si="17"/>
        <v>—</v>
      </c>
      <c r="K178" s="91"/>
    </row>
    <row r="179" spans="1:11" ht="15" customHeight="1" x14ac:dyDescent="0.25">
      <c r="A179" s="76"/>
      <c r="B179" s="37" t="str">
        <f>IF(A179="","",IFERROR(VLOOKUP(A179,DB_Customers!$A:$D,4,0),"❌ Account Not Found"))</f>
        <v/>
      </c>
      <c r="C179" s="77" t="str">
        <f>IF(A179="","",IFERROR(IF(SUMIF(DB_Savings!$C:$C,A179,DB_Savings!$F:$F)=0,VLOOKUP(A179,DB_Customers!$A:$I,9,0),VLOOKUP(A179,DB_Customers!$A:$N,14,0)),"❌ Acct Not Found"))</f>
        <v/>
      </c>
      <c r="D179" s="78" t="str">
        <f t="shared" ca="1" si="15"/>
        <v/>
      </c>
      <c r="E179" s="79"/>
      <c r="F179" s="80" t="str">
        <f t="shared" si="16"/>
        <v/>
      </c>
      <c r="G179" s="39" t="s">
        <v>133</v>
      </c>
      <c r="H179" s="81"/>
      <c r="I179" s="82" t="str">
        <f>IF(A179="","Pending",IF(H179="","⚠️ Enter Agent Code",IF(IFERROR(VLOOKUP(G179,DB_Agents!$B:$I,8,0),"")=H179,IF(AND(A179&lt;&gt;"",E179&lt;&gt;""),"Saved","Pending"),"🔒 BLOCKED — Wrong Code")))</f>
        <v>Pending</v>
      </c>
      <c r="J179" s="83" t="str">
        <f t="shared" ca="1" si="17"/>
        <v>—</v>
      </c>
      <c r="K179" s="84"/>
    </row>
    <row r="180" spans="1:11" ht="15" customHeight="1" x14ac:dyDescent="0.25">
      <c r="A180" s="85"/>
      <c r="B180" s="41" t="str">
        <f>IF(A180="","",IFERROR(VLOOKUP(A180,DB_Customers!$A:$D,4,0),"❌ Account Not Found"))</f>
        <v/>
      </c>
      <c r="C180" s="86" t="str">
        <f>IF(A180="","",IFERROR(IF(SUMIF(DB_Savings!$C:$C,A180,DB_Savings!$F:$F)=0,VLOOKUP(A180,DB_Customers!$A:$I,9,0),VLOOKUP(A180,DB_Customers!$A:$N,14,0)),"❌ Acct Not Found"))</f>
        <v/>
      </c>
      <c r="D180" s="87" t="str">
        <f t="shared" ca="1" si="15"/>
        <v/>
      </c>
      <c r="E180" s="79"/>
      <c r="F180" s="88" t="str">
        <f t="shared" si="16"/>
        <v/>
      </c>
      <c r="G180" s="43" t="s">
        <v>133</v>
      </c>
      <c r="H180" s="81"/>
      <c r="I180" s="89" t="str">
        <f>IF(A180="","Pending",IF(H180="","⚠️ Enter Agent Code",IF(IFERROR(VLOOKUP(G180,DB_Agents!$B:$I,8,0),"")=H180,IF(AND(A180&lt;&gt;"",E180&lt;&gt;""),"Saved","Pending"),"🔒 BLOCKED — Wrong Code")))</f>
        <v>Pending</v>
      </c>
      <c r="J180" s="90" t="str">
        <f t="shared" ca="1" si="17"/>
        <v>—</v>
      </c>
      <c r="K180" s="91"/>
    </row>
    <row r="181" spans="1:11" ht="15" customHeight="1" x14ac:dyDescent="0.25">
      <c r="A181" s="76"/>
      <c r="B181" s="37" t="str">
        <f>IF(A181="","",IFERROR(VLOOKUP(A181,DB_Customers!$A:$D,4,0),"❌ Account Not Found"))</f>
        <v/>
      </c>
      <c r="C181" s="77" t="str">
        <f>IF(A181="","",IFERROR(IF(SUMIF(DB_Savings!$C:$C,A181,DB_Savings!$F:$F)=0,VLOOKUP(A181,DB_Customers!$A:$I,9,0),VLOOKUP(A181,DB_Customers!$A:$N,14,0)),"❌ Acct Not Found"))</f>
        <v/>
      </c>
      <c r="D181" s="78" t="str">
        <f t="shared" ca="1" si="15"/>
        <v/>
      </c>
      <c r="E181" s="79"/>
      <c r="F181" s="80" t="str">
        <f t="shared" si="16"/>
        <v/>
      </c>
      <c r="G181" s="39" t="s">
        <v>133</v>
      </c>
      <c r="H181" s="81"/>
      <c r="I181" s="82" t="str">
        <f>IF(A181="","Pending",IF(H181="","⚠️ Enter Agent Code",IF(IFERROR(VLOOKUP(G181,DB_Agents!$B:$I,8,0),"")=H181,IF(AND(A181&lt;&gt;"",E181&lt;&gt;""),"Saved","Pending"),"🔒 BLOCKED — Wrong Code")))</f>
        <v>Pending</v>
      </c>
      <c r="J181" s="83" t="str">
        <f t="shared" ca="1" si="17"/>
        <v>—</v>
      </c>
      <c r="K181" s="84"/>
    </row>
    <row r="182" spans="1:11" ht="15" customHeight="1" x14ac:dyDescent="0.25">
      <c r="A182" s="85"/>
      <c r="B182" s="41" t="str">
        <f>IF(A182="","",IFERROR(VLOOKUP(A182,DB_Customers!$A:$D,4,0),"❌ Account Not Found"))</f>
        <v/>
      </c>
      <c r="C182" s="86" t="str">
        <f>IF(A182="","",IFERROR(IF(SUMIF(DB_Savings!$C:$C,A182,DB_Savings!$F:$F)=0,VLOOKUP(A182,DB_Customers!$A:$I,9,0),VLOOKUP(A182,DB_Customers!$A:$N,14,0)),"❌ Acct Not Found"))</f>
        <v/>
      </c>
      <c r="D182" s="87" t="str">
        <f t="shared" ca="1" si="15"/>
        <v/>
      </c>
      <c r="E182" s="79"/>
      <c r="F182" s="88" t="str">
        <f t="shared" si="16"/>
        <v/>
      </c>
      <c r="G182" s="43" t="s">
        <v>133</v>
      </c>
      <c r="H182" s="81"/>
      <c r="I182" s="89" t="str">
        <f>IF(A182="","Pending",IF(H182="","⚠️ Enter Agent Code",IF(IFERROR(VLOOKUP(G182,DB_Agents!$B:$I,8,0),"")=H182,IF(AND(A182&lt;&gt;"",E182&lt;&gt;""),"Saved","Pending"),"🔒 BLOCKED — Wrong Code")))</f>
        <v>Pending</v>
      </c>
      <c r="J182" s="90" t="str">
        <f t="shared" ca="1" si="17"/>
        <v>—</v>
      </c>
      <c r="K182" s="91"/>
    </row>
    <row r="183" spans="1:11" ht="15" customHeight="1" x14ac:dyDescent="0.25">
      <c r="A183" s="76"/>
      <c r="B183" s="37" t="str">
        <f>IF(A183="","",IFERROR(VLOOKUP(A183,DB_Customers!$A:$D,4,0),"❌ Account Not Found"))</f>
        <v/>
      </c>
      <c r="C183" s="77" t="str">
        <f>IF(A183="","",IFERROR(IF(SUMIF(DB_Savings!$C:$C,A183,DB_Savings!$F:$F)=0,VLOOKUP(A183,DB_Customers!$A:$I,9,0),VLOOKUP(A183,DB_Customers!$A:$N,14,0)),"❌ Acct Not Found"))</f>
        <v/>
      </c>
      <c r="D183" s="78" t="str">
        <f t="shared" ca="1" si="15"/>
        <v/>
      </c>
      <c r="E183" s="79"/>
      <c r="F183" s="80" t="str">
        <f t="shared" si="16"/>
        <v/>
      </c>
      <c r="G183" s="39" t="s">
        <v>133</v>
      </c>
      <c r="H183" s="81"/>
      <c r="I183" s="82" t="str">
        <f>IF(A183="","Pending",IF(H183="","⚠️ Enter Agent Code",IF(IFERROR(VLOOKUP(G183,DB_Agents!$B:$I,8,0),"")=H183,IF(AND(A183&lt;&gt;"",E183&lt;&gt;""),"Saved","Pending"),"🔒 BLOCKED — Wrong Code")))</f>
        <v>Pending</v>
      </c>
      <c r="J183" s="83" t="str">
        <f t="shared" ca="1" si="17"/>
        <v>—</v>
      </c>
      <c r="K183" s="84"/>
    </row>
    <row r="184" spans="1:11" ht="15" customHeight="1" x14ac:dyDescent="0.25">
      <c r="A184" s="85"/>
      <c r="B184" s="41" t="str">
        <f>IF(A184="","",IFERROR(VLOOKUP(A184,DB_Customers!$A:$D,4,0),"❌ Account Not Found"))</f>
        <v/>
      </c>
      <c r="C184" s="86" t="str">
        <f>IF(A184="","",IFERROR(IF(SUMIF(DB_Savings!$C:$C,A184,DB_Savings!$F:$F)=0,VLOOKUP(A184,DB_Customers!$A:$I,9,0),VLOOKUP(A184,DB_Customers!$A:$N,14,0)),"❌ Acct Not Found"))</f>
        <v/>
      </c>
      <c r="D184" s="87" t="str">
        <f t="shared" ca="1" si="15"/>
        <v/>
      </c>
      <c r="E184" s="79"/>
      <c r="F184" s="88" t="str">
        <f t="shared" si="16"/>
        <v/>
      </c>
      <c r="G184" s="43" t="s">
        <v>133</v>
      </c>
      <c r="H184" s="81"/>
      <c r="I184" s="89" t="str">
        <f>IF(A184="","Pending",IF(H184="","⚠️ Enter Agent Code",IF(IFERROR(VLOOKUP(G184,DB_Agents!$B:$I,8,0),"")=H184,IF(AND(A184&lt;&gt;"",E184&lt;&gt;""),"Saved","Pending"),"🔒 BLOCKED — Wrong Code")))</f>
        <v>Pending</v>
      </c>
      <c r="J184" s="90" t="str">
        <f t="shared" ca="1" si="17"/>
        <v>—</v>
      </c>
      <c r="K184" s="91"/>
    </row>
    <row r="185" spans="1:11" ht="15" customHeight="1" x14ac:dyDescent="0.25">
      <c r="A185" s="76"/>
      <c r="B185" s="37" t="str">
        <f>IF(A185="","",IFERROR(VLOOKUP(A185,DB_Customers!$A:$D,4,0),"❌ Account Not Found"))</f>
        <v/>
      </c>
      <c r="C185" s="77" t="str">
        <f>IF(A185="","",IFERROR(IF(SUMIF(DB_Savings!$C:$C,A185,DB_Savings!$F:$F)=0,VLOOKUP(A185,DB_Customers!$A:$I,9,0),VLOOKUP(A185,DB_Customers!$A:$N,14,0)),"❌ Acct Not Found"))</f>
        <v/>
      </c>
      <c r="D185" s="78" t="str">
        <f t="shared" ca="1" si="15"/>
        <v/>
      </c>
      <c r="E185" s="79"/>
      <c r="F185" s="80" t="str">
        <f t="shared" si="16"/>
        <v/>
      </c>
      <c r="G185" s="39" t="s">
        <v>133</v>
      </c>
      <c r="H185" s="81"/>
      <c r="I185" s="82" t="str">
        <f>IF(A185="","Pending",IF(H185="","⚠️ Enter Agent Code",IF(IFERROR(VLOOKUP(G185,DB_Agents!$B:$I,8,0),"")=H185,IF(AND(A185&lt;&gt;"",E185&lt;&gt;""),"Saved","Pending"),"🔒 BLOCKED — Wrong Code")))</f>
        <v>Pending</v>
      </c>
      <c r="J185" s="83" t="str">
        <f t="shared" ca="1" si="17"/>
        <v>—</v>
      </c>
      <c r="K185" s="84"/>
    </row>
    <row r="186" spans="1:11" ht="15" customHeight="1" x14ac:dyDescent="0.25">
      <c r="A186" s="85"/>
      <c r="B186" s="41" t="str">
        <f>IF(A186="","",IFERROR(VLOOKUP(A186,DB_Customers!$A:$D,4,0),"❌ Account Not Found"))</f>
        <v/>
      </c>
      <c r="C186" s="86" t="str">
        <f>IF(A186="","",IFERROR(IF(SUMIF(DB_Savings!$C:$C,A186,DB_Savings!$F:$F)=0,VLOOKUP(A186,DB_Customers!$A:$I,9,0),VLOOKUP(A186,DB_Customers!$A:$N,14,0)),"❌ Acct Not Found"))</f>
        <v/>
      </c>
      <c r="D186" s="87" t="str">
        <f t="shared" ca="1" si="15"/>
        <v/>
      </c>
      <c r="E186" s="79"/>
      <c r="F186" s="88" t="str">
        <f t="shared" si="16"/>
        <v/>
      </c>
      <c r="G186" s="43" t="s">
        <v>133</v>
      </c>
      <c r="H186" s="81"/>
      <c r="I186" s="89" t="str">
        <f>IF(A186="","Pending",IF(H186="","⚠️ Enter Agent Code",IF(IFERROR(VLOOKUP(G186,DB_Agents!$B:$I,8,0),"")=H186,IF(AND(A186&lt;&gt;"",E186&lt;&gt;""),"Saved","Pending"),"🔒 BLOCKED — Wrong Code")))</f>
        <v>Pending</v>
      </c>
      <c r="J186" s="90" t="str">
        <f t="shared" ca="1" si="17"/>
        <v>—</v>
      </c>
      <c r="K186" s="91"/>
    </row>
    <row r="187" spans="1:11" ht="15" customHeight="1" x14ac:dyDescent="0.25">
      <c r="A187" s="76"/>
      <c r="B187" s="37" t="str">
        <f>IF(A187="","",IFERROR(VLOOKUP(A187,DB_Customers!$A:$D,4,0),"❌ Account Not Found"))</f>
        <v/>
      </c>
      <c r="C187" s="77" t="str">
        <f>IF(A187="","",IFERROR(IF(SUMIF(DB_Savings!$C:$C,A187,DB_Savings!$F:$F)=0,VLOOKUP(A187,DB_Customers!$A:$I,9,0),VLOOKUP(A187,DB_Customers!$A:$N,14,0)),"❌ Acct Not Found"))</f>
        <v/>
      </c>
      <c r="D187" s="78" t="str">
        <f t="shared" ca="1" si="15"/>
        <v/>
      </c>
      <c r="E187" s="79"/>
      <c r="F187" s="80" t="str">
        <f t="shared" si="16"/>
        <v/>
      </c>
      <c r="G187" s="39" t="s">
        <v>133</v>
      </c>
      <c r="H187" s="81"/>
      <c r="I187" s="82" t="str">
        <f>IF(A187="","Pending",IF(H187="","⚠️ Enter Agent Code",IF(IFERROR(VLOOKUP(G187,DB_Agents!$B:$I,8,0),"")=H187,IF(AND(A187&lt;&gt;"",E187&lt;&gt;""),"Saved","Pending"),"🔒 BLOCKED — Wrong Code")))</f>
        <v>Pending</v>
      </c>
      <c r="J187" s="83" t="str">
        <f t="shared" ca="1" si="17"/>
        <v>—</v>
      </c>
      <c r="K187" s="84"/>
    </row>
    <row r="188" spans="1:11" ht="15" customHeight="1" x14ac:dyDescent="0.25">
      <c r="A188" s="85"/>
      <c r="B188" s="41" t="str">
        <f>IF(A188="","",IFERROR(VLOOKUP(A188,DB_Customers!$A:$D,4,0),"❌ Account Not Found"))</f>
        <v/>
      </c>
      <c r="C188" s="86" t="str">
        <f>IF(A188="","",IFERROR(IF(SUMIF(DB_Savings!$C:$C,A188,DB_Savings!$F:$F)=0,VLOOKUP(A188,DB_Customers!$A:$I,9,0),VLOOKUP(A188,DB_Customers!$A:$N,14,0)),"❌ Acct Not Found"))</f>
        <v/>
      </c>
      <c r="D188" s="87" t="str">
        <f t="shared" ca="1" si="15"/>
        <v/>
      </c>
      <c r="E188" s="79"/>
      <c r="F188" s="88" t="str">
        <f t="shared" si="16"/>
        <v/>
      </c>
      <c r="G188" s="43" t="s">
        <v>133</v>
      </c>
      <c r="H188" s="81"/>
      <c r="I188" s="89" t="str">
        <f>IF(A188="","Pending",IF(H188="","⚠️ Enter Agent Code",IF(IFERROR(VLOOKUP(G188,DB_Agents!$B:$I,8,0),"")=H188,IF(AND(A188&lt;&gt;"",E188&lt;&gt;""),"Saved","Pending"),"🔒 BLOCKED — Wrong Code")))</f>
        <v>Pending</v>
      </c>
      <c r="J188" s="90" t="str">
        <f t="shared" ca="1" si="17"/>
        <v>—</v>
      </c>
      <c r="K188" s="91"/>
    </row>
    <row r="189" spans="1:11" ht="15" customHeight="1" x14ac:dyDescent="0.25">
      <c r="A189" s="76"/>
      <c r="B189" s="37" t="str">
        <f>IF(A189="","",IFERROR(VLOOKUP(A189,DB_Customers!$A:$D,4,0),"❌ Account Not Found"))</f>
        <v/>
      </c>
      <c r="C189" s="77" t="str">
        <f>IF(A189="","",IFERROR(IF(SUMIF(DB_Savings!$C:$C,A189,DB_Savings!$F:$F)=0,VLOOKUP(A189,DB_Customers!$A:$I,9,0),VLOOKUP(A189,DB_Customers!$A:$N,14,0)),"❌ Acct Not Found"))</f>
        <v/>
      </c>
      <c r="D189" s="78" t="str">
        <f t="shared" ca="1" si="15"/>
        <v/>
      </c>
      <c r="E189" s="79"/>
      <c r="F189" s="80" t="str">
        <f t="shared" si="16"/>
        <v/>
      </c>
      <c r="G189" s="39" t="s">
        <v>133</v>
      </c>
      <c r="H189" s="81"/>
      <c r="I189" s="82" t="str">
        <f>IF(A189="","Pending",IF(H189="","⚠️ Enter Agent Code",IF(IFERROR(VLOOKUP(G189,DB_Agents!$B:$I,8,0),"")=H189,IF(AND(A189&lt;&gt;"",E189&lt;&gt;""),"Saved","Pending"),"🔒 BLOCKED — Wrong Code")))</f>
        <v>Pending</v>
      </c>
      <c r="J189" s="83" t="str">
        <f t="shared" ca="1" si="17"/>
        <v>—</v>
      </c>
      <c r="K189" s="84"/>
    </row>
    <row r="190" spans="1:11" ht="15" customHeight="1" x14ac:dyDescent="0.25">
      <c r="A190" s="85"/>
      <c r="B190" s="41" t="str">
        <f>IF(A190="","",IFERROR(VLOOKUP(A190,DB_Customers!$A:$D,4,0),"❌ Account Not Found"))</f>
        <v/>
      </c>
      <c r="C190" s="86" t="str">
        <f>IF(A190="","",IFERROR(IF(SUMIF(DB_Savings!$C:$C,A190,DB_Savings!$F:$F)=0,VLOOKUP(A190,DB_Customers!$A:$I,9,0),VLOOKUP(A190,DB_Customers!$A:$N,14,0)),"❌ Acct Not Found"))</f>
        <v/>
      </c>
      <c r="D190" s="87" t="str">
        <f t="shared" ca="1" si="15"/>
        <v/>
      </c>
      <c r="E190" s="79"/>
      <c r="F190" s="88" t="str">
        <f t="shared" si="16"/>
        <v/>
      </c>
      <c r="G190" s="43" t="s">
        <v>133</v>
      </c>
      <c r="H190" s="81"/>
      <c r="I190" s="89" t="str">
        <f>IF(A190="","Pending",IF(H190="","⚠️ Enter Agent Code",IF(IFERROR(VLOOKUP(G190,DB_Agents!$B:$I,8,0),"")=H190,IF(AND(A190&lt;&gt;"",E190&lt;&gt;""),"Saved","Pending"),"🔒 BLOCKED — Wrong Code")))</f>
        <v>Pending</v>
      </c>
      <c r="J190" s="90" t="str">
        <f t="shared" ca="1" si="17"/>
        <v>—</v>
      </c>
      <c r="K190" s="91"/>
    </row>
    <row r="191" spans="1:11" ht="15" customHeight="1" x14ac:dyDescent="0.25">
      <c r="A191" s="76"/>
      <c r="B191" s="37" t="str">
        <f>IF(A191="","",IFERROR(VLOOKUP(A191,DB_Customers!$A:$D,4,0),"❌ Account Not Found"))</f>
        <v/>
      </c>
      <c r="C191" s="77" t="str">
        <f>IF(A191="","",IFERROR(IF(SUMIF(DB_Savings!$C:$C,A191,DB_Savings!$F:$F)=0,VLOOKUP(A191,DB_Customers!$A:$I,9,0),VLOOKUP(A191,DB_Customers!$A:$N,14,0)),"❌ Acct Not Found"))</f>
        <v/>
      </c>
      <c r="D191" s="78" t="str">
        <f t="shared" ca="1" si="15"/>
        <v/>
      </c>
      <c r="E191" s="79"/>
      <c r="F191" s="80" t="str">
        <f t="shared" si="16"/>
        <v/>
      </c>
      <c r="G191" s="39" t="s">
        <v>133</v>
      </c>
      <c r="H191" s="81"/>
      <c r="I191" s="82" t="str">
        <f>IF(A191="","Pending",IF(H191="","⚠️ Enter Agent Code",IF(IFERROR(VLOOKUP(G191,DB_Agents!$B:$I,8,0),"")=H191,IF(AND(A191&lt;&gt;"",E191&lt;&gt;""),"Saved","Pending"),"🔒 BLOCKED — Wrong Code")))</f>
        <v>Pending</v>
      </c>
      <c r="J191" s="83" t="str">
        <f t="shared" ca="1" si="17"/>
        <v>—</v>
      </c>
      <c r="K191" s="84"/>
    </row>
    <row r="192" spans="1:11" ht="15" customHeight="1" x14ac:dyDescent="0.25">
      <c r="A192" s="85"/>
      <c r="B192" s="41" t="str">
        <f>IF(A192="","",IFERROR(VLOOKUP(A192,DB_Customers!$A:$D,4,0),"❌ Account Not Found"))</f>
        <v/>
      </c>
      <c r="C192" s="86" t="str">
        <f>IF(A192="","",IFERROR(IF(SUMIF(DB_Savings!$C:$C,A192,DB_Savings!$F:$F)=0,VLOOKUP(A192,DB_Customers!$A:$I,9,0),VLOOKUP(A192,DB_Customers!$A:$N,14,0)),"❌ Acct Not Found"))</f>
        <v/>
      </c>
      <c r="D192" s="87" t="str">
        <f t="shared" ca="1" si="15"/>
        <v/>
      </c>
      <c r="E192" s="79"/>
      <c r="F192" s="88" t="str">
        <f t="shared" si="16"/>
        <v/>
      </c>
      <c r="G192" s="43" t="s">
        <v>133</v>
      </c>
      <c r="H192" s="81"/>
      <c r="I192" s="89" t="str">
        <f>IF(A192="","Pending",IF(H192="","⚠️ Enter Agent Code",IF(IFERROR(VLOOKUP(G192,DB_Agents!$B:$I,8,0),"")=H192,IF(AND(A192&lt;&gt;"",E192&lt;&gt;""),"Saved","Pending"),"🔒 BLOCKED — Wrong Code")))</f>
        <v>Pending</v>
      </c>
      <c r="J192" s="90" t="str">
        <f t="shared" ca="1" si="17"/>
        <v>—</v>
      </c>
      <c r="K192" s="91"/>
    </row>
    <row r="193" spans="1:11" ht="15" customHeight="1" x14ac:dyDescent="0.25">
      <c r="A193" s="76"/>
      <c r="B193" s="37" t="str">
        <f>IF(A193="","",IFERROR(VLOOKUP(A193,DB_Customers!$A:$D,4,0),"❌ Account Not Found"))</f>
        <v/>
      </c>
      <c r="C193" s="77" t="str">
        <f>IF(A193="","",IFERROR(IF(SUMIF(DB_Savings!$C:$C,A193,DB_Savings!$F:$F)=0,VLOOKUP(A193,DB_Customers!$A:$I,9,0),VLOOKUP(A193,DB_Customers!$A:$N,14,0)),"❌ Acct Not Found"))</f>
        <v/>
      </c>
      <c r="D193" s="78" t="str">
        <f t="shared" ca="1" si="15"/>
        <v/>
      </c>
      <c r="E193" s="79"/>
      <c r="F193" s="80" t="str">
        <f t="shared" si="16"/>
        <v/>
      </c>
      <c r="G193" s="39" t="s">
        <v>133</v>
      </c>
      <c r="H193" s="81"/>
      <c r="I193" s="82" t="str">
        <f>IF(A193="","Pending",IF(H193="","⚠️ Enter Agent Code",IF(IFERROR(VLOOKUP(G193,DB_Agents!$B:$I,8,0),"")=H193,IF(AND(A193&lt;&gt;"",E193&lt;&gt;""),"Saved","Pending"),"🔒 BLOCKED — Wrong Code")))</f>
        <v>Pending</v>
      </c>
      <c r="J193" s="83" t="str">
        <f t="shared" ca="1" si="17"/>
        <v>—</v>
      </c>
      <c r="K193" s="84"/>
    </row>
    <row r="194" spans="1:11" ht="15" customHeight="1" x14ac:dyDescent="0.25">
      <c r="A194" s="85"/>
      <c r="B194" s="41" t="str">
        <f>IF(A194="","",IFERROR(VLOOKUP(A194,DB_Customers!$A:$D,4,0),"❌ Account Not Found"))</f>
        <v/>
      </c>
      <c r="C194" s="86" t="str">
        <f>IF(A194="","",IFERROR(IF(SUMIF(DB_Savings!$C:$C,A194,DB_Savings!$F:$F)=0,VLOOKUP(A194,DB_Customers!$A:$I,9,0),VLOOKUP(A194,DB_Customers!$A:$N,14,0)),"❌ Acct Not Found"))</f>
        <v/>
      </c>
      <c r="D194" s="87" t="str">
        <f t="shared" ca="1" si="15"/>
        <v/>
      </c>
      <c r="E194" s="79"/>
      <c r="F194" s="88" t="str">
        <f t="shared" si="16"/>
        <v/>
      </c>
      <c r="G194" s="43" t="s">
        <v>133</v>
      </c>
      <c r="H194" s="81"/>
      <c r="I194" s="89" t="str">
        <f>IF(A194="","Pending",IF(H194="","⚠️ Enter Agent Code",IF(IFERROR(VLOOKUP(G194,DB_Agents!$B:$I,8,0),"")=H194,IF(AND(A194&lt;&gt;"",E194&lt;&gt;""),"Saved","Pending"),"🔒 BLOCKED — Wrong Code")))</f>
        <v>Pending</v>
      </c>
      <c r="J194" s="90" t="str">
        <f t="shared" ca="1" si="17"/>
        <v>—</v>
      </c>
      <c r="K194" s="91"/>
    </row>
    <row r="195" spans="1:11" ht="15" customHeight="1" x14ac:dyDescent="0.25">
      <c r="A195" s="76"/>
      <c r="B195" s="37" t="str">
        <f>IF(A195="","",IFERROR(VLOOKUP(A195,DB_Customers!$A:$D,4,0),"❌ Account Not Found"))</f>
        <v/>
      </c>
      <c r="C195" s="77" t="str">
        <f>IF(A195="","",IFERROR(IF(SUMIF(DB_Savings!$C:$C,A195,DB_Savings!$F:$F)=0,VLOOKUP(A195,DB_Customers!$A:$I,9,0),VLOOKUP(A195,DB_Customers!$A:$N,14,0)),"❌ Acct Not Found"))</f>
        <v/>
      </c>
      <c r="D195" s="78" t="str">
        <f t="shared" ca="1" si="15"/>
        <v/>
      </c>
      <c r="E195" s="79"/>
      <c r="F195" s="80" t="str">
        <f t="shared" si="16"/>
        <v/>
      </c>
      <c r="G195" s="39" t="s">
        <v>133</v>
      </c>
      <c r="H195" s="81"/>
      <c r="I195" s="82" t="str">
        <f>IF(A195="","Pending",IF(H195="","⚠️ Enter Agent Code",IF(IFERROR(VLOOKUP(G195,DB_Agents!$B:$I,8,0),"")=H195,IF(AND(A195&lt;&gt;"",E195&lt;&gt;""),"Saved","Pending"),"🔒 BLOCKED — Wrong Code")))</f>
        <v>Pending</v>
      </c>
      <c r="J195" s="83" t="str">
        <f t="shared" ca="1" si="17"/>
        <v>—</v>
      </c>
      <c r="K195" s="84"/>
    </row>
    <row r="196" spans="1:11" ht="15" customHeight="1" x14ac:dyDescent="0.25">
      <c r="A196" s="85"/>
      <c r="B196" s="41" t="str">
        <f>IF(A196="","",IFERROR(VLOOKUP(A196,DB_Customers!$A:$D,4,0),"❌ Account Not Found"))</f>
        <v/>
      </c>
      <c r="C196" s="86" t="str">
        <f>IF(A196="","",IFERROR(IF(SUMIF(DB_Savings!$C:$C,A196,DB_Savings!$F:$F)=0,VLOOKUP(A196,DB_Customers!$A:$I,9,0),VLOOKUP(A196,DB_Customers!$A:$N,14,0)),"❌ Acct Not Found"))</f>
        <v/>
      </c>
      <c r="D196" s="87" t="str">
        <f t="shared" ca="1" si="15"/>
        <v/>
      </c>
      <c r="E196" s="79"/>
      <c r="F196" s="88" t="str">
        <f t="shared" si="16"/>
        <v/>
      </c>
      <c r="G196" s="43" t="s">
        <v>133</v>
      </c>
      <c r="H196" s="81"/>
      <c r="I196" s="89" t="str">
        <f>IF(A196="","Pending",IF(H196="","⚠️ Enter Agent Code",IF(IFERROR(VLOOKUP(G196,DB_Agents!$B:$I,8,0),"")=H196,IF(AND(A196&lt;&gt;"",E196&lt;&gt;""),"Saved","Pending"),"🔒 BLOCKED — Wrong Code")))</f>
        <v>Pending</v>
      </c>
      <c r="J196" s="90" t="str">
        <f t="shared" ca="1" si="17"/>
        <v>—</v>
      </c>
      <c r="K196" s="91"/>
    </row>
    <row r="197" spans="1:11" ht="15" customHeight="1" x14ac:dyDescent="0.25">
      <c r="A197" s="76"/>
      <c r="B197" s="37" t="str">
        <f>IF(A197="","",IFERROR(VLOOKUP(A197,DB_Customers!$A:$D,4,0),"❌ Account Not Found"))</f>
        <v/>
      </c>
      <c r="C197" s="77" t="str">
        <f>IF(A197="","",IFERROR(IF(SUMIF(DB_Savings!$C:$C,A197,DB_Savings!$F:$F)=0,VLOOKUP(A197,DB_Customers!$A:$I,9,0),VLOOKUP(A197,DB_Customers!$A:$N,14,0)),"❌ Acct Not Found"))</f>
        <v/>
      </c>
      <c r="D197" s="78" t="str">
        <f t="shared" ca="1" si="15"/>
        <v/>
      </c>
      <c r="E197" s="79"/>
      <c r="F197" s="80" t="str">
        <f t="shared" si="16"/>
        <v/>
      </c>
      <c r="G197" s="39" t="s">
        <v>133</v>
      </c>
      <c r="H197" s="81"/>
      <c r="I197" s="82" t="str">
        <f>IF(A197="","Pending",IF(H197="","⚠️ Enter Agent Code",IF(IFERROR(VLOOKUP(G197,DB_Agents!$B:$I,8,0),"")=H197,IF(AND(A197&lt;&gt;"",E197&lt;&gt;""),"Saved","Pending"),"🔒 BLOCKED — Wrong Code")))</f>
        <v>Pending</v>
      </c>
      <c r="J197" s="83" t="str">
        <f t="shared" ca="1" si="17"/>
        <v>—</v>
      </c>
      <c r="K197" s="84"/>
    </row>
    <row r="198" spans="1:11" ht="15" customHeight="1" x14ac:dyDescent="0.25">
      <c r="A198" s="85"/>
      <c r="B198" s="41" t="str">
        <f>IF(A198="","",IFERROR(VLOOKUP(A198,DB_Customers!$A:$D,4,0),"❌ Account Not Found"))</f>
        <v/>
      </c>
      <c r="C198" s="86" t="str">
        <f>IF(A198="","",IFERROR(IF(SUMIF(DB_Savings!$C:$C,A198,DB_Savings!$F:$F)=0,VLOOKUP(A198,DB_Customers!$A:$I,9,0),VLOOKUP(A198,DB_Customers!$A:$N,14,0)),"❌ Acct Not Found"))</f>
        <v/>
      </c>
      <c r="D198" s="87" t="str">
        <f t="shared" ca="1" si="15"/>
        <v/>
      </c>
      <c r="E198" s="79"/>
      <c r="F198" s="88" t="str">
        <f t="shared" si="16"/>
        <v/>
      </c>
      <c r="G198" s="43" t="s">
        <v>133</v>
      </c>
      <c r="H198" s="81"/>
      <c r="I198" s="89" t="str">
        <f>IF(A198="","Pending",IF(H198="","⚠️ Enter Agent Code",IF(IFERROR(VLOOKUP(G198,DB_Agents!$B:$I,8,0),"")=H198,IF(AND(A198&lt;&gt;"",E198&lt;&gt;""),"Saved","Pending"),"🔒 BLOCKED — Wrong Code")))</f>
        <v>Pending</v>
      </c>
      <c r="J198" s="90" t="str">
        <f t="shared" ca="1" si="17"/>
        <v>—</v>
      </c>
      <c r="K198" s="91"/>
    </row>
    <row r="199" spans="1:11" ht="15" customHeight="1" x14ac:dyDescent="0.25">
      <c r="A199" s="76"/>
      <c r="B199" s="37" t="str">
        <f>IF(A199="","",IFERROR(VLOOKUP(A199,DB_Customers!$A:$D,4,0),"❌ Account Not Found"))</f>
        <v/>
      </c>
      <c r="C199" s="77" t="str">
        <f>IF(A199="","",IFERROR(IF(SUMIF(DB_Savings!$C:$C,A199,DB_Savings!$F:$F)=0,VLOOKUP(A199,DB_Customers!$A:$I,9,0),VLOOKUP(A199,DB_Customers!$A:$N,14,0)),"❌ Acct Not Found"))</f>
        <v/>
      </c>
      <c r="D199" s="78" t="str">
        <f t="shared" ca="1" si="15"/>
        <v/>
      </c>
      <c r="E199" s="79"/>
      <c r="F199" s="80" t="str">
        <f t="shared" si="16"/>
        <v/>
      </c>
      <c r="G199" s="39" t="s">
        <v>133</v>
      </c>
      <c r="H199" s="81"/>
      <c r="I199" s="82" t="str">
        <f>IF(A199="","Pending",IF(H199="","⚠️ Enter Agent Code",IF(IFERROR(VLOOKUP(G199,DB_Agents!$B:$I,8,0),"")=H199,IF(AND(A199&lt;&gt;"",E199&lt;&gt;""),"Saved","Pending"),"🔒 BLOCKED — Wrong Code")))</f>
        <v>Pending</v>
      </c>
      <c r="J199" s="83" t="str">
        <f t="shared" ca="1" si="17"/>
        <v>—</v>
      </c>
      <c r="K199" s="84"/>
    </row>
    <row r="200" spans="1:11" ht="15" customHeight="1" x14ac:dyDescent="0.25">
      <c r="A200" s="85"/>
      <c r="B200" s="41" t="str">
        <f>IF(A200="","",IFERROR(VLOOKUP(A200,DB_Customers!$A:$D,4,0),"❌ Account Not Found"))</f>
        <v/>
      </c>
      <c r="C200" s="86" t="str">
        <f>IF(A200="","",IFERROR(IF(SUMIF(DB_Savings!$C:$C,A200,DB_Savings!$F:$F)=0,VLOOKUP(A200,DB_Customers!$A:$I,9,0),VLOOKUP(A200,DB_Customers!$A:$N,14,0)),"❌ Acct Not Found"))</f>
        <v/>
      </c>
      <c r="D200" s="87" t="str">
        <f t="shared" ca="1" si="15"/>
        <v/>
      </c>
      <c r="E200" s="79"/>
      <c r="F200" s="88" t="str">
        <f t="shared" si="16"/>
        <v/>
      </c>
      <c r="G200" s="43" t="s">
        <v>133</v>
      </c>
      <c r="H200" s="81"/>
      <c r="I200" s="89" t="str">
        <f>IF(A200="","Pending",IF(H200="","⚠️ Enter Agent Code",IF(IFERROR(VLOOKUP(G200,DB_Agents!$B:$I,8,0),"")=H200,IF(AND(A200&lt;&gt;"",E200&lt;&gt;""),"Saved","Pending"),"🔒 BLOCKED — Wrong Code")))</f>
        <v>Pending</v>
      </c>
      <c r="J200" s="90" t="str">
        <f t="shared" ca="1" si="17"/>
        <v>—</v>
      </c>
      <c r="K200" s="91"/>
    </row>
    <row r="201" spans="1:11" ht="15" customHeight="1" x14ac:dyDescent="0.25">
      <c r="A201" s="76"/>
      <c r="B201" s="37" t="str">
        <f>IF(A201="","",IFERROR(VLOOKUP(A201,DB_Customers!$A:$D,4,0),"❌ Account Not Found"))</f>
        <v/>
      </c>
      <c r="C201" s="77" t="str">
        <f>IF(A201="","",IFERROR(IF(SUMIF(DB_Savings!$C:$C,A201,DB_Savings!$F:$F)=0,VLOOKUP(A201,DB_Customers!$A:$I,9,0),VLOOKUP(A201,DB_Customers!$A:$N,14,0)),"❌ Acct Not Found"))</f>
        <v/>
      </c>
      <c r="D201" s="78" t="str">
        <f t="shared" ref="D201:D208" ca="1" si="18">IF(A201="","",TODAY())</f>
        <v/>
      </c>
      <c r="E201" s="79"/>
      <c r="F201" s="80" t="str">
        <f t="shared" ref="F201:F208" si="19">IF(OR(A201="",E201=""),"",IF(C201="","",C201+E201))</f>
        <v/>
      </c>
      <c r="G201" s="39" t="s">
        <v>133</v>
      </c>
      <c r="H201" s="81"/>
      <c r="I201" s="82" t="str">
        <f>IF(A201="","Pending",IF(H201="","⚠️ Enter Agent Code",IF(IFERROR(VLOOKUP(G201,DB_Agents!$B:$I,8,0),"")=H201,IF(AND(A201&lt;&gt;"",E201&lt;&gt;""),"Saved","Pending"),"🔒 BLOCKED — Wrong Code")))</f>
        <v>Pending</v>
      </c>
      <c r="J201" s="83" t="str">
        <f t="shared" ref="J201:J208" ca="1" si="20">IF(I201="Saved",TEXT(TODAY(),"YYYY-MM-DD")&amp;" Auto","—")</f>
        <v>—</v>
      </c>
      <c r="K201" s="84"/>
    </row>
    <row r="202" spans="1:11" ht="15" customHeight="1" x14ac:dyDescent="0.25">
      <c r="A202" s="85"/>
      <c r="B202" s="41" t="str">
        <f>IF(A202="","",IFERROR(VLOOKUP(A202,DB_Customers!$A:$D,4,0),"❌ Account Not Found"))</f>
        <v/>
      </c>
      <c r="C202" s="86" t="str">
        <f>IF(A202="","",IFERROR(IF(SUMIF(DB_Savings!$C:$C,A202,DB_Savings!$F:$F)=0,VLOOKUP(A202,DB_Customers!$A:$I,9,0),VLOOKUP(A202,DB_Customers!$A:$N,14,0)),"❌ Acct Not Found"))</f>
        <v/>
      </c>
      <c r="D202" s="87" t="str">
        <f t="shared" ca="1" si="18"/>
        <v/>
      </c>
      <c r="E202" s="79"/>
      <c r="F202" s="88" t="str">
        <f t="shared" si="19"/>
        <v/>
      </c>
      <c r="G202" s="43" t="s">
        <v>133</v>
      </c>
      <c r="H202" s="81"/>
      <c r="I202" s="89" t="str">
        <f>IF(A202="","Pending",IF(H202="","⚠️ Enter Agent Code",IF(IFERROR(VLOOKUP(G202,DB_Agents!$B:$I,8,0),"")=H202,IF(AND(A202&lt;&gt;"",E202&lt;&gt;""),"Saved","Pending"),"🔒 BLOCKED — Wrong Code")))</f>
        <v>Pending</v>
      </c>
      <c r="J202" s="90" t="str">
        <f t="shared" ca="1" si="20"/>
        <v>—</v>
      </c>
      <c r="K202" s="91"/>
    </row>
    <row r="203" spans="1:11" ht="15" customHeight="1" x14ac:dyDescent="0.25">
      <c r="A203" s="76"/>
      <c r="B203" s="37" t="str">
        <f>IF(A203="","",IFERROR(VLOOKUP(A203,DB_Customers!$A:$D,4,0),"❌ Account Not Found"))</f>
        <v/>
      </c>
      <c r="C203" s="77" t="str">
        <f>IF(A203="","",IFERROR(IF(SUMIF(DB_Savings!$C:$C,A203,DB_Savings!$F:$F)=0,VLOOKUP(A203,DB_Customers!$A:$I,9,0),VLOOKUP(A203,DB_Customers!$A:$N,14,0)),"❌ Acct Not Found"))</f>
        <v/>
      </c>
      <c r="D203" s="78" t="str">
        <f t="shared" ca="1" si="18"/>
        <v/>
      </c>
      <c r="E203" s="79"/>
      <c r="F203" s="80" t="str">
        <f t="shared" si="19"/>
        <v/>
      </c>
      <c r="G203" s="39" t="s">
        <v>133</v>
      </c>
      <c r="H203" s="81"/>
      <c r="I203" s="82" t="str">
        <f>IF(A203="","Pending",IF(H203="","⚠️ Enter Agent Code",IF(IFERROR(VLOOKUP(G203,DB_Agents!$B:$I,8,0),"")=H203,IF(AND(A203&lt;&gt;"",E203&lt;&gt;""),"Saved","Pending"),"🔒 BLOCKED — Wrong Code")))</f>
        <v>Pending</v>
      </c>
      <c r="J203" s="83" t="str">
        <f t="shared" ca="1" si="20"/>
        <v>—</v>
      </c>
      <c r="K203" s="84"/>
    </row>
    <row r="204" spans="1:11" ht="15" customHeight="1" x14ac:dyDescent="0.25">
      <c r="A204" s="85"/>
      <c r="B204" s="41" t="str">
        <f>IF(A204="","",IFERROR(VLOOKUP(A204,DB_Customers!$A:$D,4,0),"❌ Account Not Found"))</f>
        <v/>
      </c>
      <c r="C204" s="86" t="str">
        <f>IF(A204="","",IFERROR(IF(SUMIF(DB_Savings!$C:$C,A204,DB_Savings!$F:$F)=0,VLOOKUP(A204,DB_Customers!$A:$I,9,0),VLOOKUP(A204,DB_Customers!$A:$N,14,0)),"❌ Acct Not Found"))</f>
        <v/>
      </c>
      <c r="D204" s="87" t="str">
        <f t="shared" ca="1" si="18"/>
        <v/>
      </c>
      <c r="E204" s="79"/>
      <c r="F204" s="88" t="str">
        <f t="shared" si="19"/>
        <v/>
      </c>
      <c r="G204" s="43" t="s">
        <v>133</v>
      </c>
      <c r="H204" s="81"/>
      <c r="I204" s="89" t="str">
        <f>IF(A204="","Pending",IF(H204="","⚠️ Enter Agent Code",IF(IFERROR(VLOOKUP(G204,DB_Agents!$B:$I,8,0),"")=H204,IF(AND(A204&lt;&gt;"",E204&lt;&gt;""),"Saved","Pending"),"🔒 BLOCKED — Wrong Code")))</f>
        <v>Pending</v>
      </c>
      <c r="J204" s="90" t="str">
        <f t="shared" ca="1" si="20"/>
        <v>—</v>
      </c>
      <c r="K204" s="91"/>
    </row>
    <row r="205" spans="1:11" ht="15" customHeight="1" x14ac:dyDescent="0.25">
      <c r="A205" s="76"/>
      <c r="B205" s="37" t="str">
        <f>IF(A205="","",IFERROR(VLOOKUP(A205,DB_Customers!$A:$D,4,0),"❌ Account Not Found"))</f>
        <v/>
      </c>
      <c r="C205" s="77" t="str">
        <f>IF(A205="","",IFERROR(IF(SUMIF(DB_Savings!$C:$C,A205,DB_Savings!$F:$F)=0,VLOOKUP(A205,DB_Customers!$A:$I,9,0),VLOOKUP(A205,DB_Customers!$A:$N,14,0)),"❌ Acct Not Found"))</f>
        <v/>
      </c>
      <c r="D205" s="78" t="str">
        <f t="shared" ca="1" si="18"/>
        <v/>
      </c>
      <c r="E205" s="79"/>
      <c r="F205" s="80" t="str">
        <f t="shared" si="19"/>
        <v/>
      </c>
      <c r="G205" s="39" t="s">
        <v>133</v>
      </c>
      <c r="H205" s="81"/>
      <c r="I205" s="82" t="str">
        <f>IF(A205="","Pending",IF(H205="","⚠️ Enter Agent Code",IF(IFERROR(VLOOKUP(G205,DB_Agents!$B:$I,8,0),"")=H205,IF(AND(A205&lt;&gt;"",E205&lt;&gt;""),"Saved","Pending"),"🔒 BLOCKED — Wrong Code")))</f>
        <v>Pending</v>
      </c>
      <c r="J205" s="83" t="str">
        <f t="shared" ca="1" si="20"/>
        <v>—</v>
      </c>
      <c r="K205" s="84"/>
    </row>
    <row r="206" spans="1:11" ht="15" customHeight="1" x14ac:dyDescent="0.25">
      <c r="A206" s="85"/>
      <c r="B206" s="41" t="str">
        <f>IF(A206="","",IFERROR(VLOOKUP(A206,DB_Customers!$A:$D,4,0),"❌ Account Not Found"))</f>
        <v/>
      </c>
      <c r="C206" s="86" t="str">
        <f>IF(A206="","",IFERROR(IF(SUMIF(DB_Savings!$C:$C,A206,DB_Savings!$F:$F)=0,VLOOKUP(A206,DB_Customers!$A:$I,9,0),VLOOKUP(A206,DB_Customers!$A:$N,14,0)),"❌ Acct Not Found"))</f>
        <v/>
      </c>
      <c r="D206" s="87" t="str">
        <f t="shared" ca="1" si="18"/>
        <v/>
      </c>
      <c r="E206" s="79"/>
      <c r="F206" s="88" t="str">
        <f t="shared" si="19"/>
        <v/>
      </c>
      <c r="G206" s="43" t="s">
        <v>133</v>
      </c>
      <c r="H206" s="81"/>
      <c r="I206" s="89" t="str">
        <f>IF(A206="","Pending",IF(H206="","⚠️ Enter Agent Code",IF(IFERROR(VLOOKUP(G206,DB_Agents!$B:$I,8,0),"")=H206,IF(AND(A206&lt;&gt;"",E206&lt;&gt;""),"Saved","Pending"),"🔒 BLOCKED — Wrong Code")))</f>
        <v>Pending</v>
      </c>
      <c r="J206" s="90" t="str">
        <f t="shared" ca="1" si="20"/>
        <v>—</v>
      </c>
      <c r="K206" s="91"/>
    </row>
    <row r="207" spans="1:11" ht="15" customHeight="1" x14ac:dyDescent="0.25">
      <c r="A207" s="76"/>
      <c r="B207" s="37" t="str">
        <f>IF(A207="","",IFERROR(VLOOKUP(A207,DB_Customers!$A:$D,4,0),"❌ Account Not Found"))</f>
        <v/>
      </c>
      <c r="C207" s="77" t="str">
        <f>IF(A207="","",IFERROR(IF(SUMIF(DB_Savings!$C:$C,A207,DB_Savings!$F:$F)=0,VLOOKUP(A207,DB_Customers!$A:$I,9,0),VLOOKUP(A207,DB_Customers!$A:$N,14,0)),"❌ Acct Not Found"))</f>
        <v/>
      </c>
      <c r="D207" s="78" t="str">
        <f t="shared" ca="1" si="18"/>
        <v/>
      </c>
      <c r="E207" s="79"/>
      <c r="F207" s="80" t="str">
        <f t="shared" si="19"/>
        <v/>
      </c>
      <c r="G207" s="39" t="s">
        <v>133</v>
      </c>
      <c r="H207" s="81"/>
      <c r="I207" s="82" t="str">
        <f>IF(A207="","Pending",IF(H207="","⚠️ Enter Agent Code",IF(IFERROR(VLOOKUP(G207,DB_Agents!$B:$I,8,0),"")=H207,IF(AND(A207&lt;&gt;"",E207&lt;&gt;""),"Saved","Pending"),"🔒 BLOCKED — Wrong Code")))</f>
        <v>Pending</v>
      </c>
      <c r="J207" s="83" t="str">
        <f t="shared" ca="1" si="20"/>
        <v>—</v>
      </c>
      <c r="K207" s="84"/>
    </row>
    <row r="208" spans="1:11" ht="15" customHeight="1" x14ac:dyDescent="0.25">
      <c r="A208" s="85"/>
      <c r="B208" s="41" t="str">
        <f>IF(A208="","",IFERROR(VLOOKUP(A208,DB_Customers!$A:$D,4,0),"❌ Account Not Found"))</f>
        <v/>
      </c>
      <c r="C208" s="86" t="str">
        <f>IF(A208="","",IFERROR(IF(SUMIF(DB_Savings!$C:$C,A208,DB_Savings!$F:$F)=0,VLOOKUP(A208,DB_Customers!$A:$I,9,0),VLOOKUP(A208,DB_Customers!$A:$N,14,0)),"❌ Acct Not Found"))</f>
        <v/>
      </c>
      <c r="D208" s="87" t="str">
        <f t="shared" ca="1" si="18"/>
        <v/>
      </c>
      <c r="E208" s="79"/>
      <c r="F208" s="88" t="str">
        <f t="shared" si="19"/>
        <v/>
      </c>
      <c r="G208" s="43" t="s">
        <v>133</v>
      </c>
      <c r="H208" s="81"/>
      <c r="I208" s="89" t="str">
        <f>IF(A208="","Pending",IF(H208="","⚠️ Enter Agent Code",IF(IFERROR(VLOOKUP(G208,DB_Agents!$B:$I,8,0),"")=H208,IF(AND(A208&lt;&gt;"",E208&lt;&gt;""),"Saved","Pending"),"🔒 BLOCKED — Wrong Code")))</f>
        <v>Pending</v>
      </c>
      <c r="J208" s="90" t="str">
        <f t="shared" ca="1" si="20"/>
        <v>—</v>
      </c>
      <c r="K208" s="91"/>
    </row>
  </sheetData>
  <mergeCells count="12">
    <mergeCell ref="A2:L2"/>
    <mergeCell ref="A7:L7"/>
    <mergeCell ref="A1:L1"/>
    <mergeCell ref="A5:L5"/>
    <mergeCell ref="D4:F4"/>
    <mergeCell ref="G4:I4"/>
    <mergeCell ref="A3:C3"/>
    <mergeCell ref="J4:L4"/>
    <mergeCell ref="D3:F3"/>
    <mergeCell ref="G3:I3"/>
    <mergeCell ref="A4:C4"/>
    <mergeCell ref="J3:L3"/>
  </mergeCells>
  <conditionalFormatting sqref="H9:H208">
    <cfRule type="cellIs" dxfId="102" priority="2" operator="equal">
      <formula>"Saved"</formula>
    </cfRule>
    <cfRule type="cellIs" dxfId="101" priority="3" operator="equal">
      <formula>"Pending"</formula>
    </cfRule>
  </conditionalFormatting>
  <conditionalFormatting sqref="A9:J208">
    <cfRule type="expression" dxfId="100" priority="4">
      <formula>$H9="Saved"</formula>
    </cfRule>
  </conditionalFormatting>
  <dataValidations count="2">
    <dataValidation type="list" sqref="G9:G208" xr:uid="{00000000-0002-0000-0900-000000000000}">
      <formula1>"Agent 01,Agent 02,Agent 03,Agent 04,Agent 05,Agent 06,Agent 07,Agent 08,Agent 09,Agent 10"</formula1>
      <formula2>0</formula2>
    </dataValidation>
    <dataValidation type="decimal" operator="greaterThan" showErrorMessage="1" error="Must be &gt; 0" sqref="E9:E208" xr:uid="{00000000-0002-0000-0900-000001000000}">
      <formula1>0</formula1>
      <formula2>0</formula2>
    </dataValidation>
  </dataValidation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C0392B"/>
  </sheetPr>
  <dimension ref="A1:M208"/>
  <sheetViews>
    <sheetView topLeftCell="B1" zoomScaleNormal="100" workbookViewId="0">
      <pane ySplit="8" topLeftCell="A9" activePane="bottomLeft" state="frozen"/>
      <selection activeCell="B1" sqref="B1"/>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67" t="s">
        <v>322</v>
      </c>
      <c r="B1" s="265"/>
      <c r="C1" s="265"/>
      <c r="D1" s="265"/>
      <c r="E1" s="265"/>
      <c r="F1" s="265"/>
      <c r="G1" s="265"/>
      <c r="H1" s="265"/>
      <c r="I1" s="265"/>
      <c r="J1" s="265"/>
      <c r="K1" s="265"/>
      <c r="L1" s="265"/>
      <c r="M1" s="265"/>
    </row>
    <row r="2" spans="1:13" ht="19.5" customHeight="1" x14ac:dyDescent="0.25">
      <c r="A2" s="366" t="s">
        <v>323</v>
      </c>
      <c r="B2" s="265"/>
      <c r="C2" s="265"/>
      <c r="D2" s="265"/>
      <c r="E2" s="265"/>
      <c r="F2" s="265"/>
      <c r="G2" s="265"/>
      <c r="H2" s="265"/>
      <c r="I2" s="265"/>
      <c r="J2" s="265"/>
      <c r="K2" s="265"/>
      <c r="L2" s="265"/>
      <c r="M2" s="265"/>
    </row>
    <row r="3" spans="1:13" ht="18" customHeight="1" x14ac:dyDescent="0.25">
      <c r="A3" s="328" t="s">
        <v>324</v>
      </c>
      <c r="B3" s="265"/>
      <c r="C3" s="265"/>
      <c r="D3" s="323" t="s">
        <v>325</v>
      </c>
      <c r="E3" s="265"/>
      <c r="F3" s="265"/>
      <c r="G3" s="35" t="s">
        <v>326</v>
      </c>
      <c r="K3" s="66" t="s">
        <v>313</v>
      </c>
    </row>
    <row r="4" spans="1:13" ht="27.75" customHeight="1" x14ac:dyDescent="0.25">
      <c r="A4" s="365">
        <f ca="1">SUMIFS(DB_Withdrawals!$G:$G,DB_Withdrawals!$J:$J,"Agent 01",DB_Withdrawals!$F:$F,TODAY())</f>
        <v>0</v>
      </c>
      <c r="B4" s="265"/>
      <c r="C4" s="265"/>
      <c r="D4" s="369">
        <f ca="1">COUNTIFS(DB_Withdrawals!$J:$J,"Agent 01",DB_Withdrawals!$K:$K,"Successful",DB_Withdrawals!$F:$F,TODAY())</f>
        <v>0</v>
      </c>
      <c r="E4" s="265"/>
      <c r="F4" s="265"/>
      <c r="G4" s="92">
        <f ca="1">COUNTIFS(DB_Withdrawals!$J:$J,"Agent 01",DB_Withdrawals!$K:$K,"Unsuccessful",DB_Withdrawals!$F:$F,TODAY())</f>
        <v>0</v>
      </c>
      <c r="K4" s="74" t="str">
        <f ca="1">TEXT(TODAY(),"DD MMM YYYY")</f>
        <v>24 Apr 2026</v>
      </c>
    </row>
    <row r="5" spans="1:13" ht="19.5" customHeight="1" x14ac:dyDescent="0.25">
      <c r="A5" s="368" t="s">
        <v>327</v>
      </c>
      <c r="B5" s="265"/>
      <c r="C5" s="265"/>
      <c r="D5" s="265"/>
      <c r="E5" s="265"/>
      <c r="F5" s="265"/>
      <c r="G5" s="265"/>
      <c r="H5" s="265"/>
      <c r="I5" s="265"/>
      <c r="J5" s="265"/>
      <c r="K5" s="265"/>
      <c r="L5" s="265"/>
      <c r="M5" s="265"/>
    </row>
    <row r="6" spans="1:13" ht="7.5" customHeight="1" x14ac:dyDescent="0.25"/>
    <row r="7" spans="1:13" ht="19.5" customHeight="1" x14ac:dyDescent="0.25">
      <c r="A7" s="364" t="s">
        <v>328</v>
      </c>
      <c r="B7" s="265"/>
      <c r="C7" s="265"/>
      <c r="D7" s="265"/>
      <c r="E7" s="265"/>
      <c r="F7" s="265"/>
      <c r="G7" s="265"/>
      <c r="H7" s="265"/>
      <c r="I7" s="265"/>
      <c r="J7" s="265"/>
      <c r="K7" s="265"/>
      <c r="L7" s="265"/>
      <c r="M7" s="265"/>
    </row>
    <row r="8" spans="1:13" ht="19.5" customHeight="1" x14ac:dyDescent="0.25">
      <c r="A8" s="93" t="s">
        <v>315</v>
      </c>
      <c r="B8" s="93" t="s">
        <v>77</v>
      </c>
      <c r="C8" s="93" t="s">
        <v>329</v>
      </c>
      <c r="D8" s="93" t="s">
        <v>78</v>
      </c>
      <c r="E8" s="93" t="s">
        <v>330</v>
      </c>
      <c r="F8" s="93" t="s">
        <v>331</v>
      </c>
      <c r="G8" s="93" t="s">
        <v>318</v>
      </c>
      <c r="H8" s="93" t="s">
        <v>14</v>
      </c>
      <c r="I8" s="75" t="s">
        <v>319</v>
      </c>
      <c r="J8" s="93" t="s">
        <v>13</v>
      </c>
      <c r="K8" s="93" t="s">
        <v>320</v>
      </c>
      <c r="L8" s="93" t="s">
        <v>321</v>
      </c>
    </row>
    <row r="9" spans="1:13" ht="15" customHeight="1" x14ac:dyDescent="0.25">
      <c r="A9" s="76"/>
      <c r="B9" s="37" t="str">
        <f>IF(A9="","",IFERROR(VLOOKUP(A9,DB_Customers!$A:$D,4,0),"❌ Account Not Found"))</f>
        <v/>
      </c>
      <c r="C9" s="77" t="str">
        <f>IF(A9="","",IFERROR(VLOOKUP(A9,DB_Customers!$A:$N,14,0),"❌ Acct Not Found"))</f>
        <v/>
      </c>
      <c r="D9" s="78" t="str">
        <f t="shared" ref="D9:D40" ca="1" si="0">IF(A9="","",TODAY())</f>
        <v/>
      </c>
      <c r="E9" s="94"/>
      <c r="F9" s="37"/>
      <c r="G9" s="95" t="str">
        <f t="shared" ref="G9:G40" si="1">IF(OR(A9="",E9=""),"",IF(C9="","",C9-E9))</f>
        <v/>
      </c>
      <c r="H9" s="39" t="s">
        <v>133</v>
      </c>
      <c r="I9" s="81"/>
      <c r="J9" s="82" t="str">
        <f>IF(AND(A9&lt;&gt;"",E9&lt;&gt;""),IF(I9="","⚠️ Enter Code",IF(IFERROR(VLOOKUP(H9,DB_Agents!$B:$I,8,0),"")=I9,IF(C9&gt;=E9,"Successful","Unsuccessful"),"🔒 BLOCKED — Wrong Code")),"Pending")</f>
        <v>Pending</v>
      </c>
      <c r="K9" s="83" t="str">
        <f t="shared" ref="K9:K40" ca="1" si="2">IF(J9="Successful",TEXT(TODAY(),"YYYY-MM-DD")&amp;" Auto","—")</f>
        <v>—</v>
      </c>
      <c r="L9" s="84"/>
    </row>
    <row r="10" spans="1:13" ht="15" customHeight="1" x14ac:dyDescent="0.25">
      <c r="A10" s="85"/>
      <c r="B10" s="41" t="str">
        <f>IF(A10="","",IFERROR(VLOOKUP(A10,DB_Customers!$A:$D,4,0),"❌ Account Not Found"))</f>
        <v/>
      </c>
      <c r="C10" s="86" t="str">
        <f>IF(A10="","",IFERROR(VLOOKUP(A10,DB_Customers!$A:$N,14,0),"❌ Acct Not Found"))</f>
        <v/>
      </c>
      <c r="D10" s="87" t="str">
        <f t="shared" ca="1" si="0"/>
        <v/>
      </c>
      <c r="E10" s="94"/>
      <c r="F10" s="41"/>
      <c r="G10" s="96" t="str">
        <f t="shared" si="1"/>
        <v/>
      </c>
      <c r="H10" s="43" t="s">
        <v>133</v>
      </c>
      <c r="I10" s="81"/>
      <c r="J10" s="89" t="str">
        <f>IF(AND(A10&lt;&gt;"",E10&lt;&gt;""),IF(I10="","⚠️ Enter Code",IF(IFERROR(VLOOKUP(H10,DB_Agents!$B:$I,8,0),"")=I10,IF(C10&gt;=E10,"Successful","Unsuccessful"),"🔒 BLOCKED — Wrong Code")),"Pending")</f>
        <v>Pending</v>
      </c>
      <c r="K10" s="90" t="str">
        <f t="shared" ca="1" si="2"/>
        <v>—</v>
      </c>
      <c r="L10" s="91"/>
    </row>
    <row r="11" spans="1:13" ht="15" customHeight="1" x14ac:dyDescent="0.25">
      <c r="A11" s="76"/>
      <c r="B11" s="37" t="str">
        <f>IF(A11="","",IFERROR(VLOOKUP(A11,DB_Customers!$A:$D,4,0),"❌ Account Not Found"))</f>
        <v/>
      </c>
      <c r="C11" s="77" t="str">
        <f>IF(A11="","",IFERROR(VLOOKUP(A11,DB_Customers!$A:$N,14,0),"❌ Acct Not Found"))</f>
        <v/>
      </c>
      <c r="D11" s="78" t="str">
        <f t="shared" ca="1" si="0"/>
        <v/>
      </c>
      <c r="E11" s="94"/>
      <c r="F11" s="37"/>
      <c r="G11" s="95" t="str">
        <f t="shared" si="1"/>
        <v/>
      </c>
      <c r="H11" s="39" t="s">
        <v>133</v>
      </c>
      <c r="I11" s="81"/>
      <c r="J11" s="82" t="str">
        <f>IF(AND(A11&lt;&gt;"",E11&lt;&gt;""),IF(I11="","⚠️ Enter Code",IF(IFERROR(VLOOKUP(H11,DB_Agents!$B:$I,8,0),"")=I11,IF(C11&gt;=E11,"Successful","Unsuccessful"),"🔒 BLOCKED — Wrong Code")),"Pending")</f>
        <v>Pending</v>
      </c>
      <c r="K11" s="83" t="str">
        <f t="shared" ca="1" si="2"/>
        <v>—</v>
      </c>
      <c r="L11" s="84"/>
    </row>
    <row r="12" spans="1:13" ht="15" customHeight="1" x14ac:dyDescent="0.25">
      <c r="A12" s="85"/>
      <c r="B12" s="41" t="str">
        <f>IF(A12="","",IFERROR(VLOOKUP(A12,DB_Customers!$A:$D,4,0),"❌ Account Not Found"))</f>
        <v/>
      </c>
      <c r="C12" s="86" t="str">
        <f>IF(A12="","",IFERROR(VLOOKUP(A12,DB_Customers!$A:$N,14,0),"❌ Acct Not Found"))</f>
        <v/>
      </c>
      <c r="D12" s="87" t="str">
        <f t="shared" ca="1" si="0"/>
        <v/>
      </c>
      <c r="E12" s="94"/>
      <c r="F12" s="41"/>
      <c r="G12" s="96" t="str">
        <f t="shared" si="1"/>
        <v/>
      </c>
      <c r="H12" s="43" t="s">
        <v>133</v>
      </c>
      <c r="I12" s="81"/>
      <c r="J12" s="89" t="str">
        <f>IF(AND(A12&lt;&gt;"",E12&lt;&gt;""),IF(I12="","⚠️ Enter Code",IF(IFERROR(VLOOKUP(H12,DB_Agents!$B:$I,8,0),"")=I12,IF(C12&gt;=E12,"Successful","Unsuccessful"),"🔒 BLOCKED — Wrong Code")),"Pending")</f>
        <v>Pending</v>
      </c>
      <c r="K12" s="90" t="str">
        <f t="shared" ca="1" si="2"/>
        <v>—</v>
      </c>
      <c r="L12" s="91"/>
    </row>
    <row r="13" spans="1:13" ht="15" customHeight="1" x14ac:dyDescent="0.25">
      <c r="A13" s="76"/>
      <c r="B13" s="37" t="str">
        <f>IF(A13="","",IFERROR(VLOOKUP(A13,DB_Customers!$A:$D,4,0),"❌ Account Not Found"))</f>
        <v/>
      </c>
      <c r="C13" s="77" t="str">
        <f>IF(A13="","",IFERROR(VLOOKUP(A13,DB_Customers!$A:$N,14,0),"❌ Acct Not Found"))</f>
        <v/>
      </c>
      <c r="D13" s="78" t="str">
        <f t="shared" ca="1" si="0"/>
        <v/>
      </c>
      <c r="E13" s="94"/>
      <c r="F13" s="37"/>
      <c r="G13" s="95" t="str">
        <f t="shared" si="1"/>
        <v/>
      </c>
      <c r="H13" s="39" t="s">
        <v>133</v>
      </c>
      <c r="I13" s="81"/>
      <c r="J13" s="82" t="str">
        <f>IF(AND(A13&lt;&gt;"",E13&lt;&gt;""),IF(I13="","⚠️ Enter Code",IF(IFERROR(VLOOKUP(H13,DB_Agents!$B:$I,8,0),"")=I13,IF(C13&gt;=E13,"Successful","Unsuccessful"),"🔒 BLOCKED — Wrong Code")),"Pending")</f>
        <v>Pending</v>
      </c>
      <c r="K13" s="83" t="str">
        <f t="shared" ca="1" si="2"/>
        <v>—</v>
      </c>
      <c r="L13" s="84"/>
    </row>
    <row r="14" spans="1:13" ht="15" customHeight="1" x14ac:dyDescent="0.25">
      <c r="A14" s="85"/>
      <c r="B14" s="41" t="str">
        <f>IF(A14="","",IFERROR(VLOOKUP(A14,DB_Customers!$A:$D,4,0),"❌ Account Not Found"))</f>
        <v/>
      </c>
      <c r="C14" s="86" t="str">
        <f>IF(A14="","",IFERROR(VLOOKUP(A14,DB_Customers!$A:$N,14,0),"❌ Acct Not Found"))</f>
        <v/>
      </c>
      <c r="D14" s="87" t="str">
        <f t="shared" ca="1" si="0"/>
        <v/>
      </c>
      <c r="E14" s="94"/>
      <c r="F14" s="41"/>
      <c r="G14" s="96" t="str">
        <f t="shared" si="1"/>
        <v/>
      </c>
      <c r="H14" s="43" t="s">
        <v>133</v>
      </c>
      <c r="I14" s="81"/>
      <c r="J14" s="89" t="str">
        <f>IF(AND(A14&lt;&gt;"",E14&lt;&gt;""),IF(I14="","⚠️ Enter Code",IF(IFERROR(VLOOKUP(H14,DB_Agents!$B:$I,8,0),"")=I14,IF(C14&gt;=E14,"Successful","Unsuccessful"),"🔒 BLOCKED — Wrong Code")),"Pending")</f>
        <v>Pending</v>
      </c>
      <c r="K14" s="90" t="str">
        <f t="shared" ca="1" si="2"/>
        <v>—</v>
      </c>
      <c r="L14" s="91"/>
    </row>
    <row r="15" spans="1:13" ht="15" customHeight="1" x14ac:dyDescent="0.25">
      <c r="A15" s="76"/>
      <c r="B15" s="37" t="str">
        <f>IF(A15="","",IFERROR(VLOOKUP(A15,DB_Customers!$A:$D,4,0),"❌ Account Not Found"))</f>
        <v/>
      </c>
      <c r="C15" s="77" t="str">
        <f>IF(A15="","",IFERROR(VLOOKUP(A15,DB_Customers!$A:$N,14,0),"❌ Acct Not Found"))</f>
        <v/>
      </c>
      <c r="D15" s="78" t="str">
        <f t="shared" ca="1" si="0"/>
        <v/>
      </c>
      <c r="E15" s="94"/>
      <c r="F15" s="37"/>
      <c r="G15" s="95" t="str">
        <f t="shared" si="1"/>
        <v/>
      </c>
      <c r="H15" s="39" t="s">
        <v>133</v>
      </c>
      <c r="I15" s="81"/>
      <c r="J15" s="82" t="str">
        <f>IF(AND(A15&lt;&gt;"",E15&lt;&gt;""),IF(I15="","⚠️ Enter Code",IF(IFERROR(VLOOKUP(H15,DB_Agents!$B:$I,8,0),"")=I15,IF(C15&gt;=E15,"Successful","Unsuccessful"),"🔒 BLOCKED — Wrong Code")),"Pending")</f>
        <v>Pending</v>
      </c>
      <c r="K15" s="83" t="str">
        <f t="shared" ca="1" si="2"/>
        <v>—</v>
      </c>
      <c r="L15" s="84"/>
    </row>
    <row r="16" spans="1:13" ht="15" customHeight="1" x14ac:dyDescent="0.25">
      <c r="A16" s="85"/>
      <c r="B16" s="41" t="str">
        <f>IF(A16="","",IFERROR(VLOOKUP(A16,DB_Customers!$A:$D,4,0),"❌ Account Not Found"))</f>
        <v/>
      </c>
      <c r="C16" s="86" t="str">
        <f>IF(A16="","",IFERROR(VLOOKUP(A16,DB_Customers!$A:$N,14,0),"❌ Acct Not Found"))</f>
        <v/>
      </c>
      <c r="D16" s="87" t="str">
        <f t="shared" ca="1" si="0"/>
        <v/>
      </c>
      <c r="E16" s="94"/>
      <c r="F16" s="41"/>
      <c r="G16" s="96" t="str">
        <f t="shared" si="1"/>
        <v/>
      </c>
      <c r="H16" s="43" t="s">
        <v>133</v>
      </c>
      <c r="I16" s="81"/>
      <c r="J16" s="89" t="str">
        <f>IF(AND(A16&lt;&gt;"",E16&lt;&gt;""),IF(I16="","⚠️ Enter Code",IF(IFERROR(VLOOKUP(H16,DB_Agents!$B:$I,8,0),"")=I16,IF(C16&gt;=E16,"Successful","Unsuccessful"),"🔒 BLOCKED — Wrong Code")),"Pending")</f>
        <v>Pending</v>
      </c>
      <c r="K16" s="90" t="str">
        <f t="shared" ca="1" si="2"/>
        <v>—</v>
      </c>
      <c r="L16" s="91"/>
    </row>
    <row r="17" spans="1:12" ht="15" customHeight="1" x14ac:dyDescent="0.25">
      <c r="A17" s="76"/>
      <c r="B17" s="37" t="str">
        <f>IF(A17="","",IFERROR(VLOOKUP(A17,DB_Customers!$A:$D,4,0),"❌ Account Not Found"))</f>
        <v/>
      </c>
      <c r="C17" s="77" t="str">
        <f>IF(A17="","",IFERROR(VLOOKUP(A17,DB_Customers!$A:$N,14,0),"❌ Acct Not Found"))</f>
        <v/>
      </c>
      <c r="D17" s="78" t="str">
        <f t="shared" ca="1" si="0"/>
        <v/>
      </c>
      <c r="E17" s="94"/>
      <c r="F17" s="37"/>
      <c r="G17" s="95" t="str">
        <f t="shared" si="1"/>
        <v/>
      </c>
      <c r="H17" s="39" t="s">
        <v>133</v>
      </c>
      <c r="I17" s="81"/>
      <c r="J17" s="82" t="str">
        <f>IF(AND(A17&lt;&gt;"",E17&lt;&gt;""),IF(I17="","⚠️ Enter Code",IF(IFERROR(VLOOKUP(H17,DB_Agents!$B:$I,8,0),"")=I17,IF(C17&gt;=E17,"Successful","Unsuccessful"),"🔒 BLOCKED — Wrong Code")),"Pending")</f>
        <v>Pending</v>
      </c>
      <c r="K17" s="83" t="str">
        <f t="shared" ca="1" si="2"/>
        <v>—</v>
      </c>
      <c r="L17" s="84"/>
    </row>
    <row r="18" spans="1:12" ht="15" customHeight="1" x14ac:dyDescent="0.25">
      <c r="A18" s="85"/>
      <c r="B18" s="41" t="str">
        <f>IF(A18="","",IFERROR(VLOOKUP(A18,DB_Customers!$A:$D,4,0),"❌ Account Not Found"))</f>
        <v/>
      </c>
      <c r="C18" s="86" t="str">
        <f>IF(A18="","",IFERROR(VLOOKUP(A18,DB_Customers!$A:$N,14,0),"❌ Acct Not Found"))</f>
        <v/>
      </c>
      <c r="D18" s="87" t="str">
        <f t="shared" ca="1" si="0"/>
        <v/>
      </c>
      <c r="E18" s="94"/>
      <c r="F18" s="41"/>
      <c r="G18" s="96" t="str">
        <f t="shared" si="1"/>
        <v/>
      </c>
      <c r="H18" s="43" t="s">
        <v>133</v>
      </c>
      <c r="I18" s="81"/>
      <c r="J18" s="89" t="str">
        <f>IF(AND(A18&lt;&gt;"",E18&lt;&gt;""),IF(I18="","⚠️ Enter Code",IF(IFERROR(VLOOKUP(H18,DB_Agents!$B:$I,8,0),"")=I18,IF(C18&gt;=E18,"Successful","Unsuccessful"),"🔒 BLOCKED — Wrong Code")),"Pending")</f>
        <v>Pending</v>
      </c>
      <c r="K18" s="90" t="str">
        <f t="shared" ca="1" si="2"/>
        <v>—</v>
      </c>
      <c r="L18" s="91"/>
    </row>
    <row r="19" spans="1:12" ht="15" customHeight="1" x14ac:dyDescent="0.25">
      <c r="A19" s="76"/>
      <c r="B19" s="37" t="str">
        <f>IF(A19="","",IFERROR(VLOOKUP(A19,DB_Customers!$A:$D,4,0),"❌ Account Not Found"))</f>
        <v/>
      </c>
      <c r="C19" s="77" t="str">
        <f>IF(A19="","",IFERROR(VLOOKUP(A19,DB_Customers!$A:$N,14,0),"❌ Acct Not Found"))</f>
        <v/>
      </c>
      <c r="D19" s="78" t="str">
        <f t="shared" ca="1" si="0"/>
        <v/>
      </c>
      <c r="E19" s="94"/>
      <c r="F19" s="37"/>
      <c r="G19" s="95" t="str">
        <f t="shared" si="1"/>
        <v/>
      </c>
      <c r="H19" s="39" t="s">
        <v>133</v>
      </c>
      <c r="I19" s="81"/>
      <c r="J19" s="82" t="str">
        <f>IF(AND(A19&lt;&gt;"",E19&lt;&gt;""),IF(I19="","⚠️ Enter Code",IF(IFERROR(VLOOKUP(H19,DB_Agents!$B:$I,8,0),"")=I19,IF(C19&gt;=E19,"Successful","Unsuccessful"),"🔒 BLOCKED — Wrong Code")),"Pending")</f>
        <v>Pending</v>
      </c>
      <c r="K19" s="83" t="str">
        <f t="shared" ca="1" si="2"/>
        <v>—</v>
      </c>
      <c r="L19" s="84"/>
    </row>
    <row r="20" spans="1:12" ht="15" customHeight="1" x14ac:dyDescent="0.25">
      <c r="A20" s="85"/>
      <c r="B20" s="41" t="str">
        <f>IF(A20="","",IFERROR(VLOOKUP(A20,DB_Customers!$A:$D,4,0),"❌ Account Not Found"))</f>
        <v/>
      </c>
      <c r="C20" s="86" t="str">
        <f>IF(A20="","",IFERROR(VLOOKUP(A20,DB_Customers!$A:$N,14,0),"❌ Acct Not Found"))</f>
        <v/>
      </c>
      <c r="D20" s="87" t="str">
        <f t="shared" ca="1" si="0"/>
        <v/>
      </c>
      <c r="E20" s="94"/>
      <c r="F20" s="41"/>
      <c r="G20" s="96" t="str">
        <f t="shared" si="1"/>
        <v/>
      </c>
      <c r="H20" s="43" t="s">
        <v>133</v>
      </c>
      <c r="I20" s="81"/>
      <c r="J20" s="89" t="str">
        <f>IF(AND(A20&lt;&gt;"",E20&lt;&gt;""),IF(I20="","⚠️ Enter Code",IF(IFERROR(VLOOKUP(H20,DB_Agents!$B:$I,8,0),"")=I20,IF(C20&gt;=E20,"Successful","Unsuccessful"),"🔒 BLOCKED — Wrong Code")),"Pending")</f>
        <v>Pending</v>
      </c>
      <c r="K20" s="90" t="str">
        <f t="shared" ca="1" si="2"/>
        <v>—</v>
      </c>
      <c r="L20" s="91"/>
    </row>
    <row r="21" spans="1:12" ht="15" customHeight="1" x14ac:dyDescent="0.25">
      <c r="A21" s="76"/>
      <c r="B21" s="37" t="str">
        <f>IF(A21="","",IFERROR(VLOOKUP(A21,DB_Customers!$A:$D,4,0),"❌ Account Not Found"))</f>
        <v/>
      </c>
      <c r="C21" s="77" t="str">
        <f>IF(A21="","",IFERROR(VLOOKUP(A21,DB_Customers!$A:$N,14,0),"❌ Acct Not Found"))</f>
        <v/>
      </c>
      <c r="D21" s="78" t="str">
        <f t="shared" ca="1" si="0"/>
        <v/>
      </c>
      <c r="E21" s="94"/>
      <c r="F21" s="37"/>
      <c r="G21" s="95" t="str">
        <f t="shared" si="1"/>
        <v/>
      </c>
      <c r="H21" s="39" t="s">
        <v>133</v>
      </c>
      <c r="I21" s="81"/>
      <c r="J21" s="82" t="str">
        <f>IF(AND(A21&lt;&gt;"",E21&lt;&gt;""),IF(I21="","⚠️ Enter Code",IF(IFERROR(VLOOKUP(H21,DB_Agents!$B:$I,8,0),"")=I21,IF(C21&gt;=E21,"Successful","Unsuccessful"),"🔒 BLOCKED — Wrong Code")),"Pending")</f>
        <v>Pending</v>
      </c>
      <c r="K21" s="83" t="str">
        <f t="shared" ca="1" si="2"/>
        <v>—</v>
      </c>
      <c r="L21" s="84"/>
    </row>
    <row r="22" spans="1:12" ht="15" customHeight="1" x14ac:dyDescent="0.25">
      <c r="A22" s="85"/>
      <c r="B22" s="41" t="str">
        <f>IF(A22="","",IFERROR(VLOOKUP(A22,DB_Customers!$A:$D,4,0),"❌ Account Not Found"))</f>
        <v/>
      </c>
      <c r="C22" s="86" t="str">
        <f>IF(A22="","",IFERROR(VLOOKUP(A22,DB_Customers!$A:$N,14,0),"❌ Acct Not Found"))</f>
        <v/>
      </c>
      <c r="D22" s="87" t="str">
        <f t="shared" ca="1" si="0"/>
        <v/>
      </c>
      <c r="E22" s="94"/>
      <c r="F22" s="41"/>
      <c r="G22" s="96" t="str">
        <f t="shared" si="1"/>
        <v/>
      </c>
      <c r="H22" s="43" t="s">
        <v>133</v>
      </c>
      <c r="I22" s="81"/>
      <c r="J22" s="89" t="str">
        <f>IF(AND(A22&lt;&gt;"",E22&lt;&gt;""),IF(I22="","⚠️ Enter Code",IF(IFERROR(VLOOKUP(H22,DB_Agents!$B:$I,8,0),"")=I22,IF(C22&gt;=E22,"Successful","Unsuccessful"),"🔒 BLOCKED — Wrong Code")),"Pending")</f>
        <v>Pending</v>
      </c>
      <c r="K22" s="90" t="str">
        <f t="shared" ca="1" si="2"/>
        <v>—</v>
      </c>
      <c r="L22" s="91"/>
    </row>
    <row r="23" spans="1:12" ht="15" customHeight="1" x14ac:dyDescent="0.25">
      <c r="A23" s="76"/>
      <c r="B23" s="37" t="str">
        <f>IF(A23="","",IFERROR(VLOOKUP(A23,DB_Customers!$A:$D,4,0),"❌ Account Not Found"))</f>
        <v/>
      </c>
      <c r="C23" s="77" t="str">
        <f>IF(A23="","",IFERROR(VLOOKUP(A23,DB_Customers!$A:$N,14,0),"❌ Acct Not Found"))</f>
        <v/>
      </c>
      <c r="D23" s="78" t="str">
        <f t="shared" ca="1" si="0"/>
        <v/>
      </c>
      <c r="E23" s="94"/>
      <c r="F23" s="37"/>
      <c r="G23" s="95" t="str">
        <f t="shared" si="1"/>
        <v/>
      </c>
      <c r="H23" s="39" t="s">
        <v>133</v>
      </c>
      <c r="I23" s="81"/>
      <c r="J23" s="82" t="str">
        <f>IF(AND(A23&lt;&gt;"",E23&lt;&gt;""),IF(I23="","⚠️ Enter Code",IF(IFERROR(VLOOKUP(H23,DB_Agents!$B:$I,8,0),"")=I23,IF(C23&gt;=E23,"Successful","Unsuccessful"),"🔒 BLOCKED — Wrong Code")),"Pending")</f>
        <v>Pending</v>
      </c>
      <c r="K23" s="83" t="str">
        <f t="shared" ca="1" si="2"/>
        <v>—</v>
      </c>
      <c r="L23" s="84"/>
    </row>
    <row r="24" spans="1:12" ht="15" customHeight="1" x14ac:dyDescent="0.25">
      <c r="A24" s="85"/>
      <c r="B24" s="41" t="str">
        <f>IF(A24="","",IFERROR(VLOOKUP(A24,DB_Customers!$A:$D,4,0),"❌ Account Not Found"))</f>
        <v/>
      </c>
      <c r="C24" s="86" t="str">
        <f>IF(A24="","",IFERROR(VLOOKUP(A24,DB_Customers!$A:$N,14,0),"❌ Acct Not Found"))</f>
        <v/>
      </c>
      <c r="D24" s="87" t="str">
        <f t="shared" ca="1" si="0"/>
        <v/>
      </c>
      <c r="E24" s="94"/>
      <c r="F24" s="41"/>
      <c r="G24" s="96" t="str">
        <f t="shared" si="1"/>
        <v/>
      </c>
      <c r="H24" s="43" t="s">
        <v>133</v>
      </c>
      <c r="I24" s="81"/>
      <c r="J24" s="89" t="str">
        <f>IF(AND(A24&lt;&gt;"",E24&lt;&gt;""),IF(I24="","⚠️ Enter Code",IF(IFERROR(VLOOKUP(H24,DB_Agents!$B:$I,8,0),"")=I24,IF(C24&gt;=E24,"Successful","Unsuccessful"),"🔒 BLOCKED — Wrong Code")),"Pending")</f>
        <v>Pending</v>
      </c>
      <c r="K24" s="90" t="str">
        <f t="shared" ca="1" si="2"/>
        <v>—</v>
      </c>
      <c r="L24" s="91"/>
    </row>
    <row r="25" spans="1:12" ht="15" customHeight="1" x14ac:dyDescent="0.25">
      <c r="A25" s="76"/>
      <c r="B25" s="37" t="str">
        <f>IF(A25="","",IFERROR(VLOOKUP(A25,DB_Customers!$A:$D,4,0),"❌ Account Not Found"))</f>
        <v/>
      </c>
      <c r="C25" s="77" t="str">
        <f>IF(A25="","",IFERROR(VLOOKUP(A25,DB_Customers!$A:$N,14,0),"❌ Acct Not Found"))</f>
        <v/>
      </c>
      <c r="D25" s="78" t="str">
        <f t="shared" ca="1" si="0"/>
        <v/>
      </c>
      <c r="E25" s="94"/>
      <c r="F25" s="37"/>
      <c r="G25" s="95" t="str">
        <f t="shared" si="1"/>
        <v/>
      </c>
      <c r="H25" s="39" t="s">
        <v>133</v>
      </c>
      <c r="I25" s="81"/>
      <c r="J25" s="82" t="str">
        <f>IF(AND(A25&lt;&gt;"",E25&lt;&gt;""),IF(I25="","⚠️ Enter Code",IF(IFERROR(VLOOKUP(H25,DB_Agents!$B:$I,8,0),"")=I25,IF(C25&gt;=E25,"Successful","Unsuccessful"),"🔒 BLOCKED — Wrong Code")),"Pending")</f>
        <v>Pending</v>
      </c>
      <c r="K25" s="83" t="str">
        <f t="shared" ca="1" si="2"/>
        <v>—</v>
      </c>
      <c r="L25" s="84"/>
    </row>
    <row r="26" spans="1:12" ht="15" customHeight="1" x14ac:dyDescent="0.25">
      <c r="A26" s="85"/>
      <c r="B26" s="41" t="str">
        <f>IF(A26="","",IFERROR(VLOOKUP(A26,DB_Customers!$A:$D,4,0),"❌ Account Not Found"))</f>
        <v/>
      </c>
      <c r="C26" s="86" t="str">
        <f>IF(A26="","",IFERROR(VLOOKUP(A26,DB_Customers!$A:$N,14,0),"❌ Acct Not Found"))</f>
        <v/>
      </c>
      <c r="D26" s="87" t="str">
        <f t="shared" ca="1" si="0"/>
        <v/>
      </c>
      <c r="E26" s="94"/>
      <c r="F26" s="41"/>
      <c r="G26" s="96" t="str">
        <f t="shared" si="1"/>
        <v/>
      </c>
      <c r="H26" s="43" t="s">
        <v>133</v>
      </c>
      <c r="I26" s="81"/>
      <c r="J26" s="89" t="str">
        <f>IF(AND(A26&lt;&gt;"",E26&lt;&gt;""),IF(I26="","⚠️ Enter Code",IF(IFERROR(VLOOKUP(H26,DB_Agents!$B:$I,8,0),"")=I26,IF(C26&gt;=E26,"Successful","Unsuccessful"),"🔒 BLOCKED — Wrong Code")),"Pending")</f>
        <v>Pending</v>
      </c>
      <c r="K26" s="90" t="str">
        <f t="shared" ca="1" si="2"/>
        <v>—</v>
      </c>
      <c r="L26" s="91"/>
    </row>
    <row r="27" spans="1:12" ht="15" customHeight="1" x14ac:dyDescent="0.25">
      <c r="A27" s="76"/>
      <c r="B27" s="37" t="str">
        <f>IF(A27="","",IFERROR(VLOOKUP(A27,DB_Customers!$A:$D,4,0),"❌ Account Not Found"))</f>
        <v/>
      </c>
      <c r="C27" s="77" t="str">
        <f>IF(A27="","",IFERROR(VLOOKUP(A27,DB_Customers!$A:$N,14,0),"❌ Acct Not Found"))</f>
        <v/>
      </c>
      <c r="D27" s="78" t="str">
        <f t="shared" ca="1" si="0"/>
        <v/>
      </c>
      <c r="E27" s="94"/>
      <c r="F27" s="37"/>
      <c r="G27" s="95" t="str">
        <f t="shared" si="1"/>
        <v/>
      </c>
      <c r="H27" s="39" t="s">
        <v>133</v>
      </c>
      <c r="I27" s="81"/>
      <c r="J27" s="82" t="str">
        <f>IF(AND(A27&lt;&gt;"",E27&lt;&gt;""),IF(I27="","⚠️ Enter Code",IF(IFERROR(VLOOKUP(H27,DB_Agents!$B:$I,8,0),"")=I27,IF(C27&gt;=E27,"Successful","Unsuccessful"),"🔒 BLOCKED — Wrong Code")),"Pending")</f>
        <v>Pending</v>
      </c>
      <c r="K27" s="83" t="str">
        <f t="shared" ca="1" si="2"/>
        <v>—</v>
      </c>
      <c r="L27" s="84"/>
    </row>
    <row r="28" spans="1:12" ht="15" customHeight="1" x14ac:dyDescent="0.25">
      <c r="A28" s="85"/>
      <c r="B28" s="41" t="str">
        <f>IF(A28="","",IFERROR(VLOOKUP(A28,DB_Customers!$A:$D,4,0),"❌ Account Not Found"))</f>
        <v/>
      </c>
      <c r="C28" s="86" t="str">
        <f>IF(A28="","",IFERROR(VLOOKUP(A28,DB_Customers!$A:$N,14,0),"❌ Acct Not Found"))</f>
        <v/>
      </c>
      <c r="D28" s="87" t="str">
        <f t="shared" ca="1" si="0"/>
        <v/>
      </c>
      <c r="E28" s="94"/>
      <c r="F28" s="41"/>
      <c r="G28" s="96" t="str">
        <f t="shared" si="1"/>
        <v/>
      </c>
      <c r="H28" s="43" t="s">
        <v>133</v>
      </c>
      <c r="I28" s="81"/>
      <c r="J28" s="89" t="str">
        <f>IF(AND(A28&lt;&gt;"",E28&lt;&gt;""),IF(I28="","⚠️ Enter Code",IF(IFERROR(VLOOKUP(H28,DB_Agents!$B:$I,8,0),"")=I28,IF(C28&gt;=E28,"Successful","Unsuccessful"),"🔒 BLOCKED — Wrong Code")),"Pending")</f>
        <v>Pending</v>
      </c>
      <c r="K28" s="90" t="str">
        <f t="shared" ca="1" si="2"/>
        <v>—</v>
      </c>
      <c r="L28" s="91"/>
    </row>
    <row r="29" spans="1:12" ht="15" customHeight="1" x14ac:dyDescent="0.25">
      <c r="A29" s="76"/>
      <c r="B29" s="37" t="str">
        <f>IF(A29="","",IFERROR(VLOOKUP(A29,DB_Customers!$A:$D,4,0),"❌ Account Not Found"))</f>
        <v/>
      </c>
      <c r="C29" s="77" t="str">
        <f>IF(A29="","",IFERROR(VLOOKUP(A29,DB_Customers!$A:$N,14,0),"❌ Acct Not Found"))</f>
        <v/>
      </c>
      <c r="D29" s="78" t="str">
        <f t="shared" ca="1" si="0"/>
        <v/>
      </c>
      <c r="E29" s="94"/>
      <c r="F29" s="37"/>
      <c r="G29" s="95" t="str">
        <f t="shared" si="1"/>
        <v/>
      </c>
      <c r="H29" s="39" t="s">
        <v>133</v>
      </c>
      <c r="I29" s="81"/>
      <c r="J29" s="82" t="str">
        <f>IF(AND(A29&lt;&gt;"",E29&lt;&gt;""),IF(I29="","⚠️ Enter Code",IF(IFERROR(VLOOKUP(H29,DB_Agents!$B:$I,8,0),"")=I29,IF(C29&gt;=E29,"Successful","Unsuccessful"),"🔒 BLOCKED — Wrong Code")),"Pending")</f>
        <v>Pending</v>
      </c>
      <c r="K29" s="83" t="str">
        <f t="shared" ca="1" si="2"/>
        <v>—</v>
      </c>
      <c r="L29" s="84"/>
    </row>
    <row r="30" spans="1:12" ht="15" customHeight="1" x14ac:dyDescent="0.25">
      <c r="A30" s="85"/>
      <c r="B30" s="41" t="str">
        <f>IF(A30="","",IFERROR(VLOOKUP(A30,DB_Customers!$A:$D,4,0),"❌ Account Not Found"))</f>
        <v/>
      </c>
      <c r="C30" s="86" t="str">
        <f>IF(A30="","",IFERROR(VLOOKUP(A30,DB_Customers!$A:$N,14,0),"❌ Acct Not Found"))</f>
        <v/>
      </c>
      <c r="D30" s="87" t="str">
        <f t="shared" ca="1" si="0"/>
        <v/>
      </c>
      <c r="E30" s="94"/>
      <c r="F30" s="41"/>
      <c r="G30" s="96" t="str">
        <f t="shared" si="1"/>
        <v/>
      </c>
      <c r="H30" s="43" t="s">
        <v>133</v>
      </c>
      <c r="I30" s="81"/>
      <c r="J30" s="89" t="str">
        <f>IF(AND(A30&lt;&gt;"",E30&lt;&gt;""),IF(I30="","⚠️ Enter Code",IF(IFERROR(VLOOKUP(H30,DB_Agents!$B:$I,8,0),"")=I30,IF(C30&gt;=E30,"Successful","Unsuccessful"),"🔒 BLOCKED — Wrong Code")),"Pending")</f>
        <v>Pending</v>
      </c>
      <c r="K30" s="90" t="str">
        <f t="shared" ca="1" si="2"/>
        <v>—</v>
      </c>
      <c r="L30" s="91"/>
    </row>
    <row r="31" spans="1:12" ht="15" customHeight="1" x14ac:dyDescent="0.25">
      <c r="A31" s="76"/>
      <c r="B31" s="37" t="str">
        <f>IF(A31="","",IFERROR(VLOOKUP(A31,DB_Customers!$A:$D,4,0),"❌ Account Not Found"))</f>
        <v/>
      </c>
      <c r="C31" s="77" t="str">
        <f>IF(A31="","",IFERROR(VLOOKUP(A31,DB_Customers!$A:$N,14,0),"❌ Acct Not Found"))</f>
        <v/>
      </c>
      <c r="D31" s="78" t="str">
        <f t="shared" ca="1" si="0"/>
        <v/>
      </c>
      <c r="E31" s="94"/>
      <c r="F31" s="37"/>
      <c r="G31" s="95" t="str">
        <f t="shared" si="1"/>
        <v/>
      </c>
      <c r="H31" s="39" t="s">
        <v>133</v>
      </c>
      <c r="I31" s="81"/>
      <c r="J31" s="82" t="str">
        <f>IF(AND(A31&lt;&gt;"",E31&lt;&gt;""),IF(I31="","⚠️ Enter Code",IF(IFERROR(VLOOKUP(H31,DB_Agents!$B:$I,8,0),"")=I31,IF(C31&gt;=E31,"Successful","Unsuccessful"),"🔒 BLOCKED — Wrong Code")),"Pending")</f>
        <v>Pending</v>
      </c>
      <c r="K31" s="83" t="str">
        <f t="shared" ca="1" si="2"/>
        <v>—</v>
      </c>
      <c r="L31" s="84"/>
    </row>
    <row r="32" spans="1:12" ht="15" customHeight="1" x14ac:dyDescent="0.25">
      <c r="A32" s="85"/>
      <c r="B32" s="41" t="str">
        <f>IF(A32="","",IFERROR(VLOOKUP(A32,DB_Customers!$A:$D,4,0),"❌ Account Not Found"))</f>
        <v/>
      </c>
      <c r="C32" s="86" t="str">
        <f>IF(A32="","",IFERROR(VLOOKUP(A32,DB_Customers!$A:$N,14,0),"❌ Acct Not Found"))</f>
        <v/>
      </c>
      <c r="D32" s="87" t="str">
        <f t="shared" ca="1" si="0"/>
        <v/>
      </c>
      <c r="E32" s="94"/>
      <c r="F32" s="41"/>
      <c r="G32" s="96" t="str">
        <f t="shared" si="1"/>
        <v/>
      </c>
      <c r="H32" s="43" t="s">
        <v>133</v>
      </c>
      <c r="I32" s="81"/>
      <c r="J32" s="89" t="str">
        <f>IF(AND(A32&lt;&gt;"",E32&lt;&gt;""),IF(I32="","⚠️ Enter Code",IF(IFERROR(VLOOKUP(H32,DB_Agents!$B:$I,8,0),"")=I32,IF(C32&gt;=E32,"Successful","Unsuccessful"),"🔒 BLOCKED — Wrong Code")),"Pending")</f>
        <v>Pending</v>
      </c>
      <c r="K32" s="90" t="str">
        <f t="shared" ca="1" si="2"/>
        <v>—</v>
      </c>
      <c r="L32" s="91"/>
    </row>
    <row r="33" spans="1:12" ht="15" customHeight="1" x14ac:dyDescent="0.25">
      <c r="A33" s="76"/>
      <c r="B33" s="37" t="str">
        <f>IF(A33="","",IFERROR(VLOOKUP(A33,DB_Customers!$A:$D,4,0),"❌ Account Not Found"))</f>
        <v/>
      </c>
      <c r="C33" s="77" t="str">
        <f>IF(A33="","",IFERROR(VLOOKUP(A33,DB_Customers!$A:$N,14,0),"❌ Acct Not Found"))</f>
        <v/>
      </c>
      <c r="D33" s="78" t="str">
        <f t="shared" ca="1" si="0"/>
        <v/>
      </c>
      <c r="E33" s="94"/>
      <c r="F33" s="37"/>
      <c r="G33" s="95" t="str">
        <f t="shared" si="1"/>
        <v/>
      </c>
      <c r="H33" s="39" t="s">
        <v>133</v>
      </c>
      <c r="I33" s="81"/>
      <c r="J33" s="82" t="str">
        <f>IF(AND(A33&lt;&gt;"",E33&lt;&gt;""),IF(I33="","⚠️ Enter Code",IF(IFERROR(VLOOKUP(H33,DB_Agents!$B:$I,8,0),"")=I33,IF(C33&gt;=E33,"Successful","Unsuccessful"),"🔒 BLOCKED — Wrong Code")),"Pending")</f>
        <v>Pending</v>
      </c>
      <c r="K33" s="83" t="str">
        <f t="shared" ca="1" si="2"/>
        <v>—</v>
      </c>
      <c r="L33" s="84"/>
    </row>
    <row r="34" spans="1:12" ht="15" customHeight="1" x14ac:dyDescent="0.25">
      <c r="A34" s="85"/>
      <c r="B34" s="41" t="str">
        <f>IF(A34="","",IFERROR(VLOOKUP(A34,DB_Customers!$A:$D,4,0),"❌ Account Not Found"))</f>
        <v/>
      </c>
      <c r="C34" s="86" t="str">
        <f>IF(A34="","",IFERROR(VLOOKUP(A34,DB_Customers!$A:$N,14,0),"❌ Acct Not Found"))</f>
        <v/>
      </c>
      <c r="D34" s="87" t="str">
        <f t="shared" ca="1" si="0"/>
        <v/>
      </c>
      <c r="E34" s="94"/>
      <c r="F34" s="41"/>
      <c r="G34" s="96" t="str">
        <f t="shared" si="1"/>
        <v/>
      </c>
      <c r="H34" s="43" t="s">
        <v>133</v>
      </c>
      <c r="I34" s="81"/>
      <c r="J34" s="89" t="str">
        <f>IF(AND(A34&lt;&gt;"",E34&lt;&gt;""),IF(I34="","⚠️ Enter Code",IF(IFERROR(VLOOKUP(H34,DB_Agents!$B:$I,8,0),"")=I34,IF(C34&gt;=E34,"Successful","Unsuccessful"),"🔒 BLOCKED — Wrong Code")),"Pending")</f>
        <v>Pending</v>
      </c>
      <c r="K34" s="90" t="str">
        <f t="shared" ca="1" si="2"/>
        <v>—</v>
      </c>
      <c r="L34" s="91"/>
    </row>
    <row r="35" spans="1:12" ht="15" customHeight="1" x14ac:dyDescent="0.25">
      <c r="A35" s="76"/>
      <c r="B35" s="37" t="str">
        <f>IF(A35="","",IFERROR(VLOOKUP(A35,DB_Customers!$A:$D,4,0),"❌ Account Not Found"))</f>
        <v/>
      </c>
      <c r="C35" s="77" t="str">
        <f>IF(A35="","",IFERROR(VLOOKUP(A35,DB_Customers!$A:$N,14,0),"❌ Acct Not Found"))</f>
        <v/>
      </c>
      <c r="D35" s="78" t="str">
        <f t="shared" ca="1" si="0"/>
        <v/>
      </c>
      <c r="E35" s="94"/>
      <c r="F35" s="37"/>
      <c r="G35" s="95" t="str">
        <f t="shared" si="1"/>
        <v/>
      </c>
      <c r="H35" s="39" t="s">
        <v>133</v>
      </c>
      <c r="I35" s="81"/>
      <c r="J35" s="82" t="str">
        <f>IF(AND(A35&lt;&gt;"",E35&lt;&gt;""),IF(I35="","⚠️ Enter Code",IF(IFERROR(VLOOKUP(H35,DB_Agents!$B:$I,8,0),"")=I35,IF(C35&gt;=E35,"Successful","Unsuccessful"),"🔒 BLOCKED — Wrong Code")),"Pending")</f>
        <v>Pending</v>
      </c>
      <c r="K35" s="83" t="str">
        <f t="shared" ca="1" si="2"/>
        <v>—</v>
      </c>
      <c r="L35" s="84"/>
    </row>
    <row r="36" spans="1:12" ht="15" customHeight="1" x14ac:dyDescent="0.25">
      <c r="A36" s="85"/>
      <c r="B36" s="41" t="str">
        <f>IF(A36="","",IFERROR(VLOOKUP(A36,DB_Customers!$A:$D,4,0),"❌ Account Not Found"))</f>
        <v/>
      </c>
      <c r="C36" s="86" t="str">
        <f>IF(A36="","",IFERROR(VLOOKUP(A36,DB_Customers!$A:$N,14,0),"❌ Acct Not Found"))</f>
        <v/>
      </c>
      <c r="D36" s="87" t="str">
        <f t="shared" ca="1" si="0"/>
        <v/>
      </c>
      <c r="E36" s="94"/>
      <c r="F36" s="41"/>
      <c r="G36" s="96" t="str">
        <f t="shared" si="1"/>
        <v/>
      </c>
      <c r="H36" s="43" t="s">
        <v>133</v>
      </c>
      <c r="I36" s="81"/>
      <c r="J36" s="89" t="str">
        <f>IF(AND(A36&lt;&gt;"",E36&lt;&gt;""),IF(I36="","⚠️ Enter Code",IF(IFERROR(VLOOKUP(H36,DB_Agents!$B:$I,8,0),"")=I36,IF(C36&gt;=E36,"Successful","Unsuccessful"),"🔒 BLOCKED — Wrong Code")),"Pending")</f>
        <v>Pending</v>
      </c>
      <c r="K36" s="90" t="str">
        <f t="shared" ca="1" si="2"/>
        <v>—</v>
      </c>
      <c r="L36" s="91"/>
    </row>
    <row r="37" spans="1:12" ht="15" customHeight="1" x14ac:dyDescent="0.25">
      <c r="A37" s="76"/>
      <c r="B37" s="37" t="str">
        <f>IF(A37="","",IFERROR(VLOOKUP(A37,DB_Customers!$A:$D,4,0),"❌ Account Not Found"))</f>
        <v/>
      </c>
      <c r="C37" s="77" t="str">
        <f>IF(A37="","",IFERROR(VLOOKUP(A37,DB_Customers!$A:$N,14,0),"❌ Acct Not Found"))</f>
        <v/>
      </c>
      <c r="D37" s="78" t="str">
        <f t="shared" ca="1" si="0"/>
        <v/>
      </c>
      <c r="E37" s="94"/>
      <c r="F37" s="37"/>
      <c r="G37" s="95" t="str">
        <f t="shared" si="1"/>
        <v/>
      </c>
      <c r="H37" s="39" t="s">
        <v>133</v>
      </c>
      <c r="I37" s="81"/>
      <c r="J37" s="82" t="str">
        <f>IF(AND(A37&lt;&gt;"",E37&lt;&gt;""),IF(I37="","⚠️ Enter Code",IF(IFERROR(VLOOKUP(H37,DB_Agents!$B:$I,8,0),"")=I37,IF(C37&gt;=E37,"Successful","Unsuccessful"),"🔒 BLOCKED — Wrong Code")),"Pending")</f>
        <v>Pending</v>
      </c>
      <c r="K37" s="83" t="str">
        <f t="shared" ca="1" si="2"/>
        <v>—</v>
      </c>
      <c r="L37" s="84"/>
    </row>
    <row r="38" spans="1:12" ht="15" customHeight="1" x14ac:dyDescent="0.25">
      <c r="A38" s="85"/>
      <c r="B38" s="41" t="str">
        <f>IF(A38="","",IFERROR(VLOOKUP(A38,DB_Customers!$A:$D,4,0),"❌ Account Not Found"))</f>
        <v/>
      </c>
      <c r="C38" s="86" t="str">
        <f>IF(A38="","",IFERROR(VLOOKUP(A38,DB_Customers!$A:$N,14,0),"❌ Acct Not Found"))</f>
        <v/>
      </c>
      <c r="D38" s="87" t="str">
        <f t="shared" ca="1" si="0"/>
        <v/>
      </c>
      <c r="E38" s="94"/>
      <c r="F38" s="41"/>
      <c r="G38" s="96" t="str">
        <f t="shared" si="1"/>
        <v/>
      </c>
      <c r="H38" s="43" t="s">
        <v>133</v>
      </c>
      <c r="I38" s="81"/>
      <c r="J38" s="89" t="str">
        <f>IF(AND(A38&lt;&gt;"",E38&lt;&gt;""),IF(I38="","⚠️ Enter Code",IF(IFERROR(VLOOKUP(H38,DB_Agents!$B:$I,8,0),"")=I38,IF(C38&gt;=E38,"Successful","Unsuccessful"),"🔒 BLOCKED — Wrong Code")),"Pending")</f>
        <v>Pending</v>
      </c>
      <c r="K38" s="90" t="str">
        <f t="shared" ca="1" si="2"/>
        <v>—</v>
      </c>
      <c r="L38" s="91"/>
    </row>
    <row r="39" spans="1:12" ht="15" customHeight="1" x14ac:dyDescent="0.25">
      <c r="A39" s="76"/>
      <c r="B39" s="37" t="str">
        <f>IF(A39="","",IFERROR(VLOOKUP(A39,DB_Customers!$A:$D,4,0),"❌ Account Not Found"))</f>
        <v/>
      </c>
      <c r="C39" s="77" t="str">
        <f>IF(A39="","",IFERROR(VLOOKUP(A39,DB_Customers!$A:$N,14,0),"❌ Acct Not Found"))</f>
        <v/>
      </c>
      <c r="D39" s="78" t="str">
        <f t="shared" ca="1" si="0"/>
        <v/>
      </c>
      <c r="E39" s="94"/>
      <c r="F39" s="37"/>
      <c r="G39" s="95" t="str">
        <f t="shared" si="1"/>
        <v/>
      </c>
      <c r="H39" s="39" t="s">
        <v>133</v>
      </c>
      <c r="I39" s="81"/>
      <c r="J39" s="82" t="str">
        <f>IF(AND(A39&lt;&gt;"",E39&lt;&gt;""),IF(I39="","⚠️ Enter Code",IF(IFERROR(VLOOKUP(H39,DB_Agents!$B:$I,8,0),"")=I39,IF(C39&gt;=E39,"Successful","Unsuccessful"),"🔒 BLOCKED — Wrong Code")),"Pending")</f>
        <v>Pending</v>
      </c>
      <c r="K39" s="83" t="str">
        <f t="shared" ca="1" si="2"/>
        <v>—</v>
      </c>
      <c r="L39" s="84"/>
    </row>
    <row r="40" spans="1:12" ht="15" customHeight="1" x14ac:dyDescent="0.25">
      <c r="A40" s="85"/>
      <c r="B40" s="41" t="str">
        <f>IF(A40="","",IFERROR(VLOOKUP(A40,DB_Customers!$A:$D,4,0),"❌ Account Not Found"))</f>
        <v/>
      </c>
      <c r="C40" s="86" t="str">
        <f>IF(A40="","",IFERROR(VLOOKUP(A40,DB_Customers!$A:$N,14,0),"❌ Acct Not Found"))</f>
        <v/>
      </c>
      <c r="D40" s="87" t="str">
        <f t="shared" ca="1" si="0"/>
        <v/>
      </c>
      <c r="E40" s="94"/>
      <c r="F40" s="41"/>
      <c r="G40" s="96" t="str">
        <f t="shared" si="1"/>
        <v/>
      </c>
      <c r="H40" s="43" t="s">
        <v>133</v>
      </c>
      <c r="I40" s="81"/>
      <c r="J40" s="89" t="str">
        <f>IF(AND(A40&lt;&gt;"",E40&lt;&gt;""),IF(I40="","⚠️ Enter Code",IF(IFERROR(VLOOKUP(H40,DB_Agents!$B:$I,8,0),"")=I40,IF(C40&gt;=E40,"Successful","Unsuccessful"),"🔒 BLOCKED — Wrong Code")),"Pending")</f>
        <v>Pending</v>
      </c>
      <c r="K40" s="90" t="str">
        <f t="shared" ca="1" si="2"/>
        <v>—</v>
      </c>
      <c r="L40" s="91"/>
    </row>
    <row r="41" spans="1:12" ht="15" customHeight="1" x14ac:dyDescent="0.25">
      <c r="A41" s="76"/>
      <c r="B41" s="37" t="str">
        <f>IF(A41="","",IFERROR(VLOOKUP(A41,DB_Customers!$A:$D,4,0),"❌ Account Not Found"))</f>
        <v/>
      </c>
      <c r="C41" s="77" t="str">
        <f>IF(A41="","",IFERROR(VLOOKUP(A41,DB_Customers!$A:$N,14,0),"❌ Acct Not Found"))</f>
        <v/>
      </c>
      <c r="D41" s="78" t="str">
        <f t="shared" ref="D41:D72" ca="1" si="3">IF(A41="","",TODAY())</f>
        <v/>
      </c>
      <c r="E41" s="94"/>
      <c r="F41" s="37"/>
      <c r="G41" s="95" t="str">
        <f t="shared" ref="G41:G72" si="4">IF(OR(A41="",E41=""),"",IF(C41="","",C41-E41))</f>
        <v/>
      </c>
      <c r="H41" s="39" t="s">
        <v>133</v>
      </c>
      <c r="I41" s="81"/>
      <c r="J41" s="82" t="str">
        <f>IF(AND(A41&lt;&gt;"",E41&lt;&gt;""),IF(I41="","⚠️ Enter Code",IF(IFERROR(VLOOKUP(H41,DB_Agents!$B:$I,8,0),"")=I41,IF(C41&gt;=E41,"Successful","Unsuccessful"),"🔒 BLOCKED — Wrong Code")),"Pending")</f>
        <v>Pending</v>
      </c>
      <c r="K41" s="83" t="str">
        <f t="shared" ref="K41:K72" ca="1" si="5">IF(J41="Successful",TEXT(TODAY(),"YYYY-MM-DD")&amp;" Auto","—")</f>
        <v>—</v>
      </c>
      <c r="L41" s="84"/>
    </row>
    <row r="42" spans="1:12" ht="15" customHeight="1" x14ac:dyDescent="0.25">
      <c r="A42" s="85"/>
      <c r="B42" s="41" t="str">
        <f>IF(A42="","",IFERROR(VLOOKUP(A42,DB_Customers!$A:$D,4,0),"❌ Account Not Found"))</f>
        <v/>
      </c>
      <c r="C42" s="86" t="str">
        <f>IF(A42="","",IFERROR(VLOOKUP(A42,DB_Customers!$A:$N,14,0),"❌ Acct Not Found"))</f>
        <v/>
      </c>
      <c r="D42" s="87" t="str">
        <f t="shared" ca="1" si="3"/>
        <v/>
      </c>
      <c r="E42" s="94"/>
      <c r="F42" s="41"/>
      <c r="G42" s="96" t="str">
        <f t="shared" si="4"/>
        <v/>
      </c>
      <c r="H42" s="43" t="s">
        <v>133</v>
      </c>
      <c r="I42" s="81"/>
      <c r="J42" s="89" t="str">
        <f>IF(AND(A42&lt;&gt;"",E42&lt;&gt;""),IF(I42="","⚠️ Enter Code",IF(IFERROR(VLOOKUP(H42,DB_Agents!$B:$I,8,0),"")=I42,IF(C42&gt;=E42,"Successful","Unsuccessful"),"🔒 BLOCKED — Wrong Code")),"Pending")</f>
        <v>Pending</v>
      </c>
      <c r="K42" s="90" t="str">
        <f t="shared" ca="1" si="5"/>
        <v>—</v>
      </c>
      <c r="L42" s="91"/>
    </row>
    <row r="43" spans="1:12" ht="15" customHeight="1" x14ac:dyDescent="0.25">
      <c r="A43" s="76"/>
      <c r="B43" s="37" t="str">
        <f>IF(A43="","",IFERROR(VLOOKUP(A43,DB_Customers!$A:$D,4,0),"❌ Account Not Found"))</f>
        <v/>
      </c>
      <c r="C43" s="77" t="str">
        <f>IF(A43="","",IFERROR(VLOOKUP(A43,DB_Customers!$A:$N,14,0),"❌ Acct Not Found"))</f>
        <v/>
      </c>
      <c r="D43" s="78" t="str">
        <f t="shared" ca="1" si="3"/>
        <v/>
      </c>
      <c r="E43" s="94"/>
      <c r="F43" s="37"/>
      <c r="G43" s="95" t="str">
        <f t="shared" si="4"/>
        <v/>
      </c>
      <c r="H43" s="39" t="s">
        <v>133</v>
      </c>
      <c r="I43" s="81"/>
      <c r="J43" s="82" t="str">
        <f>IF(AND(A43&lt;&gt;"",E43&lt;&gt;""),IF(I43="","⚠️ Enter Code",IF(IFERROR(VLOOKUP(H43,DB_Agents!$B:$I,8,0),"")=I43,IF(C43&gt;=E43,"Successful","Unsuccessful"),"🔒 BLOCKED — Wrong Code")),"Pending")</f>
        <v>Pending</v>
      </c>
      <c r="K43" s="83" t="str">
        <f t="shared" ca="1" si="5"/>
        <v>—</v>
      </c>
      <c r="L43" s="84"/>
    </row>
    <row r="44" spans="1:12" ht="15" customHeight="1" x14ac:dyDescent="0.25">
      <c r="A44" s="85"/>
      <c r="B44" s="41" t="str">
        <f>IF(A44="","",IFERROR(VLOOKUP(A44,DB_Customers!$A:$D,4,0),"❌ Account Not Found"))</f>
        <v/>
      </c>
      <c r="C44" s="86" t="str">
        <f>IF(A44="","",IFERROR(VLOOKUP(A44,DB_Customers!$A:$N,14,0),"❌ Acct Not Found"))</f>
        <v/>
      </c>
      <c r="D44" s="87" t="str">
        <f t="shared" ca="1" si="3"/>
        <v/>
      </c>
      <c r="E44" s="94"/>
      <c r="F44" s="41"/>
      <c r="G44" s="96" t="str">
        <f t="shared" si="4"/>
        <v/>
      </c>
      <c r="H44" s="43" t="s">
        <v>133</v>
      </c>
      <c r="I44" s="81"/>
      <c r="J44" s="89" t="str">
        <f>IF(AND(A44&lt;&gt;"",E44&lt;&gt;""),IF(I44="","⚠️ Enter Code",IF(IFERROR(VLOOKUP(H44,DB_Agents!$B:$I,8,0),"")=I44,IF(C44&gt;=E44,"Successful","Unsuccessful"),"🔒 BLOCKED — Wrong Code")),"Pending")</f>
        <v>Pending</v>
      </c>
      <c r="K44" s="90" t="str">
        <f t="shared" ca="1" si="5"/>
        <v>—</v>
      </c>
      <c r="L44" s="91"/>
    </row>
    <row r="45" spans="1:12" ht="15" customHeight="1" x14ac:dyDescent="0.25">
      <c r="A45" s="76"/>
      <c r="B45" s="37" t="str">
        <f>IF(A45="","",IFERROR(VLOOKUP(A45,DB_Customers!$A:$D,4,0),"❌ Account Not Found"))</f>
        <v/>
      </c>
      <c r="C45" s="77" t="str">
        <f>IF(A45="","",IFERROR(VLOOKUP(A45,DB_Customers!$A:$N,14,0),"❌ Acct Not Found"))</f>
        <v/>
      </c>
      <c r="D45" s="78" t="str">
        <f t="shared" ca="1" si="3"/>
        <v/>
      </c>
      <c r="E45" s="94"/>
      <c r="F45" s="37"/>
      <c r="G45" s="95" t="str">
        <f t="shared" si="4"/>
        <v/>
      </c>
      <c r="H45" s="39" t="s">
        <v>133</v>
      </c>
      <c r="I45" s="81"/>
      <c r="J45" s="82" t="str">
        <f>IF(AND(A45&lt;&gt;"",E45&lt;&gt;""),IF(I45="","⚠️ Enter Code",IF(IFERROR(VLOOKUP(H45,DB_Agents!$B:$I,8,0),"")=I45,IF(C45&gt;=E45,"Successful","Unsuccessful"),"🔒 BLOCKED — Wrong Code")),"Pending")</f>
        <v>Pending</v>
      </c>
      <c r="K45" s="83" t="str">
        <f t="shared" ca="1" si="5"/>
        <v>—</v>
      </c>
      <c r="L45" s="84"/>
    </row>
    <row r="46" spans="1:12" ht="15" customHeight="1" x14ac:dyDescent="0.25">
      <c r="A46" s="85"/>
      <c r="B46" s="41" t="str">
        <f>IF(A46="","",IFERROR(VLOOKUP(A46,DB_Customers!$A:$D,4,0),"❌ Account Not Found"))</f>
        <v/>
      </c>
      <c r="C46" s="86" t="str">
        <f>IF(A46="","",IFERROR(VLOOKUP(A46,DB_Customers!$A:$N,14,0),"❌ Acct Not Found"))</f>
        <v/>
      </c>
      <c r="D46" s="87" t="str">
        <f t="shared" ca="1" si="3"/>
        <v/>
      </c>
      <c r="E46" s="94"/>
      <c r="F46" s="41"/>
      <c r="G46" s="96" t="str">
        <f t="shared" si="4"/>
        <v/>
      </c>
      <c r="H46" s="43" t="s">
        <v>133</v>
      </c>
      <c r="I46" s="81"/>
      <c r="J46" s="89" t="str">
        <f>IF(AND(A46&lt;&gt;"",E46&lt;&gt;""),IF(I46="","⚠️ Enter Code",IF(IFERROR(VLOOKUP(H46,DB_Agents!$B:$I,8,0),"")=I46,IF(C46&gt;=E46,"Successful","Unsuccessful"),"🔒 BLOCKED — Wrong Code")),"Pending")</f>
        <v>Pending</v>
      </c>
      <c r="K46" s="90" t="str">
        <f t="shared" ca="1" si="5"/>
        <v>—</v>
      </c>
      <c r="L46" s="91"/>
    </row>
    <row r="47" spans="1:12" ht="15" customHeight="1" x14ac:dyDescent="0.25">
      <c r="A47" s="76"/>
      <c r="B47" s="37" t="str">
        <f>IF(A47="","",IFERROR(VLOOKUP(A47,DB_Customers!$A:$D,4,0),"❌ Account Not Found"))</f>
        <v/>
      </c>
      <c r="C47" s="77" t="str">
        <f>IF(A47="","",IFERROR(VLOOKUP(A47,DB_Customers!$A:$N,14,0),"❌ Acct Not Found"))</f>
        <v/>
      </c>
      <c r="D47" s="78" t="str">
        <f t="shared" ca="1" si="3"/>
        <v/>
      </c>
      <c r="E47" s="94"/>
      <c r="F47" s="37"/>
      <c r="G47" s="95" t="str">
        <f t="shared" si="4"/>
        <v/>
      </c>
      <c r="H47" s="39" t="s">
        <v>133</v>
      </c>
      <c r="I47" s="81"/>
      <c r="J47" s="82" t="str">
        <f>IF(AND(A47&lt;&gt;"",E47&lt;&gt;""),IF(I47="","⚠️ Enter Code",IF(IFERROR(VLOOKUP(H47,DB_Agents!$B:$I,8,0),"")=I47,IF(C47&gt;=E47,"Successful","Unsuccessful"),"🔒 BLOCKED — Wrong Code")),"Pending")</f>
        <v>Pending</v>
      </c>
      <c r="K47" s="83" t="str">
        <f t="shared" ca="1" si="5"/>
        <v>—</v>
      </c>
      <c r="L47" s="84"/>
    </row>
    <row r="48" spans="1:12" ht="15" customHeight="1" x14ac:dyDescent="0.25">
      <c r="A48" s="85"/>
      <c r="B48" s="41" t="str">
        <f>IF(A48="","",IFERROR(VLOOKUP(A48,DB_Customers!$A:$D,4,0),"❌ Account Not Found"))</f>
        <v/>
      </c>
      <c r="C48" s="86" t="str">
        <f>IF(A48="","",IFERROR(VLOOKUP(A48,DB_Customers!$A:$N,14,0),"❌ Acct Not Found"))</f>
        <v/>
      </c>
      <c r="D48" s="87" t="str">
        <f t="shared" ca="1" si="3"/>
        <v/>
      </c>
      <c r="E48" s="94"/>
      <c r="F48" s="41"/>
      <c r="G48" s="96" t="str">
        <f t="shared" si="4"/>
        <v/>
      </c>
      <c r="H48" s="43" t="s">
        <v>133</v>
      </c>
      <c r="I48" s="81"/>
      <c r="J48" s="89" t="str">
        <f>IF(AND(A48&lt;&gt;"",E48&lt;&gt;""),IF(I48="","⚠️ Enter Code",IF(IFERROR(VLOOKUP(H48,DB_Agents!$B:$I,8,0),"")=I48,IF(C48&gt;=E48,"Successful","Unsuccessful"),"🔒 BLOCKED — Wrong Code")),"Pending")</f>
        <v>Pending</v>
      </c>
      <c r="K48" s="90" t="str">
        <f t="shared" ca="1" si="5"/>
        <v>—</v>
      </c>
      <c r="L48" s="91"/>
    </row>
    <row r="49" spans="1:12" ht="15" customHeight="1" x14ac:dyDescent="0.25">
      <c r="A49" s="76"/>
      <c r="B49" s="37" t="str">
        <f>IF(A49="","",IFERROR(VLOOKUP(A49,DB_Customers!$A:$D,4,0),"❌ Account Not Found"))</f>
        <v/>
      </c>
      <c r="C49" s="77" t="str">
        <f>IF(A49="","",IFERROR(VLOOKUP(A49,DB_Customers!$A:$N,14,0),"❌ Acct Not Found"))</f>
        <v/>
      </c>
      <c r="D49" s="78" t="str">
        <f t="shared" ca="1" si="3"/>
        <v/>
      </c>
      <c r="E49" s="94"/>
      <c r="F49" s="37"/>
      <c r="G49" s="95" t="str">
        <f t="shared" si="4"/>
        <v/>
      </c>
      <c r="H49" s="39" t="s">
        <v>133</v>
      </c>
      <c r="I49" s="81"/>
      <c r="J49" s="82" t="str">
        <f>IF(AND(A49&lt;&gt;"",E49&lt;&gt;""),IF(I49="","⚠️ Enter Code",IF(IFERROR(VLOOKUP(H49,DB_Agents!$B:$I,8,0),"")=I49,IF(C49&gt;=E49,"Successful","Unsuccessful"),"🔒 BLOCKED — Wrong Code")),"Pending")</f>
        <v>Pending</v>
      </c>
      <c r="K49" s="83" t="str">
        <f t="shared" ca="1" si="5"/>
        <v>—</v>
      </c>
      <c r="L49" s="84"/>
    </row>
    <row r="50" spans="1:12" ht="15" customHeight="1" x14ac:dyDescent="0.25">
      <c r="A50" s="85"/>
      <c r="B50" s="41" t="str">
        <f>IF(A50="","",IFERROR(VLOOKUP(A50,DB_Customers!$A:$D,4,0),"❌ Account Not Found"))</f>
        <v/>
      </c>
      <c r="C50" s="86" t="str">
        <f>IF(A50="","",IFERROR(VLOOKUP(A50,DB_Customers!$A:$N,14,0),"❌ Acct Not Found"))</f>
        <v/>
      </c>
      <c r="D50" s="87" t="str">
        <f t="shared" ca="1" si="3"/>
        <v/>
      </c>
      <c r="E50" s="94"/>
      <c r="F50" s="41"/>
      <c r="G50" s="96" t="str">
        <f t="shared" si="4"/>
        <v/>
      </c>
      <c r="H50" s="43" t="s">
        <v>133</v>
      </c>
      <c r="I50" s="81"/>
      <c r="J50" s="89" t="str">
        <f>IF(AND(A50&lt;&gt;"",E50&lt;&gt;""),IF(I50="","⚠️ Enter Code",IF(IFERROR(VLOOKUP(H50,DB_Agents!$B:$I,8,0),"")=I50,IF(C50&gt;=E50,"Successful","Unsuccessful"),"🔒 BLOCKED — Wrong Code")),"Pending")</f>
        <v>Pending</v>
      </c>
      <c r="K50" s="90" t="str">
        <f t="shared" ca="1" si="5"/>
        <v>—</v>
      </c>
      <c r="L50" s="91"/>
    </row>
    <row r="51" spans="1:12" ht="15" customHeight="1" x14ac:dyDescent="0.25">
      <c r="A51" s="76"/>
      <c r="B51" s="37" t="str">
        <f>IF(A51="","",IFERROR(VLOOKUP(A51,DB_Customers!$A:$D,4,0),"❌ Account Not Found"))</f>
        <v/>
      </c>
      <c r="C51" s="77" t="str">
        <f>IF(A51="","",IFERROR(VLOOKUP(A51,DB_Customers!$A:$N,14,0),"❌ Acct Not Found"))</f>
        <v/>
      </c>
      <c r="D51" s="78" t="str">
        <f t="shared" ca="1" si="3"/>
        <v/>
      </c>
      <c r="E51" s="94"/>
      <c r="F51" s="37"/>
      <c r="G51" s="95" t="str">
        <f t="shared" si="4"/>
        <v/>
      </c>
      <c r="H51" s="39" t="s">
        <v>133</v>
      </c>
      <c r="I51" s="81"/>
      <c r="J51" s="82" t="str">
        <f>IF(AND(A51&lt;&gt;"",E51&lt;&gt;""),IF(I51="","⚠️ Enter Code",IF(IFERROR(VLOOKUP(H51,DB_Agents!$B:$I,8,0),"")=I51,IF(C51&gt;=E51,"Successful","Unsuccessful"),"🔒 BLOCKED — Wrong Code")),"Pending")</f>
        <v>Pending</v>
      </c>
      <c r="K51" s="83" t="str">
        <f t="shared" ca="1" si="5"/>
        <v>—</v>
      </c>
      <c r="L51" s="84"/>
    </row>
    <row r="52" spans="1:12" ht="15" customHeight="1" x14ac:dyDescent="0.25">
      <c r="A52" s="85"/>
      <c r="B52" s="41" t="str">
        <f>IF(A52="","",IFERROR(VLOOKUP(A52,DB_Customers!$A:$D,4,0),"❌ Account Not Found"))</f>
        <v/>
      </c>
      <c r="C52" s="86" t="str">
        <f>IF(A52="","",IFERROR(VLOOKUP(A52,DB_Customers!$A:$N,14,0),"❌ Acct Not Found"))</f>
        <v/>
      </c>
      <c r="D52" s="87" t="str">
        <f t="shared" ca="1" si="3"/>
        <v/>
      </c>
      <c r="E52" s="94"/>
      <c r="F52" s="41"/>
      <c r="G52" s="96" t="str">
        <f t="shared" si="4"/>
        <v/>
      </c>
      <c r="H52" s="43" t="s">
        <v>133</v>
      </c>
      <c r="I52" s="81"/>
      <c r="J52" s="89" t="str">
        <f>IF(AND(A52&lt;&gt;"",E52&lt;&gt;""),IF(I52="","⚠️ Enter Code",IF(IFERROR(VLOOKUP(H52,DB_Agents!$B:$I,8,0),"")=I52,IF(C52&gt;=E52,"Successful","Unsuccessful"),"🔒 BLOCKED — Wrong Code")),"Pending")</f>
        <v>Pending</v>
      </c>
      <c r="K52" s="90" t="str">
        <f t="shared" ca="1" si="5"/>
        <v>—</v>
      </c>
      <c r="L52" s="91"/>
    </row>
    <row r="53" spans="1:12" ht="15" customHeight="1" x14ac:dyDescent="0.25">
      <c r="A53" s="76"/>
      <c r="B53" s="37" t="str">
        <f>IF(A53="","",IFERROR(VLOOKUP(A53,DB_Customers!$A:$D,4,0),"❌ Account Not Found"))</f>
        <v/>
      </c>
      <c r="C53" s="77" t="str">
        <f>IF(A53="","",IFERROR(VLOOKUP(A53,DB_Customers!$A:$N,14,0),"❌ Acct Not Found"))</f>
        <v/>
      </c>
      <c r="D53" s="78" t="str">
        <f t="shared" ca="1" si="3"/>
        <v/>
      </c>
      <c r="E53" s="94"/>
      <c r="F53" s="37"/>
      <c r="G53" s="95" t="str">
        <f t="shared" si="4"/>
        <v/>
      </c>
      <c r="H53" s="39" t="s">
        <v>133</v>
      </c>
      <c r="I53" s="81"/>
      <c r="J53" s="82" t="str">
        <f>IF(AND(A53&lt;&gt;"",E53&lt;&gt;""),IF(I53="","⚠️ Enter Code",IF(IFERROR(VLOOKUP(H53,DB_Agents!$B:$I,8,0),"")=I53,IF(C53&gt;=E53,"Successful","Unsuccessful"),"🔒 BLOCKED — Wrong Code")),"Pending")</f>
        <v>Pending</v>
      </c>
      <c r="K53" s="83" t="str">
        <f t="shared" ca="1" si="5"/>
        <v>—</v>
      </c>
      <c r="L53" s="84"/>
    </row>
    <row r="54" spans="1:12" ht="15" customHeight="1" x14ac:dyDescent="0.25">
      <c r="A54" s="85"/>
      <c r="B54" s="41" t="str">
        <f>IF(A54="","",IFERROR(VLOOKUP(A54,DB_Customers!$A:$D,4,0),"❌ Account Not Found"))</f>
        <v/>
      </c>
      <c r="C54" s="86" t="str">
        <f>IF(A54="","",IFERROR(VLOOKUP(A54,DB_Customers!$A:$N,14,0),"❌ Acct Not Found"))</f>
        <v/>
      </c>
      <c r="D54" s="87" t="str">
        <f t="shared" ca="1" si="3"/>
        <v/>
      </c>
      <c r="E54" s="94"/>
      <c r="F54" s="41"/>
      <c r="G54" s="96" t="str">
        <f t="shared" si="4"/>
        <v/>
      </c>
      <c r="H54" s="43" t="s">
        <v>133</v>
      </c>
      <c r="I54" s="81"/>
      <c r="J54" s="89" t="str">
        <f>IF(AND(A54&lt;&gt;"",E54&lt;&gt;""),IF(I54="","⚠️ Enter Code",IF(IFERROR(VLOOKUP(H54,DB_Agents!$B:$I,8,0),"")=I54,IF(C54&gt;=E54,"Successful","Unsuccessful"),"🔒 BLOCKED — Wrong Code")),"Pending")</f>
        <v>Pending</v>
      </c>
      <c r="K54" s="90" t="str">
        <f t="shared" ca="1" si="5"/>
        <v>—</v>
      </c>
      <c r="L54" s="91"/>
    </row>
    <row r="55" spans="1:12" ht="15" customHeight="1" x14ac:dyDescent="0.25">
      <c r="A55" s="76"/>
      <c r="B55" s="37" t="str">
        <f>IF(A55="","",IFERROR(VLOOKUP(A55,DB_Customers!$A:$D,4,0),"❌ Account Not Found"))</f>
        <v/>
      </c>
      <c r="C55" s="77" t="str">
        <f>IF(A55="","",IFERROR(VLOOKUP(A55,DB_Customers!$A:$N,14,0),"❌ Acct Not Found"))</f>
        <v/>
      </c>
      <c r="D55" s="78" t="str">
        <f t="shared" ca="1" si="3"/>
        <v/>
      </c>
      <c r="E55" s="94"/>
      <c r="F55" s="37"/>
      <c r="G55" s="95" t="str">
        <f t="shared" si="4"/>
        <v/>
      </c>
      <c r="H55" s="39" t="s">
        <v>133</v>
      </c>
      <c r="I55" s="81"/>
      <c r="J55" s="82" t="str">
        <f>IF(AND(A55&lt;&gt;"",E55&lt;&gt;""),IF(I55="","⚠️ Enter Code",IF(IFERROR(VLOOKUP(H55,DB_Agents!$B:$I,8,0),"")=I55,IF(C55&gt;=E55,"Successful","Unsuccessful"),"🔒 BLOCKED — Wrong Code")),"Pending")</f>
        <v>Pending</v>
      </c>
      <c r="K55" s="83" t="str">
        <f t="shared" ca="1" si="5"/>
        <v>—</v>
      </c>
      <c r="L55" s="84"/>
    </row>
    <row r="56" spans="1:12" ht="15" customHeight="1" x14ac:dyDescent="0.25">
      <c r="A56" s="85"/>
      <c r="B56" s="41" t="str">
        <f>IF(A56="","",IFERROR(VLOOKUP(A56,DB_Customers!$A:$D,4,0),"❌ Account Not Found"))</f>
        <v/>
      </c>
      <c r="C56" s="86" t="str">
        <f>IF(A56="","",IFERROR(VLOOKUP(A56,DB_Customers!$A:$N,14,0),"❌ Acct Not Found"))</f>
        <v/>
      </c>
      <c r="D56" s="87" t="str">
        <f t="shared" ca="1" si="3"/>
        <v/>
      </c>
      <c r="E56" s="94"/>
      <c r="F56" s="41"/>
      <c r="G56" s="96" t="str">
        <f t="shared" si="4"/>
        <v/>
      </c>
      <c r="H56" s="43" t="s">
        <v>133</v>
      </c>
      <c r="I56" s="81"/>
      <c r="J56" s="89" t="str">
        <f>IF(AND(A56&lt;&gt;"",E56&lt;&gt;""),IF(I56="","⚠️ Enter Code",IF(IFERROR(VLOOKUP(H56,DB_Agents!$B:$I,8,0),"")=I56,IF(C56&gt;=E56,"Successful","Unsuccessful"),"🔒 BLOCKED — Wrong Code")),"Pending")</f>
        <v>Pending</v>
      </c>
      <c r="K56" s="90" t="str">
        <f t="shared" ca="1" si="5"/>
        <v>—</v>
      </c>
      <c r="L56" s="91"/>
    </row>
    <row r="57" spans="1:12" ht="15" customHeight="1" x14ac:dyDescent="0.25">
      <c r="A57" s="76"/>
      <c r="B57" s="37" t="str">
        <f>IF(A57="","",IFERROR(VLOOKUP(A57,DB_Customers!$A:$D,4,0),"❌ Account Not Found"))</f>
        <v/>
      </c>
      <c r="C57" s="77" t="str">
        <f>IF(A57="","",IFERROR(VLOOKUP(A57,DB_Customers!$A:$N,14,0),"❌ Acct Not Found"))</f>
        <v/>
      </c>
      <c r="D57" s="78" t="str">
        <f t="shared" ca="1" si="3"/>
        <v/>
      </c>
      <c r="E57" s="94"/>
      <c r="F57" s="37"/>
      <c r="G57" s="95" t="str">
        <f t="shared" si="4"/>
        <v/>
      </c>
      <c r="H57" s="39" t="s">
        <v>133</v>
      </c>
      <c r="I57" s="81"/>
      <c r="J57" s="82" t="str">
        <f>IF(AND(A57&lt;&gt;"",E57&lt;&gt;""),IF(I57="","⚠️ Enter Code",IF(IFERROR(VLOOKUP(H57,DB_Agents!$B:$I,8,0),"")=I57,IF(C57&gt;=E57,"Successful","Unsuccessful"),"🔒 BLOCKED — Wrong Code")),"Pending")</f>
        <v>Pending</v>
      </c>
      <c r="K57" s="83" t="str">
        <f t="shared" ca="1" si="5"/>
        <v>—</v>
      </c>
      <c r="L57" s="84"/>
    </row>
    <row r="58" spans="1:12" ht="15" customHeight="1" x14ac:dyDescent="0.25">
      <c r="A58" s="85"/>
      <c r="B58" s="41" t="str">
        <f>IF(A58="","",IFERROR(VLOOKUP(A58,DB_Customers!$A:$D,4,0),"❌ Account Not Found"))</f>
        <v/>
      </c>
      <c r="C58" s="86" t="str">
        <f>IF(A58="","",IFERROR(VLOOKUP(A58,DB_Customers!$A:$N,14,0),"❌ Acct Not Found"))</f>
        <v/>
      </c>
      <c r="D58" s="87" t="str">
        <f t="shared" ca="1" si="3"/>
        <v/>
      </c>
      <c r="E58" s="94"/>
      <c r="F58" s="41"/>
      <c r="G58" s="96" t="str">
        <f t="shared" si="4"/>
        <v/>
      </c>
      <c r="H58" s="43" t="s">
        <v>133</v>
      </c>
      <c r="I58" s="81"/>
      <c r="J58" s="89" t="str">
        <f>IF(AND(A58&lt;&gt;"",E58&lt;&gt;""),IF(I58="","⚠️ Enter Code",IF(IFERROR(VLOOKUP(H58,DB_Agents!$B:$I,8,0),"")=I58,IF(C58&gt;=E58,"Successful","Unsuccessful"),"🔒 BLOCKED — Wrong Code")),"Pending")</f>
        <v>Pending</v>
      </c>
      <c r="K58" s="90" t="str">
        <f t="shared" ca="1" si="5"/>
        <v>—</v>
      </c>
      <c r="L58" s="91"/>
    </row>
    <row r="59" spans="1:12" ht="15" customHeight="1" x14ac:dyDescent="0.25">
      <c r="A59" s="76"/>
      <c r="B59" s="37" t="str">
        <f>IF(A59="","",IFERROR(VLOOKUP(A59,DB_Customers!$A:$D,4,0),"❌ Account Not Found"))</f>
        <v/>
      </c>
      <c r="C59" s="77" t="str">
        <f>IF(A59="","",IFERROR(VLOOKUP(A59,DB_Customers!$A:$N,14,0),"❌ Acct Not Found"))</f>
        <v/>
      </c>
      <c r="D59" s="78" t="str">
        <f t="shared" ca="1" si="3"/>
        <v/>
      </c>
      <c r="E59" s="94"/>
      <c r="F59" s="37"/>
      <c r="G59" s="95" t="str">
        <f t="shared" si="4"/>
        <v/>
      </c>
      <c r="H59" s="39" t="s">
        <v>133</v>
      </c>
      <c r="I59" s="81"/>
      <c r="J59" s="82" t="str">
        <f>IF(AND(A59&lt;&gt;"",E59&lt;&gt;""),IF(I59="","⚠️ Enter Code",IF(IFERROR(VLOOKUP(H59,DB_Agents!$B:$I,8,0),"")=I59,IF(C59&gt;=E59,"Successful","Unsuccessful"),"🔒 BLOCKED — Wrong Code")),"Pending")</f>
        <v>Pending</v>
      </c>
      <c r="K59" s="83" t="str">
        <f t="shared" ca="1" si="5"/>
        <v>—</v>
      </c>
      <c r="L59" s="84"/>
    </row>
    <row r="60" spans="1:12" ht="15" customHeight="1" x14ac:dyDescent="0.25">
      <c r="A60" s="85"/>
      <c r="B60" s="41" t="str">
        <f>IF(A60="","",IFERROR(VLOOKUP(A60,DB_Customers!$A:$D,4,0),"❌ Account Not Found"))</f>
        <v/>
      </c>
      <c r="C60" s="86" t="str">
        <f>IF(A60="","",IFERROR(VLOOKUP(A60,DB_Customers!$A:$N,14,0),"❌ Acct Not Found"))</f>
        <v/>
      </c>
      <c r="D60" s="87" t="str">
        <f t="shared" ca="1" si="3"/>
        <v/>
      </c>
      <c r="E60" s="94"/>
      <c r="F60" s="41"/>
      <c r="G60" s="96" t="str">
        <f t="shared" si="4"/>
        <v/>
      </c>
      <c r="H60" s="43" t="s">
        <v>133</v>
      </c>
      <c r="I60" s="81"/>
      <c r="J60" s="89" t="str">
        <f>IF(AND(A60&lt;&gt;"",E60&lt;&gt;""),IF(I60="","⚠️ Enter Code",IF(IFERROR(VLOOKUP(H60,DB_Agents!$B:$I,8,0),"")=I60,IF(C60&gt;=E60,"Successful","Unsuccessful"),"🔒 BLOCKED — Wrong Code")),"Pending")</f>
        <v>Pending</v>
      </c>
      <c r="K60" s="90" t="str">
        <f t="shared" ca="1" si="5"/>
        <v>—</v>
      </c>
      <c r="L60" s="91"/>
    </row>
    <row r="61" spans="1:12" ht="15" customHeight="1" x14ac:dyDescent="0.25">
      <c r="A61" s="76"/>
      <c r="B61" s="37" t="str">
        <f>IF(A61="","",IFERROR(VLOOKUP(A61,DB_Customers!$A:$D,4,0),"❌ Account Not Found"))</f>
        <v/>
      </c>
      <c r="C61" s="77" t="str">
        <f>IF(A61="","",IFERROR(VLOOKUP(A61,DB_Customers!$A:$N,14,0),"❌ Acct Not Found"))</f>
        <v/>
      </c>
      <c r="D61" s="78" t="str">
        <f t="shared" ca="1" si="3"/>
        <v/>
      </c>
      <c r="E61" s="94"/>
      <c r="F61" s="37"/>
      <c r="G61" s="95" t="str">
        <f t="shared" si="4"/>
        <v/>
      </c>
      <c r="H61" s="39" t="s">
        <v>133</v>
      </c>
      <c r="I61" s="81"/>
      <c r="J61" s="82" t="str">
        <f>IF(AND(A61&lt;&gt;"",E61&lt;&gt;""),IF(I61="","⚠️ Enter Code",IF(IFERROR(VLOOKUP(H61,DB_Agents!$B:$I,8,0),"")=I61,IF(C61&gt;=E61,"Successful","Unsuccessful"),"🔒 BLOCKED — Wrong Code")),"Pending")</f>
        <v>Pending</v>
      </c>
      <c r="K61" s="83" t="str">
        <f t="shared" ca="1" si="5"/>
        <v>—</v>
      </c>
      <c r="L61" s="84"/>
    </row>
    <row r="62" spans="1:12" ht="15" customHeight="1" x14ac:dyDescent="0.25">
      <c r="A62" s="85"/>
      <c r="B62" s="41" t="str">
        <f>IF(A62="","",IFERROR(VLOOKUP(A62,DB_Customers!$A:$D,4,0),"❌ Account Not Found"))</f>
        <v/>
      </c>
      <c r="C62" s="86" t="str">
        <f>IF(A62="","",IFERROR(VLOOKUP(A62,DB_Customers!$A:$N,14,0),"❌ Acct Not Found"))</f>
        <v/>
      </c>
      <c r="D62" s="87" t="str">
        <f t="shared" ca="1" si="3"/>
        <v/>
      </c>
      <c r="E62" s="94"/>
      <c r="F62" s="41"/>
      <c r="G62" s="96" t="str">
        <f t="shared" si="4"/>
        <v/>
      </c>
      <c r="H62" s="43" t="s">
        <v>133</v>
      </c>
      <c r="I62" s="81"/>
      <c r="J62" s="89" t="str">
        <f>IF(AND(A62&lt;&gt;"",E62&lt;&gt;""),IF(I62="","⚠️ Enter Code",IF(IFERROR(VLOOKUP(H62,DB_Agents!$B:$I,8,0),"")=I62,IF(C62&gt;=E62,"Successful","Unsuccessful"),"🔒 BLOCKED — Wrong Code")),"Pending")</f>
        <v>Pending</v>
      </c>
      <c r="K62" s="90" t="str">
        <f t="shared" ca="1" si="5"/>
        <v>—</v>
      </c>
      <c r="L62" s="91"/>
    </row>
    <row r="63" spans="1:12" ht="15" customHeight="1" x14ac:dyDescent="0.25">
      <c r="A63" s="76"/>
      <c r="B63" s="37" t="str">
        <f>IF(A63="","",IFERROR(VLOOKUP(A63,DB_Customers!$A:$D,4,0),"❌ Account Not Found"))</f>
        <v/>
      </c>
      <c r="C63" s="77" t="str">
        <f>IF(A63="","",IFERROR(VLOOKUP(A63,DB_Customers!$A:$N,14,0),"❌ Acct Not Found"))</f>
        <v/>
      </c>
      <c r="D63" s="78" t="str">
        <f t="shared" ca="1" si="3"/>
        <v/>
      </c>
      <c r="E63" s="94"/>
      <c r="F63" s="37"/>
      <c r="G63" s="95" t="str">
        <f t="shared" si="4"/>
        <v/>
      </c>
      <c r="H63" s="39" t="s">
        <v>133</v>
      </c>
      <c r="I63" s="81"/>
      <c r="J63" s="82" t="str">
        <f>IF(AND(A63&lt;&gt;"",E63&lt;&gt;""),IF(I63="","⚠️ Enter Code",IF(IFERROR(VLOOKUP(H63,DB_Agents!$B:$I,8,0),"")=I63,IF(C63&gt;=E63,"Successful","Unsuccessful"),"🔒 BLOCKED — Wrong Code")),"Pending")</f>
        <v>Pending</v>
      </c>
      <c r="K63" s="83" t="str">
        <f t="shared" ca="1" si="5"/>
        <v>—</v>
      </c>
      <c r="L63" s="84"/>
    </row>
    <row r="64" spans="1:12" ht="15" customHeight="1" x14ac:dyDescent="0.25">
      <c r="A64" s="85"/>
      <c r="B64" s="41" t="str">
        <f>IF(A64="","",IFERROR(VLOOKUP(A64,DB_Customers!$A:$D,4,0),"❌ Account Not Found"))</f>
        <v/>
      </c>
      <c r="C64" s="86" t="str">
        <f>IF(A64="","",IFERROR(VLOOKUP(A64,DB_Customers!$A:$N,14,0),"❌ Acct Not Found"))</f>
        <v/>
      </c>
      <c r="D64" s="87" t="str">
        <f t="shared" ca="1" si="3"/>
        <v/>
      </c>
      <c r="E64" s="94"/>
      <c r="F64" s="41"/>
      <c r="G64" s="96" t="str">
        <f t="shared" si="4"/>
        <v/>
      </c>
      <c r="H64" s="43" t="s">
        <v>133</v>
      </c>
      <c r="I64" s="81"/>
      <c r="J64" s="89" t="str">
        <f>IF(AND(A64&lt;&gt;"",E64&lt;&gt;""),IF(I64="","⚠️ Enter Code",IF(IFERROR(VLOOKUP(H64,DB_Agents!$B:$I,8,0),"")=I64,IF(C64&gt;=E64,"Successful","Unsuccessful"),"🔒 BLOCKED — Wrong Code")),"Pending")</f>
        <v>Pending</v>
      </c>
      <c r="K64" s="90" t="str">
        <f t="shared" ca="1" si="5"/>
        <v>—</v>
      </c>
      <c r="L64" s="91"/>
    </row>
    <row r="65" spans="1:12" ht="15" customHeight="1" x14ac:dyDescent="0.25">
      <c r="A65" s="76"/>
      <c r="B65" s="37" t="str">
        <f>IF(A65="","",IFERROR(VLOOKUP(A65,DB_Customers!$A:$D,4,0),"❌ Account Not Found"))</f>
        <v/>
      </c>
      <c r="C65" s="77" t="str">
        <f>IF(A65="","",IFERROR(VLOOKUP(A65,DB_Customers!$A:$N,14,0),"❌ Acct Not Found"))</f>
        <v/>
      </c>
      <c r="D65" s="78" t="str">
        <f t="shared" ca="1" si="3"/>
        <v/>
      </c>
      <c r="E65" s="94"/>
      <c r="F65" s="37"/>
      <c r="G65" s="95" t="str">
        <f t="shared" si="4"/>
        <v/>
      </c>
      <c r="H65" s="39" t="s">
        <v>133</v>
      </c>
      <c r="I65" s="81"/>
      <c r="J65" s="82" t="str">
        <f>IF(AND(A65&lt;&gt;"",E65&lt;&gt;""),IF(I65="","⚠️ Enter Code",IF(IFERROR(VLOOKUP(H65,DB_Agents!$B:$I,8,0),"")=I65,IF(C65&gt;=E65,"Successful","Unsuccessful"),"🔒 BLOCKED — Wrong Code")),"Pending")</f>
        <v>Pending</v>
      </c>
      <c r="K65" s="83" t="str">
        <f t="shared" ca="1" si="5"/>
        <v>—</v>
      </c>
      <c r="L65" s="84"/>
    </row>
    <row r="66" spans="1:12" ht="15" customHeight="1" x14ac:dyDescent="0.25">
      <c r="A66" s="85"/>
      <c r="B66" s="41" t="str">
        <f>IF(A66="","",IFERROR(VLOOKUP(A66,DB_Customers!$A:$D,4,0),"❌ Account Not Found"))</f>
        <v/>
      </c>
      <c r="C66" s="86" t="str">
        <f>IF(A66="","",IFERROR(VLOOKUP(A66,DB_Customers!$A:$N,14,0),"❌ Acct Not Found"))</f>
        <v/>
      </c>
      <c r="D66" s="87" t="str">
        <f t="shared" ca="1" si="3"/>
        <v/>
      </c>
      <c r="E66" s="94"/>
      <c r="F66" s="41"/>
      <c r="G66" s="96" t="str">
        <f t="shared" si="4"/>
        <v/>
      </c>
      <c r="H66" s="43" t="s">
        <v>133</v>
      </c>
      <c r="I66" s="81"/>
      <c r="J66" s="89" t="str">
        <f>IF(AND(A66&lt;&gt;"",E66&lt;&gt;""),IF(I66="","⚠️ Enter Code",IF(IFERROR(VLOOKUP(H66,DB_Agents!$B:$I,8,0),"")=I66,IF(C66&gt;=E66,"Successful","Unsuccessful"),"🔒 BLOCKED — Wrong Code")),"Pending")</f>
        <v>Pending</v>
      </c>
      <c r="K66" s="90" t="str">
        <f t="shared" ca="1" si="5"/>
        <v>—</v>
      </c>
      <c r="L66" s="91"/>
    </row>
    <row r="67" spans="1:12" ht="15" customHeight="1" x14ac:dyDescent="0.25">
      <c r="A67" s="76"/>
      <c r="B67" s="37" t="str">
        <f>IF(A67="","",IFERROR(VLOOKUP(A67,DB_Customers!$A:$D,4,0),"❌ Account Not Found"))</f>
        <v/>
      </c>
      <c r="C67" s="77" t="str">
        <f>IF(A67="","",IFERROR(VLOOKUP(A67,DB_Customers!$A:$N,14,0),"❌ Acct Not Found"))</f>
        <v/>
      </c>
      <c r="D67" s="78" t="str">
        <f t="shared" ca="1" si="3"/>
        <v/>
      </c>
      <c r="E67" s="94"/>
      <c r="F67" s="37"/>
      <c r="G67" s="95" t="str">
        <f t="shared" si="4"/>
        <v/>
      </c>
      <c r="H67" s="39" t="s">
        <v>133</v>
      </c>
      <c r="I67" s="81"/>
      <c r="J67" s="82" t="str">
        <f>IF(AND(A67&lt;&gt;"",E67&lt;&gt;""),IF(I67="","⚠️ Enter Code",IF(IFERROR(VLOOKUP(H67,DB_Agents!$B:$I,8,0),"")=I67,IF(C67&gt;=E67,"Successful","Unsuccessful"),"🔒 BLOCKED — Wrong Code")),"Pending")</f>
        <v>Pending</v>
      </c>
      <c r="K67" s="83" t="str">
        <f t="shared" ca="1" si="5"/>
        <v>—</v>
      </c>
      <c r="L67" s="84"/>
    </row>
    <row r="68" spans="1:12" ht="15" customHeight="1" x14ac:dyDescent="0.25">
      <c r="A68" s="85"/>
      <c r="B68" s="41" t="str">
        <f>IF(A68="","",IFERROR(VLOOKUP(A68,DB_Customers!$A:$D,4,0),"❌ Account Not Found"))</f>
        <v/>
      </c>
      <c r="C68" s="86" t="str">
        <f>IF(A68="","",IFERROR(VLOOKUP(A68,DB_Customers!$A:$N,14,0),"❌ Acct Not Found"))</f>
        <v/>
      </c>
      <c r="D68" s="87" t="str">
        <f t="shared" ca="1" si="3"/>
        <v/>
      </c>
      <c r="E68" s="94"/>
      <c r="F68" s="41"/>
      <c r="G68" s="96" t="str">
        <f t="shared" si="4"/>
        <v/>
      </c>
      <c r="H68" s="43" t="s">
        <v>133</v>
      </c>
      <c r="I68" s="81"/>
      <c r="J68" s="89" t="str">
        <f>IF(AND(A68&lt;&gt;"",E68&lt;&gt;""),IF(I68="","⚠️ Enter Code",IF(IFERROR(VLOOKUP(H68,DB_Agents!$B:$I,8,0),"")=I68,IF(C68&gt;=E68,"Successful","Unsuccessful"),"🔒 BLOCKED — Wrong Code")),"Pending")</f>
        <v>Pending</v>
      </c>
      <c r="K68" s="90" t="str">
        <f t="shared" ca="1" si="5"/>
        <v>—</v>
      </c>
      <c r="L68" s="91"/>
    </row>
    <row r="69" spans="1:12" ht="15" customHeight="1" x14ac:dyDescent="0.25">
      <c r="A69" s="76"/>
      <c r="B69" s="37" t="str">
        <f>IF(A69="","",IFERROR(VLOOKUP(A69,DB_Customers!$A:$D,4,0),"❌ Account Not Found"))</f>
        <v/>
      </c>
      <c r="C69" s="77" t="str">
        <f>IF(A69="","",IFERROR(VLOOKUP(A69,DB_Customers!$A:$N,14,0),"❌ Acct Not Found"))</f>
        <v/>
      </c>
      <c r="D69" s="78" t="str">
        <f t="shared" ca="1" si="3"/>
        <v/>
      </c>
      <c r="E69" s="94"/>
      <c r="F69" s="37"/>
      <c r="G69" s="95" t="str">
        <f t="shared" si="4"/>
        <v/>
      </c>
      <c r="H69" s="39" t="s">
        <v>133</v>
      </c>
      <c r="I69" s="81"/>
      <c r="J69" s="82" t="str">
        <f>IF(AND(A69&lt;&gt;"",E69&lt;&gt;""),IF(I69="","⚠️ Enter Code",IF(IFERROR(VLOOKUP(H69,DB_Agents!$B:$I,8,0),"")=I69,IF(C69&gt;=E69,"Successful","Unsuccessful"),"🔒 BLOCKED — Wrong Code")),"Pending")</f>
        <v>Pending</v>
      </c>
      <c r="K69" s="83" t="str">
        <f t="shared" ca="1" si="5"/>
        <v>—</v>
      </c>
      <c r="L69" s="84"/>
    </row>
    <row r="70" spans="1:12" ht="15" customHeight="1" x14ac:dyDescent="0.25">
      <c r="A70" s="85"/>
      <c r="B70" s="41" t="str">
        <f>IF(A70="","",IFERROR(VLOOKUP(A70,DB_Customers!$A:$D,4,0),"❌ Account Not Found"))</f>
        <v/>
      </c>
      <c r="C70" s="86" t="str">
        <f>IF(A70="","",IFERROR(VLOOKUP(A70,DB_Customers!$A:$N,14,0),"❌ Acct Not Found"))</f>
        <v/>
      </c>
      <c r="D70" s="87" t="str">
        <f t="shared" ca="1" si="3"/>
        <v/>
      </c>
      <c r="E70" s="94"/>
      <c r="F70" s="41"/>
      <c r="G70" s="96" t="str">
        <f t="shared" si="4"/>
        <v/>
      </c>
      <c r="H70" s="43" t="s">
        <v>133</v>
      </c>
      <c r="I70" s="81"/>
      <c r="J70" s="89" t="str">
        <f>IF(AND(A70&lt;&gt;"",E70&lt;&gt;""),IF(I70="","⚠️ Enter Code",IF(IFERROR(VLOOKUP(H70,DB_Agents!$B:$I,8,0),"")=I70,IF(C70&gt;=E70,"Successful","Unsuccessful"),"🔒 BLOCKED — Wrong Code")),"Pending")</f>
        <v>Pending</v>
      </c>
      <c r="K70" s="90" t="str">
        <f t="shared" ca="1" si="5"/>
        <v>—</v>
      </c>
      <c r="L70" s="91"/>
    </row>
    <row r="71" spans="1:12" ht="15" customHeight="1" x14ac:dyDescent="0.25">
      <c r="A71" s="76"/>
      <c r="B71" s="37" t="str">
        <f>IF(A71="","",IFERROR(VLOOKUP(A71,DB_Customers!$A:$D,4,0),"❌ Account Not Found"))</f>
        <v/>
      </c>
      <c r="C71" s="77" t="str">
        <f>IF(A71="","",IFERROR(VLOOKUP(A71,DB_Customers!$A:$N,14,0),"❌ Acct Not Found"))</f>
        <v/>
      </c>
      <c r="D71" s="78" t="str">
        <f t="shared" ca="1" si="3"/>
        <v/>
      </c>
      <c r="E71" s="94"/>
      <c r="F71" s="37"/>
      <c r="G71" s="95" t="str">
        <f t="shared" si="4"/>
        <v/>
      </c>
      <c r="H71" s="39" t="s">
        <v>133</v>
      </c>
      <c r="I71" s="81"/>
      <c r="J71" s="82" t="str">
        <f>IF(AND(A71&lt;&gt;"",E71&lt;&gt;""),IF(I71="","⚠️ Enter Code",IF(IFERROR(VLOOKUP(H71,DB_Agents!$B:$I,8,0),"")=I71,IF(C71&gt;=E71,"Successful","Unsuccessful"),"🔒 BLOCKED — Wrong Code")),"Pending")</f>
        <v>Pending</v>
      </c>
      <c r="K71" s="83" t="str">
        <f t="shared" ca="1" si="5"/>
        <v>—</v>
      </c>
      <c r="L71" s="84"/>
    </row>
    <row r="72" spans="1:12" ht="15" customHeight="1" x14ac:dyDescent="0.25">
      <c r="A72" s="85"/>
      <c r="B72" s="41" t="str">
        <f>IF(A72="","",IFERROR(VLOOKUP(A72,DB_Customers!$A:$D,4,0),"❌ Account Not Found"))</f>
        <v/>
      </c>
      <c r="C72" s="86" t="str">
        <f>IF(A72="","",IFERROR(VLOOKUP(A72,DB_Customers!$A:$N,14,0),"❌ Acct Not Found"))</f>
        <v/>
      </c>
      <c r="D72" s="87" t="str">
        <f t="shared" ca="1" si="3"/>
        <v/>
      </c>
      <c r="E72" s="94"/>
      <c r="F72" s="41"/>
      <c r="G72" s="96" t="str">
        <f t="shared" si="4"/>
        <v/>
      </c>
      <c r="H72" s="43" t="s">
        <v>133</v>
      </c>
      <c r="I72" s="81"/>
      <c r="J72" s="89" t="str">
        <f>IF(AND(A72&lt;&gt;"",E72&lt;&gt;""),IF(I72="","⚠️ Enter Code",IF(IFERROR(VLOOKUP(H72,DB_Agents!$B:$I,8,0),"")=I72,IF(C72&gt;=E72,"Successful","Unsuccessful"),"🔒 BLOCKED — Wrong Code")),"Pending")</f>
        <v>Pending</v>
      </c>
      <c r="K72" s="90" t="str">
        <f t="shared" ca="1" si="5"/>
        <v>—</v>
      </c>
      <c r="L72" s="91"/>
    </row>
    <row r="73" spans="1:12" ht="15" customHeight="1" x14ac:dyDescent="0.25">
      <c r="A73" s="76"/>
      <c r="B73" s="37" t="str">
        <f>IF(A73="","",IFERROR(VLOOKUP(A73,DB_Customers!$A:$D,4,0),"❌ Account Not Found"))</f>
        <v/>
      </c>
      <c r="C73" s="77" t="str">
        <f>IF(A73="","",IFERROR(VLOOKUP(A73,DB_Customers!$A:$N,14,0),"❌ Acct Not Found"))</f>
        <v/>
      </c>
      <c r="D73" s="78" t="str">
        <f t="shared" ref="D73:D104" ca="1" si="6">IF(A73="","",TODAY())</f>
        <v/>
      </c>
      <c r="E73" s="94"/>
      <c r="F73" s="37"/>
      <c r="G73" s="95" t="str">
        <f t="shared" ref="G73:G104" si="7">IF(OR(A73="",E73=""),"",IF(C73="","",C73-E73))</f>
        <v/>
      </c>
      <c r="H73" s="39" t="s">
        <v>133</v>
      </c>
      <c r="I73" s="81"/>
      <c r="J73" s="82" t="str">
        <f>IF(AND(A73&lt;&gt;"",E73&lt;&gt;""),IF(I73="","⚠️ Enter Code",IF(IFERROR(VLOOKUP(H73,DB_Agents!$B:$I,8,0),"")=I73,IF(C73&gt;=E73,"Successful","Unsuccessful"),"🔒 BLOCKED — Wrong Code")),"Pending")</f>
        <v>Pending</v>
      </c>
      <c r="K73" s="83" t="str">
        <f t="shared" ref="K73:K104" ca="1" si="8">IF(J73="Successful",TEXT(TODAY(),"YYYY-MM-DD")&amp;" Auto","—")</f>
        <v>—</v>
      </c>
      <c r="L73" s="84"/>
    </row>
    <row r="74" spans="1:12" ht="15" customHeight="1" x14ac:dyDescent="0.25">
      <c r="A74" s="85"/>
      <c r="B74" s="41" t="str">
        <f>IF(A74="","",IFERROR(VLOOKUP(A74,DB_Customers!$A:$D,4,0),"❌ Account Not Found"))</f>
        <v/>
      </c>
      <c r="C74" s="86" t="str">
        <f>IF(A74="","",IFERROR(VLOOKUP(A74,DB_Customers!$A:$N,14,0),"❌ Acct Not Found"))</f>
        <v/>
      </c>
      <c r="D74" s="87" t="str">
        <f t="shared" ca="1" si="6"/>
        <v/>
      </c>
      <c r="E74" s="94"/>
      <c r="F74" s="41"/>
      <c r="G74" s="96" t="str">
        <f t="shared" si="7"/>
        <v/>
      </c>
      <c r="H74" s="43" t="s">
        <v>133</v>
      </c>
      <c r="I74" s="81"/>
      <c r="J74" s="89" t="str">
        <f>IF(AND(A74&lt;&gt;"",E74&lt;&gt;""),IF(I74="","⚠️ Enter Code",IF(IFERROR(VLOOKUP(H74,DB_Agents!$B:$I,8,0),"")=I74,IF(C74&gt;=E74,"Successful","Unsuccessful"),"🔒 BLOCKED — Wrong Code")),"Pending")</f>
        <v>Pending</v>
      </c>
      <c r="K74" s="90" t="str">
        <f t="shared" ca="1" si="8"/>
        <v>—</v>
      </c>
      <c r="L74" s="91"/>
    </row>
    <row r="75" spans="1:12" ht="15" customHeight="1" x14ac:dyDescent="0.25">
      <c r="A75" s="76"/>
      <c r="B75" s="37" t="str">
        <f>IF(A75="","",IFERROR(VLOOKUP(A75,DB_Customers!$A:$D,4,0),"❌ Account Not Found"))</f>
        <v/>
      </c>
      <c r="C75" s="77" t="str">
        <f>IF(A75="","",IFERROR(VLOOKUP(A75,DB_Customers!$A:$N,14,0),"❌ Acct Not Found"))</f>
        <v/>
      </c>
      <c r="D75" s="78" t="str">
        <f t="shared" ca="1" si="6"/>
        <v/>
      </c>
      <c r="E75" s="94"/>
      <c r="F75" s="37"/>
      <c r="G75" s="95" t="str">
        <f t="shared" si="7"/>
        <v/>
      </c>
      <c r="H75" s="39" t="s">
        <v>133</v>
      </c>
      <c r="I75" s="81"/>
      <c r="J75" s="82" t="str">
        <f>IF(AND(A75&lt;&gt;"",E75&lt;&gt;""),IF(I75="","⚠️ Enter Code",IF(IFERROR(VLOOKUP(H75,DB_Agents!$B:$I,8,0),"")=I75,IF(C75&gt;=E75,"Successful","Unsuccessful"),"🔒 BLOCKED — Wrong Code")),"Pending")</f>
        <v>Pending</v>
      </c>
      <c r="K75" s="83" t="str">
        <f t="shared" ca="1" si="8"/>
        <v>—</v>
      </c>
      <c r="L75" s="84"/>
    </row>
    <row r="76" spans="1:12" ht="15" customHeight="1" x14ac:dyDescent="0.25">
      <c r="A76" s="85"/>
      <c r="B76" s="41" t="str">
        <f>IF(A76="","",IFERROR(VLOOKUP(A76,DB_Customers!$A:$D,4,0),"❌ Account Not Found"))</f>
        <v/>
      </c>
      <c r="C76" s="86" t="str">
        <f>IF(A76="","",IFERROR(VLOOKUP(A76,DB_Customers!$A:$N,14,0),"❌ Acct Not Found"))</f>
        <v/>
      </c>
      <c r="D76" s="87" t="str">
        <f t="shared" ca="1" si="6"/>
        <v/>
      </c>
      <c r="E76" s="94"/>
      <c r="F76" s="41"/>
      <c r="G76" s="96" t="str">
        <f t="shared" si="7"/>
        <v/>
      </c>
      <c r="H76" s="43" t="s">
        <v>133</v>
      </c>
      <c r="I76" s="81"/>
      <c r="J76" s="89" t="str">
        <f>IF(AND(A76&lt;&gt;"",E76&lt;&gt;""),IF(I76="","⚠️ Enter Code",IF(IFERROR(VLOOKUP(H76,DB_Agents!$B:$I,8,0),"")=I76,IF(C76&gt;=E76,"Successful","Unsuccessful"),"🔒 BLOCKED — Wrong Code")),"Pending")</f>
        <v>Pending</v>
      </c>
      <c r="K76" s="90" t="str">
        <f t="shared" ca="1" si="8"/>
        <v>—</v>
      </c>
      <c r="L76" s="91"/>
    </row>
    <row r="77" spans="1:12" ht="15" customHeight="1" x14ac:dyDescent="0.25">
      <c r="A77" s="76"/>
      <c r="B77" s="37" t="str">
        <f>IF(A77="","",IFERROR(VLOOKUP(A77,DB_Customers!$A:$D,4,0),"❌ Account Not Found"))</f>
        <v/>
      </c>
      <c r="C77" s="77" t="str">
        <f>IF(A77="","",IFERROR(VLOOKUP(A77,DB_Customers!$A:$N,14,0),"❌ Acct Not Found"))</f>
        <v/>
      </c>
      <c r="D77" s="78" t="str">
        <f t="shared" ca="1" si="6"/>
        <v/>
      </c>
      <c r="E77" s="94"/>
      <c r="F77" s="37"/>
      <c r="G77" s="95" t="str">
        <f t="shared" si="7"/>
        <v/>
      </c>
      <c r="H77" s="39" t="s">
        <v>133</v>
      </c>
      <c r="I77" s="81"/>
      <c r="J77" s="82" t="str">
        <f>IF(AND(A77&lt;&gt;"",E77&lt;&gt;""),IF(I77="","⚠️ Enter Code",IF(IFERROR(VLOOKUP(H77,DB_Agents!$B:$I,8,0),"")=I77,IF(C77&gt;=E77,"Successful","Unsuccessful"),"🔒 BLOCKED — Wrong Code")),"Pending")</f>
        <v>Pending</v>
      </c>
      <c r="K77" s="83" t="str">
        <f t="shared" ca="1" si="8"/>
        <v>—</v>
      </c>
      <c r="L77" s="84"/>
    </row>
    <row r="78" spans="1:12" ht="15" customHeight="1" x14ac:dyDescent="0.25">
      <c r="A78" s="85"/>
      <c r="B78" s="41" t="str">
        <f>IF(A78="","",IFERROR(VLOOKUP(A78,DB_Customers!$A:$D,4,0),"❌ Account Not Found"))</f>
        <v/>
      </c>
      <c r="C78" s="86" t="str">
        <f>IF(A78="","",IFERROR(VLOOKUP(A78,DB_Customers!$A:$N,14,0),"❌ Acct Not Found"))</f>
        <v/>
      </c>
      <c r="D78" s="87" t="str">
        <f t="shared" ca="1" si="6"/>
        <v/>
      </c>
      <c r="E78" s="94"/>
      <c r="F78" s="41"/>
      <c r="G78" s="96" t="str">
        <f t="shared" si="7"/>
        <v/>
      </c>
      <c r="H78" s="43" t="s">
        <v>133</v>
      </c>
      <c r="I78" s="81"/>
      <c r="J78" s="89" t="str">
        <f>IF(AND(A78&lt;&gt;"",E78&lt;&gt;""),IF(I78="","⚠️ Enter Code",IF(IFERROR(VLOOKUP(H78,DB_Agents!$B:$I,8,0),"")=I78,IF(C78&gt;=E78,"Successful","Unsuccessful"),"🔒 BLOCKED — Wrong Code")),"Pending")</f>
        <v>Pending</v>
      </c>
      <c r="K78" s="90" t="str">
        <f t="shared" ca="1" si="8"/>
        <v>—</v>
      </c>
      <c r="L78" s="91"/>
    </row>
    <row r="79" spans="1:12" ht="15" customHeight="1" x14ac:dyDescent="0.25">
      <c r="A79" s="76"/>
      <c r="B79" s="37" t="str">
        <f>IF(A79="","",IFERROR(VLOOKUP(A79,DB_Customers!$A:$D,4,0),"❌ Account Not Found"))</f>
        <v/>
      </c>
      <c r="C79" s="77" t="str">
        <f>IF(A79="","",IFERROR(VLOOKUP(A79,DB_Customers!$A:$N,14,0),"❌ Acct Not Found"))</f>
        <v/>
      </c>
      <c r="D79" s="78" t="str">
        <f t="shared" ca="1" si="6"/>
        <v/>
      </c>
      <c r="E79" s="94"/>
      <c r="F79" s="37"/>
      <c r="G79" s="95" t="str">
        <f t="shared" si="7"/>
        <v/>
      </c>
      <c r="H79" s="39" t="s">
        <v>133</v>
      </c>
      <c r="I79" s="81"/>
      <c r="J79" s="82" t="str">
        <f>IF(AND(A79&lt;&gt;"",E79&lt;&gt;""),IF(I79="","⚠️ Enter Code",IF(IFERROR(VLOOKUP(H79,DB_Agents!$B:$I,8,0),"")=I79,IF(C79&gt;=E79,"Successful","Unsuccessful"),"🔒 BLOCKED — Wrong Code")),"Pending")</f>
        <v>Pending</v>
      </c>
      <c r="K79" s="83" t="str">
        <f t="shared" ca="1" si="8"/>
        <v>—</v>
      </c>
      <c r="L79" s="84"/>
    </row>
    <row r="80" spans="1:12" ht="15" customHeight="1" x14ac:dyDescent="0.25">
      <c r="A80" s="85"/>
      <c r="B80" s="41" t="str">
        <f>IF(A80="","",IFERROR(VLOOKUP(A80,DB_Customers!$A:$D,4,0),"❌ Account Not Found"))</f>
        <v/>
      </c>
      <c r="C80" s="86" t="str">
        <f>IF(A80="","",IFERROR(VLOOKUP(A80,DB_Customers!$A:$N,14,0),"❌ Acct Not Found"))</f>
        <v/>
      </c>
      <c r="D80" s="87" t="str">
        <f t="shared" ca="1" si="6"/>
        <v/>
      </c>
      <c r="E80" s="94"/>
      <c r="F80" s="41"/>
      <c r="G80" s="96" t="str">
        <f t="shared" si="7"/>
        <v/>
      </c>
      <c r="H80" s="43" t="s">
        <v>133</v>
      </c>
      <c r="I80" s="81"/>
      <c r="J80" s="89" t="str">
        <f>IF(AND(A80&lt;&gt;"",E80&lt;&gt;""),IF(I80="","⚠️ Enter Code",IF(IFERROR(VLOOKUP(H80,DB_Agents!$B:$I,8,0),"")=I80,IF(C80&gt;=E80,"Successful","Unsuccessful"),"🔒 BLOCKED — Wrong Code")),"Pending")</f>
        <v>Pending</v>
      </c>
      <c r="K80" s="90" t="str">
        <f t="shared" ca="1" si="8"/>
        <v>—</v>
      </c>
      <c r="L80" s="91"/>
    </row>
    <row r="81" spans="1:12" ht="15" customHeight="1" x14ac:dyDescent="0.25">
      <c r="A81" s="76"/>
      <c r="B81" s="37" t="str">
        <f>IF(A81="","",IFERROR(VLOOKUP(A81,DB_Customers!$A:$D,4,0),"❌ Account Not Found"))</f>
        <v/>
      </c>
      <c r="C81" s="77" t="str">
        <f>IF(A81="","",IFERROR(VLOOKUP(A81,DB_Customers!$A:$N,14,0),"❌ Acct Not Found"))</f>
        <v/>
      </c>
      <c r="D81" s="78" t="str">
        <f t="shared" ca="1" si="6"/>
        <v/>
      </c>
      <c r="E81" s="94"/>
      <c r="F81" s="37"/>
      <c r="G81" s="95" t="str">
        <f t="shared" si="7"/>
        <v/>
      </c>
      <c r="H81" s="39" t="s">
        <v>133</v>
      </c>
      <c r="I81" s="81"/>
      <c r="J81" s="82" t="str">
        <f>IF(AND(A81&lt;&gt;"",E81&lt;&gt;""),IF(I81="","⚠️ Enter Code",IF(IFERROR(VLOOKUP(H81,DB_Agents!$B:$I,8,0),"")=I81,IF(C81&gt;=E81,"Successful","Unsuccessful"),"🔒 BLOCKED — Wrong Code")),"Pending")</f>
        <v>Pending</v>
      </c>
      <c r="K81" s="83" t="str">
        <f t="shared" ca="1" si="8"/>
        <v>—</v>
      </c>
      <c r="L81" s="84"/>
    </row>
    <row r="82" spans="1:12" ht="15" customHeight="1" x14ac:dyDescent="0.25">
      <c r="A82" s="85"/>
      <c r="B82" s="41" t="str">
        <f>IF(A82="","",IFERROR(VLOOKUP(A82,DB_Customers!$A:$D,4,0),"❌ Account Not Found"))</f>
        <v/>
      </c>
      <c r="C82" s="86" t="str">
        <f>IF(A82="","",IFERROR(VLOOKUP(A82,DB_Customers!$A:$N,14,0),"❌ Acct Not Found"))</f>
        <v/>
      </c>
      <c r="D82" s="87" t="str">
        <f t="shared" ca="1" si="6"/>
        <v/>
      </c>
      <c r="E82" s="94"/>
      <c r="F82" s="41"/>
      <c r="G82" s="96" t="str">
        <f t="shared" si="7"/>
        <v/>
      </c>
      <c r="H82" s="43" t="s">
        <v>133</v>
      </c>
      <c r="I82" s="81"/>
      <c r="J82" s="89" t="str">
        <f>IF(AND(A82&lt;&gt;"",E82&lt;&gt;""),IF(I82="","⚠️ Enter Code",IF(IFERROR(VLOOKUP(H82,DB_Agents!$B:$I,8,0),"")=I82,IF(C82&gt;=E82,"Successful","Unsuccessful"),"🔒 BLOCKED — Wrong Code")),"Pending")</f>
        <v>Pending</v>
      </c>
      <c r="K82" s="90" t="str">
        <f t="shared" ca="1" si="8"/>
        <v>—</v>
      </c>
      <c r="L82" s="91"/>
    </row>
    <row r="83" spans="1:12" ht="15" customHeight="1" x14ac:dyDescent="0.25">
      <c r="A83" s="76"/>
      <c r="B83" s="37" t="str">
        <f>IF(A83="","",IFERROR(VLOOKUP(A83,DB_Customers!$A:$D,4,0),"❌ Account Not Found"))</f>
        <v/>
      </c>
      <c r="C83" s="77" t="str">
        <f>IF(A83="","",IFERROR(VLOOKUP(A83,DB_Customers!$A:$N,14,0),"❌ Acct Not Found"))</f>
        <v/>
      </c>
      <c r="D83" s="78" t="str">
        <f t="shared" ca="1" si="6"/>
        <v/>
      </c>
      <c r="E83" s="94"/>
      <c r="F83" s="37"/>
      <c r="G83" s="95" t="str">
        <f t="shared" si="7"/>
        <v/>
      </c>
      <c r="H83" s="39" t="s">
        <v>133</v>
      </c>
      <c r="I83" s="81"/>
      <c r="J83" s="82" t="str">
        <f>IF(AND(A83&lt;&gt;"",E83&lt;&gt;""),IF(I83="","⚠️ Enter Code",IF(IFERROR(VLOOKUP(H83,DB_Agents!$B:$I,8,0),"")=I83,IF(C83&gt;=E83,"Successful","Unsuccessful"),"🔒 BLOCKED — Wrong Code")),"Pending")</f>
        <v>Pending</v>
      </c>
      <c r="K83" s="83" t="str">
        <f t="shared" ca="1" si="8"/>
        <v>—</v>
      </c>
      <c r="L83" s="84"/>
    </row>
    <row r="84" spans="1:12" ht="15" customHeight="1" x14ac:dyDescent="0.25">
      <c r="A84" s="85"/>
      <c r="B84" s="41" t="str">
        <f>IF(A84="","",IFERROR(VLOOKUP(A84,DB_Customers!$A:$D,4,0),"❌ Account Not Found"))</f>
        <v/>
      </c>
      <c r="C84" s="86" t="str">
        <f>IF(A84="","",IFERROR(VLOOKUP(A84,DB_Customers!$A:$N,14,0),"❌ Acct Not Found"))</f>
        <v/>
      </c>
      <c r="D84" s="87" t="str">
        <f t="shared" ca="1" si="6"/>
        <v/>
      </c>
      <c r="E84" s="94"/>
      <c r="F84" s="41"/>
      <c r="G84" s="96" t="str">
        <f t="shared" si="7"/>
        <v/>
      </c>
      <c r="H84" s="43" t="s">
        <v>133</v>
      </c>
      <c r="I84" s="81"/>
      <c r="J84" s="89" t="str">
        <f>IF(AND(A84&lt;&gt;"",E84&lt;&gt;""),IF(I84="","⚠️ Enter Code",IF(IFERROR(VLOOKUP(H84,DB_Agents!$B:$I,8,0),"")=I84,IF(C84&gt;=E84,"Successful","Unsuccessful"),"🔒 BLOCKED — Wrong Code")),"Pending")</f>
        <v>Pending</v>
      </c>
      <c r="K84" s="90" t="str">
        <f t="shared" ca="1" si="8"/>
        <v>—</v>
      </c>
      <c r="L84" s="91"/>
    </row>
    <row r="85" spans="1:12" ht="15" customHeight="1" x14ac:dyDescent="0.25">
      <c r="A85" s="76"/>
      <c r="B85" s="37" t="str">
        <f>IF(A85="","",IFERROR(VLOOKUP(A85,DB_Customers!$A:$D,4,0),"❌ Account Not Found"))</f>
        <v/>
      </c>
      <c r="C85" s="77" t="str">
        <f>IF(A85="","",IFERROR(VLOOKUP(A85,DB_Customers!$A:$N,14,0),"❌ Acct Not Found"))</f>
        <v/>
      </c>
      <c r="D85" s="78" t="str">
        <f t="shared" ca="1" si="6"/>
        <v/>
      </c>
      <c r="E85" s="94"/>
      <c r="F85" s="37"/>
      <c r="G85" s="95" t="str">
        <f t="shared" si="7"/>
        <v/>
      </c>
      <c r="H85" s="39" t="s">
        <v>133</v>
      </c>
      <c r="I85" s="81"/>
      <c r="J85" s="82" t="str">
        <f>IF(AND(A85&lt;&gt;"",E85&lt;&gt;""),IF(I85="","⚠️ Enter Code",IF(IFERROR(VLOOKUP(H85,DB_Agents!$B:$I,8,0),"")=I85,IF(C85&gt;=E85,"Successful","Unsuccessful"),"🔒 BLOCKED — Wrong Code")),"Pending")</f>
        <v>Pending</v>
      </c>
      <c r="K85" s="83" t="str">
        <f t="shared" ca="1" si="8"/>
        <v>—</v>
      </c>
      <c r="L85" s="84"/>
    </row>
    <row r="86" spans="1:12" ht="15" customHeight="1" x14ac:dyDescent="0.25">
      <c r="A86" s="85"/>
      <c r="B86" s="41" t="str">
        <f>IF(A86="","",IFERROR(VLOOKUP(A86,DB_Customers!$A:$D,4,0),"❌ Account Not Found"))</f>
        <v/>
      </c>
      <c r="C86" s="86" t="str">
        <f>IF(A86="","",IFERROR(VLOOKUP(A86,DB_Customers!$A:$N,14,0),"❌ Acct Not Found"))</f>
        <v/>
      </c>
      <c r="D86" s="87" t="str">
        <f t="shared" ca="1" si="6"/>
        <v/>
      </c>
      <c r="E86" s="94"/>
      <c r="F86" s="41"/>
      <c r="G86" s="96" t="str">
        <f t="shared" si="7"/>
        <v/>
      </c>
      <c r="H86" s="43" t="s">
        <v>133</v>
      </c>
      <c r="I86" s="81"/>
      <c r="J86" s="89" t="str">
        <f>IF(AND(A86&lt;&gt;"",E86&lt;&gt;""),IF(I86="","⚠️ Enter Code",IF(IFERROR(VLOOKUP(H86,DB_Agents!$B:$I,8,0),"")=I86,IF(C86&gt;=E86,"Successful","Unsuccessful"),"🔒 BLOCKED — Wrong Code")),"Pending")</f>
        <v>Pending</v>
      </c>
      <c r="K86" s="90" t="str">
        <f t="shared" ca="1" si="8"/>
        <v>—</v>
      </c>
      <c r="L86" s="91"/>
    </row>
    <row r="87" spans="1:12" ht="15" customHeight="1" x14ac:dyDescent="0.25">
      <c r="A87" s="76"/>
      <c r="B87" s="37" t="str">
        <f>IF(A87="","",IFERROR(VLOOKUP(A87,DB_Customers!$A:$D,4,0),"❌ Account Not Found"))</f>
        <v/>
      </c>
      <c r="C87" s="77" t="str">
        <f>IF(A87="","",IFERROR(VLOOKUP(A87,DB_Customers!$A:$N,14,0),"❌ Acct Not Found"))</f>
        <v/>
      </c>
      <c r="D87" s="78" t="str">
        <f t="shared" ca="1" si="6"/>
        <v/>
      </c>
      <c r="E87" s="94"/>
      <c r="F87" s="37"/>
      <c r="G87" s="95" t="str">
        <f t="shared" si="7"/>
        <v/>
      </c>
      <c r="H87" s="39" t="s">
        <v>133</v>
      </c>
      <c r="I87" s="81"/>
      <c r="J87" s="82" t="str">
        <f>IF(AND(A87&lt;&gt;"",E87&lt;&gt;""),IF(I87="","⚠️ Enter Code",IF(IFERROR(VLOOKUP(H87,DB_Agents!$B:$I,8,0),"")=I87,IF(C87&gt;=E87,"Successful","Unsuccessful"),"🔒 BLOCKED — Wrong Code")),"Pending")</f>
        <v>Pending</v>
      </c>
      <c r="K87" s="83" t="str">
        <f t="shared" ca="1" si="8"/>
        <v>—</v>
      </c>
      <c r="L87" s="84"/>
    </row>
    <row r="88" spans="1:12" ht="15" customHeight="1" x14ac:dyDescent="0.25">
      <c r="A88" s="85"/>
      <c r="B88" s="41" t="str">
        <f>IF(A88="","",IFERROR(VLOOKUP(A88,DB_Customers!$A:$D,4,0),"❌ Account Not Found"))</f>
        <v/>
      </c>
      <c r="C88" s="86" t="str">
        <f>IF(A88="","",IFERROR(VLOOKUP(A88,DB_Customers!$A:$N,14,0),"❌ Acct Not Found"))</f>
        <v/>
      </c>
      <c r="D88" s="87" t="str">
        <f t="shared" ca="1" si="6"/>
        <v/>
      </c>
      <c r="E88" s="94"/>
      <c r="F88" s="41"/>
      <c r="G88" s="96" t="str">
        <f t="shared" si="7"/>
        <v/>
      </c>
      <c r="H88" s="43" t="s">
        <v>133</v>
      </c>
      <c r="I88" s="81"/>
      <c r="J88" s="89" t="str">
        <f>IF(AND(A88&lt;&gt;"",E88&lt;&gt;""),IF(I88="","⚠️ Enter Code",IF(IFERROR(VLOOKUP(H88,DB_Agents!$B:$I,8,0),"")=I88,IF(C88&gt;=E88,"Successful","Unsuccessful"),"🔒 BLOCKED — Wrong Code")),"Pending")</f>
        <v>Pending</v>
      </c>
      <c r="K88" s="90" t="str">
        <f t="shared" ca="1" si="8"/>
        <v>—</v>
      </c>
      <c r="L88" s="91"/>
    </row>
    <row r="89" spans="1:12" ht="15" customHeight="1" x14ac:dyDescent="0.25">
      <c r="A89" s="76"/>
      <c r="B89" s="37" t="str">
        <f>IF(A89="","",IFERROR(VLOOKUP(A89,DB_Customers!$A:$D,4,0),"❌ Account Not Found"))</f>
        <v/>
      </c>
      <c r="C89" s="77" t="str">
        <f>IF(A89="","",IFERROR(VLOOKUP(A89,DB_Customers!$A:$N,14,0),"❌ Acct Not Found"))</f>
        <v/>
      </c>
      <c r="D89" s="78" t="str">
        <f t="shared" ca="1" si="6"/>
        <v/>
      </c>
      <c r="E89" s="94"/>
      <c r="F89" s="37"/>
      <c r="G89" s="95" t="str">
        <f t="shared" si="7"/>
        <v/>
      </c>
      <c r="H89" s="39" t="s">
        <v>133</v>
      </c>
      <c r="I89" s="81"/>
      <c r="J89" s="82" t="str">
        <f>IF(AND(A89&lt;&gt;"",E89&lt;&gt;""),IF(I89="","⚠️ Enter Code",IF(IFERROR(VLOOKUP(H89,DB_Agents!$B:$I,8,0),"")=I89,IF(C89&gt;=E89,"Successful","Unsuccessful"),"🔒 BLOCKED — Wrong Code")),"Pending")</f>
        <v>Pending</v>
      </c>
      <c r="K89" s="83" t="str">
        <f t="shared" ca="1" si="8"/>
        <v>—</v>
      </c>
      <c r="L89" s="84"/>
    </row>
    <row r="90" spans="1:12" ht="15" customHeight="1" x14ac:dyDescent="0.25">
      <c r="A90" s="85"/>
      <c r="B90" s="41" t="str">
        <f>IF(A90="","",IFERROR(VLOOKUP(A90,DB_Customers!$A:$D,4,0),"❌ Account Not Found"))</f>
        <v/>
      </c>
      <c r="C90" s="86" t="str">
        <f>IF(A90="","",IFERROR(VLOOKUP(A90,DB_Customers!$A:$N,14,0),"❌ Acct Not Found"))</f>
        <v/>
      </c>
      <c r="D90" s="87" t="str">
        <f t="shared" ca="1" si="6"/>
        <v/>
      </c>
      <c r="E90" s="94"/>
      <c r="F90" s="41"/>
      <c r="G90" s="96" t="str">
        <f t="shared" si="7"/>
        <v/>
      </c>
      <c r="H90" s="43" t="s">
        <v>133</v>
      </c>
      <c r="I90" s="81"/>
      <c r="J90" s="89" t="str">
        <f>IF(AND(A90&lt;&gt;"",E90&lt;&gt;""),IF(I90="","⚠️ Enter Code",IF(IFERROR(VLOOKUP(H90,DB_Agents!$B:$I,8,0),"")=I90,IF(C90&gt;=E90,"Successful","Unsuccessful"),"🔒 BLOCKED — Wrong Code")),"Pending")</f>
        <v>Pending</v>
      </c>
      <c r="K90" s="90" t="str">
        <f t="shared" ca="1" si="8"/>
        <v>—</v>
      </c>
      <c r="L90" s="91"/>
    </row>
    <row r="91" spans="1:12" ht="15" customHeight="1" x14ac:dyDescent="0.25">
      <c r="A91" s="76"/>
      <c r="B91" s="37" t="str">
        <f>IF(A91="","",IFERROR(VLOOKUP(A91,DB_Customers!$A:$D,4,0),"❌ Account Not Found"))</f>
        <v/>
      </c>
      <c r="C91" s="77" t="str">
        <f>IF(A91="","",IFERROR(VLOOKUP(A91,DB_Customers!$A:$N,14,0),"❌ Acct Not Found"))</f>
        <v/>
      </c>
      <c r="D91" s="78" t="str">
        <f t="shared" ca="1" si="6"/>
        <v/>
      </c>
      <c r="E91" s="94"/>
      <c r="F91" s="37"/>
      <c r="G91" s="95" t="str">
        <f t="shared" si="7"/>
        <v/>
      </c>
      <c r="H91" s="39" t="s">
        <v>133</v>
      </c>
      <c r="I91" s="81"/>
      <c r="J91" s="82" t="str">
        <f>IF(AND(A91&lt;&gt;"",E91&lt;&gt;""),IF(I91="","⚠️ Enter Code",IF(IFERROR(VLOOKUP(H91,DB_Agents!$B:$I,8,0),"")=I91,IF(C91&gt;=E91,"Successful","Unsuccessful"),"🔒 BLOCKED — Wrong Code")),"Pending")</f>
        <v>Pending</v>
      </c>
      <c r="K91" s="83" t="str">
        <f t="shared" ca="1" si="8"/>
        <v>—</v>
      </c>
      <c r="L91" s="84"/>
    </row>
    <row r="92" spans="1:12" ht="15" customHeight="1" x14ac:dyDescent="0.25">
      <c r="A92" s="85"/>
      <c r="B92" s="41" t="str">
        <f>IF(A92="","",IFERROR(VLOOKUP(A92,DB_Customers!$A:$D,4,0),"❌ Account Not Found"))</f>
        <v/>
      </c>
      <c r="C92" s="86" t="str">
        <f>IF(A92="","",IFERROR(VLOOKUP(A92,DB_Customers!$A:$N,14,0),"❌ Acct Not Found"))</f>
        <v/>
      </c>
      <c r="D92" s="87" t="str">
        <f t="shared" ca="1" si="6"/>
        <v/>
      </c>
      <c r="E92" s="94"/>
      <c r="F92" s="41"/>
      <c r="G92" s="96" t="str">
        <f t="shared" si="7"/>
        <v/>
      </c>
      <c r="H92" s="43" t="s">
        <v>133</v>
      </c>
      <c r="I92" s="81"/>
      <c r="J92" s="89" t="str">
        <f>IF(AND(A92&lt;&gt;"",E92&lt;&gt;""),IF(I92="","⚠️ Enter Code",IF(IFERROR(VLOOKUP(H92,DB_Agents!$B:$I,8,0),"")=I92,IF(C92&gt;=E92,"Successful","Unsuccessful"),"🔒 BLOCKED — Wrong Code")),"Pending")</f>
        <v>Pending</v>
      </c>
      <c r="K92" s="90" t="str">
        <f t="shared" ca="1" si="8"/>
        <v>—</v>
      </c>
      <c r="L92" s="91"/>
    </row>
    <row r="93" spans="1:12" ht="15" customHeight="1" x14ac:dyDescent="0.25">
      <c r="A93" s="76"/>
      <c r="B93" s="37" t="str">
        <f>IF(A93="","",IFERROR(VLOOKUP(A93,DB_Customers!$A:$D,4,0),"❌ Account Not Found"))</f>
        <v/>
      </c>
      <c r="C93" s="77" t="str">
        <f>IF(A93="","",IFERROR(VLOOKUP(A93,DB_Customers!$A:$N,14,0),"❌ Acct Not Found"))</f>
        <v/>
      </c>
      <c r="D93" s="78" t="str">
        <f t="shared" ca="1" si="6"/>
        <v/>
      </c>
      <c r="E93" s="94"/>
      <c r="F93" s="37"/>
      <c r="G93" s="95" t="str">
        <f t="shared" si="7"/>
        <v/>
      </c>
      <c r="H93" s="39" t="s">
        <v>133</v>
      </c>
      <c r="I93" s="81"/>
      <c r="J93" s="82" t="str">
        <f>IF(AND(A93&lt;&gt;"",E93&lt;&gt;""),IF(I93="","⚠️ Enter Code",IF(IFERROR(VLOOKUP(H93,DB_Agents!$B:$I,8,0),"")=I93,IF(C93&gt;=E93,"Successful","Unsuccessful"),"🔒 BLOCKED — Wrong Code")),"Pending")</f>
        <v>Pending</v>
      </c>
      <c r="K93" s="83" t="str">
        <f t="shared" ca="1" si="8"/>
        <v>—</v>
      </c>
      <c r="L93" s="84"/>
    </row>
    <row r="94" spans="1:12" ht="15" customHeight="1" x14ac:dyDescent="0.25">
      <c r="A94" s="85"/>
      <c r="B94" s="41" t="str">
        <f>IF(A94="","",IFERROR(VLOOKUP(A94,DB_Customers!$A:$D,4,0),"❌ Account Not Found"))</f>
        <v/>
      </c>
      <c r="C94" s="86" t="str">
        <f>IF(A94="","",IFERROR(VLOOKUP(A94,DB_Customers!$A:$N,14,0),"❌ Acct Not Found"))</f>
        <v/>
      </c>
      <c r="D94" s="87" t="str">
        <f t="shared" ca="1" si="6"/>
        <v/>
      </c>
      <c r="E94" s="94"/>
      <c r="F94" s="41"/>
      <c r="G94" s="96" t="str">
        <f t="shared" si="7"/>
        <v/>
      </c>
      <c r="H94" s="43" t="s">
        <v>133</v>
      </c>
      <c r="I94" s="81"/>
      <c r="J94" s="89" t="str">
        <f>IF(AND(A94&lt;&gt;"",E94&lt;&gt;""),IF(I94="","⚠️ Enter Code",IF(IFERROR(VLOOKUP(H94,DB_Agents!$B:$I,8,0),"")=I94,IF(C94&gt;=E94,"Successful","Unsuccessful"),"🔒 BLOCKED — Wrong Code")),"Pending")</f>
        <v>Pending</v>
      </c>
      <c r="K94" s="90" t="str">
        <f t="shared" ca="1" si="8"/>
        <v>—</v>
      </c>
      <c r="L94" s="91"/>
    </row>
    <row r="95" spans="1:12" ht="15" customHeight="1" x14ac:dyDescent="0.25">
      <c r="A95" s="76"/>
      <c r="B95" s="37" t="str">
        <f>IF(A95="","",IFERROR(VLOOKUP(A95,DB_Customers!$A:$D,4,0),"❌ Account Not Found"))</f>
        <v/>
      </c>
      <c r="C95" s="77" t="str">
        <f>IF(A95="","",IFERROR(VLOOKUP(A95,DB_Customers!$A:$N,14,0),"❌ Acct Not Found"))</f>
        <v/>
      </c>
      <c r="D95" s="78" t="str">
        <f t="shared" ca="1" si="6"/>
        <v/>
      </c>
      <c r="E95" s="94"/>
      <c r="F95" s="37"/>
      <c r="G95" s="95" t="str">
        <f t="shared" si="7"/>
        <v/>
      </c>
      <c r="H95" s="39" t="s">
        <v>133</v>
      </c>
      <c r="I95" s="81"/>
      <c r="J95" s="82" t="str">
        <f>IF(AND(A95&lt;&gt;"",E95&lt;&gt;""),IF(I95="","⚠️ Enter Code",IF(IFERROR(VLOOKUP(H95,DB_Agents!$B:$I,8,0),"")=I95,IF(C95&gt;=E95,"Successful","Unsuccessful"),"🔒 BLOCKED — Wrong Code")),"Pending")</f>
        <v>Pending</v>
      </c>
      <c r="K95" s="83" t="str">
        <f t="shared" ca="1" si="8"/>
        <v>—</v>
      </c>
      <c r="L95" s="84"/>
    </row>
    <row r="96" spans="1:12" ht="15" customHeight="1" x14ac:dyDescent="0.25">
      <c r="A96" s="85"/>
      <c r="B96" s="41" t="str">
        <f>IF(A96="","",IFERROR(VLOOKUP(A96,DB_Customers!$A:$D,4,0),"❌ Account Not Found"))</f>
        <v/>
      </c>
      <c r="C96" s="86" t="str">
        <f>IF(A96="","",IFERROR(VLOOKUP(A96,DB_Customers!$A:$N,14,0),"❌ Acct Not Found"))</f>
        <v/>
      </c>
      <c r="D96" s="87" t="str">
        <f t="shared" ca="1" si="6"/>
        <v/>
      </c>
      <c r="E96" s="94"/>
      <c r="F96" s="41"/>
      <c r="G96" s="96" t="str">
        <f t="shared" si="7"/>
        <v/>
      </c>
      <c r="H96" s="43" t="s">
        <v>133</v>
      </c>
      <c r="I96" s="81"/>
      <c r="J96" s="89" t="str">
        <f>IF(AND(A96&lt;&gt;"",E96&lt;&gt;""),IF(I96="","⚠️ Enter Code",IF(IFERROR(VLOOKUP(H96,DB_Agents!$B:$I,8,0),"")=I96,IF(C96&gt;=E96,"Successful","Unsuccessful"),"🔒 BLOCKED — Wrong Code")),"Pending")</f>
        <v>Pending</v>
      </c>
      <c r="K96" s="90" t="str">
        <f t="shared" ca="1" si="8"/>
        <v>—</v>
      </c>
      <c r="L96" s="91"/>
    </row>
    <row r="97" spans="1:12" ht="15" customHeight="1" x14ac:dyDescent="0.25">
      <c r="A97" s="76"/>
      <c r="B97" s="37" t="str">
        <f>IF(A97="","",IFERROR(VLOOKUP(A97,DB_Customers!$A:$D,4,0),"❌ Account Not Found"))</f>
        <v/>
      </c>
      <c r="C97" s="77" t="str">
        <f>IF(A97="","",IFERROR(VLOOKUP(A97,DB_Customers!$A:$N,14,0),"❌ Acct Not Found"))</f>
        <v/>
      </c>
      <c r="D97" s="78" t="str">
        <f t="shared" ca="1" si="6"/>
        <v/>
      </c>
      <c r="E97" s="94"/>
      <c r="F97" s="37"/>
      <c r="G97" s="95" t="str">
        <f t="shared" si="7"/>
        <v/>
      </c>
      <c r="H97" s="39" t="s">
        <v>133</v>
      </c>
      <c r="I97" s="81"/>
      <c r="J97" s="82" t="str">
        <f>IF(AND(A97&lt;&gt;"",E97&lt;&gt;""),IF(I97="","⚠️ Enter Code",IF(IFERROR(VLOOKUP(H97,DB_Agents!$B:$I,8,0),"")=I97,IF(C97&gt;=E97,"Successful","Unsuccessful"),"🔒 BLOCKED — Wrong Code")),"Pending")</f>
        <v>Pending</v>
      </c>
      <c r="K97" s="83" t="str">
        <f t="shared" ca="1" si="8"/>
        <v>—</v>
      </c>
      <c r="L97" s="84"/>
    </row>
    <row r="98" spans="1:12" ht="15" customHeight="1" x14ac:dyDescent="0.25">
      <c r="A98" s="85"/>
      <c r="B98" s="41" t="str">
        <f>IF(A98="","",IFERROR(VLOOKUP(A98,DB_Customers!$A:$D,4,0),"❌ Account Not Found"))</f>
        <v/>
      </c>
      <c r="C98" s="86" t="str">
        <f>IF(A98="","",IFERROR(VLOOKUP(A98,DB_Customers!$A:$N,14,0),"❌ Acct Not Found"))</f>
        <v/>
      </c>
      <c r="D98" s="87" t="str">
        <f t="shared" ca="1" si="6"/>
        <v/>
      </c>
      <c r="E98" s="94"/>
      <c r="F98" s="41"/>
      <c r="G98" s="96" t="str">
        <f t="shared" si="7"/>
        <v/>
      </c>
      <c r="H98" s="43" t="s">
        <v>133</v>
      </c>
      <c r="I98" s="81"/>
      <c r="J98" s="89" t="str">
        <f>IF(AND(A98&lt;&gt;"",E98&lt;&gt;""),IF(I98="","⚠️ Enter Code",IF(IFERROR(VLOOKUP(H98,DB_Agents!$B:$I,8,0),"")=I98,IF(C98&gt;=E98,"Successful","Unsuccessful"),"🔒 BLOCKED — Wrong Code")),"Pending")</f>
        <v>Pending</v>
      </c>
      <c r="K98" s="90" t="str">
        <f t="shared" ca="1" si="8"/>
        <v>—</v>
      </c>
      <c r="L98" s="91"/>
    </row>
    <row r="99" spans="1:12" ht="15" customHeight="1" x14ac:dyDescent="0.25">
      <c r="A99" s="76"/>
      <c r="B99" s="37" t="str">
        <f>IF(A99="","",IFERROR(VLOOKUP(A99,DB_Customers!$A:$D,4,0),"❌ Account Not Found"))</f>
        <v/>
      </c>
      <c r="C99" s="77" t="str">
        <f>IF(A99="","",IFERROR(VLOOKUP(A99,DB_Customers!$A:$N,14,0),"❌ Acct Not Found"))</f>
        <v/>
      </c>
      <c r="D99" s="78" t="str">
        <f t="shared" ca="1" si="6"/>
        <v/>
      </c>
      <c r="E99" s="94"/>
      <c r="F99" s="37"/>
      <c r="G99" s="95" t="str">
        <f t="shared" si="7"/>
        <v/>
      </c>
      <c r="H99" s="39" t="s">
        <v>133</v>
      </c>
      <c r="I99" s="81"/>
      <c r="J99" s="82" t="str">
        <f>IF(AND(A99&lt;&gt;"",E99&lt;&gt;""),IF(I99="","⚠️ Enter Code",IF(IFERROR(VLOOKUP(H99,DB_Agents!$B:$I,8,0),"")=I99,IF(C99&gt;=E99,"Successful","Unsuccessful"),"🔒 BLOCKED — Wrong Code")),"Pending")</f>
        <v>Pending</v>
      </c>
      <c r="K99" s="83" t="str">
        <f t="shared" ca="1" si="8"/>
        <v>—</v>
      </c>
      <c r="L99" s="84"/>
    </row>
    <row r="100" spans="1:12" ht="15" customHeight="1" x14ac:dyDescent="0.25">
      <c r="A100" s="85"/>
      <c r="B100" s="41" t="str">
        <f>IF(A100="","",IFERROR(VLOOKUP(A100,DB_Customers!$A:$D,4,0),"❌ Account Not Found"))</f>
        <v/>
      </c>
      <c r="C100" s="86" t="str">
        <f>IF(A100="","",IFERROR(VLOOKUP(A100,DB_Customers!$A:$N,14,0),"❌ Acct Not Found"))</f>
        <v/>
      </c>
      <c r="D100" s="87" t="str">
        <f t="shared" ca="1" si="6"/>
        <v/>
      </c>
      <c r="E100" s="94"/>
      <c r="F100" s="41"/>
      <c r="G100" s="96" t="str">
        <f t="shared" si="7"/>
        <v/>
      </c>
      <c r="H100" s="43" t="s">
        <v>133</v>
      </c>
      <c r="I100" s="81"/>
      <c r="J100" s="89" t="str">
        <f>IF(AND(A100&lt;&gt;"",E100&lt;&gt;""),IF(I100="","⚠️ Enter Code",IF(IFERROR(VLOOKUP(H100,DB_Agents!$B:$I,8,0),"")=I100,IF(C100&gt;=E100,"Successful","Unsuccessful"),"🔒 BLOCKED — Wrong Code")),"Pending")</f>
        <v>Pending</v>
      </c>
      <c r="K100" s="90" t="str">
        <f t="shared" ca="1" si="8"/>
        <v>—</v>
      </c>
      <c r="L100" s="91"/>
    </row>
    <row r="101" spans="1:12" ht="15" customHeight="1" x14ac:dyDescent="0.25">
      <c r="A101" s="76"/>
      <c r="B101" s="37" t="str">
        <f>IF(A101="","",IFERROR(VLOOKUP(A101,DB_Customers!$A:$D,4,0),"❌ Account Not Found"))</f>
        <v/>
      </c>
      <c r="C101" s="77" t="str">
        <f>IF(A101="","",IFERROR(VLOOKUP(A101,DB_Customers!$A:$N,14,0),"❌ Acct Not Found"))</f>
        <v/>
      </c>
      <c r="D101" s="78" t="str">
        <f t="shared" ca="1" si="6"/>
        <v/>
      </c>
      <c r="E101" s="94"/>
      <c r="F101" s="37"/>
      <c r="G101" s="95" t="str">
        <f t="shared" si="7"/>
        <v/>
      </c>
      <c r="H101" s="39" t="s">
        <v>133</v>
      </c>
      <c r="I101" s="81"/>
      <c r="J101" s="82" t="str">
        <f>IF(AND(A101&lt;&gt;"",E101&lt;&gt;""),IF(I101="","⚠️ Enter Code",IF(IFERROR(VLOOKUP(H101,DB_Agents!$B:$I,8,0),"")=I101,IF(C101&gt;=E101,"Successful","Unsuccessful"),"🔒 BLOCKED — Wrong Code")),"Pending")</f>
        <v>Pending</v>
      </c>
      <c r="K101" s="83" t="str">
        <f t="shared" ca="1" si="8"/>
        <v>—</v>
      </c>
      <c r="L101" s="84"/>
    </row>
    <row r="102" spans="1:12" ht="15" customHeight="1" x14ac:dyDescent="0.25">
      <c r="A102" s="85"/>
      <c r="B102" s="41" t="str">
        <f>IF(A102="","",IFERROR(VLOOKUP(A102,DB_Customers!$A:$D,4,0),"❌ Account Not Found"))</f>
        <v/>
      </c>
      <c r="C102" s="86" t="str">
        <f>IF(A102="","",IFERROR(VLOOKUP(A102,DB_Customers!$A:$N,14,0),"❌ Acct Not Found"))</f>
        <v/>
      </c>
      <c r="D102" s="87" t="str">
        <f t="shared" ca="1" si="6"/>
        <v/>
      </c>
      <c r="E102" s="94"/>
      <c r="F102" s="41"/>
      <c r="G102" s="96" t="str">
        <f t="shared" si="7"/>
        <v/>
      </c>
      <c r="H102" s="43" t="s">
        <v>133</v>
      </c>
      <c r="I102" s="81"/>
      <c r="J102" s="89" t="str">
        <f>IF(AND(A102&lt;&gt;"",E102&lt;&gt;""),IF(I102="","⚠️ Enter Code",IF(IFERROR(VLOOKUP(H102,DB_Agents!$B:$I,8,0),"")=I102,IF(C102&gt;=E102,"Successful","Unsuccessful"),"🔒 BLOCKED — Wrong Code")),"Pending")</f>
        <v>Pending</v>
      </c>
      <c r="K102" s="90" t="str">
        <f t="shared" ca="1" si="8"/>
        <v>—</v>
      </c>
      <c r="L102" s="91"/>
    </row>
    <row r="103" spans="1:12" ht="15" customHeight="1" x14ac:dyDescent="0.25">
      <c r="A103" s="76"/>
      <c r="B103" s="37" t="str">
        <f>IF(A103="","",IFERROR(VLOOKUP(A103,DB_Customers!$A:$D,4,0),"❌ Account Not Found"))</f>
        <v/>
      </c>
      <c r="C103" s="77" t="str">
        <f>IF(A103="","",IFERROR(VLOOKUP(A103,DB_Customers!$A:$N,14,0),"❌ Acct Not Found"))</f>
        <v/>
      </c>
      <c r="D103" s="78" t="str">
        <f t="shared" ca="1" si="6"/>
        <v/>
      </c>
      <c r="E103" s="94"/>
      <c r="F103" s="37"/>
      <c r="G103" s="95" t="str">
        <f t="shared" si="7"/>
        <v/>
      </c>
      <c r="H103" s="39" t="s">
        <v>133</v>
      </c>
      <c r="I103" s="81"/>
      <c r="J103" s="82" t="str">
        <f>IF(AND(A103&lt;&gt;"",E103&lt;&gt;""),IF(I103="","⚠️ Enter Code",IF(IFERROR(VLOOKUP(H103,DB_Agents!$B:$I,8,0),"")=I103,IF(C103&gt;=E103,"Successful","Unsuccessful"),"🔒 BLOCKED — Wrong Code")),"Pending")</f>
        <v>Pending</v>
      </c>
      <c r="K103" s="83" t="str">
        <f t="shared" ca="1" si="8"/>
        <v>—</v>
      </c>
      <c r="L103" s="84"/>
    </row>
    <row r="104" spans="1:12" ht="15" customHeight="1" x14ac:dyDescent="0.25">
      <c r="A104" s="85"/>
      <c r="B104" s="41" t="str">
        <f>IF(A104="","",IFERROR(VLOOKUP(A104,DB_Customers!$A:$D,4,0),"❌ Account Not Found"))</f>
        <v/>
      </c>
      <c r="C104" s="86" t="str">
        <f>IF(A104="","",IFERROR(VLOOKUP(A104,DB_Customers!$A:$N,14,0),"❌ Acct Not Found"))</f>
        <v/>
      </c>
      <c r="D104" s="87" t="str">
        <f t="shared" ca="1" si="6"/>
        <v/>
      </c>
      <c r="E104" s="94"/>
      <c r="F104" s="41"/>
      <c r="G104" s="96" t="str">
        <f t="shared" si="7"/>
        <v/>
      </c>
      <c r="H104" s="43" t="s">
        <v>133</v>
      </c>
      <c r="I104" s="81"/>
      <c r="J104" s="89" t="str">
        <f>IF(AND(A104&lt;&gt;"",E104&lt;&gt;""),IF(I104="","⚠️ Enter Code",IF(IFERROR(VLOOKUP(H104,DB_Agents!$B:$I,8,0),"")=I104,IF(C104&gt;=E104,"Successful","Unsuccessful"),"🔒 BLOCKED — Wrong Code")),"Pending")</f>
        <v>Pending</v>
      </c>
      <c r="K104" s="90" t="str">
        <f t="shared" ca="1" si="8"/>
        <v>—</v>
      </c>
      <c r="L104" s="91"/>
    </row>
    <row r="105" spans="1:12" ht="15" customHeight="1" x14ac:dyDescent="0.25">
      <c r="A105" s="76"/>
      <c r="B105" s="37" t="str">
        <f>IF(A105="","",IFERROR(VLOOKUP(A105,DB_Customers!$A:$D,4,0),"❌ Account Not Found"))</f>
        <v/>
      </c>
      <c r="C105" s="77" t="str">
        <f>IF(A105="","",IFERROR(VLOOKUP(A105,DB_Customers!$A:$N,14,0),"❌ Acct Not Found"))</f>
        <v/>
      </c>
      <c r="D105" s="78" t="str">
        <f t="shared" ref="D105:D136" ca="1" si="9">IF(A105="","",TODAY())</f>
        <v/>
      </c>
      <c r="E105" s="94"/>
      <c r="F105" s="37"/>
      <c r="G105" s="95" t="str">
        <f t="shared" ref="G105:G136" si="10">IF(OR(A105="",E105=""),"",IF(C105="","",C105-E105))</f>
        <v/>
      </c>
      <c r="H105" s="39" t="s">
        <v>133</v>
      </c>
      <c r="I105" s="81"/>
      <c r="J105" s="82" t="str">
        <f>IF(AND(A105&lt;&gt;"",E105&lt;&gt;""),IF(I105="","⚠️ Enter Code",IF(IFERROR(VLOOKUP(H105,DB_Agents!$B:$I,8,0),"")=I105,IF(C105&gt;=E105,"Successful","Unsuccessful"),"🔒 BLOCKED — Wrong Code")),"Pending")</f>
        <v>Pending</v>
      </c>
      <c r="K105" s="83" t="str">
        <f t="shared" ref="K105:K136" ca="1" si="11">IF(J105="Successful",TEXT(TODAY(),"YYYY-MM-DD")&amp;" Auto","—")</f>
        <v>—</v>
      </c>
      <c r="L105" s="84"/>
    </row>
    <row r="106" spans="1:12" ht="15" customHeight="1" x14ac:dyDescent="0.25">
      <c r="A106" s="85"/>
      <c r="B106" s="41" t="str">
        <f>IF(A106="","",IFERROR(VLOOKUP(A106,DB_Customers!$A:$D,4,0),"❌ Account Not Found"))</f>
        <v/>
      </c>
      <c r="C106" s="86" t="str">
        <f>IF(A106="","",IFERROR(VLOOKUP(A106,DB_Customers!$A:$N,14,0),"❌ Acct Not Found"))</f>
        <v/>
      </c>
      <c r="D106" s="87" t="str">
        <f t="shared" ca="1" si="9"/>
        <v/>
      </c>
      <c r="E106" s="94"/>
      <c r="F106" s="41"/>
      <c r="G106" s="96" t="str">
        <f t="shared" si="10"/>
        <v/>
      </c>
      <c r="H106" s="43" t="s">
        <v>133</v>
      </c>
      <c r="I106" s="81"/>
      <c r="J106" s="89" t="str">
        <f>IF(AND(A106&lt;&gt;"",E106&lt;&gt;""),IF(I106="","⚠️ Enter Code",IF(IFERROR(VLOOKUP(H106,DB_Agents!$B:$I,8,0),"")=I106,IF(C106&gt;=E106,"Successful","Unsuccessful"),"🔒 BLOCKED — Wrong Code")),"Pending")</f>
        <v>Pending</v>
      </c>
      <c r="K106" s="90" t="str">
        <f t="shared" ca="1" si="11"/>
        <v>—</v>
      </c>
      <c r="L106" s="91"/>
    </row>
    <row r="107" spans="1:12" ht="15" customHeight="1" x14ac:dyDescent="0.25">
      <c r="A107" s="76"/>
      <c r="B107" s="37" t="str">
        <f>IF(A107="","",IFERROR(VLOOKUP(A107,DB_Customers!$A:$D,4,0),"❌ Account Not Found"))</f>
        <v/>
      </c>
      <c r="C107" s="77" t="str">
        <f>IF(A107="","",IFERROR(VLOOKUP(A107,DB_Customers!$A:$N,14,0),"❌ Acct Not Found"))</f>
        <v/>
      </c>
      <c r="D107" s="78" t="str">
        <f t="shared" ca="1" si="9"/>
        <v/>
      </c>
      <c r="E107" s="94"/>
      <c r="F107" s="37"/>
      <c r="G107" s="95" t="str">
        <f t="shared" si="10"/>
        <v/>
      </c>
      <c r="H107" s="39" t="s">
        <v>133</v>
      </c>
      <c r="I107" s="81"/>
      <c r="J107" s="82" t="str">
        <f>IF(AND(A107&lt;&gt;"",E107&lt;&gt;""),IF(I107="","⚠️ Enter Code",IF(IFERROR(VLOOKUP(H107,DB_Agents!$B:$I,8,0),"")=I107,IF(C107&gt;=E107,"Successful","Unsuccessful"),"🔒 BLOCKED — Wrong Code")),"Pending")</f>
        <v>Pending</v>
      </c>
      <c r="K107" s="83" t="str">
        <f t="shared" ca="1" si="11"/>
        <v>—</v>
      </c>
      <c r="L107" s="84"/>
    </row>
    <row r="108" spans="1:12" ht="15" customHeight="1" x14ac:dyDescent="0.25">
      <c r="A108" s="85"/>
      <c r="B108" s="41" t="str">
        <f>IF(A108="","",IFERROR(VLOOKUP(A108,DB_Customers!$A:$D,4,0),"❌ Account Not Found"))</f>
        <v/>
      </c>
      <c r="C108" s="86" t="str">
        <f>IF(A108="","",IFERROR(VLOOKUP(A108,DB_Customers!$A:$N,14,0),"❌ Acct Not Found"))</f>
        <v/>
      </c>
      <c r="D108" s="87" t="str">
        <f t="shared" ca="1" si="9"/>
        <v/>
      </c>
      <c r="E108" s="94"/>
      <c r="F108" s="41"/>
      <c r="G108" s="96" t="str">
        <f t="shared" si="10"/>
        <v/>
      </c>
      <c r="H108" s="43" t="s">
        <v>133</v>
      </c>
      <c r="I108" s="81"/>
      <c r="J108" s="89" t="str">
        <f>IF(AND(A108&lt;&gt;"",E108&lt;&gt;""),IF(I108="","⚠️ Enter Code",IF(IFERROR(VLOOKUP(H108,DB_Agents!$B:$I,8,0),"")=I108,IF(C108&gt;=E108,"Successful","Unsuccessful"),"🔒 BLOCKED — Wrong Code")),"Pending")</f>
        <v>Pending</v>
      </c>
      <c r="K108" s="90" t="str">
        <f t="shared" ca="1" si="11"/>
        <v>—</v>
      </c>
      <c r="L108" s="91"/>
    </row>
    <row r="109" spans="1:12" ht="15" customHeight="1" x14ac:dyDescent="0.25">
      <c r="A109" s="76"/>
      <c r="B109" s="37" t="str">
        <f>IF(A109="","",IFERROR(VLOOKUP(A109,DB_Customers!$A:$D,4,0),"❌ Account Not Found"))</f>
        <v/>
      </c>
      <c r="C109" s="77" t="str">
        <f>IF(A109="","",IFERROR(VLOOKUP(A109,DB_Customers!$A:$N,14,0),"❌ Acct Not Found"))</f>
        <v/>
      </c>
      <c r="D109" s="78" t="str">
        <f t="shared" ca="1" si="9"/>
        <v/>
      </c>
      <c r="E109" s="94"/>
      <c r="F109" s="37"/>
      <c r="G109" s="95" t="str">
        <f t="shared" si="10"/>
        <v/>
      </c>
      <c r="H109" s="39" t="s">
        <v>133</v>
      </c>
      <c r="I109" s="81"/>
      <c r="J109" s="82" t="str">
        <f>IF(AND(A109&lt;&gt;"",E109&lt;&gt;""),IF(I109="","⚠️ Enter Code",IF(IFERROR(VLOOKUP(H109,DB_Agents!$B:$I,8,0),"")=I109,IF(C109&gt;=E109,"Successful","Unsuccessful"),"🔒 BLOCKED — Wrong Code")),"Pending")</f>
        <v>Pending</v>
      </c>
      <c r="K109" s="83" t="str">
        <f t="shared" ca="1" si="11"/>
        <v>—</v>
      </c>
      <c r="L109" s="84"/>
    </row>
    <row r="110" spans="1:12" ht="15" customHeight="1" x14ac:dyDescent="0.25">
      <c r="A110" s="85"/>
      <c r="B110" s="41" t="str">
        <f>IF(A110="","",IFERROR(VLOOKUP(A110,DB_Customers!$A:$D,4,0),"❌ Account Not Found"))</f>
        <v/>
      </c>
      <c r="C110" s="86" t="str">
        <f>IF(A110="","",IFERROR(VLOOKUP(A110,DB_Customers!$A:$N,14,0),"❌ Acct Not Found"))</f>
        <v/>
      </c>
      <c r="D110" s="87" t="str">
        <f t="shared" ca="1" si="9"/>
        <v/>
      </c>
      <c r="E110" s="94"/>
      <c r="F110" s="41"/>
      <c r="G110" s="96" t="str">
        <f t="shared" si="10"/>
        <v/>
      </c>
      <c r="H110" s="43" t="s">
        <v>133</v>
      </c>
      <c r="I110" s="81"/>
      <c r="J110" s="89" t="str">
        <f>IF(AND(A110&lt;&gt;"",E110&lt;&gt;""),IF(I110="","⚠️ Enter Code",IF(IFERROR(VLOOKUP(H110,DB_Agents!$B:$I,8,0),"")=I110,IF(C110&gt;=E110,"Successful","Unsuccessful"),"🔒 BLOCKED — Wrong Code")),"Pending")</f>
        <v>Pending</v>
      </c>
      <c r="K110" s="90" t="str">
        <f t="shared" ca="1" si="11"/>
        <v>—</v>
      </c>
      <c r="L110" s="91"/>
    </row>
    <row r="111" spans="1:12" ht="15" customHeight="1" x14ac:dyDescent="0.25">
      <c r="A111" s="76"/>
      <c r="B111" s="37" t="str">
        <f>IF(A111="","",IFERROR(VLOOKUP(A111,DB_Customers!$A:$D,4,0),"❌ Account Not Found"))</f>
        <v/>
      </c>
      <c r="C111" s="77" t="str">
        <f>IF(A111="","",IFERROR(VLOOKUP(A111,DB_Customers!$A:$N,14,0),"❌ Acct Not Found"))</f>
        <v/>
      </c>
      <c r="D111" s="78" t="str">
        <f t="shared" ca="1" si="9"/>
        <v/>
      </c>
      <c r="E111" s="94"/>
      <c r="F111" s="37"/>
      <c r="G111" s="95" t="str">
        <f t="shared" si="10"/>
        <v/>
      </c>
      <c r="H111" s="39" t="s">
        <v>133</v>
      </c>
      <c r="I111" s="81"/>
      <c r="J111" s="82" t="str">
        <f>IF(AND(A111&lt;&gt;"",E111&lt;&gt;""),IF(I111="","⚠️ Enter Code",IF(IFERROR(VLOOKUP(H111,DB_Agents!$B:$I,8,0),"")=I111,IF(C111&gt;=E111,"Successful","Unsuccessful"),"🔒 BLOCKED — Wrong Code")),"Pending")</f>
        <v>Pending</v>
      </c>
      <c r="K111" s="83" t="str">
        <f t="shared" ca="1" si="11"/>
        <v>—</v>
      </c>
      <c r="L111" s="84"/>
    </row>
    <row r="112" spans="1:12" ht="15" customHeight="1" x14ac:dyDescent="0.25">
      <c r="A112" s="85"/>
      <c r="B112" s="41" t="str">
        <f>IF(A112="","",IFERROR(VLOOKUP(A112,DB_Customers!$A:$D,4,0),"❌ Account Not Found"))</f>
        <v/>
      </c>
      <c r="C112" s="86" t="str">
        <f>IF(A112="","",IFERROR(VLOOKUP(A112,DB_Customers!$A:$N,14,0),"❌ Acct Not Found"))</f>
        <v/>
      </c>
      <c r="D112" s="87" t="str">
        <f t="shared" ca="1" si="9"/>
        <v/>
      </c>
      <c r="E112" s="94"/>
      <c r="F112" s="41"/>
      <c r="G112" s="96" t="str">
        <f t="shared" si="10"/>
        <v/>
      </c>
      <c r="H112" s="43" t="s">
        <v>133</v>
      </c>
      <c r="I112" s="81"/>
      <c r="J112" s="89" t="str">
        <f>IF(AND(A112&lt;&gt;"",E112&lt;&gt;""),IF(I112="","⚠️ Enter Code",IF(IFERROR(VLOOKUP(H112,DB_Agents!$B:$I,8,0),"")=I112,IF(C112&gt;=E112,"Successful","Unsuccessful"),"🔒 BLOCKED — Wrong Code")),"Pending")</f>
        <v>Pending</v>
      </c>
      <c r="K112" s="90" t="str">
        <f t="shared" ca="1" si="11"/>
        <v>—</v>
      </c>
      <c r="L112" s="91"/>
    </row>
    <row r="113" spans="1:12" ht="15" customHeight="1" x14ac:dyDescent="0.25">
      <c r="A113" s="76"/>
      <c r="B113" s="37" t="str">
        <f>IF(A113="","",IFERROR(VLOOKUP(A113,DB_Customers!$A:$D,4,0),"❌ Account Not Found"))</f>
        <v/>
      </c>
      <c r="C113" s="77" t="str">
        <f>IF(A113="","",IFERROR(VLOOKUP(A113,DB_Customers!$A:$N,14,0),"❌ Acct Not Found"))</f>
        <v/>
      </c>
      <c r="D113" s="78" t="str">
        <f t="shared" ca="1" si="9"/>
        <v/>
      </c>
      <c r="E113" s="94"/>
      <c r="F113" s="37"/>
      <c r="G113" s="95" t="str">
        <f t="shared" si="10"/>
        <v/>
      </c>
      <c r="H113" s="39" t="s">
        <v>133</v>
      </c>
      <c r="I113" s="81"/>
      <c r="J113" s="82" t="str">
        <f>IF(AND(A113&lt;&gt;"",E113&lt;&gt;""),IF(I113="","⚠️ Enter Code",IF(IFERROR(VLOOKUP(H113,DB_Agents!$B:$I,8,0),"")=I113,IF(C113&gt;=E113,"Successful","Unsuccessful"),"🔒 BLOCKED — Wrong Code")),"Pending")</f>
        <v>Pending</v>
      </c>
      <c r="K113" s="83" t="str">
        <f t="shared" ca="1" si="11"/>
        <v>—</v>
      </c>
      <c r="L113" s="84"/>
    </row>
    <row r="114" spans="1:12" ht="15" customHeight="1" x14ac:dyDescent="0.25">
      <c r="A114" s="85"/>
      <c r="B114" s="41" t="str">
        <f>IF(A114="","",IFERROR(VLOOKUP(A114,DB_Customers!$A:$D,4,0),"❌ Account Not Found"))</f>
        <v/>
      </c>
      <c r="C114" s="86" t="str">
        <f>IF(A114="","",IFERROR(VLOOKUP(A114,DB_Customers!$A:$N,14,0),"❌ Acct Not Found"))</f>
        <v/>
      </c>
      <c r="D114" s="87" t="str">
        <f t="shared" ca="1" si="9"/>
        <v/>
      </c>
      <c r="E114" s="94"/>
      <c r="F114" s="41"/>
      <c r="G114" s="96" t="str">
        <f t="shared" si="10"/>
        <v/>
      </c>
      <c r="H114" s="43" t="s">
        <v>133</v>
      </c>
      <c r="I114" s="81"/>
      <c r="J114" s="89" t="str">
        <f>IF(AND(A114&lt;&gt;"",E114&lt;&gt;""),IF(I114="","⚠️ Enter Code",IF(IFERROR(VLOOKUP(H114,DB_Agents!$B:$I,8,0),"")=I114,IF(C114&gt;=E114,"Successful","Unsuccessful"),"🔒 BLOCKED — Wrong Code")),"Pending")</f>
        <v>Pending</v>
      </c>
      <c r="K114" s="90" t="str">
        <f t="shared" ca="1" si="11"/>
        <v>—</v>
      </c>
      <c r="L114" s="91"/>
    </row>
    <row r="115" spans="1:12" ht="15" customHeight="1" x14ac:dyDescent="0.25">
      <c r="A115" s="76"/>
      <c r="B115" s="37" t="str">
        <f>IF(A115="","",IFERROR(VLOOKUP(A115,DB_Customers!$A:$D,4,0),"❌ Account Not Found"))</f>
        <v/>
      </c>
      <c r="C115" s="77" t="str">
        <f>IF(A115="","",IFERROR(VLOOKUP(A115,DB_Customers!$A:$N,14,0),"❌ Acct Not Found"))</f>
        <v/>
      </c>
      <c r="D115" s="78" t="str">
        <f t="shared" ca="1" si="9"/>
        <v/>
      </c>
      <c r="E115" s="94"/>
      <c r="F115" s="37"/>
      <c r="G115" s="95" t="str">
        <f t="shared" si="10"/>
        <v/>
      </c>
      <c r="H115" s="39" t="s">
        <v>133</v>
      </c>
      <c r="I115" s="81"/>
      <c r="J115" s="82" t="str">
        <f>IF(AND(A115&lt;&gt;"",E115&lt;&gt;""),IF(I115="","⚠️ Enter Code",IF(IFERROR(VLOOKUP(H115,DB_Agents!$B:$I,8,0),"")=I115,IF(C115&gt;=E115,"Successful","Unsuccessful"),"🔒 BLOCKED — Wrong Code")),"Pending")</f>
        <v>Pending</v>
      </c>
      <c r="K115" s="83" t="str">
        <f t="shared" ca="1" si="11"/>
        <v>—</v>
      </c>
      <c r="L115" s="84"/>
    </row>
    <row r="116" spans="1:12" ht="15" customHeight="1" x14ac:dyDescent="0.25">
      <c r="A116" s="85"/>
      <c r="B116" s="41" t="str">
        <f>IF(A116="","",IFERROR(VLOOKUP(A116,DB_Customers!$A:$D,4,0),"❌ Account Not Found"))</f>
        <v/>
      </c>
      <c r="C116" s="86" t="str">
        <f>IF(A116="","",IFERROR(VLOOKUP(A116,DB_Customers!$A:$N,14,0),"❌ Acct Not Found"))</f>
        <v/>
      </c>
      <c r="D116" s="87" t="str">
        <f t="shared" ca="1" si="9"/>
        <v/>
      </c>
      <c r="E116" s="94"/>
      <c r="F116" s="41"/>
      <c r="G116" s="96" t="str">
        <f t="shared" si="10"/>
        <v/>
      </c>
      <c r="H116" s="43" t="s">
        <v>133</v>
      </c>
      <c r="I116" s="81"/>
      <c r="J116" s="89" t="str">
        <f>IF(AND(A116&lt;&gt;"",E116&lt;&gt;""),IF(I116="","⚠️ Enter Code",IF(IFERROR(VLOOKUP(H116,DB_Agents!$B:$I,8,0),"")=I116,IF(C116&gt;=E116,"Successful","Unsuccessful"),"🔒 BLOCKED — Wrong Code")),"Pending")</f>
        <v>Pending</v>
      </c>
      <c r="K116" s="90" t="str">
        <f t="shared" ca="1" si="11"/>
        <v>—</v>
      </c>
      <c r="L116" s="91"/>
    </row>
    <row r="117" spans="1:12" ht="15" customHeight="1" x14ac:dyDescent="0.25">
      <c r="A117" s="76"/>
      <c r="B117" s="37" t="str">
        <f>IF(A117="","",IFERROR(VLOOKUP(A117,DB_Customers!$A:$D,4,0),"❌ Account Not Found"))</f>
        <v/>
      </c>
      <c r="C117" s="77" t="str">
        <f>IF(A117="","",IFERROR(VLOOKUP(A117,DB_Customers!$A:$N,14,0),"❌ Acct Not Found"))</f>
        <v/>
      </c>
      <c r="D117" s="78" t="str">
        <f t="shared" ca="1" si="9"/>
        <v/>
      </c>
      <c r="E117" s="94"/>
      <c r="F117" s="37"/>
      <c r="G117" s="95" t="str">
        <f t="shared" si="10"/>
        <v/>
      </c>
      <c r="H117" s="39" t="s">
        <v>133</v>
      </c>
      <c r="I117" s="81"/>
      <c r="J117" s="82" t="str">
        <f>IF(AND(A117&lt;&gt;"",E117&lt;&gt;""),IF(I117="","⚠️ Enter Code",IF(IFERROR(VLOOKUP(H117,DB_Agents!$B:$I,8,0),"")=I117,IF(C117&gt;=E117,"Successful","Unsuccessful"),"🔒 BLOCKED — Wrong Code")),"Pending")</f>
        <v>Pending</v>
      </c>
      <c r="K117" s="83" t="str">
        <f t="shared" ca="1" si="11"/>
        <v>—</v>
      </c>
      <c r="L117" s="84"/>
    </row>
    <row r="118" spans="1:12" ht="15" customHeight="1" x14ac:dyDescent="0.25">
      <c r="A118" s="85"/>
      <c r="B118" s="41" t="str">
        <f>IF(A118="","",IFERROR(VLOOKUP(A118,DB_Customers!$A:$D,4,0),"❌ Account Not Found"))</f>
        <v/>
      </c>
      <c r="C118" s="86" t="str">
        <f>IF(A118="","",IFERROR(VLOOKUP(A118,DB_Customers!$A:$N,14,0),"❌ Acct Not Found"))</f>
        <v/>
      </c>
      <c r="D118" s="87" t="str">
        <f t="shared" ca="1" si="9"/>
        <v/>
      </c>
      <c r="E118" s="94"/>
      <c r="F118" s="41"/>
      <c r="G118" s="96" t="str">
        <f t="shared" si="10"/>
        <v/>
      </c>
      <c r="H118" s="43" t="s">
        <v>133</v>
      </c>
      <c r="I118" s="81"/>
      <c r="J118" s="89" t="str">
        <f>IF(AND(A118&lt;&gt;"",E118&lt;&gt;""),IF(I118="","⚠️ Enter Code",IF(IFERROR(VLOOKUP(H118,DB_Agents!$B:$I,8,0),"")=I118,IF(C118&gt;=E118,"Successful","Unsuccessful"),"🔒 BLOCKED — Wrong Code")),"Pending")</f>
        <v>Pending</v>
      </c>
      <c r="K118" s="90" t="str">
        <f t="shared" ca="1" si="11"/>
        <v>—</v>
      </c>
      <c r="L118" s="91"/>
    </row>
    <row r="119" spans="1:12" ht="15" customHeight="1" x14ac:dyDescent="0.25">
      <c r="A119" s="76"/>
      <c r="B119" s="37" t="str">
        <f>IF(A119="","",IFERROR(VLOOKUP(A119,DB_Customers!$A:$D,4,0),"❌ Account Not Found"))</f>
        <v/>
      </c>
      <c r="C119" s="77" t="str">
        <f>IF(A119="","",IFERROR(VLOOKUP(A119,DB_Customers!$A:$N,14,0),"❌ Acct Not Found"))</f>
        <v/>
      </c>
      <c r="D119" s="78" t="str">
        <f t="shared" ca="1" si="9"/>
        <v/>
      </c>
      <c r="E119" s="94"/>
      <c r="F119" s="37"/>
      <c r="G119" s="95" t="str">
        <f t="shared" si="10"/>
        <v/>
      </c>
      <c r="H119" s="39" t="s">
        <v>133</v>
      </c>
      <c r="I119" s="81"/>
      <c r="J119" s="82" t="str">
        <f>IF(AND(A119&lt;&gt;"",E119&lt;&gt;""),IF(I119="","⚠️ Enter Code",IF(IFERROR(VLOOKUP(H119,DB_Agents!$B:$I,8,0),"")=I119,IF(C119&gt;=E119,"Successful","Unsuccessful"),"🔒 BLOCKED — Wrong Code")),"Pending")</f>
        <v>Pending</v>
      </c>
      <c r="K119" s="83" t="str">
        <f t="shared" ca="1" si="11"/>
        <v>—</v>
      </c>
      <c r="L119" s="84"/>
    </row>
    <row r="120" spans="1:12" ht="15" customHeight="1" x14ac:dyDescent="0.25">
      <c r="A120" s="85"/>
      <c r="B120" s="41" t="str">
        <f>IF(A120="","",IFERROR(VLOOKUP(A120,DB_Customers!$A:$D,4,0),"❌ Account Not Found"))</f>
        <v/>
      </c>
      <c r="C120" s="86" t="str">
        <f>IF(A120="","",IFERROR(VLOOKUP(A120,DB_Customers!$A:$N,14,0),"❌ Acct Not Found"))</f>
        <v/>
      </c>
      <c r="D120" s="87" t="str">
        <f t="shared" ca="1" si="9"/>
        <v/>
      </c>
      <c r="E120" s="94"/>
      <c r="F120" s="41"/>
      <c r="G120" s="96" t="str">
        <f t="shared" si="10"/>
        <v/>
      </c>
      <c r="H120" s="43" t="s">
        <v>133</v>
      </c>
      <c r="I120" s="81"/>
      <c r="J120" s="89" t="str">
        <f>IF(AND(A120&lt;&gt;"",E120&lt;&gt;""),IF(I120="","⚠️ Enter Code",IF(IFERROR(VLOOKUP(H120,DB_Agents!$B:$I,8,0),"")=I120,IF(C120&gt;=E120,"Successful","Unsuccessful"),"🔒 BLOCKED — Wrong Code")),"Pending")</f>
        <v>Pending</v>
      </c>
      <c r="K120" s="90" t="str">
        <f t="shared" ca="1" si="11"/>
        <v>—</v>
      </c>
      <c r="L120" s="91"/>
    </row>
    <row r="121" spans="1:12" ht="15" customHeight="1" x14ac:dyDescent="0.25">
      <c r="A121" s="76"/>
      <c r="B121" s="37" t="str">
        <f>IF(A121="","",IFERROR(VLOOKUP(A121,DB_Customers!$A:$D,4,0),"❌ Account Not Found"))</f>
        <v/>
      </c>
      <c r="C121" s="77" t="str">
        <f>IF(A121="","",IFERROR(VLOOKUP(A121,DB_Customers!$A:$N,14,0),"❌ Acct Not Found"))</f>
        <v/>
      </c>
      <c r="D121" s="78" t="str">
        <f t="shared" ca="1" si="9"/>
        <v/>
      </c>
      <c r="E121" s="94"/>
      <c r="F121" s="37"/>
      <c r="G121" s="95" t="str">
        <f t="shared" si="10"/>
        <v/>
      </c>
      <c r="H121" s="39" t="s">
        <v>133</v>
      </c>
      <c r="I121" s="81"/>
      <c r="J121" s="82" t="str">
        <f>IF(AND(A121&lt;&gt;"",E121&lt;&gt;""),IF(I121="","⚠️ Enter Code",IF(IFERROR(VLOOKUP(H121,DB_Agents!$B:$I,8,0),"")=I121,IF(C121&gt;=E121,"Successful","Unsuccessful"),"🔒 BLOCKED — Wrong Code")),"Pending")</f>
        <v>Pending</v>
      </c>
      <c r="K121" s="83" t="str">
        <f t="shared" ca="1" si="11"/>
        <v>—</v>
      </c>
      <c r="L121" s="84"/>
    </row>
    <row r="122" spans="1:12" ht="15" customHeight="1" x14ac:dyDescent="0.25">
      <c r="A122" s="85"/>
      <c r="B122" s="41" t="str">
        <f>IF(A122="","",IFERROR(VLOOKUP(A122,DB_Customers!$A:$D,4,0),"❌ Account Not Found"))</f>
        <v/>
      </c>
      <c r="C122" s="86" t="str">
        <f>IF(A122="","",IFERROR(VLOOKUP(A122,DB_Customers!$A:$N,14,0),"❌ Acct Not Found"))</f>
        <v/>
      </c>
      <c r="D122" s="87" t="str">
        <f t="shared" ca="1" si="9"/>
        <v/>
      </c>
      <c r="E122" s="94"/>
      <c r="F122" s="41"/>
      <c r="G122" s="96" t="str">
        <f t="shared" si="10"/>
        <v/>
      </c>
      <c r="H122" s="43" t="s">
        <v>133</v>
      </c>
      <c r="I122" s="81"/>
      <c r="J122" s="89" t="str">
        <f>IF(AND(A122&lt;&gt;"",E122&lt;&gt;""),IF(I122="","⚠️ Enter Code",IF(IFERROR(VLOOKUP(H122,DB_Agents!$B:$I,8,0),"")=I122,IF(C122&gt;=E122,"Successful","Unsuccessful"),"🔒 BLOCKED — Wrong Code")),"Pending")</f>
        <v>Pending</v>
      </c>
      <c r="K122" s="90" t="str">
        <f t="shared" ca="1" si="11"/>
        <v>—</v>
      </c>
      <c r="L122" s="91"/>
    </row>
    <row r="123" spans="1:12" ht="15" customHeight="1" x14ac:dyDescent="0.25">
      <c r="A123" s="76"/>
      <c r="B123" s="37" t="str">
        <f>IF(A123="","",IFERROR(VLOOKUP(A123,DB_Customers!$A:$D,4,0),"❌ Account Not Found"))</f>
        <v/>
      </c>
      <c r="C123" s="77" t="str">
        <f>IF(A123="","",IFERROR(VLOOKUP(A123,DB_Customers!$A:$N,14,0),"❌ Acct Not Found"))</f>
        <v/>
      </c>
      <c r="D123" s="78" t="str">
        <f t="shared" ca="1" si="9"/>
        <v/>
      </c>
      <c r="E123" s="94"/>
      <c r="F123" s="37"/>
      <c r="G123" s="95" t="str">
        <f t="shared" si="10"/>
        <v/>
      </c>
      <c r="H123" s="39" t="s">
        <v>133</v>
      </c>
      <c r="I123" s="81"/>
      <c r="J123" s="82" t="str">
        <f>IF(AND(A123&lt;&gt;"",E123&lt;&gt;""),IF(I123="","⚠️ Enter Code",IF(IFERROR(VLOOKUP(H123,DB_Agents!$B:$I,8,0),"")=I123,IF(C123&gt;=E123,"Successful","Unsuccessful"),"🔒 BLOCKED — Wrong Code")),"Pending")</f>
        <v>Pending</v>
      </c>
      <c r="K123" s="83" t="str">
        <f t="shared" ca="1" si="11"/>
        <v>—</v>
      </c>
      <c r="L123" s="84"/>
    </row>
    <row r="124" spans="1:12" ht="15" customHeight="1" x14ac:dyDescent="0.25">
      <c r="A124" s="85"/>
      <c r="B124" s="41" t="str">
        <f>IF(A124="","",IFERROR(VLOOKUP(A124,DB_Customers!$A:$D,4,0),"❌ Account Not Found"))</f>
        <v/>
      </c>
      <c r="C124" s="86" t="str">
        <f>IF(A124="","",IFERROR(VLOOKUP(A124,DB_Customers!$A:$N,14,0),"❌ Acct Not Found"))</f>
        <v/>
      </c>
      <c r="D124" s="87" t="str">
        <f t="shared" ca="1" si="9"/>
        <v/>
      </c>
      <c r="E124" s="94"/>
      <c r="F124" s="41"/>
      <c r="G124" s="96" t="str">
        <f t="shared" si="10"/>
        <v/>
      </c>
      <c r="H124" s="43" t="s">
        <v>133</v>
      </c>
      <c r="I124" s="81"/>
      <c r="J124" s="89" t="str">
        <f>IF(AND(A124&lt;&gt;"",E124&lt;&gt;""),IF(I124="","⚠️ Enter Code",IF(IFERROR(VLOOKUP(H124,DB_Agents!$B:$I,8,0),"")=I124,IF(C124&gt;=E124,"Successful","Unsuccessful"),"🔒 BLOCKED — Wrong Code")),"Pending")</f>
        <v>Pending</v>
      </c>
      <c r="K124" s="90" t="str">
        <f t="shared" ca="1" si="11"/>
        <v>—</v>
      </c>
      <c r="L124" s="91"/>
    </row>
    <row r="125" spans="1:12" ht="15" customHeight="1" x14ac:dyDescent="0.25">
      <c r="A125" s="76"/>
      <c r="B125" s="37" t="str">
        <f>IF(A125="","",IFERROR(VLOOKUP(A125,DB_Customers!$A:$D,4,0),"❌ Account Not Found"))</f>
        <v/>
      </c>
      <c r="C125" s="77" t="str">
        <f>IF(A125="","",IFERROR(VLOOKUP(A125,DB_Customers!$A:$N,14,0),"❌ Acct Not Found"))</f>
        <v/>
      </c>
      <c r="D125" s="78" t="str">
        <f t="shared" ca="1" si="9"/>
        <v/>
      </c>
      <c r="E125" s="94"/>
      <c r="F125" s="37"/>
      <c r="G125" s="95" t="str">
        <f t="shared" si="10"/>
        <v/>
      </c>
      <c r="H125" s="39" t="s">
        <v>133</v>
      </c>
      <c r="I125" s="81"/>
      <c r="J125" s="82" t="str">
        <f>IF(AND(A125&lt;&gt;"",E125&lt;&gt;""),IF(I125="","⚠️ Enter Code",IF(IFERROR(VLOOKUP(H125,DB_Agents!$B:$I,8,0),"")=I125,IF(C125&gt;=E125,"Successful","Unsuccessful"),"🔒 BLOCKED — Wrong Code")),"Pending")</f>
        <v>Pending</v>
      </c>
      <c r="K125" s="83" t="str">
        <f t="shared" ca="1" si="11"/>
        <v>—</v>
      </c>
      <c r="L125" s="84"/>
    </row>
    <row r="126" spans="1:12" ht="15" customHeight="1" x14ac:dyDescent="0.25">
      <c r="A126" s="85"/>
      <c r="B126" s="41" t="str">
        <f>IF(A126="","",IFERROR(VLOOKUP(A126,DB_Customers!$A:$D,4,0),"❌ Account Not Found"))</f>
        <v/>
      </c>
      <c r="C126" s="86" t="str">
        <f>IF(A126="","",IFERROR(VLOOKUP(A126,DB_Customers!$A:$N,14,0),"❌ Acct Not Found"))</f>
        <v/>
      </c>
      <c r="D126" s="87" t="str">
        <f t="shared" ca="1" si="9"/>
        <v/>
      </c>
      <c r="E126" s="94"/>
      <c r="F126" s="41"/>
      <c r="G126" s="96" t="str">
        <f t="shared" si="10"/>
        <v/>
      </c>
      <c r="H126" s="43" t="s">
        <v>133</v>
      </c>
      <c r="I126" s="81"/>
      <c r="J126" s="89" t="str">
        <f>IF(AND(A126&lt;&gt;"",E126&lt;&gt;""),IF(I126="","⚠️ Enter Code",IF(IFERROR(VLOOKUP(H126,DB_Agents!$B:$I,8,0),"")=I126,IF(C126&gt;=E126,"Successful","Unsuccessful"),"🔒 BLOCKED — Wrong Code")),"Pending")</f>
        <v>Pending</v>
      </c>
      <c r="K126" s="90" t="str">
        <f t="shared" ca="1" si="11"/>
        <v>—</v>
      </c>
      <c r="L126" s="91"/>
    </row>
    <row r="127" spans="1:12" ht="15" customHeight="1" x14ac:dyDescent="0.25">
      <c r="A127" s="76"/>
      <c r="B127" s="37" t="str">
        <f>IF(A127="","",IFERROR(VLOOKUP(A127,DB_Customers!$A:$D,4,0),"❌ Account Not Found"))</f>
        <v/>
      </c>
      <c r="C127" s="77" t="str">
        <f>IF(A127="","",IFERROR(VLOOKUP(A127,DB_Customers!$A:$N,14,0),"❌ Acct Not Found"))</f>
        <v/>
      </c>
      <c r="D127" s="78" t="str">
        <f t="shared" ca="1" si="9"/>
        <v/>
      </c>
      <c r="E127" s="94"/>
      <c r="F127" s="37"/>
      <c r="G127" s="95" t="str">
        <f t="shared" si="10"/>
        <v/>
      </c>
      <c r="H127" s="39" t="s">
        <v>133</v>
      </c>
      <c r="I127" s="81"/>
      <c r="J127" s="82" t="str">
        <f>IF(AND(A127&lt;&gt;"",E127&lt;&gt;""),IF(I127="","⚠️ Enter Code",IF(IFERROR(VLOOKUP(H127,DB_Agents!$B:$I,8,0),"")=I127,IF(C127&gt;=E127,"Successful","Unsuccessful"),"🔒 BLOCKED — Wrong Code")),"Pending")</f>
        <v>Pending</v>
      </c>
      <c r="K127" s="83" t="str">
        <f t="shared" ca="1" si="11"/>
        <v>—</v>
      </c>
      <c r="L127" s="84"/>
    </row>
    <row r="128" spans="1:12" ht="15" customHeight="1" x14ac:dyDescent="0.25">
      <c r="A128" s="85"/>
      <c r="B128" s="41" t="str">
        <f>IF(A128="","",IFERROR(VLOOKUP(A128,DB_Customers!$A:$D,4,0),"❌ Account Not Found"))</f>
        <v/>
      </c>
      <c r="C128" s="86" t="str">
        <f>IF(A128="","",IFERROR(VLOOKUP(A128,DB_Customers!$A:$N,14,0),"❌ Acct Not Found"))</f>
        <v/>
      </c>
      <c r="D128" s="87" t="str">
        <f t="shared" ca="1" si="9"/>
        <v/>
      </c>
      <c r="E128" s="94"/>
      <c r="F128" s="41"/>
      <c r="G128" s="96" t="str">
        <f t="shared" si="10"/>
        <v/>
      </c>
      <c r="H128" s="43" t="s">
        <v>133</v>
      </c>
      <c r="I128" s="81"/>
      <c r="J128" s="89" t="str">
        <f>IF(AND(A128&lt;&gt;"",E128&lt;&gt;""),IF(I128="","⚠️ Enter Code",IF(IFERROR(VLOOKUP(H128,DB_Agents!$B:$I,8,0),"")=I128,IF(C128&gt;=E128,"Successful","Unsuccessful"),"🔒 BLOCKED — Wrong Code")),"Pending")</f>
        <v>Pending</v>
      </c>
      <c r="K128" s="90" t="str">
        <f t="shared" ca="1" si="11"/>
        <v>—</v>
      </c>
      <c r="L128" s="91"/>
    </row>
    <row r="129" spans="1:12" ht="15" customHeight="1" x14ac:dyDescent="0.25">
      <c r="A129" s="76"/>
      <c r="B129" s="37" t="str">
        <f>IF(A129="","",IFERROR(VLOOKUP(A129,DB_Customers!$A:$D,4,0),"❌ Account Not Found"))</f>
        <v/>
      </c>
      <c r="C129" s="77" t="str">
        <f>IF(A129="","",IFERROR(VLOOKUP(A129,DB_Customers!$A:$N,14,0),"❌ Acct Not Found"))</f>
        <v/>
      </c>
      <c r="D129" s="78" t="str">
        <f t="shared" ca="1" si="9"/>
        <v/>
      </c>
      <c r="E129" s="94"/>
      <c r="F129" s="37"/>
      <c r="G129" s="95" t="str">
        <f t="shared" si="10"/>
        <v/>
      </c>
      <c r="H129" s="39" t="s">
        <v>133</v>
      </c>
      <c r="I129" s="81"/>
      <c r="J129" s="82" t="str">
        <f>IF(AND(A129&lt;&gt;"",E129&lt;&gt;""),IF(I129="","⚠️ Enter Code",IF(IFERROR(VLOOKUP(H129,DB_Agents!$B:$I,8,0),"")=I129,IF(C129&gt;=E129,"Successful","Unsuccessful"),"🔒 BLOCKED — Wrong Code")),"Pending")</f>
        <v>Pending</v>
      </c>
      <c r="K129" s="83" t="str">
        <f t="shared" ca="1" si="11"/>
        <v>—</v>
      </c>
      <c r="L129" s="84"/>
    </row>
    <row r="130" spans="1:12" ht="15" customHeight="1" x14ac:dyDescent="0.25">
      <c r="A130" s="85"/>
      <c r="B130" s="41" t="str">
        <f>IF(A130="","",IFERROR(VLOOKUP(A130,DB_Customers!$A:$D,4,0),"❌ Account Not Found"))</f>
        <v/>
      </c>
      <c r="C130" s="86" t="str">
        <f>IF(A130="","",IFERROR(VLOOKUP(A130,DB_Customers!$A:$N,14,0),"❌ Acct Not Found"))</f>
        <v/>
      </c>
      <c r="D130" s="87" t="str">
        <f t="shared" ca="1" si="9"/>
        <v/>
      </c>
      <c r="E130" s="94"/>
      <c r="F130" s="41"/>
      <c r="G130" s="96" t="str">
        <f t="shared" si="10"/>
        <v/>
      </c>
      <c r="H130" s="43" t="s">
        <v>133</v>
      </c>
      <c r="I130" s="81"/>
      <c r="J130" s="89" t="str">
        <f>IF(AND(A130&lt;&gt;"",E130&lt;&gt;""),IF(I130="","⚠️ Enter Code",IF(IFERROR(VLOOKUP(H130,DB_Agents!$B:$I,8,0),"")=I130,IF(C130&gt;=E130,"Successful","Unsuccessful"),"🔒 BLOCKED — Wrong Code")),"Pending")</f>
        <v>Pending</v>
      </c>
      <c r="K130" s="90" t="str">
        <f t="shared" ca="1" si="11"/>
        <v>—</v>
      </c>
      <c r="L130" s="91"/>
    </row>
    <row r="131" spans="1:12" ht="15" customHeight="1" x14ac:dyDescent="0.25">
      <c r="A131" s="76"/>
      <c r="B131" s="37" t="str">
        <f>IF(A131="","",IFERROR(VLOOKUP(A131,DB_Customers!$A:$D,4,0),"❌ Account Not Found"))</f>
        <v/>
      </c>
      <c r="C131" s="77" t="str">
        <f>IF(A131="","",IFERROR(VLOOKUP(A131,DB_Customers!$A:$N,14,0),"❌ Acct Not Found"))</f>
        <v/>
      </c>
      <c r="D131" s="78" t="str">
        <f t="shared" ca="1" si="9"/>
        <v/>
      </c>
      <c r="E131" s="94"/>
      <c r="F131" s="37"/>
      <c r="G131" s="95" t="str">
        <f t="shared" si="10"/>
        <v/>
      </c>
      <c r="H131" s="39" t="s">
        <v>133</v>
      </c>
      <c r="I131" s="81"/>
      <c r="J131" s="82" t="str">
        <f>IF(AND(A131&lt;&gt;"",E131&lt;&gt;""),IF(I131="","⚠️ Enter Code",IF(IFERROR(VLOOKUP(H131,DB_Agents!$B:$I,8,0),"")=I131,IF(C131&gt;=E131,"Successful","Unsuccessful"),"🔒 BLOCKED — Wrong Code")),"Pending")</f>
        <v>Pending</v>
      </c>
      <c r="K131" s="83" t="str">
        <f t="shared" ca="1" si="11"/>
        <v>—</v>
      </c>
      <c r="L131" s="84"/>
    </row>
    <row r="132" spans="1:12" ht="15" customHeight="1" x14ac:dyDescent="0.25">
      <c r="A132" s="85"/>
      <c r="B132" s="41" t="str">
        <f>IF(A132="","",IFERROR(VLOOKUP(A132,DB_Customers!$A:$D,4,0),"❌ Account Not Found"))</f>
        <v/>
      </c>
      <c r="C132" s="86" t="str">
        <f>IF(A132="","",IFERROR(VLOOKUP(A132,DB_Customers!$A:$N,14,0),"❌ Acct Not Found"))</f>
        <v/>
      </c>
      <c r="D132" s="87" t="str">
        <f t="shared" ca="1" si="9"/>
        <v/>
      </c>
      <c r="E132" s="94"/>
      <c r="F132" s="41"/>
      <c r="G132" s="96" t="str">
        <f t="shared" si="10"/>
        <v/>
      </c>
      <c r="H132" s="43" t="s">
        <v>133</v>
      </c>
      <c r="I132" s="81"/>
      <c r="J132" s="89" t="str">
        <f>IF(AND(A132&lt;&gt;"",E132&lt;&gt;""),IF(I132="","⚠️ Enter Code",IF(IFERROR(VLOOKUP(H132,DB_Agents!$B:$I,8,0),"")=I132,IF(C132&gt;=E132,"Successful","Unsuccessful"),"🔒 BLOCKED — Wrong Code")),"Pending")</f>
        <v>Pending</v>
      </c>
      <c r="K132" s="90" t="str">
        <f t="shared" ca="1" si="11"/>
        <v>—</v>
      </c>
      <c r="L132" s="91"/>
    </row>
    <row r="133" spans="1:12" ht="15" customHeight="1" x14ac:dyDescent="0.25">
      <c r="A133" s="76"/>
      <c r="B133" s="37" t="str">
        <f>IF(A133="","",IFERROR(VLOOKUP(A133,DB_Customers!$A:$D,4,0),"❌ Account Not Found"))</f>
        <v/>
      </c>
      <c r="C133" s="77" t="str">
        <f>IF(A133="","",IFERROR(VLOOKUP(A133,DB_Customers!$A:$N,14,0),"❌ Acct Not Found"))</f>
        <v/>
      </c>
      <c r="D133" s="78" t="str">
        <f t="shared" ca="1" si="9"/>
        <v/>
      </c>
      <c r="E133" s="94"/>
      <c r="F133" s="37"/>
      <c r="G133" s="95" t="str">
        <f t="shared" si="10"/>
        <v/>
      </c>
      <c r="H133" s="39" t="s">
        <v>133</v>
      </c>
      <c r="I133" s="81"/>
      <c r="J133" s="82" t="str">
        <f>IF(AND(A133&lt;&gt;"",E133&lt;&gt;""),IF(I133="","⚠️ Enter Code",IF(IFERROR(VLOOKUP(H133,DB_Agents!$B:$I,8,0),"")=I133,IF(C133&gt;=E133,"Successful","Unsuccessful"),"🔒 BLOCKED — Wrong Code")),"Pending")</f>
        <v>Pending</v>
      </c>
      <c r="K133" s="83" t="str">
        <f t="shared" ca="1" si="11"/>
        <v>—</v>
      </c>
      <c r="L133" s="84"/>
    </row>
    <row r="134" spans="1:12" ht="15" customHeight="1" x14ac:dyDescent="0.25">
      <c r="A134" s="85"/>
      <c r="B134" s="41" t="str">
        <f>IF(A134="","",IFERROR(VLOOKUP(A134,DB_Customers!$A:$D,4,0),"❌ Account Not Found"))</f>
        <v/>
      </c>
      <c r="C134" s="86" t="str">
        <f>IF(A134="","",IFERROR(VLOOKUP(A134,DB_Customers!$A:$N,14,0),"❌ Acct Not Found"))</f>
        <v/>
      </c>
      <c r="D134" s="87" t="str">
        <f t="shared" ca="1" si="9"/>
        <v/>
      </c>
      <c r="E134" s="94"/>
      <c r="F134" s="41"/>
      <c r="G134" s="96" t="str">
        <f t="shared" si="10"/>
        <v/>
      </c>
      <c r="H134" s="43" t="s">
        <v>133</v>
      </c>
      <c r="I134" s="81"/>
      <c r="J134" s="89" t="str">
        <f>IF(AND(A134&lt;&gt;"",E134&lt;&gt;""),IF(I134="","⚠️ Enter Code",IF(IFERROR(VLOOKUP(H134,DB_Agents!$B:$I,8,0),"")=I134,IF(C134&gt;=E134,"Successful","Unsuccessful"),"🔒 BLOCKED — Wrong Code")),"Pending")</f>
        <v>Pending</v>
      </c>
      <c r="K134" s="90" t="str">
        <f t="shared" ca="1" si="11"/>
        <v>—</v>
      </c>
      <c r="L134" s="91"/>
    </row>
    <row r="135" spans="1:12" ht="15" customHeight="1" x14ac:dyDescent="0.25">
      <c r="A135" s="76"/>
      <c r="B135" s="37" t="str">
        <f>IF(A135="","",IFERROR(VLOOKUP(A135,DB_Customers!$A:$D,4,0),"❌ Account Not Found"))</f>
        <v/>
      </c>
      <c r="C135" s="77" t="str">
        <f>IF(A135="","",IFERROR(VLOOKUP(A135,DB_Customers!$A:$N,14,0),"❌ Acct Not Found"))</f>
        <v/>
      </c>
      <c r="D135" s="78" t="str">
        <f t="shared" ca="1" si="9"/>
        <v/>
      </c>
      <c r="E135" s="94"/>
      <c r="F135" s="37"/>
      <c r="G135" s="95" t="str">
        <f t="shared" si="10"/>
        <v/>
      </c>
      <c r="H135" s="39" t="s">
        <v>133</v>
      </c>
      <c r="I135" s="81"/>
      <c r="J135" s="82" t="str">
        <f>IF(AND(A135&lt;&gt;"",E135&lt;&gt;""),IF(I135="","⚠️ Enter Code",IF(IFERROR(VLOOKUP(H135,DB_Agents!$B:$I,8,0),"")=I135,IF(C135&gt;=E135,"Successful","Unsuccessful"),"🔒 BLOCKED — Wrong Code")),"Pending")</f>
        <v>Pending</v>
      </c>
      <c r="K135" s="83" t="str">
        <f t="shared" ca="1" si="11"/>
        <v>—</v>
      </c>
      <c r="L135" s="84"/>
    </row>
    <row r="136" spans="1:12" ht="15" customHeight="1" x14ac:dyDescent="0.25">
      <c r="A136" s="85"/>
      <c r="B136" s="41" t="str">
        <f>IF(A136="","",IFERROR(VLOOKUP(A136,DB_Customers!$A:$D,4,0),"❌ Account Not Found"))</f>
        <v/>
      </c>
      <c r="C136" s="86" t="str">
        <f>IF(A136="","",IFERROR(VLOOKUP(A136,DB_Customers!$A:$N,14,0),"❌ Acct Not Found"))</f>
        <v/>
      </c>
      <c r="D136" s="87" t="str">
        <f t="shared" ca="1" si="9"/>
        <v/>
      </c>
      <c r="E136" s="94"/>
      <c r="F136" s="41"/>
      <c r="G136" s="96" t="str">
        <f t="shared" si="10"/>
        <v/>
      </c>
      <c r="H136" s="43" t="s">
        <v>133</v>
      </c>
      <c r="I136" s="81"/>
      <c r="J136" s="89" t="str">
        <f>IF(AND(A136&lt;&gt;"",E136&lt;&gt;""),IF(I136="","⚠️ Enter Code",IF(IFERROR(VLOOKUP(H136,DB_Agents!$B:$I,8,0),"")=I136,IF(C136&gt;=E136,"Successful","Unsuccessful"),"🔒 BLOCKED — Wrong Code")),"Pending")</f>
        <v>Pending</v>
      </c>
      <c r="K136" s="90" t="str">
        <f t="shared" ca="1" si="11"/>
        <v>—</v>
      </c>
      <c r="L136" s="91"/>
    </row>
    <row r="137" spans="1:12" ht="15" customHeight="1" x14ac:dyDescent="0.25">
      <c r="A137" s="76"/>
      <c r="B137" s="37" t="str">
        <f>IF(A137="","",IFERROR(VLOOKUP(A137,DB_Customers!$A:$D,4,0),"❌ Account Not Found"))</f>
        <v/>
      </c>
      <c r="C137" s="77" t="str">
        <f>IF(A137="","",IFERROR(VLOOKUP(A137,DB_Customers!$A:$N,14,0),"❌ Acct Not Found"))</f>
        <v/>
      </c>
      <c r="D137" s="78" t="str">
        <f t="shared" ref="D137:D168" ca="1" si="12">IF(A137="","",TODAY())</f>
        <v/>
      </c>
      <c r="E137" s="94"/>
      <c r="F137" s="37"/>
      <c r="G137" s="95" t="str">
        <f t="shared" ref="G137:G168" si="13">IF(OR(A137="",E137=""),"",IF(C137="","",C137-E137))</f>
        <v/>
      </c>
      <c r="H137" s="39" t="s">
        <v>133</v>
      </c>
      <c r="I137" s="81"/>
      <c r="J137" s="82" t="str">
        <f>IF(AND(A137&lt;&gt;"",E137&lt;&gt;""),IF(I137="","⚠️ Enter Code",IF(IFERROR(VLOOKUP(H137,DB_Agents!$B:$I,8,0),"")=I137,IF(C137&gt;=E137,"Successful","Unsuccessful"),"🔒 BLOCKED — Wrong Code")),"Pending")</f>
        <v>Pending</v>
      </c>
      <c r="K137" s="83" t="str">
        <f t="shared" ref="K137:K168" ca="1" si="14">IF(J137="Successful",TEXT(TODAY(),"YYYY-MM-DD")&amp;" Auto","—")</f>
        <v>—</v>
      </c>
      <c r="L137" s="84"/>
    </row>
    <row r="138" spans="1:12" ht="15" customHeight="1" x14ac:dyDescent="0.25">
      <c r="A138" s="85"/>
      <c r="B138" s="41" t="str">
        <f>IF(A138="","",IFERROR(VLOOKUP(A138,DB_Customers!$A:$D,4,0),"❌ Account Not Found"))</f>
        <v/>
      </c>
      <c r="C138" s="86" t="str">
        <f>IF(A138="","",IFERROR(VLOOKUP(A138,DB_Customers!$A:$N,14,0),"❌ Acct Not Found"))</f>
        <v/>
      </c>
      <c r="D138" s="87" t="str">
        <f t="shared" ca="1" si="12"/>
        <v/>
      </c>
      <c r="E138" s="94"/>
      <c r="F138" s="41"/>
      <c r="G138" s="96" t="str">
        <f t="shared" si="13"/>
        <v/>
      </c>
      <c r="H138" s="43" t="s">
        <v>133</v>
      </c>
      <c r="I138" s="81"/>
      <c r="J138" s="89" t="str">
        <f>IF(AND(A138&lt;&gt;"",E138&lt;&gt;""),IF(I138="","⚠️ Enter Code",IF(IFERROR(VLOOKUP(H138,DB_Agents!$B:$I,8,0),"")=I138,IF(C138&gt;=E138,"Successful","Unsuccessful"),"🔒 BLOCKED — Wrong Code")),"Pending")</f>
        <v>Pending</v>
      </c>
      <c r="K138" s="90" t="str">
        <f t="shared" ca="1" si="14"/>
        <v>—</v>
      </c>
      <c r="L138" s="91"/>
    </row>
    <row r="139" spans="1:12" ht="15" customHeight="1" x14ac:dyDescent="0.25">
      <c r="A139" s="76"/>
      <c r="B139" s="37" t="str">
        <f>IF(A139="","",IFERROR(VLOOKUP(A139,DB_Customers!$A:$D,4,0),"❌ Account Not Found"))</f>
        <v/>
      </c>
      <c r="C139" s="77" t="str">
        <f>IF(A139="","",IFERROR(VLOOKUP(A139,DB_Customers!$A:$N,14,0),"❌ Acct Not Found"))</f>
        <v/>
      </c>
      <c r="D139" s="78" t="str">
        <f t="shared" ca="1" si="12"/>
        <v/>
      </c>
      <c r="E139" s="94"/>
      <c r="F139" s="37"/>
      <c r="G139" s="95" t="str">
        <f t="shared" si="13"/>
        <v/>
      </c>
      <c r="H139" s="39" t="s">
        <v>133</v>
      </c>
      <c r="I139" s="81"/>
      <c r="J139" s="82" t="str">
        <f>IF(AND(A139&lt;&gt;"",E139&lt;&gt;""),IF(I139="","⚠️ Enter Code",IF(IFERROR(VLOOKUP(H139,DB_Agents!$B:$I,8,0),"")=I139,IF(C139&gt;=E139,"Successful","Unsuccessful"),"🔒 BLOCKED — Wrong Code")),"Pending")</f>
        <v>Pending</v>
      </c>
      <c r="K139" s="83" t="str">
        <f t="shared" ca="1" si="14"/>
        <v>—</v>
      </c>
      <c r="L139" s="84"/>
    </row>
    <row r="140" spans="1:12" ht="15" customHeight="1" x14ac:dyDescent="0.25">
      <c r="A140" s="85"/>
      <c r="B140" s="41" t="str">
        <f>IF(A140="","",IFERROR(VLOOKUP(A140,DB_Customers!$A:$D,4,0),"❌ Account Not Found"))</f>
        <v/>
      </c>
      <c r="C140" s="86" t="str">
        <f>IF(A140="","",IFERROR(VLOOKUP(A140,DB_Customers!$A:$N,14,0),"❌ Acct Not Found"))</f>
        <v/>
      </c>
      <c r="D140" s="87" t="str">
        <f t="shared" ca="1" si="12"/>
        <v/>
      </c>
      <c r="E140" s="94"/>
      <c r="F140" s="41"/>
      <c r="G140" s="96" t="str">
        <f t="shared" si="13"/>
        <v/>
      </c>
      <c r="H140" s="43" t="s">
        <v>133</v>
      </c>
      <c r="I140" s="81"/>
      <c r="J140" s="89" t="str">
        <f>IF(AND(A140&lt;&gt;"",E140&lt;&gt;""),IF(I140="","⚠️ Enter Code",IF(IFERROR(VLOOKUP(H140,DB_Agents!$B:$I,8,0),"")=I140,IF(C140&gt;=E140,"Successful","Unsuccessful"),"🔒 BLOCKED — Wrong Code")),"Pending")</f>
        <v>Pending</v>
      </c>
      <c r="K140" s="90" t="str">
        <f t="shared" ca="1" si="14"/>
        <v>—</v>
      </c>
      <c r="L140" s="91"/>
    </row>
    <row r="141" spans="1:12" ht="15" customHeight="1" x14ac:dyDescent="0.25">
      <c r="A141" s="76"/>
      <c r="B141" s="37" t="str">
        <f>IF(A141="","",IFERROR(VLOOKUP(A141,DB_Customers!$A:$D,4,0),"❌ Account Not Found"))</f>
        <v/>
      </c>
      <c r="C141" s="77" t="str">
        <f>IF(A141="","",IFERROR(VLOOKUP(A141,DB_Customers!$A:$N,14,0),"❌ Acct Not Found"))</f>
        <v/>
      </c>
      <c r="D141" s="78" t="str">
        <f t="shared" ca="1" si="12"/>
        <v/>
      </c>
      <c r="E141" s="94"/>
      <c r="F141" s="37"/>
      <c r="G141" s="95" t="str">
        <f t="shared" si="13"/>
        <v/>
      </c>
      <c r="H141" s="39" t="s">
        <v>133</v>
      </c>
      <c r="I141" s="81"/>
      <c r="J141" s="82" t="str">
        <f>IF(AND(A141&lt;&gt;"",E141&lt;&gt;""),IF(I141="","⚠️ Enter Code",IF(IFERROR(VLOOKUP(H141,DB_Agents!$B:$I,8,0),"")=I141,IF(C141&gt;=E141,"Successful","Unsuccessful"),"🔒 BLOCKED — Wrong Code")),"Pending")</f>
        <v>Pending</v>
      </c>
      <c r="K141" s="83" t="str">
        <f t="shared" ca="1" si="14"/>
        <v>—</v>
      </c>
      <c r="L141" s="84"/>
    </row>
    <row r="142" spans="1:12" ht="15" customHeight="1" x14ac:dyDescent="0.25">
      <c r="A142" s="85"/>
      <c r="B142" s="41" t="str">
        <f>IF(A142="","",IFERROR(VLOOKUP(A142,DB_Customers!$A:$D,4,0),"❌ Account Not Found"))</f>
        <v/>
      </c>
      <c r="C142" s="86" t="str">
        <f>IF(A142="","",IFERROR(VLOOKUP(A142,DB_Customers!$A:$N,14,0),"❌ Acct Not Found"))</f>
        <v/>
      </c>
      <c r="D142" s="87" t="str">
        <f t="shared" ca="1" si="12"/>
        <v/>
      </c>
      <c r="E142" s="94"/>
      <c r="F142" s="41"/>
      <c r="G142" s="96" t="str">
        <f t="shared" si="13"/>
        <v/>
      </c>
      <c r="H142" s="43" t="s">
        <v>133</v>
      </c>
      <c r="I142" s="81"/>
      <c r="J142" s="89" t="str">
        <f>IF(AND(A142&lt;&gt;"",E142&lt;&gt;""),IF(I142="","⚠️ Enter Code",IF(IFERROR(VLOOKUP(H142,DB_Agents!$B:$I,8,0),"")=I142,IF(C142&gt;=E142,"Successful","Unsuccessful"),"🔒 BLOCKED — Wrong Code")),"Pending")</f>
        <v>Pending</v>
      </c>
      <c r="K142" s="90" t="str">
        <f t="shared" ca="1" si="14"/>
        <v>—</v>
      </c>
      <c r="L142" s="91"/>
    </row>
    <row r="143" spans="1:12" ht="15" customHeight="1" x14ac:dyDescent="0.25">
      <c r="A143" s="76"/>
      <c r="B143" s="37" t="str">
        <f>IF(A143="","",IFERROR(VLOOKUP(A143,DB_Customers!$A:$D,4,0),"❌ Account Not Found"))</f>
        <v/>
      </c>
      <c r="C143" s="77" t="str">
        <f>IF(A143="","",IFERROR(VLOOKUP(A143,DB_Customers!$A:$N,14,0),"❌ Acct Not Found"))</f>
        <v/>
      </c>
      <c r="D143" s="78" t="str">
        <f t="shared" ca="1" si="12"/>
        <v/>
      </c>
      <c r="E143" s="94"/>
      <c r="F143" s="37"/>
      <c r="G143" s="95" t="str">
        <f t="shared" si="13"/>
        <v/>
      </c>
      <c r="H143" s="39" t="s">
        <v>133</v>
      </c>
      <c r="I143" s="81"/>
      <c r="J143" s="82" t="str">
        <f>IF(AND(A143&lt;&gt;"",E143&lt;&gt;""),IF(I143="","⚠️ Enter Code",IF(IFERROR(VLOOKUP(H143,DB_Agents!$B:$I,8,0),"")=I143,IF(C143&gt;=E143,"Successful","Unsuccessful"),"🔒 BLOCKED — Wrong Code")),"Pending")</f>
        <v>Pending</v>
      </c>
      <c r="K143" s="83" t="str">
        <f t="shared" ca="1" si="14"/>
        <v>—</v>
      </c>
      <c r="L143" s="84"/>
    </row>
    <row r="144" spans="1:12" ht="15" customHeight="1" x14ac:dyDescent="0.25">
      <c r="A144" s="85"/>
      <c r="B144" s="41" t="str">
        <f>IF(A144="","",IFERROR(VLOOKUP(A144,DB_Customers!$A:$D,4,0),"❌ Account Not Found"))</f>
        <v/>
      </c>
      <c r="C144" s="86" t="str">
        <f>IF(A144="","",IFERROR(VLOOKUP(A144,DB_Customers!$A:$N,14,0),"❌ Acct Not Found"))</f>
        <v/>
      </c>
      <c r="D144" s="87" t="str">
        <f t="shared" ca="1" si="12"/>
        <v/>
      </c>
      <c r="E144" s="94"/>
      <c r="F144" s="41"/>
      <c r="G144" s="96" t="str">
        <f t="shared" si="13"/>
        <v/>
      </c>
      <c r="H144" s="43" t="s">
        <v>133</v>
      </c>
      <c r="I144" s="81"/>
      <c r="J144" s="89" t="str">
        <f>IF(AND(A144&lt;&gt;"",E144&lt;&gt;""),IF(I144="","⚠️ Enter Code",IF(IFERROR(VLOOKUP(H144,DB_Agents!$B:$I,8,0),"")=I144,IF(C144&gt;=E144,"Successful","Unsuccessful"),"🔒 BLOCKED — Wrong Code")),"Pending")</f>
        <v>Pending</v>
      </c>
      <c r="K144" s="90" t="str">
        <f t="shared" ca="1" si="14"/>
        <v>—</v>
      </c>
      <c r="L144" s="91"/>
    </row>
    <row r="145" spans="1:12" ht="15" customHeight="1" x14ac:dyDescent="0.25">
      <c r="A145" s="76"/>
      <c r="B145" s="37" t="str">
        <f>IF(A145="","",IFERROR(VLOOKUP(A145,DB_Customers!$A:$D,4,0),"❌ Account Not Found"))</f>
        <v/>
      </c>
      <c r="C145" s="77" t="str">
        <f>IF(A145="","",IFERROR(VLOOKUP(A145,DB_Customers!$A:$N,14,0),"❌ Acct Not Found"))</f>
        <v/>
      </c>
      <c r="D145" s="78" t="str">
        <f t="shared" ca="1" si="12"/>
        <v/>
      </c>
      <c r="E145" s="94"/>
      <c r="F145" s="37"/>
      <c r="G145" s="95" t="str">
        <f t="shared" si="13"/>
        <v/>
      </c>
      <c r="H145" s="39" t="s">
        <v>133</v>
      </c>
      <c r="I145" s="81"/>
      <c r="J145" s="82" t="str">
        <f>IF(AND(A145&lt;&gt;"",E145&lt;&gt;""),IF(I145="","⚠️ Enter Code",IF(IFERROR(VLOOKUP(H145,DB_Agents!$B:$I,8,0),"")=I145,IF(C145&gt;=E145,"Successful","Unsuccessful"),"🔒 BLOCKED — Wrong Code")),"Pending")</f>
        <v>Pending</v>
      </c>
      <c r="K145" s="83" t="str">
        <f t="shared" ca="1" si="14"/>
        <v>—</v>
      </c>
      <c r="L145" s="84"/>
    </row>
    <row r="146" spans="1:12" ht="15" customHeight="1" x14ac:dyDescent="0.25">
      <c r="A146" s="85"/>
      <c r="B146" s="41" t="str">
        <f>IF(A146="","",IFERROR(VLOOKUP(A146,DB_Customers!$A:$D,4,0),"❌ Account Not Found"))</f>
        <v/>
      </c>
      <c r="C146" s="86" t="str">
        <f>IF(A146="","",IFERROR(VLOOKUP(A146,DB_Customers!$A:$N,14,0),"❌ Acct Not Found"))</f>
        <v/>
      </c>
      <c r="D146" s="87" t="str">
        <f t="shared" ca="1" si="12"/>
        <v/>
      </c>
      <c r="E146" s="94"/>
      <c r="F146" s="41"/>
      <c r="G146" s="96" t="str">
        <f t="shared" si="13"/>
        <v/>
      </c>
      <c r="H146" s="43" t="s">
        <v>133</v>
      </c>
      <c r="I146" s="81"/>
      <c r="J146" s="89" t="str">
        <f>IF(AND(A146&lt;&gt;"",E146&lt;&gt;""),IF(I146="","⚠️ Enter Code",IF(IFERROR(VLOOKUP(H146,DB_Agents!$B:$I,8,0),"")=I146,IF(C146&gt;=E146,"Successful","Unsuccessful"),"🔒 BLOCKED — Wrong Code")),"Pending")</f>
        <v>Pending</v>
      </c>
      <c r="K146" s="90" t="str">
        <f t="shared" ca="1" si="14"/>
        <v>—</v>
      </c>
      <c r="L146" s="91"/>
    </row>
    <row r="147" spans="1:12" ht="15" customHeight="1" x14ac:dyDescent="0.25">
      <c r="A147" s="76"/>
      <c r="B147" s="37" t="str">
        <f>IF(A147="","",IFERROR(VLOOKUP(A147,DB_Customers!$A:$D,4,0),"❌ Account Not Found"))</f>
        <v/>
      </c>
      <c r="C147" s="77" t="str">
        <f>IF(A147="","",IFERROR(VLOOKUP(A147,DB_Customers!$A:$N,14,0),"❌ Acct Not Found"))</f>
        <v/>
      </c>
      <c r="D147" s="78" t="str">
        <f t="shared" ca="1" si="12"/>
        <v/>
      </c>
      <c r="E147" s="94"/>
      <c r="F147" s="37"/>
      <c r="G147" s="95" t="str">
        <f t="shared" si="13"/>
        <v/>
      </c>
      <c r="H147" s="39" t="s">
        <v>133</v>
      </c>
      <c r="I147" s="81"/>
      <c r="J147" s="82" t="str">
        <f>IF(AND(A147&lt;&gt;"",E147&lt;&gt;""),IF(I147="","⚠️ Enter Code",IF(IFERROR(VLOOKUP(H147,DB_Agents!$B:$I,8,0),"")=I147,IF(C147&gt;=E147,"Successful","Unsuccessful"),"🔒 BLOCKED — Wrong Code")),"Pending")</f>
        <v>Pending</v>
      </c>
      <c r="K147" s="83" t="str">
        <f t="shared" ca="1" si="14"/>
        <v>—</v>
      </c>
      <c r="L147" s="84"/>
    </row>
    <row r="148" spans="1:12" ht="15" customHeight="1" x14ac:dyDescent="0.25">
      <c r="A148" s="85"/>
      <c r="B148" s="41" t="str">
        <f>IF(A148="","",IFERROR(VLOOKUP(A148,DB_Customers!$A:$D,4,0),"❌ Account Not Found"))</f>
        <v/>
      </c>
      <c r="C148" s="86" t="str">
        <f>IF(A148="","",IFERROR(VLOOKUP(A148,DB_Customers!$A:$N,14,0),"❌ Acct Not Found"))</f>
        <v/>
      </c>
      <c r="D148" s="87" t="str">
        <f t="shared" ca="1" si="12"/>
        <v/>
      </c>
      <c r="E148" s="94"/>
      <c r="F148" s="41"/>
      <c r="G148" s="96" t="str">
        <f t="shared" si="13"/>
        <v/>
      </c>
      <c r="H148" s="43" t="s">
        <v>133</v>
      </c>
      <c r="I148" s="81"/>
      <c r="J148" s="89" t="str">
        <f>IF(AND(A148&lt;&gt;"",E148&lt;&gt;""),IF(I148="","⚠️ Enter Code",IF(IFERROR(VLOOKUP(H148,DB_Agents!$B:$I,8,0),"")=I148,IF(C148&gt;=E148,"Successful","Unsuccessful"),"🔒 BLOCKED — Wrong Code")),"Pending")</f>
        <v>Pending</v>
      </c>
      <c r="K148" s="90" t="str">
        <f t="shared" ca="1" si="14"/>
        <v>—</v>
      </c>
      <c r="L148" s="91"/>
    </row>
    <row r="149" spans="1:12" ht="15" customHeight="1" x14ac:dyDescent="0.25">
      <c r="A149" s="76"/>
      <c r="B149" s="37" t="str">
        <f>IF(A149="","",IFERROR(VLOOKUP(A149,DB_Customers!$A:$D,4,0),"❌ Account Not Found"))</f>
        <v/>
      </c>
      <c r="C149" s="77" t="str">
        <f>IF(A149="","",IFERROR(VLOOKUP(A149,DB_Customers!$A:$N,14,0),"❌ Acct Not Found"))</f>
        <v/>
      </c>
      <c r="D149" s="78" t="str">
        <f t="shared" ca="1" si="12"/>
        <v/>
      </c>
      <c r="E149" s="94"/>
      <c r="F149" s="37"/>
      <c r="G149" s="95" t="str">
        <f t="shared" si="13"/>
        <v/>
      </c>
      <c r="H149" s="39" t="s">
        <v>133</v>
      </c>
      <c r="I149" s="81"/>
      <c r="J149" s="82" t="str">
        <f>IF(AND(A149&lt;&gt;"",E149&lt;&gt;""),IF(I149="","⚠️ Enter Code",IF(IFERROR(VLOOKUP(H149,DB_Agents!$B:$I,8,0),"")=I149,IF(C149&gt;=E149,"Successful","Unsuccessful"),"🔒 BLOCKED — Wrong Code")),"Pending")</f>
        <v>Pending</v>
      </c>
      <c r="K149" s="83" t="str">
        <f t="shared" ca="1" si="14"/>
        <v>—</v>
      </c>
      <c r="L149" s="84"/>
    </row>
    <row r="150" spans="1:12" ht="15" customHeight="1" x14ac:dyDescent="0.25">
      <c r="A150" s="85"/>
      <c r="B150" s="41" t="str">
        <f>IF(A150="","",IFERROR(VLOOKUP(A150,DB_Customers!$A:$D,4,0),"❌ Account Not Found"))</f>
        <v/>
      </c>
      <c r="C150" s="86" t="str">
        <f>IF(A150="","",IFERROR(VLOOKUP(A150,DB_Customers!$A:$N,14,0),"❌ Acct Not Found"))</f>
        <v/>
      </c>
      <c r="D150" s="87" t="str">
        <f t="shared" ca="1" si="12"/>
        <v/>
      </c>
      <c r="E150" s="94"/>
      <c r="F150" s="41"/>
      <c r="G150" s="96" t="str">
        <f t="shared" si="13"/>
        <v/>
      </c>
      <c r="H150" s="43" t="s">
        <v>133</v>
      </c>
      <c r="I150" s="81"/>
      <c r="J150" s="89" t="str">
        <f>IF(AND(A150&lt;&gt;"",E150&lt;&gt;""),IF(I150="","⚠️ Enter Code",IF(IFERROR(VLOOKUP(H150,DB_Agents!$B:$I,8,0),"")=I150,IF(C150&gt;=E150,"Successful","Unsuccessful"),"🔒 BLOCKED — Wrong Code")),"Pending")</f>
        <v>Pending</v>
      </c>
      <c r="K150" s="90" t="str">
        <f t="shared" ca="1" si="14"/>
        <v>—</v>
      </c>
      <c r="L150" s="91"/>
    </row>
    <row r="151" spans="1:12" ht="15" customHeight="1" x14ac:dyDescent="0.25">
      <c r="A151" s="76"/>
      <c r="B151" s="37" t="str">
        <f>IF(A151="","",IFERROR(VLOOKUP(A151,DB_Customers!$A:$D,4,0),"❌ Account Not Found"))</f>
        <v/>
      </c>
      <c r="C151" s="77" t="str">
        <f>IF(A151="","",IFERROR(VLOOKUP(A151,DB_Customers!$A:$N,14,0),"❌ Acct Not Found"))</f>
        <v/>
      </c>
      <c r="D151" s="78" t="str">
        <f t="shared" ca="1" si="12"/>
        <v/>
      </c>
      <c r="E151" s="94"/>
      <c r="F151" s="37"/>
      <c r="G151" s="95" t="str">
        <f t="shared" si="13"/>
        <v/>
      </c>
      <c r="H151" s="39" t="s">
        <v>133</v>
      </c>
      <c r="I151" s="81"/>
      <c r="J151" s="82" t="str">
        <f>IF(AND(A151&lt;&gt;"",E151&lt;&gt;""),IF(I151="","⚠️ Enter Code",IF(IFERROR(VLOOKUP(H151,DB_Agents!$B:$I,8,0),"")=I151,IF(C151&gt;=E151,"Successful","Unsuccessful"),"🔒 BLOCKED — Wrong Code")),"Pending")</f>
        <v>Pending</v>
      </c>
      <c r="K151" s="83" t="str">
        <f t="shared" ca="1" si="14"/>
        <v>—</v>
      </c>
      <c r="L151" s="84"/>
    </row>
    <row r="152" spans="1:12" ht="15" customHeight="1" x14ac:dyDescent="0.25">
      <c r="A152" s="85"/>
      <c r="B152" s="41" t="str">
        <f>IF(A152="","",IFERROR(VLOOKUP(A152,DB_Customers!$A:$D,4,0),"❌ Account Not Found"))</f>
        <v/>
      </c>
      <c r="C152" s="86" t="str">
        <f>IF(A152="","",IFERROR(VLOOKUP(A152,DB_Customers!$A:$N,14,0),"❌ Acct Not Found"))</f>
        <v/>
      </c>
      <c r="D152" s="87" t="str">
        <f t="shared" ca="1" si="12"/>
        <v/>
      </c>
      <c r="E152" s="94"/>
      <c r="F152" s="41"/>
      <c r="G152" s="96" t="str">
        <f t="shared" si="13"/>
        <v/>
      </c>
      <c r="H152" s="43" t="s">
        <v>133</v>
      </c>
      <c r="I152" s="81"/>
      <c r="J152" s="89" t="str">
        <f>IF(AND(A152&lt;&gt;"",E152&lt;&gt;""),IF(I152="","⚠️ Enter Code",IF(IFERROR(VLOOKUP(H152,DB_Agents!$B:$I,8,0),"")=I152,IF(C152&gt;=E152,"Successful","Unsuccessful"),"🔒 BLOCKED — Wrong Code")),"Pending")</f>
        <v>Pending</v>
      </c>
      <c r="K152" s="90" t="str">
        <f t="shared" ca="1" si="14"/>
        <v>—</v>
      </c>
      <c r="L152" s="91"/>
    </row>
    <row r="153" spans="1:12" ht="15" customHeight="1" x14ac:dyDescent="0.25">
      <c r="A153" s="76"/>
      <c r="B153" s="37" t="str">
        <f>IF(A153="","",IFERROR(VLOOKUP(A153,DB_Customers!$A:$D,4,0),"❌ Account Not Found"))</f>
        <v/>
      </c>
      <c r="C153" s="77" t="str">
        <f>IF(A153="","",IFERROR(VLOOKUP(A153,DB_Customers!$A:$N,14,0),"❌ Acct Not Found"))</f>
        <v/>
      </c>
      <c r="D153" s="78" t="str">
        <f t="shared" ca="1" si="12"/>
        <v/>
      </c>
      <c r="E153" s="94"/>
      <c r="F153" s="37"/>
      <c r="G153" s="95" t="str">
        <f t="shared" si="13"/>
        <v/>
      </c>
      <c r="H153" s="39" t="s">
        <v>133</v>
      </c>
      <c r="I153" s="81"/>
      <c r="J153" s="82" t="str">
        <f>IF(AND(A153&lt;&gt;"",E153&lt;&gt;""),IF(I153="","⚠️ Enter Code",IF(IFERROR(VLOOKUP(H153,DB_Agents!$B:$I,8,0),"")=I153,IF(C153&gt;=E153,"Successful","Unsuccessful"),"🔒 BLOCKED — Wrong Code")),"Pending")</f>
        <v>Pending</v>
      </c>
      <c r="K153" s="83" t="str">
        <f t="shared" ca="1" si="14"/>
        <v>—</v>
      </c>
      <c r="L153" s="84"/>
    </row>
    <row r="154" spans="1:12" ht="15" customHeight="1" x14ac:dyDescent="0.25">
      <c r="A154" s="85"/>
      <c r="B154" s="41" t="str">
        <f>IF(A154="","",IFERROR(VLOOKUP(A154,DB_Customers!$A:$D,4,0),"❌ Account Not Found"))</f>
        <v/>
      </c>
      <c r="C154" s="86" t="str">
        <f>IF(A154="","",IFERROR(VLOOKUP(A154,DB_Customers!$A:$N,14,0),"❌ Acct Not Found"))</f>
        <v/>
      </c>
      <c r="D154" s="87" t="str">
        <f t="shared" ca="1" si="12"/>
        <v/>
      </c>
      <c r="E154" s="94"/>
      <c r="F154" s="41"/>
      <c r="G154" s="96" t="str">
        <f t="shared" si="13"/>
        <v/>
      </c>
      <c r="H154" s="43" t="s">
        <v>133</v>
      </c>
      <c r="I154" s="81"/>
      <c r="J154" s="89" t="str">
        <f>IF(AND(A154&lt;&gt;"",E154&lt;&gt;""),IF(I154="","⚠️ Enter Code",IF(IFERROR(VLOOKUP(H154,DB_Agents!$B:$I,8,0),"")=I154,IF(C154&gt;=E154,"Successful","Unsuccessful"),"🔒 BLOCKED — Wrong Code")),"Pending")</f>
        <v>Pending</v>
      </c>
      <c r="K154" s="90" t="str">
        <f t="shared" ca="1" si="14"/>
        <v>—</v>
      </c>
      <c r="L154" s="91"/>
    </row>
    <row r="155" spans="1:12" ht="15" customHeight="1" x14ac:dyDescent="0.25">
      <c r="A155" s="76"/>
      <c r="B155" s="37" t="str">
        <f>IF(A155="","",IFERROR(VLOOKUP(A155,DB_Customers!$A:$D,4,0),"❌ Account Not Found"))</f>
        <v/>
      </c>
      <c r="C155" s="77" t="str">
        <f>IF(A155="","",IFERROR(VLOOKUP(A155,DB_Customers!$A:$N,14,0),"❌ Acct Not Found"))</f>
        <v/>
      </c>
      <c r="D155" s="78" t="str">
        <f t="shared" ca="1" si="12"/>
        <v/>
      </c>
      <c r="E155" s="94"/>
      <c r="F155" s="37"/>
      <c r="G155" s="95" t="str">
        <f t="shared" si="13"/>
        <v/>
      </c>
      <c r="H155" s="39" t="s">
        <v>133</v>
      </c>
      <c r="I155" s="81"/>
      <c r="J155" s="82" t="str">
        <f>IF(AND(A155&lt;&gt;"",E155&lt;&gt;""),IF(I155="","⚠️ Enter Code",IF(IFERROR(VLOOKUP(H155,DB_Agents!$B:$I,8,0),"")=I155,IF(C155&gt;=E155,"Successful","Unsuccessful"),"🔒 BLOCKED — Wrong Code")),"Pending")</f>
        <v>Pending</v>
      </c>
      <c r="K155" s="83" t="str">
        <f t="shared" ca="1" si="14"/>
        <v>—</v>
      </c>
      <c r="L155" s="84"/>
    </row>
    <row r="156" spans="1:12" ht="15" customHeight="1" x14ac:dyDescent="0.25">
      <c r="A156" s="85"/>
      <c r="B156" s="41" t="str">
        <f>IF(A156="","",IFERROR(VLOOKUP(A156,DB_Customers!$A:$D,4,0),"❌ Account Not Found"))</f>
        <v/>
      </c>
      <c r="C156" s="86" t="str">
        <f>IF(A156="","",IFERROR(VLOOKUP(A156,DB_Customers!$A:$N,14,0),"❌ Acct Not Found"))</f>
        <v/>
      </c>
      <c r="D156" s="87" t="str">
        <f t="shared" ca="1" si="12"/>
        <v/>
      </c>
      <c r="E156" s="94"/>
      <c r="F156" s="41"/>
      <c r="G156" s="96" t="str">
        <f t="shared" si="13"/>
        <v/>
      </c>
      <c r="H156" s="43" t="s">
        <v>133</v>
      </c>
      <c r="I156" s="81"/>
      <c r="J156" s="89" t="str">
        <f>IF(AND(A156&lt;&gt;"",E156&lt;&gt;""),IF(I156="","⚠️ Enter Code",IF(IFERROR(VLOOKUP(H156,DB_Agents!$B:$I,8,0),"")=I156,IF(C156&gt;=E156,"Successful","Unsuccessful"),"🔒 BLOCKED — Wrong Code")),"Pending")</f>
        <v>Pending</v>
      </c>
      <c r="K156" s="90" t="str">
        <f t="shared" ca="1" si="14"/>
        <v>—</v>
      </c>
      <c r="L156" s="91"/>
    </row>
    <row r="157" spans="1:12" ht="15" customHeight="1" x14ac:dyDescent="0.25">
      <c r="A157" s="76"/>
      <c r="B157" s="37" t="str">
        <f>IF(A157="","",IFERROR(VLOOKUP(A157,DB_Customers!$A:$D,4,0),"❌ Account Not Found"))</f>
        <v/>
      </c>
      <c r="C157" s="77" t="str">
        <f>IF(A157="","",IFERROR(VLOOKUP(A157,DB_Customers!$A:$N,14,0),"❌ Acct Not Found"))</f>
        <v/>
      </c>
      <c r="D157" s="78" t="str">
        <f t="shared" ca="1" si="12"/>
        <v/>
      </c>
      <c r="E157" s="94"/>
      <c r="F157" s="37"/>
      <c r="G157" s="95" t="str">
        <f t="shared" si="13"/>
        <v/>
      </c>
      <c r="H157" s="39" t="s">
        <v>133</v>
      </c>
      <c r="I157" s="81"/>
      <c r="J157" s="82" t="str">
        <f>IF(AND(A157&lt;&gt;"",E157&lt;&gt;""),IF(I157="","⚠️ Enter Code",IF(IFERROR(VLOOKUP(H157,DB_Agents!$B:$I,8,0),"")=I157,IF(C157&gt;=E157,"Successful","Unsuccessful"),"🔒 BLOCKED — Wrong Code")),"Pending")</f>
        <v>Pending</v>
      </c>
      <c r="K157" s="83" t="str">
        <f t="shared" ca="1" si="14"/>
        <v>—</v>
      </c>
      <c r="L157" s="84"/>
    </row>
    <row r="158" spans="1:12" ht="15" customHeight="1" x14ac:dyDescent="0.25">
      <c r="A158" s="85"/>
      <c r="B158" s="41" t="str">
        <f>IF(A158="","",IFERROR(VLOOKUP(A158,DB_Customers!$A:$D,4,0),"❌ Account Not Found"))</f>
        <v/>
      </c>
      <c r="C158" s="86" t="str">
        <f>IF(A158="","",IFERROR(VLOOKUP(A158,DB_Customers!$A:$N,14,0),"❌ Acct Not Found"))</f>
        <v/>
      </c>
      <c r="D158" s="87" t="str">
        <f t="shared" ca="1" si="12"/>
        <v/>
      </c>
      <c r="E158" s="94"/>
      <c r="F158" s="41"/>
      <c r="G158" s="96" t="str">
        <f t="shared" si="13"/>
        <v/>
      </c>
      <c r="H158" s="43" t="s">
        <v>133</v>
      </c>
      <c r="I158" s="81"/>
      <c r="J158" s="89" t="str">
        <f>IF(AND(A158&lt;&gt;"",E158&lt;&gt;""),IF(I158="","⚠️ Enter Code",IF(IFERROR(VLOOKUP(H158,DB_Agents!$B:$I,8,0),"")=I158,IF(C158&gt;=E158,"Successful","Unsuccessful"),"🔒 BLOCKED — Wrong Code")),"Pending")</f>
        <v>Pending</v>
      </c>
      <c r="K158" s="90" t="str">
        <f t="shared" ca="1" si="14"/>
        <v>—</v>
      </c>
      <c r="L158" s="91"/>
    </row>
    <row r="159" spans="1:12" ht="15" customHeight="1" x14ac:dyDescent="0.25">
      <c r="A159" s="76"/>
      <c r="B159" s="37" t="str">
        <f>IF(A159="","",IFERROR(VLOOKUP(A159,DB_Customers!$A:$D,4,0),"❌ Account Not Found"))</f>
        <v/>
      </c>
      <c r="C159" s="77" t="str">
        <f>IF(A159="","",IFERROR(VLOOKUP(A159,DB_Customers!$A:$N,14,0),"❌ Acct Not Found"))</f>
        <v/>
      </c>
      <c r="D159" s="78" t="str">
        <f t="shared" ca="1" si="12"/>
        <v/>
      </c>
      <c r="E159" s="94"/>
      <c r="F159" s="37"/>
      <c r="G159" s="95" t="str">
        <f t="shared" si="13"/>
        <v/>
      </c>
      <c r="H159" s="39" t="s">
        <v>133</v>
      </c>
      <c r="I159" s="81"/>
      <c r="J159" s="82" t="str">
        <f>IF(AND(A159&lt;&gt;"",E159&lt;&gt;""),IF(I159="","⚠️ Enter Code",IF(IFERROR(VLOOKUP(H159,DB_Agents!$B:$I,8,0),"")=I159,IF(C159&gt;=E159,"Successful","Unsuccessful"),"🔒 BLOCKED — Wrong Code")),"Pending")</f>
        <v>Pending</v>
      </c>
      <c r="K159" s="83" t="str">
        <f t="shared" ca="1" si="14"/>
        <v>—</v>
      </c>
      <c r="L159" s="84"/>
    </row>
    <row r="160" spans="1:12" ht="15" customHeight="1" x14ac:dyDescent="0.25">
      <c r="A160" s="85"/>
      <c r="B160" s="41" t="str">
        <f>IF(A160="","",IFERROR(VLOOKUP(A160,DB_Customers!$A:$D,4,0),"❌ Account Not Found"))</f>
        <v/>
      </c>
      <c r="C160" s="86" t="str">
        <f>IF(A160="","",IFERROR(VLOOKUP(A160,DB_Customers!$A:$N,14,0),"❌ Acct Not Found"))</f>
        <v/>
      </c>
      <c r="D160" s="87" t="str">
        <f t="shared" ca="1" si="12"/>
        <v/>
      </c>
      <c r="E160" s="94"/>
      <c r="F160" s="41"/>
      <c r="G160" s="96" t="str">
        <f t="shared" si="13"/>
        <v/>
      </c>
      <c r="H160" s="43" t="s">
        <v>133</v>
      </c>
      <c r="I160" s="81"/>
      <c r="J160" s="89" t="str">
        <f>IF(AND(A160&lt;&gt;"",E160&lt;&gt;""),IF(I160="","⚠️ Enter Code",IF(IFERROR(VLOOKUP(H160,DB_Agents!$B:$I,8,0),"")=I160,IF(C160&gt;=E160,"Successful","Unsuccessful"),"🔒 BLOCKED — Wrong Code")),"Pending")</f>
        <v>Pending</v>
      </c>
      <c r="K160" s="90" t="str">
        <f t="shared" ca="1" si="14"/>
        <v>—</v>
      </c>
      <c r="L160" s="91"/>
    </row>
    <row r="161" spans="1:12" ht="15" customHeight="1" x14ac:dyDescent="0.25">
      <c r="A161" s="76"/>
      <c r="B161" s="37" t="str">
        <f>IF(A161="","",IFERROR(VLOOKUP(A161,DB_Customers!$A:$D,4,0),"❌ Account Not Found"))</f>
        <v/>
      </c>
      <c r="C161" s="77" t="str">
        <f>IF(A161="","",IFERROR(VLOOKUP(A161,DB_Customers!$A:$N,14,0),"❌ Acct Not Found"))</f>
        <v/>
      </c>
      <c r="D161" s="78" t="str">
        <f t="shared" ca="1" si="12"/>
        <v/>
      </c>
      <c r="E161" s="94"/>
      <c r="F161" s="37"/>
      <c r="G161" s="95" t="str">
        <f t="shared" si="13"/>
        <v/>
      </c>
      <c r="H161" s="39" t="s">
        <v>133</v>
      </c>
      <c r="I161" s="81"/>
      <c r="J161" s="82" t="str">
        <f>IF(AND(A161&lt;&gt;"",E161&lt;&gt;""),IF(I161="","⚠️ Enter Code",IF(IFERROR(VLOOKUP(H161,DB_Agents!$B:$I,8,0),"")=I161,IF(C161&gt;=E161,"Successful","Unsuccessful"),"🔒 BLOCKED — Wrong Code")),"Pending")</f>
        <v>Pending</v>
      </c>
      <c r="K161" s="83" t="str">
        <f t="shared" ca="1" si="14"/>
        <v>—</v>
      </c>
      <c r="L161" s="84"/>
    </row>
    <row r="162" spans="1:12" ht="15" customHeight="1" x14ac:dyDescent="0.25">
      <c r="A162" s="85"/>
      <c r="B162" s="41" t="str">
        <f>IF(A162="","",IFERROR(VLOOKUP(A162,DB_Customers!$A:$D,4,0),"❌ Account Not Found"))</f>
        <v/>
      </c>
      <c r="C162" s="86" t="str">
        <f>IF(A162="","",IFERROR(VLOOKUP(A162,DB_Customers!$A:$N,14,0),"❌ Acct Not Found"))</f>
        <v/>
      </c>
      <c r="D162" s="87" t="str">
        <f t="shared" ca="1" si="12"/>
        <v/>
      </c>
      <c r="E162" s="94"/>
      <c r="F162" s="41"/>
      <c r="G162" s="96" t="str">
        <f t="shared" si="13"/>
        <v/>
      </c>
      <c r="H162" s="43" t="s">
        <v>133</v>
      </c>
      <c r="I162" s="81"/>
      <c r="J162" s="89" t="str">
        <f>IF(AND(A162&lt;&gt;"",E162&lt;&gt;""),IF(I162="","⚠️ Enter Code",IF(IFERROR(VLOOKUP(H162,DB_Agents!$B:$I,8,0),"")=I162,IF(C162&gt;=E162,"Successful","Unsuccessful"),"🔒 BLOCKED — Wrong Code")),"Pending")</f>
        <v>Pending</v>
      </c>
      <c r="K162" s="90" t="str">
        <f t="shared" ca="1" si="14"/>
        <v>—</v>
      </c>
      <c r="L162" s="91"/>
    </row>
    <row r="163" spans="1:12" ht="15" customHeight="1" x14ac:dyDescent="0.25">
      <c r="A163" s="76"/>
      <c r="B163" s="37" t="str">
        <f>IF(A163="","",IFERROR(VLOOKUP(A163,DB_Customers!$A:$D,4,0),"❌ Account Not Found"))</f>
        <v/>
      </c>
      <c r="C163" s="77" t="str">
        <f>IF(A163="","",IFERROR(VLOOKUP(A163,DB_Customers!$A:$N,14,0),"❌ Acct Not Found"))</f>
        <v/>
      </c>
      <c r="D163" s="78" t="str">
        <f t="shared" ca="1" si="12"/>
        <v/>
      </c>
      <c r="E163" s="94"/>
      <c r="F163" s="37"/>
      <c r="G163" s="95" t="str">
        <f t="shared" si="13"/>
        <v/>
      </c>
      <c r="H163" s="39" t="s">
        <v>133</v>
      </c>
      <c r="I163" s="81"/>
      <c r="J163" s="82" t="str">
        <f>IF(AND(A163&lt;&gt;"",E163&lt;&gt;""),IF(I163="","⚠️ Enter Code",IF(IFERROR(VLOOKUP(H163,DB_Agents!$B:$I,8,0),"")=I163,IF(C163&gt;=E163,"Successful","Unsuccessful"),"🔒 BLOCKED — Wrong Code")),"Pending")</f>
        <v>Pending</v>
      </c>
      <c r="K163" s="83" t="str">
        <f t="shared" ca="1" si="14"/>
        <v>—</v>
      </c>
      <c r="L163" s="84"/>
    </row>
    <row r="164" spans="1:12" ht="15" customHeight="1" x14ac:dyDescent="0.25">
      <c r="A164" s="85"/>
      <c r="B164" s="41" t="str">
        <f>IF(A164="","",IFERROR(VLOOKUP(A164,DB_Customers!$A:$D,4,0),"❌ Account Not Found"))</f>
        <v/>
      </c>
      <c r="C164" s="86" t="str">
        <f>IF(A164="","",IFERROR(VLOOKUP(A164,DB_Customers!$A:$N,14,0),"❌ Acct Not Found"))</f>
        <v/>
      </c>
      <c r="D164" s="87" t="str">
        <f t="shared" ca="1" si="12"/>
        <v/>
      </c>
      <c r="E164" s="94"/>
      <c r="F164" s="41"/>
      <c r="G164" s="96" t="str">
        <f t="shared" si="13"/>
        <v/>
      </c>
      <c r="H164" s="43" t="s">
        <v>133</v>
      </c>
      <c r="I164" s="81"/>
      <c r="J164" s="89" t="str">
        <f>IF(AND(A164&lt;&gt;"",E164&lt;&gt;""),IF(I164="","⚠️ Enter Code",IF(IFERROR(VLOOKUP(H164,DB_Agents!$B:$I,8,0),"")=I164,IF(C164&gt;=E164,"Successful","Unsuccessful"),"🔒 BLOCKED — Wrong Code")),"Pending")</f>
        <v>Pending</v>
      </c>
      <c r="K164" s="90" t="str">
        <f t="shared" ca="1" si="14"/>
        <v>—</v>
      </c>
      <c r="L164" s="91"/>
    </row>
    <row r="165" spans="1:12" ht="15" customHeight="1" x14ac:dyDescent="0.25">
      <c r="A165" s="76"/>
      <c r="B165" s="37" t="str">
        <f>IF(A165="","",IFERROR(VLOOKUP(A165,DB_Customers!$A:$D,4,0),"❌ Account Not Found"))</f>
        <v/>
      </c>
      <c r="C165" s="77" t="str">
        <f>IF(A165="","",IFERROR(VLOOKUP(A165,DB_Customers!$A:$N,14,0),"❌ Acct Not Found"))</f>
        <v/>
      </c>
      <c r="D165" s="78" t="str">
        <f t="shared" ca="1" si="12"/>
        <v/>
      </c>
      <c r="E165" s="94"/>
      <c r="F165" s="37"/>
      <c r="G165" s="95" t="str">
        <f t="shared" si="13"/>
        <v/>
      </c>
      <c r="H165" s="39" t="s">
        <v>133</v>
      </c>
      <c r="I165" s="81"/>
      <c r="J165" s="82" t="str">
        <f>IF(AND(A165&lt;&gt;"",E165&lt;&gt;""),IF(I165="","⚠️ Enter Code",IF(IFERROR(VLOOKUP(H165,DB_Agents!$B:$I,8,0),"")=I165,IF(C165&gt;=E165,"Successful","Unsuccessful"),"🔒 BLOCKED — Wrong Code")),"Pending")</f>
        <v>Pending</v>
      </c>
      <c r="K165" s="83" t="str">
        <f t="shared" ca="1" si="14"/>
        <v>—</v>
      </c>
      <c r="L165" s="84"/>
    </row>
    <row r="166" spans="1:12" ht="15" customHeight="1" x14ac:dyDescent="0.25">
      <c r="A166" s="85"/>
      <c r="B166" s="41" t="str">
        <f>IF(A166="","",IFERROR(VLOOKUP(A166,DB_Customers!$A:$D,4,0),"❌ Account Not Found"))</f>
        <v/>
      </c>
      <c r="C166" s="86" t="str">
        <f>IF(A166="","",IFERROR(VLOOKUP(A166,DB_Customers!$A:$N,14,0),"❌ Acct Not Found"))</f>
        <v/>
      </c>
      <c r="D166" s="87" t="str">
        <f t="shared" ca="1" si="12"/>
        <v/>
      </c>
      <c r="E166" s="94"/>
      <c r="F166" s="41"/>
      <c r="G166" s="96" t="str">
        <f t="shared" si="13"/>
        <v/>
      </c>
      <c r="H166" s="43" t="s">
        <v>133</v>
      </c>
      <c r="I166" s="81"/>
      <c r="J166" s="89" t="str">
        <f>IF(AND(A166&lt;&gt;"",E166&lt;&gt;""),IF(I166="","⚠️ Enter Code",IF(IFERROR(VLOOKUP(H166,DB_Agents!$B:$I,8,0),"")=I166,IF(C166&gt;=E166,"Successful","Unsuccessful"),"🔒 BLOCKED — Wrong Code")),"Pending")</f>
        <v>Pending</v>
      </c>
      <c r="K166" s="90" t="str">
        <f t="shared" ca="1" si="14"/>
        <v>—</v>
      </c>
      <c r="L166" s="91"/>
    </row>
    <row r="167" spans="1:12" ht="15" customHeight="1" x14ac:dyDescent="0.25">
      <c r="A167" s="76"/>
      <c r="B167" s="37" t="str">
        <f>IF(A167="","",IFERROR(VLOOKUP(A167,DB_Customers!$A:$D,4,0),"❌ Account Not Found"))</f>
        <v/>
      </c>
      <c r="C167" s="77" t="str">
        <f>IF(A167="","",IFERROR(VLOOKUP(A167,DB_Customers!$A:$N,14,0),"❌ Acct Not Found"))</f>
        <v/>
      </c>
      <c r="D167" s="78" t="str">
        <f t="shared" ca="1" si="12"/>
        <v/>
      </c>
      <c r="E167" s="94"/>
      <c r="F167" s="37"/>
      <c r="G167" s="95" t="str">
        <f t="shared" si="13"/>
        <v/>
      </c>
      <c r="H167" s="39" t="s">
        <v>133</v>
      </c>
      <c r="I167" s="81"/>
      <c r="J167" s="82" t="str">
        <f>IF(AND(A167&lt;&gt;"",E167&lt;&gt;""),IF(I167="","⚠️ Enter Code",IF(IFERROR(VLOOKUP(H167,DB_Agents!$B:$I,8,0),"")=I167,IF(C167&gt;=E167,"Successful","Unsuccessful"),"🔒 BLOCKED — Wrong Code")),"Pending")</f>
        <v>Pending</v>
      </c>
      <c r="K167" s="83" t="str">
        <f t="shared" ca="1" si="14"/>
        <v>—</v>
      </c>
      <c r="L167" s="84"/>
    </row>
    <row r="168" spans="1:12" ht="15" customHeight="1" x14ac:dyDescent="0.25">
      <c r="A168" s="85"/>
      <c r="B168" s="41" t="str">
        <f>IF(A168="","",IFERROR(VLOOKUP(A168,DB_Customers!$A:$D,4,0),"❌ Account Not Found"))</f>
        <v/>
      </c>
      <c r="C168" s="86" t="str">
        <f>IF(A168="","",IFERROR(VLOOKUP(A168,DB_Customers!$A:$N,14,0),"❌ Acct Not Found"))</f>
        <v/>
      </c>
      <c r="D168" s="87" t="str">
        <f t="shared" ca="1" si="12"/>
        <v/>
      </c>
      <c r="E168" s="94"/>
      <c r="F168" s="41"/>
      <c r="G168" s="96" t="str">
        <f t="shared" si="13"/>
        <v/>
      </c>
      <c r="H168" s="43" t="s">
        <v>133</v>
      </c>
      <c r="I168" s="81"/>
      <c r="J168" s="89" t="str">
        <f>IF(AND(A168&lt;&gt;"",E168&lt;&gt;""),IF(I168="","⚠️ Enter Code",IF(IFERROR(VLOOKUP(H168,DB_Agents!$B:$I,8,0),"")=I168,IF(C168&gt;=E168,"Successful","Unsuccessful"),"🔒 BLOCKED — Wrong Code")),"Pending")</f>
        <v>Pending</v>
      </c>
      <c r="K168" s="90" t="str">
        <f t="shared" ca="1" si="14"/>
        <v>—</v>
      </c>
      <c r="L168" s="91"/>
    </row>
    <row r="169" spans="1:12" ht="15" customHeight="1" x14ac:dyDescent="0.25">
      <c r="A169" s="76"/>
      <c r="B169" s="37" t="str">
        <f>IF(A169="","",IFERROR(VLOOKUP(A169,DB_Customers!$A:$D,4,0),"❌ Account Not Found"))</f>
        <v/>
      </c>
      <c r="C169" s="77" t="str">
        <f>IF(A169="","",IFERROR(VLOOKUP(A169,DB_Customers!$A:$N,14,0),"❌ Acct Not Found"))</f>
        <v/>
      </c>
      <c r="D169" s="78" t="str">
        <f t="shared" ref="D169:D200" ca="1" si="15">IF(A169="","",TODAY())</f>
        <v/>
      </c>
      <c r="E169" s="94"/>
      <c r="F169" s="37"/>
      <c r="G169" s="95" t="str">
        <f t="shared" ref="G169:G200" si="16">IF(OR(A169="",E169=""),"",IF(C169="","",C169-E169))</f>
        <v/>
      </c>
      <c r="H169" s="39" t="s">
        <v>133</v>
      </c>
      <c r="I169" s="81"/>
      <c r="J169" s="82" t="str">
        <f>IF(AND(A169&lt;&gt;"",E169&lt;&gt;""),IF(I169="","⚠️ Enter Code",IF(IFERROR(VLOOKUP(H169,DB_Agents!$B:$I,8,0),"")=I169,IF(C169&gt;=E169,"Successful","Unsuccessful"),"🔒 BLOCKED — Wrong Code")),"Pending")</f>
        <v>Pending</v>
      </c>
      <c r="K169" s="83" t="str">
        <f t="shared" ref="K169:K200" ca="1" si="17">IF(J169="Successful",TEXT(TODAY(),"YYYY-MM-DD")&amp;" Auto","—")</f>
        <v>—</v>
      </c>
      <c r="L169" s="84"/>
    </row>
    <row r="170" spans="1:12" ht="15" customHeight="1" x14ac:dyDescent="0.25">
      <c r="A170" s="85"/>
      <c r="B170" s="41" t="str">
        <f>IF(A170="","",IFERROR(VLOOKUP(A170,DB_Customers!$A:$D,4,0),"❌ Account Not Found"))</f>
        <v/>
      </c>
      <c r="C170" s="86" t="str">
        <f>IF(A170="","",IFERROR(VLOOKUP(A170,DB_Customers!$A:$N,14,0),"❌ Acct Not Found"))</f>
        <v/>
      </c>
      <c r="D170" s="87" t="str">
        <f t="shared" ca="1" si="15"/>
        <v/>
      </c>
      <c r="E170" s="94"/>
      <c r="F170" s="41"/>
      <c r="G170" s="96" t="str">
        <f t="shared" si="16"/>
        <v/>
      </c>
      <c r="H170" s="43" t="s">
        <v>133</v>
      </c>
      <c r="I170" s="81"/>
      <c r="J170" s="89" t="str">
        <f>IF(AND(A170&lt;&gt;"",E170&lt;&gt;""),IF(I170="","⚠️ Enter Code",IF(IFERROR(VLOOKUP(H170,DB_Agents!$B:$I,8,0),"")=I170,IF(C170&gt;=E170,"Successful","Unsuccessful"),"🔒 BLOCKED — Wrong Code")),"Pending")</f>
        <v>Pending</v>
      </c>
      <c r="K170" s="90" t="str">
        <f t="shared" ca="1" si="17"/>
        <v>—</v>
      </c>
      <c r="L170" s="91"/>
    </row>
    <row r="171" spans="1:12" ht="15" customHeight="1" x14ac:dyDescent="0.25">
      <c r="A171" s="76"/>
      <c r="B171" s="37" t="str">
        <f>IF(A171="","",IFERROR(VLOOKUP(A171,DB_Customers!$A:$D,4,0),"❌ Account Not Found"))</f>
        <v/>
      </c>
      <c r="C171" s="77" t="str">
        <f>IF(A171="","",IFERROR(VLOOKUP(A171,DB_Customers!$A:$N,14,0),"❌ Acct Not Found"))</f>
        <v/>
      </c>
      <c r="D171" s="78" t="str">
        <f t="shared" ca="1" si="15"/>
        <v/>
      </c>
      <c r="E171" s="94"/>
      <c r="F171" s="37"/>
      <c r="G171" s="95" t="str">
        <f t="shared" si="16"/>
        <v/>
      </c>
      <c r="H171" s="39" t="s">
        <v>133</v>
      </c>
      <c r="I171" s="81"/>
      <c r="J171" s="82" t="str">
        <f>IF(AND(A171&lt;&gt;"",E171&lt;&gt;""),IF(I171="","⚠️ Enter Code",IF(IFERROR(VLOOKUP(H171,DB_Agents!$B:$I,8,0),"")=I171,IF(C171&gt;=E171,"Successful","Unsuccessful"),"🔒 BLOCKED — Wrong Code")),"Pending")</f>
        <v>Pending</v>
      </c>
      <c r="K171" s="83" t="str">
        <f t="shared" ca="1" si="17"/>
        <v>—</v>
      </c>
      <c r="L171" s="84"/>
    </row>
    <row r="172" spans="1:12" ht="15" customHeight="1" x14ac:dyDescent="0.25">
      <c r="A172" s="85"/>
      <c r="B172" s="41" t="str">
        <f>IF(A172="","",IFERROR(VLOOKUP(A172,DB_Customers!$A:$D,4,0),"❌ Account Not Found"))</f>
        <v/>
      </c>
      <c r="C172" s="86" t="str">
        <f>IF(A172="","",IFERROR(VLOOKUP(A172,DB_Customers!$A:$N,14,0),"❌ Acct Not Found"))</f>
        <v/>
      </c>
      <c r="D172" s="87" t="str">
        <f t="shared" ca="1" si="15"/>
        <v/>
      </c>
      <c r="E172" s="94"/>
      <c r="F172" s="41"/>
      <c r="G172" s="96" t="str">
        <f t="shared" si="16"/>
        <v/>
      </c>
      <c r="H172" s="43" t="s">
        <v>133</v>
      </c>
      <c r="I172" s="81"/>
      <c r="J172" s="89" t="str">
        <f>IF(AND(A172&lt;&gt;"",E172&lt;&gt;""),IF(I172="","⚠️ Enter Code",IF(IFERROR(VLOOKUP(H172,DB_Agents!$B:$I,8,0),"")=I172,IF(C172&gt;=E172,"Successful","Unsuccessful"),"🔒 BLOCKED — Wrong Code")),"Pending")</f>
        <v>Pending</v>
      </c>
      <c r="K172" s="90" t="str">
        <f t="shared" ca="1" si="17"/>
        <v>—</v>
      </c>
      <c r="L172" s="91"/>
    </row>
    <row r="173" spans="1:12" ht="15" customHeight="1" x14ac:dyDescent="0.25">
      <c r="A173" s="76"/>
      <c r="B173" s="37" t="str">
        <f>IF(A173="","",IFERROR(VLOOKUP(A173,DB_Customers!$A:$D,4,0),"❌ Account Not Found"))</f>
        <v/>
      </c>
      <c r="C173" s="77" t="str">
        <f>IF(A173="","",IFERROR(VLOOKUP(A173,DB_Customers!$A:$N,14,0),"❌ Acct Not Found"))</f>
        <v/>
      </c>
      <c r="D173" s="78" t="str">
        <f t="shared" ca="1" si="15"/>
        <v/>
      </c>
      <c r="E173" s="94"/>
      <c r="F173" s="37"/>
      <c r="G173" s="95" t="str">
        <f t="shared" si="16"/>
        <v/>
      </c>
      <c r="H173" s="39" t="s">
        <v>133</v>
      </c>
      <c r="I173" s="81"/>
      <c r="J173" s="82" t="str">
        <f>IF(AND(A173&lt;&gt;"",E173&lt;&gt;""),IF(I173="","⚠️ Enter Code",IF(IFERROR(VLOOKUP(H173,DB_Agents!$B:$I,8,0),"")=I173,IF(C173&gt;=E173,"Successful","Unsuccessful"),"🔒 BLOCKED — Wrong Code")),"Pending")</f>
        <v>Pending</v>
      </c>
      <c r="K173" s="83" t="str">
        <f t="shared" ca="1" si="17"/>
        <v>—</v>
      </c>
      <c r="L173" s="84"/>
    </row>
    <row r="174" spans="1:12" ht="15" customHeight="1" x14ac:dyDescent="0.25">
      <c r="A174" s="85"/>
      <c r="B174" s="41" t="str">
        <f>IF(A174="","",IFERROR(VLOOKUP(A174,DB_Customers!$A:$D,4,0),"❌ Account Not Found"))</f>
        <v/>
      </c>
      <c r="C174" s="86" t="str">
        <f>IF(A174="","",IFERROR(VLOOKUP(A174,DB_Customers!$A:$N,14,0),"❌ Acct Not Found"))</f>
        <v/>
      </c>
      <c r="D174" s="87" t="str">
        <f t="shared" ca="1" si="15"/>
        <v/>
      </c>
      <c r="E174" s="94"/>
      <c r="F174" s="41"/>
      <c r="G174" s="96" t="str">
        <f t="shared" si="16"/>
        <v/>
      </c>
      <c r="H174" s="43" t="s">
        <v>133</v>
      </c>
      <c r="I174" s="81"/>
      <c r="J174" s="89" t="str">
        <f>IF(AND(A174&lt;&gt;"",E174&lt;&gt;""),IF(I174="","⚠️ Enter Code",IF(IFERROR(VLOOKUP(H174,DB_Agents!$B:$I,8,0),"")=I174,IF(C174&gt;=E174,"Successful","Unsuccessful"),"🔒 BLOCKED — Wrong Code")),"Pending")</f>
        <v>Pending</v>
      </c>
      <c r="K174" s="90" t="str">
        <f t="shared" ca="1" si="17"/>
        <v>—</v>
      </c>
      <c r="L174" s="91"/>
    </row>
    <row r="175" spans="1:12" ht="15" customHeight="1" x14ac:dyDescent="0.25">
      <c r="A175" s="76"/>
      <c r="B175" s="37" t="str">
        <f>IF(A175="","",IFERROR(VLOOKUP(A175,DB_Customers!$A:$D,4,0),"❌ Account Not Found"))</f>
        <v/>
      </c>
      <c r="C175" s="77" t="str">
        <f>IF(A175="","",IFERROR(VLOOKUP(A175,DB_Customers!$A:$N,14,0),"❌ Acct Not Found"))</f>
        <v/>
      </c>
      <c r="D175" s="78" t="str">
        <f t="shared" ca="1" si="15"/>
        <v/>
      </c>
      <c r="E175" s="94"/>
      <c r="F175" s="37"/>
      <c r="G175" s="95" t="str">
        <f t="shared" si="16"/>
        <v/>
      </c>
      <c r="H175" s="39" t="s">
        <v>133</v>
      </c>
      <c r="I175" s="81"/>
      <c r="J175" s="82" t="str">
        <f>IF(AND(A175&lt;&gt;"",E175&lt;&gt;""),IF(I175="","⚠️ Enter Code",IF(IFERROR(VLOOKUP(H175,DB_Agents!$B:$I,8,0),"")=I175,IF(C175&gt;=E175,"Successful","Unsuccessful"),"🔒 BLOCKED — Wrong Code")),"Pending")</f>
        <v>Pending</v>
      </c>
      <c r="K175" s="83" t="str">
        <f t="shared" ca="1" si="17"/>
        <v>—</v>
      </c>
      <c r="L175" s="84"/>
    </row>
    <row r="176" spans="1:12" ht="15" customHeight="1" x14ac:dyDescent="0.25">
      <c r="A176" s="85"/>
      <c r="B176" s="41" t="str">
        <f>IF(A176="","",IFERROR(VLOOKUP(A176,DB_Customers!$A:$D,4,0),"❌ Account Not Found"))</f>
        <v/>
      </c>
      <c r="C176" s="86" t="str">
        <f>IF(A176="","",IFERROR(VLOOKUP(A176,DB_Customers!$A:$N,14,0),"❌ Acct Not Found"))</f>
        <v/>
      </c>
      <c r="D176" s="87" t="str">
        <f t="shared" ca="1" si="15"/>
        <v/>
      </c>
      <c r="E176" s="94"/>
      <c r="F176" s="41"/>
      <c r="G176" s="96" t="str">
        <f t="shared" si="16"/>
        <v/>
      </c>
      <c r="H176" s="43" t="s">
        <v>133</v>
      </c>
      <c r="I176" s="81"/>
      <c r="J176" s="89" t="str">
        <f>IF(AND(A176&lt;&gt;"",E176&lt;&gt;""),IF(I176="","⚠️ Enter Code",IF(IFERROR(VLOOKUP(H176,DB_Agents!$B:$I,8,0),"")=I176,IF(C176&gt;=E176,"Successful","Unsuccessful"),"🔒 BLOCKED — Wrong Code")),"Pending")</f>
        <v>Pending</v>
      </c>
      <c r="K176" s="90" t="str">
        <f t="shared" ca="1" si="17"/>
        <v>—</v>
      </c>
      <c r="L176" s="91"/>
    </row>
    <row r="177" spans="1:12" ht="15" customHeight="1" x14ac:dyDescent="0.25">
      <c r="A177" s="76"/>
      <c r="B177" s="37" t="str">
        <f>IF(A177="","",IFERROR(VLOOKUP(A177,DB_Customers!$A:$D,4,0),"❌ Account Not Found"))</f>
        <v/>
      </c>
      <c r="C177" s="77" t="str">
        <f>IF(A177="","",IFERROR(VLOOKUP(A177,DB_Customers!$A:$N,14,0),"❌ Acct Not Found"))</f>
        <v/>
      </c>
      <c r="D177" s="78" t="str">
        <f t="shared" ca="1" si="15"/>
        <v/>
      </c>
      <c r="E177" s="94"/>
      <c r="F177" s="37"/>
      <c r="G177" s="95" t="str">
        <f t="shared" si="16"/>
        <v/>
      </c>
      <c r="H177" s="39" t="s">
        <v>133</v>
      </c>
      <c r="I177" s="81"/>
      <c r="J177" s="82" t="str">
        <f>IF(AND(A177&lt;&gt;"",E177&lt;&gt;""),IF(I177="","⚠️ Enter Code",IF(IFERROR(VLOOKUP(H177,DB_Agents!$B:$I,8,0),"")=I177,IF(C177&gt;=E177,"Successful","Unsuccessful"),"🔒 BLOCKED — Wrong Code")),"Pending")</f>
        <v>Pending</v>
      </c>
      <c r="K177" s="83" t="str">
        <f t="shared" ca="1" si="17"/>
        <v>—</v>
      </c>
      <c r="L177" s="84"/>
    </row>
    <row r="178" spans="1:12" ht="15" customHeight="1" x14ac:dyDescent="0.25">
      <c r="A178" s="85"/>
      <c r="B178" s="41" t="str">
        <f>IF(A178="","",IFERROR(VLOOKUP(A178,DB_Customers!$A:$D,4,0),"❌ Account Not Found"))</f>
        <v/>
      </c>
      <c r="C178" s="86" t="str">
        <f>IF(A178="","",IFERROR(VLOOKUP(A178,DB_Customers!$A:$N,14,0),"❌ Acct Not Found"))</f>
        <v/>
      </c>
      <c r="D178" s="87" t="str">
        <f t="shared" ca="1" si="15"/>
        <v/>
      </c>
      <c r="E178" s="94"/>
      <c r="F178" s="41"/>
      <c r="G178" s="96" t="str">
        <f t="shared" si="16"/>
        <v/>
      </c>
      <c r="H178" s="43" t="s">
        <v>133</v>
      </c>
      <c r="I178" s="81"/>
      <c r="J178" s="89" t="str">
        <f>IF(AND(A178&lt;&gt;"",E178&lt;&gt;""),IF(I178="","⚠️ Enter Code",IF(IFERROR(VLOOKUP(H178,DB_Agents!$B:$I,8,0),"")=I178,IF(C178&gt;=E178,"Successful","Unsuccessful"),"🔒 BLOCKED — Wrong Code")),"Pending")</f>
        <v>Pending</v>
      </c>
      <c r="K178" s="90" t="str">
        <f t="shared" ca="1" si="17"/>
        <v>—</v>
      </c>
      <c r="L178" s="91"/>
    </row>
    <row r="179" spans="1:12" ht="15" customHeight="1" x14ac:dyDescent="0.25">
      <c r="A179" s="76"/>
      <c r="B179" s="37" t="str">
        <f>IF(A179="","",IFERROR(VLOOKUP(A179,DB_Customers!$A:$D,4,0),"❌ Account Not Found"))</f>
        <v/>
      </c>
      <c r="C179" s="77" t="str">
        <f>IF(A179="","",IFERROR(VLOOKUP(A179,DB_Customers!$A:$N,14,0),"❌ Acct Not Found"))</f>
        <v/>
      </c>
      <c r="D179" s="78" t="str">
        <f t="shared" ca="1" si="15"/>
        <v/>
      </c>
      <c r="E179" s="94"/>
      <c r="F179" s="37"/>
      <c r="G179" s="95" t="str">
        <f t="shared" si="16"/>
        <v/>
      </c>
      <c r="H179" s="39" t="s">
        <v>133</v>
      </c>
      <c r="I179" s="81"/>
      <c r="J179" s="82" t="str">
        <f>IF(AND(A179&lt;&gt;"",E179&lt;&gt;""),IF(I179="","⚠️ Enter Code",IF(IFERROR(VLOOKUP(H179,DB_Agents!$B:$I,8,0),"")=I179,IF(C179&gt;=E179,"Successful","Unsuccessful"),"🔒 BLOCKED — Wrong Code")),"Pending")</f>
        <v>Pending</v>
      </c>
      <c r="K179" s="83" t="str">
        <f t="shared" ca="1" si="17"/>
        <v>—</v>
      </c>
      <c r="L179" s="84"/>
    </row>
    <row r="180" spans="1:12" ht="15" customHeight="1" x14ac:dyDescent="0.25">
      <c r="A180" s="85"/>
      <c r="B180" s="41" t="str">
        <f>IF(A180="","",IFERROR(VLOOKUP(A180,DB_Customers!$A:$D,4,0),"❌ Account Not Found"))</f>
        <v/>
      </c>
      <c r="C180" s="86" t="str">
        <f>IF(A180="","",IFERROR(VLOOKUP(A180,DB_Customers!$A:$N,14,0),"❌ Acct Not Found"))</f>
        <v/>
      </c>
      <c r="D180" s="87" t="str">
        <f t="shared" ca="1" si="15"/>
        <v/>
      </c>
      <c r="E180" s="94"/>
      <c r="F180" s="41"/>
      <c r="G180" s="96" t="str">
        <f t="shared" si="16"/>
        <v/>
      </c>
      <c r="H180" s="43" t="s">
        <v>133</v>
      </c>
      <c r="I180" s="81"/>
      <c r="J180" s="89" t="str">
        <f>IF(AND(A180&lt;&gt;"",E180&lt;&gt;""),IF(I180="","⚠️ Enter Code",IF(IFERROR(VLOOKUP(H180,DB_Agents!$B:$I,8,0),"")=I180,IF(C180&gt;=E180,"Successful","Unsuccessful"),"🔒 BLOCKED — Wrong Code")),"Pending")</f>
        <v>Pending</v>
      </c>
      <c r="K180" s="90" t="str">
        <f t="shared" ca="1" si="17"/>
        <v>—</v>
      </c>
      <c r="L180" s="91"/>
    </row>
    <row r="181" spans="1:12" ht="15" customHeight="1" x14ac:dyDescent="0.25">
      <c r="A181" s="76"/>
      <c r="B181" s="37" t="str">
        <f>IF(A181="","",IFERROR(VLOOKUP(A181,DB_Customers!$A:$D,4,0),"❌ Account Not Found"))</f>
        <v/>
      </c>
      <c r="C181" s="77" t="str">
        <f>IF(A181="","",IFERROR(VLOOKUP(A181,DB_Customers!$A:$N,14,0),"❌ Acct Not Found"))</f>
        <v/>
      </c>
      <c r="D181" s="78" t="str">
        <f t="shared" ca="1" si="15"/>
        <v/>
      </c>
      <c r="E181" s="94"/>
      <c r="F181" s="37"/>
      <c r="G181" s="95" t="str">
        <f t="shared" si="16"/>
        <v/>
      </c>
      <c r="H181" s="39" t="s">
        <v>133</v>
      </c>
      <c r="I181" s="81"/>
      <c r="J181" s="82" t="str">
        <f>IF(AND(A181&lt;&gt;"",E181&lt;&gt;""),IF(I181="","⚠️ Enter Code",IF(IFERROR(VLOOKUP(H181,DB_Agents!$B:$I,8,0),"")=I181,IF(C181&gt;=E181,"Successful","Unsuccessful"),"🔒 BLOCKED — Wrong Code")),"Pending")</f>
        <v>Pending</v>
      </c>
      <c r="K181" s="83" t="str">
        <f t="shared" ca="1" si="17"/>
        <v>—</v>
      </c>
      <c r="L181" s="84"/>
    </row>
    <row r="182" spans="1:12" ht="15" customHeight="1" x14ac:dyDescent="0.25">
      <c r="A182" s="85"/>
      <c r="B182" s="41" t="str">
        <f>IF(A182="","",IFERROR(VLOOKUP(A182,DB_Customers!$A:$D,4,0),"❌ Account Not Found"))</f>
        <v/>
      </c>
      <c r="C182" s="86" t="str">
        <f>IF(A182="","",IFERROR(VLOOKUP(A182,DB_Customers!$A:$N,14,0),"❌ Acct Not Found"))</f>
        <v/>
      </c>
      <c r="D182" s="87" t="str">
        <f t="shared" ca="1" si="15"/>
        <v/>
      </c>
      <c r="E182" s="94"/>
      <c r="F182" s="41"/>
      <c r="G182" s="96" t="str">
        <f t="shared" si="16"/>
        <v/>
      </c>
      <c r="H182" s="43" t="s">
        <v>133</v>
      </c>
      <c r="I182" s="81"/>
      <c r="J182" s="89" t="str">
        <f>IF(AND(A182&lt;&gt;"",E182&lt;&gt;""),IF(I182="","⚠️ Enter Code",IF(IFERROR(VLOOKUP(H182,DB_Agents!$B:$I,8,0),"")=I182,IF(C182&gt;=E182,"Successful","Unsuccessful"),"🔒 BLOCKED — Wrong Code")),"Pending")</f>
        <v>Pending</v>
      </c>
      <c r="K182" s="90" t="str">
        <f t="shared" ca="1" si="17"/>
        <v>—</v>
      </c>
      <c r="L182" s="91"/>
    </row>
    <row r="183" spans="1:12" ht="15" customHeight="1" x14ac:dyDescent="0.25">
      <c r="A183" s="76"/>
      <c r="B183" s="37" t="str">
        <f>IF(A183="","",IFERROR(VLOOKUP(A183,DB_Customers!$A:$D,4,0),"❌ Account Not Found"))</f>
        <v/>
      </c>
      <c r="C183" s="77" t="str">
        <f>IF(A183="","",IFERROR(VLOOKUP(A183,DB_Customers!$A:$N,14,0),"❌ Acct Not Found"))</f>
        <v/>
      </c>
      <c r="D183" s="78" t="str">
        <f t="shared" ca="1" si="15"/>
        <v/>
      </c>
      <c r="E183" s="94"/>
      <c r="F183" s="37"/>
      <c r="G183" s="95" t="str">
        <f t="shared" si="16"/>
        <v/>
      </c>
      <c r="H183" s="39" t="s">
        <v>133</v>
      </c>
      <c r="I183" s="81"/>
      <c r="J183" s="82" t="str">
        <f>IF(AND(A183&lt;&gt;"",E183&lt;&gt;""),IF(I183="","⚠️ Enter Code",IF(IFERROR(VLOOKUP(H183,DB_Agents!$B:$I,8,0),"")=I183,IF(C183&gt;=E183,"Successful","Unsuccessful"),"🔒 BLOCKED — Wrong Code")),"Pending")</f>
        <v>Pending</v>
      </c>
      <c r="K183" s="83" t="str">
        <f t="shared" ca="1" si="17"/>
        <v>—</v>
      </c>
      <c r="L183" s="84"/>
    </row>
    <row r="184" spans="1:12" ht="15" customHeight="1" x14ac:dyDescent="0.25">
      <c r="A184" s="85"/>
      <c r="B184" s="41" t="str">
        <f>IF(A184="","",IFERROR(VLOOKUP(A184,DB_Customers!$A:$D,4,0),"❌ Account Not Found"))</f>
        <v/>
      </c>
      <c r="C184" s="86" t="str">
        <f>IF(A184="","",IFERROR(VLOOKUP(A184,DB_Customers!$A:$N,14,0),"❌ Acct Not Found"))</f>
        <v/>
      </c>
      <c r="D184" s="87" t="str">
        <f t="shared" ca="1" si="15"/>
        <v/>
      </c>
      <c r="E184" s="94"/>
      <c r="F184" s="41"/>
      <c r="G184" s="96" t="str">
        <f t="shared" si="16"/>
        <v/>
      </c>
      <c r="H184" s="43" t="s">
        <v>133</v>
      </c>
      <c r="I184" s="81"/>
      <c r="J184" s="89" t="str">
        <f>IF(AND(A184&lt;&gt;"",E184&lt;&gt;""),IF(I184="","⚠️ Enter Code",IF(IFERROR(VLOOKUP(H184,DB_Agents!$B:$I,8,0),"")=I184,IF(C184&gt;=E184,"Successful","Unsuccessful"),"🔒 BLOCKED — Wrong Code")),"Pending")</f>
        <v>Pending</v>
      </c>
      <c r="K184" s="90" t="str">
        <f t="shared" ca="1" si="17"/>
        <v>—</v>
      </c>
      <c r="L184" s="91"/>
    </row>
    <row r="185" spans="1:12" ht="15" customHeight="1" x14ac:dyDescent="0.25">
      <c r="A185" s="76"/>
      <c r="B185" s="37" t="str">
        <f>IF(A185="","",IFERROR(VLOOKUP(A185,DB_Customers!$A:$D,4,0),"❌ Account Not Found"))</f>
        <v/>
      </c>
      <c r="C185" s="77" t="str">
        <f>IF(A185="","",IFERROR(VLOOKUP(A185,DB_Customers!$A:$N,14,0),"❌ Acct Not Found"))</f>
        <v/>
      </c>
      <c r="D185" s="78" t="str">
        <f t="shared" ca="1" si="15"/>
        <v/>
      </c>
      <c r="E185" s="94"/>
      <c r="F185" s="37"/>
      <c r="G185" s="95" t="str">
        <f t="shared" si="16"/>
        <v/>
      </c>
      <c r="H185" s="39" t="s">
        <v>133</v>
      </c>
      <c r="I185" s="81"/>
      <c r="J185" s="82" t="str">
        <f>IF(AND(A185&lt;&gt;"",E185&lt;&gt;""),IF(I185="","⚠️ Enter Code",IF(IFERROR(VLOOKUP(H185,DB_Agents!$B:$I,8,0),"")=I185,IF(C185&gt;=E185,"Successful","Unsuccessful"),"🔒 BLOCKED — Wrong Code")),"Pending")</f>
        <v>Pending</v>
      </c>
      <c r="K185" s="83" t="str">
        <f t="shared" ca="1" si="17"/>
        <v>—</v>
      </c>
      <c r="L185" s="84"/>
    </row>
    <row r="186" spans="1:12" ht="15" customHeight="1" x14ac:dyDescent="0.25">
      <c r="A186" s="85"/>
      <c r="B186" s="41" t="str">
        <f>IF(A186="","",IFERROR(VLOOKUP(A186,DB_Customers!$A:$D,4,0),"❌ Account Not Found"))</f>
        <v/>
      </c>
      <c r="C186" s="86" t="str">
        <f>IF(A186="","",IFERROR(VLOOKUP(A186,DB_Customers!$A:$N,14,0),"❌ Acct Not Found"))</f>
        <v/>
      </c>
      <c r="D186" s="87" t="str">
        <f t="shared" ca="1" si="15"/>
        <v/>
      </c>
      <c r="E186" s="94"/>
      <c r="F186" s="41"/>
      <c r="G186" s="96" t="str">
        <f t="shared" si="16"/>
        <v/>
      </c>
      <c r="H186" s="43" t="s">
        <v>133</v>
      </c>
      <c r="I186" s="81"/>
      <c r="J186" s="89" t="str">
        <f>IF(AND(A186&lt;&gt;"",E186&lt;&gt;""),IF(I186="","⚠️ Enter Code",IF(IFERROR(VLOOKUP(H186,DB_Agents!$B:$I,8,0),"")=I186,IF(C186&gt;=E186,"Successful","Unsuccessful"),"🔒 BLOCKED — Wrong Code")),"Pending")</f>
        <v>Pending</v>
      </c>
      <c r="K186" s="90" t="str">
        <f t="shared" ca="1" si="17"/>
        <v>—</v>
      </c>
      <c r="L186" s="91"/>
    </row>
    <row r="187" spans="1:12" ht="15" customHeight="1" x14ac:dyDescent="0.25">
      <c r="A187" s="76"/>
      <c r="B187" s="37" t="str">
        <f>IF(A187="","",IFERROR(VLOOKUP(A187,DB_Customers!$A:$D,4,0),"❌ Account Not Found"))</f>
        <v/>
      </c>
      <c r="C187" s="77" t="str">
        <f>IF(A187="","",IFERROR(VLOOKUP(A187,DB_Customers!$A:$N,14,0),"❌ Acct Not Found"))</f>
        <v/>
      </c>
      <c r="D187" s="78" t="str">
        <f t="shared" ca="1" si="15"/>
        <v/>
      </c>
      <c r="E187" s="94"/>
      <c r="F187" s="37"/>
      <c r="G187" s="95" t="str">
        <f t="shared" si="16"/>
        <v/>
      </c>
      <c r="H187" s="39" t="s">
        <v>133</v>
      </c>
      <c r="I187" s="81"/>
      <c r="J187" s="82" t="str">
        <f>IF(AND(A187&lt;&gt;"",E187&lt;&gt;""),IF(I187="","⚠️ Enter Code",IF(IFERROR(VLOOKUP(H187,DB_Agents!$B:$I,8,0),"")=I187,IF(C187&gt;=E187,"Successful","Unsuccessful"),"🔒 BLOCKED — Wrong Code")),"Pending")</f>
        <v>Pending</v>
      </c>
      <c r="K187" s="83" t="str">
        <f t="shared" ca="1" si="17"/>
        <v>—</v>
      </c>
      <c r="L187" s="84"/>
    </row>
    <row r="188" spans="1:12" ht="15" customHeight="1" x14ac:dyDescent="0.25">
      <c r="A188" s="85"/>
      <c r="B188" s="41" t="str">
        <f>IF(A188="","",IFERROR(VLOOKUP(A188,DB_Customers!$A:$D,4,0),"❌ Account Not Found"))</f>
        <v/>
      </c>
      <c r="C188" s="86" t="str">
        <f>IF(A188="","",IFERROR(VLOOKUP(A188,DB_Customers!$A:$N,14,0),"❌ Acct Not Found"))</f>
        <v/>
      </c>
      <c r="D188" s="87" t="str">
        <f t="shared" ca="1" si="15"/>
        <v/>
      </c>
      <c r="E188" s="94"/>
      <c r="F188" s="41"/>
      <c r="G188" s="96" t="str">
        <f t="shared" si="16"/>
        <v/>
      </c>
      <c r="H188" s="43" t="s">
        <v>133</v>
      </c>
      <c r="I188" s="81"/>
      <c r="J188" s="89" t="str">
        <f>IF(AND(A188&lt;&gt;"",E188&lt;&gt;""),IF(I188="","⚠️ Enter Code",IF(IFERROR(VLOOKUP(H188,DB_Agents!$B:$I,8,0),"")=I188,IF(C188&gt;=E188,"Successful","Unsuccessful"),"🔒 BLOCKED — Wrong Code")),"Pending")</f>
        <v>Pending</v>
      </c>
      <c r="K188" s="90" t="str">
        <f t="shared" ca="1" si="17"/>
        <v>—</v>
      </c>
      <c r="L188" s="91"/>
    </row>
    <row r="189" spans="1:12" ht="15" customHeight="1" x14ac:dyDescent="0.25">
      <c r="A189" s="76"/>
      <c r="B189" s="37" t="str">
        <f>IF(A189="","",IFERROR(VLOOKUP(A189,DB_Customers!$A:$D,4,0),"❌ Account Not Found"))</f>
        <v/>
      </c>
      <c r="C189" s="77" t="str">
        <f>IF(A189="","",IFERROR(VLOOKUP(A189,DB_Customers!$A:$N,14,0),"❌ Acct Not Found"))</f>
        <v/>
      </c>
      <c r="D189" s="78" t="str">
        <f t="shared" ca="1" si="15"/>
        <v/>
      </c>
      <c r="E189" s="94"/>
      <c r="F189" s="37"/>
      <c r="G189" s="95" t="str">
        <f t="shared" si="16"/>
        <v/>
      </c>
      <c r="H189" s="39" t="s">
        <v>133</v>
      </c>
      <c r="I189" s="81"/>
      <c r="J189" s="82" t="str">
        <f>IF(AND(A189&lt;&gt;"",E189&lt;&gt;""),IF(I189="","⚠️ Enter Code",IF(IFERROR(VLOOKUP(H189,DB_Agents!$B:$I,8,0),"")=I189,IF(C189&gt;=E189,"Successful","Unsuccessful"),"🔒 BLOCKED — Wrong Code")),"Pending")</f>
        <v>Pending</v>
      </c>
      <c r="K189" s="83" t="str">
        <f t="shared" ca="1" si="17"/>
        <v>—</v>
      </c>
      <c r="L189" s="84"/>
    </row>
    <row r="190" spans="1:12" ht="15" customHeight="1" x14ac:dyDescent="0.25">
      <c r="A190" s="85"/>
      <c r="B190" s="41" t="str">
        <f>IF(A190="","",IFERROR(VLOOKUP(A190,DB_Customers!$A:$D,4,0),"❌ Account Not Found"))</f>
        <v/>
      </c>
      <c r="C190" s="86" t="str">
        <f>IF(A190="","",IFERROR(VLOOKUP(A190,DB_Customers!$A:$N,14,0),"❌ Acct Not Found"))</f>
        <v/>
      </c>
      <c r="D190" s="87" t="str">
        <f t="shared" ca="1" si="15"/>
        <v/>
      </c>
      <c r="E190" s="94"/>
      <c r="F190" s="41"/>
      <c r="G190" s="96" t="str">
        <f t="shared" si="16"/>
        <v/>
      </c>
      <c r="H190" s="43" t="s">
        <v>133</v>
      </c>
      <c r="I190" s="81"/>
      <c r="J190" s="89" t="str">
        <f>IF(AND(A190&lt;&gt;"",E190&lt;&gt;""),IF(I190="","⚠️ Enter Code",IF(IFERROR(VLOOKUP(H190,DB_Agents!$B:$I,8,0),"")=I190,IF(C190&gt;=E190,"Successful","Unsuccessful"),"🔒 BLOCKED — Wrong Code")),"Pending")</f>
        <v>Pending</v>
      </c>
      <c r="K190" s="90" t="str">
        <f t="shared" ca="1" si="17"/>
        <v>—</v>
      </c>
      <c r="L190" s="91"/>
    </row>
    <row r="191" spans="1:12" ht="15" customHeight="1" x14ac:dyDescent="0.25">
      <c r="A191" s="76"/>
      <c r="B191" s="37" t="str">
        <f>IF(A191="","",IFERROR(VLOOKUP(A191,DB_Customers!$A:$D,4,0),"❌ Account Not Found"))</f>
        <v/>
      </c>
      <c r="C191" s="77" t="str">
        <f>IF(A191="","",IFERROR(VLOOKUP(A191,DB_Customers!$A:$N,14,0),"❌ Acct Not Found"))</f>
        <v/>
      </c>
      <c r="D191" s="78" t="str">
        <f t="shared" ca="1" si="15"/>
        <v/>
      </c>
      <c r="E191" s="94"/>
      <c r="F191" s="37"/>
      <c r="G191" s="95" t="str">
        <f t="shared" si="16"/>
        <v/>
      </c>
      <c r="H191" s="39" t="s">
        <v>133</v>
      </c>
      <c r="I191" s="81"/>
      <c r="J191" s="82" t="str">
        <f>IF(AND(A191&lt;&gt;"",E191&lt;&gt;""),IF(I191="","⚠️ Enter Code",IF(IFERROR(VLOOKUP(H191,DB_Agents!$B:$I,8,0),"")=I191,IF(C191&gt;=E191,"Successful","Unsuccessful"),"🔒 BLOCKED — Wrong Code")),"Pending")</f>
        <v>Pending</v>
      </c>
      <c r="K191" s="83" t="str">
        <f t="shared" ca="1" si="17"/>
        <v>—</v>
      </c>
      <c r="L191" s="84"/>
    </row>
    <row r="192" spans="1:12" ht="15" customHeight="1" x14ac:dyDescent="0.25">
      <c r="A192" s="85"/>
      <c r="B192" s="41" t="str">
        <f>IF(A192="","",IFERROR(VLOOKUP(A192,DB_Customers!$A:$D,4,0),"❌ Account Not Found"))</f>
        <v/>
      </c>
      <c r="C192" s="86" t="str">
        <f>IF(A192="","",IFERROR(VLOOKUP(A192,DB_Customers!$A:$N,14,0),"❌ Acct Not Found"))</f>
        <v/>
      </c>
      <c r="D192" s="87" t="str">
        <f t="shared" ca="1" si="15"/>
        <v/>
      </c>
      <c r="E192" s="94"/>
      <c r="F192" s="41"/>
      <c r="G192" s="96" t="str">
        <f t="shared" si="16"/>
        <v/>
      </c>
      <c r="H192" s="43" t="s">
        <v>133</v>
      </c>
      <c r="I192" s="81"/>
      <c r="J192" s="89" t="str">
        <f>IF(AND(A192&lt;&gt;"",E192&lt;&gt;""),IF(I192="","⚠️ Enter Code",IF(IFERROR(VLOOKUP(H192,DB_Agents!$B:$I,8,0),"")=I192,IF(C192&gt;=E192,"Successful","Unsuccessful"),"🔒 BLOCKED — Wrong Code")),"Pending")</f>
        <v>Pending</v>
      </c>
      <c r="K192" s="90" t="str">
        <f t="shared" ca="1" si="17"/>
        <v>—</v>
      </c>
      <c r="L192" s="91"/>
    </row>
    <row r="193" spans="1:12" ht="15" customHeight="1" x14ac:dyDescent="0.25">
      <c r="A193" s="76"/>
      <c r="B193" s="37" t="str">
        <f>IF(A193="","",IFERROR(VLOOKUP(A193,DB_Customers!$A:$D,4,0),"❌ Account Not Found"))</f>
        <v/>
      </c>
      <c r="C193" s="77" t="str">
        <f>IF(A193="","",IFERROR(VLOOKUP(A193,DB_Customers!$A:$N,14,0),"❌ Acct Not Found"))</f>
        <v/>
      </c>
      <c r="D193" s="78" t="str">
        <f t="shared" ca="1" si="15"/>
        <v/>
      </c>
      <c r="E193" s="94"/>
      <c r="F193" s="37"/>
      <c r="G193" s="95" t="str">
        <f t="shared" si="16"/>
        <v/>
      </c>
      <c r="H193" s="39" t="s">
        <v>133</v>
      </c>
      <c r="I193" s="81"/>
      <c r="J193" s="82" t="str">
        <f>IF(AND(A193&lt;&gt;"",E193&lt;&gt;""),IF(I193="","⚠️ Enter Code",IF(IFERROR(VLOOKUP(H193,DB_Agents!$B:$I,8,0),"")=I193,IF(C193&gt;=E193,"Successful","Unsuccessful"),"🔒 BLOCKED — Wrong Code")),"Pending")</f>
        <v>Pending</v>
      </c>
      <c r="K193" s="83" t="str">
        <f t="shared" ca="1" si="17"/>
        <v>—</v>
      </c>
      <c r="L193" s="84"/>
    </row>
    <row r="194" spans="1:12" ht="15" customHeight="1" x14ac:dyDescent="0.25">
      <c r="A194" s="85"/>
      <c r="B194" s="41" t="str">
        <f>IF(A194="","",IFERROR(VLOOKUP(A194,DB_Customers!$A:$D,4,0),"❌ Account Not Found"))</f>
        <v/>
      </c>
      <c r="C194" s="86" t="str">
        <f>IF(A194="","",IFERROR(VLOOKUP(A194,DB_Customers!$A:$N,14,0),"❌ Acct Not Found"))</f>
        <v/>
      </c>
      <c r="D194" s="87" t="str">
        <f t="shared" ca="1" si="15"/>
        <v/>
      </c>
      <c r="E194" s="94"/>
      <c r="F194" s="41"/>
      <c r="G194" s="96" t="str">
        <f t="shared" si="16"/>
        <v/>
      </c>
      <c r="H194" s="43" t="s">
        <v>133</v>
      </c>
      <c r="I194" s="81"/>
      <c r="J194" s="89" t="str">
        <f>IF(AND(A194&lt;&gt;"",E194&lt;&gt;""),IF(I194="","⚠️ Enter Code",IF(IFERROR(VLOOKUP(H194,DB_Agents!$B:$I,8,0),"")=I194,IF(C194&gt;=E194,"Successful","Unsuccessful"),"🔒 BLOCKED — Wrong Code")),"Pending")</f>
        <v>Pending</v>
      </c>
      <c r="K194" s="90" t="str">
        <f t="shared" ca="1" si="17"/>
        <v>—</v>
      </c>
      <c r="L194" s="91"/>
    </row>
    <row r="195" spans="1:12" ht="15" customHeight="1" x14ac:dyDescent="0.25">
      <c r="A195" s="76"/>
      <c r="B195" s="37" t="str">
        <f>IF(A195="","",IFERROR(VLOOKUP(A195,DB_Customers!$A:$D,4,0),"❌ Account Not Found"))</f>
        <v/>
      </c>
      <c r="C195" s="77" t="str">
        <f>IF(A195="","",IFERROR(VLOOKUP(A195,DB_Customers!$A:$N,14,0),"❌ Acct Not Found"))</f>
        <v/>
      </c>
      <c r="D195" s="78" t="str">
        <f t="shared" ca="1" si="15"/>
        <v/>
      </c>
      <c r="E195" s="94"/>
      <c r="F195" s="37"/>
      <c r="G195" s="95" t="str">
        <f t="shared" si="16"/>
        <v/>
      </c>
      <c r="H195" s="39" t="s">
        <v>133</v>
      </c>
      <c r="I195" s="81"/>
      <c r="J195" s="82" t="str">
        <f>IF(AND(A195&lt;&gt;"",E195&lt;&gt;""),IF(I195="","⚠️ Enter Code",IF(IFERROR(VLOOKUP(H195,DB_Agents!$B:$I,8,0),"")=I195,IF(C195&gt;=E195,"Successful","Unsuccessful"),"🔒 BLOCKED — Wrong Code")),"Pending")</f>
        <v>Pending</v>
      </c>
      <c r="K195" s="83" t="str">
        <f t="shared" ca="1" si="17"/>
        <v>—</v>
      </c>
      <c r="L195" s="84"/>
    </row>
    <row r="196" spans="1:12" ht="15" customHeight="1" x14ac:dyDescent="0.25">
      <c r="A196" s="85"/>
      <c r="B196" s="41" t="str">
        <f>IF(A196="","",IFERROR(VLOOKUP(A196,DB_Customers!$A:$D,4,0),"❌ Account Not Found"))</f>
        <v/>
      </c>
      <c r="C196" s="86" t="str">
        <f>IF(A196="","",IFERROR(VLOOKUP(A196,DB_Customers!$A:$N,14,0),"❌ Acct Not Found"))</f>
        <v/>
      </c>
      <c r="D196" s="87" t="str">
        <f t="shared" ca="1" si="15"/>
        <v/>
      </c>
      <c r="E196" s="94"/>
      <c r="F196" s="41"/>
      <c r="G196" s="96" t="str">
        <f t="shared" si="16"/>
        <v/>
      </c>
      <c r="H196" s="43" t="s">
        <v>133</v>
      </c>
      <c r="I196" s="81"/>
      <c r="J196" s="89" t="str">
        <f>IF(AND(A196&lt;&gt;"",E196&lt;&gt;""),IF(I196="","⚠️ Enter Code",IF(IFERROR(VLOOKUP(H196,DB_Agents!$B:$I,8,0),"")=I196,IF(C196&gt;=E196,"Successful","Unsuccessful"),"🔒 BLOCKED — Wrong Code")),"Pending")</f>
        <v>Pending</v>
      </c>
      <c r="K196" s="90" t="str">
        <f t="shared" ca="1" si="17"/>
        <v>—</v>
      </c>
      <c r="L196" s="91"/>
    </row>
    <row r="197" spans="1:12" ht="15" customHeight="1" x14ac:dyDescent="0.25">
      <c r="A197" s="76"/>
      <c r="B197" s="37" t="str">
        <f>IF(A197="","",IFERROR(VLOOKUP(A197,DB_Customers!$A:$D,4,0),"❌ Account Not Found"))</f>
        <v/>
      </c>
      <c r="C197" s="77" t="str">
        <f>IF(A197="","",IFERROR(VLOOKUP(A197,DB_Customers!$A:$N,14,0),"❌ Acct Not Found"))</f>
        <v/>
      </c>
      <c r="D197" s="78" t="str">
        <f t="shared" ca="1" si="15"/>
        <v/>
      </c>
      <c r="E197" s="94"/>
      <c r="F197" s="37"/>
      <c r="G197" s="95" t="str">
        <f t="shared" si="16"/>
        <v/>
      </c>
      <c r="H197" s="39" t="s">
        <v>133</v>
      </c>
      <c r="I197" s="81"/>
      <c r="J197" s="82" t="str">
        <f>IF(AND(A197&lt;&gt;"",E197&lt;&gt;""),IF(I197="","⚠️ Enter Code",IF(IFERROR(VLOOKUP(H197,DB_Agents!$B:$I,8,0),"")=I197,IF(C197&gt;=E197,"Successful","Unsuccessful"),"🔒 BLOCKED — Wrong Code")),"Pending")</f>
        <v>Pending</v>
      </c>
      <c r="K197" s="83" t="str">
        <f t="shared" ca="1" si="17"/>
        <v>—</v>
      </c>
      <c r="L197" s="84"/>
    </row>
    <row r="198" spans="1:12" ht="15" customHeight="1" x14ac:dyDescent="0.25">
      <c r="A198" s="85"/>
      <c r="B198" s="41" t="str">
        <f>IF(A198="","",IFERROR(VLOOKUP(A198,DB_Customers!$A:$D,4,0),"❌ Account Not Found"))</f>
        <v/>
      </c>
      <c r="C198" s="86" t="str">
        <f>IF(A198="","",IFERROR(VLOOKUP(A198,DB_Customers!$A:$N,14,0),"❌ Acct Not Found"))</f>
        <v/>
      </c>
      <c r="D198" s="87" t="str">
        <f t="shared" ca="1" si="15"/>
        <v/>
      </c>
      <c r="E198" s="94"/>
      <c r="F198" s="41"/>
      <c r="G198" s="96" t="str">
        <f t="shared" si="16"/>
        <v/>
      </c>
      <c r="H198" s="43" t="s">
        <v>133</v>
      </c>
      <c r="I198" s="81"/>
      <c r="J198" s="89" t="str">
        <f>IF(AND(A198&lt;&gt;"",E198&lt;&gt;""),IF(I198="","⚠️ Enter Code",IF(IFERROR(VLOOKUP(H198,DB_Agents!$B:$I,8,0),"")=I198,IF(C198&gt;=E198,"Successful","Unsuccessful"),"🔒 BLOCKED — Wrong Code")),"Pending")</f>
        <v>Pending</v>
      </c>
      <c r="K198" s="90" t="str">
        <f t="shared" ca="1" si="17"/>
        <v>—</v>
      </c>
      <c r="L198" s="91"/>
    </row>
    <row r="199" spans="1:12" ht="15" customHeight="1" x14ac:dyDescent="0.25">
      <c r="A199" s="76"/>
      <c r="B199" s="37" t="str">
        <f>IF(A199="","",IFERROR(VLOOKUP(A199,DB_Customers!$A:$D,4,0),"❌ Account Not Found"))</f>
        <v/>
      </c>
      <c r="C199" s="77" t="str">
        <f>IF(A199="","",IFERROR(VLOOKUP(A199,DB_Customers!$A:$N,14,0),"❌ Acct Not Found"))</f>
        <v/>
      </c>
      <c r="D199" s="78" t="str">
        <f t="shared" ca="1" si="15"/>
        <v/>
      </c>
      <c r="E199" s="94"/>
      <c r="F199" s="37"/>
      <c r="G199" s="95" t="str">
        <f t="shared" si="16"/>
        <v/>
      </c>
      <c r="H199" s="39" t="s">
        <v>133</v>
      </c>
      <c r="I199" s="81"/>
      <c r="J199" s="82" t="str">
        <f>IF(AND(A199&lt;&gt;"",E199&lt;&gt;""),IF(I199="","⚠️ Enter Code",IF(IFERROR(VLOOKUP(H199,DB_Agents!$B:$I,8,0),"")=I199,IF(C199&gt;=E199,"Successful","Unsuccessful"),"🔒 BLOCKED — Wrong Code")),"Pending")</f>
        <v>Pending</v>
      </c>
      <c r="K199" s="83" t="str">
        <f t="shared" ca="1" si="17"/>
        <v>—</v>
      </c>
      <c r="L199" s="84"/>
    </row>
    <row r="200" spans="1:12" ht="15" customHeight="1" x14ac:dyDescent="0.25">
      <c r="A200" s="85"/>
      <c r="B200" s="41" t="str">
        <f>IF(A200="","",IFERROR(VLOOKUP(A200,DB_Customers!$A:$D,4,0),"❌ Account Not Found"))</f>
        <v/>
      </c>
      <c r="C200" s="86" t="str">
        <f>IF(A200="","",IFERROR(VLOOKUP(A200,DB_Customers!$A:$N,14,0),"❌ Acct Not Found"))</f>
        <v/>
      </c>
      <c r="D200" s="87" t="str">
        <f t="shared" ca="1" si="15"/>
        <v/>
      </c>
      <c r="E200" s="94"/>
      <c r="F200" s="41"/>
      <c r="G200" s="96" t="str">
        <f t="shared" si="16"/>
        <v/>
      </c>
      <c r="H200" s="43" t="s">
        <v>133</v>
      </c>
      <c r="I200" s="81"/>
      <c r="J200" s="89" t="str">
        <f>IF(AND(A200&lt;&gt;"",E200&lt;&gt;""),IF(I200="","⚠️ Enter Code",IF(IFERROR(VLOOKUP(H200,DB_Agents!$B:$I,8,0),"")=I200,IF(C200&gt;=E200,"Successful","Unsuccessful"),"🔒 BLOCKED — Wrong Code")),"Pending")</f>
        <v>Pending</v>
      </c>
      <c r="K200" s="90" t="str">
        <f t="shared" ca="1" si="17"/>
        <v>—</v>
      </c>
      <c r="L200" s="91"/>
    </row>
    <row r="201" spans="1:12" ht="15" customHeight="1" x14ac:dyDescent="0.25">
      <c r="A201" s="76"/>
      <c r="B201" s="37" t="str">
        <f>IF(A201="","",IFERROR(VLOOKUP(A201,DB_Customers!$A:$D,4,0),"❌ Account Not Found"))</f>
        <v/>
      </c>
      <c r="C201" s="77" t="str">
        <f>IF(A201="","",IFERROR(VLOOKUP(A201,DB_Customers!$A:$N,14,0),"❌ Acct Not Found"))</f>
        <v/>
      </c>
      <c r="D201" s="78" t="str">
        <f t="shared" ref="D201:D208" ca="1" si="18">IF(A201="","",TODAY())</f>
        <v/>
      </c>
      <c r="E201" s="94"/>
      <c r="F201" s="37"/>
      <c r="G201" s="95" t="str">
        <f t="shared" ref="G201:G208" si="19">IF(OR(A201="",E201=""),"",IF(C201="","",C201-E201))</f>
        <v/>
      </c>
      <c r="H201" s="39" t="s">
        <v>133</v>
      </c>
      <c r="I201" s="81"/>
      <c r="J201" s="82" t="str">
        <f>IF(AND(A201&lt;&gt;"",E201&lt;&gt;""),IF(I201="","⚠️ Enter Code",IF(IFERROR(VLOOKUP(H201,DB_Agents!$B:$I,8,0),"")=I201,IF(C201&gt;=E201,"Successful","Unsuccessful"),"🔒 BLOCKED — Wrong Code")),"Pending")</f>
        <v>Pending</v>
      </c>
      <c r="K201" s="83" t="str">
        <f t="shared" ref="K201:K208" ca="1" si="20">IF(J201="Successful",TEXT(TODAY(),"YYYY-MM-DD")&amp;" Auto","—")</f>
        <v>—</v>
      </c>
      <c r="L201" s="84"/>
    </row>
    <row r="202" spans="1:12" ht="15" customHeight="1" x14ac:dyDescent="0.25">
      <c r="A202" s="85"/>
      <c r="B202" s="41" t="str">
        <f>IF(A202="","",IFERROR(VLOOKUP(A202,DB_Customers!$A:$D,4,0),"❌ Account Not Found"))</f>
        <v/>
      </c>
      <c r="C202" s="86" t="str">
        <f>IF(A202="","",IFERROR(VLOOKUP(A202,DB_Customers!$A:$N,14,0),"❌ Acct Not Found"))</f>
        <v/>
      </c>
      <c r="D202" s="87" t="str">
        <f t="shared" ca="1" si="18"/>
        <v/>
      </c>
      <c r="E202" s="94"/>
      <c r="F202" s="41"/>
      <c r="G202" s="96" t="str">
        <f t="shared" si="19"/>
        <v/>
      </c>
      <c r="H202" s="43" t="s">
        <v>133</v>
      </c>
      <c r="I202" s="81"/>
      <c r="J202" s="89" t="str">
        <f>IF(AND(A202&lt;&gt;"",E202&lt;&gt;""),IF(I202="","⚠️ Enter Code",IF(IFERROR(VLOOKUP(H202,DB_Agents!$B:$I,8,0),"")=I202,IF(C202&gt;=E202,"Successful","Unsuccessful"),"🔒 BLOCKED — Wrong Code")),"Pending")</f>
        <v>Pending</v>
      </c>
      <c r="K202" s="90" t="str">
        <f t="shared" ca="1" si="20"/>
        <v>—</v>
      </c>
      <c r="L202" s="91"/>
    </row>
    <row r="203" spans="1:12" ht="15" customHeight="1" x14ac:dyDescent="0.25">
      <c r="A203" s="76"/>
      <c r="B203" s="37" t="str">
        <f>IF(A203="","",IFERROR(VLOOKUP(A203,DB_Customers!$A:$D,4,0),"❌ Account Not Found"))</f>
        <v/>
      </c>
      <c r="C203" s="77" t="str">
        <f>IF(A203="","",IFERROR(VLOOKUP(A203,DB_Customers!$A:$N,14,0),"❌ Acct Not Found"))</f>
        <v/>
      </c>
      <c r="D203" s="78" t="str">
        <f t="shared" ca="1" si="18"/>
        <v/>
      </c>
      <c r="E203" s="94"/>
      <c r="F203" s="37"/>
      <c r="G203" s="95" t="str">
        <f t="shared" si="19"/>
        <v/>
      </c>
      <c r="H203" s="39" t="s">
        <v>133</v>
      </c>
      <c r="I203" s="81"/>
      <c r="J203" s="82" t="str">
        <f>IF(AND(A203&lt;&gt;"",E203&lt;&gt;""),IF(I203="","⚠️ Enter Code",IF(IFERROR(VLOOKUP(H203,DB_Agents!$B:$I,8,0),"")=I203,IF(C203&gt;=E203,"Successful","Unsuccessful"),"🔒 BLOCKED — Wrong Code")),"Pending")</f>
        <v>Pending</v>
      </c>
      <c r="K203" s="83" t="str">
        <f t="shared" ca="1" si="20"/>
        <v>—</v>
      </c>
      <c r="L203" s="84"/>
    </row>
    <row r="204" spans="1:12" ht="15" customHeight="1" x14ac:dyDescent="0.25">
      <c r="A204" s="85"/>
      <c r="B204" s="41" t="str">
        <f>IF(A204="","",IFERROR(VLOOKUP(A204,DB_Customers!$A:$D,4,0),"❌ Account Not Found"))</f>
        <v/>
      </c>
      <c r="C204" s="86" t="str">
        <f>IF(A204="","",IFERROR(VLOOKUP(A204,DB_Customers!$A:$N,14,0),"❌ Acct Not Found"))</f>
        <v/>
      </c>
      <c r="D204" s="87" t="str">
        <f t="shared" ca="1" si="18"/>
        <v/>
      </c>
      <c r="E204" s="94"/>
      <c r="F204" s="41"/>
      <c r="G204" s="96" t="str">
        <f t="shared" si="19"/>
        <v/>
      </c>
      <c r="H204" s="43" t="s">
        <v>133</v>
      </c>
      <c r="I204" s="81"/>
      <c r="J204" s="89" t="str">
        <f>IF(AND(A204&lt;&gt;"",E204&lt;&gt;""),IF(I204="","⚠️ Enter Code",IF(IFERROR(VLOOKUP(H204,DB_Agents!$B:$I,8,0),"")=I204,IF(C204&gt;=E204,"Successful","Unsuccessful"),"🔒 BLOCKED — Wrong Code")),"Pending")</f>
        <v>Pending</v>
      </c>
      <c r="K204" s="90" t="str">
        <f t="shared" ca="1" si="20"/>
        <v>—</v>
      </c>
      <c r="L204" s="91"/>
    </row>
    <row r="205" spans="1:12" ht="15" customHeight="1" x14ac:dyDescent="0.25">
      <c r="A205" s="76"/>
      <c r="B205" s="37" t="str">
        <f>IF(A205="","",IFERROR(VLOOKUP(A205,DB_Customers!$A:$D,4,0),"❌ Account Not Found"))</f>
        <v/>
      </c>
      <c r="C205" s="77" t="str">
        <f>IF(A205="","",IFERROR(VLOOKUP(A205,DB_Customers!$A:$N,14,0),"❌ Acct Not Found"))</f>
        <v/>
      </c>
      <c r="D205" s="78" t="str">
        <f t="shared" ca="1" si="18"/>
        <v/>
      </c>
      <c r="E205" s="94"/>
      <c r="F205" s="37"/>
      <c r="G205" s="95" t="str">
        <f t="shared" si="19"/>
        <v/>
      </c>
      <c r="H205" s="39" t="s">
        <v>133</v>
      </c>
      <c r="I205" s="81"/>
      <c r="J205" s="82" t="str">
        <f>IF(AND(A205&lt;&gt;"",E205&lt;&gt;""),IF(I205="","⚠️ Enter Code",IF(IFERROR(VLOOKUP(H205,DB_Agents!$B:$I,8,0),"")=I205,IF(C205&gt;=E205,"Successful","Unsuccessful"),"🔒 BLOCKED — Wrong Code")),"Pending")</f>
        <v>Pending</v>
      </c>
      <c r="K205" s="83" t="str">
        <f t="shared" ca="1" si="20"/>
        <v>—</v>
      </c>
      <c r="L205" s="84"/>
    </row>
    <row r="206" spans="1:12" ht="15" customHeight="1" x14ac:dyDescent="0.25">
      <c r="A206" s="85"/>
      <c r="B206" s="41" t="str">
        <f>IF(A206="","",IFERROR(VLOOKUP(A206,DB_Customers!$A:$D,4,0),"❌ Account Not Found"))</f>
        <v/>
      </c>
      <c r="C206" s="86" t="str">
        <f>IF(A206="","",IFERROR(VLOOKUP(A206,DB_Customers!$A:$N,14,0),"❌ Acct Not Found"))</f>
        <v/>
      </c>
      <c r="D206" s="87" t="str">
        <f t="shared" ca="1" si="18"/>
        <v/>
      </c>
      <c r="E206" s="94"/>
      <c r="F206" s="41"/>
      <c r="G206" s="96" t="str">
        <f t="shared" si="19"/>
        <v/>
      </c>
      <c r="H206" s="43" t="s">
        <v>133</v>
      </c>
      <c r="I206" s="81"/>
      <c r="J206" s="89" t="str">
        <f>IF(AND(A206&lt;&gt;"",E206&lt;&gt;""),IF(I206="","⚠️ Enter Code",IF(IFERROR(VLOOKUP(H206,DB_Agents!$B:$I,8,0),"")=I206,IF(C206&gt;=E206,"Successful","Unsuccessful"),"🔒 BLOCKED — Wrong Code")),"Pending")</f>
        <v>Pending</v>
      </c>
      <c r="K206" s="90" t="str">
        <f t="shared" ca="1" si="20"/>
        <v>—</v>
      </c>
      <c r="L206" s="91"/>
    </row>
    <row r="207" spans="1:12" ht="15" customHeight="1" x14ac:dyDescent="0.25">
      <c r="A207" s="76"/>
      <c r="B207" s="37" t="str">
        <f>IF(A207="","",IFERROR(VLOOKUP(A207,DB_Customers!$A:$D,4,0),"❌ Account Not Found"))</f>
        <v/>
      </c>
      <c r="C207" s="77" t="str">
        <f>IF(A207="","",IFERROR(VLOOKUP(A207,DB_Customers!$A:$N,14,0),"❌ Acct Not Found"))</f>
        <v/>
      </c>
      <c r="D207" s="78" t="str">
        <f t="shared" ca="1" si="18"/>
        <v/>
      </c>
      <c r="E207" s="94"/>
      <c r="F207" s="37"/>
      <c r="G207" s="95" t="str">
        <f t="shared" si="19"/>
        <v/>
      </c>
      <c r="H207" s="39" t="s">
        <v>133</v>
      </c>
      <c r="I207" s="81"/>
      <c r="J207" s="82" t="str">
        <f>IF(AND(A207&lt;&gt;"",E207&lt;&gt;""),IF(I207="","⚠️ Enter Code",IF(IFERROR(VLOOKUP(H207,DB_Agents!$B:$I,8,0),"")=I207,IF(C207&gt;=E207,"Successful","Unsuccessful"),"🔒 BLOCKED — Wrong Code")),"Pending")</f>
        <v>Pending</v>
      </c>
      <c r="K207" s="83" t="str">
        <f t="shared" ca="1" si="20"/>
        <v>—</v>
      </c>
      <c r="L207" s="84"/>
    </row>
    <row r="208" spans="1:12" ht="15" customHeight="1" x14ac:dyDescent="0.25">
      <c r="A208" s="85"/>
      <c r="B208" s="41" t="str">
        <f>IF(A208="","",IFERROR(VLOOKUP(A208,DB_Customers!$A:$D,4,0),"❌ Account Not Found"))</f>
        <v/>
      </c>
      <c r="C208" s="86" t="str">
        <f>IF(A208="","",IFERROR(VLOOKUP(A208,DB_Customers!$A:$N,14,0),"❌ Acct Not Found"))</f>
        <v/>
      </c>
      <c r="D208" s="87" t="str">
        <f t="shared" ca="1" si="18"/>
        <v/>
      </c>
      <c r="E208" s="94"/>
      <c r="F208" s="41"/>
      <c r="G208" s="96" t="str">
        <f t="shared" si="19"/>
        <v/>
      </c>
      <c r="H208" s="43" t="s">
        <v>133</v>
      </c>
      <c r="I208" s="81"/>
      <c r="J208" s="89" t="str">
        <f>IF(AND(A208&lt;&gt;"",E208&lt;&gt;""),IF(I208="","⚠️ Enter Code",IF(IFERROR(VLOOKUP(H208,DB_Agents!$B:$I,8,0),"")=I208,IF(C208&gt;=E208,"Successful","Unsuccessful"),"🔒 BLOCKED — Wrong Code")),"Pending")</f>
        <v>Pending</v>
      </c>
      <c r="K208" s="90" t="str">
        <f t="shared" ca="1" si="20"/>
        <v>—</v>
      </c>
      <c r="L208" s="91"/>
    </row>
  </sheetData>
  <mergeCells count="8">
    <mergeCell ref="A7:M7"/>
    <mergeCell ref="A4:C4"/>
    <mergeCell ref="A2:M2"/>
    <mergeCell ref="A1:M1"/>
    <mergeCell ref="A5:M5"/>
    <mergeCell ref="D4:F4"/>
    <mergeCell ref="D3:F3"/>
    <mergeCell ref="A3:C3"/>
  </mergeCells>
  <conditionalFormatting sqref="I9:I208">
    <cfRule type="cellIs" dxfId="99" priority="2" operator="equal">
      <formula>"Successful"</formula>
    </cfRule>
    <cfRule type="cellIs" dxfId="98" priority="3" operator="equal">
      <formula>"Unsuccessful"</formula>
    </cfRule>
  </conditionalFormatting>
  <conditionalFormatting sqref="A9:K208">
    <cfRule type="expression" dxfId="97" priority="4">
      <formula>$I9="Unsuccessful"</formula>
    </cfRule>
  </conditionalFormatting>
  <conditionalFormatting sqref="G9:G208">
    <cfRule type="cellIs" dxfId="96" priority="5" operator="lessThan">
      <formula>0</formula>
    </cfRule>
  </conditionalFormatting>
  <dataValidations count="1">
    <dataValidation type="list" sqref="H9:H208" xr:uid="{00000000-0002-0000-0A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E67E22"/>
  </sheetPr>
  <dimension ref="A1:N213"/>
  <sheetViews>
    <sheetView zoomScaleNormal="100" workbookViewId="0">
      <pane ySplit="13" topLeftCell="A32" activePane="bottomLeft" state="frozen"/>
      <selection pane="bottomLeft" activeCell="B7" sqref="B7:D7"/>
    </sheetView>
  </sheetViews>
  <sheetFormatPr defaultColWidth="8.7109375" defaultRowHeight="15" x14ac:dyDescent="0.25"/>
  <cols>
    <col min="1" max="1" width="22" customWidth="1"/>
    <col min="2" max="2" width="16" customWidth="1"/>
    <col min="3" max="3" width="22" customWidth="1"/>
    <col min="4" max="5" width="13" customWidth="1"/>
    <col min="6" max="6" width="20" customWidth="1"/>
    <col min="7" max="7" width="9" customWidth="1"/>
    <col min="8" max="8" width="8" customWidth="1"/>
    <col min="9" max="10" width="14" customWidth="1"/>
    <col min="11" max="11" width="18" customWidth="1"/>
    <col min="12" max="12" width="10" customWidth="1"/>
    <col min="13" max="13" width="12" customWidth="1"/>
    <col min="14" max="14" width="18" customWidth="1"/>
  </cols>
  <sheetData>
    <row r="1" spans="1:14" ht="31.5" customHeight="1" x14ac:dyDescent="0.25">
      <c r="A1" s="226" t="s">
        <v>332</v>
      </c>
    </row>
    <row r="2" spans="1:14" ht="19.5" customHeight="1" x14ac:dyDescent="0.25">
      <c r="A2" s="201" t="s">
        <v>2</v>
      </c>
    </row>
    <row r="4" spans="1:14" ht="21.75" customHeight="1" x14ac:dyDescent="0.25">
      <c r="A4" s="97" t="s">
        <v>333</v>
      </c>
    </row>
    <row r="5" spans="1:14" ht="19.5" customHeight="1" x14ac:dyDescent="0.25">
      <c r="A5" s="227" t="s">
        <v>334</v>
      </c>
      <c r="B5" s="202"/>
    </row>
    <row r="6" spans="1:14" ht="19.5" customHeight="1" x14ac:dyDescent="0.25">
      <c r="A6" s="227" t="s">
        <v>335</v>
      </c>
      <c r="B6" s="202"/>
    </row>
    <row r="7" spans="1:14" ht="19.5" customHeight="1" x14ac:dyDescent="0.25">
      <c r="A7" s="227" t="s">
        <v>336</v>
      </c>
      <c r="B7" s="228">
        <v>2.5</v>
      </c>
    </row>
    <row r="8" spans="1:14" ht="19.5" customHeight="1" x14ac:dyDescent="0.25">
      <c r="A8" s="99" t="s">
        <v>337</v>
      </c>
      <c r="B8" s="203" t="str">
        <f>IF(B5="","",B5*B7/100*B6)</f>
        <v/>
      </c>
    </row>
    <row r="9" spans="1:14" ht="19.5" customHeight="1" x14ac:dyDescent="0.25">
      <c r="A9" s="99" t="s">
        <v>338</v>
      </c>
      <c r="B9" s="204" t="str">
        <f>IF(B5="","",B5+(B5*B7/100*B6))</f>
        <v/>
      </c>
    </row>
    <row r="10" spans="1:14" ht="19.5" customHeight="1" x14ac:dyDescent="0.25">
      <c r="A10" s="99" t="s">
        <v>339</v>
      </c>
      <c r="B10" s="204" t="str">
        <f>IFERROR(B9/B6,"")</f>
        <v/>
      </c>
    </row>
    <row r="11" spans="1:14" ht="7.5" customHeight="1" x14ac:dyDescent="0.25"/>
    <row r="12" spans="1:14" ht="21.75" customHeight="1" x14ac:dyDescent="0.25">
      <c r="A12" s="205"/>
    </row>
    <row r="13" spans="1:14" ht="27.95" customHeight="1" x14ac:dyDescent="0.25">
      <c r="A13" s="212" t="s">
        <v>82</v>
      </c>
      <c r="B13" s="212" t="s">
        <v>315</v>
      </c>
      <c r="C13" s="212" t="s">
        <v>77</v>
      </c>
      <c r="D13" s="212" t="s">
        <v>84</v>
      </c>
      <c r="E13" s="212" t="s">
        <v>340</v>
      </c>
      <c r="F13" s="212" t="s">
        <v>8</v>
      </c>
      <c r="G13" s="212" t="s">
        <v>9</v>
      </c>
      <c r="H13" s="212" t="s">
        <v>86</v>
      </c>
      <c r="I13" s="212" t="s">
        <v>341</v>
      </c>
      <c r="J13" s="212" t="s">
        <v>342</v>
      </c>
      <c r="K13" s="212" t="s">
        <v>13</v>
      </c>
      <c r="L13" s="212" t="s">
        <v>14</v>
      </c>
      <c r="M13" s="212" t="s">
        <v>319</v>
      </c>
      <c r="N13" s="212" t="s">
        <v>15</v>
      </c>
    </row>
    <row r="14" spans="1:14" ht="18" customHeight="1" x14ac:dyDescent="0.25">
      <c r="A14" s="229" t="str">
        <f t="shared" ref="A14:A45" si="0">IF(B14="","",IF(C14="❌ Account Not Found","INVALID","LN"&amp;TEXT(D14,"YYYYMMDD")&amp;TEXT(ROW()-13,"0000")))</f>
        <v/>
      </c>
      <c r="B14" s="230"/>
      <c r="C14" s="231" t="str">
        <f>IF(B14="","",IFERROR(VLOOKUP(B14,DB_Customers!$A:$D,4,0),"❌ Account Not Found"))</f>
        <v/>
      </c>
      <c r="D14" s="232" t="str">
        <f t="shared" ref="D14:D45" ca="1" si="1">IF(B14="","",TODAY())</f>
        <v/>
      </c>
      <c r="E14" s="233"/>
      <c r="F14" s="231"/>
      <c r="G14" s="234"/>
      <c r="H14" s="235">
        <v>2.5</v>
      </c>
      <c r="I14" s="236" t="str">
        <f t="shared" ref="I14:I45" si="2">IF(E14="","",E14+(E14*H14/100*G14))</f>
        <v/>
      </c>
      <c r="J14" s="237" t="str">
        <f t="shared" ref="J14:J45" si="3">IFERROR(I14/G14,"")</f>
        <v/>
      </c>
      <c r="K14" s="238" t="str">
        <f>IF(B14="","Pending",IF(M14="","⚠️ Enter Code",IF(IFERROR(VLOOKUP(L14,DB_Agents!$B:$I,8,0),"")=M14,"Pending","🔒 BLOCKED — Wrong Code")))</f>
        <v>Pending</v>
      </c>
      <c r="L14" s="239" t="s">
        <v>133</v>
      </c>
      <c r="M14" s="240"/>
      <c r="N14" s="230"/>
    </row>
    <row r="15" spans="1:14" ht="18" customHeight="1" x14ac:dyDescent="0.25">
      <c r="A15" s="241" t="str">
        <f t="shared" si="0"/>
        <v/>
      </c>
      <c r="B15" s="242"/>
      <c r="C15" s="243" t="str">
        <f>IF(B15="","",IFERROR(VLOOKUP(B15,DB_Customers!$A:$D,4,0),"❌ Account Not Found"))</f>
        <v/>
      </c>
      <c r="D15" s="244" t="str">
        <f t="shared" ca="1" si="1"/>
        <v/>
      </c>
      <c r="E15" s="245"/>
      <c r="F15" s="243"/>
      <c r="G15" s="246"/>
      <c r="H15" s="247">
        <v>2.5</v>
      </c>
      <c r="I15" s="248" t="str">
        <f t="shared" si="2"/>
        <v/>
      </c>
      <c r="J15" s="249" t="str">
        <f t="shared" si="3"/>
        <v/>
      </c>
      <c r="K15" s="250" t="str">
        <f>IF(B15="","Pending",IF(M15="","⚠️ Enter Code",IF(IFERROR(VLOOKUP(L15,DB_Agents!$B:$I,8,0),"")=M15,"Pending","🔒 BLOCKED — Wrong Code")))</f>
        <v>Pending</v>
      </c>
      <c r="L15" s="251" t="s">
        <v>133</v>
      </c>
      <c r="M15" s="252"/>
      <c r="N15" s="242"/>
    </row>
    <row r="16" spans="1:14" ht="18" customHeight="1" x14ac:dyDescent="0.25">
      <c r="A16" s="229" t="str">
        <f t="shared" si="0"/>
        <v/>
      </c>
      <c r="B16" s="230"/>
      <c r="C16" s="231" t="str">
        <f>IF(B16="","",IFERROR(VLOOKUP(B16,DB_Customers!$A:$D,4,0),"❌ Account Not Found"))</f>
        <v/>
      </c>
      <c r="D16" s="232" t="str">
        <f t="shared" ca="1" si="1"/>
        <v/>
      </c>
      <c r="E16" s="233"/>
      <c r="F16" s="231"/>
      <c r="G16" s="234"/>
      <c r="H16" s="235">
        <v>2.5</v>
      </c>
      <c r="I16" s="236" t="str">
        <f t="shared" si="2"/>
        <v/>
      </c>
      <c r="J16" s="237" t="str">
        <f t="shared" si="3"/>
        <v/>
      </c>
      <c r="K16" s="238" t="str">
        <f>IF(B16="","Pending",IF(M16="","⚠️ Enter Code",IF(IFERROR(VLOOKUP(L16,DB_Agents!$B:$I,8,0),"")=M16,"Pending","🔒 BLOCKED — Wrong Code")))</f>
        <v>Pending</v>
      </c>
      <c r="L16" s="239" t="s">
        <v>133</v>
      </c>
      <c r="M16" s="240"/>
      <c r="N16" s="230"/>
    </row>
    <row r="17" spans="1:14" ht="18" customHeight="1" x14ac:dyDescent="0.25">
      <c r="A17" s="241" t="str">
        <f t="shared" si="0"/>
        <v/>
      </c>
      <c r="B17" s="242"/>
      <c r="C17" s="243" t="str">
        <f>IF(B17="","",IFERROR(VLOOKUP(B17,DB_Customers!$A:$D,4,0),"❌ Account Not Found"))</f>
        <v/>
      </c>
      <c r="D17" s="244" t="str">
        <f t="shared" ca="1" si="1"/>
        <v/>
      </c>
      <c r="E17" s="245"/>
      <c r="F17" s="243"/>
      <c r="G17" s="246"/>
      <c r="H17" s="247">
        <v>2.5</v>
      </c>
      <c r="I17" s="248" t="str">
        <f t="shared" si="2"/>
        <v/>
      </c>
      <c r="J17" s="249" t="str">
        <f t="shared" si="3"/>
        <v/>
      </c>
      <c r="K17" s="250" t="str">
        <f>IF(B17="","Pending",IF(M17="","⚠️ Enter Code",IF(IFERROR(VLOOKUP(L17,DB_Agents!$B:$I,8,0),"")=M17,"Pending","🔒 BLOCKED — Wrong Code")))</f>
        <v>Pending</v>
      </c>
      <c r="L17" s="251" t="s">
        <v>133</v>
      </c>
      <c r="M17" s="252"/>
      <c r="N17" s="242"/>
    </row>
    <row r="18" spans="1:14" ht="18" customHeight="1" x14ac:dyDescent="0.25">
      <c r="A18" s="229" t="str">
        <f t="shared" si="0"/>
        <v/>
      </c>
      <c r="B18" s="230"/>
      <c r="C18" s="231" t="str">
        <f>IF(B18="","",IFERROR(VLOOKUP(B18,DB_Customers!$A:$D,4,0),"❌ Account Not Found"))</f>
        <v/>
      </c>
      <c r="D18" s="232" t="str">
        <f t="shared" ca="1" si="1"/>
        <v/>
      </c>
      <c r="E18" s="233"/>
      <c r="F18" s="231"/>
      <c r="G18" s="234"/>
      <c r="H18" s="235">
        <v>2.5</v>
      </c>
      <c r="I18" s="236" t="str">
        <f t="shared" si="2"/>
        <v/>
      </c>
      <c r="J18" s="237" t="str">
        <f t="shared" si="3"/>
        <v/>
      </c>
      <c r="K18" s="238" t="str">
        <f>IF(B18="","Pending",IF(M18="","⚠️ Enter Code",IF(IFERROR(VLOOKUP(L18,DB_Agents!$B:$I,8,0),"")=M18,"Pending","🔒 BLOCKED — Wrong Code")))</f>
        <v>Pending</v>
      </c>
      <c r="L18" s="239" t="s">
        <v>133</v>
      </c>
      <c r="M18" s="240"/>
      <c r="N18" s="230"/>
    </row>
    <row r="19" spans="1:14" ht="18" customHeight="1" x14ac:dyDescent="0.25">
      <c r="A19" s="241" t="str">
        <f t="shared" si="0"/>
        <v/>
      </c>
      <c r="B19" s="242"/>
      <c r="C19" s="243" t="str">
        <f>IF(B19="","",IFERROR(VLOOKUP(B19,DB_Customers!$A:$D,4,0),"❌ Account Not Found"))</f>
        <v/>
      </c>
      <c r="D19" s="244" t="str">
        <f t="shared" ca="1" si="1"/>
        <v/>
      </c>
      <c r="E19" s="245"/>
      <c r="F19" s="243"/>
      <c r="G19" s="246"/>
      <c r="H19" s="247">
        <v>2.5</v>
      </c>
      <c r="I19" s="248" t="str">
        <f t="shared" si="2"/>
        <v/>
      </c>
      <c r="J19" s="249" t="str">
        <f t="shared" si="3"/>
        <v/>
      </c>
      <c r="K19" s="250" t="str">
        <f>IF(B19="","Pending",IF(M19="","⚠️ Enter Code",IF(IFERROR(VLOOKUP(L19,DB_Agents!$B:$I,8,0),"")=M19,"Pending","🔒 BLOCKED — Wrong Code")))</f>
        <v>Pending</v>
      </c>
      <c r="L19" s="251" t="s">
        <v>133</v>
      </c>
      <c r="M19" s="252"/>
      <c r="N19" s="242"/>
    </row>
    <row r="20" spans="1:14" ht="18" customHeight="1" x14ac:dyDescent="0.25">
      <c r="A20" s="229" t="str">
        <f t="shared" si="0"/>
        <v/>
      </c>
      <c r="B20" s="230"/>
      <c r="C20" s="231" t="str">
        <f>IF(B20="","",IFERROR(VLOOKUP(B20,DB_Customers!$A:$D,4,0),"❌ Account Not Found"))</f>
        <v/>
      </c>
      <c r="D20" s="232" t="str">
        <f t="shared" ca="1" si="1"/>
        <v/>
      </c>
      <c r="E20" s="233"/>
      <c r="F20" s="231"/>
      <c r="G20" s="234"/>
      <c r="H20" s="235">
        <v>2.5</v>
      </c>
      <c r="I20" s="236" t="str">
        <f t="shared" si="2"/>
        <v/>
      </c>
      <c r="J20" s="237" t="str">
        <f t="shared" si="3"/>
        <v/>
      </c>
      <c r="K20" s="238" t="str">
        <f>IF(B20="","Pending",IF(M20="","⚠️ Enter Code",IF(IFERROR(VLOOKUP(L20,DB_Agents!$B:$I,8,0),"")=M20,"Pending","🔒 BLOCKED — Wrong Code")))</f>
        <v>Pending</v>
      </c>
      <c r="L20" s="239" t="s">
        <v>133</v>
      </c>
      <c r="M20" s="240"/>
      <c r="N20" s="230"/>
    </row>
    <row r="21" spans="1:14" ht="18" customHeight="1" x14ac:dyDescent="0.25">
      <c r="A21" s="241" t="str">
        <f t="shared" si="0"/>
        <v/>
      </c>
      <c r="B21" s="242"/>
      <c r="C21" s="243" t="str">
        <f>IF(B21="","",IFERROR(VLOOKUP(B21,DB_Customers!$A:$D,4,0),"❌ Account Not Found"))</f>
        <v/>
      </c>
      <c r="D21" s="244" t="str">
        <f t="shared" ca="1" si="1"/>
        <v/>
      </c>
      <c r="E21" s="245"/>
      <c r="F21" s="243"/>
      <c r="G21" s="246"/>
      <c r="H21" s="247">
        <v>2.5</v>
      </c>
      <c r="I21" s="248" t="str">
        <f t="shared" si="2"/>
        <v/>
      </c>
      <c r="J21" s="249" t="str">
        <f t="shared" si="3"/>
        <v/>
      </c>
      <c r="K21" s="250" t="str">
        <f>IF(B21="","Pending",IF(M21="","⚠️ Enter Code",IF(IFERROR(VLOOKUP(L21,DB_Agents!$B:$I,8,0),"")=M21,"Pending","🔒 BLOCKED — Wrong Code")))</f>
        <v>Pending</v>
      </c>
      <c r="L21" s="251" t="s">
        <v>133</v>
      </c>
      <c r="M21" s="252"/>
      <c r="N21" s="242"/>
    </row>
    <row r="22" spans="1:14" ht="18" customHeight="1" x14ac:dyDescent="0.25">
      <c r="A22" s="229" t="str">
        <f t="shared" si="0"/>
        <v/>
      </c>
      <c r="B22" s="230"/>
      <c r="C22" s="231" t="str">
        <f>IF(B22="","",IFERROR(VLOOKUP(B22,DB_Customers!$A:$D,4,0),"❌ Account Not Found"))</f>
        <v/>
      </c>
      <c r="D22" s="232" t="str">
        <f t="shared" ca="1" si="1"/>
        <v/>
      </c>
      <c r="E22" s="233"/>
      <c r="F22" s="231"/>
      <c r="G22" s="234"/>
      <c r="H22" s="235">
        <v>2.5</v>
      </c>
      <c r="I22" s="236" t="str">
        <f t="shared" si="2"/>
        <v/>
      </c>
      <c r="J22" s="237" t="str">
        <f t="shared" si="3"/>
        <v/>
      </c>
      <c r="K22" s="238" t="str">
        <f>IF(B22="","Pending",IF(M22="","⚠️ Enter Code",IF(IFERROR(VLOOKUP(L22,DB_Agents!$B:$I,8,0),"")=M22,"Pending","🔒 BLOCKED — Wrong Code")))</f>
        <v>Pending</v>
      </c>
      <c r="L22" s="239" t="s">
        <v>133</v>
      </c>
      <c r="M22" s="240"/>
      <c r="N22" s="230"/>
    </row>
    <row r="23" spans="1:14" ht="18" customHeight="1" x14ac:dyDescent="0.25">
      <c r="A23" s="241" t="str">
        <f t="shared" si="0"/>
        <v/>
      </c>
      <c r="B23" s="242"/>
      <c r="C23" s="243" t="str">
        <f>IF(B23="","",IFERROR(VLOOKUP(B23,DB_Customers!$A:$D,4,0),"❌ Account Not Found"))</f>
        <v/>
      </c>
      <c r="D23" s="244" t="str">
        <f t="shared" ca="1" si="1"/>
        <v/>
      </c>
      <c r="E23" s="245"/>
      <c r="F23" s="243"/>
      <c r="G23" s="246"/>
      <c r="H23" s="247">
        <v>2.5</v>
      </c>
      <c r="I23" s="248" t="str">
        <f t="shared" si="2"/>
        <v/>
      </c>
      <c r="J23" s="249" t="str">
        <f t="shared" si="3"/>
        <v/>
      </c>
      <c r="K23" s="250" t="str">
        <f>IF(B23="","Pending",IF(M23="","⚠️ Enter Code",IF(IFERROR(VLOOKUP(L23,DB_Agents!$B:$I,8,0),"")=M23,"Pending","🔒 BLOCKED — Wrong Code")))</f>
        <v>Pending</v>
      </c>
      <c r="L23" s="251" t="s">
        <v>133</v>
      </c>
      <c r="M23" s="252"/>
      <c r="N23" s="242"/>
    </row>
    <row r="24" spans="1:14" ht="18" customHeight="1" x14ac:dyDescent="0.25">
      <c r="A24" s="229" t="str">
        <f t="shared" si="0"/>
        <v/>
      </c>
      <c r="B24" s="230"/>
      <c r="C24" s="231" t="str">
        <f>IF(B24="","",IFERROR(VLOOKUP(B24,DB_Customers!$A:$D,4,0),"❌ Account Not Found"))</f>
        <v/>
      </c>
      <c r="D24" s="232" t="str">
        <f t="shared" ca="1" si="1"/>
        <v/>
      </c>
      <c r="E24" s="233"/>
      <c r="F24" s="231"/>
      <c r="G24" s="234"/>
      <c r="H24" s="235">
        <v>2.5</v>
      </c>
      <c r="I24" s="236" t="str">
        <f t="shared" si="2"/>
        <v/>
      </c>
      <c r="J24" s="237" t="str">
        <f t="shared" si="3"/>
        <v/>
      </c>
      <c r="K24" s="238" t="str">
        <f>IF(B24="","Pending",IF(M24="","⚠️ Enter Code",IF(IFERROR(VLOOKUP(L24,DB_Agents!$B:$I,8,0),"")=M24,"Pending","🔒 BLOCKED — Wrong Code")))</f>
        <v>Pending</v>
      </c>
      <c r="L24" s="239" t="s">
        <v>133</v>
      </c>
      <c r="M24" s="240"/>
      <c r="N24" s="230"/>
    </row>
    <row r="25" spans="1:14" ht="18" customHeight="1" x14ac:dyDescent="0.25">
      <c r="A25" s="241" t="str">
        <f t="shared" si="0"/>
        <v/>
      </c>
      <c r="B25" s="242"/>
      <c r="C25" s="243" t="str">
        <f>IF(B25="","",IFERROR(VLOOKUP(B25,DB_Customers!$A:$D,4,0),"❌ Account Not Found"))</f>
        <v/>
      </c>
      <c r="D25" s="244" t="str">
        <f t="shared" ca="1" si="1"/>
        <v/>
      </c>
      <c r="E25" s="245"/>
      <c r="F25" s="243"/>
      <c r="G25" s="246"/>
      <c r="H25" s="247">
        <v>2.5</v>
      </c>
      <c r="I25" s="248" t="str">
        <f t="shared" si="2"/>
        <v/>
      </c>
      <c r="J25" s="249" t="str">
        <f t="shared" si="3"/>
        <v/>
      </c>
      <c r="K25" s="250" t="str">
        <f>IF(B25="","Pending",IF(M25="","⚠️ Enter Code",IF(IFERROR(VLOOKUP(L25,DB_Agents!$B:$I,8,0),"")=M25,"Pending","🔒 BLOCKED — Wrong Code")))</f>
        <v>Pending</v>
      </c>
      <c r="L25" s="251" t="s">
        <v>133</v>
      </c>
      <c r="M25" s="252"/>
      <c r="N25" s="242"/>
    </row>
    <row r="26" spans="1:14" ht="18" customHeight="1" x14ac:dyDescent="0.25">
      <c r="A26" s="229" t="str">
        <f t="shared" si="0"/>
        <v/>
      </c>
      <c r="B26" s="230"/>
      <c r="C26" s="231" t="str">
        <f>IF(B26="","",IFERROR(VLOOKUP(B26,DB_Customers!$A:$D,4,0),"❌ Account Not Found"))</f>
        <v/>
      </c>
      <c r="D26" s="232" t="str">
        <f t="shared" ca="1" si="1"/>
        <v/>
      </c>
      <c r="E26" s="233"/>
      <c r="F26" s="231"/>
      <c r="G26" s="234"/>
      <c r="H26" s="235">
        <v>2.5</v>
      </c>
      <c r="I26" s="236" t="str">
        <f t="shared" si="2"/>
        <v/>
      </c>
      <c r="J26" s="237" t="str">
        <f t="shared" si="3"/>
        <v/>
      </c>
      <c r="K26" s="238" t="str">
        <f>IF(B26="","Pending",IF(M26="","⚠️ Enter Code",IF(IFERROR(VLOOKUP(L26,DB_Agents!$B:$I,8,0),"")=M26,"Pending","🔒 BLOCKED — Wrong Code")))</f>
        <v>Pending</v>
      </c>
      <c r="L26" s="239" t="s">
        <v>133</v>
      </c>
      <c r="M26" s="240"/>
      <c r="N26" s="230"/>
    </row>
    <row r="27" spans="1:14" ht="18" customHeight="1" x14ac:dyDescent="0.25">
      <c r="A27" s="241" t="str">
        <f t="shared" si="0"/>
        <v/>
      </c>
      <c r="B27" s="242"/>
      <c r="C27" s="243" t="str">
        <f>IF(B27="","",IFERROR(VLOOKUP(B27,DB_Customers!$A:$D,4,0),"❌ Account Not Found"))</f>
        <v/>
      </c>
      <c r="D27" s="244" t="str">
        <f t="shared" ca="1" si="1"/>
        <v/>
      </c>
      <c r="E27" s="245"/>
      <c r="F27" s="243"/>
      <c r="G27" s="246"/>
      <c r="H27" s="247">
        <v>2.5</v>
      </c>
      <c r="I27" s="248" t="str">
        <f t="shared" si="2"/>
        <v/>
      </c>
      <c r="J27" s="249" t="str">
        <f t="shared" si="3"/>
        <v/>
      </c>
      <c r="K27" s="250" t="str">
        <f>IF(B27="","Pending",IF(M27="","⚠️ Enter Code",IF(IFERROR(VLOOKUP(L27,DB_Agents!$B:$I,8,0),"")=M27,"Pending","🔒 BLOCKED — Wrong Code")))</f>
        <v>Pending</v>
      </c>
      <c r="L27" s="251" t="s">
        <v>133</v>
      </c>
      <c r="M27" s="252"/>
      <c r="N27" s="242"/>
    </row>
    <row r="28" spans="1:14" ht="18" customHeight="1" x14ac:dyDescent="0.25">
      <c r="A28" s="229" t="str">
        <f t="shared" si="0"/>
        <v/>
      </c>
      <c r="B28" s="230"/>
      <c r="C28" s="231" t="str">
        <f>IF(B28="","",IFERROR(VLOOKUP(B28,DB_Customers!$A:$D,4,0),"❌ Account Not Found"))</f>
        <v/>
      </c>
      <c r="D28" s="232" t="str">
        <f t="shared" ca="1" si="1"/>
        <v/>
      </c>
      <c r="E28" s="233"/>
      <c r="F28" s="231"/>
      <c r="G28" s="234"/>
      <c r="H28" s="235">
        <v>2.5</v>
      </c>
      <c r="I28" s="236" t="str">
        <f t="shared" si="2"/>
        <v/>
      </c>
      <c r="J28" s="237" t="str">
        <f t="shared" si="3"/>
        <v/>
      </c>
      <c r="K28" s="238" t="str">
        <f>IF(B28="","Pending",IF(M28="","⚠️ Enter Code",IF(IFERROR(VLOOKUP(L28,DB_Agents!$B:$I,8,0),"")=M28,"Pending","🔒 BLOCKED — Wrong Code")))</f>
        <v>Pending</v>
      </c>
      <c r="L28" s="239" t="s">
        <v>133</v>
      </c>
      <c r="M28" s="240"/>
      <c r="N28" s="230"/>
    </row>
    <row r="29" spans="1:14" ht="18" customHeight="1" x14ac:dyDescent="0.25">
      <c r="A29" s="241" t="str">
        <f t="shared" si="0"/>
        <v/>
      </c>
      <c r="B29" s="242"/>
      <c r="C29" s="243" t="str">
        <f>IF(B29="","",IFERROR(VLOOKUP(B29,DB_Customers!$A:$D,4,0),"❌ Account Not Found"))</f>
        <v/>
      </c>
      <c r="D29" s="244" t="str">
        <f t="shared" ca="1" si="1"/>
        <v/>
      </c>
      <c r="E29" s="245"/>
      <c r="F29" s="243"/>
      <c r="G29" s="246"/>
      <c r="H29" s="247">
        <v>2.5</v>
      </c>
      <c r="I29" s="248" t="str">
        <f t="shared" si="2"/>
        <v/>
      </c>
      <c r="J29" s="249" t="str">
        <f t="shared" si="3"/>
        <v/>
      </c>
      <c r="K29" s="250" t="str">
        <f>IF(B29="","Pending",IF(M29="","⚠️ Enter Code",IF(IFERROR(VLOOKUP(L29,DB_Agents!$B:$I,8,0),"")=M29,"Pending","🔒 BLOCKED — Wrong Code")))</f>
        <v>Pending</v>
      </c>
      <c r="L29" s="251" t="s">
        <v>133</v>
      </c>
      <c r="M29" s="252"/>
      <c r="N29" s="242"/>
    </row>
    <row r="30" spans="1:14" ht="18" customHeight="1" x14ac:dyDescent="0.25">
      <c r="A30" s="229" t="str">
        <f t="shared" si="0"/>
        <v/>
      </c>
      <c r="B30" s="230"/>
      <c r="C30" s="231" t="str">
        <f>IF(B30="","",IFERROR(VLOOKUP(B30,DB_Customers!$A:$D,4,0),"❌ Account Not Found"))</f>
        <v/>
      </c>
      <c r="D30" s="232" t="str">
        <f t="shared" ca="1" si="1"/>
        <v/>
      </c>
      <c r="E30" s="233"/>
      <c r="F30" s="231"/>
      <c r="G30" s="234"/>
      <c r="H30" s="235">
        <v>2.5</v>
      </c>
      <c r="I30" s="236" t="str">
        <f t="shared" si="2"/>
        <v/>
      </c>
      <c r="J30" s="237" t="str">
        <f t="shared" si="3"/>
        <v/>
      </c>
      <c r="K30" s="238" t="str">
        <f>IF(B30="","Pending",IF(M30="","⚠️ Enter Code",IF(IFERROR(VLOOKUP(L30,DB_Agents!$B:$I,8,0),"")=M30,"Pending","🔒 BLOCKED — Wrong Code")))</f>
        <v>Pending</v>
      </c>
      <c r="L30" s="239" t="s">
        <v>133</v>
      </c>
      <c r="M30" s="240"/>
      <c r="N30" s="230"/>
    </row>
    <row r="31" spans="1:14" ht="18" customHeight="1" x14ac:dyDescent="0.25">
      <c r="A31" s="241" t="str">
        <f t="shared" si="0"/>
        <v/>
      </c>
      <c r="B31" s="242"/>
      <c r="C31" s="243" t="str">
        <f>IF(B31="","",IFERROR(VLOOKUP(B31,DB_Customers!$A:$D,4,0),"❌ Account Not Found"))</f>
        <v/>
      </c>
      <c r="D31" s="244" t="str">
        <f t="shared" ca="1" si="1"/>
        <v/>
      </c>
      <c r="E31" s="245"/>
      <c r="F31" s="243"/>
      <c r="G31" s="246"/>
      <c r="H31" s="247">
        <v>2.5</v>
      </c>
      <c r="I31" s="248" t="str">
        <f t="shared" si="2"/>
        <v/>
      </c>
      <c r="J31" s="249" t="str">
        <f t="shared" si="3"/>
        <v/>
      </c>
      <c r="K31" s="250" t="str">
        <f>IF(B31="","Pending",IF(M31="","⚠️ Enter Code",IF(IFERROR(VLOOKUP(L31,DB_Agents!$B:$I,8,0),"")=M31,"Pending","🔒 BLOCKED — Wrong Code")))</f>
        <v>Pending</v>
      </c>
      <c r="L31" s="251" t="s">
        <v>133</v>
      </c>
      <c r="M31" s="252"/>
      <c r="N31" s="242"/>
    </row>
    <row r="32" spans="1:14" ht="18" customHeight="1" x14ac:dyDescent="0.25">
      <c r="A32" s="229" t="str">
        <f t="shared" si="0"/>
        <v/>
      </c>
      <c r="B32" s="230"/>
      <c r="C32" s="231" t="str">
        <f>IF(B32="","",IFERROR(VLOOKUP(B32,DB_Customers!$A:$D,4,0),"❌ Account Not Found"))</f>
        <v/>
      </c>
      <c r="D32" s="232" t="str">
        <f t="shared" ca="1" si="1"/>
        <v/>
      </c>
      <c r="E32" s="233"/>
      <c r="F32" s="231"/>
      <c r="G32" s="234"/>
      <c r="H32" s="235">
        <v>2.5</v>
      </c>
      <c r="I32" s="236" t="str">
        <f t="shared" si="2"/>
        <v/>
      </c>
      <c r="J32" s="237" t="str">
        <f t="shared" si="3"/>
        <v/>
      </c>
      <c r="K32" s="238" t="str">
        <f>IF(B32="","Pending",IF(M32="","⚠️ Enter Code",IF(IFERROR(VLOOKUP(L32,DB_Agents!$B:$I,8,0),"")=M32,"Pending","🔒 BLOCKED — Wrong Code")))</f>
        <v>Pending</v>
      </c>
      <c r="L32" s="239" t="s">
        <v>133</v>
      </c>
      <c r="M32" s="240"/>
      <c r="N32" s="230"/>
    </row>
    <row r="33" spans="1:14" ht="18" customHeight="1" x14ac:dyDescent="0.25">
      <c r="A33" s="241" t="str">
        <f t="shared" si="0"/>
        <v/>
      </c>
      <c r="B33" s="242"/>
      <c r="C33" s="243" t="str">
        <f>IF(B33="","",IFERROR(VLOOKUP(B33,DB_Customers!$A:$D,4,0),"❌ Account Not Found"))</f>
        <v/>
      </c>
      <c r="D33" s="244" t="str">
        <f t="shared" ca="1" si="1"/>
        <v/>
      </c>
      <c r="E33" s="245"/>
      <c r="F33" s="243"/>
      <c r="G33" s="246"/>
      <c r="H33" s="247">
        <v>2.5</v>
      </c>
      <c r="I33" s="248" t="str">
        <f t="shared" si="2"/>
        <v/>
      </c>
      <c r="J33" s="249" t="str">
        <f t="shared" si="3"/>
        <v/>
      </c>
      <c r="K33" s="250" t="str">
        <f>IF(B33="","Pending",IF(M33="","⚠️ Enter Code",IF(IFERROR(VLOOKUP(L33,DB_Agents!$B:$I,8,0),"")=M33,"Pending","🔒 BLOCKED — Wrong Code")))</f>
        <v>Pending</v>
      </c>
      <c r="L33" s="251" t="s">
        <v>133</v>
      </c>
      <c r="M33" s="252"/>
      <c r="N33" s="242"/>
    </row>
    <row r="34" spans="1:14" ht="18" customHeight="1" x14ac:dyDescent="0.25">
      <c r="A34" s="229" t="str">
        <f t="shared" si="0"/>
        <v/>
      </c>
      <c r="B34" s="230"/>
      <c r="C34" s="231" t="str">
        <f>IF(B34="","",IFERROR(VLOOKUP(B34,DB_Customers!$A:$D,4,0),"❌ Account Not Found"))</f>
        <v/>
      </c>
      <c r="D34" s="232" t="str">
        <f t="shared" ca="1" si="1"/>
        <v/>
      </c>
      <c r="E34" s="233"/>
      <c r="F34" s="231"/>
      <c r="G34" s="234"/>
      <c r="H34" s="235">
        <v>2.5</v>
      </c>
      <c r="I34" s="236" t="str">
        <f t="shared" si="2"/>
        <v/>
      </c>
      <c r="J34" s="237" t="str">
        <f t="shared" si="3"/>
        <v/>
      </c>
      <c r="K34" s="238" t="str">
        <f>IF(B34="","Pending",IF(M34="","⚠️ Enter Code",IF(IFERROR(VLOOKUP(L34,DB_Agents!$B:$I,8,0),"")=M34,"Pending","🔒 BLOCKED — Wrong Code")))</f>
        <v>Pending</v>
      </c>
      <c r="L34" s="239" t="s">
        <v>133</v>
      </c>
      <c r="M34" s="240"/>
      <c r="N34" s="230"/>
    </row>
    <row r="35" spans="1:14" ht="18" customHeight="1" x14ac:dyDescent="0.25">
      <c r="A35" s="241" t="str">
        <f t="shared" si="0"/>
        <v/>
      </c>
      <c r="B35" s="242"/>
      <c r="C35" s="243" t="str">
        <f>IF(B35="","",IFERROR(VLOOKUP(B35,DB_Customers!$A:$D,4,0),"❌ Account Not Found"))</f>
        <v/>
      </c>
      <c r="D35" s="244" t="str">
        <f t="shared" ca="1" si="1"/>
        <v/>
      </c>
      <c r="E35" s="245"/>
      <c r="F35" s="243"/>
      <c r="G35" s="246"/>
      <c r="H35" s="247">
        <v>2.5</v>
      </c>
      <c r="I35" s="248" t="str">
        <f t="shared" si="2"/>
        <v/>
      </c>
      <c r="J35" s="249" t="str">
        <f t="shared" si="3"/>
        <v/>
      </c>
      <c r="K35" s="250" t="str">
        <f>IF(B35="","Pending",IF(M35="","⚠️ Enter Code",IF(IFERROR(VLOOKUP(L35,DB_Agents!$B:$I,8,0),"")=M35,"Pending","🔒 BLOCKED — Wrong Code")))</f>
        <v>Pending</v>
      </c>
      <c r="L35" s="251" t="s">
        <v>133</v>
      </c>
      <c r="M35" s="252"/>
      <c r="N35" s="242"/>
    </row>
    <row r="36" spans="1:14" ht="18" customHeight="1" x14ac:dyDescent="0.25">
      <c r="A36" s="229" t="str">
        <f t="shared" si="0"/>
        <v/>
      </c>
      <c r="B36" s="230"/>
      <c r="C36" s="231" t="str">
        <f>IF(B36="","",IFERROR(VLOOKUP(B36,DB_Customers!$A:$D,4,0),"❌ Account Not Found"))</f>
        <v/>
      </c>
      <c r="D36" s="232" t="str">
        <f t="shared" ca="1" si="1"/>
        <v/>
      </c>
      <c r="E36" s="233"/>
      <c r="F36" s="231"/>
      <c r="G36" s="234"/>
      <c r="H36" s="235">
        <v>2.5</v>
      </c>
      <c r="I36" s="236" t="str">
        <f t="shared" si="2"/>
        <v/>
      </c>
      <c r="J36" s="237" t="str">
        <f t="shared" si="3"/>
        <v/>
      </c>
      <c r="K36" s="238" t="str">
        <f>IF(B36="","Pending",IF(M36="","⚠️ Enter Code",IF(IFERROR(VLOOKUP(L36,DB_Agents!$B:$I,8,0),"")=M36,"Pending","🔒 BLOCKED — Wrong Code")))</f>
        <v>Pending</v>
      </c>
      <c r="L36" s="239" t="s">
        <v>133</v>
      </c>
      <c r="M36" s="240"/>
      <c r="N36" s="230"/>
    </row>
    <row r="37" spans="1:14" ht="18" customHeight="1" x14ac:dyDescent="0.25">
      <c r="A37" s="241" t="str">
        <f t="shared" si="0"/>
        <v/>
      </c>
      <c r="B37" s="242"/>
      <c r="C37" s="243" t="str">
        <f>IF(B37="","",IFERROR(VLOOKUP(B37,DB_Customers!$A:$D,4,0),"❌ Account Not Found"))</f>
        <v/>
      </c>
      <c r="D37" s="244" t="str">
        <f t="shared" ca="1" si="1"/>
        <v/>
      </c>
      <c r="E37" s="245"/>
      <c r="F37" s="243"/>
      <c r="G37" s="246"/>
      <c r="H37" s="247">
        <v>2.5</v>
      </c>
      <c r="I37" s="248" t="str">
        <f t="shared" si="2"/>
        <v/>
      </c>
      <c r="J37" s="249" t="str">
        <f t="shared" si="3"/>
        <v/>
      </c>
      <c r="K37" s="250" t="str">
        <f>IF(B37="","Pending",IF(M37="","⚠️ Enter Code",IF(IFERROR(VLOOKUP(L37,DB_Agents!$B:$I,8,0),"")=M37,"Pending","🔒 BLOCKED — Wrong Code")))</f>
        <v>Pending</v>
      </c>
      <c r="L37" s="251" t="s">
        <v>133</v>
      </c>
      <c r="M37" s="252"/>
      <c r="N37" s="242"/>
    </row>
    <row r="38" spans="1:14" ht="18" customHeight="1" x14ac:dyDescent="0.25">
      <c r="A38" s="229" t="str">
        <f t="shared" si="0"/>
        <v/>
      </c>
      <c r="B38" s="230"/>
      <c r="C38" s="231" t="str">
        <f>IF(B38="","",IFERROR(VLOOKUP(B38,DB_Customers!$A:$D,4,0),"❌ Account Not Found"))</f>
        <v/>
      </c>
      <c r="D38" s="232" t="str">
        <f t="shared" ca="1" si="1"/>
        <v/>
      </c>
      <c r="E38" s="233"/>
      <c r="F38" s="231"/>
      <c r="G38" s="234"/>
      <c r="H38" s="235">
        <v>2.5</v>
      </c>
      <c r="I38" s="236" t="str">
        <f t="shared" si="2"/>
        <v/>
      </c>
      <c r="J38" s="237" t="str">
        <f t="shared" si="3"/>
        <v/>
      </c>
      <c r="K38" s="238" t="str">
        <f>IF(B38="","Pending",IF(M38="","⚠️ Enter Code",IF(IFERROR(VLOOKUP(L38,DB_Agents!$B:$I,8,0),"")=M38,"Pending","🔒 BLOCKED — Wrong Code")))</f>
        <v>Pending</v>
      </c>
      <c r="L38" s="239" t="s">
        <v>133</v>
      </c>
      <c r="M38" s="240"/>
      <c r="N38" s="230"/>
    </row>
    <row r="39" spans="1:14" ht="18" customHeight="1" x14ac:dyDescent="0.25">
      <c r="A39" s="241" t="str">
        <f t="shared" si="0"/>
        <v/>
      </c>
      <c r="B39" s="242"/>
      <c r="C39" s="243" t="str">
        <f>IF(B39="","",IFERROR(VLOOKUP(B39,DB_Customers!$A:$D,4,0),"❌ Account Not Found"))</f>
        <v/>
      </c>
      <c r="D39" s="244" t="str">
        <f t="shared" ca="1" si="1"/>
        <v/>
      </c>
      <c r="E39" s="245"/>
      <c r="F39" s="243"/>
      <c r="G39" s="246"/>
      <c r="H39" s="247">
        <v>2.5</v>
      </c>
      <c r="I39" s="248" t="str">
        <f t="shared" si="2"/>
        <v/>
      </c>
      <c r="J39" s="249" t="str">
        <f t="shared" si="3"/>
        <v/>
      </c>
      <c r="K39" s="250" t="str">
        <f>IF(B39="","Pending",IF(M39="","⚠️ Enter Code",IF(IFERROR(VLOOKUP(L39,DB_Agents!$B:$I,8,0),"")=M39,"Pending","🔒 BLOCKED — Wrong Code")))</f>
        <v>Pending</v>
      </c>
      <c r="L39" s="251" t="s">
        <v>133</v>
      </c>
      <c r="M39" s="252"/>
      <c r="N39" s="242"/>
    </row>
    <row r="40" spans="1:14" ht="18" customHeight="1" x14ac:dyDescent="0.25">
      <c r="A40" s="229" t="str">
        <f t="shared" si="0"/>
        <v/>
      </c>
      <c r="B40" s="230"/>
      <c r="C40" s="231" t="str">
        <f>IF(B40="","",IFERROR(VLOOKUP(B40,DB_Customers!$A:$D,4,0),"❌ Account Not Found"))</f>
        <v/>
      </c>
      <c r="D40" s="232" t="str">
        <f t="shared" ca="1" si="1"/>
        <v/>
      </c>
      <c r="E40" s="233"/>
      <c r="F40" s="231"/>
      <c r="G40" s="234"/>
      <c r="H40" s="235">
        <v>2.5</v>
      </c>
      <c r="I40" s="236" t="str">
        <f t="shared" si="2"/>
        <v/>
      </c>
      <c r="J40" s="237" t="str">
        <f t="shared" si="3"/>
        <v/>
      </c>
      <c r="K40" s="238" t="str">
        <f>IF(B40="","Pending",IF(M40="","⚠️ Enter Code",IF(IFERROR(VLOOKUP(L40,DB_Agents!$B:$I,8,0),"")=M40,"Pending","🔒 BLOCKED — Wrong Code")))</f>
        <v>Pending</v>
      </c>
      <c r="L40" s="239" t="s">
        <v>133</v>
      </c>
      <c r="M40" s="240"/>
      <c r="N40" s="230"/>
    </row>
    <row r="41" spans="1:14" ht="18" customHeight="1" x14ac:dyDescent="0.25">
      <c r="A41" s="241" t="str">
        <f t="shared" si="0"/>
        <v/>
      </c>
      <c r="B41" s="242"/>
      <c r="C41" s="243" t="str">
        <f>IF(B41="","",IFERROR(VLOOKUP(B41,DB_Customers!$A:$D,4,0),"❌ Account Not Found"))</f>
        <v/>
      </c>
      <c r="D41" s="244" t="str">
        <f t="shared" ca="1" si="1"/>
        <v/>
      </c>
      <c r="E41" s="245"/>
      <c r="F41" s="243"/>
      <c r="G41" s="246"/>
      <c r="H41" s="247">
        <v>2.5</v>
      </c>
      <c r="I41" s="248" t="str">
        <f t="shared" si="2"/>
        <v/>
      </c>
      <c r="J41" s="249" t="str">
        <f t="shared" si="3"/>
        <v/>
      </c>
      <c r="K41" s="250" t="str">
        <f>IF(B41="","Pending",IF(M41="","⚠️ Enter Code",IF(IFERROR(VLOOKUP(L41,DB_Agents!$B:$I,8,0),"")=M41,"Pending","🔒 BLOCKED — Wrong Code")))</f>
        <v>Pending</v>
      </c>
      <c r="L41" s="251" t="s">
        <v>133</v>
      </c>
      <c r="M41" s="252"/>
      <c r="N41" s="242"/>
    </row>
    <row r="42" spans="1:14" ht="18" customHeight="1" x14ac:dyDescent="0.25">
      <c r="A42" s="229" t="str">
        <f t="shared" si="0"/>
        <v/>
      </c>
      <c r="B42" s="230"/>
      <c r="C42" s="231" t="str">
        <f>IF(B42="","",IFERROR(VLOOKUP(B42,DB_Customers!$A:$D,4,0),"❌ Account Not Found"))</f>
        <v/>
      </c>
      <c r="D42" s="232" t="str">
        <f t="shared" ca="1" si="1"/>
        <v/>
      </c>
      <c r="E42" s="233"/>
      <c r="F42" s="231"/>
      <c r="G42" s="234"/>
      <c r="H42" s="235">
        <v>2.5</v>
      </c>
      <c r="I42" s="236" t="str">
        <f t="shared" si="2"/>
        <v/>
      </c>
      <c r="J42" s="237" t="str">
        <f t="shared" si="3"/>
        <v/>
      </c>
      <c r="K42" s="238" t="str">
        <f>IF(B42="","Pending",IF(M42="","⚠️ Enter Code",IF(IFERROR(VLOOKUP(L42,DB_Agents!$B:$I,8,0),"")=M42,"Pending","🔒 BLOCKED — Wrong Code")))</f>
        <v>Pending</v>
      </c>
      <c r="L42" s="239" t="s">
        <v>133</v>
      </c>
      <c r="M42" s="240"/>
      <c r="N42" s="230"/>
    </row>
    <row r="43" spans="1:14" ht="18" customHeight="1" x14ac:dyDescent="0.25">
      <c r="A43" s="241" t="str">
        <f t="shared" si="0"/>
        <v/>
      </c>
      <c r="B43" s="242"/>
      <c r="C43" s="243" t="str">
        <f>IF(B43="","",IFERROR(VLOOKUP(B43,DB_Customers!$A:$D,4,0),"❌ Account Not Found"))</f>
        <v/>
      </c>
      <c r="D43" s="244" t="str">
        <f t="shared" ca="1" si="1"/>
        <v/>
      </c>
      <c r="E43" s="245"/>
      <c r="F43" s="243"/>
      <c r="G43" s="246"/>
      <c r="H43" s="247">
        <v>2.5</v>
      </c>
      <c r="I43" s="248" t="str">
        <f t="shared" si="2"/>
        <v/>
      </c>
      <c r="J43" s="249" t="str">
        <f t="shared" si="3"/>
        <v/>
      </c>
      <c r="K43" s="250" t="str">
        <f>IF(B43="","Pending",IF(M43="","⚠️ Enter Code",IF(IFERROR(VLOOKUP(L43,DB_Agents!$B:$I,8,0),"")=M43,"Pending","🔒 BLOCKED — Wrong Code")))</f>
        <v>Pending</v>
      </c>
      <c r="L43" s="251" t="s">
        <v>133</v>
      </c>
      <c r="M43" s="252"/>
      <c r="N43" s="242"/>
    </row>
    <row r="44" spans="1:14" ht="18" customHeight="1" x14ac:dyDescent="0.25">
      <c r="A44" s="229" t="str">
        <f t="shared" si="0"/>
        <v/>
      </c>
      <c r="B44" s="230"/>
      <c r="C44" s="231" t="str">
        <f>IF(B44="","",IFERROR(VLOOKUP(B44,DB_Customers!$A:$D,4,0),"❌ Account Not Found"))</f>
        <v/>
      </c>
      <c r="D44" s="232" t="str">
        <f t="shared" ca="1" si="1"/>
        <v/>
      </c>
      <c r="E44" s="233"/>
      <c r="F44" s="231"/>
      <c r="G44" s="234"/>
      <c r="H44" s="235">
        <v>2.5</v>
      </c>
      <c r="I44" s="236" t="str">
        <f t="shared" si="2"/>
        <v/>
      </c>
      <c r="J44" s="237" t="str">
        <f t="shared" si="3"/>
        <v/>
      </c>
      <c r="K44" s="238" t="str">
        <f>IF(B44="","Pending",IF(M44="","⚠️ Enter Code",IF(IFERROR(VLOOKUP(L44,DB_Agents!$B:$I,8,0),"")=M44,"Pending","🔒 BLOCKED — Wrong Code")))</f>
        <v>Pending</v>
      </c>
      <c r="L44" s="239" t="s">
        <v>133</v>
      </c>
      <c r="M44" s="240"/>
      <c r="N44" s="230"/>
    </row>
    <row r="45" spans="1:14" ht="18" customHeight="1" x14ac:dyDescent="0.25">
      <c r="A45" s="241" t="str">
        <f t="shared" si="0"/>
        <v/>
      </c>
      <c r="B45" s="242"/>
      <c r="C45" s="243" t="str">
        <f>IF(B45="","",IFERROR(VLOOKUP(B45,DB_Customers!$A:$D,4,0),"❌ Account Not Found"))</f>
        <v/>
      </c>
      <c r="D45" s="244" t="str">
        <f t="shared" ca="1" si="1"/>
        <v/>
      </c>
      <c r="E45" s="245"/>
      <c r="F45" s="243"/>
      <c r="G45" s="246"/>
      <c r="H45" s="247">
        <v>2.5</v>
      </c>
      <c r="I45" s="248" t="str">
        <f t="shared" si="2"/>
        <v/>
      </c>
      <c r="J45" s="249" t="str">
        <f t="shared" si="3"/>
        <v/>
      </c>
      <c r="K45" s="250" t="str">
        <f>IF(B45="","Pending",IF(M45="","⚠️ Enter Code",IF(IFERROR(VLOOKUP(L45,DB_Agents!$B:$I,8,0),"")=M45,"Pending","🔒 BLOCKED — Wrong Code")))</f>
        <v>Pending</v>
      </c>
      <c r="L45" s="251" t="s">
        <v>133</v>
      </c>
      <c r="M45" s="252"/>
      <c r="N45" s="242"/>
    </row>
    <row r="46" spans="1:14" ht="18" customHeight="1" x14ac:dyDescent="0.25">
      <c r="A46" s="229" t="str">
        <f t="shared" ref="A46:A77" si="4">IF(B46="","",IF(C46="❌ Account Not Found","INVALID","LN"&amp;TEXT(D46,"YYYYMMDD")&amp;TEXT(ROW()-13,"0000")))</f>
        <v/>
      </c>
      <c r="B46" s="230"/>
      <c r="C46" s="231" t="str">
        <f>IF(B46="","",IFERROR(VLOOKUP(B46,DB_Customers!$A:$D,4,0),"❌ Account Not Found"))</f>
        <v/>
      </c>
      <c r="D46" s="232" t="str">
        <f t="shared" ref="D46:D77" ca="1" si="5">IF(B46="","",TODAY())</f>
        <v/>
      </c>
      <c r="E46" s="233"/>
      <c r="F46" s="231"/>
      <c r="G46" s="234"/>
      <c r="H46" s="235">
        <v>2.5</v>
      </c>
      <c r="I46" s="236" t="str">
        <f t="shared" ref="I46:I77" si="6">IF(E46="","",E46+(E46*H46/100*G46))</f>
        <v/>
      </c>
      <c r="J46" s="237" t="str">
        <f t="shared" ref="J46:J77" si="7">IFERROR(I46/G46,"")</f>
        <v/>
      </c>
      <c r="K46" s="238" t="str">
        <f>IF(B46="","Pending",IF(M46="","⚠️ Enter Code",IF(IFERROR(VLOOKUP(L46,DB_Agents!$B:$I,8,0),"")=M46,"Pending","🔒 BLOCKED — Wrong Code")))</f>
        <v>Pending</v>
      </c>
      <c r="L46" s="239" t="s">
        <v>133</v>
      </c>
      <c r="M46" s="240"/>
      <c r="N46" s="230"/>
    </row>
    <row r="47" spans="1:14" ht="18" customHeight="1" x14ac:dyDescent="0.25">
      <c r="A47" s="241" t="str">
        <f t="shared" si="4"/>
        <v/>
      </c>
      <c r="B47" s="242"/>
      <c r="C47" s="243" t="str">
        <f>IF(B47="","",IFERROR(VLOOKUP(B47,DB_Customers!$A:$D,4,0),"❌ Account Not Found"))</f>
        <v/>
      </c>
      <c r="D47" s="244" t="str">
        <f t="shared" ca="1" si="5"/>
        <v/>
      </c>
      <c r="E47" s="245"/>
      <c r="F47" s="243"/>
      <c r="G47" s="246"/>
      <c r="H47" s="247">
        <v>2.5</v>
      </c>
      <c r="I47" s="248" t="str">
        <f t="shared" si="6"/>
        <v/>
      </c>
      <c r="J47" s="249" t="str">
        <f t="shared" si="7"/>
        <v/>
      </c>
      <c r="K47" s="250" t="str">
        <f>IF(B47="","Pending",IF(M47="","⚠️ Enter Code",IF(IFERROR(VLOOKUP(L47,DB_Agents!$B:$I,8,0),"")=M47,"Pending","🔒 BLOCKED — Wrong Code")))</f>
        <v>Pending</v>
      </c>
      <c r="L47" s="251" t="s">
        <v>133</v>
      </c>
      <c r="M47" s="252"/>
      <c r="N47" s="242"/>
    </row>
    <row r="48" spans="1:14" ht="18" customHeight="1" x14ac:dyDescent="0.25">
      <c r="A48" s="229" t="str">
        <f t="shared" si="4"/>
        <v/>
      </c>
      <c r="B48" s="230"/>
      <c r="C48" s="231" t="str">
        <f>IF(B48="","",IFERROR(VLOOKUP(B48,DB_Customers!$A:$D,4,0),"❌ Account Not Found"))</f>
        <v/>
      </c>
      <c r="D48" s="232" t="str">
        <f t="shared" ca="1" si="5"/>
        <v/>
      </c>
      <c r="E48" s="233"/>
      <c r="F48" s="231"/>
      <c r="G48" s="234"/>
      <c r="H48" s="235">
        <v>2.5</v>
      </c>
      <c r="I48" s="236" t="str">
        <f t="shared" si="6"/>
        <v/>
      </c>
      <c r="J48" s="237" t="str">
        <f t="shared" si="7"/>
        <v/>
      </c>
      <c r="K48" s="238" t="str">
        <f>IF(B48="","Pending",IF(M48="","⚠️ Enter Code",IF(IFERROR(VLOOKUP(L48,DB_Agents!$B:$I,8,0),"")=M48,"Pending","🔒 BLOCKED — Wrong Code")))</f>
        <v>Pending</v>
      </c>
      <c r="L48" s="239" t="s">
        <v>133</v>
      </c>
      <c r="M48" s="240"/>
      <c r="N48" s="230"/>
    </row>
    <row r="49" spans="1:14" ht="18" customHeight="1" x14ac:dyDescent="0.25">
      <c r="A49" s="241" t="str">
        <f t="shared" si="4"/>
        <v/>
      </c>
      <c r="B49" s="242"/>
      <c r="C49" s="243" t="str">
        <f>IF(B49="","",IFERROR(VLOOKUP(B49,DB_Customers!$A:$D,4,0),"❌ Account Not Found"))</f>
        <v/>
      </c>
      <c r="D49" s="244" t="str">
        <f t="shared" ca="1" si="5"/>
        <v/>
      </c>
      <c r="E49" s="245"/>
      <c r="F49" s="243"/>
      <c r="G49" s="246"/>
      <c r="H49" s="247">
        <v>2.5</v>
      </c>
      <c r="I49" s="248" t="str">
        <f t="shared" si="6"/>
        <v/>
      </c>
      <c r="J49" s="249" t="str">
        <f t="shared" si="7"/>
        <v/>
      </c>
      <c r="K49" s="250" t="str">
        <f>IF(B49="","Pending",IF(M49="","⚠️ Enter Code",IF(IFERROR(VLOOKUP(L49,DB_Agents!$B:$I,8,0),"")=M49,"Pending","🔒 BLOCKED — Wrong Code")))</f>
        <v>Pending</v>
      </c>
      <c r="L49" s="251" t="s">
        <v>133</v>
      </c>
      <c r="M49" s="252"/>
      <c r="N49" s="242"/>
    </row>
    <row r="50" spans="1:14" ht="18" customHeight="1" x14ac:dyDescent="0.25">
      <c r="A50" s="229" t="str">
        <f t="shared" si="4"/>
        <v/>
      </c>
      <c r="B50" s="230"/>
      <c r="C50" s="231" t="str">
        <f>IF(B50="","",IFERROR(VLOOKUP(B50,DB_Customers!$A:$D,4,0),"❌ Account Not Found"))</f>
        <v/>
      </c>
      <c r="D50" s="232" t="str">
        <f t="shared" ca="1" si="5"/>
        <v/>
      </c>
      <c r="E50" s="233"/>
      <c r="F50" s="231"/>
      <c r="G50" s="234"/>
      <c r="H50" s="235">
        <v>2.5</v>
      </c>
      <c r="I50" s="236" t="str">
        <f t="shared" si="6"/>
        <v/>
      </c>
      <c r="J50" s="237" t="str">
        <f t="shared" si="7"/>
        <v/>
      </c>
      <c r="K50" s="238" t="str">
        <f>IF(B50="","Pending",IF(M50="","⚠️ Enter Code",IF(IFERROR(VLOOKUP(L50,DB_Agents!$B:$I,8,0),"")=M50,"Pending","🔒 BLOCKED — Wrong Code")))</f>
        <v>Pending</v>
      </c>
      <c r="L50" s="239" t="s">
        <v>133</v>
      </c>
      <c r="M50" s="240"/>
      <c r="N50" s="230"/>
    </row>
    <row r="51" spans="1:14" ht="18" customHeight="1" x14ac:dyDescent="0.25">
      <c r="A51" s="241" t="str">
        <f t="shared" si="4"/>
        <v/>
      </c>
      <c r="B51" s="242"/>
      <c r="C51" s="243" t="str">
        <f>IF(B51="","",IFERROR(VLOOKUP(B51,DB_Customers!$A:$D,4,0),"❌ Account Not Found"))</f>
        <v/>
      </c>
      <c r="D51" s="244" t="str">
        <f t="shared" ca="1" si="5"/>
        <v/>
      </c>
      <c r="E51" s="245"/>
      <c r="F51" s="243"/>
      <c r="G51" s="246"/>
      <c r="H51" s="247">
        <v>2.5</v>
      </c>
      <c r="I51" s="248" t="str">
        <f t="shared" si="6"/>
        <v/>
      </c>
      <c r="J51" s="249" t="str">
        <f t="shared" si="7"/>
        <v/>
      </c>
      <c r="K51" s="250" t="str">
        <f>IF(B51="","Pending",IF(M51="","⚠️ Enter Code",IF(IFERROR(VLOOKUP(L51,DB_Agents!$B:$I,8,0),"")=M51,"Pending","🔒 BLOCKED — Wrong Code")))</f>
        <v>Pending</v>
      </c>
      <c r="L51" s="251" t="s">
        <v>133</v>
      </c>
      <c r="M51" s="252"/>
      <c r="N51" s="242"/>
    </row>
    <row r="52" spans="1:14" ht="18" customHeight="1" x14ac:dyDescent="0.25">
      <c r="A52" s="229" t="str">
        <f t="shared" si="4"/>
        <v/>
      </c>
      <c r="B52" s="230"/>
      <c r="C52" s="231" t="str">
        <f>IF(B52="","",IFERROR(VLOOKUP(B52,DB_Customers!$A:$D,4,0),"❌ Account Not Found"))</f>
        <v/>
      </c>
      <c r="D52" s="232" t="str">
        <f t="shared" ca="1" si="5"/>
        <v/>
      </c>
      <c r="E52" s="233"/>
      <c r="F52" s="231"/>
      <c r="G52" s="234"/>
      <c r="H52" s="235">
        <v>2.5</v>
      </c>
      <c r="I52" s="236" t="str">
        <f t="shared" si="6"/>
        <v/>
      </c>
      <c r="J52" s="237" t="str">
        <f t="shared" si="7"/>
        <v/>
      </c>
      <c r="K52" s="238" t="str">
        <f>IF(B52="","Pending",IF(M52="","⚠️ Enter Code",IF(IFERROR(VLOOKUP(L52,DB_Agents!$B:$I,8,0),"")=M52,"Pending","🔒 BLOCKED — Wrong Code")))</f>
        <v>Pending</v>
      </c>
      <c r="L52" s="239" t="s">
        <v>133</v>
      </c>
      <c r="M52" s="240"/>
      <c r="N52" s="230"/>
    </row>
    <row r="53" spans="1:14" ht="18" customHeight="1" x14ac:dyDescent="0.25">
      <c r="A53" s="241" t="str">
        <f t="shared" si="4"/>
        <v/>
      </c>
      <c r="B53" s="242"/>
      <c r="C53" s="243" t="str">
        <f>IF(B53="","",IFERROR(VLOOKUP(B53,DB_Customers!$A:$D,4,0),"❌ Account Not Found"))</f>
        <v/>
      </c>
      <c r="D53" s="244" t="str">
        <f t="shared" ca="1" si="5"/>
        <v/>
      </c>
      <c r="E53" s="245"/>
      <c r="F53" s="243"/>
      <c r="G53" s="246"/>
      <c r="H53" s="247">
        <v>2.5</v>
      </c>
      <c r="I53" s="248" t="str">
        <f t="shared" si="6"/>
        <v/>
      </c>
      <c r="J53" s="249" t="str">
        <f t="shared" si="7"/>
        <v/>
      </c>
      <c r="K53" s="250" t="str">
        <f>IF(B53="","Pending",IF(M53="","⚠️ Enter Code",IF(IFERROR(VLOOKUP(L53,DB_Agents!$B:$I,8,0),"")=M53,"Pending","🔒 BLOCKED — Wrong Code")))</f>
        <v>Pending</v>
      </c>
      <c r="L53" s="251" t="s">
        <v>133</v>
      </c>
      <c r="M53" s="252"/>
      <c r="N53" s="242"/>
    </row>
    <row r="54" spans="1:14" ht="18" customHeight="1" x14ac:dyDescent="0.25">
      <c r="A54" s="229" t="str">
        <f t="shared" si="4"/>
        <v/>
      </c>
      <c r="B54" s="230"/>
      <c r="C54" s="231" t="str">
        <f>IF(B54="","",IFERROR(VLOOKUP(B54,DB_Customers!$A:$D,4,0),"❌ Account Not Found"))</f>
        <v/>
      </c>
      <c r="D54" s="232" t="str">
        <f t="shared" ca="1" si="5"/>
        <v/>
      </c>
      <c r="E54" s="233"/>
      <c r="F54" s="231"/>
      <c r="G54" s="234"/>
      <c r="H54" s="235">
        <v>2.5</v>
      </c>
      <c r="I54" s="236" t="str">
        <f t="shared" si="6"/>
        <v/>
      </c>
      <c r="J54" s="237" t="str">
        <f t="shared" si="7"/>
        <v/>
      </c>
      <c r="K54" s="238" t="str">
        <f>IF(B54="","Pending",IF(M54="","⚠️ Enter Code",IF(IFERROR(VLOOKUP(L54,DB_Agents!$B:$I,8,0),"")=M54,"Pending","🔒 BLOCKED — Wrong Code")))</f>
        <v>Pending</v>
      </c>
      <c r="L54" s="239" t="s">
        <v>133</v>
      </c>
      <c r="M54" s="240"/>
      <c r="N54" s="230"/>
    </row>
    <row r="55" spans="1:14" ht="18" customHeight="1" x14ac:dyDescent="0.25">
      <c r="A55" s="241" t="str">
        <f t="shared" si="4"/>
        <v/>
      </c>
      <c r="B55" s="242"/>
      <c r="C55" s="243" t="str">
        <f>IF(B55="","",IFERROR(VLOOKUP(B55,DB_Customers!$A:$D,4,0),"❌ Account Not Found"))</f>
        <v/>
      </c>
      <c r="D55" s="244" t="str">
        <f t="shared" ca="1" si="5"/>
        <v/>
      </c>
      <c r="E55" s="245"/>
      <c r="F55" s="243"/>
      <c r="G55" s="246"/>
      <c r="H55" s="247">
        <v>2.5</v>
      </c>
      <c r="I55" s="248" t="str">
        <f t="shared" si="6"/>
        <v/>
      </c>
      <c r="J55" s="249" t="str">
        <f t="shared" si="7"/>
        <v/>
      </c>
      <c r="K55" s="250" t="str">
        <f>IF(B55="","Pending",IF(M55="","⚠️ Enter Code",IF(IFERROR(VLOOKUP(L55,DB_Agents!$B:$I,8,0),"")=M55,"Pending","🔒 BLOCKED — Wrong Code")))</f>
        <v>Pending</v>
      </c>
      <c r="L55" s="251" t="s">
        <v>133</v>
      </c>
      <c r="M55" s="252"/>
      <c r="N55" s="242"/>
    </row>
    <row r="56" spans="1:14" ht="18" customHeight="1" x14ac:dyDescent="0.25">
      <c r="A56" s="229" t="str">
        <f t="shared" si="4"/>
        <v/>
      </c>
      <c r="B56" s="230"/>
      <c r="C56" s="231" t="str">
        <f>IF(B56="","",IFERROR(VLOOKUP(B56,DB_Customers!$A:$D,4,0),"❌ Account Not Found"))</f>
        <v/>
      </c>
      <c r="D56" s="232" t="str">
        <f t="shared" ca="1" si="5"/>
        <v/>
      </c>
      <c r="E56" s="233"/>
      <c r="F56" s="231"/>
      <c r="G56" s="234"/>
      <c r="H56" s="235">
        <v>2.5</v>
      </c>
      <c r="I56" s="236" t="str">
        <f t="shared" si="6"/>
        <v/>
      </c>
      <c r="J56" s="237" t="str">
        <f t="shared" si="7"/>
        <v/>
      </c>
      <c r="K56" s="238" t="str">
        <f>IF(B56="","Pending",IF(M56="","⚠️ Enter Code",IF(IFERROR(VLOOKUP(L56,DB_Agents!$B:$I,8,0),"")=M56,"Pending","🔒 BLOCKED — Wrong Code")))</f>
        <v>Pending</v>
      </c>
      <c r="L56" s="239" t="s">
        <v>133</v>
      </c>
      <c r="M56" s="240"/>
      <c r="N56" s="230"/>
    </row>
    <row r="57" spans="1:14" ht="18" customHeight="1" x14ac:dyDescent="0.25">
      <c r="A57" s="241" t="str">
        <f t="shared" si="4"/>
        <v/>
      </c>
      <c r="B57" s="242"/>
      <c r="C57" s="243" t="str">
        <f>IF(B57="","",IFERROR(VLOOKUP(B57,DB_Customers!$A:$D,4,0),"❌ Account Not Found"))</f>
        <v/>
      </c>
      <c r="D57" s="244" t="str">
        <f t="shared" ca="1" si="5"/>
        <v/>
      </c>
      <c r="E57" s="245"/>
      <c r="F57" s="243"/>
      <c r="G57" s="246"/>
      <c r="H57" s="247">
        <v>2.5</v>
      </c>
      <c r="I57" s="248" t="str">
        <f t="shared" si="6"/>
        <v/>
      </c>
      <c r="J57" s="249" t="str">
        <f t="shared" si="7"/>
        <v/>
      </c>
      <c r="K57" s="250" t="str">
        <f>IF(B57="","Pending",IF(M57="","⚠️ Enter Code",IF(IFERROR(VLOOKUP(L57,DB_Agents!$B:$I,8,0),"")=M57,"Pending","🔒 BLOCKED — Wrong Code")))</f>
        <v>Pending</v>
      </c>
      <c r="L57" s="251" t="s">
        <v>133</v>
      </c>
      <c r="M57" s="252"/>
      <c r="N57" s="242"/>
    </row>
    <row r="58" spans="1:14" ht="18" customHeight="1" x14ac:dyDescent="0.25">
      <c r="A58" s="229" t="str">
        <f t="shared" si="4"/>
        <v/>
      </c>
      <c r="B58" s="230"/>
      <c r="C58" s="231" t="str">
        <f>IF(B58="","",IFERROR(VLOOKUP(B58,DB_Customers!$A:$D,4,0),"❌ Account Not Found"))</f>
        <v/>
      </c>
      <c r="D58" s="232" t="str">
        <f t="shared" ca="1" si="5"/>
        <v/>
      </c>
      <c r="E58" s="233"/>
      <c r="F58" s="231"/>
      <c r="G58" s="234"/>
      <c r="H58" s="235">
        <v>2.5</v>
      </c>
      <c r="I58" s="236" t="str">
        <f t="shared" si="6"/>
        <v/>
      </c>
      <c r="J58" s="237" t="str">
        <f t="shared" si="7"/>
        <v/>
      </c>
      <c r="K58" s="238" t="str">
        <f>IF(B58="","Pending",IF(M58="","⚠️ Enter Code",IF(IFERROR(VLOOKUP(L58,DB_Agents!$B:$I,8,0),"")=M58,"Pending","🔒 BLOCKED — Wrong Code")))</f>
        <v>Pending</v>
      </c>
      <c r="L58" s="239" t="s">
        <v>133</v>
      </c>
      <c r="M58" s="240"/>
      <c r="N58" s="230"/>
    </row>
    <row r="59" spans="1:14" ht="18" customHeight="1" x14ac:dyDescent="0.25">
      <c r="A59" s="241" t="str">
        <f t="shared" si="4"/>
        <v/>
      </c>
      <c r="B59" s="242"/>
      <c r="C59" s="243" t="str">
        <f>IF(B59="","",IFERROR(VLOOKUP(B59,DB_Customers!$A:$D,4,0),"❌ Account Not Found"))</f>
        <v/>
      </c>
      <c r="D59" s="244" t="str">
        <f t="shared" ca="1" si="5"/>
        <v/>
      </c>
      <c r="E59" s="245"/>
      <c r="F59" s="243"/>
      <c r="G59" s="246"/>
      <c r="H59" s="247">
        <v>2.5</v>
      </c>
      <c r="I59" s="248" t="str">
        <f t="shared" si="6"/>
        <v/>
      </c>
      <c r="J59" s="249" t="str">
        <f t="shared" si="7"/>
        <v/>
      </c>
      <c r="K59" s="250" t="str">
        <f>IF(B59="","Pending",IF(M59="","⚠️ Enter Code",IF(IFERROR(VLOOKUP(L59,DB_Agents!$B:$I,8,0),"")=M59,"Pending","🔒 BLOCKED — Wrong Code")))</f>
        <v>Pending</v>
      </c>
      <c r="L59" s="251" t="s">
        <v>133</v>
      </c>
      <c r="M59" s="252"/>
      <c r="N59" s="242"/>
    </row>
    <row r="60" spans="1:14" ht="18" customHeight="1" x14ac:dyDescent="0.25">
      <c r="A60" s="229" t="str">
        <f t="shared" si="4"/>
        <v/>
      </c>
      <c r="B60" s="230"/>
      <c r="C60" s="231" t="str">
        <f>IF(B60="","",IFERROR(VLOOKUP(B60,DB_Customers!$A:$D,4,0),"❌ Account Not Found"))</f>
        <v/>
      </c>
      <c r="D60" s="232" t="str">
        <f t="shared" ca="1" si="5"/>
        <v/>
      </c>
      <c r="E60" s="233"/>
      <c r="F60" s="231"/>
      <c r="G60" s="234"/>
      <c r="H60" s="235">
        <v>2.5</v>
      </c>
      <c r="I60" s="236" t="str">
        <f t="shared" si="6"/>
        <v/>
      </c>
      <c r="J60" s="237" t="str">
        <f t="shared" si="7"/>
        <v/>
      </c>
      <c r="K60" s="238" t="str">
        <f>IF(B60="","Pending",IF(M60="","⚠️ Enter Code",IF(IFERROR(VLOOKUP(L60,DB_Agents!$B:$I,8,0),"")=M60,"Pending","🔒 BLOCKED — Wrong Code")))</f>
        <v>Pending</v>
      </c>
      <c r="L60" s="239" t="s">
        <v>133</v>
      </c>
      <c r="M60" s="240"/>
      <c r="N60" s="230"/>
    </row>
    <row r="61" spans="1:14" ht="18" customHeight="1" x14ac:dyDescent="0.25">
      <c r="A61" s="241" t="str">
        <f t="shared" si="4"/>
        <v/>
      </c>
      <c r="B61" s="242"/>
      <c r="C61" s="243" t="str">
        <f>IF(B61="","",IFERROR(VLOOKUP(B61,DB_Customers!$A:$D,4,0),"❌ Account Not Found"))</f>
        <v/>
      </c>
      <c r="D61" s="244" t="str">
        <f t="shared" ca="1" si="5"/>
        <v/>
      </c>
      <c r="E61" s="245"/>
      <c r="F61" s="243"/>
      <c r="G61" s="246"/>
      <c r="H61" s="247">
        <v>2.5</v>
      </c>
      <c r="I61" s="248" t="str">
        <f t="shared" si="6"/>
        <v/>
      </c>
      <c r="J61" s="249" t="str">
        <f t="shared" si="7"/>
        <v/>
      </c>
      <c r="K61" s="250" t="str">
        <f>IF(B61="","Pending",IF(M61="","⚠️ Enter Code",IF(IFERROR(VLOOKUP(L61,DB_Agents!$B:$I,8,0),"")=M61,"Pending","🔒 BLOCKED — Wrong Code")))</f>
        <v>Pending</v>
      </c>
      <c r="L61" s="251" t="s">
        <v>133</v>
      </c>
      <c r="M61" s="252"/>
      <c r="N61" s="242"/>
    </row>
    <row r="62" spans="1:14" ht="18" customHeight="1" x14ac:dyDescent="0.25">
      <c r="A62" s="229" t="str">
        <f t="shared" si="4"/>
        <v/>
      </c>
      <c r="B62" s="230"/>
      <c r="C62" s="231" t="str">
        <f>IF(B62="","",IFERROR(VLOOKUP(B62,DB_Customers!$A:$D,4,0),"❌ Account Not Found"))</f>
        <v/>
      </c>
      <c r="D62" s="232" t="str">
        <f t="shared" ca="1" si="5"/>
        <v/>
      </c>
      <c r="E62" s="233"/>
      <c r="F62" s="231"/>
      <c r="G62" s="234"/>
      <c r="H62" s="235">
        <v>2.5</v>
      </c>
      <c r="I62" s="236" t="str">
        <f t="shared" si="6"/>
        <v/>
      </c>
      <c r="J62" s="237" t="str">
        <f t="shared" si="7"/>
        <v/>
      </c>
      <c r="K62" s="238" t="str">
        <f>IF(B62="","Pending",IF(M62="","⚠️ Enter Code",IF(IFERROR(VLOOKUP(L62,DB_Agents!$B:$I,8,0),"")=M62,"Pending","🔒 BLOCKED — Wrong Code")))</f>
        <v>Pending</v>
      </c>
      <c r="L62" s="239" t="s">
        <v>133</v>
      </c>
      <c r="M62" s="240"/>
      <c r="N62" s="230"/>
    </row>
    <row r="63" spans="1:14" ht="18" customHeight="1" x14ac:dyDescent="0.25">
      <c r="A63" s="241" t="str">
        <f t="shared" si="4"/>
        <v/>
      </c>
      <c r="B63" s="242"/>
      <c r="C63" s="243" t="str">
        <f>IF(B63="","",IFERROR(VLOOKUP(B63,DB_Customers!$A:$D,4,0),"❌ Account Not Found"))</f>
        <v/>
      </c>
      <c r="D63" s="244" t="str">
        <f t="shared" ca="1" si="5"/>
        <v/>
      </c>
      <c r="E63" s="245"/>
      <c r="F63" s="243"/>
      <c r="G63" s="246"/>
      <c r="H63" s="247">
        <v>2.5</v>
      </c>
      <c r="I63" s="248" t="str">
        <f t="shared" si="6"/>
        <v/>
      </c>
      <c r="J63" s="249" t="str">
        <f t="shared" si="7"/>
        <v/>
      </c>
      <c r="K63" s="250" t="str">
        <f>IF(B63="","Pending",IF(M63="","⚠️ Enter Code",IF(IFERROR(VLOOKUP(L63,DB_Agents!$B:$I,8,0),"")=M63,"Pending","🔒 BLOCKED — Wrong Code")))</f>
        <v>Pending</v>
      </c>
      <c r="L63" s="251" t="s">
        <v>133</v>
      </c>
      <c r="M63" s="252"/>
      <c r="N63" s="242"/>
    </row>
    <row r="64" spans="1:14" ht="18" customHeight="1" x14ac:dyDescent="0.25">
      <c r="A64" s="229" t="str">
        <f t="shared" si="4"/>
        <v/>
      </c>
      <c r="B64" s="230"/>
      <c r="C64" s="231" t="str">
        <f>IF(B64="","",IFERROR(VLOOKUP(B64,DB_Customers!$A:$D,4,0),"❌ Account Not Found"))</f>
        <v/>
      </c>
      <c r="D64" s="232" t="str">
        <f t="shared" ca="1" si="5"/>
        <v/>
      </c>
      <c r="E64" s="233"/>
      <c r="F64" s="231"/>
      <c r="G64" s="234"/>
      <c r="H64" s="235">
        <v>2.5</v>
      </c>
      <c r="I64" s="236" t="str">
        <f t="shared" si="6"/>
        <v/>
      </c>
      <c r="J64" s="237" t="str">
        <f t="shared" si="7"/>
        <v/>
      </c>
      <c r="K64" s="238" t="str">
        <f>IF(B64="","Pending",IF(M64="","⚠️ Enter Code",IF(IFERROR(VLOOKUP(L64,DB_Agents!$B:$I,8,0),"")=M64,"Pending","🔒 BLOCKED — Wrong Code")))</f>
        <v>Pending</v>
      </c>
      <c r="L64" s="239" t="s">
        <v>133</v>
      </c>
      <c r="M64" s="240"/>
      <c r="N64" s="230"/>
    </row>
    <row r="65" spans="1:14" ht="18" customHeight="1" x14ac:dyDescent="0.25">
      <c r="A65" s="241" t="str">
        <f t="shared" si="4"/>
        <v/>
      </c>
      <c r="B65" s="242"/>
      <c r="C65" s="243" t="str">
        <f>IF(B65="","",IFERROR(VLOOKUP(B65,DB_Customers!$A:$D,4,0),"❌ Account Not Found"))</f>
        <v/>
      </c>
      <c r="D65" s="244" t="str">
        <f t="shared" ca="1" si="5"/>
        <v/>
      </c>
      <c r="E65" s="245"/>
      <c r="F65" s="243"/>
      <c r="G65" s="246"/>
      <c r="H65" s="247">
        <v>2.5</v>
      </c>
      <c r="I65" s="248" t="str">
        <f t="shared" si="6"/>
        <v/>
      </c>
      <c r="J65" s="249" t="str">
        <f t="shared" si="7"/>
        <v/>
      </c>
      <c r="K65" s="250" t="str">
        <f>IF(B65="","Pending",IF(M65="","⚠️ Enter Code",IF(IFERROR(VLOOKUP(L65,DB_Agents!$B:$I,8,0),"")=M65,"Pending","🔒 BLOCKED — Wrong Code")))</f>
        <v>Pending</v>
      </c>
      <c r="L65" s="251" t="s">
        <v>133</v>
      </c>
      <c r="M65" s="252"/>
      <c r="N65" s="242"/>
    </row>
    <row r="66" spans="1:14" ht="18" customHeight="1" x14ac:dyDescent="0.25">
      <c r="A66" s="229" t="str">
        <f t="shared" si="4"/>
        <v/>
      </c>
      <c r="B66" s="230"/>
      <c r="C66" s="231" t="str">
        <f>IF(B66="","",IFERROR(VLOOKUP(B66,DB_Customers!$A:$D,4,0),"❌ Account Not Found"))</f>
        <v/>
      </c>
      <c r="D66" s="232" t="str">
        <f t="shared" ca="1" si="5"/>
        <v/>
      </c>
      <c r="E66" s="233"/>
      <c r="F66" s="231"/>
      <c r="G66" s="234"/>
      <c r="H66" s="235">
        <v>2.5</v>
      </c>
      <c r="I66" s="236" t="str">
        <f t="shared" si="6"/>
        <v/>
      </c>
      <c r="J66" s="237" t="str">
        <f t="shared" si="7"/>
        <v/>
      </c>
      <c r="K66" s="238" t="str">
        <f>IF(B66="","Pending",IF(M66="","⚠️ Enter Code",IF(IFERROR(VLOOKUP(L66,DB_Agents!$B:$I,8,0),"")=M66,"Pending","🔒 BLOCKED — Wrong Code")))</f>
        <v>Pending</v>
      </c>
      <c r="L66" s="239" t="s">
        <v>133</v>
      </c>
      <c r="M66" s="240"/>
      <c r="N66" s="230"/>
    </row>
    <row r="67" spans="1:14" ht="18" customHeight="1" x14ac:dyDescent="0.25">
      <c r="A67" s="241" t="str">
        <f t="shared" si="4"/>
        <v/>
      </c>
      <c r="B67" s="242"/>
      <c r="C67" s="243" t="str">
        <f>IF(B67="","",IFERROR(VLOOKUP(B67,DB_Customers!$A:$D,4,0),"❌ Account Not Found"))</f>
        <v/>
      </c>
      <c r="D67" s="244" t="str">
        <f t="shared" ca="1" si="5"/>
        <v/>
      </c>
      <c r="E67" s="245"/>
      <c r="F67" s="243"/>
      <c r="G67" s="246"/>
      <c r="H67" s="247">
        <v>2.5</v>
      </c>
      <c r="I67" s="248" t="str">
        <f t="shared" si="6"/>
        <v/>
      </c>
      <c r="J67" s="249" t="str">
        <f t="shared" si="7"/>
        <v/>
      </c>
      <c r="K67" s="250" t="str">
        <f>IF(B67="","Pending",IF(M67="","⚠️ Enter Code",IF(IFERROR(VLOOKUP(L67,DB_Agents!$B:$I,8,0),"")=M67,"Pending","🔒 BLOCKED — Wrong Code")))</f>
        <v>Pending</v>
      </c>
      <c r="L67" s="251" t="s">
        <v>133</v>
      </c>
      <c r="M67" s="252"/>
      <c r="N67" s="242"/>
    </row>
    <row r="68" spans="1:14" ht="18" customHeight="1" x14ac:dyDescent="0.25">
      <c r="A68" s="229" t="str">
        <f t="shared" si="4"/>
        <v/>
      </c>
      <c r="B68" s="230"/>
      <c r="C68" s="231" t="str">
        <f>IF(B68="","",IFERROR(VLOOKUP(B68,DB_Customers!$A:$D,4,0),"❌ Account Not Found"))</f>
        <v/>
      </c>
      <c r="D68" s="232" t="str">
        <f t="shared" ca="1" si="5"/>
        <v/>
      </c>
      <c r="E68" s="233"/>
      <c r="F68" s="231"/>
      <c r="G68" s="234"/>
      <c r="H68" s="235">
        <v>2.5</v>
      </c>
      <c r="I68" s="236" t="str">
        <f t="shared" si="6"/>
        <v/>
      </c>
      <c r="J68" s="237" t="str">
        <f t="shared" si="7"/>
        <v/>
      </c>
      <c r="K68" s="238" t="str">
        <f>IF(B68="","Pending",IF(M68="","⚠️ Enter Code",IF(IFERROR(VLOOKUP(L68,DB_Agents!$B:$I,8,0),"")=M68,"Pending","🔒 BLOCKED — Wrong Code")))</f>
        <v>Pending</v>
      </c>
      <c r="L68" s="239" t="s">
        <v>133</v>
      </c>
      <c r="M68" s="240"/>
      <c r="N68" s="230"/>
    </row>
    <row r="69" spans="1:14" ht="18" customHeight="1" x14ac:dyDescent="0.25">
      <c r="A69" s="241" t="str">
        <f t="shared" si="4"/>
        <v/>
      </c>
      <c r="B69" s="242"/>
      <c r="C69" s="243" t="str">
        <f>IF(B69="","",IFERROR(VLOOKUP(B69,DB_Customers!$A:$D,4,0),"❌ Account Not Found"))</f>
        <v/>
      </c>
      <c r="D69" s="244" t="str">
        <f t="shared" ca="1" si="5"/>
        <v/>
      </c>
      <c r="E69" s="245"/>
      <c r="F69" s="243"/>
      <c r="G69" s="246"/>
      <c r="H69" s="247">
        <v>2.5</v>
      </c>
      <c r="I69" s="248" t="str">
        <f t="shared" si="6"/>
        <v/>
      </c>
      <c r="J69" s="249" t="str">
        <f t="shared" si="7"/>
        <v/>
      </c>
      <c r="K69" s="250" t="str">
        <f>IF(B69="","Pending",IF(M69="","⚠️ Enter Code",IF(IFERROR(VLOOKUP(L69,DB_Agents!$B:$I,8,0),"")=M69,"Pending","🔒 BLOCKED — Wrong Code")))</f>
        <v>Pending</v>
      </c>
      <c r="L69" s="251" t="s">
        <v>133</v>
      </c>
      <c r="M69" s="252"/>
      <c r="N69" s="242"/>
    </row>
    <row r="70" spans="1:14" ht="18" customHeight="1" x14ac:dyDescent="0.25">
      <c r="A70" s="229" t="str">
        <f t="shared" si="4"/>
        <v/>
      </c>
      <c r="B70" s="230"/>
      <c r="C70" s="231" t="str">
        <f>IF(B70="","",IFERROR(VLOOKUP(B70,DB_Customers!$A:$D,4,0),"❌ Account Not Found"))</f>
        <v/>
      </c>
      <c r="D70" s="232" t="str">
        <f t="shared" ca="1" si="5"/>
        <v/>
      </c>
      <c r="E70" s="233"/>
      <c r="F70" s="231"/>
      <c r="G70" s="234"/>
      <c r="H70" s="235">
        <v>2.5</v>
      </c>
      <c r="I70" s="236" t="str">
        <f t="shared" si="6"/>
        <v/>
      </c>
      <c r="J70" s="237" t="str">
        <f t="shared" si="7"/>
        <v/>
      </c>
      <c r="K70" s="238" t="str">
        <f>IF(B70="","Pending",IF(M70="","⚠️ Enter Code",IF(IFERROR(VLOOKUP(L70,DB_Agents!$B:$I,8,0),"")=M70,"Pending","🔒 BLOCKED — Wrong Code")))</f>
        <v>Pending</v>
      </c>
      <c r="L70" s="239" t="s">
        <v>133</v>
      </c>
      <c r="M70" s="240"/>
      <c r="N70" s="230"/>
    </row>
    <row r="71" spans="1:14" ht="18" customHeight="1" x14ac:dyDescent="0.25">
      <c r="A71" s="241" t="str">
        <f t="shared" si="4"/>
        <v/>
      </c>
      <c r="B71" s="242"/>
      <c r="C71" s="243" t="str">
        <f>IF(B71="","",IFERROR(VLOOKUP(B71,DB_Customers!$A:$D,4,0),"❌ Account Not Found"))</f>
        <v/>
      </c>
      <c r="D71" s="244" t="str">
        <f t="shared" ca="1" si="5"/>
        <v/>
      </c>
      <c r="E71" s="245"/>
      <c r="F71" s="243"/>
      <c r="G71" s="246"/>
      <c r="H71" s="247">
        <v>2.5</v>
      </c>
      <c r="I71" s="248" t="str">
        <f t="shared" si="6"/>
        <v/>
      </c>
      <c r="J71" s="249" t="str">
        <f t="shared" si="7"/>
        <v/>
      </c>
      <c r="K71" s="250" t="str">
        <f>IF(B71="","Pending",IF(M71="","⚠️ Enter Code",IF(IFERROR(VLOOKUP(L71,DB_Agents!$B:$I,8,0),"")=M71,"Pending","🔒 BLOCKED — Wrong Code")))</f>
        <v>Pending</v>
      </c>
      <c r="L71" s="251" t="s">
        <v>133</v>
      </c>
      <c r="M71" s="252"/>
      <c r="N71" s="242"/>
    </row>
    <row r="72" spans="1:14" ht="18" customHeight="1" x14ac:dyDescent="0.25">
      <c r="A72" s="229" t="str">
        <f t="shared" si="4"/>
        <v/>
      </c>
      <c r="B72" s="230"/>
      <c r="C72" s="231" t="str">
        <f>IF(B72="","",IFERROR(VLOOKUP(B72,DB_Customers!$A:$D,4,0),"❌ Account Not Found"))</f>
        <v/>
      </c>
      <c r="D72" s="232" t="str">
        <f t="shared" ca="1" si="5"/>
        <v/>
      </c>
      <c r="E72" s="233"/>
      <c r="F72" s="231"/>
      <c r="G72" s="234"/>
      <c r="H72" s="235">
        <v>2.5</v>
      </c>
      <c r="I72" s="236" t="str">
        <f t="shared" si="6"/>
        <v/>
      </c>
      <c r="J72" s="237" t="str">
        <f t="shared" si="7"/>
        <v/>
      </c>
      <c r="K72" s="238" t="str">
        <f>IF(B72="","Pending",IF(M72="","⚠️ Enter Code",IF(IFERROR(VLOOKUP(L72,DB_Agents!$B:$I,8,0),"")=M72,"Pending","🔒 BLOCKED — Wrong Code")))</f>
        <v>Pending</v>
      </c>
      <c r="L72" s="239" t="s">
        <v>133</v>
      </c>
      <c r="M72" s="240"/>
      <c r="N72" s="230"/>
    </row>
    <row r="73" spans="1:14" ht="18" customHeight="1" x14ac:dyDescent="0.25">
      <c r="A73" s="241" t="str">
        <f t="shared" si="4"/>
        <v/>
      </c>
      <c r="B73" s="242"/>
      <c r="C73" s="243" t="str">
        <f>IF(B73="","",IFERROR(VLOOKUP(B73,DB_Customers!$A:$D,4,0),"❌ Account Not Found"))</f>
        <v/>
      </c>
      <c r="D73" s="244" t="str">
        <f t="shared" ca="1" si="5"/>
        <v/>
      </c>
      <c r="E73" s="245"/>
      <c r="F73" s="243"/>
      <c r="G73" s="246"/>
      <c r="H73" s="247">
        <v>2.5</v>
      </c>
      <c r="I73" s="248" t="str">
        <f t="shared" si="6"/>
        <v/>
      </c>
      <c r="J73" s="249" t="str">
        <f t="shared" si="7"/>
        <v/>
      </c>
      <c r="K73" s="250" t="str">
        <f>IF(B73="","Pending",IF(M73="","⚠️ Enter Code",IF(IFERROR(VLOOKUP(L73,DB_Agents!$B:$I,8,0),"")=M73,"Pending","🔒 BLOCKED — Wrong Code")))</f>
        <v>Pending</v>
      </c>
      <c r="L73" s="251" t="s">
        <v>133</v>
      </c>
      <c r="M73" s="252"/>
      <c r="N73" s="242"/>
    </row>
    <row r="74" spans="1:14" ht="18" customHeight="1" x14ac:dyDescent="0.25">
      <c r="A74" s="229" t="str">
        <f t="shared" si="4"/>
        <v/>
      </c>
      <c r="B74" s="230"/>
      <c r="C74" s="231" t="str">
        <f>IF(B74="","",IFERROR(VLOOKUP(B74,DB_Customers!$A:$D,4,0),"❌ Account Not Found"))</f>
        <v/>
      </c>
      <c r="D74" s="232" t="str">
        <f t="shared" ca="1" si="5"/>
        <v/>
      </c>
      <c r="E74" s="233"/>
      <c r="F74" s="231"/>
      <c r="G74" s="234"/>
      <c r="H74" s="235">
        <v>2.5</v>
      </c>
      <c r="I74" s="236" t="str">
        <f t="shared" si="6"/>
        <v/>
      </c>
      <c r="J74" s="237" t="str">
        <f t="shared" si="7"/>
        <v/>
      </c>
      <c r="K74" s="238" t="str">
        <f>IF(B74="","Pending",IF(M74="","⚠️ Enter Code",IF(IFERROR(VLOOKUP(L74,DB_Agents!$B:$I,8,0),"")=M74,"Pending","🔒 BLOCKED — Wrong Code")))</f>
        <v>Pending</v>
      </c>
      <c r="L74" s="239" t="s">
        <v>133</v>
      </c>
      <c r="M74" s="240"/>
      <c r="N74" s="230"/>
    </row>
    <row r="75" spans="1:14" ht="18" customHeight="1" x14ac:dyDescent="0.25">
      <c r="A75" s="241" t="str">
        <f t="shared" si="4"/>
        <v/>
      </c>
      <c r="B75" s="242"/>
      <c r="C75" s="243" t="str">
        <f>IF(B75="","",IFERROR(VLOOKUP(B75,DB_Customers!$A:$D,4,0),"❌ Account Not Found"))</f>
        <v/>
      </c>
      <c r="D75" s="244" t="str">
        <f t="shared" ca="1" si="5"/>
        <v/>
      </c>
      <c r="E75" s="245"/>
      <c r="F75" s="243"/>
      <c r="G75" s="246"/>
      <c r="H75" s="247">
        <v>2.5</v>
      </c>
      <c r="I75" s="248" t="str">
        <f t="shared" si="6"/>
        <v/>
      </c>
      <c r="J75" s="249" t="str">
        <f t="shared" si="7"/>
        <v/>
      </c>
      <c r="K75" s="250" t="str">
        <f>IF(B75="","Pending",IF(M75="","⚠️ Enter Code",IF(IFERROR(VLOOKUP(L75,DB_Agents!$B:$I,8,0),"")=M75,"Pending","🔒 BLOCKED — Wrong Code")))</f>
        <v>Pending</v>
      </c>
      <c r="L75" s="251" t="s">
        <v>133</v>
      </c>
      <c r="M75" s="252"/>
      <c r="N75" s="242"/>
    </row>
    <row r="76" spans="1:14" ht="18" customHeight="1" x14ac:dyDescent="0.25">
      <c r="A76" s="229" t="str">
        <f t="shared" si="4"/>
        <v/>
      </c>
      <c r="B76" s="230"/>
      <c r="C76" s="231" t="str">
        <f>IF(B76="","",IFERROR(VLOOKUP(B76,DB_Customers!$A:$D,4,0),"❌ Account Not Found"))</f>
        <v/>
      </c>
      <c r="D76" s="232" t="str">
        <f t="shared" ca="1" si="5"/>
        <v/>
      </c>
      <c r="E76" s="233"/>
      <c r="F76" s="231"/>
      <c r="G76" s="234"/>
      <c r="H76" s="235">
        <v>2.5</v>
      </c>
      <c r="I76" s="236" t="str">
        <f t="shared" si="6"/>
        <v/>
      </c>
      <c r="J76" s="237" t="str">
        <f t="shared" si="7"/>
        <v/>
      </c>
      <c r="K76" s="238" t="str">
        <f>IF(B76="","Pending",IF(M76="","⚠️ Enter Code",IF(IFERROR(VLOOKUP(L76,DB_Agents!$B:$I,8,0),"")=M76,"Pending","🔒 BLOCKED — Wrong Code")))</f>
        <v>Pending</v>
      </c>
      <c r="L76" s="239" t="s">
        <v>133</v>
      </c>
      <c r="M76" s="240"/>
      <c r="N76" s="230"/>
    </row>
    <row r="77" spans="1:14" ht="18" customHeight="1" x14ac:dyDescent="0.25">
      <c r="A77" s="241" t="str">
        <f t="shared" si="4"/>
        <v/>
      </c>
      <c r="B77" s="242"/>
      <c r="C77" s="243" t="str">
        <f>IF(B77="","",IFERROR(VLOOKUP(B77,DB_Customers!$A:$D,4,0),"❌ Account Not Found"))</f>
        <v/>
      </c>
      <c r="D77" s="244" t="str">
        <f t="shared" ca="1" si="5"/>
        <v/>
      </c>
      <c r="E77" s="245"/>
      <c r="F77" s="243"/>
      <c r="G77" s="246"/>
      <c r="H77" s="247">
        <v>2.5</v>
      </c>
      <c r="I77" s="248" t="str">
        <f t="shared" si="6"/>
        <v/>
      </c>
      <c r="J77" s="249" t="str">
        <f t="shared" si="7"/>
        <v/>
      </c>
      <c r="K77" s="250" t="str">
        <f>IF(B77="","Pending",IF(M77="","⚠️ Enter Code",IF(IFERROR(VLOOKUP(L77,DB_Agents!$B:$I,8,0),"")=M77,"Pending","🔒 BLOCKED — Wrong Code")))</f>
        <v>Pending</v>
      </c>
      <c r="L77" s="251" t="s">
        <v>133</v>
      </c>
      <c r="M77" s="252"/>
      <c r="N77" s="242"/>
    </row>
    <row r="78" spans="1:14" ht="18" customHeight="1" x14ac:dyDescent="0.25">
      <c r="A78" s="229" t="str">
        <f t="shared" ref="A78:A109" si="8">IF(B78="","",IF(C78="❌ Account Not Found","INVALID","LN"&amp;TEXT(D78,"YYYYMMDD")&amp;TEXT(ROW()-13,"0000")))</f>
        <v/>
      </c>
      <c r="B78" s="230"/>
      <c r="C78" s="231" t="str">
        <f>IF(B78="","",IFERROR(VLOOKUP(B78,DB_Customers!$A:$D,4,0),"❌ Account Not Found"))</f>
        <v/>
      </c>
      <c r="D78" s="232" t="str">
        <f t="shared" ref="D78:D109" ca="1" si="9">IF(B78="","",TODAY())</f>
        <v/>
      </c>
      <c r="E78" s="233"/>
      <c r="F78" s="231"/>
      <c r="G78" s="234"/>
      <c r="H78" s="235">
        <v>2.5</v>
      </c>
      <c r="I78" s="236" t="str">
        <f t="shared" ref="I78:I109" si="10">IF(E78="","",E78+(E78*H78/100*G78))</f>
        <v/>
      </c>
      <c r="J78" s="237" t="str">
        <f t="shared" ref="J78:J109" si="11">IFERROR(I78/G78,"")</f>
        <v/>
      </c>
      <c r="K78" s="238" t="str">
        <f>IF(B78="","Pending",IF(M78="","⚠️ Enter Code",IF(IFERROR(VLOOKUP(L78,DB_Agents!$B:$I,8,0),"")=M78,"Pending","🔒 BLOCKED — Wrong Code")))</f>
        <v>Pending</v>
      </c>
      <c r="L78" s="239" t="s">
        <v>133</v>
      </c>
      <c r="M78" s="240"/>
      <c r="N78" s="230"/>
    </row>
    <row r="79" spans="1:14" ht="18" customHeight="1" x14ac:dyDescent="0.25">
      <c r="A79" s="241" t="str">
        <f t="shared" si="8"/>
        <v/>
      </c>
      <c r="B79" s="242"/>
      <c r="C79" s="243" t="str">
        <f>IF(B79="","",IFERROR(VLOOKUP(B79,DB_Customers!$A:$D,4,0),"❌ Account Not Found"))</f>
        <v/>
      </c>
      <c r="D79" s="244" t="str">
        <f t="shared" ca="1" si="9"/>
        <v/>
      </c>
      <c r="E79" s="245"/>
      <c r="F79" s="243"/>
      <c r="G79" s="246"/>
      <c r="H79" s="247">
        <v>2.5</v>
      </c>
      <c r="I79" s="248" t="str">
        <f t="shared" si="10"/>
        <v/>
      </c>
      <c r="J79" s="249" t="str">
        <f t="shared" si="11"/>
        <v/>
      </c>
      <c r="K79" s="250" t="str">
        <f>IF(B79="","Pending",IF(M79="","⚠️ Enter Code",IF(IFERROR(VLOOKUP(L79,DB_Agents!$B:$I,8,0),"")=M79,"Pending","🔒 BLOCKED — Wrong Code")))</f>
        <v>Pending</v>
      </c>
      <c r="L79" s="251" t="s">
        <v>133</v>
      </c>
      <c r="M79" s="252"/>
      <c r="N79" s="242"/>
    </row>
    <row r="80" spans="1:14" ht="18" customHeight="1" x14ac:dyDescent="0.25">
      <c r="A80" s="229" t="str">
        <f t="shared" si="8"/>
        <v/>
      </c>
      <c r="B80" s="230"/>
      <c r="C80" s="231" t="str">
        <f>IF(B80="","",IFERROR(VLOOKUP(B80,DB_Customers!$A:$D,4,0),"❌ Account Not Found"))</f>
        <v/>
      </c>
      <c r="D80" s="232" t="str">
        <f t="shared" ca="1" si="9"/>
        <v/>
      </c>
      <c r="E80" s="233"/>
      <c r="F80" s="231"/>
      <c r="G80" s="234"/>
      <c r="H80" s="235">
        <v>2.5</v>
      </c>
      <c r="I80" s="236" t="str">
        <f t="shared" si="10"/>
        <v/>
      </c>
      <c r="J80" s="237" t="str">
        <f t="shared" si="11"/>
        <v/>
      </c>
      <c r="K80" s="238" t="str">
        <f>IF(B80="","Pending",IF(M80="","⚠️ Enter Code",IF(IFERROR(VLOOKUP(L80,DB_Agents!$B:$I,8,0),"")=M80,"Pending","🔒 BLOCKED — Wrong Code")))</f>
        <v>Pending</v>
      </c>
      <c r="L80" s="239" t="s">
        <v>133</v>
      </c>
      <c r="M80" s="240"/>
      <c r="N80" s="230"/>
    </row>
    <row r="81" spans="1:14" ht="18" customHeight="1" x14ac:dyDescent="0.25">
      <c r="A81" s="241" t="str">
        <f t="shared" si="8"/>
        <v/>
      </c>
      <c r="B81" s="242"/>
      <c r="C81" s="243" t="str">
        <f>IF(B81="","",IFERROR(VLOOKUP(B81,DB_Customers!$A:$D,4,0),"❌ Account Not Found"))</f>
        <v/>
      </c>
      <c r="D81" s="244" t="str">
        <f t="shared" ca="1" si="9"/>
        <v/>
      </c>
      <c r="E81" s="245"/>
      <c r="F81" s="243"/>
      <c r="G81" s="246"/>
      <c r="H81" s="247">
        <v>2.5</v>
      </c>
      <c r="I81" s="248" t="str">
        <f t="shared" si="10"/>
        <v/>
      </c>
      <c r="J81" s="249" t="str">
        <f t="shared" si="11"/>
        <v/>
      </c>
      <c r="K81" s="250" t="str">
        <f>IF(B81="","Pending",IF(M81="","⚠️ Enter Code",IF(IFERROR(VLOOKUP(L81,DB_Agents!$B:$I,8,0),"")=M81,"Pending","🔒 BLOCKED — Wrong Code")))</f>
        <v>Pending</v>
      </c>
      <c r="L81" s="251" t="s">
        <v>133</v>
      </c>
      <c r="M81" s="252"/>
      <c r="N81" s="242"/>
    </row>
    <row r="82" spans="1:14" ht="18" customHeight="1" x14ac:dyDescent="0.25">
      <c r="A82" s="229" t="str">
        <f t="shared" si="8"/>
        <v/>
      </c>
      <c r="B82" s="230"/>
      <c r="C82" s="231" t="str">
        <f>IF(B82="","",IFERROR(VLOOKUP(B82,DB_Customers!$A:$D,4,0),"❌ Account Not Found"))</f>
        <v/>
      </c>
      <c r="D82" s="232" t="str">
        <f t="shared" ca="1" si="9"/>
        <v/>
      </c>
      <c r="E82" s="233"/>
      <c r="F82" s="231"/>
      <c r="G82" s="234"/>
      <c r="H82" s="235">
        <v>2.5</v>
      </c>
      <c r="I82" s="236" t="str">
        <f t="shared" si="10"/>
        <v/>
      </c>
      <c r="J82" s="237" t="str">
        <f t="shared" si="11"/>
        <v/>
      </c>
      <c r="K82" s="238" t="str">
        <f>IF(B82="","Pending",IF(M82="","⚠️ Enter Code",IF(IFERROR(VLOOKUP(L82,DB_Agents!$B:$I,8,0),"")=M82,"Pending","🔒 BLOCKED — Wrong Code")))</f>
        <v>Pending</v>
      </c>
      <c r="L82" s="239" t="s">
        <v>133</v>
      </c>
      <c r="M82" s="240"/>
      <c r="N82" s="230"/>
    </row>
    <row r="83" spans="1:14" ht="18" customHeight="1" x14ac:dyDescent="0.25">
      <c r="A83" s="241" t="str">
        <f t="shared" si="8"/>
        <v/>
      </c>
      <c r="B83" s="242"/>
      <c r="C83" s="243" t="str">
        <f>IF(B83="","",IFERROR(VLOOKUP(B83,DB_Customers!$A:$D,4,0),"❌ Account Not Found"))</f>
        <v/>
      </c>
      <c r="D83" s="244" t="str">
        <f t="shared" ca="1" si="9"/>
        <v/>
      </c>
      <c r="E83" s="245"/>
      <c r="F83" s="243"/>
      <c r="G83" s="246"/>
      <c r="H83" s="247">
        <v>2.5</v>
      </c>
      <c r="I83" s="248" t="str">
        <f t="shared" si="10"/>
        <v/>
      </c>
      <c r="J83" s="249" t="str">
        <f t="shared" si="11"/>
        <v/>
      </c>
      <c r="K83" s="250" t="str">
        <f>IF(B83="","Pending",IF(M83="","⚠️ Enter Code",IF(IFERROR(VLOOKUP(L83,DB_Agents!$B:$I,8,0),"")=M83,"Pending","🔒 BLOCKED — Wrong Code")))</f>
        <v>Pending</v>
      </c>
      <c r="L83" s="251" t="s">
        <v>133</v>
      </c>
      <c r="M83" s="252"/>
      <c r="N83" s="242"/>
    </row>
    <row r="84" spans="1:14" ht="18" customHeight="1" x14ac:dyDescent="0.25">
      <c r="A84" s="229" t="str">
        <f t="shared" si="8"/>
        <v/>
      </c>
      <c r="B84" s="230"/>
      <c r="C84" s="231" t="str">
        <f>IF(B84="","",IFERROR(VLOOKUP(B84,DB_Customers!$A:$D,4,0),"❌ Account Not Found"))</f>
        <v/>
      </c>
      <c r="D84" s="232" t="str">
        <f t="shared" ca="1" si="9"/>
        <v/>
      </c>
      <c r="E84" s="233"/>
      <c r="F84" s="231"/>
      <c r="G84" s="234"/>
      <c r="H84" s="235">
        <v>2.5</v>
      </c>
      <c r="I84" s="236" t="str">
        <f t="shared" si="10"/>
        <v/>
      </c>
      <c r="J84" s="237" t="str">
        <f t="shared" si="11"/>
        <v/>
      </c>
      <c r="K84" s="238" t="str">
        <f>IF(B84="","Pending",IF(M84="","⚠️ Enter Code",IF(IFERROR(VLOOKUP(L84,DB_Agents!$B:$I,8,0),"")=M84,"Pending","🔒 BLOCKED — Wrong Code")))</f>
        <v>Pending</v>
      </c>
      <c r="L84" s="239" t="s">
        <v>133</v>
      </c>
      <c r="M84" s="240"/>
      <c r="N84" s="230"/>
    </row>
    <row r="85" spans="1:14" ht="18" customHeight="1" x14ac:dyDescent="0.25">
      <c r="A85" s="241" t="str">
        <f t="shared" si="8"/>
        <v/>
      </c>
      <c r="B85" s="242"/>
      <c r="C85" s="243" t="str">
        <f>IF(B85="","",IFERROR(VLOOKUP(B85,DB_Customers!$A:$D,4,0),"❌ Account Not Found"))</f>
        <v/>
      </c>
      <c r="D85" s="244" t="str">
        <f t="shared" ca="1" si="9"/>
        <v/>
      </c>
      <c r="E85" s="245"/>
      <c r="F85" s="243"/>
      <c r="G85" s="246"/>
      <c r="H85" s="247">
        <v>2.5</v>
      </c>
      <c r="I85" s="248" t="str">
        <f t="shared" si="10"/>
        <v/>
      </c>
      <c r="J85" s="249" t="str">
        <f t="shared" si="11"/>
        <v/>
      </c>
      <c r="K85" s="250" t="str">
        <f>IF(B85="","Pending",IF(M85="","⚠️ Enter Code",IF(IFERROR(VLOOKUP(L85,DB_Agents!$B:$I,8,0),"")=M85,"Pending","🔒 BLOCKED — Wrong Code")))</f>
        <v>Pending</v>
      </c>
      <c r="L85" s="251" t="s">
        <v>133</v>
      </c>
      <c r="M85" s="252"/>
      <c r="N85" s="242"/>
    </row>
    <row r="86" spans="1:14" ht="18" customHeight="1" x14ac:dyDescent="0.25">
      <c r="A86" s="229" t="str">
        <f t="shared" si="8"/>
        <v/>
      </c>
      <c r="B86" s="230"/>
      <c r="C86" s="231" t="str">
        <f>IF(B86="","",IFERROR(VLOOKUP(B86,DB_Customers!$A:$D,4,0),"❌ Account Not Found"))</f>
        <v/>
      </c>
      <c r="D86" s="232" t="str">
        <f t="shared" ca="1" si="9"/>
        <v/>
      </c>
      <c r="E86" s="233"/>
      <c r="F86" s="231"/>
      <c r="G86" s="234"/>
      <c r="H86" s="235">
        <v>2.5</v>
      </c>
      <c r="I86" s="236" t="str">
        <f t="shared" si="10"/>
        <v/>
      </c>
      <c r="J86" s="237" t="str">
        <f t="shared" si="11"/>
        <v/>
      </c>
      <c r="K86" s="238" t="str">
        <f>IF(B86="","Pending",IF(M86="","⚠️ Enter Code",IF(IFERROR(VLOOKUP(L86,DB_Agents!$B:$I,8,0),"")=M86,"Pending","🔒 BLOCKED — Wrong Code")))</f>
        <v>Pending</v>
      </c>
      <c r="L86" s="239" t="s">
        <v>133</v>
      </c>
      <c r="M86" s="240"/>
      <c r="N86" s="230"/>
    </row>
    <row r="87" spans="1:14" ht="18" customHeight="1" x14ac:dyDescent="0.25">
      <c r="A87" s="241" t="str">
        <f t="shared" si="8"/>
        <v/>
      </c>
      <c r="B87" s="242"/>
      <c r="C87" s="243" t="str">
        <f>IF(B87="","",IFERROR(VLOOKUP(B87,DB_Customers!$A:$D,4,0),"❌ Account Not Found"))</f>
        <v/>
      </c>
      <c r="D87" s="244" t="str">
        <f t="shared" ca="1" si="9"/>
        <v/>
      </c>
      <c r="E87" s="245"/>
      <c r="F87" s="243"/>
      <c r="G87" s="246"/>
      <c r="H87" s="247">
        <v>2.5</v>
      </c>
      <c r="I87" s="248" t="str">
        <f t="shared" si="10"/>
        <v/>
      </c>
      <c r="J87" s="249" t="str">
        <f t="shared" si="11"/>
        <v/>
      </c>
      <c r="K87" s="250" t="str">
        <f>IF(B87="","Pending",IF(M87="","⚠️ Enter Code",IF(IFERROR(VLOOKUP(L87,DB_Agents!$B:$I,8,0),"")=M87,"Pending","🔒 BLOCKED — Wrong Code")))</f>
        <v>Pending</v>
      </c>
      <c r="L87" s="251" t="s">
        <v>133</v>
      </c>
      <c r="M87" s="252"/>
      <c r="N87" s="242"/>
    </row>
    <row r="88" spans="1:14" ht="18" customHeight="1" x14ac:dyDescent="0.25">
      <c r="A88" s="229" t="str">
        <f t="shared" si="8"/>
        <v/>
      </c>
      <c r="B88" s="230"/>
      <c r="C88" s="231" t="str">
        <f>IF(B88="","",IFERROR(VLOOKUP(B88,DB_Customers!$A:$D,4,0),"❌ Account Not Found"))</f>
        <v/>
      </c>
      <c r="D88" s="232" t="str">
        <f t="shared" ca="1" si="9"/>
        <v/>
      </c>
      <c r="E88" s="233"/>
      <c r="F88" s="231"/>
      <c r="G88" s="234"/>
      <c r="H88" s="235">
        <v>2.5</v>
      </c>
      <c r="I88" s="236" t="str">
        <f t="shared" si="10"/>
        <v/>
      </c>
      <c r="J88" s="237" t="str">
        <f t="shared" si="11"/>
        <v/>
      </c>
      <c r="K88" s="238" t="str">
        <f>IF(B88="","Pending",IF(M88="","⚠️ Enter Code",IF(IFERROR(VLOOKUP(L88,DB_Agents!$B:$I,8,0),"")=M88,"Pending","🔒 BLOCKED — Wrong Code")))</f>
        <v>Pending</v>
      </c>
      <c r="L88" s="239" t="s">
        <v>133</v>
      </c>
      <c r="M88" s="240"/>
      <c r="N88" s="230"/>
    </row>
    <row r="89" spans="1:14" ht="18" customHeight="1" x14ac:dyDescent="0.25">
      <c r="A89" s="241" t="str">
        <f t="shared" si="8"/>
        <v/>
      </c>
      <c r="B89" s="242"/>
      <c r="C89" s="243" t="str">
        <f>IF(B89="","",IFERROR(VLOOKUP(B89,DB_Customers!$A:$D,4,0),"❌ Account Not Found"))</f>
        <v/>
      </c>
      <c r="D89" s="244" t="str">
        <f t="shared" ca="1" si="9"/>
        <v/>
      </c>
      <c r="E89" s="245"/>
      <c r="F89" s="243"/>
      <c r="G89" s="246"/>
      <c r="H89" s="247">
        <v>2.5</v>
      </c>
      <c r="I89" s="248" t="str">
        <f t="shared" si="10"/>
        <v/>
      </c>
      <c r="J89" s="249" t="str">
        <f t="shared" si="11"/>
        <v/>
      </c>
      <c r="K89" s="250" t="str">
        <f>IF(B89="","Pending",IF(M89="","⚠️ Enter Code",IF(IFERROR(VLOOKUP(L89,DB_Agents!$B:$I,8,0),"")=M89,"Pending","🔒 BLOCKED — Wrong Code")))</f>
        <v>Pending</v>
      </c>
      <c r="L89" s="251" t="s">
        <v>133</v>
      </c>
      <c r="M89" s="252"/>
      <c r="N89" s="242"/>
    </row>
    <row r="90" spans="1:14" ht="18" customHeight="1" x14ac:dyDescent="0.25">
      <c r="A90" s="229" t="str">
        <f t="shared" si="8"/>
        <v/>
      </c>
      <c r="B90" s="230"/>
      <c r="C90" s="231" t="str">
        <f>IF(B90="","",IFERROR(VLOOKUP(B90,DB_Customers!$A:$D,4,0),"❌ Account Not Found"))</f>
        <v/>
      </c>
      <c r="D90" s="232" t="str">
        <f t="shared" ca="1" si="9"/>
        <v/>
      </c>
      <c r="E90" s="233"/>
      <c r="F90" s="231"/>
      <c r="G90" s="234"/>
      <c r="H90" s="235">
        <v>2.5</v>
      </c>
      <c r="I90" s="236" t="str">
        <f t="shared" si="10"/>
        <v/>
      </c>
      <c r="J90" s="237" t="str">
        <f t="shared" si="11"/>
        <v/>
      </c>
      <c r="K90" s="238" t="str">
        <f>IF(B90="","Pending",IF(M90="","⚠️ Enter Code",IF(IFERROR(VLOOKUP(L90,DB_Agents!$B:$I,8,0),"")=M90,"Pending","🔒 BLOCKED — Wrong Code")))</f>
        <v>Pending</v>
      </c>
      <c r="L90" s="239" t="s">
        <v>133</v>
      </c>
      <c r="M90" s="240"/>
      <c r="N90" s="230"/>
    </row>
    <row r="91" spans="1:14" ht="18" customHeight="1" x14ac:dyDescent="0.25">
      <c r="A91" s="241" t="str">
        <f t="shared" si="8"/>
        <v/>
      </c>
      <c r="B91" s="242"/>
      <c r="C91" s="243" t="str">
        <f>IF(B91="","",IFERROR(VLOOKUP(B91,DB_Customers!$A:$D,4,0),"❌ Account Not Found"))</f>
        <v/>
      </c>
      <c r="D91" s="244" t="str">
        <f t="shared" ca="1" si="9"/>
        <v/>
      </c>
      <c r="E91" s="245"/>
      <c r="F91" s="243"/>
      <c r="G91" s="246"/>
      <c r="H91" s="247">
        <v>2.5</v>
      </c>
      <c r="I91" s="248" t="str">
        <f t="shared" si="10"/>
        <v/>
      </c>
      <c r="J91" s="249" t="str">
        <f t="shared" si="11"/>
        <v/>
      </c>
      <c r="K91" s="250" t="str">
        <f>IF(B91="","Pending",IF(M91="","⚠️ Enter Code",IF(IFERROR(VLOOKUP(L91,DB_Agents!$B:$I,8,0),"")=M91,"Pending","🔒 BLOCKED — Wrong Code")))</f>
        <v>Pending</v>
      </c>
      <c r="L91" s="251" t="s">
        <v>133</v>
      </c>
      <c r="M91" s="252"/>
      <c r="N91" s="242"/>
    </row>
    <row r="92" spans="1:14" ht="18" customHeight="1" x14ac:dyDescent="0.25">
      <c r="A92" s="229" t="str">
        <f t="shared" si="8"/>
        <v/>
      </c>
      <c r="B92" s="230"/>
      <c r="C92" s="231" t="str">
        <f>IF(B92="","",IFERROR(VLOOKUP(B92,DB_Customers!$A:$D,4,0),"❌ Account Not Found"))</f>
        <v/>
      </c>
      <c r="D92" s="232" t="str">
        <f t="shared" ca="1" si="9"/>
        <v/>
      </c>
      <c r="E92" s="233"/>
      <c r="F92" s="231"/>
      <c r="G92" s="234"/>
      <c r="H92" s="235">
        <v>2.5</v>
      </c>
      <c r="I92" s="236" t="str">
        <f t="shared" si="10"/>
        <v/>
      </c>
      <c r="J92" s="237" t="str">
        <f t="shared" si="11"/>
        <v/>
      </c>
      <c r="K92" s="238" t="str">
        <f>IF(B92="","Pending",IF(M92="","⚠️ Enter Code",IF(IFERROR(VLOOKUP(L92,DB_Agents!$B:$I,8,0),"")=M92,"Pending","🔒 BLOCKED — Wrong Code")))</f>
        <v>Pending</v>
      </c>
      <c r="L92" s="239" t="s">
        <v>133</v>
      </c>
      <c r="M92" s="240"/>
      <c r="N92" s="230"/>
    </row>
    <row r="93" spans="1:14" ht="18" customHeight="1" x14ac:dyDescent="0.25">
      <c r="A93" s="241" t="str">
        <f t="shared" si="8"/>
        <v/>
      </c>
      <c r="B93" s="242"/>
      <c r="C93" s="243" t="str">
        <f>IF(B93="","",IFERROR(VLOOKUP(B93,DB_Customers!$A:$D,4,0),"❌ Account Not Found"))</f>
        <v/>
      </c>
      <c r="D93" s="244" t="str">
        <f t="shared" ca="1" si="9"/>
        <v/>
      </c>
      <c r="E93" s="245"/>
      <c r="F93" s="243"/>
      <c r="G93" s="246"/>
      <c r="H93" s="247">
        <v>2.5</v>
      </c>
      <c r="I93" s="248" t="str">
        <f t="shared" si="10"/>
        <v/>
      </c>
      <c r="J93" s="249" t="str">
        <f t="shared" si="11"/>
        <v/>
      </c>
      <c r="K93" s="250" t="str">
        <f>IF(B93="","Pending",IF(M93="","⚠️ Enter Code",IF(IFERROR(VLOOKUP(L93,DB_Agents!$B:$I,8,0),"")=M93,"Pending","🔒 BLOCKED — Wrong Code")))</f>
        <v>Pending</v>
      </c>
      <c r="L93" s="251" t="s">
        <v>133</v>
      </c>
      <c r="M93" s="252"/>
      <c r="N93" s="242"/>
    </row>
    <row r="94" spans="1:14" ht="18" customHeight="1" x14ac:dyDescent="0.25">
      <c r="A94" s="229" t="str">
        <f t="shared" si="8"/>
        <v/>
      </c>
      <c r="B94" s="230"/>
      <c r="C94" s="231" t="str">
        <f>IF(B94="","",IFERROR(VLOOKUP(B94,DB_Customers!$A:$D,4,0),"❌ Account Not Found"))</f>
        <v/>
      </c>
      <c r="D94" s="232" t="str">
        <f t="shared" ca="1" si="9"/>
        <v/>
      </c>
      <c r="E94" s="233"/>
      <c r="F94" s="231"/>
      <c r="G94" s="234"/>
      <c r="H94" s="235">
        <v>2.5</v>
      </c>
      <c r="I94" s="236" t="str">
        <f t="shared" si="10"/>
        <v/>
      </c>
      <c r="J94" s="237" t="str">
        <f t="shared" si="11"/>
        <v/>
      </c>
      <c r="K94" s="238" t="str">
        <f>IF(B94="","Pending",IF(M94="","⚠️ Enter Code",IF(IFERROR(VLOOKUP(L94,DB_Agents!$B:$I,8,0),"")=M94,"Pending","🔒 BLOCKED — Wrong Code")))</f>
        <v>Pending</v>
      </c>
      <c r="L94" s="239" t="s">
        <v>133</v>
      </c>
      <c r="M94" s="240"/>
      <c r="N94" s="230"/>
    </row>
    <row r="95" spans="1:14" ht="18" customHeight="1" x14ac:dyDescent="0.25">
      <c r="A95" s="241" t="str">
        <f t="shared" si="8"/>
        <v/>
      </c>
      <c r="B95" s="242"/>
      <c r="C95" s="243" t="str">
        <f>IF(B95="","",IFERROR(VLOOKUP(B95,DB_Customers!$A:$D,4,0),"❌ Account Not Found"))</f>
        <v/>
      </c>
      <c r="D95" s="244" t="str">
        <f t="shared" ca="1" si="9"/>
        <v/>
      </c>
      <c r="E95" s="245"/>
      <c r="F95" s="243"/>
      <c r="G95" s="246"/>
      <c r="H95" s="247">
        <v>2.5</v>
      </c>
      <c r="I95" s="248" t="str">
        <f t="shared" si="10"/>
        <v/>
      </c>
      <c r="J95" s="249" t="str">
        <f t="shared" si="11"/>
        <v/>
      </c>
      <c r="K95" s="250" t="str">
        <f>IF(B95="","Pending",IF(M95="","⚠️ Enter Code",IF(IFERROR(VLOOKUP(L95,DB_Agents!$B:$I,8,0),"")=M95,"Pending","🔒 BLOCKED — Wrong Code")))</f>
        <v>Pending</v>
      </c>
      <c r="L95" s="251" t="s">
        <v>133</v>
      </c>
      <c r="M95" s="252"/>
      <c r="N95" s="242"/>
    </row>
    <row r="96" spans="1:14" ht="18" customHeight="1" x14ac:dyDescent="0.25">
      <c r="A96" s="229" t="str">
        <f t="shared" si="8"/>
        <v/>
      </c>
      <c r="B96" s="230"/>
      <c r="C96" s="231" t="str">
        <f>IF(B96="","",IFERROR(VLOOKUP(B96,DB_Customers!$A:$D,4,0),"❌ Account Not Found"))</f>
        <v/>
      </c>
      <c r="D96" s="232" t="str">
        <f t="shared" ca="1" si="9"/>
        <v/>
      </c>
      <c r="E96" s="233"/>
      <c r="F96" s="231"/>
      <c r="G96" s="234"/>
      <c r="H96" s="235">
        <v>2.5</v>
      </c>
      <c r="I96" s="236" t="str">
        <f t="shared" si="10"/>
        <v/>
      </c>
      <c r="J96" s="237" t="str">
        <f t="shared" si="11"/>
        <v/>
      </c>
      <c r="K96" s="238" t="str">
        <f>IF(B96="","Pending",IF(M96="","⚠️ Enter Code",IF(IFERROR(VLOOKUP(L96,DB_Agents!$B:$I,8,0),"")=M96,"Pending","🔒 BLOCKED — Wrong Code")))</f>
        <v>Pending</v>
      </c>
      <c r="L96" s="239" t="s">
        <v>133</v>
      </c>
      <c r="M96" s="240"/>
      <c r="N96" s="230"/>
    </row>
    <row r="97" spans="1:14" ht="18" customHeight="1" x14ac:dyDescent="0.25">
      <c r="A97" s="241" t="str">
        <f t="shared" si="8"/>
        <v/>
      </c>
      <c r="B97" s="242"/>
      <c r="C97" s="243" t="str">
        <f>IF(B97="","",IFERROR(VLOOKUP(B97,DB_Customers!$A:$D,4,0),"❌ Account Not Found"))</f>
        <v/>
      </c>
      <c r="D97" s="244" t="str">
        <f t="shared" ca="1" si="9"/>
        <v/>
      </c>
      <c r="E97" s="245"/>
      <c r="F97" s="243"/>
      <c r="G97" s="246"/>
      <c r="H97" s="247">
        <v>2.5</v>
      </c>
      <c r="I97" s="248" t="str">
        <f t="shared" si="10"/>
        <v/>
      </c>
      <c r="J97" s="249" t="str">
        <f t="shared" si="11"/>
        <v/>
      </c>
      <c r="K97" s="250" t="str">
        <f>IF(B97="","Pending",IF(M97="","⚠️ Enter Code",IF(IFERROR(VLOOKUP(L97,DB_Agents!$B:$I,8,0),"")=M97,"Pending","🔒 BLOCKED — Wrong Code")))</f>
        <v>Pending</v>
      </c>
      <c r="L97" s="251" t="s">
        <v>133</v>
      </c>
      <c r="M97" s="252"/>
      <c r="N97" s="242"/>
    </row>
    <row r="98" spans="1:14" ht="18" customHeight="1" x14ac:dyDescent="0.25">
      <c r="A98" s="229" t="str">
        <f t="shared" si="8"/>
        <v/>
      </c>
      <c r="B98" s="230"/>
      <c r="C98" s="231" t="str">
        <f>IF(B98="","",IFERROR(VLOOKUP(B98,DB_Customers!$A:$D,4,0),"❌ Account Not Found"))</f>
        <v/>
      </c>
      <c r="D98" s="232" t="str">
        <f t="shared" ca="1" si="9"/>
        <v/>
      </c>
      <c r="E98" s="233"/>
      <c r="F98" s="231"/>
      <c r="G98" s="234"/>
      <c r="H98" s="235">
        <v>2.5</v>
      </c>
      <c r="I98" s="236" t="str">
        <f t="shared" si="10"/>
        <v/>
      </c>
      <c r="J98" s="237" t="str">
        <f t="shared" si="11"/>
        <v/>
      </c>
      <c r="K98" s="238" t="str">
        <f>IF(B98="","Pending",IF(M98="","⚠️ Enter Code",IF(IFERROR(VLOOKUP(L98,DB_Agents!$B:$I,8,0),"")=M98,"Pending","🔒 BLOCKED — Wrong Code")))</f>
        <v>Pending</v>
      </c>
      <c r="L98" s="239" t="s">
        <v>133</v>
      </c>
      <c r="M98" s="240"/>
      <c r="N98" s="230"/>
    </row>
    <row r="99" spans="1:14" ht="18" customHeight="1" x14ac:dyDescent="0.25">
      <c r="A99" s="241" t="str">
        <f t="shared" si="8"/>
        <v/>
      </c>
      <c r="B99" s="242"/>
      <c r="C99" s="243" t="str">
        <f>IF(B99="","",IFERROR(VLOOKUP(B99,DB_Customers!$A:$D,4,0),"❌ Account Not Found"))</f>
        <v/>
      </c>
      <c r="D99" s="244" t="str">
        <f t="shared" ca="1" si="9"/>
        <v/>
      </c>
      <c r="E99" s="245"/>
      <c r="F99" s="243"/>
      <c r="G99" s="246"/>
      <c r="H99" s="247">
        <v>2.5</v>
      </c>
      <c r="I99" s="248" t="str">
        <f t="shared" si="10"/>
        <v/>
      </c>
      <c r="J99" s="249" t="str">
        <f t="shared" si="11"/>
        <v/>
      </c>
      <c r="K99" s="250" t="str">
        <f>IF(B99="","Pending",IF(M99="","⚠️ Enter Code",IF(IFERROR(VLOOKUP(L99,DB_Agents!$B:$I,8,0),"")=M99,"Pending","🔒 BLOCKED — Wrong Code")))</f>
        <v>Pending</v>
      </c>
      <c r="L99" s="251" t="s">
        <v>133</v>
      </c>
      <c r="M99" s="252"/>
      <c r="N99" s="242"/>
    </row>
    <row r="100" spans="1:14" ht="18" customHeight="1" x14ac:dyDescent="0.25">
      <c r="A100" s="229" t="str">
        <f t="shared" si="8"/>
        <v/>
      </c>
      <c r="B100" s="230"/>
      <c r="C100" s="231" t="str">
        <f>IF(B100="","",IFERROR(VLOOKUP(B100,DB_Customers!$A:$D,4,0),"❌ Account Not Found"))</f>
        <v/>
      </c>
      <c r="D100" s="232" t="str">
        <f t="shared" ca="1" si="9"/>
        <v/>
      </c>
      <c r="E100" s="233"/>
      <c r="F100" s="231"/>
      <c r="G100" s="234"/>
      <c r="H100" s="235">
        <v>2.5</v>
      </c>
      <c r="I100" s="236" t="str">
        <f t="shared" si="10"/>
        <v/>
      </c>
      <c r="J100" s="237" t="str">
        <f t="shared" si="11"/>
        <v/>
      </c>
      <c r="K100" s="238" t="str">
        <f>IF(B100="","Pending",IF(M100="","⚠️ Enter Code",IF(IFERROR(VLOOKUP(L100,DB_Agents!$B:$I,8,0),"")=M100,"Pending","🔒 BLOCKED — Wrong Code")))</f>
        <v>Pending</v>
      </c>
      <c r="L100" s="239" t="s">
        <v>133</v>
      </c>
      <c r="M100" s="240"/>
      <c r="N100" s="230"/>
    </row>
    <row r="101" spans="1:14" ht="18" customHeight="1" x14ac:dyDescent="0.25">
      <c r="A101" s="241" t="str">
        <f t="shared" si="8"/>
        <v/>
      </c>
      <c r="B101" s="242"/>
      <c r="C101" s="243" t="str">
        <f>IF(B101="","",IFERROR(VLOOKUP(B101,DB_Customers!$A:$D,4,0),"❌ Account Not Found"))</f>
        <v/>
      </c>
      <c r="D101" s="244" t="str">
        <f t="shared" ca="1" si="9"/>
        <v/>
      </c>
      <c r="E101" s="245"/>
      <c r="F101" s="243"/>
      <c r="G101" s="246"/>
      <c r="H101" s="247">
        <v>2.5</v>
      </c>
      <c r="I101" s="248" t="str">
        <f t="shared" si="10"/>
        <v/>
      </c>
      <c r="J101" s="249" t="str">
        <f t="shared" si="11"/>
        <v/>
      </c>
      <c r="K101" s="250" t="str">
        <f>IF(B101="","Pending",IF(M101="","⚠️ Enter Code",IF(IFERROR(VLOOKUP(L101,DB_Agents!$B:$I,8,0),"")=M101,"Pending","🔒 BLOCKED — Wrong Code")))</f>
        <v>Pending</v>
      </c>
      <c r="L101" s="251" t="s">
        <v>133</v>
      </c>
      <c r="M101" s="252"/>
      <c r="N101" s="242"/>
    </row>
    <row r="102" spans="1:14" ht="18" customHeight="1" x14ac:dyDescent="0.25">
      <c r="A102" s="229" t="str">
        <f t="shared" si="8"/>
        <v/>
      </c>
      <c r="B102" s="230"/>
      <c r="C102" s="231" t="str">
        <f>IF(B102="","",IFERROR(VLOOKUP(B102,DB_Customers!$A:$D,4,0),"❌ Account Not Found"))</f>
        <v/>
      </c>
      <c r="D102" s="232" t="str">
        <f t="shared" ca="1" si="9"/>
        <v/>
      </c>
      <c r="E102" s="233"/>
      <c r="F102" s="231"/>
      <c r="G102" s="234"/>
      <c r="H102" s="235">
        <v>2.5</v>
      </c>
      <c r="I102" s="236" t="str">
        <f t="shared" si="10"/>
        <v/>
      </c>
      <c r="J102" s="237" t="str">
        <f t="shared" si="11"/>
        <v/>
      </c>
      <c r="K102" s="238" t="str">
        <f>IF(B102="","Pending",IF(M102="","⚠️ Enter Code",IF(IFERROR(VLOOKUP(L102,DB_Agents!$B:$I,8,0),"")=M102,"Pending","🔒 BLOCKED — Wrong Code")))</f>
        <v>Pending</v>
      </c>
      <c r="L102" s="239" t="s">
        <v>133</v>
      </c>
      <c r="M102" s="240"/>
      <c r="N102" s="230"/>
    </row>
    <row r="103" spans="1:14" ht="18" customHeight="1" x14ac:dyDescent="0.25">
      <c r="A103" s="241" t="str">
        <f t="shared" si="8"/>
        <v/>
      </c>
      <c r="B103" s="242"/>
      <c r="C103" s="243" t="str">
        <f>IF(B103="","",IFERROR(VLOOKUP(B103,DB_Customers!$A:$D,4,0),"❌ Account Not Found"))</f>
        <v/>
      </c>
      <c r="D103" s="244" t="str">
        <f t="shared" ca="1" si="9"/>
        <v/>
      </c>
      <c r="E103" s="245"/>
      <c r="F103" s="243"/>
      <c r="G103" s="246"/>
      <c r="H103" s="247">
        <v>2.5</v>
      </c>
      <c r="I103" s="248" t="str">
        <f t="shared" si="10"/>
        <v/>
      </c>
      <c r="J103" s="249" t="str">
        <f t="shared" si="11"/>
        <v/>
      </c>
      <c r="K103" s="250" t="str">
        <f>IF(B103="","Pending",IF(M103="","⚠️ Enter Code",IF(IFERROR(VLOOKUP(L103,DB_Agents!$B:$I,8,0),"")=M103,"Pending","🔒 BLOCKED — Wrong Code")))</f>
        <v>Pending</v>
      </c>
      <c r="L103" s="251" t="s">
        <v>133</v>
      </c>
      <c r="M103" s="252"/>
      <c r="N103" s="242"/>
    </row>
    <row r="104" spans="1:14" ht="18" customHeight="1" x14ac:dyDescent="0.25">
      <c r="A104" s="229" t="str">
        <f t="shared" si="8"/>
        <v/>
      </c>
      <c r="B104" s="230"/>
      <c r="C104" s="231" t="str">
        <f>IF(B104="","",IFERROR(VLOOKUP(B104,DB_Customers!$A:$D,4,0),"❌ Account Not Found"))</f>
        <v/>
      </c>
      <c r="D104" s="232" t="str">
        <f t="shared" ca="1" si="9"/>
        <v/>
      </c>
      <c r="E104" s="233"/>
      <c r="F104" s="231"/>
      <c r="G104" s="234"/>
      <c r="H104" s="235">
        <v>2.5</v>
      </c>
      <c r="I104" s="236" t="str">
        <f t="shared" si="10"/>
        <v/>
      </c>
      <c r="J104" s="237" t="str">
        <f t="shared" si="11"/>
        <v/>
      </c>
      <c r="K104" s="238" t="str">
        <f>IF(B104="","Pending",IF(M104="","⚠️ Enter Code",IF(IFERROR(VLOOKUP(L104,DB_Agents!$B:$I,8,0),"")=M104,"Pending","🔒 BLOCKED — Wrong Code")))</f>
        <v>Pending</v>
      </c>
      <c r="L104" s="239" t="s">
        <v>133</v>
      </c>
      <c r="M104" s="240"/>
      <c r="N104" s="230"/>
    </row>
    <row r="105" spans="1:14" ht="18" customHeight="1" x14ac:dyDescent="0.25">
      <c r="A105" s="241" t="str">
        <f t="shared" si="8"/>
        <v/>
      </c>
      <c r="B105" s="242"/>
      <c r="C105" s="243" t="str">
        <f>IF(B105="","",IFERROR(VLOOKUP(B105,DB_Customers!$A:$D,4,0),"❌ Account Not Found"))</f>
        <v/>
      </c>
      <c r="D105" s="244" t="str">
        <f t="shared" ca="1" si="9"/>
        <v/>
      </c>
      <c r="E105" s="245"/>
      <c r="F105" s="243"/>
      <c r="G105" s="246"/>
      <c r="H105" s="247">
        <v>2.5</v>
      </c>
      <c r="I105" s="248" t="str">
        <f t="shared" si="10"/>
        <v/>
      </c>
      <c r="J105" s="249" t="str">
        <f t="shared" si="11"/>
        <v/>
      </c>
      <c r="K105" s="250" t="str">
        <f>IF(B105="","Pending",IF(M105="","⚠️ Enter Code",IF(IFERROR(VLOOKUP(L105,DB_Agents!$B:$I,8,0),"")=M105,"Pending","🔒 BLOCKED — Wrong Code")))</f>
        <v>Pending</v>
      </c>
      <c r="L105" s="251" t="s">
        <v>133</v>
      </c>
      <c r="M105" s="252"/>
      <c r="N105" s="242"/>
    </row>
    <row r="106" spans="1:14" ht="18" customHeight="1" x14ac:dyDescent="0.25">
      <c r="A106" s="229" t="str">
        <f t="shared" si="8"/>
        <v/>
      </c>
      <c r="B106" s="230"/>
      <c r="C106" s="231" t="str">
        <f>IF(B106="","",IFERROR(VLOOKUP(B106,DB_Customers!$A:$D,4,0),"❌ Account Not Found"))</f>
        <v/>
      </c>
      <c r="D106" s="232" t="str">
        <f t="shared" ca="1" si="9"/>
        <v/>
      </c>
      <c r="E106" s="233"/>
      <c r="F106" s="231"/>
      <c r="G106" s="234"/>
      <c r="H106" s="235">
        <v>2.5</v>
      </c>
      <c r="I106" s="236" t="str">
        <f t="shared" si="10"/>
        <v/>
      </c>
      <c r="J106" s="237" t="str">
        <f t="shared" si="11"/>
        <v/>
      </c>
      <c r="K106" s="238" t="str">
        <f>IF(B106="","Pending",IF(M106="","⚠️ Enter Code",IF(IFERROR(VLOOKUP(L106,DB_Agents!$B:$I,8,0),"")=M106,"Pending","🔒 BLOCKED — Wrong Code")))</f>
        <v>Pending</v>
      </c>
      <c r="L106" s="239" t="s">
        <v>133</v>
      </c>
      <c r="M106" s="240"/>
      <c r="N106" s="230"/>
    </row>
    <row r="107" spans="1:14" ht="18" customHeight="1" x14ac:dyDescent="0.25">
      <c r="A107" s="241" t="str">
        <f t="shared" si="8"/>
        <v/>
      </c>
      <c r="B107" s="242"/>
      <c r="C107" s="243" t="str">
        <f>IF(B107="","",IFERROR(VLOOKUP(B107,DB_Customers!$A:$D,4,0),"❌ Account Not Found"))</f>
        <v/>
      </c>
      <c r="D107" s="244" t="str">
        <f t="shared" ca="1" si="9"/>
        <v/>
      </c>
      <c r="E107" s="245"/>
      <c r="F107" s="243"/>
      <c r="G107" s="246"/>
      <c r="H107" s="247">
        <v>2.5</v>
      </c>
      <c r="I107" s="248" t="str">
        <f t="shared" si="10"/>
        <v/>
      </c>
      <c r="J107" s="249" t="str">
        <f t="shared" si="11"/>
        <v/>
      </c>
      <c r="K107" s="250" t="str">
        <f>IF(B107="","Pending",IF(M107="","⚠️ Enter Code",IF(IFERROR(VLOOKUP(L107,DB_Agents!$B:$I,8,0),"")=M107,"Pending","🔒 BLOCKED — Wrong Code")))</f>
        <v>Pending</v>
      </c>
      <c r="L107" s="251" t="s">
        <v>133</v>
      </c>
      <c r="M107" s="252"/>
      <c r="N107" s="242"/>
    </row>
    <row r="108" spans="1:14" ht="18" customHeight="1" x14ac:dyDescent="0.25">
      <c r="A108" s="229" t="str">
        <f t="shared" si="8"/>
        <v/>
      </c>
      <c r="B108" s="230"/>
      <c r="C108" s="231" t="str">
        <f>IF(B108="","",IFERROR(VLOOKUP(B108,DB_Customers!$A:$D,4,0),"❌ Account Not Found"))</f>
        <v/>
      </c>
      <c r="D108" s="232" t="str">
        <f t="shared" ca="1" si="9"/>
        <v/>
      </c>
      <c r="E108" s="233"/>
      <c r="F108" s="231"/>
      <c r="G108" s="234"/>
      <c r="H108" s="235">
        <v>2.5</v>
      </c>
      <c r="I108" s="236" t="str">
        <f t="shared" si="10"/>
        <v/>
      </c>
      <c r="J108" s="237" t="str">
        <f t="shared" si="11"/>
        <v/>
      </c>
      <c r="K108" s="238" t="str">
        <f>IF(B108="","Pending",IF(M108="","⚠️ Enter Code",IF(IFERROR(VLOOKUP(L108,DB_Agents!$B:$I,8,0),"")=M108,"Pending","🔒 BLOCKED — Wrong Code")))</f>
        <v>Pending</v>
      </c>
      <c r="L108" s="239" t="s">
        <v>133</v>
      </c>
      <c r="M108" s="240"/>
      <c r="N108" s="230"/>
    </row>
    <row r="109" spans="1:14" ht="18" customHeight="1" x14ac:dyDescent="0.25">
      <c r="A109" s="241" t="str">
        <f t="shared" si="8"/>
        <v/>
      </c>
      <c r="B109" s="242"/>
      <c r="C109" s="243" t="str">
        <f>IF(B109="","",IFERROR(VLOOKUP(B109,DB_Customers!$A:$D,4,0),"❌ Account Not Found"))</f>
        <v/>
      </c>
      <c r="D109" s="244" t="str">
        <f t="shared" ca="1" si="9"/>
        <v/>
      </c>
      <c r="E109" s="245"/>
      <c r="F109" s="243"/>
      <c r="G109" s="246"/>
      <c r="H109" s="247">
        <v>2.5</v>
      </c>
      <c r="I109" s="248" t="str">
        <f t="shared" si="10"/>
        <v/>
      </c>
      <c r="J109" s="249" t="str">
        <f t="shared" si="11"/>
        <v/>
      </c>
      <c r="K109" s="250" t="str">
        <f>IF(B109="","Pending",IF(M109="","⚠️ Enter Code",IF(IFERROR(VLOOKUP(L109,DB_Agents!$B:$I,8,0),"")=M109,"Pending","🔒 BLOCKED — Wrong Code")))</f>
        <v>Pending</v>
      </c>
      <c r="L109" s="251" t="s">
        <v>133</v>
      </c>
      <c r="M109" s="252"/>
      <c r="N109" s="242"/>
    </row>
    <row r="110" spans="1:14" ht="18" customHeight="1" x14ac:dyDescent="0.25">
      <c r="A110" s="229" t="str">
        <f t="shared" ref="A110:A141" si="12">IF(B110="","",IF(C110="❌ Account Not Found","INVALID","LN"&amp;TEXT(D110,"YYYYMMDD")&amp;TEXT(ROW()-13,"0000")))</f>
        <v/>
      </c>
      <c r="B110" s="230"/>
      <c r="C110" s="231" t="str">
        <f>IF(B110="","",IFERROR(VLOOKUP(B110,DB_Customers!$A:$D,4,0),"❌ Account Not Found"))</f>
        <v/>
      </c>
      <c r="D110" s="232" t="str">
        <f t="shared" ref="D110:D141" ca="1" si="13">IF(B110="","",TODAY())</f>
        <v/>
      </c>
      <c r="E110" s="233"/>
      <c r="F110" s="231"/>
      <c r="G110" s="234"/>
      <c r="H110" s="235">
        <v>2.5</v>
      </c>
      <c r="I110" s="236" t="str">
        <f t="shared" ref="I110:I141" si="14">IF(E110="","",E110+(E110*H110/100*G110))</f>
        <v/>
      </c>
      <c r="J110" s="237" t="str">
        <f t="shared" ref="J110:J141" si="15">IFERROR(I110/G110,"")</f>
        <v/>
      </c>
      <c r="K110" s="238" t="str">
        <f>IF(B110="","Pending",IF(M110="","⚠️ Enter Code",IF(IFERROR(VLOOKUP(L110,DB_Agents!$B:$I,8,0),"")=M110,"Pending","🔒 BLOCKED — Wrong Code")))</f>
        <v>Pending</v>
      </c>
      <c r="L110" s="239" t="s">
        <v>133</v>
      </c>
      <c r="M110" s="240"/>
      <c r="N110" s="230"/>
    </row>
    <row r="111" spans="1:14" ht="18" customHeight="1" x14ac:dyDescent="0.25">
      <c r="A111" s="241" t="str">
        <f t="shared" si="12"/>
        <v/>
      </c>
      <c r="B111" s="242"/>
      <c r="C111" s="243" t="str">
        <f>IF(B111="","",IFERROR(VLOOKUP(B111,DB_Customers!$A:$D,4,0),"❌ Account Not Found"))</f>
        <v/>
      </c>
      <c r="D111" s="244" t="str">
        <f t="shared" ca="1" si="13"/>
        <v/>
      </c>
      <c r="E111" s="245"/>
      <c r="F111" s="243"/>
      <c r="G111" s="246"/>
      <c r="H111" s="247">
        <v>2.5</v>
      </c>
      <c r="I111" s="248" t="str">
        <f t="shared" si="14"/>
        <v/>
      </c>
      <c r="J111" s="249" t="str">
        <f t="shared" si="15"/>
        <v/>
      </c>
      <c r="K111" s="250" t="str">
        <f>IF(B111="","Pending",IF(M111="","⚠️ Enter Code",IF(IFERROR(VLOOKUP(L111,DB_Agents!$B:$I,8,0),"")=M111,"Pending","🔒 BLOCKED — Wrong Code")))</f>
        <v>Pending</v>
      </c>
      <c r="L111" s="251" t="s">
        <v>133</v>
      </c>
      <c r="M111" s="252"/>
      <c r="N111" s="242"/>
    </row>
    <row r="112" spans="1:14" ht="18" customHeight="1" x14ac:dyDescent="0.25">
      <c r="A112" s="229" t="str">
        <f t="shared" si="12"/>
        <v/>
      </c>
      <c r="B112" s="230"/>
      <c r="C112" s="231" t="str">
        <f>IF(B112="","",IFERROR(VLOOKUP(B112,DB_Customers!$A:$D,4,0),"❌ Account Not Found"))</f>
        <v/>
      </c>
      <c r="D112" s="232" t="str">
        <f t="shared" ca="1" si="13"/>
        <v/>
      </c>
      <c r="E112" s="233"/>
      <c r="F112" s="231"/>
      <c r="G112" s="234"/>
      <c r="H112" s="235">
        <v>2.5</v>
      </c>
      <c r="I112" s="236" t="str">
        <f t="shared" si="14"/>
        <v/>
      </c>
      <c r="J112" s="237" t="str">
        <f t="shared" si="15"/>
        <v/>
      </c>
      <c r="K112" s="238" t="str">
        <f>IF(B112="","Pending",IF(M112="","⚠️ Enter Code",IF(IFERROR(VLOOKUP(L112,DB_Agents!$B:$I,8,0),"")=M112,"Pending","🔒 BLOCKED — Wrong Code")))</f>
        <v>Pending</v>
      </c>
      <c r="L112" s="239" t="s">
        <v>133</v>
      </c>
      <c r="M112" s="240"/>
      <c r="N112" s="230"/>
    </row>
    <row r="113" spans="1:14" ht="18" customHeight="1" x14ac:dyDescent="0.25">
      <c r="A113" s="241" t="str">
        <f t="shared" si="12"/>
        <v/>
      </c>
      <c r="B113" s="242"/>
      <c r="C113" s="243" t="str">
        <f>IF(B113="","",IFERROR(VLOOKUP(B113,DB_Customers!$A:$D,4,0),"❌ Account Not Found"))</f>
        <v/>
      </c>
      <c r="D113" s="244" t="str">
        <f t="shared" ca="1" si="13"/>
        <v/>
      </c>
      <c r="E113" s="245"/>
      <c r="F113" s="243"/>
      <c r="G113" s="246"/>
      <c r="H113" s="247">
        <v>2.5</v>
      </c>
      <c r="I113" s="248" t="str">
        <f t="shared" si="14"/>
        <v/>
      </c>
      <c r="J113" s="249" t="str">
        <f t="shared" si="15"/>
        <v/>
      </c>
      <c r="K113" s="250" t="str">
        <f>IF(B113="","Pending",IF(M113="","⚠️ Enter Code",IF(IFERROR(VLOOKUP(L113,DB_Agents!$B:$I,8,0),"")=M113,"Pending","🔒 BLOCKED — Wrong Code")))</f>
        <v>Pending</v>
      </c>
      <c r="L113" s="251" t="s">
        <v>133</v>
      </c>
      <c r="M113" s="252"/>
      <c r="N113" s="242"/>
    </row>
    <row r="114" spans="1:14" ht="18" customHeight="1" x14ac:dyDescent="0.25">
      <c r="A114" s="253" t="str">
        <f t="shared" si="12"/>
        <v/>
      </c>
      <c r="B114" s="254"/>
      <c r="C114" s="254" t="str">
        <f>IF(B114="","",IFERROR(VLOOKUP(B114,DB_Customers!$A:$D,4,0),"❌ Account Not Found"))</f>
        <v/>
      </c>
      <c r="D114" s="253" t="str">
        <f t="shared" ca="1" si="13"/>
        <v/>
      </c>
      <c r="E114" s="254"/>
      <c r="F114" s="254"/>
      <c r="G114" s="253"/>
      <c r="H114" s="255">
        <v>2.5</v>
      </c>
      <c r="I114" s="253" t="str">
        <f t="shared" si="14"/>
        <v/>
      </c>
      <c r="J114" s="253" t="str">
        <f t="shared" si="15"/>
        <v/>
      </c>
      <c r="K114" s="253" t="str">
        <f>IF(B114="","Pending",IF(M114="","⚠️ Enter Code",IF(IFERROR(VLOOKUP(L114,DB_Agents!$B:$I,8,0),"")=M114,"Pending","🔒 BLOCKED — Wrong Code")))</f>
        <v>Pending</v>
      </c>
      <c r="L114" s="253" t="s">
        <v>133</v>
      </c>
      <c r="M114" s="240"/>
      <c r="N114" s="254"/>
    </row>
    <row r="115" spans="1:14" ht="18" customHeight="1" x14ac:dyDescent="0.25">
      <c r="A115" s="256" t="str">
        <f t="shared" si="12"/>
        <v/>
      </c>
      <c r="B115" s="257"/>
      <c r="C115" s="257" t="str">
        <f>IF(B115="","",IFERROR(VLOOKUP(B115,DB_Customers!$A:$D,4,0),"❌ Account Not Found"))</f>
        <v/>
      </c>
      <c r="D115" s="256" t="str">
        <f t="shared" ca="1" si="13"/>
        <v/>
      </c>
      <c r="E115" s="257"/>
      <c r="F115" s="257"/>
      <c r="G115" s="256"/>
      <c r="H115" s="258">
        <v>2.5</v>
      </c>
      <c r="I115" s="256" t="str">
        <f t="shared" si="14"/>
        <v/>
      </c>
      <c r="J115" s="256" t="str">
        <f t="shared" si="15"/>
        <v/>
      </c>
      <c r="K115" s="256" t="str">
        <f>IF(B115="","Pending",IF(M115="","⚠️ Enter Code",IF(IFERROR(VLOOKUP(L115,DB_Agents!$B:$I,8,0),"")=M115,"Pending","🔒 BLOCKED — Wrong Code")))</f>
        <v>Pending</v>
      </c>
      <c r="L115" s="256" t="s">
        <v>133</v>
      </c>
      <c r="M115" s="252"/>
      <c r="N115" s="257"/>
    </row>
    <row r="116" spans="1:14" ht="18" customHeight="1" x14ac:dyDescent="0.25">
      <c r="A116" s="253" t="str">
        <f t="shared" si="12"/>
        <v/>
      </c>
      <c r="B116" s="254"/>
      <c r="C116" s="254" t="str">
        <f>IF(B116="","",IFERROR(VLOOKUP(B116,DB_Customers!$A:$D,4,0),"❌ Account Not Found"))</f>
        <v/>
      </c>
      <c r="D116" s="253" t="str">
        <f t="shared" ca="1" si="13"/>
        <v/>
      </c>
      <c r="E116" s="254"/>
      <c r="F116" s="254"/>
      <c r="G116" s="253"/>
      <c r="H116" s="255">
        <v>2.5</v>
      </c>
      <c r="I116" s="253" t="str">
        <f t="shared" si="14"/>
        <v/>
      </c>
      <c r="J116" s="253" t="str">
        <f t="shared" si="15"/>
        <v/>
      </c>
      <c r="K116" s="253" t="str">
        <f>IF(B116="","Pending",IF(M116="","⚠️ Enter Code",IF(IFERROR(VLOOKUP(L116,DB_Agents!$B:$I,8,0),"")=M116,"Pending","🔒 BLOCKED — Wrong Code")))</f>
        <v>Pending</v>
      </c>
      <c r="L116" s="253" t="s">
        <v>133</v>
      </c>
      <c r="M116" s="240"/>
      <c r="N116" s="254"/>
    </row>
    <row r="117" spans="1:14" ht="18" customHeight="1" x14ac:dyDescent="0.25">
      <c r="A117" s="256" t="str">
        <f t="shared" si="12"/>
        <v/>
      </c>
      <c r="B117" s="257"/>
      <c r="C117" s="257" t="str">
        <f>IF(B117="","",IFERROR(VLOOKUP(B117,DB_Customers!$A:$D,4,0),"❌ Account Not Found"))</f>
        <v/>
      </c>
      <c r="D117" s="256" t="str">
        <f t="shared" ca="1" si="13"/>
        <v/>
      </c>
      <c r="E117" s="257"/>
      <c r="F117" s="257"/>
      <c r="G117" s="256"/>
      <c r="H117" s="258">
        <v>2.5</v>
      </c>
      <c r="I117" s="256" t="str">
        <f t="shared" si="14"/>
        <v/>
      </c>
      <c r="J117" s="256" t="str">
        <f t="shared" si="15"/>
        <v/>
      </c>
      <c r="K117" s="256" t="str">
        <f>IF(B117="","Pending",IF(M117="","⚠️ Enter Code",IF(IFERROR(VLOOKUP(L117,DB_Agents!$B:$I,8,0),"")=M117,"Pending","🔒 BLOCKED — Wrong Code")))</f>
        <v>Pending</v>
      </c>
      <c r="L117" s="256" t="s">
        <v>133</v>
      </c>
      <c r="M117" s="252"/>
      <c r="N117" s="257"/>
    </row>
    <row r="118" spans="1:14" ht="18" customHeight="1" x14ac:dyDescent="0.25">
      <c r="A118" s="253" t="str">
        <f t="shared" si="12"/>
        <v/>
      </c>
      <c r="B118" s="254"/>
      <c r="C118" s="254" t="str">
        <f>IF(B118="","",IFERROR(VLOOKUP(B118,DB_Customers!$A:$D,4,0),"❌ Account Not Found"))</f>
        <v/>
      </c>
      <c r="D118" s="253" t="str">
        <f t="shared" ca="1" si="13"/>
        <v/>
      </c>
      <c r="E118" s="254"/>
      <c r="F118" s="254"/>
      <c r="G118" s="253"/>
      <c r="H118" s="255">
        <v>2.5</v>
      </c>
      <c r="I118" s="253" t="str">
        <f t="shared" si="14"/>
        <v/>
      </c>
      <c r="J118" s="253" t="str">
        <f t="shared" si="15"/>
        <v/>
      </c>
      <c r="K118" s="253" t="str">
        <f>IF(B118="","Pending",IF(M118="","⚠️ Enter Code",IF(IFERROR(VLOOKUP(L118,DB_Agents!$B:$I,8,0),"")=M118,"Pending","🔒 BLOCKED — Wrong Code")))</f>
        <v>Pending</v>
      </c>
      <c r="L118" s="253" t="s">
        <v>133</v>
      </c>
      <c r="M118" s="240"/>
      <c r="N118" s="254"/>
    </row>
    <row r="119" spans="1:14" ht="18" customHeight="1" x14ac:dyDescent="0.25">
      <c r="A119" s="256" t="str">
        <f t="shared" si="12"/>
        <v/>
      </c>
      <c r="B119" s="257"/>
      <c r="C119" s="257" t="str">
        <f>IF(B119="","",IFERROR(VLOOKUP(B119,DB_Customers!$A:$D,4,0),"❌ Account Not Found"))</f>
        <v/>
      </c>
      <c r="D119" s="256" t="str">
        <f t="shared" ca="1" si="13"/>
        <v/>
      </c>
      <c r="E119" s="257"/>
      <c r="F119" s="257"/>
      <c r="G119" s="256"/>
      <c r="H119" s="258">
        <v>2.5</v>
      </c>
      <c r="I119" s="256" t="str">
        <f t="shared" si="14"/>
        <v/>
      </c>
      <c r="J119" s="256" t="str">
        <f t="shared" si="15"/>
        <v/>
      </c>
      <c r="K119" s="256" t="str">
        <f>IF(B119="","Pending",IF(M119="","⚠️ Enter Code",IF(IFERROR(VLOOKUP(L119,DB_Agents!$B:$I,8,0),"")=M119,"Pending","🔒 BLOCKED — Wrong Code")))</f>
        <v>Pending</v>
      </c>
      <c r="L119" s="256" t="s">
        <v>133</v>
      </c>
      <c r="M119" s="252"/>
      <c r="N119" s="257"/>
    </row>
    <row r="120" spans="1:14" ht="18" customHeight="1" x14ac:dyDescent="0.25">
      <c r="A120" s="253" t="str">
        <f t="shared" si="12"/>
        <v/>
      </c>
      <c r="B120" s="254"/>
      <c r="C120" s="254" t="str">
        <f>IF(B120="","",IFERROR(VLOOKUP(B120,DB_Customers!$A:$D,4,0),"❌ Account Not Found"))</f>
        <v/>
      </c>
      <c r="D120" s="253" t="str">
        <f t="shared" ca="1" si="13"/>
        <v/>
      </c>
      <c r="E120" s="254"/>
      <c r="F120" s="254"/>
      <c r="G120" s="253"/>
      <c r="H120" s="255">
        <v>2.5</v>
      </c>
      <c r="I120" s="253" t="str">
        <f t="shared" si="14"/>
        <v/>
      </c>
      <c r="J120" s="253" t="str">
        <f t="shared" si="15"/>
        <v/>
      </c>
      <c r="K120" s="253" t="str">
        <f>IF(B120="","Pending",IF(M120="","⚠️ Enter Code",IF(IFERROR(VLOOKUP(L120,DB_Agents!$B:$I,8,0),"")=M120,"Pending","🔒 BLOCKED — Wrong Code")))</f>
        <v>Pending</v>
      </c>
      <c r="L120" s="253" t="s">
        <v>133</v>
      </c>
      <c r="M120" s="240"/>
      <c r="N120" s="254"/>
    </row>
    <row r="121" spans="1:14" ht="18" customHeight="1" x14ac:dyDescent="0.25">
      <c r="A121" s="256" t="str">
        <f t="shared" si="12"/>
        <v/>
      </c>
      <c r="B121" s="257"/>
      <c r="C121" s="257" t="str">
        <f>IF(B121="","",IFERROR(VLOOKUP(B121,DB_Customers!$A:$D,4,0),"❌ Account Not Found"))</f>
        <v/>
      </c>
      <c r="D121" s="256" t="str">
        <f t="shared" ca="1" si="13"/>
        <v/>
      </c>
      <c r="E121" s="257"/>
      <c r="F121" s="257"/>
      <c r="G121" s="256"/>
      <c r="H121" s="258">
        <v>2.5</v>
      </c>
      <c r="I121" s="256" t="str">
        <f t="shared" si="14"/>
        <v/>
      </c>
      <c r="J121" s="256" t="str">
        <f t="shared" si="15"/>
        <v/>
      </c>
      <c r="K121" s="256" t="str">
        <f>IF(B121="","Pending",IF(M121="","⚠️ Enter Code",IF(IFERROR(VLOOKUP(L121,DB_Agents!$B:$I,8,0),"")=M121,"Pending","🔒 BLOCKED — Wrong Code")))</f>
        <v>Pending</v>
      </c>
      <c r="L121" s="256" t="s">
        <v>133</v>
      </c>
      <c r="M121" s="252"/>
      <c r="N121" s="257"/>
    </row>
    <row r="122" spans="1:14" ht="18" customHeight="1" x14ac:dyDescent="0.25">
      <c r="A122" s="253" t="str">
        <f t="shared" si="12"/>
        <v/>
      </c>
      <c r="B122" s="254"/>
      <c r="C122" s="254" t="str">
        <f>IF(B122="","",IFERROR(VLOOKUP(B122,DB_Customers!$A:$D,4,0),"❌ Account Not Found"))</f>
        <v/>
      </c>
      <c r="D122" s="253" t="str">
        <f t="shared" ca="1" si="13"/>
        <v/>
      </c>
      <c r="E122" s="254"/>
      <c r="F122" s="254"/>
      <c r="G122" s="253"/>
      <c r="H122" s="255">
        <v>2.5</v>
      </c>
      <c r="I122" s="253" t="str">
        <f t="shared" si="14"/>
        <v/>
      </c>
      <c r="J122" s="253" t="str">
        <f t="shared" si="15"/>
        <v/>
      </c>
      <c r="K122" s="253" t="str">
        <f>IF(B122="","Pending",IF(M122="","⚠️ Enter Code",IF(IFERROR(VLOOKUP(L122,DB_Agents!$B:$I,8,0),"")=M122,"Pending","🔒 BLOCKED — Wrong Code")))</f>
        <v>Pending</v>
      </c>
      <c r="L122" s="253" t="s">
        <v>133</v>
      </c>
      <c r="M122" s="240"/>
      <c r="N122" s="254"/>
    </row>
    <row r="123" spans="1:14" ht="18" customHeight="1" x14ac:dyDescent="0.25">
      <c r="A123" s="256" t="str">
        <f t="shared" si="12"/>
        <v/>
      </c>
      <c r="B123" s="257"/>
      <c r="C123" s="257" t="str">
        <f>IF(B123="","",IFERROR(VLOOKUP(B123,DB_Customers!$A:$D,4,0),"❌ Account Not Found"))</f>
        <v/>
      </c>
      <c r="D123" s="256" t="str">
        <f t="shared" ca="1" si="13"/>
        <v/>
      </c>
      <c r="E123" s="257"/>
      <c r="F123" s="257"/>
      <c r="G123" s="256"/>
      <c r="H123" s="258">
        <v>2.5</v>
      </c>
      <c r="I123" s="256" t="str">
        <f t="shared" si="14"/>
        <v/>
      </c>
      <c r="J123" s="256" t="str">
        <f t="shared" si="15"/>
        <v/>
      </c>
      <c r="K123" s="256" t="str">
        <f>IF(B123="","Pending",IF(M123="","⚠️ Enter Code",IF(IFERROR(VLOOKUP(L123,DB_Agents!$B:$I,8,0),"")=M123,"Pending","🔒 BLOCKED — Wrong Code")))</f>
        <v>Pending</v>
      </c>
      <c r="L123" s="256" t="s">
        <v>133</v>
      </c>
      <c r="M123" s="252"/>
      <c r="N123" s="257"/>
    </row>
    <row r="124" spans="1:14" ht="18" customHeight="1" x14ac:dyDescent="0.25">
      <c r="A124" s="253" t="str">
        <f t="shared" si="12"/>
        <v/>
      </c>
      <c r="B124" s="254"/>
      <c r="C124" s="254" t="str">
        <f>IF(B124="","",IFERROR(VLOOKUP(B124,DB_Customers!$A:$D,4,0),"❌ Account Not Found"))</f>
        <v/>
      </c>
      <c r="D124" s="253" t="str">
        <f t="shared" ca="1" si="13"/>
        <v/>
      </c>
      <c r="E124" s="254"/>
      <c r="F124" s="254"/>
      <c r="G124" s="253"/>
      <c r="H124" s="255">
        <v>2.5</v>
      </c>
      <c r="I124" s="253" t="str">
        <f t="shared" si="14"/>
        <v/>
      </c>
      <c r="J124" s="253" t="str">
        <f t="shared" si="15"/>
        <v/>
      </c>
      <c r="K124" s="253" t="str">
        <f>IF(B124="","Pending",IF(M124="","⚠️ Enter Code",IF(IFERROR(VLOOKUP(L124,DB_Agents!$B:$I,8,0),"")=M124,"Pending","🔒 BLOCKED — Wrong Code")))</f>
        <v>Pending</v>
      </c>
      <c r="L124" s="253" t="s">
        <v>133</v>
      </c>
      <c r="M124" s="240"/>
      <c r="N124" s="254"/>
    </row>
    <row r="125" spans="1:14" ht="18" customHeight="1" x14ac:dyDescent="0.25">
      <c r="A125" s="256" t="str">
        <f t="shared" si="12"/>
        <v/>
      </c>
      <c r="B125" s="257"/>
      <c r="C125" s="257" t="str">
        <f>IF(B125="","",IFERROR(VLOOKUP(B125,DB_Customers!$A:$D,4,0),"❌ Account Not Found"))</f>
        <v/>
      </c>
      <c r="D125" s="256" t="str">
        <f t="shared" ca="1" si="13"/>
        <v/>
      </c>
      <c r="E125" s="257"/>
      <c r="F125" s="257"/>
      <c r="G125" s="256"/>
      <c r="H125" s="258">
        <v>2.5</v>
      </c>
      <c r="I125" s="256" t="str">
        <f t="shared" si="14"/>
        <v/>
      </c>
      <c r="J125" s="256" t="str">
        <f t="shared" si="15"/>
        <v/>
      </c>
      <c r="K125" s="256" t="str">
        <f>IF(B125="","Pending",IF(M125="","⚠️ Enter Code",IF(IFERROR(VLOOKUP(L125,DB_Agents!$B:$I,8,0),"")=M125,"Pending","🔒 BLOCKED — Wrong Code")))</f>
        <v>Pending</v>
      </c>
      <c r="L125" s="256" t="s">
        <v>133</v>
      </c>
      <c r="M125" s="252"/>
      <c r="N125" s="257"/>
    </row>
    <row r="126" spans="1:14" ht="18" customHeight="1" x14ac:dyDescent="0.25">
      <c r="A126" s="253" t="str">
        <f t="shared" si="12"/>
        <v/>
      </c>
      <c r="B126" s="254"/>
      <c r="C126" s="254" t="str">
        <f>IF(B126="","",IFERROR(VLOOKUP(B126,DB_Customers!$A:$D,4,0),"❌ Account Not Found"))</f>
        <v/>
      </c>
      <c r="D126" s="253" t="str">
        <f t="shared" ca="1" si="13"/>
        <v/>
      </c>
      <c r="E126" s="254"/>
      <c r="F126" s="254"/>
      <c r="G126" s="253"/>
      <c r="H126" s="255">
        <v>2.5</v>
      </c>
      <c r="I126" s="253" t="str">
        <f t="shared" si="14"/>
        <v/>
      </c>
      <c r="J126" s="253" t="str">
        <f t="shared" si="15"/>
        <v/>
      </c>
      <c r="K126" s="253" t="str">
        <f>IF(B126="","Pending",IF(M126="","⚠️ Enter Code",IF(IFERROR(VLOOKUP(L126,DB_Agents!$B:$I,8,0),"")=M126,"Pending","🔒 BLOCKED — Wrong Code")))</f>
        <v>Pending</v>
      </c>
      <c r="L126" s="253" t="s">
        <v>133</v>
      </c>
      <c r="M126" s="240"/>
      <c r="N126" s="254"/>
    </row>
    <row r="127" spans="1:14" ht="18" customHeight="1" x14ac:dyDescent="0.25">
      <c r="A127" s="256" t="str">
        <f t="shared" si="12"/>
        <v/>
      </c>
      <c r="B127" s="257"/>
      <c r="C127" s="257" t="str">
        <f>IF(B127="","",IFERROR(VLOOKUP(B127,DB_Customers!$A:$D,4,0),"❌ Account Not Found"))</f>
        <v/>
      </c>
      <c r="D127" s="256" t="str">
        <f t="shared" ca="1" si="13"/>
        <v/>
      </c>
      <c r="E127" s="257"/>
      <c r="F127" s="257"/>
      <c r="G127" s="256"/>
      <c r="H127" s="258">
        <v>2.5</v>
      </c>
      <c r="I127" s="256" t="str">
        <f t="shared" si="14"/>
        <v/>
      </c>
      <c r="J127" s="256" t="str">
        <f t="shared" si="15"/>
        <v/>
      </c>
      <c r="K127" s="256" t="str">
        <f>IF(B127="","Pending",IF(M127="","⚠️ Enter Code",IF(IFERROR(VLOOKUP(L127,DB_Agents!$B:$I,8,0),"")=M127,"Pending","🔒 BLOCKED — Wrong Code")))</f>
        <v>Pending</v>
      </c>
      <c r="L127" s="256" t="s">
        <v>133</v>
      </c>
      <c r="M127" s="252"/>
      <c r="N127" s="257"/>
    </row>
    <row r="128" spans="1:14" ht="18" customHeight="1" x14ac:dyDescent="0.25">
      <c r="A128" s="253" t="str">
        <f t="shared" si="12"/>
        <v/>
      </c>
      <c r="B128" s="254"/>
      <c r="C128" s="254" t="str">
        <f>IF(B128="","",IFERROR(VLOOKUP(B128,DB_Customers!$A:$D,4,0),"❌ Account Not Found"))</f>
        <v/>
      </c>
      <c r="D128" s="253" t="str">
        <f t="shared" ca="1" si="13"/>
        <v/>
      </c>
      <c r="E128" s="254"/>
      <c r="F128" s="254"/>
      <c r="G128" s="253"/>
      <c r="H128" s="255">
        <v>2.5</v>
      </c>
      <c r="I128" s="253" t="str">
        <f t="shared" si="14"/>
        <v/>
      </c>
      <c r="J128" s="253" t="str">
        <f t="shared" si="15"/>
        <v/>
      </c>
      <c r="K128" s="253" t="str">
        <f>IF(B128="","Pending",IF(M128="","⚠️ Enter Code",IF(IFERROR(VLOOKUP(L128,DB_Agents!$B:$I,8,0),"")=M128,"Pending","🔒 BLOCKED — Wrong Code")))</f>
        <v>Pending</v>
      </c>
      <c r="L128" s="253" t="s">
        <v>133</v>
      </c>
      <c r="M128" s="240"/>
      <c r="N128" s="254"/>
    </row>
    <row r="129" spans="1:14" ht="18" customHeight="1" x14ac:dyDescent="0.25">
      <c r="A129" s="256" t="str">
        <f t="shared" si="12"/>
        <v/>
      </c>
      <c r="B129" s="257"/>
      <c r="C129" s="257" t="str">
        <f>IF(B129="","",IFERROR(VLOOKUP(B129,DB_Customers!$A:$D,4,0),"❌ Account Not Found"))</f>
        <v/>
      </c>
      <c r="D129" s="256" t="str">
        <f t="shared" ca="1" si="13"/>
        <v/>
      </c>
      <c r="E129" s="257"/>
      <c r="F129" s="257"/>
      <c r="G129" s="256"/>
      <c r="H129" s="258">
        <v>2.5</v>
      </c>
      <c r="I129" s="256" t="str">
        <f t="shared" si="14"/>
        <v/>
      </c>
      <c r="J129" s="256" t="str">
        <f t="shared" si="15"/>
        <v/>
      </c>
      <c r="K129" s="256" t="str">
        <f>IF(B129="","Pending",IF(M129="","⚠️ Enter Code",IF(IFERROR(VLOOKUP(L129,DB_Agents!$B:$I,8,0),"")=M129,"Pending","🔒 BLOCKED — Wrong Code")))</f>
        <v>Pending</v>
      </c>
      <c r="L129" s="256" t="s">
        <v>133</v>
      </c>
      <c r="M129" s="252"/>
      <c r="N129" s="257"/>
    </row>
    <row r="130" spans="1:14" ht="18" customHeight="1" x14ac:dyDescent="0.25">
      <c r="A130" s="253" t="str">
        <f t="shared" si="12"/>
        <v/>
      </c>
      <c r="B130" s="254"/>
      <c r="C130" s="254" t="str">
        <f>IF(B130="","",IFERROR(VLOOKUP(B130,DB_Customers!$A:$D,4,0),"❌ Account Not Found"))</f>
        <v/>
      </c>
      <c r="D130" s="253" t="str">
        <f t="shared" ca="1" si="13"/>
        <v/>
      </c>
      <c r="E130" s="254"/>
      <c r="F130" s="254"/>
      <c r="G130" s="253"/>
      <c r="H130" s="255">
        <v>2.5</v>
      </c>
      <c r="I130" s="253" t="str">
        <f t="shared" si="14"/>
        <v/>
      </c>
      <c r="J130" s="253" t="str">
        <f t="shared" si="15"/>
        <v/>
      </c>
      <c r="K130" s="253" t="str">
        <f>IF(B130="","Pending",IF(M130="","⚠️ Enter Code",IF(IFERROR(VLOOKUP(L130,DB_Agents!$B:$I,8,0),"")=M130,"Pending","🔒 BLOCKED — Wrong Code")))</f>
        <v>Pending</v>
      </c>
      <c r="L130" s="253" t="s">
        <v>133</v>
      </c>
      <c r="M130" s="240"/>
      <c r="N130" s="254"/>
    </row>
    <row r="131" spans="1:14" ht="18" customHeight="1" x14ac:dyDescent="0.25">
      <c r="A131" s="256" t="str">
        <f t="shared" si="12"/>
        <v/>
      </c>
      <c r="B131" s="257"/>
      <c r="C131" s="257" t="str">
        <f>IF(B131="","",IFERROR(VLOOKUP(B131,DB_Customers!$A:$D,4,0),"❌ Account Not Found"))</f>
        <v/>
      </c>
      <c r="D131" s="256" t="str">
        <f t="shared" ca="1" si="13"/>
        <v/>
      </c>
      <c r="E131" s="257"/>
      <c r="F131" s="257"/>
      <c r="G131" s="256"/>
      <c r="H131" s="258">
        <v>2.5</v>
      </c>
      <c r="I131" s="256" t="str">
        <f t="shared" si="14"/>
        <v/>
      </c>
      <c r="J131" s="256" t="str">
        <f t="shared" si="15"/>
        <v/>
      </c>
      <c r="K131" s="256" t="str">
        <f>IF(B131="","Pending",IF(M131="","⚠️ Enter Code",IF(IFERROR(VLOOKUP(L131,DB_Agents!$B:$I,8,0),"")=M131,"Pending","🔒 BLOCKED — Wrong Code")))</f>
        <v>Pending</v>
      </c>
      <c r="L131" s="256" t="s">
        <v>133</v>
      </c>
      <c r="M131" s="252"/>
      <c r="N131" s="257"/>
    </row>
    <row r="132" spans="1:14" ht="18" customHeight="1" x14ac:dyDescent="0.25">
      <c r="A132" s="253" t="str">
        <f t="shared" si="12"/>
        <v/>
      </c>
      <c r="B132" s="254"/>
      <c r="C132" s="254" t="str">
        <f>IF(B132="","",IFERROR(VLOOKUP(B132,DB_Customers!$A:$D,4,0),"❌ Account Not Found"))</f>
        <v/>
      </c>
      <c r="D132" s="253" t="str">
        <f t="shared" ca="1" si="13"/>
        <v/>
      </c>
      <c r="E132" s="254"/>
      <c r="F132" s="254"/>
      <c r="G132" s="253"/>
      <c r="H132" s="255">
        <v>2.5</v>
      </c>
      <c r="I132" s="253" t="str">
        <f t="shared" si="14"/>
        <v/>
      </c>
      <c r="J132" s="253" t="str">
        <f t="shared" si="15"/>
        <v/>
      </c>
      <c r="K132" s="253" t="str">
        <f>IF(B132="","Pending",IF(M132="","⚠️ Enter Code",IF(IFERROR(VLOOKUP(L132,DB_Agents!$B:$I,8,0),"")=M132,"Pending","🔒 BLOCKED — Wrong Code")))</f>
        <v>Pending</v>
      </c>
      <c r="L132" s="253" t="s">
        <v>133</v>
      </c>
      <c r="M132" s="240"/>
      <c r="N132" s="254"/>
    </row>
    <row r="133" spans="1:14" ht="18" customHeight="1" x14ac:dyDescent="0.25">
      <c r="A133" s="256" t="str">
        <f t="shared" si="12"/>
        <v/>
      </c>
      <c r="B133" s="257"/>
      <c r="C133" s="257" t="str">
        <f>IF(B133="","",IFERROR(VLOOKUP(B133,DB_Customers!$A:$D,4,0),"❌ Account Not Found"))</f>
        <v/>
      </c>
      <c r="D133" s="256" t="str">
        <f t="shared" ca="1" si="13"/>
        <v/>
      </c>
      <c r="E133" s="257"/>
      <c r="F133" s="257"/>
      <c r="G133" s="256"/>
      <c r="H133" s="258">
        <v>2.5</v>
      </c>
      <c r="I133" s="256" t="str">
        <f t="shared" si="14"/>
        <v/>
      </c>
      <c r="J133" s="256" t="str">
        <f t="shared" si="15"/>
        <v/>
      </c>
      <c r="K133" s="256" t="str">
        <f>IF(B133="","Pending",IF(M133="","⚠️ Enter Code",IF(IFERROR(VLOOKUP(L133,DB_Agents!$B:$I,8,0),"")=M133,"Pending","🔒 BLOCKED — Wrong Code")))</f>
        <v>Pending</v>
      </c>
      <c r="L133" s="256" t="s">
        <v>133</v>
      </c>
      <c r="M133" s="252"/>
      <c r="N133" s="257"/>
    </row>
    <row r="134" spans="1:14" ht="18" customHeight="1" x14ac:dyDescent="0.25">
      <c r="A134" s="253" t="str">
        <f t="shared" si="12"/>
        <v/>
      </c>
      <c r="B134" s="254"/>
      <c r="C134" s="254" t="str">
        <f>IF(B134="","",IFERROR(VLOOKUP(B134,DB_Customers!$A:$D,4,0),"❌ Account Not Found"))</f>
        <v/>
      </c>
      <c r="D134" s="253" t="str">
        <f t="shared" ca="1" si="13"/>
        <v/>
      </c>
      <c r="E134" s="254"/>
      <c r="F134" s="254"/>
      <c r="G134" s="253"/>
      <c r="H134" s="255">
        <v>2.5</v>
      </c>
      <c r="I134" s="253" t="str">
        <f t="shared" si="14"/>
        <v/>
      </c>
      <c r="J134" s="253" t="str">
        <f t="shared" si="15"/>
        <v/>
      </c>
      <c r="K134" s="253" t="str">
        <f>IF(B134="","Pending",IF(M134="","⚠️ Enter Code",IF(IFERROR(VLOOKUP(L134,DB_Agents!$B:$I,8,0),"")=M134,"Pending","🔒 BLOCKED — Wrong Code")))</f>
        <v>Pending</v>
      </c>
      <c r="L134" s="253" t="s">
        <v>133</v>
      </c>
      <c r="M134" s="240"/>
      <c r="N134" s="254"/>
    </row>
    <row r="135" spans="1:14" ht="18" customHeight="1" x14ac:dyDescent="0.25">
      <c r="A135" s="256" t="str">
        <f t="shared" si="12"/>
        <v/>
      </c>
      <c r="B135" s="257"/>
      <c r="C135" s="257" t="str">
        <f>IF(B135="","",IFERROR(VLOOKUP(B135,DB_Customers!$A:$D,4,0),"❌ Account Not Found"))</f>
        <v/>
      </c>
      <c r="D135" s="256" t="str">
        <f t="shared" ca="1" si="13"/>
        <v/>
      </c>
      <c r="E135" s="257"/>
      <c r="F135" s="257"/>
      <c r="G135" s="256"/>
      <c r="H135" s="258">
        <v>2.5</v>
      </c>
      <c r="I135" s="256" t="str">
        <f t="shared" si="14"/>
        <v/>
      </c>
      <c r="J135" s="256" t="str">
        <f t="shared" si="15"/>
        <v/>
      </c>
      <c r="K135" s="256" t="str">
        <f>IF(B135="","Pending",IF(M135="","⚠️ Enter Code",IF(IFERROR(VLOOKUP(L135,DB_Agents!$B:$I,8,0),"")=M135,"Pending","🔒 BLOCKED — Wrong Code")))</f>
        <v>Pending</v>
      </c>
      <c r="L135" s="256" t="s">
        <v>133</v>
      </c>
      <c r="M135" s="252"/>
      <c r="N135" s="257"/>
    </row>
    <row r="136" spans="1:14" ht="18" customHeight="1" x14ac:dyDescent="0.25">
      <c r="A136" s="253" t="str">
        <f t="shared" si="12"/>
        <v/>
      </c>
      <c r="B136" s="254"/>
      <c r="C136" s="254" t="str">
        <f>IF(B136="","",IFERROR(VLOOKUP(B136,DB_Customers!$A:$D,4,0),"❌ Account Not Found"))</f>
        <v/>
      </c>
      <c r="D136" s="253" t="str">
        <f t="shared" ca="1" si="13"/>
        <v/>
      </c>
      <c r="E136" s="254"/>
      <c r="F136" s="254"/>
      <c r="G136" s="253"/>
      <c r="H136" s="255">
        <v>2.5</v>
      </c>
      <c r="I136" s="253" t="str">
        <f t="shared" si="14"/>
        <v/>
      </c>
      <c r="J136" s="253" t="str">
        <f t="shared" si="15"/>
        <v/>
      </c>
      <c r="K136" s="253" t="str">
        <f>IF(B136="","Pending",IF(M136="","⚠️ Enter Code",IF(IFERROR(VLOOKUP(L136,DB_Agents!$B:$I,8,0),"")=M136,"Pending","🔒 BLOCKED — Wrong Code")))</f>
        <v>Pending</v>
      </c>
      <c r="L136" s="253" t="s">
        <v>133</v>
      </c>
      <c r="M136" s="240"/>
      <c r="N136" s="254"/>
    </row>
    <row r="137" spans="1:14" ht="18" customHeight="1" x14ac:dyDescent="0.25">
      <c r="A137" s="256" t="str">
        <f t="shared" si="12"/>
        <v/>
      </c>
      <c r="B137" s="257"/>
      <c r="C137" s="257" t="str">
        <f>IF(B137="","",IFERROR(VLOOKUP(B137,DB_Customers!$A:$D,4,0),"❌ Account Not Found"))</f>
        <v/>
      </c>
      <c r="D137" s="256" t="str">
        <f t="shared" ca="1" si="13"/>
        <v/>
      </c>
      <c r="E137" s="257"/>
      <c r="F137" s="257"/>
      <c r="G137" s="256"/>
      <c r="H137" s="258">
        <v>2.5</v>
      </c>
      <c r="I137" s="256" t="str">
        <f t="shared" si="14"/>
        <v/>
      </c>
      <c r="J137" s="256" t="str">
        <f t="shared" si="15"/>
        <v/>
      </c>
      <c r="K137" s="256" t="str">
        <f>IF(B137="","Pending",IF(M137="","⚠️ Enter Code",IF(IFERROR(VLOOKUP(L137,DB_Agents!$B:$I,8,0),"")=M137,"Pending","🔒 BLOCKED — Wrong Code")))</f>
        <v>Pending</v>
      </c>
      <c r="L137" s="256" t="s">
        <v>133</v>
      </c>
      <c r="M137" s="252"/>
      <c r="N137" s="257"/>
    </row>
    <row r="138" spans="1:14" ht="18" customHeight="1" x14ac:dyDescent="0.25">
      <c r="A138" s="253" t="str">
        <f t="shared" si="12"/>
        <v/>
      </c>
      <c r="B138" s="254"/>
      <c r="C138" s="254" t="str">
        <f>IF(B138="","",IFERROR(VLOOKUP(B138,DB_Customers!$A:$D,4,0),"❌ Account Not Found"))</f>
        <v/>
      </c>
      <c r="D138" s="253" t="str">
        <f t="shared" ca="1" si="13"/>
        <v/>
      </c>
      <c r="E138" s="254"/>
      <c r="F138" s="254"/>
      <c r="G138" s="253"/>
      <c r="H138" s="255">
        <v>2.5</v>
      </c>
      <c r="I138" s="253" t="str">
        <f t="shared" si="14"/>
        <v/>
      </c>
      <c r="J138" s="253" t="str">
        <f t="shared" si="15"/>
        <v/>
      </c>
      <c r="K138" s="253" t="str">
        <f>IF(B138="","Pending",IF(M138="","⚠️ Enter Code",IF(IFERROR(VLOOKUP(L138,DB_Agents!$B:$I,8,0),"")=M138,"Pending","🔒 BLOCKED — Wrong Code")))</f>
        <v>Pending</v>
      </c>
      <c r="L138" s="253" t="s">
        <v>133</v>
      </c>
      <c r="M138" s="240"/>
      <c r="N138" s="254"/>
    </row>
    <row r="139" spans="1:14" ht="18" customHeight="1" x14ac:dyDescent="0.25">
      <c r="A139" s="256" t="str">
        <f t="shared" si="12"/>
        <v/>
      </c>
      <c r="B139" s="257"/>
      <c r="C139" s="257" t="str">
        <f>IF(B139="","",IFERROR(VLOOKUP(B139,DB_Customers!$A:$D,4,0),"❌ Account Not Found"))</f>
        <v/>
      </c>
      <c r="D139" s="256" t="str">
        <f t="shared" ca="1" si="13"/>
        <v/>
      </c>
      <c r="E139" s="257"/>
      <c r="F139" s="257"/>
      <c r="G139" s="256"/>
      <c r="H139" s="258">
        <v>2.5</v>
      </c>
      <c r="I139" s="256" t="str">
        <f t="shared" si="14"/>
        <v/>
      </c>
      <c r="J139" s="256" t="str">
        <f t="shared" si="15"/>
        <v/>
      </c>
      <c r="K139" s="256" t="str">
        <f>IF(B139="","Pending",IF(M139="","⚠️ Enter Code",IF(IFERROR(VLOOKUP(L139,DB_Agents!$B:$I,8,0),"")=M139,"Pending","🔒 BLOCKED — Wrong Code")))</f>
        <v>Pending</v>
      </c>
      <c r="L139" s="256" t="s">
        <v>133</v>
      </c>
      <c r="M139" s="252"/>
      <c r="N139" s="257"/>
    </row>
    <row r="140" spans="1:14" ht="18" customHeight="1" x14ac:dyDescent="0.25">
      <c r="A140" s="253" t="str">
        <f t="shared" si="12"/>
        <v/>
      </c>
      <c r="B140" s="254"/>
      <c r="C140" s="254" t="str">
        <f>IF(B140="","",IFERROR(VLOOKUP(B140,DB_Customers!$A:$D,4,0),"❌ Account Not Found"))</f>
        <v/>
      </c>
      <c r="D140" s="253" t="str">
        <f t="shared" ca="1" si="13"/>
        <v/>
      </c>
      <c r="E140" s="254"/>
      <c r="F140" s="254"/>
      <c r="G140" s="253"/>
      <c r="H140" s="255">
        <v>2.5</v>
      </c>
      <c r="I140" s="253" t="str">
        <f t="shared" si="14"/>
        <v/>
      </c>
      <c r="J140" s="253" t="str">
        <f t="shared" si="15"/>
        <v/>
      </c>
      <c r="K140" s="253" t="str">
        <f>IF(B140="","Pending",IF(M140="","⚠️ Enter Code",IF(IFERROR(VLOOKUP(L140,DB_Agents!$B:$I,8,0),"")=M140,"Pending","🔒 BLOCKED — Wrong Code")))</f>
        <v>Pending</v>
      </c>
      <c r="L140" s="253" t="s">
        <v>133</v>
      </c>
      <c r="M140" s="240"/>
      <c r="N140" s="254"/>
    </row>
    <row r="141" spans="1:14" ht="18" customHeight="1" x14ac:dyDescent="0.25">
      <c r="A141" s="256" t="str">
        <f t="shared" si="12"/>
        <v/>
      </c>
      <c r="B141" s="257"/>
      <c r="C141" s="257" t="str">
        <f>IF(B141="","",IFERROR(VLOOKUP(B141,DB_Customers!$A:$D,4,0),"❌ Account Not Found"))</f>
        <v/>
      </c>
      <c r="D141" s="256" t="str">
        <f t="shared" ca="1" si="13"/>
        <v/>
      </c>
      <c r="E141" s="257"/>
      <c r="F141" s="257"/>
      <c r="G141" s="256"/>
      <c r="H141" s="258">
        <v>2.5</v>
      </c>
      <c r="I141" s="256" t="str">
        <f t="shared" si="14"/>
        <v/>
      </c>
      <c r="J141" s="256" t="str">
        <f t="shared" si="15"/>
        <v/>
      </c>
      <c r="K141" s="256" t="str">
        <f>IF(B141="","Pending",IF(M141="","⚠️ Enter Code",IF(IFERROR(VLOOKUP(L141,DB_Agents!$B:$I,8,0),"")=M141,"Pending","🔒 BLOCKED — Wrong Code")))</f>
        <v>Pending</v>
      </c>
      <c r="L141" s="256" t="s">
        <v>133</v>
      </c>
      <c r="M141" s="252"/>
      <c r="N141" s="257"/>
    </row>
    <row r="142" spans="1:14" ht="18" customHeight="1" x14ac:dyDescent="0.25">
      <c r="A142" s="253" t="str">
        <f t="shared" ref="A142:A173" si="16">IF(B142="","",IF(C142="❌ Account Not Found","INVALID","LN"&amp;TEXT(D142,"YYYYMMDD")&amp;TEXT(ROW()-13,"0000")))</f>
        <v/>
      </c>
      <c r="B142" s="254"/>
      <c r="C142" s="254" t="str">
        <f>IF(B142="","",IFERROR(VLOOKUP(B142,DB_Customers!$A:$D,4,0),"❌ Account Not Found"))</f>
        <v/>
      </c>
      <c r="D142" s="253" t="str">
        <f t="shared" ref="D142:D173" ca="1" si="17">IF(B142="","",TODAY())</f>
        <v/>
      </c>
      <c r="E142" s="254"/>
      <c r="F142" s="254"/>
      <c r="G142" s="253"/>
      <c r="H142" s="255">
        <v>2.5</v>
      </c>
      <c r="I142" s="253" t="str">
        <f t="shared" ref="I142:I173" si="18">IF(E142="","",E142+(E142*H142/100*G142))</f>
        <v/>
      </c>
      <c r="J142" s="253" t="str">
        <f t="shared" ref="J142:J173" si="19">IFERROR(I142/G142,"")</f>
        <v/>
      </c>
      <c r="K142" s="253" t="str">
        <f>IF(B142="","Pending",IF(M142="","⚠️ Enter Code",IF(IFERROR(VLOOKUP(L142,DB_Agents!$B:$I,8,0),"")=M142,"Pending","🔒 BLOCKED — Wrong Code")))</f>
        <v>Pending</v>
      </c>
      <c r="L142" s="253" t="s">
        <v>133</v>
      </c>
      <c r="M142" s="240"/>
      <c r="N142" s="254"/>
    </row>
    <row r="143" spans="1:14" ht="18" customHeight="1" x14ac:dyDescent="0.25">
      <c r="A143" s="256" t="str">
        <f t="shared" si="16"/>
        <v/>
      </c>
      <c r="B143" s="257"/>
      <c r="C143" s="257" t="str">
        <f>IF(B143="","",IFERROR(VLOOKUP(B143,DB_Customers!$A:$D,4,0),"❌ Account Not Found"))</f>
        <v/>
      </c>
      <c r="D143" s="256" t="str">
        <f t="shared" ca="1" si="17"/>
        <v/>
      </c>
      <c r="E143" s="257"/>
      <c r="F143" s="257"/>
      <c r="G143" s="256"/>
      <c r="H143" s="258">
        <v>2.5</v>
      </c>
      <c r="I143" s="256" t="str">
        <f t="shared" si="18"/>
        <v/>
      </c>
      <c r="J143" s="256" t="str">
        <f t="shared" si="19"/>
        <v/>
      </c>
      <c r="K143" s="256" t="str">
        <f>IF(B143="","Pending",IF(M143="","⚠️ Enter Code",IF(IFERROR(VLOOKUP(L143,DB_Agents!$B:$I,8,0),"")=M143,"Pending","🔒 BLOCKED — Wrong Code")))</f>
        <v>Pending</v>
      </c>
      <c r="L143" s="256" t="s">
        <v>133</v>
      </c>
      <c r="M143" s="252"/>
      <c r="N143" s="257"/>
    </row>
    <row r="144" spans="1:14" ht="18" customHeight="1" x14ac:dyDescent="0.25">
      <c r="A144" s="253" t="str">
        <f t="shared" si="16"/>
        <v/>
      </c>
      <c r="B144" s="254"/>
      <c r="C144" s="254" t="str">
        <f>IF(B144="","",IFERROR(VLOOKUP(B144,DB_Customers!$A:$D,4,0),"❌ Account Not Found"))</f>
        <v/>
      </c>
      <c r="D144" s="253" t="str">
        <f t="shared" ca="1" si="17"/>
        <v/>
      </c>
      <c r="E144" s="254"/>
      <c r="F144" s="254"/>
      <c r="G144" s="253"/>
      <c r="H144" s="255">
        <v>2.5</v>
      </c>
      <c r="I144" s="253" t="str">
        <f t="shared" si="18"/>
        <v/>
      </c>
      <c r="J144" s="253" t="str">
        <f t="shared" si="19"/>
        <v/>
      </c>
      <c r="K144" s="253" t="str">
        <f>IF(B144="","Pending",IF(M144="","⚠️ Enter Code",IF(IFERROR(VLOOKUP(L144,DB_Agents!$B:$I,8,0),"")=M144,"Pending","🔒 BLOCKED — Wrong Code")))</f>
        <v>Pending</v>
      </c>
      <c r="L144" s="253" t="s">
        <v>133</v>
      </c>
      <c r="M144" s="240"/>
      <c r="N144" s="254"/>
    </row>
    <row r="145" spans="1:14" ht="18" customHeight="1" x14ac:dyDescent="0.25">
      <c r="A145" s="256" t="str">
        <f t="shared" si="16"/>
        <v/>
      </c>
      <c r="B145" s="257"/>
      <c r="C145" s="257" t="str">
        <f>IF(B145="","",IFERROR(VLOOKUP(B145,DB_Customers!$A:$D,4,0),"❌ Account Not Found"))</f>
        <v/>
      </c>
      <c r="D145" s="256" t="str">
        <f t="shared" ca="1" si="17"/>
        <v/>
      </c>
      <c r="E145" s="257"/>
      <c r="F145" s="257"/>
      <c r="G145" s="256"/>
      <c r="H145" s="258">
        <v>2.5</v>
      </c>
      <c r="I145" s="256" t="str">
        <f t="shared" si="18"/>
        <v/>
      </c>
      <c r="J145" s="256" t="str">
        <f t="shared" si="19"/>
        <v/>
      </c>
      <c r="K145" s="256" t="str">
        <f>IF(B145="","Pending",IF(M145="","⚠️ Enter Code",IF(IFERROR(VLOOKUP(L145,DB_Agents!$B:$I,8,0),"")=M145,"Pending","🔒 BLOCKED — Wrong Code")))</f>
        <v>Pending</v>
      </c>
      <c r="L145" s="256" t="s">
        <v>133</v>
      </c>
      <c r="M145" s="252"/>
      <c r="N145" s="257"/>
    </row>
    <row r="146" spans="1:14" ht="18" customHeight="1" x14ac:dyDescent="0.25">
      <c r="A146" s="253" t="str">
        <f t="shared" si="16"/>
        <v/>
      </c>
      <c r="B146" s="254"/>
      <c r="C146" s="254" t="str">
        <f>IF(B146="","",IFERROR(VLOOKUP(B146,DB_Customers!$A:$D,4,0),"❌ Account Not Found"))</f>
        <v/>
      </c>
      <c r="D146" s="253" t="str">
        <f t="shared" ca="1" si="17"/>
        <v/>
      </c>
      <c r="E146" s="254"/>
      <c r="F146" s="254"/>
      <c r="G146" s="253"/>
      <c r="H146" s="255">
        <v>2.5</v>
      </c>
      <c r="I146" s="253" t="str">
        <f t="shared" si="18"/>
        <v/>
      </c>
      <c r="J146" s="253" t="str">
        <f t="shared" si="19"/>
        <v/>
      </c>
      <c r="K146" s="253" t="str">
        <f>IF(B146="","Pending",IF(M146="","⚠️ Enter Code",IF(IFERROR(VLOOKUP(L146,DB_Agents!$B:$I,8,0),"")=M146,"Pending","🔒 BLOCKED — Wrong Code")))</f>
        <v>Pending</v>
      </c>
      <c r="L146" s="253" t="s">
        <v>133</v>
      </c>
      <c r="M146" s="240"/>
      <c r="N146" s="254"/>
    </row>
    <row r="147" spans="1:14" ht="18" customHeight="1" x14ac:dyDescent="0.25">
      <c r="A147" s="256" t="str">
        <f t="shared" si="16"/>
        <v/>
      </c>
      <c r="B147" s="257"/>
      <c r="C147" s="257" t="str">
        <f>IF(B147="","",IFERROR(VLOOKUP(B147,DB_Customers!$A:$D,4,0),"❌ Account Not Found"))</f>
        <v/>
      </c>
      <c r="D147" s="256" t="str">
        <f t="shared" ca="1" si="17"/>
        <v/>
      </c>
      <c r="E147" s="257"/>
      <c r="F147" s="257"/>
      <c r="G147" s="256"/>
      <c r="H147" s="258">
        <v>2.5</v>
      </c>
      <c r="I147" s="256" t="str">
        <f t="shared" si="18"/>
        <v/>
      </c>
      <c r="J147" s="256" t="str">
        <f t="shared" si="19"/>
        <v/>
      </c>
      <c r="K147" s="256" t="str">
        <f>IF(B147="","Pending",IF(M147="","⚠️ Enter Code",IF(IFERROR(VLOOKUP(L147,DB_Agents!$B:$I,8,0),"")=M147,"Pending","🔒 BLOCKED — Wrong Code")))</f>
        <v>Pending</v>
      </c>
      <c r="L147" s="256" t="s">
        <v>133</v>
      </c>
      <c r="M147" s="252"/>
      <c r="N147" s="257"/>
    </row>
    <row r="148" spans="1:14" ht="18" customHeight="1" x14ac:dyDescent="0.25">
      <c r="A148" s="253" t="str">
        <f t="shared" si="16"/>
        <v/>
      </c>
      <c r="B148" s="254"/>
      <c r="C148" s="254" t="str">
        <f>IF(B148="","",IFERROR(VLOOKUP(B148,DB_Customers!$A:$D,4,0),"❌ Account Not Found"))</f>
        <v/>
      </c>
      <c r="D148" s="253" t="str">
        <f t="shared" ca="1" si="17"/>
        <v/>
      </c>
      <c r="E148" s="254"/>
      <c r="F148" s="254"/>
      <c r="G148" s="253"/>
      <c r="H148" s="255">
        <v>2.5</v>
      </c>
      <c r="I148" s="253" t="str">
        <f t="shared" si="18"/>
        <v/>
      </c>
      <c r="J148" s="253" t="str">
        <f t="shared" si="19"/>
        <v/>
      </c>
      <c r="K148" s="253" t="str">
        <f>IF(B148="","Pending",IF(M148="","⚠️ Enter Code",IF(IFERROR(VLOOKUP(L148,DB_Agents!$B:$I,8,0),"")=M148,"Pending","🔒 BLOCKED — Wrong Code")))</f>
        <v>Pending</v>
      </c>
      <c r="L148" s="253" t="s">
        <v>133</v>
      </c>
      <c r="M148" s="240"/>
      <c r="N148" s="254"/>
    </row>
    <row r="149" spans="1:14" ht="18" customHeight="1" x14ac:dyDescent="0.25">
      <c r="A149" s="256" t="str">
        <f t="shared" si="16"/>
        <v/>
      </c>
      <c r="B149" s="257"/>
      <c r="C149" s="257" t="str">
        <f>IF(B149="","",IFERROR(VLOOKUP(B149,DB_Customers!$A:$D,4,0),"❌ Account Not Found"))</f>
        <v/>
      </c>
      <c r="D149" s="256" t="str">
        <f t="shared" ca="1" si="17"/>
        <v/>
      </c>
      <c r="E149" s="257"/>
      <c r="F149" s="257"/>
      <c r="G149" s="256"/>
      <c r="H149" s="258">
        <v>2.5</v>
      </c>
      <c r="I149" s="256" t="str">
        <f t="shared" si="18"/>
        <v/>
      </c>
      <c r="J149" s="256" t="str">
        <f t="shared" si="19"/>
        <v/>
      </c>
      <c r="K149" s="256" t="str">
        <f>IF(B149="","Pending",IF(M149="","⚠️ Enter Code",IF(IFERROR(VLOOKUP(L149,DB_Agents!$B:$I,8,0),"")=M149,"Pending","🔒 BLOCKED — Wrong Code")))</f>
        <v>Pending</v>
      </c>
      <c r="L149" s="256" t="s">
        <v>133</v>
      </c>
      <c r="M149" s="252"/>
      <c r="N149" s="257"/>
    </row>
    <row r="150" spans="1:14" ht="18" customHeight="1" x14ac:dyDescent="0.25">
      <c r="A150" s="253" t="str">
        <f t="shared" si="16"/>
        <v/>
      </c>
      <c r="B150" s="254"/>
      <c r="C150" s="254" t="str">
        <f>IF(B150="","",IFERROR(VLOOKUP(B150,DB_Customers!$A:$D,4,0),"❌ Account Not Found"))</f>
        <v/>
      </c>
      <c r="D150" s="253" t="str">
        <f t="shared" ca="1" si="17"/>
        <v/>
      </c>
      <c r="E150" s="254"/>
      <c r="F150" s="254"/>
      <c r="G150" s="253"/>
      <c r="H150" s="255">
        <v>2.5</v>
      </c>
      <c r="I150" s="253" t="str">
        <f t="shared" si="18"/>
        <v/>
      </c>
      <c r="J150" s="253" t="str">
        <f t="shared" si="19"/>
        <v/>
      </c>
      <c r="K150" s="253" t="str">
        <f>IF(B150="","Pending",IF(M150="","⚠️ Enter Code",IF(IFERROR(VLOOKUP(L150,DB_Agents!$B:$I,8,0),"")=M150,"Pending","🔒 BLOCKED — Wrong Code")))</f>
        <v>Pending</v>
      </c>
      <c r="L150" s="253" t="s">
        <v>133</v>
      </c>
      <c r="M150" s="240"/>
      <c r="N150" s="254"/>
    </row>
    <row r="151" spans="1:14" ht="18" customHeight="1" x14ac:dyDescent="0.25">
      <c r="A151" s="256" t="str">
        <f t="shared" si="16"/>
        <v/>
      </c>
      <c r="B151" s="257"/>
      <c r="C151" s="257" t="str">
        <f>IF(B151="","",IFERROR(VLOOKUP(B151,DB_Customers!$A:$D,4,0),"❌ Account Not Found"))</f>
        <v/>
      </c>
      <c r="D151" s="256" t="str">
        <f t="shared" ca="1" si="17"/>
        <v/>
      </c>
      <c r="E151" s="257"/>
      <c r="F151" s="257"/>
      <c r="G151" s="256"/>
      <c r="H151" s="258">
        <v>2.5</v>
      </c>
      <c r="I151" s="256" t="str">
        <f t="shared" si="18"/>
        <v/>
      </c>
      <c r="J151" s="256" t="str">
        <f t="shared" si="19"/>
        <v/>
      </c>
      <c r="K151" s="256" t="str">
        <f>IF(B151="","Pending",IF(M151="","⚠️ Enter Code",IF(IFERROR(VLOOKUP(L151,DB_Agents!$B:$I,8,0),"")=M151,"Pending","🔒 BLOCKED — Wrong Code")))</f>
        <v>Pending</v>
      </c>
      <c r="L151" s="256" t="s">
        <v>133</v>
      </c>
      <c r="M151" s="252"/>
      <c r="N151" s="257"/>
    </row>
    <row r="152" spans="1:14" ht="18" customHeight="1" x14ac:dyDescent="0.25">
      <c r="A152" s="253" t="str">
        <f t="shared" si="16"/>
        <v/>
      </c>
      <c r="B152" s="254"/>
      <c r="C152" s="254" t="str">
        <f>IF(B152="","",IFERROR(VLOOKUP(B152,DB_Customers!$A:$D,4,0),"❌ Account Not Found"))</f>
        <v/>
      </c>
      <c r="D152" s="253" t="str">
        <f t="shared" ca="1" si="17"/>
        <v/>
      </c>
      <c r="E152" s="254"/>
      <c r="F152" s="254"/>
      <c r="G152" s="253"/>
      <c r="H152" s="255">
        <v>2.5</v>
      </c>
      <c r="I152" s="253" t="str">
        <f t="shared" si="18"/>
        <v/>
      </c>
      <c r="J152" s="253" t="str">
        <f t="shared" si="19"/>
        <v/>
      </c>
      <c r="K152" s="253" t="str">
        <f>IF(B152="","Pending",IF(M152="","⚠️ Enter Code",IF(IFERROR(VLOOKUP(L152,DB_Agents!$B:$I,8,0),"")=M152,"Pending","🔒 BLOCKED — Wrong Code")))</f>
        <v>Pending</v>
      </c>
      <c r="L152" s="253" t="s">
        <v>133</v>
      </c>
      <c r="M152" s="240"/>
      <c r="N152" s="254"/>
    </row>
    <row r="153" spans="1:14" ht="18" customHeight="1" x14ac:dyDescent="0.25">
      <c r="A153" s="256" t="str">
        <f t="shared" si="16"/>
        <v/>
      </c>
      <c r="B153" s="257"/>
      <c r="C153" s="257" t="str">
        <f>IF(B153="","",IFERROR(VLOOKUP(B153,DB_Customers!$A:$D,4,0),"❌ Account Not Found"))</f>
        <v/>
      </c>
      <c r="D153" s="256" t="str">
        <f t="shared" ca="1" si="17"/>
        <v/>
      </c>
      <c r="E153" s="257"/>
      <c r="F153" s="257"/>
      <c r="G153" s="256"/>
      <c r="H153" s="258">
        <v>2.5</v>
      </c>
      <c r="I153" s="256" t="str">
        <f t="shared" si="18"/>
        <v/>
      </c>
      <c r="J153" s="256" t="str">
        <f t="shared" si="19"/>
        <v/>
      </c>
      <c r="K153" s="256" t="str">
        <f>IF(B153="","Pending",IF(M153="","⚠️ Enter Code",IF(IFERROR(VLOOKUP(L153,DB_Agents!$B:$I,8,0),"")=M153,"Pending","🔒 BLOCKED — Wrong Code")))</f>
        <v>Pending</v>
      </c>
      <c r="L153" s="256" t="s">
        <v>133</v>
      </c>
      <c r="M153" s="252"/>
      <c r="N153" s="257"/>
    </row>
    <row r="154" spans="1:14" ht="18" customHeight="1" x14ac:dyDescent="0.25">
      <c r="A154" s="253" t="str">
        <f t="shared" si="16"/>
        <v/>
      </c>
      <c r="B154" s="254"/>
      <c r="C154" s="254" t="str">
        <f>IF(B154="","",IFERROR(VLOOKUP(B154,DB_Customers!$A:$D,4,0),"❌ Account Not Found"))</f>
        <v/>
      </c>
      <c r="D154" s="253" t="str">
        <f t="shared" ca="1" si="17"/>
        <v/>
      </c>
      <c r="E154" s="254"/>
      <c r="F154" s="254"/>
      <c r="G154" s="253"/>
      <c r="H154" s="255">
        <v>2.5</v>
      </c>
      <c r="I154" s="253" t="str">
        <f t="shared" si="18"/>
        <v/>
      </c>
      <c r="J154" s="253" t="str">
        <f t="shared" si="19"/>
        <v/>
      </c>
      <c r="K154" s="253" t="str">
        <f>IF(B154="","Pending",IF(M154="","⚠️ Enter Code",IF(IFERROR(VLOOKUP(L154,DB_Agents!$B:$I,8,0),"")=M154,"Pending","🔒 BLOCKED — Wrong Code")))</f>
        <v>Pending</v>
      </c>
      <c r="L154" s="253" t="s">
        <v>133</v>
      </c>
      <c r="M154" s="240"/>
      <c r="N154" s="254"/>
    </row>
    <row r="155" spans="1:14" ht="18" customHeight="1" x14ac:dyDescent="0.25">
      <c r="A155" s="256" t="str">
        <f t="shared" si="16"/>
        <v/>
      </c>
      <c r="B155" s="257"/>
      <c r="C155" s="257" t="str">
        <f>IF(B155="","",IFERROR(VLOOKUP(B155,DB_Customers!$A:$D,4,0),"❌ Account Not Found"))</f>
        <v/>
      </c>
      <c r="D155" s="256" t="str">
        <f t="shared" ca="1" si="17"/>
        <v/>
      </c>
      <c r="E155" s="257"/>
      <c r="F155" s="257"/>
      <c r="G155" s="256"/>
      <c r="H155" s="258">
        <v>2.5</v>
      </c>
      <c r="I155" s="256" t="str">
        <f t="shared" si="18"/>
        <v/>
      </c>
      <c r="J155" s="256" t="str">
        <f t="shared" si="19"/>
        <v/>
      </c>
      <c r="K155" s="256" t="str">
        <f>IF(B155="","Pending",IF(M155="","⚠️ Enter Code",IF(IFERROR(VLOOKUP(L155,DB_Agents!$B:$I,8,0),"")=M155,"Pending","🔒 BLOCKED — Wrong Code")))</f>
        <v>Pending</v>
      </c>
      <c r="L155" s="256" t="s">
        <v>133</v>
      </c>
      <c r="M155" s="252"/>
      <c r="N155" s="257"/>
    </row>
    <row r="156" spans="1:14" ht="18" customHeight="1" x14ac:dyDescent="0.25">
      <c r="A156" s="253" t="str">
        <f t="shared" si="16"/>
        <v/>
      </c>
      <c r="B156" s="254"/>
      <c r="C156" s="254" t="str">
        <f>IF(B156="","",IFERROR(VLOOKUP(B156,DB_Customers!$A:$D,4,0),"❌ Account Not Found"))</f>
        <v/>
      </c>
      <c r="D156" s="253" t="str">
        <f t="shared" ca="1" si="17"/>
        <v/>
      </c>
      <c r="E156" s="254"/>
      <c r="F156" s="254"/>
      <c r="G156" s="253"/>
      <c r="H156" s="255">
        <v>2.5</v>
      </c>
      <c r="I156" s="253" t="str">
        <f t="shared" si="18"/>
        <v/>
      </c>
      <c r="J156" s="253" t="str">
        <f t="shared" si="19"/>
        <v/>
      </c>
      <c r="K156" s="253" t="str">
        <f>IF(B156="","Pending",IF(M156="","⚠️ Enter Code",IF(IFERROR(VLOOKUP(L156,DB_Agents!$B:$I,8,0),"")=M156,"Pending","🔒 BLOCKED — Wrong Code")))</f>
        <v>Pending</v>
      </c>
      <c r="L156" s="253" t="s">
        <v>133</v>
      </c>
      <c r="M156" s="240"/>
      <c r="N156" s="254"/>
    </row>
    <row r="157" spans="1:14" ht="18" customHeight="1" x14ac:dyDescent="0.25">
      <c r="A157" s="256" t="str">
        <f t="shared" si="16"/>
        <v/>
      </c>
      <c r="B157" s="257"/>
      <c r="C157" s="257" t="str">
        <f>IF(B157="","",IFERROR(VLOOKUP(B157,DB_Customers!$A:$D,4,0),"❌ Account Not Found"))</f>
        <v/>
      </c>
      <c r="D157" s="256" t="str">
        <f t="shared" ca="1" si="17"/>
        <v/>
      </c>
      <c r="E157" s="257"/>
      <c r="F157" s="257"/>
      <c r="G157" s="256"/>
      <c r="H157" s="258">
        <v>2.5</v>
      </c>
      <c r="I157" s="256" t="str">
        <f t="shared" si="18"/>
        <v/>
      </c>
      <c r="J157" s="256" t="str">
        <f t="shared" si="19"/>
        <v/>
      </c>
      <c r="K157" s="256" t="str">
        <f>IF(B157="","Pending",IF(M157="","⚠️ Enter Code",IF(IFERROR(VLOOKUP(L157,DB_Agents!$B:$I,8,0),"")=M157,"Pending","🔒 BLOCKED — Wrong Code")))</f>
        <v>Pending</v>
      </c>
      <c r="L157" s="256" t="s">
        <v>133</v>
      </c>
      <c r="M157" s="252"/>
      <c r="N157" s="257"/>
    </row>
    <row r="158" spans="1:14" ht="18" customHeight="1" x14ac:dyDescent="0.25">
      <c r="A158" s="253" t="str">
        <f t="shared" si="16"/>
        <v/>
      </c>
      <c r="B158" s="254"/>
      <c r="C158" s="254" t="str">
        <f>IF(B158="","",IFERROR(VLOOKUP(B158,DB_Customers!$A:$D,4,0),"❌ Account Not Found"))</f>
        <v/>
      </c>
      <c r="D158" s="253" t="str">
        <f t="shared" ca="1" si="17"/>
        <v/>
      </c>
      <c r="E158" s="254"/>
      <c r="F158" s="254"/>
      <c r="G158" s="253"/>
      <c r="H158" s="255">
        <v>2.5</v>
      </c>
      <c r="I158" s="253" t="str">
        <f t="shared" si="18"/>
        <v/>
      </c>
      <c r="J158" s="253" t="str">
        <f t="shared" si="19"/>
        <v/>
      </c>
      <c r="K158" s="253" t="str">
        <f>IF(B158="","Pending",IF(M158="","⚠️ Enter Code",IF(IFERROR(VLOOKUP(L158,DB_Agents!$B:$I,8,0),"")=M158,"Pending","🔒 BLOCKED — Wrong Code")))</f>
        <v>Pending</v>
      </c>
      <c r="L158" s="253" t="s">
        <v>133</v>
      </c>
      <c r="M158" s="240"/>
      <c r="N158" s="254"/>
    </row>
    <row r="159" spans="1:14" ht="18" customHeight="1" x14ac:dyDescent="0.25">
      <c r="A159" s="256" t="str">
        <f t="shared" si="16"/>
        <v/>
      </c>
      <c r="B159" s="257"/>
      <c r="C159" s="257" t="str">
        <f>IF(B159="","",IFERROR(VLOOKUP(B159,DB_Customers!$A:$D,4,0),"❌ Account Not Found"))</f>
        <v/>
      </c>
      <c r="D159" s="256" t="str">
        <f t="shared" ca="1" si="17"/>
        <v/>
      </c>
      <c r="E159" s="257"/>
      <c r="F159" s="257"/>
      <c r="G159" s="256"/>
      <c r="H159" s="258">
        <v>2.5</v>
      </c>
      <c r="I159" s="256" t="str">
        <f t="shared" si="18"/>
        <v/>
      </c>
      <c r="J159" s="256" t="str">
        <f t="shared" si="19"/>
        <v/>
      </c>
      <c r="K159" s="256" t="str">
        <f>IF(B159="","Pending",IF(M159="","⚠️ Enter Code",IF(IFERROR(VLOOKUP(L159,DB_Agents!$B:$I,8,0),"")=M159,"Pending","🔒 BLOCKED — Wrong Code")))</f>
        <v>Pending</v>
      </c>
      <c r="L159" s="256" t="s">
        <v>133</v>
      </c>
      <c r="M159" s="252"/>
      <c r="N159" s="257"/>
    </row>
    <row r="160" spans="1:14" ht="18" customHeight="1" x14ac:dyDescent="0.25">
      <c r="A160" s="253" t="str">
        <f t="shared" si="16"/>
        <v/>
      </c>
      <c r="B160" s="254"/>
      <c r="C160" s="254" t="str">
        <f>IF(B160="","",IFERROR(VLOOKUP(B160,DB_Customers!$A:$D,4,0),"❌ Account Not Found"))</f>
        <v/>
      </c>
      <c r="D160" s="253" t="str">
        <f t="shared" ca="1" si="17"/>
        <v/>
      </c>
      <c r="E160" s="254"/>
      <c r="F160" s="254"/>
      <c r="G160" s="253"/>
      <c r="H160" s="255">
        <v>2.5</v>
      </c>
      <c r="I160" s="253" t="str">
        <f t="shared" si="18"/>
        <v/>
      </c>
      <c r="J160" s="253" t="str">
        <f t="shared" si="19"/>
        <v/>
      </c>
      <c r="K160" s="253" t="str">
        <f>IF(B160="","Pending",IF(M160="","⚠️ Enter Code",IF(IFERROR(VLOOKUP(L160,DB_Agents!$B:$I,8,0),"")=M160,"Pending","🔒 BLOCKED — Wrong Code")))</f>
        <v>Pending</v>
      </c>
      <c r="L160" s="253" t="s">
        <v>133</v>
      </c>
      <c r="M160" s="240"/>
      <c r="N160" s="254"/>
    </row>
    <row r="161" spans="1:14" ht="18" customHeight="1" x14ac:dyDescent="0.25">
      <c r="A161" s="256" t="str">
        <f t="shared" si="16"/>
        <v/>
      </c>
      <c r="B161" s="257"/>
      <c r="C161" s="257" t="str">
        <f>IF(B161="","",IFERROR(VLOOKUP(B161,DB_Customers!$A:$D,4,0),"❌ Account Not Found"))</f>
        <v/>
      </c>
      <c r="D161" s="256" t="str">
        <f t="shared" ca="1" si="17"/>
        <v/>
      </c>
      <c r="E161" s="257"/>
      <c r="F161" s="257"/>
      <c r="G161" s="256"/>
      <c r="H161" s="258">
        <v>2.5</v>
      </c>
      <c r="I161" s="256" t="str">
        <f t="shared" si="18"/>
        <v/>
      </c>
      <c r="J161" s="256" t="str">
        <f t="shared" si="19"/>
        <v/>
      </c>
      <c r="K161" s="256" t="str">
        <f>IF(B161="","Pending",IF(M161="","⚠️ Enter Code",IF(IFERROR(VLOOKUP(L161,DB_Agents!$B:$I,8,0),"")=M161,"Pending","🔒 BLOCKED — Wrong Code")))</f>
        <v>Pending</v>
      </c>
      <c r="L161" s="256" t="s">
        <v>133</v>
      </c>
      <c r="M161" s="252"/>
      <c r="N161" s="257"/>
    </row>
    <row r="162" spans="1:14" ht="18" customHeight="1" x14ac:dyDescent="0.25">
      <c r="A162" s="253" t="str">
        <f t="shared" si="16"/>
        <v/>
      </c>
      <c r="B162" s="254"/>
      <c r="C162" s="254" t="str">
        <f>IF(B162="","",IFERROR(VLOOKUP(B162,DB_Customers!$A:$D,4,0),"❌ Account Not Found"))</f>
        <v/>
      </c>
      <c r="D162" s="253" t="str">
        <f t="shared" ca="1" si="17"/>
        <v/>
      </c>
      <c r="E162" s="254"/>
      <c r="F162" s="254"/>
      <c r="G162" s="253"/>
      <c r="H162" s="255">
        <v>2.5</v>
      </c>
      <c r="I162" s="253" t="str">
        <f t="shared" si="18"/>
        <v/>
      </c>
      <c r="J162" s="253" t="str">
        <f t="shared" si="19"/>
        <v/>
      </c>
      <c r="K162" s="253" t="str">
        <f>IF(B162="","Pending",IF(M162="","⚠️ Enter Code",IF(IFERROR(VLOOKUP(L162,DB_Agents!$B:$I,8,0),"")=M162,"Pending","🔒 BLOCKED — Wrong Code")))</f>
        <v>Pending</v>
      </c>
      <c r="L162" s="253" t="s">
        <v>133</v>
      </c>
      <c r="M162" s="240"/>
      <c r="N162" s="254"/>
    </row>
    <row r="163" spans="1:14" ht="18" customHeight="1" x14ac:dyDescent="0.25">
      <c r="A163" s="256" t="str">
        <f t="shared" si="16"/>
        <v/>
      </c>
      <c r="B163" s="257"/>
      <c r="C163" s="257" t="str">
        <f>IF(B163="","",IFERROR(VLOOKUP(B163,DB_Customers!$A:$D,4,0),"❌ Account Not Found"))</f>
        <v/>
      </c>
      <c r="D163" s="256" t="str">
        <f t="shared" ca="1" si="17"/>
        <v/>
      </c>
      <c r="E163" s="257"/>
      <c r="F163" s="257"/>
      <c r="G163" s="256"/>
      <c r="H163" s="258">
        <v>2.5</v>
      </c>
      <c r="I163" s="256" t="str">
        <f t="shared" si="18"/>
        <v/>
      </c>
      <c r="J163" s="256" t="str">
        <f t="shared" si="19"/>
        <v/>
      </c>
      <c r="K163" s="256" t="str">
        <f>IF(B163="","Pending",IF(M163="","⚠️ Enter Code",IF(IFERROR(VLOOKUP(L163,DB_Agents!$B:$I,8,0),"")=M163,"Pending","🔒 BLOCKED — Wrong Code")))</f>
        <v>Pending</v>
      </c>
      <c r="L163" s="256" t="s">
        <v>133</v>
      </c>
      <c r="M163" s="252"/>
      <c r="N163" s="257"/>
    </row>
    <row r="164" spans="1:14" ht="18" customHeight="1" x14ac:dyDescent="0.25">
      <c r="A164" s="253" t="str">
        <f t="shared" si="16"/>
        <v/>
      </c>
      <c r="B164" s="254"/>
      <c r="C164" s="254" t="str">
        <f>IF(B164="","",IFERROR(VLOOKUP(B164,DB_Customers!$A:$D,4,0),"❌ Account Not Found"))</f>
        <v/>
      </c>
      <c r="D164" s="253" t="str">
        <f t="shared" ca="1" si="17"/>
        <v/>
      </c>
      <c r="E164" s="254"/>
      <c r="F164" s="254"/>
      <c r="G164" s="253"/>
      <c r="H164" s="255">
        <v>2.5</v>
      </c>
      <c r="I164" s="253" t="str">
        <f t="shared" si="18"/>
        <v/>
      </c>
      <c r="J164" s="253" t="str">
        <f t="shared" si="19"/>
        <v/>
      </c>
      <c r="K164" s="253" t="str">
        <f>IF(B164="","Pending",IF(M164="","⚠️ Enter Code",IF(IFERROR(VLOOKUP(L164,DB_Agents!$B:$I,8,0),"")=M164,"Pending","🔒 BLOCKED — Wrong Code")))</f>
        <v>Pending</v>
      </c>
      <c r="L164" s="253" t="s">
        <v>133</v>
      </c>
      <c r="M164" s="240"/>
      <c r="N164" s="254"/>
    </row>
    <row r="165" spans="1:14" ht="18" customHeight="1" x14ac:dyDescent="0.25">
      <c r="A165" s="256" t="str">
        <f t="shared" si="16"/>
        <v/>
      </c>
      <c r="B165" s="257"/>
      <c r="C165" s="257" t="str">
        <f>IF(B165="","",IFERROR(VLOOKUP(B165,DB_Customers!$A:$D,4,0),"❌ Account Not Found"))</f>
        <v/>
      </c>
      <c r="D165" s="256" t="str">
        <f t="shared" ca="1" si="17"/>
        <v/>
      </c>
      <c r="E165" s="257"/>
      <c r="F165" s="257"/>
      <c r="G165" s="256"/>
      <c r="H165" s="258">
        <v>2.5</v>
      </c>
      <c r="I165" s="256" t="str">
        <f t="shared" si="18"/>
        <v/>
      </c>
      <c r="J165" s="256" t="str">
        <f t="shared" si="19"/>
        <v/>
      </c>
      <c r="K165" s="256" t="str">
        <f>IF(B165="","Pending",IF(M165="","⚠️ Enter Code",IF(IFERROR(VLOOKUP(L165,DB_Agents!$B:$I,8,0),"")=M165,"Pending","🔒 BLOCKED — Wrong Code")))</f>
        <v>Pending</v>
      </c>
      <c r="L165" s="256" t="s">
        <v>133</v>
      </c>
      <c r="M165" s="252"/>
      <c r="N165" s="257"/>
    </row>
    <row r="166" spans="1:14" ht="18" customHeight="1" x14ac:dyDescent="0.25">
      <c r="A166" s="253" t="str">
        <f t="shared" si="16"/>
        <v/>
      </c>
      <c r="B166" s="254"/>
      <c r="C166" s="254" t="str">
        <f>IF(B166="","",IFERROR(VLOOKUP(B166,DB_Customers!$A:$D,4,0),"❌ Account Not Found"))</f>
        <v/>
      </c>
      <c r="D166" s="253" t="str">
        <f t="shared" ca="1" si="17"/>
        <v/>
      </c>
      <c r="E166" s="254"/>
      <c r="F166" s="254"/>
      <c r="G166" s="253"/>
      <c r="H166" s="255">
        <v>2.5</v>
      </c>
      <c r="I166" s="253" t="str">
        <f t="shared" si="18"/>
        <v/>
      </c>
      <c r="J166" s="253" t="str">
        <f t="shared" si="19"/>
        <v/>
      </c>
      <c r="K166" s="253" t="str">
        <f>IF(B166="","Pending",IF(M166="","⚠️ Enter Code",IF(IFERROR(VLOOKUP(L166,DB_Agents!$B:$I,8,0),"")=M166,"Pending","🔒 BLOCKED — Wrong Code")))</f>
        <v>Pending</v>
      </c>
      <c r="L166" s="253" t="s">
        <v>133</v>
      </c>
      <c r="M166" s="240"/>
      <c r="N166" s="254"/>
    </row>
    <row r="167" spans="1:14" ht="18" customHeight="1" x14ac:dyDescent="0.25">
      <c r="A167" s="256" t="str">
        <f t="shared" si="16"/>
        <v/>
      </c>
      <c r="B167" s="257"/>
      <c r="C167" s="257" t="str">
        <f>IF(B167="","",IFERROR(VLOOKUP(B167,DB_Customers!$A:$D,4,0),"❌ Account Not Found"))</f>
        <v/>
      </c>
      <c r="D167" s="256" t="str">
        <f t="shared" ca="1" si="17"/>
        <v/>
      </c>
      <c r="E167" s="257"/>
      <c r="F167" s="257"/>
      <c r="G167" s="256"/>
      <c r="H167" s="258">
        <v>2.5</v>
      </c>
      <c r="I167" s="256" t="str">
        <f t="shared" si="18"/>
        <v/>
      </c>
      <c r="J167" s="256" t="str">
        <f t="shared" si="19"/>
        <v/>
      </c>
      <c r="K167" s="256" t="str">
        <f>IF(B167="","Pending",IF(M167="","⚠️ Enter Code",IF(IFERROR(VLOOKUP(L167,DB_Agents!$B:$I,8,0),"")=M167,"Pending","🔒 BLOCKED — Wrong Code")))</f>
        <v>Pending</v>
      </c>
      <c r="L167" s="256" t="s">
        <v>133</v>
      </c>
      <c r="M167" s="252"/>
      <c r="N167" s="257"/>
    </row>
    <row r="168" spans="1:14" ht="18" customHeight="1" x14ac:dyDescent="0.25">
      <c r="A168" s="253" t="str">
        <f t="shared" si="16"/>
        <v/>
      </c>
      <c r="B168" s="254"/>
      <c r="C168" s="254" t="str">
        <f>IF(B168="","",IFERROR(VLOOKUP(B168,DB_Customers!$A:$D,4,0),"❌ Account Not Found"))</f>
        <v/>
      </c>
      <c r="D168" s="253" t="str">
        <f t="shared" ca="1" si="17"/>
        <v/>
      </c>
      <c r="E168" s="254"/>
      <c r="F168" s="254"/>
      <c r="G168" s="253"/>
      <c r="H168" s="255">
        <v>2.5</v>
      </c>
      <c r="I168" s="253" t="str">
        <f t="shared" si="18"/>
        <v/>
      </c>
      <c r="J168" s="253" t="str">
        <f t="shared" si="19"/>
        <v/>
      </c>
      <c r="K168" s="253" t="str">
        <f>IF(B168="","Pending",IF(M168="","⚠️ Enter Code",IF(IFERROR(VLOOKUP(L168,DB_Agents!$B:$I,8,0),"")=M168,"Pending","🔒 BLOCKED — Wrong Code")))</f>
        <v>Pending</v>
      </c>
      <c r="L168" s="253" t="s">
        <v>133</v>
      </c>
      <c r="M168" s="240"/>
      <c r="N168" s="254"/>
    </row>
    <row r="169" spans="1:14" ht="18" customHeight="1" x14ac:dyDescent="0.25">
      <c r="A169" s="256" t="str">
        <f t="shared" si="16"/>
        <v/>
      </c>
      <c r="B169" s="257"/>
      <c r="C169" s="257" t="str">
        <f>IF(B169="","",IFERROR(VLOOKUP(B169,DB_Customers!$A:$D,4,0),"❌ Account Not Found"))</f>
        <v/>
      </c>
      <c r="D169" s="256" t="str">
        <f t="shared" ca="1" si="17"/>
        <v/>
      </c>
      <c r="E169" s="257"/>
      <c r="F169" s="257"/>
      <c r="G169" s="256"/>
      <c r="H169" s="258">
        <v>2.5</v>
      </c>
      <c r="I169" s="256" t="str">
        <f t="shared" si="18"/>
        <v/>
      </c>
      <c r="J169" s="256" t="str">
        <f t="shared" si="19"/>
        <v/>
      </c>
      <c r="K169" s="256" t="str">
        <f>IF(B169="","Pending",IF(M169="","⚠️ Enter Code",IF(IFERROR(VLOOKUP(L169,DB_Agents!$B:$I,8,0),"")=M169,"Pending","🔒 BLOCKED — Wrong Code")))</f>
        <v>Pending</v>
      </c>
      <c r="L169" s="256" t="s">
        <v>133</v>
      </c>
      <c r="M169" s="252"/>
      <c r="N169" s="257"/>
    </row>
    <row r="170" spans="1:14" ht="18" customHeight="1" x14ac:dyDescent="0.25">
      <c r="A170" s="253" t="str">
        <f t="shared" si="16"/>
        <v/>
      </c>
      <c r="B170" s="254"/>
      <c r="C170" s="254" t="str">
        <f>IF(B170="","",IFERROR(VLOOKUP(B170,DB_Customers!$A:$D,4,0),"❌ Account Not Found"))</f>
        <v/>
      </c>
      <c r="D170" s="253" t="str">
        <f t="shared" ca="1" si="17"/>
        <v/>
      </c>
      <c r="E170" s="254"/>
      <c r="F170" s="254"/>
      <c r="G170" s="253"/>
      <c r="H170" s="255">
        <v>2.5</v>
      </c>
      <c r="I170" s="253" t="str">
        <f t="shared" si="18"/>
        <v/>
      </c>
      <c r="J170" s="253" t="str">
        <f t="shared" si="19"/>
        <v/>
      </c>
      <c r="K170" s="253" t="str">
        <f>IF(B170="","Pending",IF(M170="","⚠️ Enter Code",IF(IFERROR(VLOOKUP(L170,DB_Agents!$B:$I,8,0),"")=M170,"Pending","🔒 BLOCKED — Wrong Code")))</f>
        <v>Pending</v>
      </c>
      <c r="L170" s="253" t="s">
        <v>133</v>
      </c>
      <c r="M170" s="240"/>
      <c r="N170" s="254"/>
    </row>
    <row r="171" spans="1:14" ht="18" customHeight="1" x14ac:dyDescent="0.25">
      <c r="A171" s="256" t="str">
        <f t="shared" si="16"/>
        <v/>
      </c>
      <c r="B171" s="257"/>
      <c r="C171" s="257" t="str">
        <f>IF(B171="","",IFERROR(VLOOKUP(B171,DB_Customers!$A:$D,4,0),"❌ Account Not Found"))</f>
        <v/>
      </c>
      <c r="D171" s="256" t="str">
        <f t="shared" ca="1" si="17"/>
        <v/>
      </c>
      <c r="E171" s="257"/>
      <c r="F171" s="257"/>
      <c r="G171" s="256"/>
      <c r="H171" s="258">
        <v>2.5</v>
      </c>
      <c r="I171" s="256" t="str">
        <f t="shared" si="18"/>
        <v/>
      </c>
      <c r="J171" s="256" t="str">
        <f t="shared" si="19"/>
        <v/>
      </c>
      <c r="K171" s="256" t="str">
        <f>IF(B171="","Pending",IF(M171="","⚠️ Enter Code",IF(IFERROR(VLOOKUP(L171,DB_Agents!$B:$I,8,0),"")=M171,"Pending","🔒 BLOCKED — Wrong Code")))</f>
        <v>Pending</v>
      </c>
      <c r="L171" s="256" t="s">
        <v>133</v>
      </c>
      <c r="M171" s="252"/>
      <c r="N171" s="257"/>
    </row>
    <row r="172" spans="1:14" ht="18" customHeight="1" x14ac:dyDescent="0.25">
      <c r="A172" s="253" t="str">
        <f t="shared" si="16"/>
        <v/>
      </c>
      <c r="B172" s="254"/>
      <c r="C172" s="254" t="str">
        <f>IF(B172="","",IFERROR(VLOOKUP(B172,DB_Customers!$A:$D,4,0),"❌ Account Not Found"))</f>
        <v/>
      </c>
      <c r="D172" s="253" t="str">
        <f t="shared" ca="1" si="17"/>
        <v/>
      </c>
      <c r="E172" s="254"/>
      <c r="F172" s="254"/>
      <c r="G172" s="253"/>
      <c r="H172" s="255">
        <v>2.5</v>
      </c>
      <c r="I172" s="253" t="str">
        <f t="shared" si="18"/>
        <v/>
      </c>
      <c r="J172" s="253" t="str">
        <f t="shared" si="19"/>
        <v/>
      </c>
      <c r="K172" s="253" t="str">
        <f>IF(B172="","Pending",IF(M172="","⚠️ Enter Code",IF(IFERROR(VLOOKUP(L172,DB_Agents!$B:$I,8,0),"")=M172,"Pending","🔒 BLOCKED — Wrong Code")))</f>
        <v>Pending</v>
      </c>
      <c r="L172" s="253" t="s">
        <v>133</v>
      </c>
      <c r="M172" s="240"/>
      <c r="N172" s="254"/>
    </row>
    <row r="173" spans="1:14" ht="18" customHeight="1" x14ac:dyDescent="0.25">
      <c r="A173" s="256" t="str">
        <f t="shared" si="16"/>
        <v/>
      </c>
      <c r="B173" s="257"/>
      <c r="C173" s="257" t="str">
        <f>IF(B173="","",IFERROR(VLOOKUP(B173,DB_Customers!$A:$D,4,0),"❌ Account Not Found"))</f>
        <v/>
      </c>
      <c r="D173" s="256" t="str">
        <f t="shared" ca="1" si="17"/>
        <v/>
      </c>
      <c r="E173" s="257"/>
      <c r="F173" s="257"/>
      <c r="G173" s="256"/>
      <c r="H173" s="258">
        <v>2.5</v>
      </c>
      <c r="I173" s="256" t="str">
        <f t="shared" si="18"/>
        <v/>
      </c>
      <c r="J173" s="256" t="str">
        <f t="shared" si="19"/>
        <v/>
      </c>
      <c r="K173" s="256" t="str">
        <f>IF(B173="","Pending",IF(M173="","⚠️ Enter Code",IF(IFERROR(VLOOKUP(L173,DB_Agents!$B:$I,8,0),"")=M173,"Pending","🔒 BLOCKED — Wrong Code")))</f>
        <v>Pending</v>
      </c>
      <c r="L173" s="256" t="s">
        <v>133</v>
      </c>
      <c r="M173" s="252"/>
      <c r="N173" s="257"/>
    </row>
    <row r="174" spans="1:14" ht="18" customHeight="1" x14ac:dyDescent="0.25">
      <c r="A174" s="253" t="str">
        <f t="shared" ref="A174:A205" si="20">IF(B174="","",IF(C174="❌ Account Not Found","INVALID","LN"&amp;TEXT(D174,"YYYYMMDD")&amp;TEXT(ROW()-13,"0000")))</f>
        <v/>
      </c>
      <c r="B174" s="254"/>
      <c r="C174" s="254" t="str">
        <f>IF(B174="","",IFERROR(VLOOKUP(B174,DB_Customers!$A:$D,4,0),"❌ Account Not Found"))</f>
        <v/>
      </c>
      <c r="D174" s="253" t="str">
        <f t="shared" ref="D174:D205" ca="1" si="21">IF(B174="","",TODAY())</f>
        <v/>
      </c>
      <c r="E174" s="254"/>
      <c r="F174" s="254"/>
      <c r="G174" s="253"/>
      <c r="H174" s="255">
        <v>2.5</v>
      </c>
      <c r="I174" s="253" t="str">
        <f t="shared" ref="I174:I205" si="22">IF(E174="","",E174+(E174*H174/100*G174))</f>
        <v/>
      </c>
      <c r="J174" s="253" t="str">
        <f t="shared" ref="J174:J205" si="23">IFERROR(I174/G174,"")</f>
        <v/>
      </c>
      <c r="K174" s="253" t="str">
        <f>IF(B174="","Pending",IF(M174="","⚠️ Enter Code",IF(IFERROR(VLOOKUP(L174,DB_Agents!$B:$I,8,0),"")=M174,"Pending","🔒 BLOCKED — Wrong Code")))</f>
        <v>Pending</v>
      </c>
      <c r="L174" s="253" t="s">
        <v>133</v>
      </c>
      <c r="M174" s="240"/>
      <c r="N174" s="254"/>
    </row>
    <row r="175" spans="1:14" ht="18" customHeight="1" x14ac:dyDescent="0.25">
      <c r="A175" s="256" t="str">
        <f t="shared" si="20"/>
        <v/>
      </c>
      <c r="B175" s="257"/>
      <c r="C175" s="257" t="str">
        <f>IF(B175="","",IFERROR(VLOOKUP(B175,DB_Customers!$A:$D,4,0),"❌ Account Not Found"))</f>
        <v/>
      </c>
      <c r="D175" s="256" t="str">
        <f t="shared" ca="1" si="21"/>
        <v/>
      </c>
      <c r="E175" s="257"/>
      <c r="F175" s="257"/>
      <c r="G175" s="256"/>
      <c r="H175" s="258">
        <v>2.5</v>
      </c>
      <c r="I175" s="256" t="str">
        <f t="shared" si="22"/>
        <v/>
      </c>
      <c r="J175" s="256" t="str">
        <f t="shared" si="23"/>
        <v/>
      </c>
      <c r="K175" s="256" t="str">
        <f>IF(B175="","Pending",IF(M175="","⚠️ Enter Code",IF(IFERROR(VLOOKUP(L175,DB_Agents!$B:$I,8,0),"")=M175,"Pending","🔒 BLOCKED — Wrong Code")))</f>
        <v>Pending</v>
      </c>
      <c r="L175" s="256" t="s">
        <v>133</v>
      </c>
      <c r="M175" s="252"/>
      <c r="N175" s="257"/>
    </row>
    <row r="176" spans="1:14" ht="18" customHeight="1" x14ac:dyDescent="0.25">
      <c r="A176" s="253" t="str">
        <f t="shared" si="20"/>
        <v/>
      </c>
      <c r="B176" s="254"/>
      <c r="C176" s="254" t="str">
        <f>IF(B176="","",IFERROR(VLOOKUP(B176,DB_Customers!$A:$D,4,0),"❌ Account Not Found"))</f>
        <v/>
      </c>
      <c r="D176" s="253" t="str">
        <f t="shared" ca="1" si="21"/>
        <v/>
      </c>
      <c r="E176" s="254"/>
      <c r="F176" s="254"/>
      <c r="G176" s="253"/>
      <c r="H176" s="255">
        <v>2.5</v>
      </c>
      <c r="I176" s="253" t="str">
        <f t="shared" si="22"/>
        <v/>
      </c>
      <c r="J176" s="253" t="str">
        <f t="shared" si="23"/>
        <v/>
      </c>
      <c r="K176" s="253" t="str">
        <f>IF(B176="","Pending",IF(M176="","⚠️ Enter Code",IF(IFERROR(VLOOKUP(L176,DB_Agents!$B:$I,8,0),"")=M176,"Pending","🔒 BLOCKED — Wrong Code")))</f>
        <v>Pending</v>
      </c>
      <c r="L176" s="253" t="s">
        <v>133</v>
      </c>
      <c r="M176" s="240"/>
      <c r="N176" s="254"/>
    </row>
    <row r="177" spans="1:14" ht="18" customHeight="1" x14ac:dyDescent="0.25">
      <c r="A177" s="256" t="str">
        <f t="shared" si="20"/>
        <v/>
      </c>
      <c r="B177" s="257"/>
      <c r="C177" s="257" t="str">
        <f>IF(B177="","",IFERROR(VLOOKUP(B177,DB_Customers!$A:$D,4,0),"❌ Account Not Found"))</f>
        <v/>
      </c>
      <c r="D177" s="256" t="str">
        <f t="shared" ca="1" si="21"/>
        <v/>
      </c>
      <c r="E177" s="257"/>
      <c r="F177" s="257"/>
      <c r="G177" s="256"/>
      <c r="H177" s="258">
        <v>2.5</v>
      </c>
      <c r="I177" s="256" t="str">
        <f t="shared" si="22"/>
        <v/>
      </c>
      <c r="J177" s="256" t="str">
        <f t="shared" si="23"/>
        <v/>
      </c>
      <c r="K177" s="256" t="str">
        <f>IF(B177="","Pending",IF(M177="","⚠️ Enter Code",IF(IFERROR(VLOOKUP(L177,DB_Agents!$B:$I,8,0),"")=M177,"Pending","🔒 BLOCKED — Wrong Code")))</f>
        <v>Pending</v>
      </c>
      <c r="L177" s="256" t="s">
        <v>133</v>
      </c>
      <c r="M177" s="252"/>
      <c r="N177" s="257"/>
    </row>
    <row r="178" spans="1:14" ht="18" customHeight="1" x14ac:dyDescent="0.25">
      <c r="A178" s="253" t="str">
        <f t="shared" si="20"/>
        <v/>
      </c>
      <c r="B178" s="254"/>
      <c r="C178" s="254" t="str">
        <f>IF(B178="","",IFERROR(VLOOKUP(B178,DB_Customers!$A:$D,4,0),"❌ Account Not Found"))</f>
        <v/>
      </c>
      <c r="D178" s="253" t="str">
        <f t="shared" ca="1" si="21"/>
        <v/>
      </c>
      <c r="E178" s="254"/>
      <c r="F178" s="254"/>
      <c r="G178" s="253"/>
      <c r="H178" s="255">
        <v>2.5</v>
      </c>
      <c r="I178" s="253" t="str">
        <f t="shared" si="22"/>
        <v/>
      </c>
      <c r="J178" s="253" t="str">
        <f t="shared" si="23"/>
        <v/>
      </c>
      <c r="K178" s="253" t="str">
        <f>IF(B178="","Pending",IF(M178="","⚠️ Enter Code",IF(IFERROR(VLOOKUP(L178,DB_Agents!$B:$I,8,0),"")=M178,"Pending","🔒 BLOCKED — Wrong Code")))</f>
        <v>Pending</v>
      </c>
      <c r="L178" s="253" t="s">
        <v>133</v>
      </c>
      <c r="M178" s="240"/>
      <c r="N178" s="254"/>
    </row>
    <row r="179" spans="1:14" ht="18" customHeight="1" x14ac:dyDescent="0.25">
      <c r="A179" s="256" t="str">
        <f t="shared" si="20"/>
        <v/>
      </c>
      <c r="B179" s="257"/>
      <c r="C179" s="257" t="str">
        <f>IF(B179="","",IFERROR(VLOOKUP(B179,DB_Customers!$A:$D,4,0),"❌ Account Not Found"))</f>
        <v/>
      </c>
      <c r="D179" s="256" t="str">
        <f t="shared" ca="1" si="21"/>
        <v/>
      </c>
      <c r="E179" s="257"/>
      <c r="F179" s="257"/>
      <c r="G179" s="256"/>
      <c r="H179" s="258">
        <v>2.5</v>
      </c>
      <c r="I179" s="256" t="str">
        <f t="shared" si="22"/>
        <v/>
      </c>
      <c r="J179" s="256" t="str">
        <f t="shared" si="23"/>
        <v/>
      </c>
      <c r="K179" s="256" t="str">
        <f>IF(B179="","Pending",IF(M179="","⚠️ Enter Code",IF(IFERROR(VLOOKUP(L179,DB_Agents!$B:$I,8,0),"")=M179,"Pending","🔒 BLOCKED — Wrong Code")))</f>
        <v>Pending</v>
      </c>
      <c r="L179" s="256" t="s">
        <v>133</v>
      </c>
      <c r="M179" s="252"/>
      <c r="N179" s="257"/>
    </row>
    <row r="180" spans="1:14" ht="18" customHeight="1" x14ac:dyDescent="0.25">
      <c r="A180" s="253" t="str">
        <f t="shared" si="20"/>
        <v/>
      </c>
      <c r="B180" s="254"/>
      <c r="C180" s="254" t="str">
        <f>IF(B180="","",IFERROR(VLOOKUP(B180,DB_Customers!$A:$D,4,0),"❌ Account Not Found"))</f>
        <v/>
      </c>
      <c r="D180" s="253" t="str">
        <f t="shared" ca="1" si="21"/>
        <v/>
      </c>
      <c r="E180" s="254"/>
      <c r="F180" s="254"/>
      <c r="G180" s="253"/>
      <c r="H180" s="255">
        <v>2.5</v>
      </c>
      <c r="I180" s="253" t="str">
        <f t="shared" si="22"/>
        <v/>
      </c>
      <c r="J180" s="253" t="str">
        <f t="shared" si="23"/>
        <v/>
      </c>
      <c r="K180" s="253" t="str">
        <f>IF(B180="","Pending",IF(M180="","⚠️ Enter Code",IF(IFERROR(VLOOKUP(L180,DB_Agents!$B:$I,8,0),"")=M180,"Pending","🔒 BLOCKED — Wrong Code")))</f>
        <v>Pending</v>
      </c>
      <c r="L180" s="253" t="s">
        <v>133</v>
      </c>
      <c r="M180" s="240"/>
      <c r="N180" s="254"/>
    </row>
    <row r="181" spans="1:14" ht="18" customHeight="1" x14ac:dyDescent="0.25">
      <c r="A181" s="256" t="str">
        <f t="shared" si="20"/>
        <v/>
      </c>
      <c r="B181" s="257"/>
      <c r="C181" s="257" t="str">
        <f>IF(B181="","",IFERROR(VLOOKUP(B181,DB_Customers!$A:$D,4,0),"❌ Account Not Found"))</f>
        <v/>
      </c>
      <c r="D181" s="256" t="str">
        <f t="shared" ca="1" si="21"/>
        <v/>
      </c>
      <c r="E181" s="257"/>
      <c r="F181" s="257"/>
      <c r="G181" s="256"/>
      <c r="H181" s="258">
        <v>2.5</v>
      </c>
      <c r="I181" s="256" t="str">
        <f t="shared" si="22"/>
        <v/>
      </c>
      <c r="J181" s="256" t="str">
        <f t="shared" si="23"/>
        <v/>
      </c>
      <c r="K181" s="256" t="str">
        <f>IF(B181="","Pending",IF(M181="","⚠️ Enter Code",IF(IFERROR(VLOOKUP(L181,DB_Agents!$B:$I,8,0),"")=M181,"Pending","🔒 BLOCKED — Wrong Code")))</f>
        <v>Pending</v>
      </c>
      <c r="L181" s="256" t="s">
        <v>133</v>
      </c>
      <c r="M181" s="252"/>
      <c r="N181" s="257"/>
    </row>
    <row r="182" spans="1:14" ht="18" customHeight="1" x14ac:dyDescent="0.25">
      <c r="A182" s="253" t="str">
        <f t="shared" si="20"/>
        <v/>
      </c>
      <c r="B182" s="254"/>
      <c r="C182" s="254" t="str">
        <f>IF(B182="","",IFERROR(VLOOKUP(B182,DB_Customers!$A:$D,4,0),"❌ Account Not Found"))</f>
        <v/>
      </c>
      <c r="D182" s="253" t="str">
        <f t="shared" ca="1" si="21"/>
        <v/>
      </c>
      <c r="E182" s="254"/>
      <c r="F182" s="254"/>
      <c r="G182" s="253"/>
      <c r="H182" s="255">
        <v>2.5</v>
      </c>
      <c r="I182" s="253" t="str">
        <f t="shared" si="22"/>
        <v/>
      </c>
      <c r="J182" s="253" t="str">
        <f t="shared" si="23"/>
        <v/>
      </c>
      <c r="K182" s="253" t="str">
        <f>IF(B182="","Pending",IF(M182="","⚠️ Enter Code",IF(IFERROR(VLOOKUP(L182,DB_Agents!$B:$I,8,0),"")=M182,"Pending","🔒 BLOCKED — Wrong Code")))</f>
        <v>Pending</v>
      </c>
      <c r="L182" s="253" t="s">
        <v>133</v>
      </c>
      <c r="M182" s="240"/>
      <c r="N182" s="254"/>
    </row>
    <row r="183" spans="1:14" ht="18" customHeight="1" x14ac:dyDescent="0.25">
      <c r="A183" s="256" t="str">
        <f t="shared" si="20"/>
        <v/>
      </c>
      <c r="B183" s="257"/>
      <c r="C183" s="257" t="str">
        <f>IF(B183="","",IFERROR(VLOOKUP(B183,DB_Customers!$A:$D,4,0),"❌ Account Not Found"))</f>
        <v/>
      </c>
      <c r="D183" s="256" t="str">
        <f t="shared" ca="1" si="21"/>
        <v/>
      </c>
      <c r="E183" s="257"/>
      <c r="F183" s="257"/>
      <c r="G183" s="256"/>
      <c r="H183" s="258">
        <v>2.5</v>
      </c>
      <c r="I183" s="256" t="str">
        <f t="shared" si="22"/>
        <v/>
      </c>
      <c r="J183" s="256" t="str">
        <f t="shared" si="23"/>
        <v/>
      </c>
      <c r="K183" s="256" t="str">
        <f>IF(B183="","Pending",IF(M183="","⚠️ Enter Code",IF(IFERROR(VLOOKUP(L183,DB_Agents!$B:$I,8,0),"")=M183,"Pending","🔒 BLOCKED — Wrong Code")))</f>
        <v>Pending</v>
      </c>
      <c r="L183" s="256" t="s">
        <v>133</v>
      </c>
      <c r="M183" s="252"/>
      <c r="N183" s="257"/>
    </row>
    <row r="184" spans="1:14" ht="18" customHeight="1" x14ac:dyDescent="0.25">
      <c r="A184" s="253" t="str">
        <f t="shared" si="20"/>
        <v/>
      </c>
      <c r="B184" s="254"/>
      <c r="C184" s="254" t="str">
        <f>IF(B184="","",IFERROR(VLOOKUP(B184,DB_Customers!$A:$D,4,0),"❌ Account Not Found"))</f>
        <v/>
      </c>
      <c r="D184" s="253" t="str">
        <f t="shared" ca="1" si="21"/>
        <v/>
      </c>
      <c r="E184" s="254"/>
      <c r="F184" s="254"/>
      <c r="G184" s="253"/>
      <c r="H184" s="255">
        <v>2.5</v>
      </c>
      <c r="I184" s="253" t="str">
        <f t="shared" si="22"/>
        <v/>
      </c>
      <c r="J184" s="253" t="str">
        <f t="shared" si="23"/>
        <v/>
      </c>
      <c r="K184" s="253" t="str">
        <f>IF(B184="","Pending",IF(M184="","⚠️ Enter Code",IF(IFERROR(VLOOKUP(L184,DB_Agents!$B:$I,8,0),"")=M184,"Pending","🔒 BLOCKED — Wrong Code")))</f>
        <v>Pending</v>
      </c>
      <c r="L184" s="253" t="s">
        <v>133</v>
      </c>
      <c r="M184" s="240"/>
      <c r="N184" s="254"/>
    </row>
    <row r="185" spans="1:14" ht="18" customHeight="1" x14ac:dyDescent="0.25">
      <c r="A185" s="256" t="str">
        <f t="shared" si="20"/>
        <v/>
      </c>
      <c r="B185" s="257"/>
      <c r="C185" s="257" t="str">
        <f>IF(B185="","",IFERROR(VLOOKUP(B185,DB_Customers!$A:$D,4,0),"❌ Account Not Found"))</f>
        <v/>
      </c>
      <c r="D185" s="256" t="str">
        <f t="shared" ca="1" si="21"/>
        <v/>
      </c>
      <c r="E185" s="257"/>
      <c r="F185" s="257"/>
      <c r="G185" s="256"/>
      <c r="H185" s="258">
        <v>2.5</v>
      </c>
      <c r="I185" s="256" t="str">
        <f t="shared" si="22"/>
        <v/>
      </c>
      <c r="J185" s="256" t="str">
        <f t="shared" si="23"/>
        <v/>
      </c>
      <c r="K185" s="256" t="str">
        <f>IF(B185="","Pending",IF(M185="","⚠️ Enter Code",IF(IFERROR(VLOOKUP(L185,DB_Agents!$B:$I,8,0),"")=M185,"Pending","🔒 BLOCKED — Wrong Code")))</f>
        <v>Pending</v>
      </c>
      <c r="L185" s="256" t="s">
        <v>133</v>
      </c>
      <c r="M185" s="252"/>
      <c r="N185" s="257"/>
    </row>
    <row r="186" spans="1:14" ht="18" customHeight="1" x14ac:dyDescent="0.25">
      <c r="A186" s="253" t="str">
        <f t="shared" si="20"/>
        <v/>
      </c>
      <c r="B186" s="254"/>
      <c r="C186" s="254" t="str">
        <f>IF(B186="","",IFERROR(VLOOKUP(B186,DB_Customers!$A:$D,4,0),"❌ Account Not Found"))</f>
        <v/>
      </c>
      <c r="D186" s="253" t="str">
        <f t="shared" ca="1" si="21"/>
        <v/>
      </c>
      <c r="E186" s="254"/>
      <c r="F186" s="254"/>
      <c r="G186" s="253"/>
      <c r="H186" s="255">
        <v>2.5</v>
      </c>
      <c r="I186" s="253" t="str">
        <f t="shared" si="22"/>
        <v/>
      </c>
      <c r="J186" s="253" t="str">
        <f t="shared" si="23"/>
        <v/>
      </c>
      <c r="K186" s="253" t="str">
        <f>IF(B186="","Pending",IF(M186="","⚠️ Enter Code",IF(IFERROR(VLOOKUP(L186,DB_Agents!$B:$I,8,0),"")=M186,"Pending","🔒 BLOCKED — Wrong Code")))</f>
        <v>Pending</v>
      </c>
      <c r="L186" s="253" t="s">
        <v>133</v>
      </c>
      <c r="M186" s="240"/>
      <c r="N186" s="254"/>
    </row>
    <row r="187" spans="1:14" ht="18" customHeight="1" x14ac:dyDescent="0.25">
      <c r="A187" s="256" t="str">
        <f t="shared" si="20"/>
        <v/>
      </c>
      <c r="B187" s="257"/>
      <c r="C187" s="257" t="str">
        <f>IF(B187="","",IFERROR(VLOOKUP(B187,DB_Customers!$A:$D,4,0),"❌ Account Not Found"))</f>
        <v/>
      </c>
      <c r="D187" s="256" t="str">
        <f t="shared" ca="1" si="21"/>
        <v/>
      </c>
      <c r="E187" s="257"/>
      <c r="F187" s="257"/>
      <c r="G187" s="256"/>
      <c r="H187" s="258">
        <v>2.5</v>
      </c>
      <c r="I187" s="256" t="str">
        <f t="shared" si="22"/>
        <v/>
      </c>
      <c r="J187" s="256" t="str">
        <f t="shared" si="23"/>
        <v/>
      </c>
      <c r="K187" s="256" t="str">
        <f>IF(B187="","Pending",IF(M187="","⚠️ Enter Code",IF(IFERROR(VLOOKUP(L187,DB_Agents!$B:$I,8,0),"")=M187,"Pending","🔒 BLOCKED — Wrong Code")))</f>
        <v>Pending</v>
      </c>
      <c r="L187" s="256" t="s">
        <v>133</v>
      </c>
      <c r="M187" s="252"/>
      <c r="N187" s="257"/>
    </row>
    <row r="188" spans="1:14" ht="18" customHeight="1" x14ac:dyDescent="0.25">
      <c r="A188" s="253" t="str">
        <f t="shared" si="20"/>
        <v/>
      </c>
      <c r="B188" s="254"/>
      <c r="C188" s="254" t="str">
        <f>IF(B188="","",IFERROR(VLOOKUP(B188,DB_Customers!$A:$D,4,0),"❌ Account Not Found"))</f>
        <v/>
      </c>
      <c r="D188" s="253" t="str">
        <f t="shared" ca="1" si="21"/>
        <v/>
      </c>
      <c r="E188" s="254"/>
      <c r="F188" s="254"/>
      <c r="G188" s="253"/>
      <c r="H188" s="255">
        <v>2.5</v>
      </c>
      <c r="I188" s="253" t="str">
        <f t="shared" si="22"/>
        <v/>
      </c>
      <c r="J188" s="253" t="str">
        <f t="shared" si="23"/>
        <v/>
      </c>
      <c r="K188" s="253" t="str">
        <f>IF(B188="","Pending",IF(M188="","⚠️ Enter Code",IF(IFERROR(VLOOKUP(L188,DB_Agents!$B:$I,8,0),"")=M188,"Pending","🔒 BLOCKED — Wrong Code")))</f>
        <v>Pending</v>
      </c>
      <c r="L188" s="253" t="s">
        <v>133</v>
      </c>
      <c r="M188" s="240"/>
      <c r="N188" s="254"/>
    </row>
    <row r="189" spans="1:14" ht="18" customHeight="1" x14ac:dyDescent="0.25">
      <c r="A189" s="256" t="str">
        <f t="shared" si="20"/>
        <v/>
      </c>
      <c r="B189" s="257"/>
      <c r="C189" s="257" t="str">
        <f>IF(B189="","",IFERROR(VLOOKUP(B189,DB_Customers!$A:$D,4,0),"❌ Account Not Found"))</f>
        <v/>
      </c>
      <c r="D189" s="256" t="str">
        <f t="shared" ca="1" si="21"/>
        <v/>
      </c>
      <c r="E189" s="257"/>
      <c r="F189" s="257"/>
      <c r="G189" s="256"/>
      <c r="H189" s="258">
        <v>2.5</v>
      </c>
      <c r="I189" s="256" t="str">
        <f t="shared" si="22"/>
        <v/>
      </c>
      <c r="J189" s="256" t="str">
        <f t="shared" si="23"/>
        <v/>
      </c>
      <c r="K189" s="256" t="str">
        <f>IF(B189="","Pending",IF(M189="","⚠️ Enter Code",IF(IFERROR(VLOOKUP(L189,DB_Agents!$B:$I,8,0),"")=M189,"Pending","🔒 BLOCKED — Wrong Code")))</f>
        <v>Pending</v>
      </c>
      <c r="L189" s="256" t="s">
        <v>133</v>
      </c>
      <c r="M189" s="252"/>
      <c r="N189" s="257"/>
    </row>
    <row r="190" spans="1:14" ht="18" customHeight="1" x14ac:dyDescent="0.25">
      <c r="A190" s="253" t="str">
        <f t="shared" si="20"/>
        <v/>
      </c>
      <c r="B190" s="254"/>
      <c r="C190" s="254" t="str">
        <f>IF(B190="","",IFERROR(VLOOKUP(B190,DB_Customers!$A:$D,4,0),"❌ Account Not Found"))</f>
        <v/>
      </c>
      <c r="D190" s="253" t="str">
        <f t="shared" ca="1" si="21"/>
        <v/>
      </c>
      <c r="E190" s="254"/>
      <c r="F190" s="254"/>
      <c r="G190" s="253"/>
      <c r="H190" s="255">
        <v>2.5</v>
      </c>
      <c r="I190" s="253" t="str">
        <f t="shared" si="22"/>
        <v/>
      </c>
      <c r="J190" s="253" t="str">
        <f t="shared" si="23"/>
        <v/>
      </c>
      <c r="K190" s="253" t="str">
        <f>IF(B190="","Pending",IF(M190="","⚠️ Enter Code",IF(IFERROR(VLOOKUP(L190,DB_Agents!$B:$I,8,0),"")=M190,"Pending","🔒 BLOCKED — Wrong Code")))</f>
        <v>Pending</v>
      </c>
      <c r="L190" s="253" t="s">
        <v>133</v>
      </c>
      <c r="M190" s="240"/>
      <c r="N190" s="254"/>
    </row>
    <row r="191" spans="1:14" ht="18" customHeight="1" x14ac:dyDescent="0.25">
      <c r="A191" s="256" t="str">
        <f t="shared" si="20"/>
        <v/>
      </c>
      <c r="B191" s="257"/>
      <c r="C191" s="257" t="str">
        <f>IF(B191="","",IFERROR(VLOOKUP(B191,DB_Customers!$A:$D,4,0),"❌ Account Not Found"))</f>
        <v/>
      </c>
      <c r="D191" s="256" t="str">
        <f t="shared" ca="1" si="21"/>
        <v/>
      </c>
      <c r="E191" s="257"/>
      <c r="F191" s="257"/>
      <c r="G191" s="256"/>
      <c r="H191" s="258">
        <v>2.5</v>
      </c>
      <c r="I191" s="256" t="str">
        <f t="shared" si="22"/>
        <v/>
      </c>
      <c r="J191" s="256" t="str">
        <f t="shared" si="23"/>
        <v/>
      </c>
      <c r="K191" s="256" t="str">
        <f>IF(B191="","Pending",IF(M191="","⚠️ Enter Code",IF(IFERROR(VLOOKUP(L191,DB_Agents!$B:$I,8,0),"")=M191,"Pending","🔒 BLOCKED — Wrong Code")))</f>
        <v>Pending</v>
      </c>
      <c r="L191" s="256" t="s">
        <v>133</v>
      </c>
      <c r="M191" s="252"/>
      <c r="N191" s="257"/>
    </row>
    <row r="192" spans="1:14" ht="18" customHeight="1" x14ac:dyDescent="0.25">
      <c r="A192" s="253" t="str">
        <f t="shared" si="20"/>
        <v/>
      </c>
      <c r="B192" s="254"/>
      <c r="C192" s="254" t="str">
        <f>IF(B192="","",IFERROR(VLOOKUP(B192,DB_Customers!$A:$D,4,0),"❌ Account Not Found"))</f>
        <v/>
      </c>
      <c r="D192" s="253" t="str">
        <f t="shared" ca="1" si="21"/>
        <v/>
      </c>
      <c r="E192" s="254"/>
      <c r="F192" s="254"/>
      <c r="G192" s="253"/>
      <c r="H192" s="255">
        <v>2.5</v>
      </c>
      <c r="I192" s="253" t="str">
        <f t="shared" si="22"/>
        <v/>
      </c>
      <c r="J192" s="253" t="str">
        <f t="shared" si="23"/>
        <v/>
      </c>
      <c r="K192" s="253" t="str">
        <f>IF(B192="","Pending",IF(M192="","⚠️ Enter Code",IF(IFERROR(VLOOKUP(L192,DB_Agents!$B:$I,8,0),"")=M192,"Pending","🔒 BLOCKED — Wrong Code")))</f>
        <v>Pending</v>
      </c>
      <c r="L192" s="253" t="s">
        <v>133</v>
      </c>
      <c r="M192" s="240"/>
      <c r="N192" s="254"/>
    </row>
    <row r="193" spans="1:14" ht="18" customHeight="1" x14ac:dyDescent="0.25">
      <c r="A193" s="256" t="str">
        <f t="shared" si="20"/>
        <v/>
      </c>
      <c r="B193" s="257"/>
      <c r="C193" s="257" t="str">
        <f>IF(B193="","",IFERROR(VLOOKUP(B193,DB_Customers!$A:$D,4,0),"❌ Account Not Found"))</f>
        <v/>
      </c>
      <c r="D193" s="256" t="str">
        <f t="shared" ca="1" si="21"/>
        <v/>
      </c>
      <c r="E193" s="257"/>
      <c r="F193" s="257"/>
      <c r="G193" s="256"/>
      <c r="H193" s="258">
        <v>2.5</v>
      </c>
      <c r="I193" s="256" t="str">
        <f t="shared" si="22"/>
        <v/>
      </c>
      <c r="J193" s="256" t="str">
        <f t="shared" si="23"/>
        <v/>
      </c>
      <c r="K193" s="256" t="str">
        <f>IF(B193="","Pending",IF(M193="","⚠️ Enter Code",IF(IFERROR(VLOOKUP(L193,DB_Agents!$B:$I,8,0),"")=M193,"Pending","🔒 BLOCKED — Wrong Code")))</f>
        <v>Pending</v>
      </c>
      <c r="L193" s="256" t="s">
        <v>133</v>
      </c>
      <c r="M193" s="252"/>
      <c r="N193" s="257"/>
    </row>
    <row r="194" spans="1:14" ht="18" customHeight="1" x14ac:dyDescent="0.25">
      <c r="A194" s="253" t="str">
        <f t="shared" si="20"/>
        <v/>
      </c>
      <c r="B194" s="254"/>
      <c r="C194" s="254" t="str">
        <f>IF(B194="","",IFERROR(VLOOKUP(B194,DB_Customers!$A:$D,4,0),"❌ Account Not Found"))</f>
        <v/>
      </c>
      <c r="D194" s="253" t="str">
        <f t="shared" ca="1" si="21"/>
        <v/>
      </c>
      <c r="E194" s="254"/>
      <c r="F194" s="254"/>
      <c r="G194" s="253"/>
      <c r="H194" s="255">
        <v>2.5</v>
      </c>
      <c r="I194" s="253" t="str">
        <f t="shared" si="22"/>
        <v/>
      </c>
      <c r="J194" s="253" t="str">
        <f t="shared" si="23"/>
        <v/>
      </c>
      <c r="K194" s="253" t="str">
        <f>IF(B194="","Pending",IF(M194="","⚠️ Enter Code",IF(IFERROR(VLOOKUP(L194,DB_Agents!$B:$I,8,0),"")=M194,"Pending","🔒 BLOCKED — Wrong Code")))</f>
        <v>Pending</v>
      </c>
      <c r="L194" s="253" t="s">
        <v>133</v>
      </c>
      <c r="M194" s="240"/>
      <c r="N194" s="254"/>
    </row>
    <row r="195" spans="1:14" ht="18" customHeight="1" x14ac:dyDescent="0.25">
      <c r="A195" s="256" t="str">
        <f t="shared" si="20"/>
        <v/>
      </c>
      <c r="B195" s="257"/>
      <c r="C195" s="257" t="str">
        <f>IF(B195="","",IFERROR(VLOOKUP(B195,DB_Customers!$A:$D,4,0),"❌ Account Not Found"))</f>
        <v/>
      </c>
      <c r="D195" s="256" t="str">
        <f t="shared" ca="1" si="21"/>
        <v/>
      </c>
      <c r="E195" s="257"/>
      <c r="F195" s="257"/>
      <c r="G195" s="256"/>
      <c r="H195" s="258">
        <v>2.5</v>
      </c>
      <c r="I195" s="256" t="str">
        <f t="shared" si="22"/>
        <v/>
      </c>
      <c r="J195" s="256" t="str">
        <f t="shared" si="23"/>
        <v/>
      </c>
      <c r="K195" s="256" t="str">
        <f>IF(B195="","Pending",IF(M195="","⚠️ Enter Code",IF(IFERROR(VLOOKUP(L195,DB_Agents!$B:$I,8,0),"")=M195,"Pending","🔒 BLOCKED — Wrong Code")))</f>
        <v>Pending</v>
      </c>
      <c r="L195" s="256" t="s">
        <v>133</v>
      </c>
      <c r="M195" s="252"/>
      <c r="N195" s="257"/>
    </row>
    <row r="196" spans="1:14" ht="18" customHeight="1" x14ac:dyDescent="0.25">
      <c r="A196" s="253" t="str">
        <f t="shared" si="20"/>
        <v/>
      </c>
      <c r="B196" s="254"/>
      <c r="C196" s="254" t="str">
        <f>IF(B196="","",IFERROR(VLOOKUP(B196,DB_Customers!$A:$D,4,0),"❌ Account Not Found"))</f>
        <v/>
      </c>
      <c r="D196" s="253" t="str">
        <f t="shared" ca="1" si="21"/>
        <v/>
      </c>
      <c r="E196" s="254"/>
      <c r="F196" s="254"/>
      <c r="G196" s="253"/>
      <c r="H196" s="255">
        <v>2.5</v>
      </c>
      <c r="I196" s="253" t="str">
        <f t="shared" si="22"/>
        <v/>
      </c>
      <c r="J196" s="253" t="str">
        <f t="shared" si="23"/>
        <v/>
      </c>
      <c r="K196" s="253" t="str">
        <f>IF(B196="","Pending",IF(M196="","⚠️ Enter Code",IF(IFERROR(VLOOKUP(L196,DB_Agents!$B:$I,8,0),"")=M196,"Pending","🔒 BLOCKED — Wrong Code")))</f>
        <v>Pending</v>
      </c>
      <c r="L196" s="253" t="s">
        <v>133</v>
      </c>
      <c r="M196" s="240"/>
      <c r="N196" s="254"/>
    </row>
    <row r="197" spans="1:14" ht="18" customHeight="1" x14ac:dyDescent="0.25">
      <c r="A197" s="256" t="str">
        <f t="shared" si="20"/>
        <v/>
      </c>
      <c r="B197" s="257"/>
      <c r="C197" s="257" t="str">
        <f>IF(B197="","",IFERROR(VLOOKUP(B197,DB_Customers!$A:$D,4,0),"❌ Account Not Found"))</f>
        <v/>
      </c>
      <c r="D197" s="256" t="str">
        <f t="shared" ca="1" si="21"/>
        <v/>
      </c>
      <c r="E197" s="257"/>
      <c r="F197" s="257"/>
      <c r="G197" s="256"/>
      <c r="H197" s="258">
        <v>2.5</v>
      </c>
      <c r="I197" s="256" t="str">
        <f t="shared" si="22"/>
        <v/>
      </c>
      <c r="J197" s="256" t="str">
        <f t="shared" si="23"/>
        <v/>
      </c>
      <c r="K197" s="256" t="str">
        <f>IF(B197="","Pending",IF(M197="","⚠️ Enter Code",IF(IFERROR(VLOOKUP(L197,DB_Agents!$B:$I,8,0),"")=M197,"Pending","🔒 BLOCKED — Wrong Code")))</f>
        <v>Pending</v>
      </c>
      <c r="L197" s="256" t="s">
        <v>133</v>
      </c>
      <c r="M197" s="252"/>
      <c r="N197" s="257"/>
    </row>
    <row r="198" spans="1:14" ht="18" customHeight="1" x14ac:dyDescent="0.25">
      <c r="A198" s="253" t="str">
        <f t="shared" si="20"/>
        <v/>
      </c>
      <c r="B198" s="254"/>
      <c r="C198" s="254" t="str">
        <f>IF(B198="","",IFERROR(VLOOKUP(B198,DB_Customers!$A:$D,4,0),"❌ Account Not Found"))</f>
        <v/>
      </c>
      <c r="D198" s="253" t="str">
        <f t="shared" ca="1" si="21"/>
        <v/>
      </c>
      <c r="E198" s="254"/>
      <c r="F198" s="254"/>
      <c r="G198" s="253"/>
      <c r="H198" s="255">
        <v>2.5</v>
      </c>
      <c r="I198" s="253" t="str">
        <f t="shared" si="22"/>
        <v/>
      </c>
      <c r="J198" s="253" t="str">
        <f t="shared" si="23"/>
        <v/>
      </c>
      <c r="K198" s="253" t="str">
        <f>IF(B198="","Pending",IF(M198="","⚠️ Enter Code",IF(IFERROR(VLOOKUP(L198,DB_Agents!$B:$I,8,0),"")=M198,"Pending","🔒 BLOCKED — Wrong Code")))</f>
        <v>Pending</v>
      </c>
      <c r="L198" s="253" t="s">
        <v>133</v>
      </c>
      <c r="M198" s="240"/>
      <c r="N198" s="254"/>
    </row>
    <row r="199" spans="1:14" ht="18" customHeight="1" x14ac:dyDescent="0.25">
      <c r="A199" s="256" t="str">
        <f t="shared" si="20"/>
        <v/>
      </c>
      <c r="B199" s="257"/>
      <c r="C199" s="257" t="str">
        <f>IF(B199="","",IFERROR(VLOOKUP(B199,DB_Customers!$A:$D,4,0),"❌ Account Not Found"))</f>
        <v/>
      </c>
      <c r="D199" s="256" t="str">
        <f t="shared" ca="1" si="21"/>
        <v/>
      </c>
      <c r="E199" s="257"/>
      <c r="F199" s="257"/>
      <c r="G199" s="256"/>
      <c r="H199" s="258">
        <v>2.5</v>
      </c>
      <c r="I199" s="256" t="str">
        <f t="shared" si="22"/>
        <v/>
      </c>
      <c r="J199" s="256" t="str">
        <f t="shared" si="23"/>
        <v/>
      </c>
      <c r="K199" s="256" t="str">
        <f>IF(B199="","Pending",IF(M199="","⚠️ Enter Code",IF(IFERROR(VLOOKUP(L199,DB_Agents!$B:$I,8,0),"")=M199,"Pending","🔒 BLOCKED — Wrong Code")))</f>
        <v>Pending</v>
      </c>
      <c r="L199" s="256" t="s">
        <v>133</v>
      </c>
      <c r="M199" s="252"/>
      <c r="N199" s="257"/>
    </row>
    <row r="200" spans="1:14" ht="18" customHeight="1" x14ac:dyDescent="0.25">
      <c r="A200" s="253" t="str">
        <f t="shared" si="20"/>
        <v/>
      </c>
      <c r="B200" s="254"/>
      <c r="C200" s="254" t="str">
        <f>IF(B200="","",IFERROR(VLOOKUP(B200,DB_Customers!$A:$D,4,0),"❌ Account Not Found"))</f>
        <v/>
      </c>
      <c r="D200" s="253" t="str">
        <f t="shared" ca="1" si="21"/>
        <v/>
      </c>
      <c r="E200" s="254"/>
      <c r="F200" s="254"/>
      <c r="G200" s="253"/>
      <c r="H200" s="255">
        <v>2.5</v>
      </c>
      <c r="I200" s="253" t="str">
        <f t="shared" si="22"/>
        <v/>
      </c>
      <c r="J200" s="253" t="str">
        <f t="shared" si="23"/>
        <v/>
      </c>
      <c r="K200" s="253" t="str">
        <f>IF(B200="","Pending",IF(M200="","⚠️ Enter Code",IF(IFERROR(VLOOKUP(L200,DB_Agents!$B:$I,8,0),"")=M200,"Pending","🔒 BLOCKED — Wrong Code")))</f>
        <v>Pending</v>
      </c>
      <c r="L200" s="253" t="s">
        <v>133</v>
      </c>
      <c r="M200" s="240"/>
      <c r="N200" s="254"/>
    </row>
    <row r="201" spans="1:14" ht="18" customHeight="1" x14ac:dyDescent="0.25">
      <c r="A201" s="256" t="str">
        <f t="shared" si="20"/>
        <v/>
      </c>
      <c r="B201" s="257"/>
      <c r="C201" s="257" t="str">
        <f>IF(B201="","",IFERROR(VLOOKUP(B201,DB_Customers!$A:$D,4,0),"❌ Account Not Found"))</f>
        <v/>
      </c>
      <c r="D201" s="256" t="str">
        <f t="shared" ca="1" si="21"/>
        <v/>
      </c>
      <c r="E201" s="257"/>
      <c r="F201" s="257"/>
      <c r="G201" s="256"/>
      <c r="H201" s="256">
        <v>2.5</v>
      </c>
      <c r="I201" s="256" t="str">
        <f t="shared" si="22"/>
        <v/>
      </c>
      <c r="J201" s="256" t="str">
        <f t="shared" si="23"/>
        <v/>
      </c>
      <c r="K201" s="256" t="str">
        <f>IF(B201="","Pending",IF(M201="","⚠️ Enter Code",IF(IFERROR(VLOOKUP(L201,DB_Agents!$B:$I,8,0),"")=M201,"Pending","🔒 BLOCKED — Wrong Code")))</f>
        <v>Pending</v>
      </c>
      <c r="L201" s="256" t="s">
        <v>133</v>
      </c>
      <c r="M201" s="252"/>
      <c r="N201" s="257"/>
    </row>
    <row r="202" spans="1:14" ht="18" customHeight="1" x14ac:dyDescent="0.25">
      <c r="A202" s="253" t="str">
        <f t="shared" si="20"/>
        <v/>
      </c>
      <c r="B202" s="254"/>
      <c r="C202" s="254" t="str">
        <f>IF(B202="","",IFERROR(VLOOKUP(B202,DB_Customers!$A:$D,4,0),"❌ Account Not Found"))</f>
        <v/>
      </c>
      <c r="D202" s="253" t="str">
        <f t="shared" ca="1" si="21"/>
        <v/>
      </c>
      <c r="E202" s="254"/>
      <c r="F202" s="254"/>
      <c r="G202" s="253"/>
      <c r="H202" s="253">
        <v>2.5</v>
      </c>
      <c r="I202" s="253" t="str">
        <f t="shared" si="22"/>
        <v/>
      </c>
      <c r="J202" s="253" t="str">
        <f t="shared" si="23"/>
        <v/>
      </c>
      <c r="K202" s="253" t="str">
        <f>IF(B202="","Pending",IF(M202="","⚠️ Enter Code",IF(IFERROR(VLOOKUP(L202,DB_Agents!$B:$I,8,0),"")=M202,"Pending","🔒 BLOCKED — Wrong Code")))</f>
        <v>Pending</v>
      </c>
      <c r="L202" s="253" t="s">
        <v>133</v>
      </c>
      <c r="M202" s="240"/>
      <c r="N202" s="254"/>
    </row>
    <row r="203" spans="1:14" ht="18" customHeight="1" x14ac:dyDescent="0.25">
      <c r="A203" s="256" t="str">
        <f t="shared" si="20"/>
        <v/>
      </c>
      <c r="B203" s="257"/>
      <c r="C203" s="257" t="str">
        <f>IF(B203="","",IFERROR(VLOOKUP(B203,DB_Customers!$A:$D,4,0),"❌ Account Not Found"))</f>
        <v/>
      </c>
      <c r="D203" s="256" t="str">
        <f t="shared" ca="1" si="21"/>
        <v/>
      </c>
      <c r="E203" s="257"/>
      <c r="F203" s="257"/>
      <c r="G203" s="256"/>
      <c r="H203" s="256">
        <v>2.5</v>
      </c>
      <c r="I203" s="256" t="str">
        <f t="shared" si="22"/>
        <v/>
      </c>
      <c r="J203" s="256" t="str">
        <f t="shared" si="23"/>
        <v/>
      </c>
      <c r="K203" s="256" t="str">
        <f>IF(B203="","Pending",IF(M203="","⚠️ Enter Code",IF(IFERROR(VLOOKUP(L203,DB_Agents!$B:$I,8,0),"")=M203,"Pending","🔒 BLOCKED — Wrong Code")))</f>
        <v>Pending</v>
      </c>
      <c r="L203" s="256" t="s">
        <v>133</v>
      </c>
      <c r="M203" s="252"/>
      <c r="N203" s="257"/>
    </row>
    <row r="204" spans="1:14" ht="18" customHeight="1" x14ac:dyDescent="0.25">
      <c r="A204" s="253" t="str">
        <f t="shared" si="20"/>
        <v/>
      </c>
      <c r="B204" s="254"/>
      <c r="C204" s="254" t="str">
        <f>IF(B204="","",IFERROR(VLOOKUP(B204,DB_Customers!$A:$D,4,0),"❌ Account Not Found"))</f>
        <v/>
      </c>
      <c r="D204" s="253" t="str">
        <f t="shared" ca="1" si="21"/>
        <v/>
      </c>
      <c r="E204" s="254"/>
      <c r="F204" s="254"/>
      <c r="G204" s="253"/>
      <c r="H204" s="253">
        <v>2.5</v>
      </c>
      <c r="I204" s="253" t="str">
        <f t="shared" si="22"/>
        <v/>
      </c>
      <c r="J204" s="253" t="str">
        <f t="shared" si="23"/>
        <v/>
      </c>
      <c r="K204" s="253" t="str">
        <f>IF(B204="","Pending",IF(M204="","⚠️ Enter Code",IF(IFERROR(VLOOKUP(L204,DB_Agents!$B:$I,8,0),"")=M204,"Pending","🔒 BLOCKED — Wrong Code")))</f>
        <v>Pending</v>
      </c>
      <c r="L204" s="253" t="s">
        <v>133</v>
      </c>
      <c r="M204" s="240"/>
      <c r="N204" s="254"/>
    </row>
    <row r="205" spans="1:14" ht="18" customHeight="1" x14ac:dyDescent="0.25">
      <c r="A205" s="256" t="str">
        <f t="shared" si="20"/>
        <v/>
      </c>
      <c r="B205" s="257"/>
      <c r="C205" s="257" t="str">
        <f>IF(B205="","",IFERROR(VLOOKUP(B205,DB_Customers!$A:$D,4,0),"❌ Account Not Found"))</f>
        <v/>
      </c>
      <c r="D205" s="256" t="str">
        <f t="shared" ca="1" si="21"/>
        <v/>
      </c>
      <c r="E205" s="257"/>
      <c r="F205" s="257"/>
      <c r="G205" s="256"/>
      <c r="H205" s="256">
        <v>2.5</v>
      </c>
      <c r="I205" s="256" t="str">
        <f t="shared" si="22"/>
        <v/>
      </c>
      <c r="J205" s="256" t="str">
        <f t="shared" si="23"/>
        <v/>
      </c>
      <c r="K205" s="256" t="str">
        <f>IF(B205="","Pending",IF(M205="","⚠️ Enter Code",IF(IFERROR(VLOOKUP(L205,DB_Agents!$B:$I,8,0),"")=M205,"Pending","🔒 BLOCKED — Wrong Code")))</f>
        <v>Pending</v>
      </c>
      <c r="L205" s="256" t="s">
        <v>133</v>
      </c>
      <c r="M205" s="252"/>
      <c r="N205" s="257"/>
    </row>
    <row r="206" spans="1:14" ht="18" customHeight="1" x14ac:dyDescent="0.25">
      <c r="A206" s="253" t="str">
        <f t="shared" ref="A206:A213" si="24">IF(B206="","",IF(C206="❌ Account Not Found","INVALID","LN"&amp;TEXT(D206,"YYYYMMDD")&amp;TEXT(ROW()-13,"0000")))</f>
        <v/>
      </c>
      <c r="B206" s="254"/>
      <c r="C206" s="254" t="str">
        <f>IF(B206="","",IFERROR(VLOOKUP(B206,DB_Customers!$A:$D,4,0),"❌ Account Not Found"))</f>
        <v/>
      </c>
      <c r="D206" s="253" t="str">
        <f t="shared" ref="D206:D213" ca="1" si="25">IF(B206="","",TODAY())</f>
        <v/>
      </c>
      <c r="E206" s="254"/>
      <c r="F206" s="254"/>
      <c r="G206" s="253"/>
      <c r="H206" s="253">
        <v>2.5</v>
      </c>
      <c r="I206" s="253" t="str">
        <f t="shared" ref="I206:I213" si="26">IF(E206="","",E206+(E206*H206/100*G206))</f>
        <v/>
      </c>
      <c r="J206" s="253" t="str">
        <f t="shared" ref="J206:J213" si="27">IFERROR(I206/G206,"")</f>
        <v/>
      </c>
      <c r="K206" s="253" t="str">
        <f>IF(B206="","Pending",IF(M206="","⚠️ Enter Code",IF(IFERROR(VLOOKUP(L206,DB_Agents!$B:$I,8,0),"")=M206,"Pending","🔒 BLOCKED — Wrong Code")))</f>
        <v>Pending</v>
      </c>
      <c r="L206" s="253" t="s">
        <v>133</v>
      </c>
      <c r="M206" s="240"/>
      <c r="N206" s="254"/>
    </row>
    <row r="207" spans="1:14" ht="18" customHeight="1" x14ac:dyDescent="0.25">
      <c r="A207" s="256" t="str">
        <f t="shared" si="24"/>
        <v/>
      </c>
      <c r="B207" s="257"/>
      <c r="C207" s="257" t="str">
        <f>IF(B207="","",IFERROR(VLOOKUP(B207,DB_Customers!$A:$D,4,0),"❌ Account Not Found"))</f>
        <v/>
      </c>
      <c r="D207" s="256" t="str">
        <f t="shared" ca="1" si="25"/>
        <v/>
      </c>
      <c r="E207" s="257"/>
      <c r="F207" s="257"/>
      <c r="G207" s="256"/>
      <c r="H207" s="256">
        <v>2.5</v>
      </c>
      <c r="I207" s="256" t="str">
        <f t="shared" si="26"/>
        <v/>
      </c>
      <c r="J207" s="256" t="str">
        <f t="shared" si="27"/>
        <v/>
      </c>
      <c r="K207" s="256" t="str">
        <f>IF(B207="","Pending",IF(M207="","⚠️ Enter Code",IF(IFERROR(VLOOKUP(L207,DB_Agents!$B:$I,8,0),"")=M207,"Pending","🔒 BLOCKED — Wrong Code")))</f>
        <v>Pending</v>
      </c>
      <c r="L207" s="256" t="s">
        <v>133</v>
      </c>
      <c r="M207" s="252"/>
      <c r="N207" s="257"/>
    </row>
    <row r="208" spans="1:14" ht="18" customHeight="1" x14ac:dyDescent="0.25">
      <c r="A208" s="253" t="str">
        <f t="shared" si="24"/>
        <v/>
      </c>
      <c r="B208" s="254"/>
      <c r="C208" s="254" t="str">
        <f>IF(B208="","",IFERROR(VLOOKUP(B208,DB_Customers!$A:$D,4,0),"❌ Account Not Found"))</f>
        <v/>
      </c>
      <c r="D208" s="253" t="str">
        <f t="shared" ca="1" si="25"/>
        <v/>
      </c>
      <c r="E208" s="254"/>
      <c r="F208" s="254"/>
      <c r="G208" s="253"/>
      <c r="H208" s="253">
        <v>2.5</v>
      </c>
      <c r="I208" s="253" t="str">
        <f t="shared" si="26"/>
        <v/>
      </c>
      <c r="J208" s="253" t="str">
        <f t="shared" si="27"/>
        <v/>
      </c>
      <c r="K208" s="253" t="str">
        <f>IF(B208="","Pending",IF(M208="","⚠️ Enter Code",IF(IFERROR(VLOOKUP(L208,DB_Agents!$B:$I,8,0),"")=M208,"Pending","🔒 BLOCKED — Wrong Code")))</f>
        <v>Pending</v>
      </c>
      <c r="L208" s="253" t="s">
        <v>133</v>
      </c>
      <c r="M208" s="240"/>
      <c r="N208" s="254"/>
    </row>
    <row r="209" spans="1:14" ht="18" customHeight="1" x14ac:dyDescent="0.25">
      <c r="A209" s="256" t="str">
        <f t="shared" si="24"/>
        <v/>
      </c>
      <c r="B209" s="257"/>
      <c r="C209" s="257" t="str">
        <f>IF(B209="","",IFERROR(VLOOKUP(B209,DB_Customers!$A:$D,4,0),"❌ Account Not Found"))</f>
        <v/>
      </c>
      <c r="D209" s="256" t="str">
        <f t="shared" ca="1" si="25"/>
        <v/>
      </c>
      <c r="E209" s="257"/>
      <c r="F209" s="257"/>
      <c r="G209" s="256"/>
      <c r="H209" s="256">
        <v>2.5</v>
      </c>
      <c r="I209" s="256" t="str">
        <f t="shared" si="26"/>
        <v/>
      </c>
      <c r="J209" s="256" t="str">
        <f t="shared" si="27"/>
        <v/>
      </c>
      <c r="K209" s="256" t="str">
        <f>IF(B209="","Pending",IF(M209="","⚠️ Enter Code",IF(IFERROR(VLOOKUP(L209,DB_Agents!$B:$I,8,0),"")=M209,"Pending","🔒 BLOCKED — Wrong Code")))</f>
        <v>Pending</v>
      </c>
      <c r="L209" s="256" t="s">
        <v>133</v>
      </c>
      <c r="M209" s="252"/>
      <c r="N209" s="257"/>
    </row>
    <row r="210" spans="1:14" ht="18" customHeight="1" x14ac:dyDescent="0.25">
      <c r="A210" s="253" t="str">
        <f t="shared" si="24"/>
        <v/>
      </c>
      <c r="B210" s="254"/>
      <c r="C210" s="254" t="str">
        <f>IF(B210="","",IFERROR(VLOOKUP(B210,DB_Customers!$A:$D,4,0),"❌ Account Not Found"))</f>
        <v/>
      </c>
      <c r="D210" s="253" t="str">
        <f t="shared" ca="1" si="25"/>
        <v/>
      </c>
      <c r="E210" s="254"/>
      <c r="F210" s="254"/>
      <c r="G210" s="253"/>
      <c r="H210" s="253">
        <v>2.5</v>
      </c>
      <c r="I210" s="253" t="str">
        <f t="shared" si="26"/>
        <v/>
      </c>
      <c r="J210" s="253" t="str">
        <f t="shared" si="27"/>
        <v/>
      </c>
      <c r="K210" s="253" t="str">
        <f>IF(B210="","Pending",IF(M210="","⚠️ Enter Code",IF(IFERROR(VLOOKUP(L210,DB_Agents!$B:$I,8,0),"")=M210,"Pending","🔒 BLOCKED — Wrong Code")))</f>
        <v>Pending</v>
      </c>
      <c r="L210" s="253" t="s">
        <v>133</v>
      </c>
      <c r="M210" s="240"/>
      <c r="N210" s="254"/>
    </row>
    <row r="211" spans="1:14" ht="18" customHeight="1" x14ac:dyDescent="0.25">
      <c r="A211" s="256" t="str">
        <f t="shared" si="24"/>
        <v/>
      </c>
      <c r="B211" s="257"/>
      <c r="C211" s="257" t="str">
        <f>IF(B211="","",IFERROR(VLOOKUP(B211,DB_Customers!$A:$D,4,0),"❌ Account Not Found"))</f>
        <v/>
      </c>
      <c r="D211" s="256" t="str">
        <f t="shared" ca="1" si="25"/>
        <v/>
      </c>
      <c r="E211" s="257"/>
      <c r="F211" s="257"/>
      <c r="G211" s="256"/>
      <c r="H211" s="256">
        <v>2.5</v>
      </c>
      <c r="I211" s="256" t="str">
        <f t="shared" si="26"/>
        <v/>
      </c>
      <c r="J211" s="256" t="str">
        <f t="shared" si="27"/>
        <v/>
      </c>
      <c r="K211" s="256" t="str">
        <f>IF(B211="","Pending",IF(M211="","⚠️ Enter Code",IF(IFERROR(VLOOKUP(L211,DB_Agents!$B:$I,8,0),"")=M211,"Pending","🔒 BLOCKED — Wrong Code")))</f>
        <v>Pending</v>
      </c>
      <c r="L211" s="256" t="s">
        <v>133</v>
      </c>
      <c r="M211" s="252"/>
      <c r="N211" s="257"/>
    </row>
    <row r="212" spans="1:14" ht="18" customHeight="1" x14ac:dyDescent="0.25">
      <c r="A212" s="253" t="str">
        <f t="shared" si="24"/>
        <v/>
      </c>
      <c r="B212" s="254"/>
      <c r="C212" s="254" t="str">
        <f>IF(B212="","",IFERROR(VLOOKUP(B212,DB_Customers!$A:$D,4,0),"❌ Account Not Found"))</f>
        <v/>
      </c>
      <c r="D212" s="253" t="str">
        <f t="shared" ca="1" si="25"/>
        <v/>
      </c>
      <c r="E212" s="254"/>
      <c r="F212" s="254"/>
      <c r="G212" s="253"/>
      <c r="H212" s="253">
        <v>2.5</v>
      </c>
      <c r="I212" s="253" t="str">
        <f t="shared" si="26"/>
        <v/>
      </c>
      <c r="J212" s="253" t="str">
        <f t="shared" si="27"/>
        <v/>
      </c>
      <c r="K212" s="253" t="str">
        <f>IF(B212="","Pending",IF(M212="","⚠️ Enter Code",IF(IFERROR(VLOOKUP(L212,DB_Agents!$B:$I,8,0),"")=M212,"Pending","🔒 BLOCKED — Wrong Code")))</f>
        <v>Pending</v>
      </c>
      <c r="L212" s="253" t="s">
        <v>133</v>
      </c>
      <c r="M212" s="240"/>
      <c r="N212" s="254"/>
    </row>
    <row r="213" spans="1:14" ht="18" customHeight="1" x14ac:dyDescent="0.25">
      <c r="A213" s="256" t="str">
        <f t="shared" si="24"/>
        <v/>
      </c>
      <c r="B213" s="257"/>
      <c r="C213" s="257" t="str">
        <f>IF(B213="","",IFERROR(VLOOKUP(B213,DB_Customers!$A:$D,4,0),"❌ Account Not Found"))</f>
        <v/>
      </c>
      <c r="D213" s="256" t="str">
        <f t="shared" ca="1" si="25"/>
        <v/>
      </c>
      <c r="E213" s="257"/>
      <c r="F213" s="257"/>
      <c r="G213" s="256"/>
      <c r="H213" s="256">
        <v>2.5</v>
      </c>
      <c r="I213" s="256" t="str">
        <f t="shared" si="26"/>
        <v/>
      </c>
      <c r="J213" s="256" t="str">
        <f t="shared" si="27"/>
        <v/>
      </c>
      <c r="K213" s="256" t="str">
        <f>IF(B213="","Pending",IF(M213="","⚠️ Enter Code",IF(IFERROR(VLOOKUP(L213,DB_Agents!$B:$I,8,0),"")=M213,"Pending","🔒 BLOCKED — Wrong Code")))</f>
        <v>Pending</v>
      </c>
      <c r="L213" s="256" t="s">
        <v>133</v>
      </c>
      <c r="M213" s="252"/>
      <c r="N213" s="257"/>
    </row>
  </sheetData>
  <conditionalFormatting sqref="K14:K113">
    <cfRule type="cellIs" dxfId="95" priority="2" operator="equal">
      <formula>"Approved"</formula>
    </cfRule>
    <cfRule type="cellIs" dxfId="94" priority="3" operator="equal">
      <formula>"Pending"</formula>
    </cfRule>
    <cfRule type="cellIs" dxfId="93" priority="4" operator="equal">
      <formula>"Rejected"</formula>
    </cfRule>
  </conditionalFormatting>
  <dataValidations count="2">
    <dataValidation type="whole" showErrorMessage="1" error="Enter 1-36 months" sqref="G14:G113" xr:uid="{00000000-0002-0000-0B00-000000000000}">
      <formula1>1</formula1>
      <formula2>36</formula2>
    </dataValidation>
    <dataValidation type="list" sqref="L14:L113" xr:uid="{00000000-0002-0000-0B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359" t="s">
        <v>343</v>
      </c>
      <c r="B1" s="265"/>
      <c r="C1" s="265"/>
      <c r="D1" s="265"/>
      <c r="E1" s="265"/>
      <c r="F1" s="265"/>
      <c r="G1" s="265"/>
      <c r="H1" s="265"/>
      <c r="I1" s="265"/>
      <c r="J1" s="265"/>
      <c r="K1" s="265"/>
      <c r="L1" s="265"/>
    </row>
    <row r="2" spans="1:12" ht="19.5" customHeight="1" x14ac:dyDescent="0.25">
      <c r="A2" s="357" t="s">
        <v>344</v>
      </c>
      <c r="B2" s="265"/>
      <c r="C2" s="265"/>
      <c r="D2" s="265"/>
      <c r="E2" s="265"/>
      <c r="F2" s="265"/>
      <c r="G2" s="265"/>
      <c r="H2" s="265"/>
      <c r="I2" s="265"/>
      <c r="J2" s="265"/>
      <c r="K2" s="265"/>
      <c r="L2" s="265"/>
    </row>
    <row r="3" spans="1:12" ht="18" customHeight="1" x14ac:dyDescent="0.25">
      <c r="A3" s="323" t="s">
        <v>311</v>
      </c>
      <c r="B3" s="265"/>
      <c r="C3" s="265"/>
      <c r="D3" s="324" t="s">
        <v>312</v>
      </c>
      <c r="E3" s="265"/>
      <c r="F3" s="265"/>
      <c r="G3" s="351" t="s">
        <v>313</v>
      </c>
      <c r="H3" s="265"/>
      <c r="I3" s="265"/>
      <c r="J3" s="265"/>
      <c r="K3" s="265"/>
      <c r="L3" s="265"/>
    </row>
    <row r="4" spans="1:12" ht="27.75" customHeight="1" x14ac:dyDescent="0.25">
      <c r="A4" s="363">
        <f ca="1">SUMIFS(DB_Savings!$F:$F,DB_Savings!$G:$G,"Agent 02",DB_Savings!$E:$E,TODAY())</f>
        <v>0</v>
      </c>
      <c r="B4" s="265"/>
      <c r="C4" s="265"/>
      <c r="D4" s="361">
        <f ca="1">COUNTIFS(DB_Savings!$G:$G,"Agent 02",DB_Savings!$E:$E,TODAY())</f>
        <v>0</v>
      </c>
      <c r="E4" s="265"/>
      <c r="F4" s="265"/>
      <c r="G4" s="362" t="str">
        <f ca="1">TEXT(TODAY(),"DDDD, DD MMMM YYYY")</f>
        <v>Friday, 24 April 2026</v>
      </c>
      <c r="H4" s="265"/>
      <c r="I4" s="265"/>
      <c r="J4" s="265"/>
      <c r="K4" s="265"/>
      <c r="L4" s="265"/>
    </row>
    <row r="5" spans="1:12" ht="21.75" customHeight="1" x14ac:dyDescent="0.25">
      <c r="A5" s="360" t="str">
        <f ca="1">IF(SUMIFS(DB_Savings!$F:$F,DB_Savings!$G:$G,"Agent 02",DB_Savings!$E:$E,TODAY())&gt;=J4,"✅ DAILY TARGET ACHIEVED! Well done Agent 02!","⏳ Collection in progress — Keep going! Remaining: GHC "&amp;TEXT(J4-SUMIFS(DB_Savings!$F:$F,DB_Savings!$G:$G,"Agent 02",DB_Savings!$E:$E,TODAY()),"#,##0.00"))</f>
        <v>✅ DAILY TARGET ACHIEVED! Well done Agent 02!</v>
      </c>
      <c r="B5" s="265"/>
      <c r="C5" s="265"/>
      <c r="D5" s="265"/>
      <c r="E5" s="265"/>
      <c r="F5" s="265"/>
      <c r="G5" s="265"/>
      <c r="H5" s="265"/>
      <c r="I5" s="265"/>
      <c r="J5" s="265"/>
      <c r="K5" s="265"/>
      <c r="L5" s="265"/>
    </row>
    <row r="6" spans="1:12" ht="7.5" customHeight="1" x14ac:dyDescent="0.25"/>
    <row r="7" spans="1:12" ht="19.5" customHeight="1" x14ac:dyDescent="0.25">
      <c r="A7" s="358" t="s">
        <v>314</v>
      </c>
      <c r="B7" s="265"/>
      <c r="C7" s="265"/>
      <c r="D7" s="265"/>
      <c r="E7" s="265"/>
      <c r="F7" s="265"/>
      <c r="G7" s="265"/>
      <c r="H7" s="265"/>
      <c r="I7" s="265"/>
      <c r="J7" s="265"/>
      <c r="K7" s="265"/>
      <c r="L7" s="265"/>
    </row>
    <row r="8" spans="1:12" ht="19.5" customHeight="1" x14ac:dyDescent="0.25">
      <c r="A8" s="36" t="s">
        <v>315</v>
      </c>
      <c r="B8" s="36" t="s">
        <v>77</v>
      </c>
      <c r="C8" s="36" t="s">
        <v>316</v>
      </c>
      <c r="D8" s="36" t="s">
        <v>78</v>
      </c>
      <c r="E8" s="36" t="s">
        <v>317</v>
      </c>
      <c r="F8" s="36" t="s">
        <v>318</v>
      </c>
      <c r="G8" s="36" t="s">
        <v>14</v>
      </c>
      <c r="H8" s="75" t="s">
        <v>319</v>
      </c>
      <c r="I8" s="36" t="s">
        <v>13</v>
      </c>
      <c r="J8" s="36" t="s">
        <v>320</v>
      </c>
      <c r="K8" s="36" t="s">
        <v>321</v>
      </c>
    </row>
    <row r="9" spans="1:12" ht="15" customHeight="1" x14ac:dyDescent="0.25">
      <c r="A9" s="76"/>
      <c r="B9" s="37" t="str">
        <f>IF(A9="","",IFERROR(VLOOKUP(A9,DB_Customers!$A:$D,4,0),"❌ Account Not Found"))</f>
        <v/>
      </c>
      <c r="C9" s="77" t="str">
        <f>IF(A9="","",IFERROR(IF(SUMIF(DB_Savings!$C:$C,A9,DB_Savings!$F:$F)=0,VLOOKUP(A9,DB_Customers!$A:$I,9,0),VLOOKUP(A9,DB_Customers!$A:$N,14,0)),"❌ Acct Not Found"))</f>
        <v/>
      </c>
      <c r="D9" s="78" t="str">
        <f t="shared" ref="D9:D40" ca="1" si="0">IF(A9="","",TODAY())</f>
        <v/>
      </c>
      <c r="E9" s="79"/>
      <c r="F9" s="80" t="str">
        <f t="shared" ref="F9:F40" si="1">IF(OR(A9="",E9=""),"",IF(C9="","",C9+E9))</f>
        <v/>
      </c>
      <c r="G9" s="39" t="s">
        <v>134</v>
      </c>
      <c r="H9" s="81"/>
      <c r="I9" s="82" t="str">
        <f>IF(A9="","Pending",IF(H9="","⚠️ Enter Agent Code",IF(IFERROR(VLOOKUP(G9,DB_Agents!$B:$I,8,0),"")=H9,IF(AND(A9&lt;&gt;"",E9&lt;&gt;""),"Saved","Pending"),"🔒 BLOCKED — Wrong Code")))</f>
        <v>Pending</v>
      </c>
      <c r="J9" s="83" t="str">
        <f t="shared" ref="J9:J40" ca="1" si="2">IF(I9="Saved",TEXT(TODAY(),"YYYY-MM-DD")&amp;" Auto","—")</f>
        <v>—</v>
      </c>
      <c r="K9" s="84"/>
    </row>
    <row r="10" spans="1:12" ht="15" customHeight="1" x14ac:dyDescent="0.25">
      <c r="A10" s="85"/>
      <c r="B10" s="41" t="str">
        <f>IF(A10="","",IFERROR(VLOOKUP(A10,DB_Customers!$A:$D,4,0),"❌ Account Not Found"))</f>
        <v/>
      </c>
      <c r="C10" s="86" t="str">
        <f>IF(A10="","",IFERROR(IF(SUMIF(DB_Savings!$C:$C,A10,DB_Savings!$F:$F)=0,VLOOKUP(A10,DB_Customers!$A:$I,9,0),VLOOKUP(A10,DB_Customers!$A:$N,14,0)),"❌ Acct Not Found"))</f>
        <v/>
      </c>
      <c r="D10" s="87" t="str">
        <f t="shared" ca="1" si="0"/>
        <v/>
      </c>
      <c r="E10" s="79"/>
      <c r="F10" s="88" t="str">
        <f t="shared" si="1"/>
        <v/>
      </c>
      <c r="G10" s="43" t="s">
        <v>134</v>
      </c>
      <c r="H10" s="81"/>
      <c r="I10" s="89" t="str">
        <f>IF(A10="","Pending",IF(H10="","⚠️ Enter Agent Code",IF(IFERROR(VLOOKUP(G10,DB_Agents!$B:$I,8,0),"")=H10,IF(AND(A10&lt;&gt;"",E10&lt;&gt;""),"Saved","Pending"),"🔒 BLOCKED — Wrong Code")))</f>
        <v>Pending</v>
      </c>
      <c r="J10" s="90" t="str">
        <f t="shared" ca="1" si="2"/>
        <v>—</v>
      </c>
      <c r="K10" s="91"/>
    </row>
    <row r="11" spans="1:12" ht="15" customHeight="1" x14ac:dyDescent="0.25">
      <c r="A11" s="76"/>
      <c r="B11" s="37" t="str">
        <f>IF(A11="","",IFERROR(VLOOKUP(A11,DB_Customers!$A:$D,4,0),"❌ Account Not Found"))</f>
        <v/>
      </c>
      <c r="C11" s="77" t="str">
        <f>IF(A11="","",IFERROR(IF(SUMIF(DB_Savings!$C:$C,A11,DB_Savings!$F:$F)=0,VLOOKUP(A11,DB_Customers!$A:$I,9,0),VLOOKUP(A11,DB_Customers!$A:$N,14,0)),"❌ Acct Not Found"))</f>
        <v/>
      </c>
      <c r="D11" s="78" t="str">
        <f t="shared" ca="1" si="0"/>
        <v/>
      </c>
      <c r="E11" s="79"/>
      <c r="F11" s="80" t="str">
        <f t="shared" si="1"/>
        <v/>
      </c>
      <c r="G11" s="39" t="s">
        <v>134</v>
      </c>
      <c r="H11" s="81"/>
      <c r="I11" s="82" t="str">
        <f>IF(A11="","Pending",IF(H11="","⚠️ Enter Agent Code",IF(IFERROR(VLOOKUP(G11,DB_Agents!$B:$I,8,0),"")=H11,IF(AND(A11&lt;&gt;"",E11&lt;&gt;""),"Saved","Pending"),"🔒 BLOCKED — Wrong Code")))</f>
        <v>Pending</v>
      </c>
      <c r="J11" s="83" t="str">
        <f t="shared" ca="1" si="2"/>
        <v>—</v>
      </c>
      <c r="K11" s="84"/>
    </row>
    <row r="12" spans="1:12" ht="15" customHeight="1" x14ac:dyDescent="0.25">
      <c r="A12" s="85"/>
      <c r="B12" s="41" t="str">
        <f>IF(A12="","",IFERROR(VLOOKUP(A12,DB_Customers!$A:$D,4,0),"❌ Account Not Found"))</f>
        <v/>
      </c>
      <c r="C12" s="86" t="str">
        <f>IF(A12="","",IFERROR(IF(SUMIF(DB_Savings!$C:$C,A12,DB_Savings!$F:$F)=0,VLOOKUP(A12,DB_Customers!$A:$I,9,0),VLOOKUP(A12,DB_Customers!$A:$N,14,0)),"❌ Acct Not Found"))</f>
        <v/>
      </c>
      <c r="D12" s="87" t="str">
        <f t="shared" ca="1" si="0"/>
        <v/>
      </c>
      <c r="E12" s="79"/>
      <c r="F12" s="88" t="str">
        <f t="shared" si="1"/>
        <v/>
      </c>
      <c r="G12" s="43" t="s">
        <v>134</v>
      </c>
      <c r="H12" s="81"/>
      <c r="I12" s="89" t="str">
        <f>IF(A12="","Pending",IF(H12="","⚠️ Enter Agent Code",IF(IFERROR(VLOOKUP(G12,DB_Agents!$B:$I,8,0),"")=H12,IF(AND(A12&lt;&gt;"",E12&lt;&gt;""),"Saved","Pending"),"🔒 BLOCKED — Wrong Code")))</f>
        <v>Pending</v>
      </c>
      <c r="J12" s="90" t="str">
        <f t="shared" ca="1" si="2"/>
        <v>—</v>
      </c>
      <c r="K12" s="91"/>
    </row>
    <row r="13" spans="1:12" ht="15" customHeight="1" x14ac:dyDescent="0.25">
      <c r="A13" s="76"/>
      <c r="B13" s="37" t="str">
        <f>IF(A13="","",IFERROR(VLOOKUP(A13,DB_Customers!$A:$D,4,0),"❌ Account Not Found"))</f>
        <v/>
      </c>
      <c r="C13" s="77" t="str">
        <f>IF(A13="","",IFERROR(IF(SUMIF(DB_Savings!$C:$C,A13,DB_Savings!$F:$F)=0,VLOOKUP(A13,DB_Customers!$A:$I,9,0),VLOOKUP(A13,DB_Customers!$A:$N,14,0)),"❌ Acct Not Found"))</f>
        <v/>
      </c>
      <c r="D13" s="78" t="str">
        <f t="shared" ca="1" si="0"/>
        <v/>
      </c>
      <c r="E13" s="79"/>
      <c r="F13" s="80" t="str">
        <f t="shared" si="1"/>
        <v/>
      </c>
      <c r="G13" s="39" t="s">
        <v>134</v>
      </c>
      <c r="H13" s="81"/>
      <c r="I13" s="82" t="str">
        <f>IF(A13="","Pending",IF(H13="","⚠️ Enter Agent Code",IF(IFERROR(VLOOKUP(G13,DB_Agents!$B:$I,8,0),"")=H13,IF(AND(A13&lt;&gt;"",E13&lt;&gt;""),"Saved","Pending"),"🔒 BLOCKED — Wrong Code")))</f>
        <v>Pending</v>
      </c>
      <c r="J13" s="83" t="str">
        <f t="shared" ca="1" si="2"/>
        <v>—</v>
      </c>
      <c r="K13" s="84"/>
    </row>
    <row r="14" spans="1:12" ht="15" customHeight="1" x14ac:dyDescent="0.25">
      <c r="A14" s="85"/>
      <c r="B14" s="41" t="str">
        <f>IF(A14="","",IFERROR(VLOOKUP(A14,DB_Customers!$A:$D,4,0),"❌ Account Not Found"))</f>
        <v/>
      </c>
      <c r="C14" s="86" t="str">
        <f>IF(A14="","",IFERROR(IF(SUMIF(DB_Savings!$C:$C,A14,DB_Savings!$F:$F)=0,VLOOKUP(A14,DB_Customers!$A:$I,9,0),VLOOKUP(A14,DB_Customers!$A:$N,14,0)),"❌ Acct Not Found"))</f>
        <v/>
      </c>
      <c r="D14" s="87" t="str">
        <f t="shared" ca="1" si="0"/>
        <v/>
      </c>
      <c r="E14" s="79"/>
      <c r="F14" s="88" t="str">
        <f t="shared" si="1"/>
        <v/>
      </c>
      <c r="G14" s="43" t="s">
        <v>134</v>
      </c>
      <c r="H14" s="81"/>
      <c r="I14" s="89" t="str">
        <f>IF(A14="","Pending",IF(H14="","⚠️ Enter Agent Code",IF(IFERROR(VLOOKUP(G14,DB_Agents!$B:$I,8,0),"")=H14,IF(AND(A14&lt;&gt;"",E14&lt;&gt;""),"Saved","Pending"),"🔒 BLOCKED — Wrong Code")))</f>
        <v>Pending</v>
      </c>
      <c r="J14" s="90" t="str">
        <f t="shared" ca="1" si="2"/>
        <v>—</v>
      </c>
      <c r="K14" s="91"/>
    </row>
    <row r="15" spans="1:12" ht="15" customHeight="1" x14ac:dyDescent="0.25">
      <c r="A15" s="76"/>
      <c r="B15" s="37" t="str">
        <f>IF(A15="","",IFERROR(VLOOKUP(A15,DB_Customers!$A:$D,4,0),"❌ Account Not Found"))</f>
        <v/>
      </c>
      <c r="C15" s="77" t="str">
        <f>IF(A15="","",IFERROR(IF(SUMIF(DB_Savings!$C:$C,A15,DB_Savings!$F:$F)=0,VLOOKUP(A15,DB_Customers!$A:$I,9,0),VLOOKUP(A15,DB_Customers!$A:$N,14,0)),"❌ Acct Not Found"))</f>
        <v/>
      </c>
      <c r="D15" s="78" t="str">
        <f t="shared" ca="1" si="0"/>
        <v/>
      </c>
      <c r="E15" s="79"/>
      <c r="F15" s="80" t="str">
        <f t="shared" si="1"/>
        <v/>
      </c>
      <c r="G15" s="39" t="s">
        <v>134</v>
      </c>
      <c r="H15" s="81"/>
      <c r="I15" s="82" t="str">
        <f>IF(A15="","Pending",IF(H15="","⚠️ Enter Agent Code",IF(IFERROR(VLOOKUP(G15,DB_Agents!$B:$I,8,0),"")=H15,IF(AND(A15&lt;&gt;"",E15&lt;&gt;""),"Saved","Pending"),"🔒 BLOCKED — Wrong Code")))</f>
        <v>Pending</v>
      </c>
      <c r="J15" s="83" t="str">
        <f t="shared" ca="1" si="2"/>
        <v>—</v>
      </c>
      <c r="K15" s="84"/>
    </row>
    <row r="16" spans="1:12" ht="15" customHeight="1" x14ac:dyDescent="0.25">
      <c r="A16" s="85"/>
      <c r="B16" s="41" t="str">
        <f>IF(A16="","",IFERROR(VLOOKUP(A16,DB_Customers!$A:$D,4,0),"❌ Account Not Found"))</f>
        <v/>
      </c>
      <c r="C16" s="86" t="str">
        <f>IF(A16="","",IFERROR(IF(SUMIF(DB_Savings!$C:$C,A16,DB_Savings!$F:$F)=0,VLOOKUP(A16,DB_Customers!$A:$I,9,0),VLOOKUP(A16,DB_Customers!$A:$N,14,0)),"❌ Acct Not Found"))</f>
        <v/>
      </c>
      <c r="D16" s="87" t="str">
        <f t="shared" ca="1" si="0"/>
        <v/>
      </c>
      <c r="E16" s="79"/>
      <c r="F16" s="88" t="str">
        <f t="shared" si="1"/>
        <v/>
      </c>
      <c r="G16" s="43" t="s">
        <v>134</v>
      </c>
      <c r="H16" s="81"/>
      <c r="I16" s="89" t="str">
        <f>IF(A16="","Pending",IF(H16="","⚠️ Enter Agent Code",IF(IFERROR(VLOOKUP(G16,DB_Agents!$B:$I,8,0),"")=H16,IF(AND(A16&lt;&gt;"",E16&lt;&gt;""),"Saved","Pending"),"🔒 BLOCKED — Wrong Code")))</f>
        <v>Pending</v>
      </c>
      <c r="J16" s="90" t="str">
        <f t="shared" ca="1" si="2"/>
        <v>—</v>
      </c>
      <c r="K16" s="91"/>
    </row>
    <row r="17" spans="1:11" ht="15" customHeight="1" x14ac:dyDescent="0.25">
      <c r="A17" s="76"/>
      <c r="B17" s="37" t="str">
        <f>IF(A17="","",IFERROR(VLOOKUP(A17,DB_Customers!$A:$D,4,0),"❌ Account Not Found"))</f>
        <v/>
      </c>
      <c r="C17" s="77" t="str">
        <f>IF(A17="","",IFERROR(IF(SUMIF(DB_Savings!$C:$C,A17,DB_Savings!$F:$F)=0,VLOOKUP(A17,DB_Customers!$A:$I,9,0),VLOOKUP(A17,DB_Customers!$A:$N,14,0)),"❌ Acct Not Found"))</f>
        <v/>
      </c>
      <c r="D17" s="78" t="str">
        <f t="shared" ca="1" si="0"/>
        <v/>
      </c>
      <c r="E17" s="79"/>
      <c r="F17" s="80" t="str">
        <f t="shared" si="1"/>
        <v/>
      </c>
      <c r="G17" s="39" t="s">
        <v>134</v>
      </c>
      <c r="H17" s="81"/>
      <c r="I17" s="82" t="str">
        <f>IF(A17="","Pending",IF(H17="","⚠️ Enter Agent Code",IF(IFERROR(VLOOKUP(G17,DB_Agents!$B:$I,8,0),"")=H17,IF(AND(A17&lt;&gt;"",E17&lt;&gt;""),"Saved","Pending"),"🔒 BLOCKED — Wrong Code")))</f>
        <v>Pending</v>
      </c>
      <c r="J17" s="83" t="str">
        <f t="shared" ca="1" si="2"/>
        <v>—</v>
      </c>
      <c r="K17" s="84"/>
    </row>
    <row r="18" spans="1:11" ht="15" customHeight="1" x14ac:dyDescent="0.25">
      <c r="A18" s="85"/>
      <c r="B18" s="41" t="str">
        <f>IF(A18="","",IFERROR(VLOOKUP(A18,DB_Customers!$A:$D,4,0),"❌ Account Not Found"))</f>
        <v/>
      </c>
      <c r="C18" s="86" t="str">
        <f>IF(A18="","",IFERROR(IF(SUMIF(DB_Savings!$C:$C,A18,DB_Savings!$F:$F)=0,VLOOKUP(A18,DB_Customers!$A:$I,9,0),VLOOKUP(A18,DB_Customers!$A:$N,14,0)),"❌ Acct Not Found"))</f>
        <v/>
      </c>
      <c r="D18" s="87" t="str">
        <f t="shared" ca="1" si="0"/>
        <v/>
      </c>
      <c r="E18" s="79"/>
      <c r="F18" s="88" t="str">
        <f t="shared" si="1"/>
        <v/>
      </c>
      <c r="G18" s="43" t="s">
        <v>134</v>
      </c>
      <c r="H18" s="81"/>
      <c r="I18" s="89" t="str">
        <f>IF(A18="","Pending",IF(H18="","⚠️ Enter Agent Code",IF(IFERROR(VLOOKUP(G18,DB_Agents!$B:$I,8,0),"")=H18,IF(AND(A18&lt;&gt;"",E18&lt;&gt;""),"Saved","Pending"),"🔒 BLOCKED — Wrong Code")))</f>
        <v>Pending</v>
      </c>
      <c r="J18" s="90" t="str">
        <f t="shared" ca="1" si="2"/>
        <v>—</v>
      </c>
      <c r="K18" s="91"/>
    </row>
    <row r="19" spans="1:11" ht="15" customHeight="1" x14ac:dyDescent="0.25">
      <c r="A19" s="76"/>
      <c r="B19" s="37" t="str">
        <f>IF(A19="","",IFERROR(VLOOKUP(A19,DB_Customers!$A:$D,4,0),"❌ Account Not Found"))</f>
        <v/>
      </c>
      <c r="C19" s="77" t="str">
        <f>IF(A19="","",IFERROR(IF(SUMIF(DB_Savings!$C:$C,A19,DB_Savings!$F:$F)=0,VLOOKUP(A19,DB_Customers!$A:$I,9,0),VLOOKUP(A19,DB_Customers!$A:$N,14,0)),"❌ Acct Not Found"))</f>
        <v/>
      </c>
      <c r="D19" s="78" t="str">
        <f t="shared" ca="1" si="0"/>
        <v/>
      </c>
      <c r="E19" s="79"/>
      <c r="F19" s="80" t="str">
        <f t="shared" si="1"/>
        <v/>
      </c>
      <c r="G19" s="39" t="s">
        <v>134</v>
      </c>
      <c r="H19" s="81"/>
      <c r="I19" s="82" t="str">
        <f>IF(A19="","Pending",IF(H19="","⚠️ Enter Agent Code",IF(IFERROR(VLOOKUP(G19,DB_Agents!$B:$I,8,0),"")=H19,IF(AND(A19&lt;&gt;"",E19&lt;&gt;""),"Saved","Pending"),"🔒 BLOCKED — Wrong Code")))</f>
        <v>Pending</v>
      </c>
      <c r="J19" s="83" t="str">
        <f t="shared" ca="1" si="2"/>
        <v>—</v>
      </c>
      <c r="K19" s="84"/>
    </row>
    <row r="20" spans="1:11" ht="15" customHeight="1" x14ac:dyDescent="0.25">
      <c r="A20" s="85"/>
      <c r="B20" s="41" t="str">
        <f>IF(A20="","",IFERROR(VLOOKUP(A20,DB_Customers!$A:$D,4,0),"❌ Account Not Found"))</f>
        <v/>
      </c>
      <c r="C20" s="86" t="str">
        <f>IF(A20="","",IFERROR(IF(SUMIF(DB_Savings!$C:$C,A20,DB_Savings!$F:$F)=0,VLOOKUP(A20,DB_Customers!$A:$I,9,0),VLOOKUP(A20,DB_Customers!$A:$N,14,0)),"❌ Acct Not Found"))</f>
        <v/>
      </c>
      <c r="D20" s="87" t="str">
        <f t="shared" ca="1" si="0"/>
        <v/>
      </c>
      <c r="E20" s="79"/>
      <c r="F20" s="88" t="str">
        <f t="shared" si="1"/>
        <v/>
      </c>
      <c r="G20" s="43" t="s">
        <v>134</v>
      </c>
      <c r="H20" s="81"/>
      <c r="I20" s="89" t="str">
        <f>IF(A20="","Pending",IF(H20="","⚠️ Enter Agent Code",IF(IFERROR(VLOOKUP(G20,DB_Agents!$B:$I,8,0),"")=H20,IF(AND(A20&lt;&gt;"",E20&lt;&gt;""),"Saved","Pending"),"🔒 BLOCKED — Wrong Code")))</f>
        <v>Pending</v>
      </c>
      <c r="J20" s="90" t="str">
        <f t="shared" ca="1" si="2"/>
        <v>—</v>
      </c>
      <c r="K20" s="91"/>
    </row>
    <row r="21" spans="1:11" ht="15" customHeight="1" x14ac:dyDescent="0.25">
      <c r="A21" s="76"/>
      <c r="B21" s="37" t="str">
        <f>IF(A21="","",IFERROR(VLOOKUP(A21,DB_Customers!$A:$D,4,0),"❌ Account Not Found"))</f>
        <v/>
      </c>
      <c r="C21" s="77" t="str">
        <f>IF(A21="","",IFERROR(IF(SUMIF(DB_Savings!$C:$C,A21,DB_Savings!$F:$F)=0,VLOOKUP(A21,DB_Customers!$A:$I,9,0),VLOOKUP(A21,DB_Customers!$A:$N,14,0)),"❌ Acct Not Found"))</f>
        <v/>
      </c>
      <c r="D21" s="78" t="str">
        <f t="shared" ca="1" si="0"/>
        <v/>
      </c>
      <c r="E21" s="79"/>
      <c r="F21" s="80" t="str">
        <f t="shared" si="1"/>
        <v/>
      </c>
      <c r="G21" s="39" t="s">
        <v>134</v>
      </c>
      <c r="H21" s="81"/>
      <c r="I21" s="82" t="str">
        <f>IF(A21="","Pending",IF(H21="","⚠️ Enter Agent Code",IF(IFERROR(VLOOKUP(G21,DB_Agents!$B:$I,8,0),"")=H21,IF(AND(A21&lt;&gt;"",E21&lt;&gt;""),"Saved","Pending"),"🔒 BLOCKED — Wrong Code")))</f>
        <v>Pending</v>
      </c>
      <c r="J21" s="83" t="str">
        <f t="shared" ca="1" si="2"/>
        <v>—</v>
      </c>
      <c r="K21" s="84"/>
    </row>
    <row r="22" spans="1:11" ht="15" customHeight="1" x14ac:dyDescent="0.25">
      <c r="A22" s="85"/>
      <c r="B22" s="41" t="str">
        <f>IF(A22="","",IFERROR(VLOOKUP(A22,DB_Customers!$A:$D,4,0),"❌ Account Not Found"))</f>
        <v/>
      </c>
      <c r="C22" s="86" t="str">
        <f>IF(A22="","",IFERROR(IF(SUMIF(DB_Savings!$C:$C,A22,DB_Savings!$F:$F)=0,VLOOKUP(A22,DB_Customers!$A:$I,9,0),VLOOKUP(A22,DB_Customers!$A:$N,14,0)),"❌ Acct Not Found"))</f>
        <v/>
      </c>
      <c r="D22" s="87" t="str">
        <f t="shared" ca="1" si="0"/>
        <v/>
      </c>
      <c r="E22" s="79"/>
      <c r="F22" s="88" t="str">
        <f t="shared" si="1"/>
        <v/>
      </c>
      <c r="G22" s="43" t="s">
        <v>134</v>
      </c>
      <c r="H22" s="81"/>
      <c r="I22" s="89" t="str">
        <f>IF(A22="","Pending",IF(H22="","⚠️ Enter Agent Code",IF(IFERROR(VLOOKUP(G22,DB_Agents!$B:$I,8,0),"")=H22,IF(AND(A22&lt;&gt;"",E22&lt;&gt;""),"Saved","Pending"),"🔒 BLOCKED — Wrong Code")))</f>
        <v>Pending</v>
      </c>
      <c r="J22" s="90" t="str">
        <f t="shared" ca="1" si="2"/>
        <v>—</v>
      </c>
      <c r="K22" s="91"/>
    </row>
    <row r="23" spans="1:11" ht="15" customHeight="1" x14ac:dyDescent="0.25">
      <c r="A23" s="76"/>
      <c r="B23" s="37" t="str">
        <f>IF(A23="","",IFERROR(VLOOKUP(A23,DB_Customers!$A:$D,4,0),"❌ Account Not Found"))</f>
        <v/>
      </c>
      <c r="C23" s="77" t="str">
        <f>IF(A23="","",IFERROR(IF(SUMIF(DB_Savings!$C:$C,A23,DB_Savings!$F:$F)=0,VLOOKUP(A23,DB_Customers!$A:$I,9,0),VLOOKUP(A23,DB_Customers!$A:$N,14,0)),"❌ Acct Not Found"))</f>
        <v/>
      </c>
      <c r="D23" s="78" t="str">
        <f t="shared" ca="1" si="0"/>
        <v/>
      </c>
      <c r="E23" s="79"/>
      <c r="F23" s="80" t="str">
        <f t="shared" si="1"/>
        <v/>
      </c>
      <c r="G23" s="39" t="s">
        <v>134</v>
      </c>
      <c r="H23" s="81"/>
      <c r="I23" s="82" t="str">
        <f>IF(A23="","Pending",IF(H23="","⚠️ Enter Agent Code",IF(IFERROR(VLOOKUP(G23,DB_Agents!$B:$I,8,0),"")=H23,IF(AND(A23&lt;&gt;"",E23&lt;&gt;""),"Saved","Pending"),"🔒 BLOCKED — Wrong Code")))</f>
        <v>Pending</v>
      </c>
      <c r="J23" s="83" t="str">
        <f t="shared" ca="1" si="2"/>
        <v>—</v>
      </c>
      <c r="K23" s="84"/>
    </row>
    <row r="24" spans="1:11" ht="15" customHeight="1" x14ac:dyDescent="0.25">
      <c r="A24" s="85"/>
      <c r="B24" s="41" t="str">
        <f>IF(A24="","",IFERROR(VLOOKUP(A24,DB_Customers!$A:$D,4,0),"❌ Account Not Found"))</f>
        <v/>
      </c>
      <c r="C24" s="86" t="str">
        <f>IF(A24="","",IFERROR(IF(SUMIF(DB_Savings!$C:$C,A24,DB_Savings!$F:$F)=0,VLOOKUP(A24,DB_Customers!$A:$I,9,0),VLOOKUP(A24,DB_Customers!$A:$N,14,0)),"❌ Acct Not Found"))</f>
        <v/>
      </c>
      <c r="D24" s="87" t="str">
        <f t="shared" ca="1" si="0"/>
        <v/>
      </c>
      <c r="E24" s="79"/>
      <c r="F24" s="88" t="str">
        <f t="shared" si="1"/>
        <v/>
      </c>
      <c r="G24" s="43" t="s">
        <v>134</v>
      </c>
      <c r="H24" s="81"/>
      <c r="I24" s="89" t="str">
        <f>IF(A24="","Pending",IF(H24="","⚠️ Enter Agent Code",IF(IFERROR(VLOOKUP(G24,DB_Agents!$B:$I,8,0),"")=H24,IF(AND(A24&lt;&gt;"",E24&lt;&gt;""),"Saved","Pending"),"🔒 BLOCKED — Wrong Code")))</f>
        <v>Pending</v>
      </c>
      <c r="J24" s="90" t="str">
        <f t="shared" ca="1" si="2"/>
        <v>—</v>
      </c>
      <c r="K24" s="91"/>
    </row>
    <row r="25" spans="1:11" ht="15" customHeight="1" x14ac:dyDescent="0.25">
      <c r="A25" s="76"/>
      <c r="B25" s="37" t="str">
        <f>IF(A25="","",IFERROR(VLOOKUP(A25,DB_Customers!$A:$D,4,0),"❌ Account Not Found"))</f>
        <v/>
      </c>
      <c r="C25" s="77" t="str">
        <f>IF(A25="","",IFERROR(IF(SUMIF(DB_Savings!$C:$C,A25,DB_Savings!$F:$F)=0,VLOOKUP(A25,DB_Customers!$A:$I,9,0),VLOOKUP(A25,DB_Customers!$A:$N,14,0)),"❌ Acct Not Found"))</f>
        <v/>
      </c>
      <c r="D25" s="78" t="str">
        <f t="shared" ca="1" si="0"/>
        <v/>
      </c>
      <c r="E25" s="79"/>
      <c r="F25" s="80" t="str">
        <f t="shared" si="1"/>
        <v/>
      </c>
      <c r="G25" s="39" t="s">
        <v>134</v>
      </c>
      <c r="H25" s="81"/>
      <c r="I25" s="82" t="str">
        <f>IF(A25="","Pending",IF(H25="","⚠️ Enter Agent Code",IF(IFERROR(VLOOKUP(G25,DB_Agents!$B:$I,8,0),"")=H25,IF(AND(A25&lt;&gt;"",E25&lt;&gt;""),"Saved","Pending"),"🔒 BLOCKED — Wrong Code")))</f>
        <v>Pending</v>
      </c>
      <c r="J25" s="83" t="str">
        <f t="shared" ca="1" si="2"/>
        <v>—</v>
      </c>
      <c r="K25" s="84"/>
    </row>
    <row r="26" spans="1:11" ht="15" customHeight="1" x14ac:dyDescent="0.25">
      <c r="A26" s="85"/>
      <c r="B26" s="41" t="str">
        <f>IF(A26="","",IFERROR(VLOOKUP(A26,DB_Customers!$A:$D,4,0),"❌ Account Not Found"))</f>
        <v/>
      </c>
      <c r="C26" s="86" t="str">
        <f>IF(A26="","",IFERROR(IF(SUMIF(DB_Savings!$C:$C,A26,DB_Savings!$F:$F)=0,VLOOKUP(A26,DB_Customers!$A:$I,9,0),VLOOKUP(A26,DB_Customers!$A:$N,14,0)),"❌ Acct Not Found"))</f>
        <v/>
      </c>
      <c r="D26" s="87" t="str">
        <f t="shared" ca="1" si="0"/>
        <v/>
      </c>
      <c r="E26" s="79"/>
      <c r="F26" s="88" t="str">
        <f t="shared" si="1"/>
        <v/>
      </c>
      <c r="G26" s="43" t="s">
        <v>134</v>
      </c>
      <c r="H26" s="81"/>
      <c r="I26" s="89" t="str">
        <f>IF(A26="","Pending",IF(H26="","⚠️ Enter Agent Code",IF(IFERROR(VLOOKUP(G26,DB_Agents!$B:$I,8,0),"")=H26,IF(AND(A26&lt;&gt;"",E26&lt;&gt;""),"Saved","Pending"),"🔒 BLOCKED — Wrong Code")))</f>
        <v>Pending</v>
      </c>
      <c r="J26" s="90" t="str">
        <f t="shared" ca="1" si="2"/>
        <v>—</v>
      </c>
      <c r="K26" s="91"/>
    </row>
    <row r="27" spans="1:11" ht="15" customHeight="1" x14ac:dyDescent="0.25">
      <c r="A27" s="76"/>
      <c r="B27" s="37" t="str">
        <f>IF(A27="","",IFERROR(VLOOKUP(A27,DB_Customers!$A:$D,4,0),"❌ Account Not Found"))</f>
        <v/>
      </c>
      <c r="C27" s="77" t="str">
        <f>IF(A27="","",IFERROR(IF(SUMIF(DB_Savings!$C:$C,A27,DB_Savings!$F:$F)=0,VLOOKUP(A27,DB_Customers!$A:$I,9,0),VLOOKUP(A27,DB_Customers!$A:$N,14,0)),"❌ Acct Not Found"))</f>
        <v/>
      </c>
      <c r="D27" s="78" t="str">
        <f t="shared" ca="1" si="0"/>
        <v/>
      </c>
      <c r="E27" s="79"/>
      <c r="F27" s="80" t="str">
        <f t="shared" si="1"/>
        <v/>
      </c>
      <c r="G27" s="39" t="s">
        <v>134</v>
      </c>
      <c r="H27" s="81"/>
      <c r="I27" s="82" t="str">
        <f>IF(A27="","Pending",IF(H27="","⚠️ Enter Agent Code",IF(IFERROR(VLOOKUP(G27,DB_Agents!$B:$I,8,0),"")=H27,IF(AND(A27&lt;&gt;"",E27&lt;&gt;""),"Saved","Pending"),"🔒 BLOCKED — Wrong Code")))</f>
        <v>Pending</v>
      </c>
      <c r="J27" s="83" t="str">
        <f t="shared" ca="1" si="2"/>
        <v>—</v>
      </c>
      <c r="K27" s="84"/>
    </row>
    <row r="28" spans="1:11" ht="15" customHeight="1" x14ac:dyDescent="0.25">
      <c r="A28" s="85"/>
      <c r="B28" s="41" t="str">
        <f>IF(A28="","",IFERROR(VLOOKUP(A28,DB_Customers!$A:$D,4,0),"❌ Account Not Found"))</f>
        <v/>
      </c>
      <c r="C28" s="86" t="str">
        <f>IF(A28="","",IFERROR(IF(SUMIF(DB_Savings!$C:$C,A28,DB_Savings!$F:$F)=0,VLOOKUP(A28,DB_Customers!$A:$I,9,0),VLOOKUP(A28,DB_Customers!$A:$N,14,0)),"❌ Acct Not Found"))</f>
        <v/>
      </c>
      <c r="D28" s="87" t="str">
        <f t="shared" ca="1" si="0"/>
        <v/>
      </c>
      <c r="E28" s="79"/>
      <c r="F28" s="88" t="str">
        <f t="shared" si="1"/>
        <v/>
      </c>
      <c r="G28" s="43" t="s">
        <v>134</v>
      </c>
      <c r="H28" s="81"/>
      <c r="I28" s="89" t="str">
        <f>IF(A28="","Pending",IF(H28="","⚠️ Enter Agent Code",IF(IFERROR(VLOOKUP(G28,DB_Agents!$B:$I,8,0),"")=H28,IF(AND(A28&lt;&gt;"",E28&lt;&gt;""),"Saved","Pending"),"🔒 BLOCKED — Wrong Code")))</f>
        <v>Pending</v>
      </c>
      <c r="J28" s="90" t="str">
        <f t="shared" ca="1" si="2"/>
        <v>—</v>
      </c>
      <c r="K28" s="91"/>
    </row>
    <row r="29" spans="1:11" ht="15" customHeight="1" x14ac:dyDescent="0.25">
      <c r="A29" s="76"/>
      <c r="B29" s="37" t="str">
        <f>IF(A29="","",IFERROR(VLOOKUP(A29,DB_Customers!$A:$D,4,0),"❌ Account Not Found"))</f>
        <v/>
      </c>
      <c r="C29" s="77" t="str">
        <f>IF(A29="","",IFERROR(IF(SUMIF(DB_Savings!$C:$C,A29,DB_Savings!$F:$F)=0,VLOOKUP(A29,DB_Customers!$A:$I,9,0),VLOOKUP(A29,DB_Customers!$A:$N,14,0)),"❌ Acct Not Found"))</f>
        <v/>
      </c>
      <c r="D29" s="78" t="str">
        <f t="shared" ca="1" si="0"/>
        <v/>
      </c>
      <c r="E29" s="79"/>
      <c r="F29" s="80" t="str">
        <f t="shared" si="1"/>
        <v/>
      </c>
      <c r="G29" s="39" t="s">
        <v>134</v>
      </c>
      <c r="H29" s="81"/>
      <c r="I29" s="82" t="str">
        <f>IF(A29="","Pending",IF(H29="","⚠️ Enter Agent Code",IF(IFERROR(VLOOKUP(G29,DB_Agents!$B:$I,8,0),"")=H29,IF(AND(A29&lt;&gt;"",E29&lt;&gt;""),"Saved","Pending"),"🔒 BLOCKED — Wrong Code")))</f>
        <v>Pending</v>
      </c>
      <c r="J29" s="83" t="str">
        <f t="shared" ca="1" si="2"/>
        <v>—</v>
      </c>
      <c r="K29" s="84"/>
    </row>
    <row r="30" spans="1:11" ht="15" customHeight="1" x14ac:dyDescent="0.25">
      <c r="A30" s="85"/>
      <c r="B30" s="41" t="str">
        <f>IF(A30="","",IFERROR(VLOOKUP(A30,DB_Customers!$A:$D,4,0),"❌ Account Not Found"))</f>
        <v/>
      </c>
      <c r="C30" s="86" t="str">
        <f>IF(A30="","",IFERROR(IF(SUMIF(DB_Savings!$C:$C,A30,DB_Savings!$F:$F)=0,VLOOKUP(A30,DB_Customers!$A:$I,9,0),VLOOKUP(A30,DB_Customers!$A:$N,14,0)),"❌ Acct Not Found"))</f>
        <v/>
      </c>
      <c r="D30" s="87" t="str">
        <f t="shared" ca="1" si="0"/>
        <v/>
      </c>
      <c r="E30" s="79"/>
      <c r="F30" s="88" t="str">
        <f t="shared" si="1"/>
        <v/>
      </c>
      <c r="G30" s="43" t="s">
        <v>134</v>
      </c>
      <c r="H30" s="81"/>
      <c r="I30" s="89" t="str">
        <f>IF(A30="","Pending",IF(H30="","⚠️ Enter Agent Code",IF(IFERROR(VLOOKUP(G30,DB_Agents!$B:$I,8,0),"")=H30,IF(AND(A30&lt;&gt;"",E30&lt;&gt;""),"Saved","Pending"),"🔒 BLOCKED — Wrong Code")))</f>
        <v>Pending</v>
      </c>
      <c r="J30" s="90" t="str">
        <f t="shared" ca="1" si="2"/>
        <v>—</v>
      </c>
      <c r="K30" s="91"/>
    </row>
    <row r="31" spans="1:11" ht="15" customHeight="1" x14ac:dyDescent="0.25">
      <c r="A31" s="76"/>
      <c r="B31" s="37" t="str">
        <f>IF(A31="","",IFERROR(VLOOKUP(A31,DB_Customers!$A:$D,4,0),"❌ Account Not Found"))</f>
        <v/>
      </c>
      <c r="C31" s="77" t="str">
        <f>IF(A31="","",IFERROR(IF(SUMIF(DB_Savings!$C:$C,A31,DB_Savings!$F:$F)=0,VLOOKUP(A31,DB_Customers!$A:$I,9,0),VLOOKUP(A31,DB_Customers!$A:$N,14,0)),"❌ Acct Not Found"))</f>
        <v/>
      </c>
      <c r="D31" s="78" t="str">
        <f t="shared" ca="1" si="0"/>
        <v/>
      </c>
      <c r="E31" s="79"/>
      <c r="F31" s="80" t="str">
        <f t="shared" si="1"/>
        <v/>
      </c>
      <c r="G31" s="39" t="s">
        <v>134</v>
      </c>
      <c r="H31" s="81"/>
      <c r="I31" s="82" t="str">
        <f>IF(A31="","Pending",IF(H31="","⚠️ Enter Agent Code",IF(IFERROR(VLOOKUP(G31,DB_Agents!$B:$I,8,0),"")=H31,IF(AND(A31&lt;&gt;"",E31&lt;&gt;""),"Saved","Pending"),"🔒 BLOCKED — Wrong Code")))</f>
        <v>Pending</v>
      </c>
      <c r="J31" s="83" t="str">
        <f t="shared" ca="1" si="2"/>
        <v>—</v>
      </c>
      <c r="K31" s="84"/>
    </row>
    <row r="32" spans="1:11" ht="15" customHeight="1" x14ac:dyDescent="0.25">
      <c r="A32" s="85"/>
      <c r="B32" s="41" t="str">
        <f>IF(A32="","",IFERROR(VLOOKUP(A32,DB_Customers!$A:$D,4,0),"❌ Account Not Found"))</f>
        <v/>
      </c>
      <c r="C32" s="86" t="str">
        <f>IF(A32="","",IFERROR(IF(SUMIF(DB_Savings!$C:$C,A32,DB_Savings!$F:$F)=0,VLOOKUP(A32,DB_Customers!$A:$I,9,0),VLOOKUP(A32,DB_Customers!$A:$N,14,0)),"❌ Acct Not Found"))</f>
        <v/>
      </c>
      <c r="D32" s="87" t="str">
        <f t="shared" ca="1" si="0"/>
        <v/>
      </c>
      <c r="E32" s="79"/>
      <c r="F32" s="88" t="str">
        <f t="shared" si="1"/>
        <v/>
      </c>
      <c r="G32" s="43" t="s">
        <v>134</v>
      </c>
      <c r="H32" s="81"/>
      <c r="I32" s="89" t="str">
        <f>IF(A32="","Pending",IF(H32="","⚠️ Enter Agent Code",IF(IFERROR(VLOOKUP(G32,DB_Agents!$B:$I,8,0),"")=H32,IF(AND(A32&lt;&gt;"",E32&lt;&gt;""),"Saved","Pending"),"🔒 BLOCKED — Wrong Code")))</f>
        <v>Pending</v>
      </c>
      <c r="J32" s="90" t="str">
        <f t="shared" ca="1" si="2"/>
        <v>—</v>
      </c>
      <c r="K32" s="91"/>
    </row>
    <row r="33" spans="1:11" ht="15" customHeight="1" x14ac:dyDescent="0.25">
      <c r="A33" s="76"/>
      <c r="B33" s="37" t="str">
        <f>IF(A33="","",IFERROR(VLOOKUP(A33,DB_Customers!$A:$D,4,0),"❌ Account Not Found"))</f>
        <v/>
      </c>
      <c r="C33" s="77" t="str">
        <f>IF(A33="","",IFERROR(IF(SUMIF(DB_Savings!$C:$C,A33,DB_Savings!$F:$F)=0,VLOOKUP(A33,DB_Customers!$A:$I,9,0),VLOOKUP(A33,DB_Customers!$A:$N,14,0)),"❌ Acct Not Found"))</f>
        <v/>
      </c>
      <c r="D33" s="78" t="str">
        <f t="shared" ca="1" si="0"/>
        <v/>
      </c>
      <c r="E33" s="79"/>
      <c r="F33" s="80" t="str">
        <f t="shared" si="1"/>
        <v/>
      </c>
      <c r="G33" s="39" t="s">
        <v>134</v>
      </c>
      <c r="H33" s="81"/>
      <c r="I33" s="82" t="str">
        <f>IF(A33="","Pending",IF(H33="","⚠️ Enter Agent Code",IF(IFERROR(VLOOKUP(G33,DB_Agents!$B:$I,8,0),"")=H33,IF(AND(A33&lt;&gt;"",E33&lt;&gt;""),"Saved","Pending"),"🔒 BLOCKED — Wrong Code")))</f>
        <v>Pending</v>
      </c>
      <c r="J33" s="83" t="str">
        <f t="shared" ca="1" si="2"/>
        <v>—</v>
      </c>
      <c r="K33" s="84"/>
    </row>
    <row r="34" spans="1:11" ht="15" customHeight="1" x14ac:dyDescent="0.25">
      <c r="A34" s="85"/>
      <c r="B34" s="41" t="str">
        <f>IF(A34="","",IFERROR(VLOOKUP(A34,DB_Customers!$A:$D,4,0),"❌ Account Not Found"))</f>
        <v/>
      </c>
      <c r="C34" s="86" t="str">
        <f>IF(A34="","",IFERROR(IF(SUMIF(DB_Savings!$C:$C,A34,DB_Savings!$F:$F)=0,VLOOKUP(A34,DB_Customers!$A:$I,9,0),VLOOKUP(A34,DB_Customers!$A:$N,14,0)),"❌ Acct Not Found"))</f>
        <v/>
      </c>
      <c r="D34" s="87" t="str">
        <f t="shared" ca="1" si="0"/>
        <v/>
      </c>
      <c r="E34" s="79"/>
      <c r="F34" s="88" t="str">
        <f t="shared" si="1"/>
        <v/>
      </c>
      <c r="G34" s="43" t="s">
        <v>134</v>
      </c>
      <c r="H34" s="81"/>
      <c r="I34" s="89" t="str">
        <f>IF(A34="","Pending",IF(H34="","⚠️ Enter Agent Code",IF(IFERROR(VLOOKUP(G34,DB_Agents!$B:$I,8,0),"")=H34,IF(AND(A34&lt;&gt;"",E34&lt;&gt;""),"Saved","Pending"),"🔒 BLOCKED — Wrong Code")))</f>
        <v>Pending</v>
      </c>
      <c r="J34" s="90" t="str">
        <f t="shared" ca="1" si="2"/>
        <v>—</v>
      </c>
      <c r="K34" s="91"/>
    </row>
    <row r="35" spans="1:11" ht="15" customHeight="1" x14ac:dyDescent="0.25">
      <c r="A35" s="76"/>
      <c r="B35" s="37" t="str">
        <f>IF(A35="","",IFERROR(VLOOKUP(A35,DB_Customers!$A:$D,4,0),"❌ Account Not Found"))</f>
        <v/>
      </c>
      <c r="C35" s="77" t="str">
        <f>IF(A35="","",IFERROR(IF(SUMIF(DB_Savings!$C:$C,A35,DB_Savings!$F:$F)=0,VLOOKUP(A35,DB_Customers!$A:$I,9,0),VLOOKUP(A35,DB_Customers!$A:$N,14,0)),"❌ Acct Not Found"))</f>
        <v/>
      </c>
      <c r="D35" s="78" t="str">
        <f t="shared" ca="1" si="0"/>
        <v/>
      </c>
      <c r="E35" s="79"/>
      <c r="F35" s="80" t="str">
        <f t="shared" si="1"/>
        <v/>
      </c>
      <c r="G35" s="39" t="s">
        <v>134</v>
      </c>
      <c r="H35" s="81"/>
      <c r="I35" s="82" t="str">
        <f>IF(A35="","Pending",IF(H35="","⚠️ Enter Agent Code",IF(IFERROR(VLOOKUP(G35,DB_Agents!$B:$I,8,0),"")=H35,IF(AND(A35&lt;&gt;"",E35&lt;&gt;""),"Saved","Pending"),"🔒 BLOCKED — Wrong Code")))</f>
        <v>Pending</v>
      </c>
      <c r="J35" s="83" t="str">
        <f t="shared" ca="1" si="2"/>
        <v>—</v>
      </c>
      <c r="K35" s="84"/>
    </row>
    <row r="36" spans="1:11" ht="15" customHeight="1" x14ac:dyDescent="0.25">
      <c r="A36" s="85"/>
      <c r="B36" s="41" t="str">
        <f>IF(A36="","",IFERROR(VLOOKUP(A36,DB_Customers!$A:$D,4,0),"❌ Account Not Found"))</f>
        <v/>
      </c>
      <c r="C36" s="86" t="str">
        <f>IF(A36="","",IFERROR(IF(SUMIF(DB_Savings!$C:$C,A36,DB_Savings!$F:$F)=0,VLOOKUP(A36,DB_Customers!$A:$I,9,0),VLOOKUP(A36,DB_Customers!$A:$N,14,0)),"❌ Acct Not Found"))</f>
        <v/>
      </c>
      <c r="D36" s="87" t="str">
        <f t="shared" ca="1" si="0"/>
        <v/>
      </c>
      <c r="E36" s="79"/>
      <c r="F36" s="88" t="str">
        <f t="shared" si="1"/>
        <v/>
      </c>
      <c r="G36" s="43" t="s">
        <v>134</v>
      </c>
      <c r="H36" s="81"/>
      <c r="I36" s="89" t="str">
        <f>IF(A36="","Pending",IF(H36="","⚠️ Enter Agent Code",IF(IFERROR(VLOOKUP(G36,DB_Agents!$B:$I,8,0),"")=H36,IF(AND(A36&lt;&gt;"",E36&lt;&gt;""),"Saved","Pending"),"🔒 BLOCKED — Wrong Code")))</f>
        <v>Pending</v>
      </c>
      <c r="J36" s="90" t="str">
        <f t="shared" ca="1" si="2"/>
        <v>—</v>
      </c>
      <c r="K36" s="91"/>
    </row>
    <row r="37" spans="1:11" ht="15" customHeight="1" x14ac:dyDescent="0.25">
      <c r="A37" s="76"/>
      <c r="B37" s="37" t="str">
        <f>IF(A37="","",IFERROR(VLOOKUP(A37,DB_Customers!$A:$D,4,0),"❌ Account Not Found"))</f>
        <v/>
      </c>
      <c r="C37" s="77" t="str">
        <f>IF(A37="","",IFERROR(IF(SUMIF(DB_Savings!$C:$C,A37,DB_Savings!$F:$F)=0,VLOOKUP(A37,DB_Customers!$A:$I,9,0),VLOOKUP(A37,DB_Customers!$A:$N,14,0)),"❌ Acct Not Found"))</f>
        <v/>
      </c>
      <c r="D37" s="78" t="str">
        <f t="shared" ca="1" si="0"/>
        <v/>
      </c>
      <c r="E37" s="79"/>
      <c r="F37" s="80" t="str">
        <f t="shared" si="1"/>
        <v/>
      </c>
      <c r="G37" s="39" t="s">
        <v>134</v>
      </c>
      <c r="H37" s="81"/>
      <c r="I37" s="82" t="str">
        <f>IF(A37="","Pending",IF(H37="","⚠️ Enter Agent Code",IF(IFERROR(VLOOKUP(G37,DB_Agents!$B:$I,8,0),"")=H37,IF(AND(A37&lt;&gt;"",E37&lt;&gt;""),"Saved","Pending"),"🔒 BLOCKED — Wrong Code")))</f>
        <v>Pending</v>
      </c>
      <c r="J37" s="83" t="str">
        <f t="shared" ca="1" si="2"/>
        <v>—</v>
      </c>
      <c r="K37" s="84"/>
    </row>
    <row r="38" spans="1:11" ht="15" customHeight="1" x14ac:dyDescent="0.25">
      <c r="A38" s="85"/>
      <c r="B38" s="41" t="str">
        <f>IF(A38="","",IFERROR(VLOOKUP(A38,DB_Customers!$A:$D,4,0),"❌ Account Not Found"))</f>
        <v/>
      </c>
      <c r="C38" s="86" t="str">
        <f>IF(A38="","",IFERROR(IF(SUMIF(DB_Savings!$C:$C,A38,DB_Savings!$F:$F)=0,VLOOKUP(A38,DB_Customers!$A:$I,9,0),VLOOKUP(A38,DB_Customers!$A:$N,14,0)),"❌ Acct Not Found"))</f>
        <v/>
      </c>
      <c r="D38" s="87" t="str">
        <f t="shared" ca="1" si="0"/>
        <v/>
      </c>
      <c r="E38" s="79"/>
      <c r="F38" s="88" t="str">
        <f t="shared" si="1"/>
        <v/>
      </c>
      <c r="G38" s="43" t="s">
        <v>134</v>
      </c>
      <c r="H38" s="81"/>
      <c r="I38" s="89" t="str">
        <f>IF(A38="","Pending",IF(H38="","⚠️ Enter Agent Code",IF(IFERROR(VLOOKUP(G38,DB_Agents!$B:$I,8,0),"")=H38,IF(AND(A38&lt;&gt;"",E38&lt;&gt;""),"Saved","Pending"),"🔒 BLOCKED — Wrong Code")))</f>
        <v>Pending</v>
      </c>
      <c r="J38" s="90" t="str">
        <f t="shared" ca="1" si="2"/>
        <v>—</v>
      </c>
      <c r="K38" s="91"/>
    </row>
    <row r="39" spans="1:11" ht="15" customHeight="1" x14ac:dyDescent="0.25">
      <c r="A39" s="76"/>
      <c r="B39" s="37" t="str">
        <f>IF(A39="","",IFERROR(VLOOKUP(A39,DB_Customers!$A:$D,4,0),"❌ Account Not Found"))</f>
        <v/>
      </c>
      <c r="C39" s="77" t="str">
        <f>IF(A39="","",IFERROR(IF(SUMIF(DB_Savings!$C:$C,A39,DB_Savings!$F:$F)=0,VLOOKUP(A39,DB_Customers!$A:$I,9,0),VLOOKUP(A39,DB_Customers!$A:$N,14,0)),"❌ Acct Not Found"))</f>
        <v/>
      </c>
      <c r="D39" s="78" t="str">
        <f t="shared" ca="1" si="0"/>
        <v/>
      </c>
      <c r="E39" s="79"/>
      <c r="F39" s="80" t="str">
        <f t="shared" si="1"/>
        <v/>
      </c>
      <c r="G39" s="39" t="s">
        <v>134</v>
      </c>
      <c r="H39" s="81"/>
      <c r="I39" s="82" t="str">
        <f>IF(A39="","Pending",IF(H39="","⚠️ Enter Agent Code",IF(IFERROR(VLOOKUP(G39,DB_Agents!$B:$I,8,0),"")=H39,IF(AND(A39&lt;&gt;"",E39&lt;&gt;""),"Saved","Pending"),"🔒 BLOCKED — Wrong Code")))</f>
        <v>Pending</v>
      </c>
      <c r="J39" s="83" t="str">
        <f t="shared" ca="1" si="2"/>
        <v>—</v>
      </c>
      <c r="K39" s="84"/>
    </row>
    <row r="40" spans="1:11" ht="15" customHeight="1" x14ac:dyDescent="0.25">
      <c r="A40" s="85"/>
      <c r="B40" s="41" t="str">
        <f>IF(A40="","",IFERROR(VLOOKUP(A40,DB_Customers!$A:$D,4,0),"❌ Account Not Found"))</f>
        <v/>
      </c>
      <c r="C40" s="86" t="str">
        <f>IF(A40="","",IFERROR(IF(SUMIF(DB_Savings!$C:$C,A40,DB_Savings!$F:$F)=0,VLOOKUP(A40,DB_Customers!$A:$I,9,0),VLOOKUP(A40,DB_Customers!$A:$N,14,0)),"❌ Acct Not Found"))</f>
        <v/>
      </c>
      <c r="D40" s="87" t="str">
        <f t="shared" ca="1" si="0"/>
        <v/>
      </c>
      <c r="E40" s="79"/>
      <c r="F40" s="88" t="str">
        <f t="shared" si="1"/>
        <v/>
      </c>
      <c r="G40" s="43" t="s">
        <v>134</v>
      </c>
      <c r="H40" s="81"/>
      <c r="I40" s="89" t="str">
        <f>IF(A40="","Pending",IF(H40="","⚠️ Enter Agent Code",IF(IFERROR(VLOOKUP(G40,DB_Agents!$B:$I,8,0),"")=H40,IF(AND(A40&lt;&gt;"",E40&lt;&gt;""),"Saved","Pending"),"🔒 BLOCKED — Wrong Code")))</f>
        <v>Pending</v>
      </c>
      <c r="J40" s="90" t="str">
        <f t="shared" ca="1" si="2"/>
        <v>—</v>
      </c>
      <c r="K40" s="91"/>
    </row>
    <row r="41" spans="1:11" ht="15" customHeight="1" x14ac:dyDescent="0.25">
      <c r="A41" s="76"/>
      <c r="B41" s="37" t="str">
        <f>IF(A41="","",IFERROR(VLOOKUP(A41,DB_Customers!$A:$D,4,0),"❌ Account Not Found"))</f>
        <v/>
      </c>
      <c r="C41" s="77" t="str">
        <f>IF(A41="","",IFERROR(IF(SUMIF(DB_Savings!$C:$C,A41,DB_Savings!$F:$F)=0,VLOOKUP(A41,DB_Customers!$A:$I,9,0),VLOOKUP(A41,DB_Customers!$A:$N,14,0)),"❌ Acct Not Found"))</f>
        <v/>
      </c>
      <c r="D41" s="78" t="str">
        <f t="shared" ref="D41:D72" ca="1" si="3">IF(A41="","",TODAY())</f>
        <v/>
      </c>
      <c r="E41" s="79"/>
      <c r="F41" s="80" t="str">
        <f t="shared" ref="F41:F72" si="4">IF(OR(A41="",E41=""),"",IF(C41="","",C41+E41))</f>
        <v/>
      </c>
      <c r="G41" s="39" t="s">
        <v>134</v>
      </c>
      <c r="H41" s="81"/>
      <c r="I41" s="82" t="str">
        <f>IF(A41="","Pending",IF(H41="","⚠️ Enter Agent Code",IF(IFERROR(VLOOKUP(G41,DB_Agents!$B:$I,8,0),"")=H41,IF(AND(A41&lt;&gt;"",E41&lt;&gt;""),"Saved","Pending"),"🔒 BLOCKED — Wrong Code")))</f>
        <v>Pending</v>
      </c>
      <c r="J41" s="83" t="str">
        <f t="shared" ref="J41:J72" ca="1" si="5">IF(I41="Saved",TEXT(TODAY(),"YYYY-MM-DD")&amp;" Auto","—")</f>
        <v>—</v>
      </c>
      <c r="K41" s="84"/>
    </row>
    <row r="42" spans="1:11" ht="15" customHeight="1" x14ac:dyDescent="0.25">
      <c r="A42" s="85"/>
      <c r="B42" s="41" t="str">
        <f>IF(A42="","",IFERROR(VLOOKUP(A42,DB_Customers!$A:$D,4,0),"❌ Account Not Found"))</f>
        <v/>
      </c>
      <c r="C42" s="86" t="str">
        <f>IF(A42="","",IFERROR(IF(SUMIF(DB_Savings!$C:$C,A42,DB_Savings!$F:$F)=0,VLOOKUP(A42,DB_Customers!$A:$I,9,0),VLOOKUP(A42,DB_Customers!$A:$N,14,0)),"❌ Acct Not Found"))</f>
        <v/>
      </c>
      <c r="D42" s="87" t="str">
        <f t="shared" ca="1" si="3"/>
        <v/>
      </c>
      <c r="E42" s="79"/>
      <c r="F42" s="88" t="str">
        <f t="shared" si="4"/>
        <v/>
      </c>
      <c r="G42" s="43" t="s">
        <v>134</v>
      </c>
      <c r="H42" s="81"/>
      <c r="I42" s="89" t="str">
        <f>IF(A42="","Pending",IF(H42="","⚠️ Enter Agent Code",IF(IFERROR(VLOOKUP(G42,DB_Agents!$B:$I,8,0),"")=H42,IF(AND(A42&lt;&gt;"",E42&lt;&gt;""),"Saved","Pending"),"🔒 BLOCKED — Wrong Code")))</f>
        <v>Pending</v>
      </c>
      <c r="J42" s="90" t="str">
        <f t="shared" ca="1" si="5"/>
        <v>—</v>
      </c>
      <c r="K42" s="91"/>
    </row>
    <row r="43" spans="1:11" ht="15" customHeight="1" x14ac:dyDescent="0.25">
      <c r="A43" s="76"/>
      <c r="B43" s="37" t="str">
        <f>IF(A43="","",IFERROR(VLOOKUP(A43,DB_Customers!$A:$D,4,0),"❌ Account Not Found"))</f>
        <v/>
      </c>
      <c r="C43" s="77" t="str">
        <f>IF(A43="","",IFERROR(IF(SUMIF(DB_Savings!$C:$C,A43,DB_Savings!$F:$F)=0,VLOOKUP(A43,DB_Customers!$A:$I,9,0),VLOOKUP(A43,DB_Customers!$A:$N,14,0)),"❌ Acct Not Found"))</f>
        <v/>
      </c>
      <c r="D43" s="78" t="str">
        <f t="shared" ca="1" si="3"/>
        <v/>
      </c>
      <c r="E43" s="79"/>
      <c r="F43" s="80" t="str">
        <f t="shared" si="4"/>
        <v/>
      </c>
      <c r="G43" s="39" t="s">
        <v>134</v>
      </c>
      <c r="H43" s="81"/>
      <c r="I43" s="82" t="str">
        <f>IF(A43="","Pending",IF(H43="","⚠️ Enter Agent Code",IF(IFERROR(VLOOKUP(G43,DB_Agents!$B:$I,8,0),"")=H43,IF(AND(A43&lt;&gt;"",E43&lt;&gt;""),"Saved","Pending"),"🔒 BLOCKED — Wrong Code")))</f>
        <v>Pending</v>
      </c>
      <c r="J43" s="83" t="str">
        <f t="shared" ca="1" si="5"/>
        <v>—</v>
      </c>
      <c r="K43" s="84"/>
    </row>
    <row r="44" spans="1:11" ht="15" customHeight="1" x14ac:dyDescent="0.25">
      <c r="A44" s="85"/>
      <c r="B44" s="41" t="str">
        <f>IF(A44="","",IFERROR(VLOOKUP(A44,DB_Customers!$A:$D,4,0),"❌ Account Not Found"))</f>
        <v/>
      </c>
      <c r="C44" s="86" t="str">
        <f>IF(A44="","",IFERROR(IF(SUMIF(DB_Savings!$C:$C,A44,DB_Savings!$F:$F)=0,VLOOKUP(A44,DB_Customers!$A:$I,9,0),VLOOKUP(A44,DB_Customers!$A:$N,14,0)),"❌ Acct Not Found"))</f>
        <v/>
      </c>
      <c r="D44" s="87" t="str">
        <f t="shared" ca="1" si="3"/>
        <v/>
      </c>
      <c r="E44" s="79"/>
      <c r="F44" s="88" t="str">
        <f t="shared" si="4"/>
        <v/>
      </c>
      <c r="G44" s="43" t="s">
        <v>134</v>
      </c>
      <c r="H44" s="81"/>
      <c r="I44" s="89" t="str">
        <f>IF(A44="","Pending",IF(H44="","⚠️ Enter Agent Code",IF(IFERROR(VLOOKUP(G44,DB_Agents!$B:$I,8,0),"")=H44,IF(AND(A44&lt;&gt;"",E44&lt;&gt;""),"Saved","Pending"),"🔒 BLOCKED — Wrong Code")))</f>
        <v>Pending</v>
      </c>
      <c r="J44" s="90" t="str">
        <f t="shared" ca="1" si="5"/>
        <v>—</v>
      </c>
      <c r="K44" s="91"/>
    </row>
    <row r="45" spans="1:11" ht="15" customHeight="1" x14ac:dyDescent="0.25">
      <c r="A45" s="76"/>
      <c r="B45" s="37" t="str">
        <f>IF(A45="","",IFERROR(VLOOKUP(A45,DB_Customers!$A:$D,4,0),"❌ Account Not Found"))</f>
        <v/>
      </c>
      <c r="C45" s="77" t="str">
        <f>IF(A45="","",IFERROR(IF(SUMIF(DB_Savings!$C:$C,A45,DB_Savings!$F:$F)=0,VLOOKUP(A45,DB_Customers!$A:$I,9,0),VLOOKUP(A45,DB_Customers!$A:$N,14,0)),"❌ Acct Not Found"))</f>
        <v/>
      </c>
      <c r="D45" s="78" t="str">
        <f t="shared" ca="1" si="3"/>
        <v/>
      </c>
      <c r="E45" s="79"/>
      <c r="F45" s="80" t="str">
        <f t="shared" si="4"/>
        <v/>
      </c>
      <c r="G45" s="39" t="s">
        <v>134</v>
      </c>
      <c r="H45" s="81"/>
      <c r="I45" s="82" t="str">
        <f>IF(A45="","Pending",IF(H45="","⚠️ Enter Agent Code",IF(IFERROR(VLOOKUP(G45,DB_Agents!$B:$I,8,0),"")=H45,IF(AND(A45&lt;&gt;"",E45&lt;&gt;""),"Saved","Pending"),"🔒 BLOCKED — Wrong Code")))</f>
        <v>Pending</v>
      </c>
      <c r="J45" s="83" t="str">
        <f t="shared" ca="1" si="5"/>
        <v>—</v>
      </c>
      <c r="K45" s="84"/>
    </row>
    <row r="46" spans="1:11" ht="15" customHeight="1" x14ac:dyDescent="0.25">
      <c r="A46" s="85"/>
      <c r="B46" s="41" t="str">
        <f>IF(A46="","",IFERROR(VLOOKUP(A46,DB_Customers!$A:$D,4,0),"❌ Account Not Found"))</f>
        <v/>
      </c>
      <c r="C46" s="86" t="str">
        <f>IF(A46="","",IFERROR(IF(SUMIF(DB_Savings!$C:$C,A46,DB_Savings!$F:$F)=0,VLOOKUP(A46,DB_Customers!$A:$I,9,0),VLOOKUP(A46,DB_Customers!$A:$N,14,0)),"❌ Acct Not Found"))</f>
        <v/>
      </c>
      <c r="D46" s="87" t="str">
        <f t="shared" ca="1" si="3"/>
        <v/>
      </c>
      <c r="E46" s="79"/>
      <c r="F46" s="88" t="str">
        <f t="shared" si="4"/>
        <v/>
      </c>
      <c r="G46" s="43" t="s">
        <v>134</v>
      </c>
      <c r="H46" s="81"/>
      <c r="I46" s="89" t="str">
        <f>IF(A46="","Pending",IF(H46="","⚠️ Enter Agent Code",IF(IFERROR(VLOOKUP(G46,DB_Agents!$B:$I,8,0),"")=H46,IF(AND(A46&lt;&gt;"",E46&lt;&gt;""),"Saved","Pending"),"🔒 BLOCKED — Wrong Code")))</f>
        <v>Pending</v>
      </c>
      <c r="J46" s="90" t="str">
        <f t="shared" ca="1" si="5"/>
        <v>—</v>
      </c>
      <c r="K46" s="91"/>
    </row>
    <row r="47" spans="1:11" ht="15" customHeight="1" x14ac:dyDescent="0.25">
      <c r="A47" s="76"/>
      <c r="B47" s="37" t="str">
        <f>IF(A47="","",IFERROR(VLOOKUP(A47,DB_Customers!$A:$D,4,0),"❌ Account Not Found"))</f>
        <v/>
      </c>
      <c r="C47" s="77" t="str">
        <f>IF(A47="","",IFERROR(IF(SUMIF(DB_Savings!$C:$C,A47,DB_Savings!$F:$F)=0,VLOOKUP(A47,DB_Customers!$A:$I,9,0),VLOOKUP(A47,DB_Customers!$A:$N,14,0)),"❌ Acct Not Found"))</f>
        <v/>
      </c>
      <c r="D47" s="78" t="str">
        <f t="shared" ca="1" si="3"/>
        <v/>
      </c>
      <c r="E47" s="79"/>
      <c r="F47" s="80" t="str">
        <f t="shared" si="4"/>
        <v/>
      </c>
      <c r="G47" s="39" t="s">
        <v>134</v>
      </c>
      <c r="H47" s="81"/>
      <c r="I47" s="82" t="str">
        <f>IF(A47="","Pending",IF(H47="","⚠️ Enter Agent Code",IF(IFERROR(VLOOKUP(G47,DB_Agents!$B:$I,8,0),"")=H47,IF(AND(A47&lt;&gt;"",E47&lt;&gt;""),"Saved","Pending"),"🔒 BLOCKED — Wrong Code")))</f>
        <v>Pending</v>
      </c>
      <c r="J47" s="83" t="str">
        <f t="shared" ca="1" si="5"/>
        <v>—</v>
      </c>
      <c r="K47" s="84"/>
    </row>
    <row r="48" spans="1:11" ht="15" customHeight="1" x14ac:dyDescent="0.25">
      <c r="A48" s="85"/>
      <c r="B48" s="41" t="str">
        <f>IF(A48="","",IFERROR(VLOOKUP(A48,DB_Customers!$A:$D,4,0),"❌ Account Not Found"))</f>
        <v/>
      </c>
      <c r="C48" s="86" t="str">
        <f>IF(A48="","",IFERROR(IF(SUMIF(DB_Savings!$C:$C,A48,DB_Savings!$F:$F)=0,VLOOKUP(A48,DB_Customers!$A:$I,9,0),VLOOKUP(A48,DB_Customers!$A:$N,14,0)),"❌ Acct Not Found"))</f>
        <v/>
      </c>
      <c r="D48" s="87" t="str">
        <f t="shared" ca="1" si="3"/>
        <v/>
      </c>
      <c r="E48" s="79"/>
      <c r="F48" s="88" t="str">
        <f t="shared" si="4"/>
        <v/>
      </c>
      <c r="G48" s="43" t="s">
        <v>134</v>
      </c>
      <c r="H48" s="81"/>
      <c r="I48" s="89" t="str">
        <f>IF(A48="","Pending",IF(H48="","⚠️ Enter Agent Code",IF(IFERROR(VLOOKUP(G48,DB_Agents!$B:$I,8,0),"")=H48,IF(AND(A48&lt;&gt;"",E48&lt;&gt;""),"Saved","Pending"),"🔒 BLOCKED — Wrong Code")))</f>
        <v>Pending</v>
      </c>
      <c r="J48" s="90" t="str">
        <f t="shared" ca="1" si="5"/>
        <v>—</v>
      </c>
      <c r="K48" s="91"/>
    </row>
    <row r="49" spans="1:11" ht="15" customHeight="1" x14ac:dyDescent="0.25">
      <c r="A49" s="76"/>
      <c r="B49" s="37" t="str">
        <f>IF(A49="","",IFERROR(VLOOKUP(A49,DB_Customers!$A:$D,4,0),"❌ Account Not Found"))</f>
        <v/>
      </c>
      <c r="C49" s="77" t="str">
        <f>IF(A49="","",IFERROR(IF(SUMIF(DB_Savings!$C:$C,A49,DB_Savings!$F:$F)=0,VLOOKUP(A49,DB_Customers!$A:$I,9,0),VLOOKUP(A49,DB_Customers!$A:$N,14,0)),"❌ Acct Not Found"))</f>
        <v/>
      </c>
      <c r="D49" s="78" t="str">
        <f t="shared" ca="1" si="3"/>
        <v/>
      </c>
      <c r="E49" s="79"/>
      <c r="F49" s="80" t="str">
        <f t="shared" si="4"/>
        <v/>
      </c>
      <c r="G49" s="39" t="s">
        <v>134</v>
      </c>
      <c r="H49" s="81"/>
      <c r="I49" s="82" t="str">
        <f>IF(A49="","Pending",IF(H49="","⚠️ Enter Agent Code",IF(IFERROR(VLOOKUP(G49,DB_Agents!$B:$I,8,0),"")=H49,IF(AND(A49&lt;&gt;"",E49&lt;&gt;""),"Saved","Pending"),"🔒 BLOCKED — Wrong Code")))</f>
        <v>Pending</v>
      </c>
      <c r="J49" s="83" t="str">
        <f t="shared" ca="1" si="5"/>
        <v>—</v>
      </c>
      <c r="K49" s="84"/>
    </row>
    <row r="50" spans="1:11" ht="15" customHeight="1" x14ac:dyDescent="0.25">
      <c r="A50" s="85"/>
      <c r="B50" s="41" t="str">
        <f>IF(A50="","",IFERROR(VLOOKUP(A50,DB_Customers!$A:$D,4,0),"❌ Account Not Found"))</f>
        <v/>
      </c>
      <c r="C50" s="86" t="str">
        <f>IF(A50="","",IFERROR(IF(SUMIF(DB_Savings!$C:$C,A50,DB_Savings!$F:$F)=0,VLOOKUP(A50,DB_Customers!$A:$I,9,0),VLOOKUP(A50,DB_Customers!$A:$N,14,0)),"❌ Acct Not Found"))</f>
        <v/>
      </c>
      <c r="D50" s="87" t="str">
        <f t="shared" ca="1" si="3"/>
        <v/>
      </c>
      <c r="E50" s="79"/>
      <c r="F50" s="88" t="str">
        <f t="shared" si="4"/>
        <v/>
      </c>
      <c r="G50" s="43" t="s">
        <v>134</v>
      </c>
      <c r="H50" s="81"/>
      <c r="I50" s="89" t="str">
        <f>IF(A50="","Pending",IF(H50="","⚠️ Enter Agent Code",IF(IFERROR(VLOOKUP(G50,DB_Agents!$B:$I,8,0),"")=H50,IF(AND(A50&lt;&gt;"",E50&lt;&gt;""),"Saved","Pending"),"🔒 BLOCKED — Wrong Code")))</f>
        <v>Pending</v>
      </c>
      <c r="J50" s="90" t="str">
        <f t="shared" ca="1" si="5"/>
        <v>—</v>
      </c>
      <c r="K50" s="91"/>
    </row>
    <row r="51" spans="1:11" ht="15" customHeight="1" x14ac:dyDescent="0.25">
      <c r="A51" s="76"/>
      <c r="B51" s="37" t="str">
        <f>IF(A51="","",IFERROR(VLOOKUP(A51,DB_Customers!$A:$D,4,0),"❌ Account Not Found"))</f>
        <v/>
      </c>
      <c r="C51" s="77" t="str">
        <f>IF(A51="","",IFERROR(IF(SUMIF(DB_Savings!$C:$C,A51,DB_Savings!$F:$F)=0,VLOOKUP(A51,DB_Customers!$A:$I,9,0),VLOOKUP(A51,DB_Customers!$A:$N,14,0)),"❌ Acct Not Found"))</f>
        <v/>
      </c>
      <c r="D51" s="78" t="str">
        <f t="shared" ca="1" si="3"/>
        <v/>
      </c>
      <c r="E51" s="79"/>
      <c r="F51" s="80" t="str">
        <f t="shared" si="4"/>
        <v/>
      </c>
      <c r="G51" s="39" t="s">
        <v>134</v>
      </c>
      <c r="H51" s="81"/>
      <c r="I51" s="82" t="str">
        <f>IF(A51="","Pending",IF(H51="","⚠️ Enter Agent Code",IF(IFERROR(VLOOKUP(G51,DB_Agents!$B:$I,8,0),"")=H51,IF(AND(A51&lt;&gt;"",E51&lt;&gt;""),"Saved","Pending"),"🔒 BLOCKED — Wrong Code")))</f>
        <v>Pending</v>
      </c>
      <c r="J51" s="83" t="str">
        <f t="shared" ca="1" si="5"/>
        <v>—</v>
      </c>
      <c r="K51" s="84"/>
    </row>
    <row r="52" spans="1:11" ht="15" customHeight="1" x14ac:dyDescent="0.25">
      <c r="A52" s="85"/>
      <c r="B52" s="41" t="str">
        <f>IF(A52="","",IFERROR(VLOOKUP(A52,DB_Customers!$A:$D,4,0),"❌ Account Not Found"))</f>
        <v/>
      </c>
      <c r="C52" s="86" t="str">
        <f>IF(A52="","",IFERROR(IF(SUMIF(DB_Savings!$C:$C,A52,DB_Savings!$F:$F)=0,VLOOKUP(A52,DB_Customers!$A:$I,9,0),VLOOKUP(A52,DB_Customers!$A:$N,14,0)),"❌ Acct Not Found"))</f>
        <v/>
      </c>
      <c r="D52" s="87" t="str">
        <f t="shared" ca="1" si="3"/>
        <v/>
      </c>
      <c r="E52" s="79"/>
      <c r="F52" s="88" t="str">
        <f t="shared" si="4"/>
        <v/>
      </c>
      <c r="G52" s="43" t="s">
        <v>134</v>
      </c>
      <c r="H52" s="81"/>
      <c r="I52" s="89" t="str">
        <f>IF(A52="","Pending",IF(H52="","⚠️ Enter Agent Code",IF(IFERROR(VLOOKUP(G52,DB_Agents!$B:$I,8,0),"")=H52,IF(AND(A52&lt;&gt;"",E52&lt;&gt;""),"Saved","Pending"),"🔒 BLOCKED — Wrong Code")))</f>
        <v>Pending</v>
      </c>
      <c r="J52" s="90" t="str">
        <f t="shared" ca="1" si="5"/>
        <v>—</v>
      </c>
      <c r="K52" s="91"/>
    </row>
    <row r="53" spans="1:11" ht="15" customHeight="1" x14ac:dyDescent="0.25">
      <c r="A53" s="76"/>
      <c r="B53" s="37" t="str">
        <f>IF(A53="","",IFERROR(VLOOKUP(A53,DB_Customers!$A:$D,4,0),"❌ Account Not Found"))</f>
        <v/>
      </c>
      <c r="C53" s="77" t="str">
        <f>IF(A53="","",IFERROR(IF(SUMIF(DB_Savings!$C:$C,A53,DB_Savings!$F:$F)=0,VLOOKUP(A53,DB_Customers!$A:$I,9,0),VLOOKUP(A53,DB_Customers!$A:$N,14,0)),"❌ Acct Not Found"))</f>
        <v/>
      </c>
      <c r="D53" s="78" t="str">
        <f t="shared" ca="1" si="3"/>
        <v/>
      </c>
      <c r="E53" s="79"/>
      <c r="F53" s="80" t="str">
        <f t="shared" si="4"/>
        <v/>
      </c>
      <c r="G53" s="39" t="s">
        <v>134</v>
      </c>
      <c r="H53" s="81"/>
      <c r="I53" s="82" t="str">
        <f>IF(A53="","Pending",IF(H53="","⚠️ Enter Agent Code",IF(IFERROR(VLOOKUP(G53,DB_Agents!$B:$I,8,0),"")=H53,IF(AND(A53&lt;&gt;"",E53&lt;&gt;""),"Saved","Pending"),"🔒 BLOCKED — Wrong Code")))</f>
        <v>Pending</v>
      </c>
      <c r="J53" s="83" t="str">
        <f t="shared" ca="1" si="5"/>
        <v>—</v>
      </c>
      <c r="K53" s="84"/>
    </row>
    <row r="54" spans="1:11" ht="15" customHeight="1" x14ac:dyDescent="0.25">
      <c r="A54" s="85"/>
      <c r="B54" s="41" t="str">
        <f>IF(A54="","",IFERROR(VLOOKUP(A54,DB_Customers!$A:$D,4,0),"❌ Account Not Found"))</f>
        <v/>
      </c>
      <c r="C54" s="86" t="str">
        <f>IF(A54="","",IFERROR(IF(SUMIF(DB_Savings!$C:$C,A54,DB_Savings!$F:$F)=0,VLOOKUP(A54,DB_Customers!$A:$I,9,0),VLOOKUP(A54,DB_Customers!$A:$N,14,0)),"❌ Acct Not Found"))</f>
        <v/>
      </c>
      <c r="D54" s="87" t="str">
        <f t="shared" ca="1" si="3"/>
        <v/>
      </c>
      <c r="E54" s="79"/>
      <c r="F54" s="88" t="str">
        <f t="shared" si="4"/>
        <v/>
      </c>
      <c r="G54" s="43" t="s">
        <v>134</v>
      </c>
      <c r="H54" s="81"/>
      <c r="I54" s="89" t="str">
        <f>IF(A54="","Pending",IF(H54="","⚠️ Enter Agent Code",IF(IFERROR(VLOOKUP(G54,DB_Agents!$B:$I,8,0),"")=H54,IF(AND(A54&lt;&gt;"",E54&lt;&gt;""),"Saved","Pending"),"🔒 BLOCKED — Wrong Code")))</f>
        <v>Pending</v>
      </c>
      <c r="J54" s="90" t="str">
        <f t="shared" ca="1" si="5"/>
        <v>—</v>
      </c>
      <c r="K54" s="91"/>
    </row>
    <row r="55" spans="1:11" ht="15" customHeight="1" x14ac:dyDescent="0.25">
      <c r="A55" s="76"/>
      <c r="B55" s="37" t="str">
        <f>IF(A55="","",IFERROR(VLOOKUP(A55,DB_Customers!$A:$D,4,0),"❌ Account Not Found"))</f>
        <v/>
      </c>
      <c r="C55" s="77" t="str">
        <f>IF(A55="","",IFERROR(IF(SUMIF(DB_Savings!$C:$C,A55,DB_Savings!$F:$F)=0,VLOOKUP(A55,DB_Customers!$A:$I,9,0),VLOOKUP(A55,DB_Customers!$A:$N,14,0)),"❌ Acct Not Found"))</f>
        <v/>
      </c>
      <c r="D55" s="78" t="str">
        <f t="shared" ca="1" si="3"/>
        <v/>
      </c>
      <c r="E55" s="79"/>
      <c r="F55" s="80" t="str">
        <f t="shared" si="4"/>
        <v/>
      </c>
      <c r="G55" s="39" t="s">
        <v>134</v>
      </c>
      <c r="H55" s="81"/>
      <c r="I55" s="82" t="str">
        <f>IF(A55="","Pending",IF(H55="","⚠️ Enter Agent Code",IF(IFERROR(VLOOKUP(G55,DB_Agents!$B:$I,8,0),"")=H55,IF(AND(A55&lt;&gt;"",E55&lt;&gt;""),"Saved","Pending"),"🔒 BLOCKED — Wrong Code")))</f>
        <v>Pending</v>
      </c>
      <c r="J55" s="83" t="str">
        <f t="shared" ca="1" si="5"/>
        <v>—</v>
      </c>
      <c r="K55" s="84"/>
    </row>
    <row r="56" spans="1:11" ht="15" customHeight="1" x14ac:dyDescent="0.25">
      <c r="A56" s="85"/>
      <c r="B56" s="41" t="str">
        <f>IF(A56="","",IFERROR(VLOOKUP(A56,DB_Customers!$A:$D,4,0),"❌ Account Not Found"))</f>
        <v/>
      </c>
      <c r="C56" s="86" t="str">
        <f>IF(A56="","",IFERROR(IF(SUMIF(DB_Savings!$C:$C,A56,DB_Savings!$F:$F)=0,VLOOKUP(A56,DB_Customers!$A:$I,9,0),VLOOKUP(A56,DB_Customers!$A:$N,14,0)),"❌ Acct Not Found"))</f>
        <v/>
      </c>
      <c r="D56" s="87" t="str">
        <f t="shared" ca="1" si="3"/>
        <v/>
      </c>
      <c r="E56" s="79"/>
      <c r="F56" s="88" t="str">
        <f t="shared" si="4"/>
        <v/>
      </c>
      <c r="G56" s="43" t="s">
        <v>134</v>
      </c>
      <c r="H56" s="81"/>
      <c r="I56" s="89" t="str">
        <f>IF(A56="","Pending",IF(H56="","⚠️ Enter Agent Code",IF(IFERROR(VLOOKUP(G56,DB_Agents!$B:$I,8,0),"")=H56,IF(AND(A56&lt;&gt;"",E56&lt;&gt;""),"Saved","Pending"),"🔒 BLOCKED — Wrong Code")))</f>
        <v>Pending</v>
      </c>
      <c r="J56" s="90" t="str">
        <f t="shared" ca="1" si="5"/>
        <v>—</v>
      </c>
      <c r="K56" s="91"/>
    </row>
    <row r="57" spans="1:11" ht="15" customHeight="1" x14ac:dyDescent="0.25">
      <c r="A57" s="76"/>
      <c r="B57" s="37" t="str">
        <f>IF(A57="","",IFERROR(VLOOKUP(A57,DB_Customers!$A:$D,4,0),"❌ Account Not Found"))</f>
        <v/>
      </c>
      <c r="C57" s="77" t="str">
        <f>IF(A57="","",IFERROR(IF(SUMIF(DB_Savings!$C:$C,A57,DB_Savings!$F:$F)=0,VLOOKUP(A57,DB_Customers!$A:$I,9,0),VLOOKUP(A57,DB_Customers!$A:$N,14,0)),"❌ Acct Not Found"))</f>
        <v/>
      </c>
      <c r="D57" s="78" t="str">
        <f t="shared" ca="1" si="3"/>
        <v/>
      </c>
      <c r="E57" s="79"/>
      <c r="F57" s="80" t="str">
        <f t="shared" si="4"/>
        <v/>
      </c>
      <c r="G57" s="39" t="s">
        <v>134</v>
      </c>
      <c r="H57" s="81"/>
      <c r="I57" s="82" t="str">
        <f>IF(A57="","Pending",IF(H57="","⚠️ Enter Agent Code",IF(IFERROR(VLOOKUP(G57,DB_Agents!$B:$I,8,0),"")=H57,IF(AND(A57&lt;&gt;"",E57&lt;&gt;""),"Saved","Pending"),"🔒 BLOCKED — Wrong Code")))</f>
        <v>Pending</v>
      </c>
      <c r="J57" s="83" t="str">
        <f t="shared" ca="1" si="5"/>
        <v>—</v>
      </c>
      <c r="K57" s="84"/>
    </row>
    <row r="58" spans="1:11" ht="15" customHeight="1" x14ac:dyDescent="0.25">
      <c r="A58" s="85"/>
      <c r="B58" s="41" t="str">
        <f>IF(A58="","",IFERROR(VLOOKUP(A58,DB_Customers!$A:$D,4,0),"❌ Account Not Found"))</f>
        <v/>
      </c>
      <c r="C58" s="86" t="str">
        <f>IF(A58="","",IFERROR(IF(SUMIF(DB_Savings!$C:$C,A58,DB_Savings!$F:$F)=0,VLOOKUP(A58,DB_Customers!$A:$I,9,0),VLOOKUP(A58,DB_Customers!$A:$N,14,0)),"❌ Acct Not Found"))</f>
        <v/>
      </c>
      <c r="D58" s="87" t="str">
        <f t="shared" ca="1" si="3"/>
        <v/>
      </c>
      <c r="E58" s="79"/>
      <c r="F58" s="88" t="str">
        <f t="shared" si="4"/>
        <v/>
      </c>
      <c r="G58" s="43" t="s">
        <v>134</v>
      </c>
      <c r="H58" s="81"/>
      <c r="I58" s="89" t="str">
        <f>IF(A58="","Pending",IF(H58="","⚠️ Enter Agent Code",IF(IFERROR(VLOOKUP(G58,DB_Agents!$B:$I,8,0),"")=H58,IF(AND(A58&lt;&gt;"",E58&lt;&gt;""),"Saved","Pending"),"🔒 BLOCKED — Wrong Code")))</f>
        <v>Pending</v>
      </c>
      <c r="J58" s="90" t="str">
        <f t="shared" ca="1" si="5"/>
        <v>—</v>
      </c>
      <c r="K58" s="91"/>
    </row>
    <row r="59" spans="1:11" ht="15" customHeight="1" x14ac:dyDescent="0.25">
      <c r="A59" s="76"/>
      <c r="B59" s="37" t="str">
        <f>IF(A59="","",IFERROR(VLOOKUP(A59,DB_Customers!$A:$D,4,0),"❌ Account Not Found"))</f>
        <v/>
      </c>
      <c r="C59" s="77" t="str">
        <f>IF(A59="","",IFERROR(IF(SUMIF(DB_Savings!$C:$C,A59,DB_Savings!$F:$F)=0,VLOOKUP(A59,DB_Customers!$A:$I,9,0),VLOOKUP(A59,DB_Customers!$A:$N,14,0)),"❌ Acct Not Found"))</f>
        <v/>
      </c>
      <c r="D59" s="78" t="str">
        <f t="shared" ca="1" si="3"/>
        <v/>
      </c>
      <c r="E59" s="79"/>
      <c r="F59" s="80" t="str">
        <f t="shared" si="4"/>
        <v/>
      </c>
      <c r="G59" s="39" t="s">
        <v>134</v>
      </c>
      <c r="H59" s="81"/>
      <c r="I59" s="82" t="str">
        <f>IF(A59="","Pending",IF(H59="","⚠️ Enter Agent Code",IF(IFERROR(VLOOKUP(G59,DB_Agents!$B:$I,8,0),"")=H59,IF(AND(A59&lt;&gt;"",E59&lt;&gt;""),"Saved","Pending"),"🔒 BLOCKED — Wrong Code")))</f>
        <v>Pending</v>
      </c>
      <c r="J59" s="83" t="str">
        <f t="shared" ca="1" si="5"/>
        <v>—</v>
      </c>
      <c r="K59" s="84"/>
    </row>
    <row r="60" spans="1:11" ht="15" customHeight="1" x14ac:dyDescent="0.25">
      <c r="A60" s="85"/>
      <c r="B60" s="41" t="str">
        <f>IF(A60="","",IFERROR(VLOOKUP(A60,DB_Customers!$A:$D,4,0),"❌ Account Not Found"))</f>
        <v/>
      </c>
      <c r="C60" s="86" t="str">
        <f>IF(A60="","",IFERROR(IF(SUMIF(DB_Savings!$C:$C,A60,DB_Savings!$F:$F)=0,VLOOKUP(A60,DB_Customers!$A:$I,9,0),VLOOKUP(A60,DB_Customers!$A:$N,14,0)),"❌ Acct Not Found"))</f>
        <v/>
      </c>
      <c r="D60" s="87" t="str">
        <f t="shared" ca="1" si="3"/>
        <v/>
      </c>
      <c r="E60" s="79"/>
      <c r="F60" s="88" t="str">
        <f t="shared" si="4"/>
        <v/>
      </c>
      <c r="G60" s="43" t="s">
        <v>134</v>
      </c>
      <c r="H60" s="81"/>
      <c r="I60" s="89" t="str">
        <f>IF(A60="","Pending",IF(H60="","⚠️ Enter Agent Code",IF(IFERROR(VLOOKUP(G60,DB_Agents!$B:$I,8,0),"")=H60,IF(AND(A60&lt;&gt;"",E60&lt;&gt;""),"Saved","Pending"),"🔒 BLOCKED — Wrong Code")))</f>
        <v>Pending</v>
      </c>
      <c r="J60" s="90" t="str">
        <f t="shared" ca="1" si="5"/>
        <v>—</v>
      </c>
      <c r="K60" s="91"/>
    </row>
    <row r="61" spans="1:11" ht="15" customHeight="1" x14ac:dyDescent="0.25">
      <c r="A61" s="76"/>
      <c r="B61" s="37" t="str">
        <f>IF(A61="","",IFERROR(VLOOKUP(A61,DB_Customers!$A:$D,4,0),"❌ Account Not Found"))</f>
        <v/>
      </c>
      <c r="C61" s="77" t="str">
        <f>IF(A61="","",IFERROR(IF(SUMIF(DB_Savings!$C:$C,A61,DB_Savings!$F:$F)=0,VLOOKUP(A61,DB_Customers!$A:$I,9,0),VLOOKUP(A61,DB_Customers!$A:$N,14,0)),"❌ Acct Not Found"))</f>
        <v/>
      </c>
      <c r="D61" s="78" t="str">
        <f t="shared" ca="1" si="3"/>
        <v/>
      </c>
      <c r="E61" s="79"/>
      <c r="F61" s="80" t="str">
        <f t="shared" si="4"/>
        <v/>
      </c>
      <c r="G61" s="39" t="s">
        <v>134</v>
      </c>
      <c r="H61" s="81"/>
      <c r="I61" s="82" t="str">
        <f>IF(A61="","Pending",IF(H61="","⚠️ Enter Agent Code",IF(IFERROR(VLOOKUP(G61,DB_Agents!$B:$I,8,0),"")=H61,IF(AND(A61&lt;&gt;"",E61&lt;&gt;""),"Saved","Pending"),"🔒 BLOCKED — Wrong Code")))</f>
        <v>Pending</v>
      </c>
      <c r="J61" s="83" t="str">
        <f t="shared" ca="1" si="5"/>
        <v>—</v>
      </c>
      <c r="K61" s="84"/>
    </row>
    <row r="62" spans="1:11" ht="15" customHeight="1" x14ac:dyDescent="0.25">
      <c r="A62" s="85"/>
      <c r="B62" s="41" t="str">
        <f>IF(A62="","",IFERROR(VLOOKUP(A62,DB_Customers!$A:$D,4,0),"❌ Account Not Found"))</f>
        <v/>
      </c>
      <c r="C62" s="86" t="str">
        <f>IF(A62="","",IFERROR(IF(SUMIF(DB_Savings!$C:$C,A62,DB_Savings!$F:$F)=0,VLOOKUP(A62,DB_Customers!$A:$I,9,0),VLOOKUP(A62,DB_Customers!$A:$N,14,0)),"❌ Acct Not Found"))</f>
        <v/>
      </c>
      <c r="D62" s="87" t="str">
        <f t="shared" ca="1" si="3"/>
        <v/>
      </c>
      <c r="E62" s="79"/>
      <c r="F62" s="88" t="str">
        <f t="shared" si="4"/>
        <v/>
      </c>
      <c r="G62" s="43" t="s">
        <v>134</v>
      </c>
      <c r="H62" s="81"/>
      <c r="I62" s="89" t="str">
        <f>IF(A62="","Pending",IF(H62="","⚠️ Enter Agent Code",IF(IFERROR(VLOOKUP(G62,DB_Agents!$B:$I,8,0),"")=H62,IF(AND(A62&lt;&gt;"",E62&lt;&gt;""),"Saved","Pending"),"🔒 BLOCKED — Wrong Code")))</f>
        <v>Pending</v>
      </c>
      <c r="J62" s="90" t="str">
        <f t="shared" ca="1" si="5"/>
        <v>—</v>
      </c>
      <c r="K62" s="91"/>
    </row>
    <row r="63" spans="1:11" ht="15" customHeight="1" x14ac:dyDescent="0.25">
      <c r="A63" s="76"/>
      <c r="B63" s="37" t="str">
        <f>IF(A63="","",IFERROR(VLOOKUP(A63,DB_Customers!$A:$D,4,0),"❌ Account Not Found"))</f>
        <v/>
      </c>
      <c r="C63" s="77" t="str">
        <f>IF(A63="","",IFERROR(IF(SUMIF(DB_Savings!$C:$C,A63,DB_Savings!$F:$F)=0,VLOOKUP(A63,DB_Customers!$A:$I,9,0),VLOOKUP(A63,DB_Customers!$A:$N,14,0)),"❌ Acct Not Found"))</f>
        <v/>
      </c>
      <c r="D63" s="78" t="str">
        <f t="shared" ca="1" si="3"/>
        <v/>
      </c>
      <c r="E63" s="79"/>
      <c r="F63" s="80" t="str">
        <f t="shared" si="4"/>
        <v/>
      </c>
      <c r="G63" s="39" t="s">
        <v>134</v>
      </c>
      <c r="H63" s="81"/>
      <c r="I63" s="82" t="str">
        <f>IF(A63="","Pending",IF(H63="","⚠️ Enter Agent Code",IF(IFERROR(VLOOKUP(G63,DB_Agents!$B:$I,8,0),"")=H63,IF(AND(A63&lt;&gt;"",E63&lt;&gt;""),"Saved","Pending"),"🔒 BLOCKED — Wrong Code")))</f>
        <v>Pending</v>
      </c>
      <c r="J63" s="83" t="str">
        <f t="shared" ca="1" si="5"/>
        <v>—</v>
      </c>
      <c r="K63" s="84"/>
    </row>
    <row r="64" spans="1:11" ht="15" customHeight="1" x14ac:dyDescent="0.25">
      <c r="A64" s="85"/>
      <c r="B64" s="41" t="str">
        <f>IF(A64="","",IFERROR(VLOOKUP(A64,DB_Customers!$A:$D,4,0),"❌ Account Not Found"))</f>
        <v/>
      </c>
      <c r="C64" s="86" t="str">
        <f>IF(A64="","",IFERROR(IF(SUMIF(DB_Savings!$C:$C,A64,DB_Savings!$F:$F)=0,VLOOKUP(A64,DB_Customers!$A:$I,9,0),VLOOKUP(A64,DB_Customers!$A:$N,14,0)),"❌ Acct Not Found"))</f>
        <v/>
      </c>
      <c r="D64" s="87" t="str">
        <f t="shared" ca="1" si="3"/>
        <v/>
      </c>
      <c r="E64" s="79"/>
      <c r="F64" s="88" t="str">
        <f t="shared" si="4"/>
        <v/>
      </c>
      <c r="G64" s="43" t="s">
        <v>134</v>
      </c>
      <c r="H64" s="81"/>
      <c r="I64" s="89" t="str">
        <f>IF(A64="","Pending",IF(H64="","⚠️ Enter Agent Code",IF(IFERROR(VLOOKUP(G64,DB_Agents!$B:$I,8,0),"")=H64,IF(AND(A64&lt;&gt;"",E64&lt;&gt;""),"Saved","Pending"),"🔒 BLOCKED — Wrong Code")))</f>
        <v>Pending</v>
      </c>
      <c r="J64" s="90" t="str">
        <f t="shared" ca="1" si="5"/>
        <v>—</v>
      </c>
      <c r="K64" s="91"/>
    </row>
    <row r="65" spans="1:11" ht="15" customHeight="1" x14ac:dyDescent="0.25">
      <c r="A65" s="76"/>
      <c r="B65" s="37" t="str">
        <f>IF(A65="","",IFERROR(VLOOKUP(A65,DB_Customers!$A:$D,4,0),"❌ Account Not Found"))</f>
        <v/>
      </c>
      <c r="C65" s="77" t="str">
        <f>IF(A65="","",IFERROR(IF(SUMIF(DB_Savings!$C:$C,A65,DB_Savings!$F:$F)=0,VLOOKUP(A65,DB_Customers!$A:$I,9,0),VLOOKUP(A65,DB_Customers!$A:$N,14,0)),"❌ Acct Not Found"))</f>
        <v/>
      </c>
      <c r="D65" s="78" t="str">
        <f t="shared" ca="1" si="3"/>
        <v/>
      </c>
      <c r="E65" s="79"/>
      <c r="F65" s="80" t="str">
        <f t="shared" si="4"/>
        <v/>
      </c>
      <c r="G65" s="39" t="s">
        <v>134</v>
      </c>
      <c r="H65" s="81"/>
      <c r="I65" s="82" t="str">
        <f>IF(A65="","Pending",IF(H65="","⚠️ Enter Agent Code",IF(IFERROR(VLOOKUP(G65,DB_Agents!$B:$I,8,0),"")=H65,IF(AND(A65&lt;&gt;"",E65&lt;&gt;""),"Saved","Pending"),"🔒 BLOCKED — Wrong Code")))</f>
        <v>Pending</v>
      </c>
      <c r="J65" s="83" t="str">
        <f t="shared" ca="1" si="5"/>
        <v>—</v>
      </c>
      <c r="K65" s="84"/>
    </row>
    <row r="66" spans="1:11" ht="15" customHeight="1" x14ac:dyDescent="0.25">
      <c r="A66" s="85"/>
      <c r="B66" s="41" t="str">
        <f>IF(A66="","",IFERROR(VLOOKUP(A66,DB_Customers!$A:$D,4,0),"❌ Account Not Found"))</f>
        <v/>
      </c>
      <c r="C66" s="86" t="str">
        <f>IF(A66="","",IFERROR(IF(SUMIF(DB_Savings!$C:$C,A66,DB_Savings!$F:$F)=0,VLOOKUP(A66,DB_Customers!$A:$I,9,0),VLOOKUP(A66,DB_Customers!$A:$N,14,0)),"❌ Acct Not Found"))</f>
        <v/>
      </c>
      <c r="D66" s="87" t="str">
        <f t="shared" ca="1" si="3"/>
        <v/>
      </c>
      <c r="E66" s="79"/>
      <c r="F66" s="88" t="str">
        <f t="shared" si="4"/>
        <v/>
      </c>
      <c r="G66" s="43" t="s">
        <v>134</v>
      </c>
      <c r="H66" s="81"/>
      <c r="I66" s="89" t="str">
        <f>IF(A66="","Pending",IF(H66="","⚠️ Enter Agent Code",IF(IFERROR(VLOOKUP(G66,DB_Agents!$B:$I,8,0),"")=H66,IF(AND(A66&lt;&gt;"",E66&lt;&gt;""),"Saved","Pending"),"🔒 BLOCKED — Wrong Code")))</f>
        <v>Pending</v>
      </c>
      <c r="J66" s="90" t="str">
        <f t="shared" ca="1" si="5"/>
        <v>—</v>
      </c>
      <c r="K66" s="91"/>
    </row>
    <row r="67" spans="1:11" ht="15" customHeight="1" x14ac:dyDescent="0.25">
      <c r="A67" s="76"/>
      <c r="B67" s="37" t="str">
        <f>IF(A67="","",IFERROR(VLOOKUP(A67,DB_Customers!$A:$D,4,0),"❌ Account Not Found"))</f>
        <v/>
      </c>
      <c r="C67" s="77" t="str">
        <f>IF(A67="","",IFERROR(IF(SUMIF(DB_Savings!$C:$C,A67,DB_Savings!$F:$F)=0,VLOOKUP(A67,DB_Customers!$A:$I,9,0),VLOOKUP(A67,DB_Customers!$A:$N,14,0)),"❌ Acct Not Found"))</f>
        <v/>
      </c>
      <c r="D67" s="78" t="str">
        <f t="shared" ca="1" si="3"/>
        <v/>
      </c>
      <c r="E67" s="79"/>
      <c r="F67" s="80" t="str">
        <f t="shared" si="4"/>
        <v/>
      </c>
      <c r="G67" s="39" t="s">
        <v>134</v>
      </c>
      <c r="H67" s="81"/>
      <c r="I67" s="82" t="str">
        <f>IF(A67="","Pending",IF(H67="","⚠️ Enter Agent Code",IF(IFERROR(VLOOKUP(G67,DB_Agents!$B:$I,8,0),"")=H67,IF(AND(A67&lt;&gt;"",E67&lt;&gt;""),"Saved","Pending"),"🔒 BLOCKED — Wrong Code")))</f>
        <v>Pending</v>
      </c>
      <c r="J67" s="83" t="str">
        <f t="shared" ca="1" si="5"/>
        <v>—</v>
      </c>
      <c r="K67" s="84"/>
    </row>
    <row r="68" spans="1:11" ht="15" customHeight="1" x14ac:dyDescent="0.25">
      <c r="A68" s="85"/>
      <c r="B68" s="41" t="str">
        <f>IF(A68="","",IFERROR(VLOOKUP(A68,DB_Customers!$A:$D,4,0),"❌ Account Not Found"))</f>
        <v/>
      </c>
      <c r="C68" s="86" t="str">
        <f>IF(A68="","",IFERROR(IF(SUMIF(DB_Savings!$C:$C,A68,DB_Savings!$F:$F)=0,VLOOKUP(A68,DB_Customers!$A:$I,9,0),VLOOKUP(A68,DB_Customers!$A:$N,14,0)),"❌ Acct Not Found"))</f>
        <v/>
      </c>
      <c r="D68" s="87" t="str">
        <f t="shared" ca="1" si="3"/>
        <v/>
      </c>
      <c r="E68" s="79"/>
      <c r="F68" s="88" t="str">
        <f t="shared" si="4"/>
        <v/>
      </c>
      <c r="G68" s="43" t="s">
        <v>134</v>
      </c>
      <c r="H68" s="81"/>
      <c r="I68" s="89" t="str">
        <f>IF(A68="","Pending",IF(H68="","⚠️ Enter Agent Code",IF(IFERROR(VLOOKUP(G68,DB_Agents!$B:$I,8,0),"")=H68,IF(AND(A68&lt;&gt;"",E68&lt;&gt;""),"Saved","Pending"),"🔒 BLOCKED — Wrong Code")))</f>
        <v>Pending</v>
      </c>
      <c r="J68" s="90" t="str">
        <f t="shared" ca="1" si="5"/>
        <v>—</v>
      </c>
      <c r="K68" s="91"/>
    </row>
    <row r="69" spans="1:11" ht="15" customHeight="1" x14ac:dyDescent="0.25">
      <c r="A69" s="76"/>
      <c r="B69" s="37" t="str">
        <f>IF(A69="","",IFERROR(VLOOKUP(A69,DB_Customers!$A:$D,4,0),"❌ Account Not Found"))</f>
        <v/>
      </c>
      <c r="C69" s="77" t="str">
        <f>IF(A69="","",IFERROR(IF(SUMIF(DB_Savings!$C:$C,A69,DB_Savings!$F:$F)=0,VLOOKUP(A69,DB_Customers!$A:$I,9,0),VLOOKUP(A69,DB_Customers!$A:$N,14,0)),"❌ Acct Not Found"))</f>
        <v/>
      </c>
      <c r="D69" s="78" t="str">
        <f t="shared" ca="1" si="3"/>
        <v/>
      </c>
      <c r="E69" s="79"/>
      <c r="F69" s="80" t="str">
        <f t="shared" si="4"/>
        <v/>
      </c>
      <c r="G69" s="39" t="s">
        <v>134</v>
      </c>
      <c r="H69" s="81"/>
      <c r="I69" s="82" t="str">
        <f>IF(A69="","Pending",IF(H69="","⚠️ Enter Agent Code",IF(IFERROR(VLOOKUP(G69,DB_Agents!$B:$I,8,0),"")=H69,IF(AND(A69&lt;&gt;"",E69&lt;&gt;""),"Saved","Pending"),"🔒 BLOCKED — Wrong Code")))</f>
        <v>Pending</v>
      </c>
      <c r="J69" s="83" t="str">
        <f t="shared" ca="1" si="5"/>
        <v>—</v>
      </c>
      <c r="K69" s="84"/>
    </row>
    <row r="70" spans="1:11" ht="15" customHeight="1" x14ac:dyDescent="0.25">
      <c r="A70" s="85"/>
      <c r="B70" s="41" t="str">
        <f>IF(A70="","",IFERROR(VLOOKUP(A70,DB_Customers!$A:$D,4,0),"❌ Account Not Found"))</f>
        <v/>
      </c>
      <c r="C70" s="86" t="str">
        <f>IF(A70="","",IFERROR(IF(SUMIF(DB_Savings!$C:$C,A70,DB_Savings!$F:$F)=0,VLOOKUP(A70,DB_Customers!$A:$I,9,0),VLOOKUP(A70,DB_Customers!$A:$N,14,0)),"❌ Acct Not Found"))</f>
        <v/>
      </c>
      <c r="D70" s="87" t="str">
        <f t="shared" ca="1" si="3"/>
        <v/>
      </c>
      <c r="E70" s="79"/>
      <c r="F70" s="88" t="str">
        <f t="shared" si="4"/>
        <v/>
      </c>
      <c r="G70" s="43" t="s">
        <v>134</v>
      </c>
      <c r="H70" s="81"/>
      <c r="I70" s="89" t="str">
        <f>IF(A70="","Pending",IF(H70="","⚠️ Enter Agent Code",IF(IFERROR(VLOOKUP(G70,DB_Agents!$B:$I,8,0),"")=H70,IF(AND(A70&lt;&gt;"",E70&lt;&gt;""),"Saved","Pending"),"🔒 BLOCKED — Wrong Code")))</f>
        <v>Pending</v>
      </c>
      <c r="J70" s="90" t="str">
        <f t="shared" ca="1" si="5"/>
        <v>—</v>
      </c>
      <c r="K70" s="91"/>
    </row>
    <row r="71" spans="1:11" ht="15" customHeight="1" x14ac:dyDescent="0.25">
      <c r="A71" s="76"/>
      <c r="B71" s="37" t="str">
        <f>IF(A71="","",IFERROR(VLOOKUP(A71,DB_Customers!$A:$D,4,0),"❌ Account Not Found"))</f>
        <v/>
      </c>
      <c r="C71" s="77" t="str">
        <f>IF(A71="","",IFERROR(IF(SUMIF(DB_Savings!$C:$C,A71,DB_Savings!$F:$F)=0,VLOOKUP(A71,DB_Customers!$A:$I,9,0),VLOOKUP(A71,DB_Customers!$A:$N,14,0)),"❌ Acct Not Found"))</f>
        <v/>
      </c>
      <c r="D71" s="78" t="str">
        <f t="shared" ca="1" si="3"/>
        <v/>
      </c>
      <c r="E71" s="79"/>
      <c r="F71" s="80" t="str">
        <f t="shared" si="4"/>
        <v/>
      </c>
      <c r="G71" s="39" t="s">
        <v>134</v>
      </c>
      <c r="H71" s="81"/>
      <c r="I71" s="82" t="str">
        <f>IF(A71="","Pending",IF(H71="","⚠️ Enter Agent Code",IF(IFERROR(VLOOKUP(G71,DB_Agents!$B:$I,8,0),"")=H71,IF(AND(A71&lt;&gt;"",E71&lt;&gt;""),"Saved","Pending"),"🔒 BLOCKED — Wrong Code")))</f>
        <v>Pending</v>
      </c>
      <c r="J71" s="83" t="str">
        <f t="shared" ca="1" si="5"/>
        <v>—</v>
      </c>
      <c r="K71" s="84"/>
    </row>
    <row r="72" spans="1:11" ht="15" customHeight="1" x14ac:dyDescent="0.25">
      <c r="A72" s="85"/>
      <c r="B72" s="41" t="str">
        <f>IF(A72="","",IFERROR(VLOOKUP(A72,DB_Customers!$A:$D,4,0),"❌ Account Not Found"))</f>
        <v/>
      </c>
      <c r="C72" s="86" t="str">
        <f>IF(A72="","",IFERROR(IF(SUMIF(DB_Savings!$C:$C,A72,DB_Savings!$F:$F)=0,VLOOKUP(A72,DB_Customers!$A:$I,9,0),VLOOKUP(A72,DB_Customers!$A:$N,14,0)),"❌ Acct Not Found"))</f>
        <v/>
      </c>
      <c r="D72" s="87" t="str">
        <f t="shared" ca="1" si="3"/>
        <v/>
      </c>
      <c r="E72" s="79"/>
      <c r="F72" s="88" t="str">
        <f t="shared" si="4"/>
        <v/>
      </c>
      <c r="G72" s="43" t="s">
        <v>134</v>
      </c>
      <c r="H72" s="81"/>
      <c r="I72" s="89" t="str">
        <f>IF(A72="","Pending",IF(H72="","⚠️ Enter Agent Code",IF(IFERROR(VLOOKUP(G72,DB_Agents!$B:$I,8,0),"")=H72,IF(AND(A72&lt;&gt;"",E72&lt;&gt;""),"Saved","Pending"),"🔒 BLOCKED — Wrong Code")))</f>
        <v>Pending</v>
      </c>
      <c r="J72" s="90" t="str">
        <f t="shared" ca="1" si="5"/>
        <v>—</v>
      </c>
      <c r="K72" s="91"/>
    </row>
    <row r="73" spans="1:11" ht="15" customHeight="1" x14ac:dyDescent="0.25">
      <c r="A73" s="76"/>
      <c r="B73" s="37" t="str">
        <f>IF(A73="","",IFERROR(VLOOKUP(A73,DB_Customers!$A:$D,4,0),"❌ Account Not Found"))</f>
        <v/>
      </c>
      <c r="C73" s="77" t="str">
        <f>IF(A73="","",IFERROR(IF(SUMIF(DB_Savings!$C:$C,A73,DB_Savings!$F:$F)=0,VLOOKUP(A73,DB_Customers!$A:$I,9,0),VLOOKUP(A73,DB_Customers!$A:$N,14,0)),"❌ Acct Not Found"))</f>
        <v/>
      </c>
      <c r="D73" s="78" t="str">
        <f t="shared" ref="D73:D104" ca="1" si="6">IF(A73="","",TODAY())</f>
        <v/>
      </c>
      <c r="E73" s="79"/>
      <c r="F73" s="80" t="str">
        <f t="shared" ref="F73:F104" si="7">IF(OR(A73="",E73=""),"",IF(C73="","",C73+E73))</f>
        <v/>
      </c>
      <c r="G73" s="39" t="s">
        <v>134</v>
      </c>
      <c r="H73" s="81"/>
      <c r="I73" s="82" t="str">
        <f>IF(A73="","Pending",IF(H73="","⚠️ Enter Agent Code",IF(IFERROR(VLOOKUP(G73,DB_Agents!$B:$I,8,0),"")=H73,IF(AND(A73&lt;&gt;"",E73&lt;&gt;""),"Saved","Pending"),"🔒 BLOCKED — Wrong Code")))</f>
        <v>Pending</v>
      </c>
      <c r="J73" s="83" t="str">
        <f t="shared" ref="J73:J104" ca="1" si="8">IF(I73="Saved",TEXT(TODAY(),"YYYY-MM-DD")&amp;" Auto","—")</f>
        <v>—</v>
      </c>
      <c r="K73" s="84"/>
    </row>
    <row r="74" spans="1:11" ht="15" customHeight="1" x14ac:dyDescent="0.25">
      <c r="A74" s="85"/>
      <c r="B74" s="41" t="str">
        <f>IF(A74="","",IFERROR(VLOOKUP(A74,DB_Customers!$A:$D,4,0),"❌ Account Not Found"))</f>
        <v/>
      </c>
      <c r="C74" s="86" t="str">
        <f>IF(A74="","",IFERROR(IF(SUMIF(DB_Savings!$C:$C,A74,DB_Savings!$F:$F)=0,VLOOKUP(A74,DB_Customers!$A:$I,9,0),VLOOKUP(A74,DB_Customers!$A:$N,14,0)),"❌ Acct Not Found"))</f>
        <v/>
      </c>
      <c r="D74" s="87" t="str">
        <f t="shared" ca="1" si="6"/>
        <v/>
      </c>
      <c r="E74" s="79"/>
      <c r="F74" s="88" t="str">
        <f t="shared" si="7"/>
        <v/>
      </c>
      <c r="G74" s="43" t="s">
        <v>134</v>
      </c>
      <c r="H74" s="81"/>
      <c r="I74" s="89" t="str">
        <f>IF(A74="","Pending",IF(H74="","⚠️ Enter Agent Code",IF(IFERROR(VLOOKUP(G74,DB_Agents!$B:$I,8,0),"")=H74,IF(AND(A74&lt;&gt;"",E74&lt;&gt;""),"Saved","Pending"),"🔒 BLOCKED — Wrong Code")))</f>
        <v>Pending</v>
      </c>
      <c r="J74" s="90" t="str">
        <f t="shared" ca="1" si="8"/>
        <v>—</v>
      </c>
      <c r="K74" s="91"/>
    </row>
    <row r="75" spans="1:11" ht="15" customHeight="1" x14ac:dyDescent="0.25">
      <c r="A75" s="76"/>
      <c r="B75" s="37" t="str">
        <f>IF(A75="","",IFERROR(VLOOKUP(A75,DB_Customers!$A:$D,4,0),"❌ Account Not Found"))</f>
        <v/>
      </c>
      <c r="C75" s="77" t="str">
        <f>IF(A75="","",IFERROR(IF(SUMIF(DB_Savings!$C:$C,A75,DB_Savings!$F:$F)=0,VLOOKUP(A75,DB_Customers!$A:$I,9,0),VLOOKUP(A75,DB_Customers!$A:$N,14,0)),"❌ Acct Not Found"))</f>
        <v/>
      </c>
      <c r="D75" s="78" t="str">
        <f t="shared" ca="1" si="6"/>
        <v/>
      </c>
      <c r="E75" s="79"/>
      <c r="F75" s="80" t="str">
        <f t="shared" si="7"/>
        <v/>
      </c>
      <c r="G75" s="39" t="s">
        <v>134</v>
      </c>
      <c r="H75" s="81"/>
      <c r="I75" s="82" t="str">
        <f>IF(A75="","Pending",IF(H75="","⚠️ Enter Agent Code",IF(IFERROR(VLOOKUP(G75,DB_Agents!$B:$I,8,0),"")=H75,IF(AND(A75&lt;&gt;"",E75&lt;&gt;""),"Saved","Pending"),"🔒 BLOCKED — Wrong Code")))</f>
        <v>Pending</v>
      </c>
      <c r="J75" s="83" t="str">
        <f t="shared" ca="1" si="8"/>
        <v>—</v>
      </c>
      <c r="K75" s="84"/>
    </row>
    <row r="76" spans="1:11" ht="15" customHeight="1" x14ac:dyDescent="0.25">
      <c r="A76" s="85"/>
      <c r="B76" s="41" t="str">
        <f>IF(A76="","",IFERROR(VLOOKUP(A76,DB_Customers!$A:$D,4,0),"❌ Account Not Found"))</f>
        <v/>
      </c>
      <c r="C76" s="86" t="str">
        <f>IF(A76="","",IFERROR(IF(SUMIF(DB_Savings!$C:$C,A76,DB_Savings!$F:$F)=0,VLOOKUP(A76,DB_Customers!$A:$I,9,0),VLOOKUP(A76,DB_Customers!$A:$N,14,0)),"❌ Acct Not Found"))</f>
        <v/>
      </c>
      <c r="D76" s="87" t="str">
        <f t="shared" ca="1" si="6"/>
        <v/>
      </c>
      <c r="E76" s="79"/>
      <c r="F76" s="88" t="str">
        <f t="shared" si="7"/>
        <v/>
      </c>
      <c r="G76" s="43" t="s">
        <v>134</v>
      </c>
      <c r="H76" s="81"/>
      <c r="I76" s="89" t="str">
        <f>IF(A76="","Pending",IF(H76="","⚠️ Enter Agent Code",IF(IFERROR(VLOOKUP(G76,DB_Agents!$B:$I,8,0),"")=H76,IF(AND(A76&lt;&gt;"",E76&lt;&gt;""),"Saved","Pending"),"🔒 BLOCKED — Wrong Code")))</f>
        <v>Pending</v>
      </c>
      <c r="J76" s="90" t="str">
        <f t="shared" ca="1" si="8"/>
        <v>—</v>
      </c>
      <c r="K76" s="91"/>
    </row>
    <row r="77" spans="1:11" ht="15" customHeight="1" x14ac:dyDescent="0.25">
      <c r="A77" s="76"/>
      <c r="B77" s="37" t="str">
        <f>IF(A77="","",IFERROR(VLOOKUP(A77,DB_Customers!$A:$D,4,0),"❌ Account Not Found"))</f>
        <v/>
      </c>
      <c r="C77" s="77" t="str">
        <f>IF(A77="","",IFERROR(IF(SUMIF(DB_Savings!$C:$C,A77,DB_Savings!$F:$F)=0,VLOOKUP(A77,DB_Customers!$A:$I,9,0),VLOOKUP(A77,DB_Customers!$A:$N,14,0)),"❌ Acct Not Found"))</f>
        <v/>
      </c>
      <c r="D77" s="78" t="str">
        <f t="shared" ca="1" si="6"/>
        <v/>
      </c>
      <c r="E77" s="79"/>
      <c r="F77" s="80" t="str">
        <f t="shared" si="7"/>
        <v/>
      </c>
      <c r="G77" s="39" t="s">
        <v>134</v>
      </c>
      <c r="H77" s="81"/>
      <c r="I77" s="82" t="str">
        <f>IF(A77="","Pending",IF(H77="","⚠️ Enter Agent Code",IF(IFERROR(VLOOKUP(G77,DB_Agents!$B:$I,8,0),"")=H77,IF(AND(A77&lt;&gt;"",E77&lt;&gt;""),"Saved","Pending"),"🔒 BLOCKED — Wrong Code")))</f>
        <v>Pending</v>
      </c>
      <c r="J77" s="83" t="str">
        <f t="shared" ca="1" si="8"/>
        <v>—</v>
      </c>
      <c r="K77" s="84"/>
    </row>
    <row r="78" spans="1:11" ht="15" customHeight="1" x14ac:dyDescent="0.25">
      <c r="A78" s="85"/>
      <c r="B78" s="41" t="str">
        <f>IF(A78="","",IFERROR(VLOOKUP(A78,DB_Customers!$A:$D,4,0),"❌ Account Not Found"))</f>
        <v/>
      </c>
      <c r="C78" s="86" t="str">
        <f>IF(A78="","",IFERROR(IF(SUMIF(DB_Savings!$C:$C,A78,DB_Savings!$F:$F)=0,VLOOKUP(A78,DB_Customers!$A:$I,9,0),VLOOKUP(A78,DB_Customers!$A:$N,14,0)),"❌ Acct Not Found"))</f>
        <v/>
      </c>
      <c r="D78" s="87" t="str">
        <f t="shared" ca="1" si="6"/>
        <v/>
      </c>
      <c r="E78" s="79"/>
      <c r="F78" s="88" t="str">
        <f t="shared" si="7"/>
        <v/>
      </c>
      <c r="G78" s="43" t="s">
        <v>134</v>
      </c>
      <c r="H78" s="81"/>
      <c r="I78" s="89" t="str">
        <f>IF(A78="","Pending",IF(H78="","⚠️ Enter Agent Code",IF(IFERROR(VLOOKUP(G78,DB_Agents!$B:$I,8,0),"")=H78,IF(AND(A78&lt;&gt;"",E78&lt;&gt;""),"Saved","Pending"),"🔒 BLOCKED — Wrong Code")))</f>
        <v>Pending</v>
      </c>
      <c r="J78" s="90" t="str">
        <f t="shared" ca="1" si="8"/>
        <v>—</v>
      </c>
      <c r="K78" s="91"/>
    </row>
    <row r="79" spans="1:11" ht="15" customHeight="1" x14ac:dyDescent="0.25">
      <c r="A79" s="76"/>
      <c r="B79" s="37" t="str">
        <f>IF(A79="","",IFERROR(VLOOKUP(A79,DB_Customers!$A:$D,4,0),"❌ Account Not Found"))</f>
        <v/>
      </c>
      <c r="C79" s="77" t="str">
        <f>IF(A79="","",IFERROR(IF(SUMIF(DB_Savings!$C:$C,A79,DB_Savings!$F:$F)=0,VLOOKUP(A79,DB_Customers!$A:$I,9,0),VLOOKUP(A79,DB_Customers!$A:$N,14,0)),"❌ Acct Not Found"))</f>
        <v/>
      </c>
      <c r="D79" s="78" t="str">
        <f t="shared" ca="1" si="6"/>
        <v/>
      </c>
      <c r="E79" s="79"/>
      <c r="F79" s="80" t="str">
        <f t="shared" si="7"/>
        <v/>
      </c>
      <c r="G79" s="39" t="s">
        <v>134</v>
      </c>
      <c r="H79" s="81"/>
      <c r="I79" s="82" t="str">
        <f>IF(A79="","Pending",IF(H79="","⚠️ Enter Agent Code",IF(IFERROR(VLOOKUP(G79,DB_Agents!$B:$I,8,0),"")=H79,IF(AND(A79&lt;&gt;"",E79&lt;&gt;""),"Saved","Pending"),"🔒 BLOCKED — Wrong Code")))</f>
        <v>Pending</v>
      </c>
      <c r="J79" s="83" t="str">
        <f t="shared" ca="1" si="8"/>
        <v>—</v>
      </c>
      <c r="K79" s="84"/>
    </row>
    <row r="80" spans="1:11" ht="15" customHeight="1" x14ac:dyDescent="0.25">
      <c r="A80" s="85"/>
      <c r="B80" s="41" t="str">
        <f>IF(A80="","",IFERROR(VLOOKUP(A80,DB_Customers!$A:$D,4,0),"❌ Account Not Found"))</f>
        <v/>
      </c>
      <c r="C80" s="86" t="str">
        <f>IF(A80="","",IFERROR(IF(SUMIF(DB_Savings!$C:$C,A80,DB_Savings!$F:$F)=0,VLOOKUP(A80,DB_Customers!$A:$I,9,0),VLOOKUP(A80,DB_Customers!$A:$N,14,0)),"❌ Acct Not Found"))</f>
        <v/>
      </c>
      <c r="D80" s="87" t="str">
        <f t="shared" ca="1" si="6"/>
        <v/>
      </c>
      <c r="E80" s="79"/>
      <c r="F80" s="88" t="str">
        <f t="shared" si="7"/>
        <v/>
      </c>
      <c r="G80" s="43" t="s">
        <v>134</v>
      </c>
      <c r="H80" s="81"/>
      <c r="I80" s="89" t="str">
        <f>IF(A80="","Pending",IF(H80="","⚠️ Enter Agent Code",IF(IFERROR(VLOOKUP(G80,DB_Agents!$B:$I,8,0),"")=H80,IF(AND(A80&lt;&gt;"",E80&lt;&gt;""),"Saved","Pending"),"🔒 BLOCKED — Wrong Code")))</f>
        <v>Pending</v>
      </c>
      <c r="J80" s="90" t="str">
        <f t="shared" ca="1" si="8"/>
        <v>—</v>
      </c>
      <c r="K80" s="91"/>
    </row>
    <row r="81" spans="1:11" ht="15" customHeight="1" x14ac:dyDescent="0.25">
      <c r="A81" s="76"/>
      <c r="B81" s="37" t="str">
        <f>IF(A81="","",IFERROR(VLOOKUP(A81,DB_Customers!$A:$D,4,0),"❌ Account Not Found"))</f>
        <v/>
      </c>
      <c r="C81" s="77" t="str">
        <f>IF(A81="","",IFERROR(IF(SUMIF(DB_Savings!$C:$C,A81,DB_Savings!$F:$F)=0,VLOOKUP(A81,DB_Customers!$A:$I,9,0),VLOOKUP(A81,DB_Customers!$A:$N,14,0)),"❌ Acct Not Found"))</f>
        <v/>
      </c>
      <c r="D81" s="78" t="str">
        <f t="shared" ca="1" si="6"/>
        <v/>
      </c>
      <c r="E81" s="79"/>
      <c r="F81" s="80" t="str">
        <f t="shared" si="7"/>
        <v/>
      </c>
      <c r="G81" s="39" t="s">
        <v>134</v>
      </c>
      <c r="H81" s="81"/>
      <c r="I81" s="82" t="str">
        <f>IF(A81="","Pending",IF(H81="","⚠️ Enter Agent Code",IF(IFERROR(VLOOKUP(G81,DB_Agents!$B:$I,8,0),"")=H81,IF(AND(A81&lt;&gt;"",E81&lt;&gt;""),"Saved","Pending"),"🔒 BLOCKED — Wrong Code")))</f>
        <v>Pending</v>
      </c>
      <c r="J81" s="83" t="str">
        <f t="shared" ca="1" si="8"/>
        <v>—</v>
      </c>
      <c r="K81" s="84"/>
    </row>
    <row r="82" spans="1:11" ht="15" customHeight="1" x14ac:dyDescent="0.25">
      <c r="A82" s="85"/>
      <c r="B82" s="41" t="str">
        <f>IF(A82="","",IFERROR(VLOOKUP(A82,DB_Customers!$A:$D,4,0),"❌ Account Not Found"))</f>
        <v/>
      </c>
      <c r="C82" s="86" t="str">
        <f>IF(A82="","",IFERROR(IF(SUMIF(DB_Savings!$C:$C,A82,DB_Savings!$F:$F)=0,VLOOKUP(A82,DB_Customers!$A:$I,9,0),VLOOKUP(A82,DB_Customers!$A:$N,14,0)),"❌ Acct Not Found"))</f>
        <v/>
      </c>
      <c r="D82" s="87" t="str">
        <f t="shared" ca="1" si="6"/>
        <v/>
      </c>
      <c r="E82" s="79"/>
      <c r="F82" s="88" t="str">
        <f t="shared" si="7"/>
        <v/>
      </c>
      <c r="G82" s="43" t="s">
        <v>134</v>
      </c>
      <c r="H82" s="81"/>
      <c r="I82" s="89" t="str">
        <f>IF(A82="","Pending",IF(H82="","⚠️ Enter Agent Code",IF(IFERROR(VLOOKUP(G82,DB_Agents!$B:$I,8,0),"")=H82,IF(AND(A82&lt;&gt;"",E82&lt;&gt;""),"Saved","Pending"),"🔒 BLOCKED — Wrong Code")))</f>
        <v>Pending</v>
      </c>
      <c r="J82" s="90" t="str">
        <f t="shared" ca="1" si="8"/>
        <v>—</v>
      </c>
      <c r="K82" s="91"/>
    </row>
    <row r="83" spans="1:11" ht="15" customHeight="1" x14ac:dyDescent="0.25">
      <c r="A83" s="76"/>
      <c r="B83" s="37" t="str">
        <f>IF(A83="","",IFERROR(VLOOKUP(A83,DB_Customers!$A:$D,4,0),"❌ Account Not Found"))</f>
        <v/>
      </c>
      <c r="C83" s="77" t="str">
        <f>IF(A83="","",IFERROR(IF(SUMIF(DB_Savings!$C:$C,A83,DB_Savings!$F:$F)=0,VLOOKUP(A83,DB_Customers!$A:$I,9,0),VLOOKUP(A83,DB_Customers!$A:$N,14,0)),"❌ Acct Not Found"))</f>
        <v/>
      </c>
      <c r="D83" s="78" t="str">
        <f t="shared" ca="1" si="6"/>
        <v/>
      </c>
      <c r="E83" s="79"/>
      <c r="F83" s="80" t="str">
        <f t="shared" si="7"/>
        <v/>
      </c>
      <c r="G83" s="39" t="s">
        <v>134</v>
      </c>
      <c r="H83" s="81"/>
      <c r="I83" s="82" t="str">
        <f>IF(A83="","Pending",IF(H83="","⚠️ Enter Agent Code",IF(IFERROR(VLOOKUP(G83,DB_Agents!$B:$I,8,0),"")=H83,IF(AND(A83&lt;&gt;"",E83&lt;&gt;""),"Saved","Pending"),"🔒 BLOCKED — Wrong Code")))</f>
        <v>Pending</v>
      </c>
      <c r="J83" s="83" t="str">
        <f t="shared" ca="1" si="8"/>
        <v>—</v>
      </c>
      <c r="K83" s="84"/>
    </row>
    <row r="84" spans="1:11" ht="15" customHeight="1" x14ac:dyDescent="0.25">
      <c r="A84" s="85"/>
      <c r="B84" s="41" t="str">
        <f>IF(A84="","",IFERROR(VLOOKUP(A84,DB_Customers!$A:$D,4,0),"❌ Account Not Found"))</f>
        <v/>
      </c>
      <c r="C84" s="86" t="str">
        <f>IF(A84="","",IFERROR(IF(SUMIF(DB_Savings!$C:$C,A84,DB_Savings!$F:$F)=0,VLOOKUP(A84,DB_Customers!$A:$I,9,0),VLOOKUP(A84,DB_Customers!$A:$N,14,0)),"❌ Acct Not Found"))</f>
        <v/>
      </c>
      <c r="D84" s="87" t="str">
        <f t="shared" ca="1" si="6"/>
        <v/>
      </c>
      <c r="E84" s="79"/>
      <c r="F84" s="88" t="str">
        <f t="shared" si="7"/>
        <v/>
      </c>
      <c r="G84" s="43" t="s">
        <v>134</v>
      </c>
      <c r="H84" s="81"/>
      <c r="I84" s="89" t="str">
        <f>IF(A84="","Pending",IF(H84="","⚠️ Enter Agent Code",IF(IFERROR(VLOOKUP(G84,DB_Agents!$B:$I,8,0),"")=H84,IF(AND(A84&lt;&gt;"",E84&lt;&gt;""),"Saved","Pending"),"🔒 BLOCKED — Wrong Code")))</f>
        <v>Pending</v>
      </c>
      <c r="J84" s="90" t="str">
        <f t="shared" ca="1" si="8"/>
        <v>—</v>
      </c>
      <c r="K84" s="91"/>
    </row>
    <row r="85" spans="1:11" ht="15" customHeight="1" x14ac:dyDescent="0.25">
      <c r="A85" s="76"/>
      <c r="B85" s="37" t="str">
        <f>IF(A85="","",IFERROR(VLOOKUP(A85,DB_Customers!$A:$D,4,0),"❌ Account Not Found"))</f>
        <v/>
      </c>
      <c r="C85" s="77" t="str">
        <f>IF(A85="","",IFERROR(IF(SUMIF(DB_Savings!$C:$C,A85,DB_Savings!$F:$F)=0,VLOOKUP(A85,DB_Customers!$A:$I,9,0),VLOOKUP(A85,DB_Customers!$A:$N,14,0)),"❌ Acct Not Found"))</f>
        <v/>
      </c>
      <c r="D85" s="78" t="str">
        <f t="shared" ca="1" si="6"/>
        <v/>
      </c>
      <c r="E85" s="79"/>
      <c r="F85" s="80" t="str">
        <f t="shared" si="7"/>
        <v/>
      </c>
      <c r="G85" s="39" t="s">
        <v>134</v>
      </c>
      <c r="H85" s="81"/>
      <c r="I85" s="82" t="str">
        <f>IF(A85="","Pending",IF(H85="","⚠️ Enter Agent Code",IF(IFERROR(VLOOKUP(G85,DB_Agents!$B:$I,8,0),"")=H85,IF(AND(A85&lt;&gt;"",E85&lt;&gt;""),"Saved","Pending"),"🔒 BLOCKED — Wrong Code")))</f>
        <v>Pending</v>
      </c>
      <c r="J85" s="83" t="str">
        <f t="shared" ca="1" si="8"/>
        <v>—</v>
      </c>
      <c r="K85" s="84"/>
    </row>
    <row r="86" spans="1:11" ht="15" customHeight="1" x14ac:dyDescent="0.25">
      <c r="A86" s="85"/>
      <c r="B86" s="41" t="str">
        <f>IF(A86="","",IFERROR(VLOOKUP(A86,DB_Customers!$A:$D,4,0),"❌ Account Not Found"))</f>
        <v/>
      </c>
      <c r="C86" s="86" t="str">
        <f>IF(A86="","",IFERROR(IF(SUMIF(DB_Savings!$C:$C,A86,DB_Savings!$F:$F)=0,VLOOKUP(A86,DB_Customers!$A:$I,9,0),VLOOKUP(A86,DB_Customers!$A:$N,14,0)),"❌ Acct Not Found"))</f>
        <v/>
      </c>
      <c r="D86" s="87" t="str">
        <f t="shared" ca="1" si="6"/>
        <v/>
      </c>
      <c r="E86" s="79"/>
      <c r="F86" s="88" t="str">
        <f t="shared" si="7"/>
        <v/>
      </c>
      <c r="G86" s="43" t="s">
        <v>134</v>
      </c>
      <c r="H86" s="81"/>
      <c r="I86" s="89" t="str">
        <f>IF(A86="","Pending",IF(H86="","⚠️ Enter Agent Code",IF(IFERROR(VLOOKUP(G86,DB_Agents!$B:$I,8,0),"")=H86,IF(AND(A86&lt;&gt;"",E86&lt;&gt;""),"Saved","Pending"),"🔒 BLOCKED — Wrong Code")))</f>
        <v>Pending</v>
      </c>
      <c r="J86" s="90" t="str">
        <f t="shared" ca="1" si="8"/>
        <v>—</v>
      </c>
      <c r="K86" s="91"/>
    </row>
    <row r="87" spans="1:11" ht="15" customHeight="1" x14ac:dyDescent="0.25">
      <c r="A87" s="76"/>
      <c r="B87" s="37" t="str">
        <f>IF(A87="","",IFERROR(VLOOKUP(A87,DB_Customers!$A:$D,4,0),"❌ Account Not Found"))</f>
        <v/>
      </c>
      <c r="C87" s="77" t="str">
        <f>IF(A87="","",IFERROR(IF(SUMIF(DB_Savings!$C:$C,A87,DB_Savings!$F:$F)=0,VLOOKUP(A87,DB_Customers!$A:$I,9,0),VLOOKUP(A87,DB_Customers!$A:$N,14,0)),"❌ Acct Not Found"))</f>
        <v/>
      </c>
      <c r="D87" s="78" t="str">
        <f t="shared" ca="1" si="6"/>
        <v/>
      </c>
      <c r="E87" s="79"/>
      <c r="F87" s="80" t="str">
        <f t="shared" si="7"/>
        <v/>
      </c>
      <c r="G87" s="39" t="s">
        <v>134</v>
      </c>
      <c r="H87" s="81"/>
      <c r="I87" s="82" t="str">
        <f>IF(A87="","Pending",IF(H87="","⚠️ Enter Agent Code",IF(IFERROR(VLOOKUP(G87,DB_Agents!$B:$I,8,0),"")=H87,IF(AND(A87&lt;&gt;"",E87&lt;&gt;""),"Saved","Pending"),"🔒 BLOCKED — Wrong Code")))</f>
        <v>Pending</v>
      </c>
      <c r="J87" s="83" t="str">
        <f t="shared" ca="1" si="8"/>
        <v>—</v>
      </c>
      <c r="K87" s="84"/>
    </row>
    <row r="88" spans="1:11" ht="15" customHeight="1" x14ac:dyDescent="0.25">
      <c r="A88" s="85"/>
      <c r="B88" s="41" t="str">
        <f>IF(A88="","",IFERROR(VLOOKUP(A88,DB_Customers!$A:$D,4,0),"❌ Account Not Found"))</f>
        <v/>
      </c>
      <c r="C88" s="86" t="str">
        <f>IF(A88="","",IFERROR(IF(SUMIF(DB_Savings!$C:$C,A88,DB_Savings!$F:$F)=0,VLOOKUP(A88,DB_Customers!$A:$I,9,0),VLOOKUP(A88,DB_Customers!$A:$N,14,0)),"❌ Acct Not Found"))</f>
        <v/>
      </c>
      <c r="D88" s="87" t="str">
        <f t="shared" ca="1" si="6"/>
        <v/>
      </c>
      <c r="E88" s="79"/>
      <c r="F88" s="88" t="str">
        <f t="shared" si="7"/>
        <v/>
      </c>
      <c r="G88" s="43" t="s">
        <v>134</v>
      </c>
      <c r="H88" s="81"/>
      <c r="I88" s="89" t="str">
        <f>IF(A88="","Pending",IF(H88="","⚠️ Enter Agent Code",IF(IFERROR(VLOOKUP(G88,DB_Agents!$B:$I,8,0),"")=H88,IF(AND(A88&lt;&gt;"",E88&lt;&gt;""),"Saved","Pending"),"🔒 BLOCKED — Wrong Code")))</f>
        <v>Pending</v>
      </c>
      <c r="J88" s="90" t="str">
        <f t="shared" ca="1" si="8"/>
        <v>—</v>
      </c>
      <c r="K88" s="91"/>
    </row>
    <row r="89" spans="1:11" ht="15" customHeight="1" x14ac:dyDescent="0.25">
      <c r="A89" s="76"/>
      <c r="B89" s="37" t="str">
        <f>IF(A89="","",IFERROR(VLOOKUP(A89,DB_Customers!$A:$D,4,0),"❌ Account Not Found"))</f>
        <v/>
      </c>
      <c r="C89" s="77" t="str">
        <f>IF(A89="","",IFERROR(IF(SUMIF(DB_Savings!$C:$C,A89,DB_Savings!$F:$F)=0,VLOOKUP(A89,DB_Customers!$A:$I,9,0),VLOOKUP(A89,DB_Customers!$A:$N,14,0)),"❌ Acct Not Found"))</f>
        <v/>
      </c>
      <c r="D89" s="78" t="str">
        <f t="shared" ca="1" si="6"/>
        <v/>
      </c>
      <c r="E89" s="79"/>
      <c r="F89" s="80" t="str">
        <f t="shared" si="7"/>
        <v/>
      </c>
      <c r="G89" s="39" t="s">
        <v>134</v>
      </c>
      <c r="H89" s="81"/>
      <c r="I89" s="82" t="str">
        <f>IF(A89="","Pending",IF(H89="","⚠️ Enter Agent Code",IF(IFERROR(VLOOKUP(G89,DB_Agents!$B:$I,8,0),"")=H89,IF(AND(A89&lt;&gt;"",E89&lt;&gt;""),"Saved","Pending"),"🔒 BLOCKED — Wrong Code")))</f>
        <v>Pending</v>
      </c>
      <c r="J89" s="83" t="str">
        <f t="shared" ca="1" si="8"/>
        <v>—</v>
      </c>
      <c r="K89" s="84"/>
    </row>
    <row r="90" spans="1:11" ht="15" customHeight="1" x14ac:dyDescent="0.25">
      <c r="A90" s="85"/>
      <c r="B90" s="41" t="str">
        <f>IF(A90="","",IFERROR(VLOOKUP(A90,DB_Customers!$A:$D,4,0),"❌ Account Not Found"))</f>
        <v/>
      </c>
      <c r="C90" s="86" t="str">
        <f>IF(A90="","",IFERROR(IF(SUMIF(DB_Savings!$C:$C,A90,DB_Savings!$F:$F)=0,VLOOKUP(A90,DB_Customers!$A:$I,9,0),VLOOKUP(A90,DB_Customers!$A:$N,14,0)),"❌ Acct Not Found"))</f>
        <v/>
      </c>
      <c r="D90" s="87" t="str">
        <f t="shared" ca="1" si="6"/>
        <v/>
      </c>
      <c r="E90" s="79"/>
      <c r="F90" s="88" t="str">
        <f t="shared" si="7"/>
        <v/>
      </c>
      <c r="G90" s="43" t="s">
        <v>134</v>
      </c>
      <c r="H90" s="81"/>
      <c r="I90" s="89" t="str">
        <f>IF(A90="","Pending",IF(H90="","⚠️ Enter Agent Code",IF(IFERROR(VLOOKUP(G90,DB_Agents!$B:$I,8,0),"")=H90,IF(AND(A90&lt;&gt;"",E90&lt;&gt;""),"Saved","Pending"),"🔒 BLOCKED — Wrong Code")))</f>
        <v>Pending</v>
      </c>
      <c r="J90" s="90" t="str">
        <f t="shared" ca="1" si="8"/>
        <v>—</v>
      </c>
      <c r="K90" s="91"/>
    </row>
    <row r="91" spans="1:11" ht="15" customHeight="1" x14ac:dyDescent="0.25">
      <c r="A91" s="76"/>
      <c r="B91" s="37" t="str">
        <f>IF(A91="","",IFERROR(VLOOKUP(A91,DB_Customers!$A:$D,4,0),"❌ Account Not Found"))</f>
        <v/>
      </c>
      <c r="C91" s="77" t="str">
        <f>IF(A91="","",IFERROR(IF(SUMIF(DB_Savings!$C:$C,A91,DB_Savings!$F:$F)=0,VLOOKUP(A91,DB_Customers!$A:$I,9,0),VLOOKUP(A91,DB_Customers!$A:$N,14,0)),"❌ Acct Not Found"))</f>
        <v/>
      </c>
      <c r="D91" s="78" t="str">
        <f t="shared" ca="1" si="6"/>
        <v/>
      </c>
      <c r="E91" s="79"/>
      <c r="F91" s="80" t="str">
        <f t="shared" si="7"/>
        <v/>
      </c>
      <c r="G91" s="39" t="s">
        <v>134</v>
      </c>
      <c r="H91" s="81"/>
      <c r="I91" s="82" t="str">
        <f>IF(A91="","Pending",IF(H91="","⚠️ Enter Agent Code",IF(IFERROR(VLOOKUP(G91,DB_Agents!$B:$I,8,0),"")=H91,IF(AND(A91&lt;&gt;"",E91&lt;&gt;""),"Saved","Pending"),"🔒 BLOCKED — Wrong Code")))</f>
        <v>Pending</v>
      </c>
      <c r="J91" s="83" t="str">
        <f t="shared" ca="1" si="8"/>
        <v>—</v>
      </c>
      <c r="K91" s="84"/>
    </row>
    <row r="92" spans="1:11" ht="15" customHeight="1" x14ac:dyDescent="0.25">
      <c r="A92" s="85"/>
      <c r="B92" s="41" t="str">
        <f>IF(A92="","",IFERROR(VLOOKUP(A92,DB_Customers!$A:$D,4,0),"❌ Account Not Found"))</f>
        <v/>
      </c>
      <c r="C92" s="86" t="str">
        <f>IF(A92="","",IFERROR(IF(SUMIF(DB_Savings!$C:$C,A92,DB_Savings!$F:$F)=0,VLOOKUP(A92,DB_Customers!$A:$I,9,0),VLOOKUP(A92,DB_Customers!$A:$N,14,0)),"❌ Acct Not Found"))</f>
        <v/>
      </c>
      <c r="D92" s="87" t="str">
        <f t="shared" ca="1" si="6"/>
        <v/>
      </c>
      <c r="E92" s="79"/>
      <c r="F92" s="88" t="str">
        <f t="shared" si="7"/>
        <v/>
      </c>
      <c r="G92" s="43" t="s">
        <v>134</v>
      </c>
      <c r="H92" s="81"/>
      <c r="I92" s="89" t="str">
        <f>IF(A92="","Pending",IF(H92="","⚠️ Enter Agent Code",IF(IFERROR(VLOOKUP(G92,DB_Agents!$B:$I,8,0),"")=H92,IF(AND(A92&lt;&gt;"",E92&lt;&gt;""),"Saved","Pending"),"🔒 BLOCKED — Wrong Code")))</f>
        <v>Pending</v>
      </c>
      <c r="J92" s="90" t="str">
        <f t="shared" ca="1" si="8"/>
        <v>—</v>
      </c>
      <c r="K92" s="91"/>
    </row>
    <row r="93" spans="1:11" ht="15" customHeight="1" x14ac:dyDescent="0.25">
      <c r="A93" s="76"/>
      <c r="B93" s="37" t="str">
        <f>IF(A93="","",IFERROR(VLOOKUP(A93,DB_Customers!$A:$D,4,0),"❌ Account Not Found"))</f>
        <v/>
      </c>
      <c r="C93" s="77" t="str">
        <f>IF(A93="","",IFERROR(IF(SUMIF(DB_Savings!$C:$C,A93,DB_Savings!$F:$F)=0,VLOOKUP(A93,DB_Customers!$A:$I,9,0),VLOOKUP(A93,DB_Customers!$A:$N,14,0)),"❌ Acct Not Found"))</f>
        <v/>
      </c>
      <c r="D93" s="78" t="str">
        <f t="shared" ca="1" si="6"/>
        <v/>
      </c>
      <c r="E93" s="79"/>
      <c r="F93" s="80" t="str">
        <f t="shared" si="7"/>
        <v/>
      </c>
      <c r="G93" s="39" t="s">
        <v>134</v>
      </c>
      <c r="H93" s="81"/>
      <c r="I93" s="82" t="str">
        <f>IF(A93="","Pending",IF(H93="","⚠️ Enter Agent Code",IF(IFERROR(VLOOKUP(G93,DB_Agents!$B:$I,8,0),"")=H93,IF(AND(A93&lt;&gt;"",E93&lt;&gt;""),"Saved","Pending"),"🔒 BLOCKED — Wrong Code")))</f>
        <v>Pending</v>
      </c>
      <c r="J93" s="83" t="str">
        <f t="shared" ca="1" si="8"/>
        <v>—</v>
      </c>
      <c r="K93" s="84"/>
    </row>
    <row r="94" spans="1:11" ht="15" customHeight="1" x14ac:dyDescent="0.25">
      <c r="A94" s="85"/>
      <c r="B94" s="41" t="str">
        <f>IF(A94="","",IFERROR(VLOOKUP(A94,DB_Customers!$A:$D,4,0),"❌ Account Not Found"))</f>
        <v/>
      </c>
      <c r="C94" s="86" t="str">
        <f>IF(A94="","",IFERROR(IF(SUMIF(DB_Savings!$C:$C,A94,DB_Savings!$F:$F)=0,VLOOKUP(A94,DB_Customers!$A:$I,9,0),VLOOKUP(A94,DB_Customers!$A:$N,14,0)),"❌ Acct Not Found"))</f>
        <v/>
      </c>
      <c r="D94" s="87" t="str">
        <f t="shared" ca="1" si="6"/>
        <v/>
      </c>
      <c r="E94" s="79"/>
      <c r="F94" s="88" t="str">
        <f t="shared" si="7"/>
        <v/>
      </c>
      <c r="G94" s="43" t="s">
        <v>134</v>
      </c>
      <c r="H94" s="81"/>
      <c r="I94" s="89" t="str">
        <f>IF(A94="","Pending",IF(H94="","⚠️ Enter Agent Code",IF(IFERROR(VLOOKUP(G94,DB_Agents!$B:$I,8,0),"")=H94,IF(AND(A94&lt;&gt;"",E94&lt;&gt;""),"Saved","Pending"),"🔒 BLOCKED — Wrong Code")))</f>
        <v>Pending</v>
      </c>
      <c r="J94" s="90" t="str">
        <f t="shared" ca="1" si="8"/>
        <v>—</v>
      </c>
      <c r="K94" s="91"/>
    </row>
    <row r="95" spans="1:11" ht="15" customHeight="1" x14ac:dyDescent="0.25">
      <c r="A95" s="76"/>
      <c r="B95" s="37" t="str">
        <f>IF(A95="","",IFERROR(VLOOKUP(A95,DB_Customers!$A:$D,4,0),"❌ Account Not Found"))</f>
        <v/>
      </c>
      <c r="C95" s="77" t="str">
        <f>IF(A95="","",IFERROR(IF(SUMIF(DB_Savings!$C:$C,A95,DB_Savings!$F:$F)=0,VLOOKUP(A95,DB_Customers!$A:$I,9,0),VLOOKUP(A95,DB_Customers!$A:$N,14,0)),"❌ Acct Not Found"))</f>
        <v/>
      </c>
      <c r="D95" s="78" t="str">
        <f t="shared" ca="1" si="6"/>
        <v/>
      </c>
      <c r="E95" s="79"/>
      <c r="F95" s="80" t="str">
        <f t="shared" si="7"/>
        <v/>
      </c>
      <c r="G95" s="39" t="s">
        <v>134</v>
      </c>
      <c r="H95" s="81"/>
      <c r="I95" s="82" t="str">
        <f>IF(A95="","Pending",IF(H95="","⚠️ Enter Agent Code",IF(IFERROR(VLOOKUP(G95,DB_Agents!$B:$I,8,0),"")=H95,IF(AND(A95&lt;&gt;"",E95&lt;&gt;""),"Saved","Pending"),"🔒 BLOCKED — Wrong Code")))</f>
        <v>Pending</v>
      </c>
      <c r="J95" s="83" t="str">
        <f t="shared" ca="1" si="8"/>
        <v>—</v>
      </c>
      <c r="K95" s="84"/>
    </row>
    <row r="96" spans="1:11" ht="15" customHeight="1" x14ac:dyDescent="0.25">
      <c r="A96" s="85"/>
      <c r="B96" s="41" t="str">
        <f>IF(A96="","",IFERROR(VLOOKUP(A96,DB_Customers!$A:$D,4,0),"❌ Account Not Found"))</f>
        <v/>
      </c>
      <c r="C96" s="86" t="str">
        <f>IF(A96="","",IFERROR(IF(SUMIF(DB_Savings!$C:$C,A96,DB_Savings!$F:$F)=0,VLOOKUP(A96,DB_Customers!$A:$I,9,0),VLOOKUP(A96,DB_Customers!$A:$N,14,0)),"❌ Acct Not Found"))</f>
        <v/>
      </c>
      <c r="D96" s="87" t="str">
        <f t="shared" ca="1" si="6"/>
        <v/>
      </c>
      <c r="E96" s="79"/>
      <c r="F96" s="88" t="str">
        <f t="shared" si="7"/>
        <v/>
      </c>
      <c r="G96" s="43" t="s">
        <v>134</v>
      </c>
      <c r="H96" s="81"/>
      <c r="I96" s="89" t="str">
        <f>IF(A96="","Pending",IF(H96="","⚠️ Enter Agent Code",IF(IFERROR(VLOOKUP(G96,DB_Agents!$B:$I,8,0),"")=H96,IF(AND(A96&lt;&gt;"",E96&lt;&gt;""),"Saved","Pending"),"🔒 BLOCKED — Wrong Code")))</f>
        <v>Pending</v>
      </c>
      <c r="J96" s="90" t="str">
        <f t="shared" ca="1" si="8"/>
        <v>—</v>
      </c>
      <c r="K96" s="91"/>
    </row>
    <row r="97" spans="1:11" ht="15" customHeight="1" x14ac:dyDescent="0.25">
      <c r="A97" s="76"/>
      <c r="B97" s="37" t="str">
        <f>IF(A97="","",IFERROR(VLOOKUP(A97,DB_Customers!$A:$D,4,0),"❌ Account Not Found"))</f>
        <v/>
      </c>
      <c r="C97" s="77" t="str">
        <f>IF(A97="","",IFERROR(IF(SUMIF(DB_Savings!$C:$C,A97,DB_Savings!$F:$F)=0,VLOOKUP(A97,DB_Customers!$A:$I,9,0),VLOOKUP(A97,DB_Customers!$A:$N,14,0)),"❌ Acct Not Found"))</f>
        <v/>
      </c>
      <c r="D97" s="78" t="str">
        <f t="shared" ca="1" si="6"/>
        <v/>
      </c>
      <c r="E97" s="79"/>
      <c r="F97" s="80" t="str">
        <f t="shared" si="7"/>
        <v/>
      </c>
      <c r="G97" s="39" t="s">
        <v>134</v>
      </c>
      <c r="H97" s="81"/>
      <c r="I97" s="82" t="str">
        <f>IF(A97="","Pending",IF(H97="","⚠️ Enter Agent Code",IF(IFERROR(VLOOKUP(G97,DB_Agents!$B:$I,8,0),"")=H97,IF(AND(A97&lt;&gt;"",E97&lt;&gt;""),"Saved","Pending"),"🔒 BLOCKED — Wrong Code")))</f>
        <v>Pending</v>
      </c>
      <c r="J97" s="83" t="str">
        <f t="shared" ca="1" si="8"/>
        <v>—</v>
      </c>
      <c r="K97" s="84"/>
    </row>
    <row r="98" spans="1:11" ht="15" customHeight="1" x14ac:dyDescent="0.25">
      <c r="A98" s="85"/>
      <c r="B98" s="41" t="str">
        <f>IF(A98="","",IFERROR(VLOOKUP(A98,DB_Customers!$A:$D,4,0),"❌ Account Not Found"))</f>
        <v/>
      </c>
      <c r="C98" s="86" t="str">
        <f>IF(A98="","",IFERROR(IF(SUMIF(DB_Savings!$C:$C,A98,DB_Savings!$F:$F)=0,VLOOKUP(A98,DB_Customers!$A:$I,9,0),VLOOKUP(A98,DB_Customers!$A:$N,14,0)),"❌ Acct Not Found"))</f>
        <v/>
      </c>
      <c r="D98" s="87" t="str">
        <f t="shared" ca="1" si="6"/>
        <v/>
      </c>
      <c r="E98" s="79"/>
      <c r="F98" s="88" t="str">
        <f t="shared" si="7"/>
        <v/>
      </c>
      <c r="G98" s="43" t="s">
        <v>134</v>
      </c>
      <c r="H98" s="81"/>
      <c r="I98" s="89" t="str">
        <f>IF(A98="","Pending",IF(H98="","⚠️ Enter Agent Code",IF(IFERROR(VLOOKUP(G98,DB_Agents!$B:$I,8,0),"")=H98,IF(AND(A98&lt;&gt;"",E98&lt;&gt;""),"Saved","Pending"),"🔒 BLOCKED — Wrong Code")))</f>
        <v>Pending</v>
      </c>
      <c r="J98" s="90" t="str">
        <f t="shared" ca="1" si="8"/>
        <v>—</v>
      </c>
      <c r="K98" s="91"/>
    </row>
    <row r="99" spans="1:11" ht="15" customHeight="1" x14ac:dyDescent="0.25">
      <c r="A99" s="76"/>
      <c r="B99" s="37" t="str">
        <f>IF(A99="","",IFERROR(VLOOKUP(A99,DB_Customers!$A:$D,4,0),"❌ Account Not Found"))</f>
        <v/>
      </c>
      <c r="C99" s="77" t="str">
        <f>IF(A99="","",IFERROR(IF(SUMIF(DB_Savings!$C:$C,A99,DB_Savings!$F:$F)=0,VLOOKUP(A99,DB_Customers!$A:$I,9,0),VLOOKUP(A99,DB_Customers!$A:$N,14,0)),"❌ Acct Not Found"))</f>
        <v/>
      </c>
      <c r="D99" s="78" t="str">
        <f t="shared" ca="1" si="6"/>
        <v/>
      </c>
      <c r="E99" s="79"/>
      <c r="F99" s="80" t="str">
        <f t="shared" si="7"/>
        <v/>
      </c>
      <c r="G99" s="39" t="s">
        <v>134</v>
      </c>
      <c r="H99" s="81"/>
      <c r="I99" s="82" t="str">
        <f>IF(A99="","Pending",IF(H99="","⚠️ Enter Agent Code",IF(IFERROR(VLOOKUP(G99,DB_Agents!$B:$I,8,0),"")=H99,IF(AND(A99&lt;&gt;"",E99&lt;&gt;""),"Saved","Pending"),"🔒 BLOCKED — Wrong Code")))</f>
        <v>Pending</v>
      </c>
      <c r="J99" s="83" t="str">
        <f t="shared" ca="1" si="8"/>
        <v>—</v>
      </c>
      <c r="K99" s="84"/>
    </row>
    <row r="100" spans="1:11" ht="15" customHeight="1" x14ac:dyDescent="0.25">
      <c r="A100" s="85"/>
      <c r="B100" s="41" t="str">
        <f>IF(A100="","",IFERROR(VLOOKUP(A100,DB_Customers!$A:$D,4,0),"❌ Account Not Found"))</f>
        <v/>
      </c>
      <c r="C100" s="86" t="str">
        <f>IF(A100="","",IFERROR(IF(SUMIF(DB_Savings!$C:$C,A100,DB_Savings!$F:$F)=0,VLOOKUP(A100,DB_Customers!$A:$I,9,0),VLOOKUP(A100,DB_Customers!$A:$N,14,0)),"❌ Acct Not Found"))</f>
        <v/>
      </c>
      <c r="D100" s="87" t="str">
        <f t="shared" ca="1" si="6"/>
        <v/>
      </c>
      <c r="E100" s="79"/>
      <c r="F100" s="88" t="str">
        <f t="shared" si="7"/>
        <v/>
      </c>
      <c r="G100" s="43" t="s">
        <v>134</v>
      </c>
      <c r="H100" s="81"/>
      <c r="I100" s="89" t="str">
        <f>IF(A100="","Pending",IF(H100="","⚠️ Enter Agent Code",IF(IFERROR(VLOOKUP(G100,DB_Agents!$B:$I,8,0),"")=H100,IF(AND(A100&lt;&gt;"",E100&lt;&gt;""),"Saved","Pending"),"🔒 BLOCKED — Wrong Code")))</f>
        <v>Pending</v>
      </c>
      <c r="J100" s="90" t="str">
        <f t="shared" ca="1" si="8"/>
        <v>—</v>
      </c>
      <c r="K100" s="91"/>
    </row>
    <row r="101" spans="1:11" ht="15" customHeight="1" x14ac:dyDescent="0.25">
      <c r="A101" s="76"/>
      <c r="B101" s="37" t="str">
        <f>IF(A101="","",IFERROR(VLOOKUP(A101,DB_Customers!$A:$D,4,0),"❌ Account Not Found"))</f>
        <v/>
      </c>
      <c r="C101" s="77" t="str">
        <f>IF(A101="","",IFERROR(IF(SUMIF(DB_Savings!$C:$C,A101,DB_Savings!$F:$F)=0,VLOOKUP(A101,DB_Customers!$A:$I,9,0),VLOOKUP(A101,DB_Customers!$A:$N,14,0)),"❌ Acct Not Found"))</f>
        <v/>
      </c>
      <c r="D101" s="78" t="str">
        <f t="shared" ca="1" si="6"/>
        <v/>
      </c>
      <c r="E101" s="79"/>
      <c r="F101" s="80" t="str">
        <f t="shared" si="7"/>
        <v/>
      </c>
      <c r="G101" s="39" t="s">
        <v>134</v>
      </c>
      <c r="H101" s="81"/>
      <c r="I101" s="82" t="str">
        <f>IF(A101="","Pending",IF(H101="","⚠️ Enter Agent Code",IF(IFERROR(VLOOKUP(G101,DB_Agents!$B:$I,8,0),"")=H101,IF(AND(A101&lt;&gt;"",E101&lt;&gt;""),"Saved","Pending"),"🔒 BLOCKED — Wrong Code")))</f>
        <v>Pending</v>
      </c>
      <c r="J101" s="83" t="str">
        <f t="shared" ca="1" si="8"/>
        <v>—</v>
      </c>
      <c r="K101" s="84"/>
    </row>
    <row r="102" spans="1:11" ht="15" customHeight="1" x14ac:dyDescent="0.25">
      <c r="A102" s="85"/>
      <c r="B102" s="41" t="str">
        <f>IF(A102="","",IFERROR(VLOOKUP(A102,DB_Customers!$A:$D,4,0),"❌ Account Not Found"))</f>
        <v/>
      </c>
      <c r="C102" s="86" t="str">
        <f>IF(A102="","",IFERROR(IF(SUMIF(DB_Savings!$C:$C,A102,DB_Savings!$F:$F)=0,VLOOKUP(A102,DB_Customers!$A:$I,9,0),VLOOKUP(A102,DB_Customers!$A:$N,14,0)),"❌ Acct Not Found"))</f>
        <v/>
      </c>
      <c r="D102" s="87" t="str">
        <f t="shared" ca="1" si="6"/>
        <v/>
      </c>
      <c r="E102" s="79"/>
      <c r="F102" s="88" t="str">
        <f t="shared" si="7"/>
        <v/>
      </c>
      <c r="G102" s="43" t="s">
        <v>134</v>
      </c>
      <c r="H102" s="81"/>
      <c r="I102" s="89" t="str">
        <f>IF(A102="","Pending",IF(H102="","⚠️ Enter Agent Code",IF(IFERROR(VLOOKUP(G102,DB_Agents!$B:$I,8,0),"")=H102,IF(AND(A102&lt;&gt;"",E102&lt;&gt;""),"Saved","Pending"),"🔒 BLOCKED — Wrong Code")))</f>
        <v>Pending</v>
      </c>
      <c r="J102" s="90" t="str">
        <f t="shared" ca="1" si="8"/>
        <v>—</v>
      </c>
      <c r="K102" s="91"/>
    </row>
    <row r="103" spans="1:11" ht="15" customHeight="1" x14ac:dyDescent="0.25">
      <c r="A103" s="76"/>
      <c r="B103" s="37" t="str">
        <f>IF(A103="","",IFERROR(VLOOKUP(A103,DB_Customers!$A:$D,4,0),"❌ Account Not Found"))</f>
        <v/>
      </c>
      <c r="C103" s="77" t="str">
        <f>IF(A103="","",IFERROR(IF(SUMIF(DB_Savings!$C:$C,A103,DB_Savings!$F:$F)=0,VLOOKUP(A103,DB_Customers!$A:$I,9,0),VLOOKUP(A103,DB_Customers!$A:$N,14,0)),"❌ Acct Not Found"))</f>
        <v/>
      </c>
      <c r="D103" s="78" t="str">
        <f t="shared" ca="1" si="6"/>
        <v/>
      </c>
      <c r="E103" s="79"/>
      <c r="F103" s="80" t="str">
        <f t="shared" si="7"/>
        <v/>
      </c>
      <c r="G103" s="39" t="s">
        <v>134</v>
      </c>
      <c r="H103" s="81"/>
      <c r="I103" s="82" t="str">
        <f>IF(A103="","Pending",IF(H103="","⚠️ Enter Agent Code",IF(IFERROR(VLOOKUP(G103,DB_Agents!$B:$I,8,0),"")=H103,IF(AND(A103&lt;&gt;"",E103&lt;&gt;""),"Saved","Pending"),"🔒 BLOCKED — Wrong Code")))</f>
        <v>Pending</v>
      </c>
      <c r="J103" s="83" t="str">
        <f t="shared" ca="1" si="8"/>
        <v>—</v>
      </c>
      <c r="K103" s="84"/>
    </row>
    <row r="104" spans="1:11" ht="15" customHeight="1" x14ac:dyDescent="0.25">
      <c r="A104" s="85"/>
      <c r="B104" s="41" t="str">
        <f>IF(A104="","",IFERROR(VLOOKUP(A104,DB_Customers!$A:$D,4,0),"❌ Account Not Found"))</f>
        <v/>
      </c>
      <c r="C104" s="86" t="str">
        <f>IF(A104="","",IFERROR(IF(SUMIF(DB_Savings!$C:$C,A104,DB_Savings!$F:$F)=0,VLOOKUP(A104,DB_Customers!$A:$I,9,0),VLOOKUP(A104,DB_Customers!$A:$N,14,0)),"❌ Acct Not Found"))</f>
        <v/>
      </c>
      <c r="D104" s="87" t="str">
        <f t="shared" ca="1" si="6"/>
        <v/>
      </c>
      <c r="E104" s="79"/>
      <c r="F104" s="88" t="str">
        <f t="shared" si="7"/>
        <v/>
      </c>
      <c r="G104" s="43" t="s">
        <v>134</v>
      </c>
      <c r="H104" s="81"/>
      <c r="I104" s="89" t="str">
        <f>IF(A104="","Pending",IF(H104="","⚠️ Enter Agent Code",IF(IFERROR(VLOOKUP(G104,DB_Agents!$B:$I,8,0),"")=H104,IF(AND(A104&lt;&gt;"",E104&lt;&gt;""),"Saved","Pending"),"🔒 BLOCKED — Wrong Code")))</f>
        <v>Pending</v>
      </c>
      <c r="J104" s="90" t="str">
        <f t="shared" ca="1" si="8"/>
        <v>—</v>
      </c>
      <c r="K104" s="91"/>
    </row>
    <row r="105" spans="1:11" ht="15" customHeight="1" x14ac:dyDescent="0.25">
      <c r="A105" s="76"/>
      <c r="B105" s="37" t="str">
        <f>IF(A105="","",IFERROR(VLOOKUP(A105,DB_Customers!$A:$D,4,0),"❌ Account Not Found"))</f>
        <v/>
      </c>
      <c r="C105" s="77" t="str">
        <f>IF(A105="","",IFERROR(IF(SUMIF(DB_Savings!$C:$C,A105,DB_Savings!$F:$F)=0,VLOOKUP(A105,DB_Customers!$A:$I,9,0),VLOOKUP(A105,DB_Customers!$A:$N,14,0)),"❌ Acct Not Found"))</f>
        <v/>
      </c>
      <c r="D105" s="78" t="str">
        <f t="shared" ref="D105:D136" ca="1" si="9">IF(A105="","",TODAY())</f>
        <v/>
      </c>
      <c r="E105" s="79"/>
      <c r="F105" s="80" t="str">
        <f t="shared" ref="F105:F136" si="10">IF(OR(A105="",E105=""),"",IF(C105="","",C105+E105))</f>
        <v/>
      </c>
      <c r="G105" s="39" t="s">
        <v>134</v>
      </c>
      <c r="H105" s="81"/>
      <c r="I105" s="82" t="str">
        <f>IF(A105="","Pending",IF(H105="","⚠️ Enter Agent Code",IF(IFERROR(VLOOKUP(G105,DB_Agents!$B:$I,8,0),"")=H105,IF(AND(A105&lt;&gt;"",E105&lt;&gt;""),"Saved","Pending"),"🔒 BLOCKED — Wrong Code")))</f>
        <v>Pending</v>
      </c>
      <c r="J105" s="83" t="str">
        <f t="shared" ref="J105:J136" ca="1" si="11">IF(I105="Saved",TEXT(TODAY(),"YYYY-MM-DD")&amp;" Auto","—")</f>
        <v>—</v>
      </c>
      <c r="K105" s="84"/>
    </row>
    <row r="106" spans="1:11" ht="15" customHeight="1" x14ac:dyDescent="0.25">
      <c r="A106" s="85"/>
      <c r="B106" s="41" t="str">
        <f>IF(A106="","",IFERROR(VLOOKUP(A106,DB_Customers!$A:$D,4,0),"❌ Account Not Found"))</f>
        <v/>
      </c>
      <c r="C106" s="86" t="str">
        <f>IF(A106="","",IFERROR(IF(SUMIF(DB_Savings!$C:$C,A106,DB_Savings!$F:$F)=0,VLOOKUP(A106,DB_Customers!$A:$I,9,0),VLOOKUP(A106,DB_Customers!$A:$N,14,0)),"❌ Acct Not Found"))</f>
        <v/>
      </c>
      <c r="D106" s="87" t="str">
        <f t="shared" ca="1" si="9"/>
        <v/>
      </c>
      <c r="E106" s="79"/>
      <c r="F106" s="88" t="str">
        <f t="shared" si="10"/>
        <v/>
      </c>
      <c r="G106" s="43" t="s">
        <v>134</v>
      </c>
      <c r="H106" s="81"/>
      <c r="I106" s="89" t="str">
        <f>IF(A106="","Pending",IF(H106="","⚠️ Enter Agent Code",IF(IFERROR(VLOOKUP(G106,DB_Agents!$B:$I,8,0),"")=H106,IF(AND(A106&lt;&gt;"",E106&lt;&gt;""),"Saved","Pending"),"🔒 BLOCKED — Wrong Code")))</f>
        <v>Pending</v>
      </c>
      <c r="J106" s="90" t="str">
        <f t="shared" ca="1" si="11"/>
        <v>—</v>
      </c>
      <c r="K106" s="91"/>
    </row>
    <row r="107" spans="1:11" ht="15" customHeight="1" x14ac:dyDescent="0.25">
      <c r="A107" s="76"/>
      <c r="B107" s="37" t="str">
        <f>IF(A107="","",IFERROR(VLOOKUP(A107,DB_Customers!$A:$D,4,0),"❌ Account Not Found"))</f>
        <v/>
      </c>
      <c r="C107" s="77" t="str">
        <f>IF(A107="","",IFERROR(IF(SUMIF(DB_Savings!$C:$C,A107,DB_Savings!$F:$F)=0,VLOOKUP(A107,DB_Customers!$A:$I,9,0),VLOOKUP(A107,DB_Customers!$A:$N,14,0)),"❌ Acct Not Found"))</f>
        <v/>
      </c>
      <c r="D107" s="78" t="str">
        <f t="shared" ca="1" si="9"/>
        <v/>
      </c>
      <c r="E107" s="79"/>
      <c r="F107" s="80" t="str">
        <f t="shared" si="10"/>
        <v/>
      </c>
      <c r="G107" s="39" t="s">
        <v>134</v>
      </c>
      <c r="H107" s="81"/>
      <c r="I107" s="82" t="str">
        <f>IF(A107="","Pending",IF(H107="","⚠️ Enter Agent Code",IF(IFERROR(VLOOKUP(G107,DB_Agents!$B:$I,8,0),"")=H107,IF(AND(A107&lt;&gt;"",E107&lt;&gt;""),"Saved","Pending"),"🔒 BLOCKED — Wrong Code")))</f>
        <v>Pending</v>
      </c>
      <c r="J107" s="83" t="str">
        <f t="shared" ca="1" si="11"/>
        <v>—</v>
      </c>
      <c r="K107" s="84"/>
    </row>
    <row r="108" spans="1:11" ht="15" customHeight="1" x14ac:dyDescent="0.25">
      <c r="A108" s="85"/>
      <c r="B108" s="41" t="str">
        <f>IF(A108="","",IFERROR(VLOOKUP(A108,DB_Customers!$A:$D,4,0),"❌ Account Not Found"))</f>
        <v/>
      </c>
      <c r="C108" s="86" t="str">
        <f>IF(A108="","",IFERROR(IF(SUMIF(DB_Savings!$C:$C,A108,DB_Savings!$F:$F)=0,VLOOKUP(A108,DB_Customers!$A:$I,9,0),VLOOKUP(A108,DB_Customers!$A:$N,14,0)),"❌ Acct Not Found"))</f>
        <v/>
      </c>
      <c r="D108" s="87" t="str">
        <f t="shared" ca="1" si="9"/>
        <v/>
      </c>
      <c r="E108" s="79"/>
      <c r="F108" s="88" t="str">
        <f t="shared" si="10"/>
        <v/>
      </c>
      <c r="G108" s="43" t="s">
        <v>134</v>
      </c>
      <c r="H108" s="81"/>
      <c r="I108" s="89" t="str">
        <f>IF(A108="","Pending",IF(H108="","⚠️ Enter Agent Code",IF(IFERROR(VLOOKUP(G108,DB_Agents!$B:$I,8,0),"")=H108,IF(AND(A108&lt;&gt;"",E108&lt;&gt;""),"Saved","Pending"),"🔒 BLOCKED — Wrong Code")))</f>
        <v>Pending</v>
      </c>
      <c r="J108" s="90" t="str">
        <f t="shared" ca="1" si="11"/>
        <v>—</v>
      </c>
      <c r="K108" s="91"/>
    </row>
    <row r="109" spans="1:11" ht="15" customHeight="1" x14ac:dyDescent="0.25">
      <c r="A109" s="76"/>
      <c r="B109" s="37" t="str">
        <f>IF(A109="","",IFERROR(VLOOKUP(A109,DB_Customers!$A:$D,4,0),"❌ Account Not Found"))</f>
        <v/>
      </c>
      <c r="C109" s="77" t="str">
        <f>IF(A109="","",IFERROR(IF(SUMIF(DB_Savings!$C:$C,A109,DB_Savings!$F:$F)=0,VLOOKUP(A109,DB_Customers!$A:$I,9,0),VLOOKUP(A109,DB_Customers!$A:$N,14,0)),"❌ Acct Not Found"))</f>
        <v/>
      </c>
      <c r="D109" s="78" t="str">
        <f t="shared" ca="1" si="9"/>
        <v/>
      </c>
      <c r="E109" s="79"/>
      <c r="F109" s="80" t="str">
        <f t="shared" si="10"/>
        <v/>
      </c>
      <c r="G109" s="39" t="s">
        <v>134</v>
      </c>
      <c r="H109" s="81"/>
      <c r="I109" s="82" t="str">
        <f>IF(A109="","Pending",IF(H109="","⚠️ Enter Agent Code",IF(IFERROR(VLOOKUP(G109,DB_Agents!$B:$I,8,0),"")=H109,IF(AND(A109&lt;&gt;"",E109&lt;&gt;""),"Saved","Pending"),"🔒 BLOCKED — Wrong Code")))</f>
        <v>Pending</v>
      </c>
      <c r="J109" s="83" t="str">
        <f t="shared" ca="1" si="11"/>
        <v>—</v>
      </c>
      <c r="K109" s="84"/>
    </row>
    <row r="110" spans="1:11" ht="15" customHeight="1" x14ac:dyDescent="0.25">
      <c r="A110" s="85"/>
      <c r="B110" s="41" t="str">
        <f>IF(A110="","",IFERROR(VLOOKUP(A110,DB_Customers!$A:$D,4,0),"❌ Account Not Found"))</f>
        <v/>
      </c>
      <c r="C110" s="86" t="str">
        <f>IF(A110="","",IFERROR(IF(SUMIF(DB_Savings!$C:$C,A110,DB_Savings!$F:$F)=0,VLOOKUP(A110,DB_Customers!$A:$I,9,0),VLOOKUP(A110,DB_Customers!$A:$N,14,0)),"❌ Acct Not Found"))</f>
        <v/>
      </c>
      <c r="D110" s="87" t="str">
        <f t="shared" ca="1" si="9"/>
        <v/>
      </c>
      <c r="E110" s="79"/>
      <c r="F110" s="88" t="str">
        <f t="shared" si="10"/>
        <v/>
      </c>
      <c r="G110" s="43" t="s">
        <v>134</v>
      </c>
      <c r="H110" s="81"/>
      <c r="I110" s="89" t="str">
        <f>IF(A110="","Pending",IF(H110="","⚠️ Enter Agent Code",IF(IFERROR(VLOOKUP(G110,DB_Agents!$B:$I,8,0),"")=H110,IF(AND(A110&lt;&gt;"",E110&lt;&gt;""),"Saved","Pending"),"🔒 BLOCKED — Wrong Code")))</f>
        <v>Pending</v>
      </c>
      <c r="J110" s="90" t="str">
        <f t="shared" ca="1" si="11"/>
        <v>—</v>
      </c>
      <c r="K110" s="91"/>
    </row>
    <row r="111" spans="1:11" ht="15" customHeight="1" x14ac:dyDescent="0.25">
      <c r="A111" s="76"/>
      <c r="B111" s="37" t="str">
        <f>IF(A111="","",IFERROR(VLOOKUP(A111,DB_Customers!$A:$D,4,0),"❌ Account Not Found"))</f>
        <v/>
      </c>
      <c r="C111" s="77" t="str">
        <f>IF(A111="","",IFERROR(IF(SUMIF(DB_Savings!$C:$C,A111,DB_Savings!$F:$F)=0,VLOOKUP(A111,DB_Customers!$A:$I,9,0),VLOOKUP(A111,DB_Customers!$A:$N,14,0)),"❌ Acct Not Found"))</f>
        <v/>
      </c>
      <c r="D111" s="78" t="str">
        <f t="shared" ca="1" si="9"/>
        <v/>
      </c>
      <c r="E111" s="79"/>
      <c r="F111" s="80" t="str">
        <f t="shared" si="10"/>
        <v/>
      </c>
      <c r="G111" s="39" t="s">
        <v>134</v>
      </c>
      <c r="H111" s="81"/>
      <c r="I111" s="82" t="str">
        <f>IF(A111="","Pending",IF(H111="","⚠️ Enter Agent Code",IF(IFERROR(VLOOKUP(G111,DB_Agents!$B:$I,8,0),"")=H111,IF(AND(A111&lt;&gt;"",E111&lt;&gt;""),"Saved","Pending"),"🔒 BLOCKED — Wrong Code")))</f>
        <v>Pending</v>
      </c>
      <c r="J111" s="83" t="str">
        <f t="shared" ca="1" si="11"/>
        <v>—</v>
      </c>
      <c r="K111" s="84"/>
    </row>
    <row r="112" spans="1:11" ht="15" customHeight="1" x14ac:dyDescent="0.25">
      <c r="A112" s="85"/>
      <c r="B112" s="41" t="str">
        <f>IF(A112="","",IFERROR(VLOOKUP(A112,DB_Customers!$A:$D,4,0),"❌ Account Not Found"))</f>
        <v/>
      </c>
      <c r="C112" s="86" t="str">
        <f>IF(A112="","",IFERROR(IF(SUMIF(DB_Savings!$C:$C,A112,DB_Savings!$F:$F)=0,VLOOKUP(A112,DB_Customers!$A:$I,9,0),VLOOKUP(A112,DB_Customers!$A:$N,14,0)),"❌ Acct Not Found"))</f>
        <v/>
      </c>
      <c r="D112" s="87" t="str">
        <f t="shared" ca="1" si="9"/>
        <v/>
      </c>
      <c r="E112" s="79"/>
      <c r="F112" s="88" t="str">
        <f t="shared" si="10"/>
        <v/>
      </c>
      <c r="G112" s="43" t="s">
        <v>134</v>
      </c>
      <c r="H112" s="81"/>
      <c r="I112" s="89" t="str">
        <f>IF(A112="","Pending",IF(H112="","⚠️ Enter Agent Code",IF(IFERROR(VLOOKUP(G112,DB_Agents!$B:$I,8,0),"")=H112,IF(AND(A112&lt;&gt;"",E112&lt;&gt;""),"Saved","Pending"),"🔒 BLOCKED — Wrong Code")))</f>
        <v>Pending</v>
      </c>
      <c r="J112" s="90" t="str">
        <f t="shared" ca="1" si="11"/>
        <v>—</v>
      </c>
      <c r="K112" s="91"/>
    </row>
    <row r="113" spans="1:11" ht="15" customHeight="1" x14ac:dyDescent="0.25">
      <c r="A113" s="76"/>
      <c r="B113" s="37" t="str">
        <f>IF(A113="","",IFERROR(VLOOKUP(A113,DB_Customers!$A:$D,4,0),"❌ Account Not Found"))</f>
        <v/>
      </c>
      <c r="C113" s="77" t="str">
        <f>IF(A113="","",IFERROR(IF(SUMIF(DB_Savings!$C:$C,A113,DB_Savings!$F:$F)=0,VLOOKUP(A113,DB_Customers!$A:$I,9,0),VLOOKUP(A113,DB_Customers!$A:$N,14,0)),"❌ Acct Not Found"))</f>
        <v/>
      </c>
      <c r="D113" s="78" t="str">
        <f t="shared" ca="1" si="9"/>
        <v/>
      </c>
      <c r="E113" s="79"/>
      <c r="F113" s="80" t="str">
        <f t="shared" si="10"/>
        <v/>
      </c>
      <c r="G113" s="39" t="s">
        <v>134</v>
      </c>
      <c r="H113" s="81"/>
      <c r="I113" s="82" t="str">
        <f>IF(A113="","Pending",IF(H113="","⚠️ Enter Agent Code",IF(IFERROR(VLOOKUP(G113,DB_Agents!$B:$I,8,0),"")=H113,IF(AND(A113&lt;&gt;"",E113&lt;&gt;""),"Saved","Pending"),"🔒 BLOCKED — Wrong Code")))</f>
        <v>Pending</v>
      </c>
      <c r="J113" s="83" t="str">
        <f t="shared" ca="1" si="11"/>
        <v>—</v>
      </c>
      <c r="K113" s="84"/>
    </row>
    <row r="114" spans="1:11" ht="15" customHeight="1" x14ac:dyDescent="0.25">
      <c r="A114" s="85"/>
      <c r="B114" s="41" t="str">
        <f>IF(A114="","",IFERROR(VLOOKUP(A114,DB_Customers!$A:$D,4,0),"❌ Account Not Found"))</f>
        <v/>
      </c>
      <c r="C114" s="86" t="str">
        <f>IF(A114="","",IFERROR(IF(SUMIF(DB_Savings!$C:$C,A114,DB_Savings!$F:$F)=0,VLOOKUP(A114,DB_Customers!$A:$I,9,0),VLOOKUP(A114,DB_Customers!$A:$N,14,0)),"❌ Acct Not Found"))</f>
        <v/>
      </c>
      <c r="D114" s="87" t="str">
        <f t="shared" ca="1" si="9"/>
        <v/>
      </c>
      <c r="E114" s="79"/>
      <c r="F114" s="88" t="str">
        <f t="shared" si="10"/>
        <v/>
      </c>
      <c r="G114" s="43" t="s">
        <v>134</v>
      </c>
      <c r="H114" s="81"/>
      <c r="I114" s="89" t="str">
        <f>IF(A114="","Pending",IF(H114="","⚠️ Enter Agent Code",IF(IFERROR(VLOOKUP(G114,DB_Agents!$B:$I,8,0),"")=H114,IF(AND(A114&lt;&gt;"",E114&lt;&gt;""),"Saved","Pending"),"🔒 BLOCKED — Wrong Code")))</f>
        <v>Pending</v>
      </c>
      <c r="J114" s="90" t="str">
        <f t="shared" ca="1" si="11"/>
        <v>—</v>
      </c>
      <c r="K114" s="91"/>
    </row>
    <row r="115" spans="1:11" ht="15" customHeight="1" x14ac:dyDescent="0.25">
      <c r="A115" s="76"/>
      <c r="B115" s="37" t="str">
        <f>IF(A115="","",IFERROR(VLOOKUP(A115,DB_Customers!$A:$D,4,0),"❌ Account Not Found"))</f>
        <v/>
      </c>
      <c r="C115" s="77" t="str">
        <f>IF(A115="","",IFERROR(IF(SUMIF(DB_Savings!$C:$C,A115,DB_Savings!$F:$F)=0,VLOOKUP(A115,DB_Customers!$A:$I,9,0),VLOOKUP(A115,DB_Customers!$A:$N,14,0)),"❌ Acct Not Found"))</f>
        <v/>
      </c>
      <c r="D115" s="78" t="str">
        <f t="shared" ca="1" si="9"/>
        <v/>
      </c>
      <c r="E115" s="79"/>
      <c r="F115" s="80" t="str">
        <f t="shared" si="10"/>
        <v/>
      </c>
      <c r="G115" s="39" t="s">
        <v>134</v>
      </c>
      <c r="H115" s="81"/>
      <c r="I115" s="82" t="str">
        <f>IF(A115="","Pending",IF(H115="","⚠️ Enter Agent Code",IF(IFERROR(VLOOKUP(G115,DB_Agents!$B:$I,8,0),"")=H115,IF(AND(A115&lt;&gt;"",E115&lt;&gt;""),"Saved","Pending"),"🔒 BLOCKED — Wrong Code")))</f>
        <v>Pending</v>
      </c>
      <c r="J115" s="83" t="str">
        <f t="shared" ca="1" si="11"/>
        <v>—</v>
      </c>
      <c r="K115" s="84"/>
    </row>
    <row r="116" spans="1:11" ht="15" customHeight="1" x14ac:dyDescent="0.25">
      <c r="A116" s="85"/>
      <c r="B116" s="41" t="str">
        <f>IF(A116="","",IFERROR(VLOOKUP(A116,DB_Customers!$A:$D,4,0),"❌ Account Not Found"))</f>
        <v/>
      </c>
      <c r="C116" s="86" t="str">
        <f>IF(A116="","",IFERROR(IF(SUMIF(DB_Savings!$C:$C,A116,DB_Savings!$F:$F)=0,VLOOKUP(A116,DB_Customers!$A:$I,9,0),VLOOKUP(A116,DB_Customers!$A:$N,14,0)),"❌ Acct Not Found"))</f>
        <v/>
      </c>
      <c r="D116" s="87" t="str">
        <f t="shared" ca="1" si="9"/>
        <v/>
      </c>
      <c r="E116" s="79"/>
      <c r="F116" s="88" t="str">
        <f t="shared" si="10"/>
        <v/>
      </c>
      <c r="G116" s="43" t="s">
        <v>134</v>
      </c>
      <c r="H116" s="81"/>
      <c r="I116" s="89" t="str">
        <f>IF(A116="","Pending",IF(H116="","⚠️ Enter Agent Code",IF(IFERROR(VLOOKUP(G116,DB_Agents!$B:$I,8,0),"")=H116,IF(AND(A116&lt;&gt;"",E116&lt;&gt;""),"Saved","Pending"),"🔒 BLOCKED — Wrong Code")))</f>
        <v>Pending</v>
      </c>
      <c r="J116" s="90" t="str">
        <f t="shared" ca="1" si="11"/>
        <v>—</v>
      </c>
      <c r="K116" s="91"/>
    </row>
    <row r="117" spans="1:11" ht="15" customHeight="1" x14ac:dyDescent="0.25">
      <c r="A117" s="76"/>
      <c r="B117" s="37" t="str">
        <f>IF(A117="","",IFERROR(VLOOKUP(A117,DB_Customers!$A:$D,4,0),"❌ Account Not Found"))</f>
        <v/>
      </c>
      <c r="C117" s="77" t="str">
        <f>IF(A117="","",IFERROR(IF(SUMIF(DB_Savings!$C:$C,A117,DB_Savings!$F:$F)=0,VLOOKUP(A117,DB_Customers!$A:$I,9,0),VLOOKUP(A117,DB_Customers!$A:$N,14,0)),"❌ Acct Not Found"))</f>
        <v/>
      </c>
      <c r="D117" s="78" t="str">
        <f t="shared" ca="1" si="9"/>
        <v/>
      </c>
      <c r="E117" s="79"/>
      <c r="F117" s="80" t="str">
        <f t="shared" si="10"/>
        <v/>
      </c>
      <c r="G117" s="39" t="s">
        <v>134</v>
      </c>
      <c r="H117" s="81"/>
      <c r="I117" s="82" t="str">
        <f>IF(A117="","Pending",IF(H117="","⚠️ Enter Agent Code",IF(IFERROR(VLOOKUP(G117,DB_Agents!$B:$I,8,0),"")=H117,IF(AND(A117&lt;&gt;"",E117&lt;&gt;""),"Saved","Pending"),"🔒 BLOCKED — Wrong Code")))</f>
        <v>Pending</v>
      </c>
      <c r="J117" s="83" t="str">
        <f t="shared" ca="1" si="11"/>
        <v>—</v>
      </c>
      <c r="K117" s="84"/>
    </row>
    <row r="118" spans="1:11" ht="15" customHeight="1" x14ac:dyDescent="0.25">
      <c r="A118" s="85"/>
      <c r="B118" s="41" t="str">
        <f>IF(A118="","",IFERROR(VLOOKUP(A118,DB_Customers!$A:$D,4,0),"❌ Account Not Found"))</f>
        <v/>
      </c>
      <c r="C118" s="86" t="str">
        <f>IF(A118="","",IFERROR(IF(SUMIF(DB_Savings!$C:$C,A118,DB_Savings!$F:$F)=0,VLOOKUP(A118,DB_Customers!$A:$I,9,0),VLOOKUP(A118,DB_Customers!$A:$N,14,0)),"❌ Acct Not Found"))</f>
        <v/>
      </c>
      <c r="D118" s="87" t="str">
        <f t="shared" ca="1" si="9"/>
        <v/>
      </c>
      <c r="E118" s="79"/>
      <c r="F118" s="88" t="str">
        <f t="shared" si="10"/>
        <v/>
      </c>
      <c r="G118" s="43" t="s">
        <v>134</v>
      </c>
      <c r="H118" s="81"/>
      <c r="I118" s="89" t="str">
        <f>IF(A118="","Pending",IF(H118="","⚠️ Enter Agent Code",IF(IFERROR(VLOOKUP(G118,DB_Agents!$B:$I,8,0),"")=H118,IF(AND(A118&lt;&gt;"",E118&lt;&gt;""),"Saved","Pending"),"🔒 BLOCKED — Wrong Code")))</f>
        <v>Pending</v>
      </c>
      <c r="J118" s="90" t="str">
        <f t="shared" ca="1" si="11"/>
        <v>—</v>
      </c>
      <c r="K118" s="91"/>
    </row>
    <row r="119" spans="1:11" ht="15" customHeight="1" x14ac:dyDescent="0.25">
      <c r="A119" s="76"/>
      <c r="B119" s="37" t="str">
        <f>IF(A119="","",IFERROR(VLOOKUP(A119,DB_Customers!$A:$D,4,0),"❌ Account Not Found"))</f>
        <v/>
      </c>
      <c r="C119" s="77" t="str">
        <f>IF(A119="","",IFERROR(IF(SUMIF(DB_Savings!$C:$C,A119,DB_Savings!$F:$F)=0,VLOOKUP(A119,DB_Customers!$A:$I,9,0),VLOOKUP(A119,DB_Customers!$A:$N,14,0)),"❌ Acct Not Found"))</f>
        <v/>
      </c>
      <c r="D119" s="78" t="str">
        <f t="shared" ca="1" si="9"/>
        <v/>
      </c>
      <c r="E119" s="79"/>
      <c r="F119" s="80" t="str">
        <f t="shared" si="10"/>
        <v/>
      </c>
      <c r="G119" s="39" t="s">
        <v>134</v>
      </c>
      <c r="H119" s="81"/>
      <c r="I119" s="82" t="str">
        <f>IF(A119="","Pending",IF(H119="","⚠️ Enter Agent Code",IF(IFERROR(VLOOKUP(G119,DB_Agents!$B:$I,8,0),"")=H119,IF(AND(A119&lt;&gt;"",E119&lt;&gt;""),"Saved","Pending"),"🔒 BLOCKED — Wrong Code")))</f>
        <v>Pending</v>
      </c>
      <c r="J119" s="83" t="str">
        <f t="shared" ca="1" si="11"/>
        <v>—</v>
      </c>
      <c r="K119" s="84"/>
    </row>
    <row r="120" spans="1:11" ht="15" customHeight="1" x14ac:dyDescent="0.25">
      <c r="A120" s="85"/>
      <c r="B120" s="41" t="str">
        <f>IF(A120="","",IFERROR(VLOOKUP(A120,DB_Customers!$A:$D,4,0),"❌ Account Not Found"))</f>
        <v/>
      </c>
      <c r="C120" s="86" t="str">
        <f>IF(A120="","",IFERROR(IF(SUMIF(DB_Savings!$C:$C,A120,DB_Savings!$F:$F)=0,VLOOKUP(A120,DB_Customers!$A:$I,9,0),VLOOKUP(A120,DB_Customers!$A:$N,14,0)),"❌ Acct Not Found"))</f>
        <v/>
      </c>
      <c r="D120" s="87" t="str">
        <f t="shared" ca="1" si="9"/>
        <v/>
      </c>
      <c r="E120" s="79"/>
      <c r="F120" s="88" t="str">
        <f t="shared" si="10"/>
        <v/>
      </c>
      <c r="G120" s="43" t="s">
        <v>134</v>
      </c>
      <c r="H120" s="81"/>
      <c r="I120" s="89" t="str">
        <f>IF(A120="","Pending",IF(H120="","⚠️ Enter Agent Code",IF(IFERROR(VLOOKUP(G120,DB_Agents!$B:$I,8,0),"")=H120,IF(AND(A120&lt;&gt;"",E120&lt;&gt;""),"Saved","Pending"),"🔒 BLOCKED — Wrong Code")))</f>
        <v>Pending</v>
      </c>
      <c r="J120" s="90" t="str">
        <f t="shared" ca="1" si="11"/>
        <v>—</v>
      </c>
      <c r="K120" s="91"/>
    </row>
    <row r="121" spans="1:11" ht="15" customHeight="1" x14ac:dyDescent="0.25">
      <c r="A121" s="76"/>
      <c r="B121" s="37" t="str">
        <f>IF(A121="","",IFERROR(VLOOKUP(A121,DB_Customers!$A:$D,4,0),"❌ Account Not Found"))</f>
        <v/>
      </c>
      <c r="C121" s="77" t="str">
        <f>IF(A121="","",IFERROR(IF(SUMIF(DB_Savings!$C:$C,A121,DB_Savings!$F:$F)=0,VLOOKUP(A121,DB_Customers!$A:$I,9,0),VLOOKUP(A121,DB_Customers!$A:$N,14,0)),"❌ Acct Not Found"))</f>
        <v/>
      </c>
      <c r="D121" s="78" t="str">
        <f t="shared" ca="1" si="9"/>
        <v/>
      </c>
      <c r="E121" s="79"/>
      <c r="F121" s="80" t="str">
        <f t="shared" si="10"/>
        <v/>
      </c>
      <c r="G121" s="39" t="s">
        <v>134</v>
      </c>
      <c r="H121" s="81"/>
      <c r="I121" s="82" t="str">
        <f>IF(A121="","Pending",IF(H121="","⚠️ Enter Agent Code",IF(IFERROR(VLOOKUP(G121,DB_Agents!$B:$I,8,0),"")=H121,IF(AND(A121&lt;&gt;"",E121&lt;&gt;""),"Saved","Pending"),"🔒 BLOCKED — Wrong Code")))</f>
        <v>Pending</v>
      </c>
      <c r="J121" s="83" t="str">
        <f t="shared" ca="1" si="11"/>
        <v>—</v>
      </c>
      <c r="K121" s="84"/>
    </row>
    <row r="122" spans="1:11" ht="15" customHeight="1" x14ac:dyDescent="0.25">
      <c r="A122" s="85"/>
      <c r="B122" s="41" t="str">
        <f>IF(A122="","",IFERROR(VLOOKUP(A122,DB_Customers!$A:$D,4,0),"❌ Account Not Found"))</f>
        <v/>
      </c>
      <c r="C122" s="86" t="str">
        <f>IF(A122="","",IFERROR(IF(SUMIF(DB_Savings!$C:$C,A122,DB_Savings!$F:$F)=0,VLOOKUP(A122,DB_Customers!$A:$I,9,0),VLOOKUP(A122,DB_Customers!$A:$N,14,0)),"❌ Acct Not Found"))</f>
        <v/>
      </c>
      <c r="D122" s="87" t="str">
        <f t="shared" ca="1" si="9"/>
        <v/>
      </c>
      <c r="E122" s="79"/>
      <c r="F122" s="88" t="str">
        <f t="shared" si="10"/>
        <v/>
      </c>
      <c r="G122" s="43" t="s">
        <v>134</v>
      </c>
      <c r="H122" s="81"/>
      <c r="I122" s="89" t="str">
        <f>IF(A122="","Pending",IF(H122="","⚠️ Enter Agent Code",IF(IFERROR(VLOOKUP(G122,DB_Agents!$B:$I,8,0),"")=H122,IF(AND(A122&lt;&gt;"",E122&lt;&gt;""),"Saved","Pending"),"🔒 BLOCKED — Wrong Code")))</f>
        <v>Pending</v>
      </c>
      <c r="J122" s="90" t="str">
        <f t="shared" ca="1" si="11"/>
        <v>—</v>
      </c>
      <c r="K122" s="91"/>
    </row>
    <row r="123" spans="1:11" ht="15" customHeight="1" x14ac:dyDescent="0.25">
      <c r="A123" s="76"/>
      <c r="B123" s="37" t="str">
        <f>IF(A123="","",IFERROR(VLOOKUP(A123,DB_Customers!$A:$D,4,0),"❌ Account Not Found"))</f>
        <v/>
      </c>
      <c r="C123" s="77" t="str">
        <f>IF(A123="","",IFERROR(IF(SUMIF(DB_Savings!$C:$C,A123,DB_Savings!$F:$F)=0,VLOOKUP(A123,DB_Customers!$A:$I,9,0),VLOOKUP(A123,DB_Customers!$A:$N,14,0)),"❌ Acct Not Found"))</f>
        <v/>
      </c>
      <c r="D123" s="78" t="str">
        <f t="shared" ca="1" si="9"/>
        <v/>
      </c>
      <c r="E123" s="79"/>
      <c r="F123" s="80" t="str">
        <f t="shared" si="10"/>
        <v/>
      </c>
      <c r="G123" s="39" t="s">
        <v>134</v>
      </c>
      <c r="H123" s="81"/>
      <c r="I123" s="82" t="str">
        <f>IF(A123="","Pending",IF(H123="","⚠️ Enter Agent Code",IF(IFERROR(VLOOKUP(G123,DB_Agents!$B:$I,8,0),"")=H123,IF(AND(A123&lt;&gt;"",E123&lt;&gt;""),"Saved","Pending"),"🔒 BLOCKED — Wrong Code")))</f>
        <v>Pending</v>
      </c>
      <c r="J123" s="83" t="str">
        <f t="shared" ca="1" si="11"/>
        <v>—</v>
      </c>
      <c r="K123" s="84"/>
    </row>
    <row r="124" spans="1:11" ht="15" customHeight="1" x14ac:dyDescent="0.25">
      <c r="A124" s="85"/>
      <c r="B124" s="41" t="str">
        <f>IF(A124="","",IFERROR(VLOOKUP(A124,DB_Customers!$A:$D,4,0),"❌ Account Not Found"))</f>
        <v/>
      </c>
      <c r="C124" s="86" t="str">
        <f>IF(A124="","",IFERROR(IF(SUMIF(DB_Savings!$C:$C,A124,DB_Savings!$F:$F)=0,VLOOKUP(A124,DB_Customers!$A:$I,9,0),VLOOKUP(A124,DB_Customers!$A:$N,14,0)),"❌ Acct Not Found"))</f>
        <v/>
      </c>
      <c r="D124" s="87" t="str">
        <f t="shared" ca="1" si="9"/>
        <v/>
      </c>
      <c r="E124" s="79"/>
      <c r="F124" s="88" t="str">
        <f t="shared" si="10"/>
        <v/>
      </c>
      <c r="G124" s="43" t="s">
        <v>134</v>
      </c>
      <c r="H124" s="81"/>
      <c r="I124" s="89" t="str">
        <f>IF(A124="","Pending",IF(H124="","⚠️ Enter Agent Code",IF(IFERROR(VLOOKUP(G124,DB_Agents!$B:$I,8,0),"")=H124,IF(AND(A124&lt;&gt;"",E124&lt;&gt;""),"Saved","Pending"),"🔒 BLOCKED — Wrong Code")))</f>
        <v>Pending</v>
      </c>
      <c r="J124" s="90" t="str">
        <f t="shared" ca="1" si="11"/>
        <v>—</v>
      </c>
      <c r="K124" s="91"/>
    </row>
    <row r="125" spans="1:11" ht="15" customHeight="1" x14ac:dyDescent="0.25">
      <c r="A125" s="76"/>
      <c r="B125" s="37" t="str">
        <f>IF(A125="","",IFERROR(VLOOKUP(A125,DB_Customers!$A:$D,4,0),"❌ Account Not Found"))</f>
        <v/>
      </c>
      <c r="C125" s="77" t="str">
        <f>IF(A125="","",IFERROR(IF(SUMIF(DB_Savings!$C:$C,A125,DB_Savings!$F:$F)=0,VLOOKUP(A125,DB_Customers!$A:$I,9,0),VLOOKUP(A125,DB_Customers!$A:$N,14,0)),"❌ Acct Not Found"))</f>
        <v/>
      </c>
      <c r="D125" s="78" t="str">
        <f t="shared" ca="1" si="9"/>
        <v/>
      </c>
      <c r="E125" s="79"/>
      <c r="F125" s="80" t="str">
        <f t="shared" si="10"/>
        <v/>
      </c>
      <c r="G125" s="39" t="s">
        <v>134</v>
      </c>
      <c r="H125" s="81"/>
      <c r="I125" s="82" t="str">
        <f>IF(A125="","Pending",IF(H125="","⚠️ Enter Agent Code",IF(IFERROR(VLOOKUP(G125,DB_Agents!$B:$I,8,0),"")=H125,IF(AND(A125&lt;&gt;"",E125&lt;&gt;""),"Saved","Pending"),"🔒 BLOCKED — Wrong Code")))</f>
        <v>Pending</v>
      </c>
      <c r="J125" s="83" t="str">
        <f t="shared" ca="1" si="11"/>
        <v>—</v>
      </c>
      <c r="K125" s="84"/>
    </row>
    <row r="126" spans="1:11" ht="15" customHeight="1" x14ac:dyDescent="0.25">
      <c r="A126" s="85"/>
      <c r="B126" s="41" t="str">
        <f>IF(A126="","",IFERROR(VLOOKUP(A126,DB_Customers!$A:$D,4,0),"❌ Account Not Found"))</f>
        <v/>
      </c>
      <c r="C126" s="86" t="str">
        <f>IF(A126="","",IFERROR(IF(SUMIF(DB_Savings!$C:$C,A126,DB_Savings!$F:$F)=0,VLOOKUP(A126,DB_Customers!$A:$I,9,0),VLOOKUP(A126,DB_Customers!$A:$N,14,0)),"❌ Acct Not Found"))</f>
        <v/>
      </c>
      <c r="D126" s="87" t="str">
        <f t="shared" ca="1" si="9"/>
        <v/>
      </c>
      <c r="E126" s="79"/>
      <c r="F126" s="88" t="str">
        <f t="shared" si="10"/>
        <v/>
      </c>
      <c r="G126" s="43" t="s">
        <v>134</v>
      </c>
      <c r="H126" s="81"/>
      <c r="I126" s="89" t="str">
        <f>IF(A126="","Pending",IF(H126="","⚠️ Enter Agent Code",IF(IFERROR(VLOOKUP(G126,DB_Agents!$B:$I,8,0),"")=H126,IF(AND(A126&lt;&gt;"",E126&lt;&gt;""),"Saved","Pending"),"🔒 BLOCKED — Wrong Code")))</f>
        <v>Pending</v>
      </c>
      <c r="J126" s="90" t="str">
        <f t="shared" ca="1" si="11"/>
        <v>—</v>
      </c>
      <c r="K126" s="91"/>
    </row>
    <row r="127" spans="1:11" ht="15" customHeight="1" x14ac:dyDescent="0.25">
      <c r="A127" s="76"/>
      <c r="B127" s="37" t="str">
        <f>IF(A127="","",IFERROR(VLOOKUP(A127,DB_Customers!$A:$D,4,0),"❌ Account Not Found"))</f>
        <v/>
      </c>
      <c r="C127" s="77" t="str">
        <f>IF(A127="","",IFERROR(IF(SUMIF(DB_Savings!$C:$C,A127,DB_Savings!$F:$F)=0,VLOOKUP(A127,DB_Customers!$A:$I,9,0),VLOOKUP(A127,DB_Customers!$A:$N,14,0)),"❌ Acct Not Found"))</f>
        <v/>
      </c>
      <c r="D127" s="78" t="str">
        <f t="shared" ca="1" si="9"/>
        <v/>
      </c>
      <c r="E127" s="79"/>
      <c r="F127" s="80" t="str">
        <f t="shared" si="10"/>
        <v/>
      </c>
      <c r="G127" s="39" t="s">
        <v>134</v>
      </c>
      <c r="H127" s="81"/>
      <c r="I127" s="82" t="str">
        <f>IF(A127="","Pending",IF(H127="","⚠️ Enter Agent Code",IF(IFERROR(VLOOKUP(G127,DB_Agents!$B:$I,8,0),"")=H127,IF(AND(A127&lt;&gt;"",E127&lt;&gt;""),"Saved","Pending"),"🔒 BLOCKED — Wrong Code")))</f>
        <v>Pending</v>
      </c>
      <c r="J127" s="83" t="str">
        <f t="shared" ca="1" si="11"/>
        <v>—</v>
      </c>
      <c r="K127" s="84"/>
    </row>
    <row r="128" spans="1:11" ht="15" customHeight="1" x14ac:dyDescent="0.25">
      <c r="A128" s="85"/>
      <c r="B128" s="41" t="str">
        <f>IF(A128="","",IFERROR(VLOOKUP(A128,DB_Customers!$A:$D,4,0),"❌ Account Not Found"))</f>
        <v/>
      </c>
      <c r="C128" s="86" t="str">
        <f>IF(A128="","",IFERROR(IF(SUMIF(DB_Savings!$C:$C,A128,DB_Savings!$F:$F)=0,VLOOKUP(A128,DB_Customers!$A:$I,9,0),VLOOKUP(A128,DB_Customers!$A:$N,14,0)),"❌ Acct Not Found"))</f>
        <v/>
      </c>
      <c r="D128" s="87" t="str">
        <f t="shared" ca="1" si="9"/>
        <v/>
      </c>
      <c r="E128" s="79"/>
      <c r="F128" s="88" t="str">
        <f t="shared" si="10"/>
        <v/>
      </c>
      <c r="G128" s="43" t="s">
        <v>134</v>
      </c>
      <c r="H128" s="81"/>
      <c r="I128" s="89" t="str">
        <f>IF(A128="","Pending",IF(H128="","⚠️ Enter Agent Code",IF(IFERROR(VLOOKUP(G128,DB_Agents!$B:$I,8,0),"")=H128,IF(AND(A128&lt;&gt;"",E128&lt;&gt;""),"Saved","Pending"),"🔒 BLOCKED — Wrong Code")))</f>
        <v>Pending</v>
      </c>
      <c r="J128" s="90" t="str">
        <f t="shared" ca="1" si="11"/>
        <v>—</v>
      </c>
      <c r="K128" s="91"/>
    </row>
    <row r="129" spans="1:11" ht="15" customHeight="1" x14ac:dyDescent="0.25">
      <c r="A129" s="76"/>
      <c r="B129" s="37" t="str">
        <f>IF(A129="","",IFERROR(VLOOKUP(A129,DB_Customers!$A:$D,4,0),"❌ Account Not Found"))</f>
        <v/>
      </c>
      <c r="C129" s="77" t="str">
        <f>IF(A129="","",IFERROR(IF(SUMIF(DB_Savings!$C:$C,A129,DB_Savings!$F:$F)=0,VLOOKUP(A129,DB_Customers!$A:$I,9,0),VLOOKUP(A129,DB_Customers!$A:$N,14,0)),"❌ Acct Not Found"))</f>
        <v/>
      </c>
      <c r="D129" s="78" t="str">
        <f t="shared" ca="1" si="9"/>
        <v/>
      </c>
      <c r="E129" s="79"/>
      <c r="F129" s="80" t="str">
        <f t="shared" si="10"/>
        <v/>
      </c>
      <c r="G129" s="39" t="s">
        <v>134</v>
      </c>
      <c r="H129" s="81"/>
      <c r="I129" s="82" t="str">
        <f>IF(A129="","Pending",IF(H129="","⚠️ Enter Agent Code",IF(IFERROR(VLOOKUP(G129,DB_Agents!$B:$I,8,0),"")=H129,IF(AND(A129&lt;&gt;"",E129&lt;&gt;""),"Saved","Pending"),"🔒 BLOCKED — Wrong Code")))</f>
        <v>Pending</v>
      </c>
      <c r="J129" s="83" t="str">
        <f t="shared" ca="1" si="11"/>
        <v>—</v>
      </c>
      <c r="K129" s="84"/>
    </row>
    <row r="130" spans="1:11" ht="15" customHeight="1" x14ac:dyDescent="0.25">
      <c r="A130" s="85"/>
      <c r="B130" s="41" t="str">
        <f>IF(A130="","",IFERROR(VLOOKUP(A130,DB_Customers!$A:$D,4,0),"❌ Account Not Found"))</f>
        <v/>
      </c>
      <c r="C130" s="86" t="str">
        <f>IF(A130="","",IFERROR(IF(SUMIF(DB_Savings!$C:$C,A130,DB_Savings!$F:$F)=0,VLOOKUP(A130,DB_Customers!$A:$I,9,0),VLOOKUP(A130,DB_Customers!$A:$N,14,0)),"❌ Acct Not Found"))</f>
        <v/>
      </c>
      <c r="D130" s="87" t="str">
        <f t="shared" ca="1" si="9"/>
        <v/>
      </c>
      <c r="E130" s="79"/>
      <c r="F130" s="88" t="str">
        <f t="shared" si="10"/>
        <v/>
      </c>
      <c r="G130" s="43" t="s">
        <v>134</v>
      </c>
      <c r="H130" s="81"/>
      <c r="I130" s="89" t="str">
        <f>IF(A130="","Pending",IF(H130="","⚠️ Enter Agent Code",IF(IFERROR(VLOOKUP(G130,DB_Agents!$B:$I,8,0),"")=H130,IF(AND(A130&lt;&gt;"",E130&lt;&gt;""),"Saved","Pending"),"🔒 BLOCKED — Wrong Code")))</f>
        <v>Pending</v>
      </c>
      <c r="J130" s="90" t="str">
        <f t="shared" ca="1" si="11"/>
        <v>—</v>
      </c>
      <c r="K130" s="91"/>
    </row>
    <row r="131" spans="1:11" ht="15" customHeight="1" x14ac:dyDescent="0.25">
      <c r="A131" s="76"/>
      <c r="B131" s="37" t="str">
        <f>IF(A131="","",IFERROR(VLOOKUP(A131,DB_Customers!$A:$D,4,0),"❌ Account Not Found"))</f>
        <v/>
      </c>
      <c r="C131" s="77" t="str">
        <f>IF(A131="","",IFERROR(IF(SUMIF(DB_Savings!$C:$C,A131,DB_Savings!$F:$F)=0,VLOOKUP(A131,DB_Customers!$A:$I,9,0),VLOOKUP(A131,DB_Customers!$A:$N,14,0)),"❌ Acct Not Found"))</f>
        <v/>
      </c>
      <c r="D131" s="78" t="str">
        <f t="shared" ca="1" si="9"/>
        <v/>
      </c>
      <c r="E131" s="79"/>
      <c r="F131" s="80" t="str">
        <f t="shared" si="10"/>
        <v/>
      </c>
      <c r="G131" s="39" t="s">
        <v>134</v>
      </c>
      <c r="H131" s="81"/>
      <c r="I131" s="82" t="str">
        <f>IF(A131="","Pending",IF(H131="","⚠️ Enter Agent Code",IF(IFERROR(VLOOKUP(G131,DB_Agents!$B:$I,8,0),"")=H131,IF(AND(A131&lt;&gt;"",E131&lt;&gt;""),"Saved","Pending"),"🔒 BLOCKED — Wrong Code")))</f>
        <v>Pending</v>
      </c>
      <c r="J131" s="83" t="str">
        <f t="shared" ca="1" si="11"/>
        <v>—</v>
      </c>
      <c r="K131" s="84"/>
    </row>
    <row r="132" spans="1:11" ht="15" customHeight="1" x14ac:dyDescent="0.25">
      <c r="A132" s="85"/>
      <c r="B132" s="41" t="str">
        <f>IF(A132="","",IFERROR(VLOOKUP(A132,DB_Customers!$A:$D,4,0),"❌ Account Not Found"))</f>
        <v/>
      </c>
      <c r="C132" s="86" t="str">
        <f>IF(A132="","",IFERROR(IF(SUMIF(DB_Savings!$C:$C,A132,DB_Savings!$F:$F)=0,VLOOKUP(A132,DB_Customers!$A:$I,9,0),VLOOKUP(A132,DB_Customers!$A:$N,14,0)),"❌ Acct Not Found"))</f>
        <v/>
      </c>
      <c r="D132" s="87" t="str">
        <f t="shared" ca="1" si="9"/>
        <v/>
      </c>
      <c r="E132" s="79"/>
      <c r="F132" s="88" t="str">
        <f t="shared" si="10"/>
        <v/>
      </c>
      <c r="G132" s="43" t="s">
        <v>134</v>
      </c>
      <c r="H132" s="81"/>
      <c r="I132" s="89" t="str">
        <f>IF(A132="","Pending",IF(H132="","⚠️ Enter Agent Code",IF(IFERROR(VLOOKUP(G132,DB_Agents!$B:$I,8,0),"")=H132,IF(AND(A132&lt;&gt;"",E132&lt;&gt;""),"Saved","Pending"),"🔒 BLOCKED — Wrong Code")))</f>
        <v>Pending</v>
      </c>
      <c r="J132" s="90" t="str">
        <f t="shared" ca="1" si="11"/>
        <v>—</v>
      </c>
      <c r="K132" s="91"/>
    </row>
    <row r="133" spans="1:11" ht="15" customHeight="1" x14ac:dyDescent="0.25">
      <c r="A133" s="76"/>
      <c r="B133" s="37" t="str">
        <f>IF(A133="","",IFERROR(VLOOKUP(A133,DB_Customers!$A:$D,4,0),"❌ Account Not Found"))</f>
        <v/>
      </c>
      <c r="C133" s="77" t="str">
        <f>IF(A133="","",IFERROR(IF(SUMIF(DB_Savings!$C:$C,A133,DB_Savings!$F:$F)=0,VLOOKUP(A133,DB_Customers!$A:$I,9,0),VLOOKUP(A133,DB_Customers!$A:$N,14,0)),"❌ Acct Not Found"))</f>
        <v/>
      </c>
      <c r="D133" s="78" t="str">
        <f t="shared" ca="1" si="9"/>
        <v/>
      </c>
      <c r="E133" s="79"/>
      <c r="F133" s="80" t="str">
        <f t="shared" si="10"/>
        <v/>
      </c>
      <c r="G133" s="39" t="s">
        <v>134</v>
      </c>
      <c r="H133" s="81"/>
      <c r="I133" s="82" t="str">
        <f>IF(A133="","Pending",IF(H133="","⚠️ Enter Agent Code",IF(IFERROR(VLOOKUP(G133,DB_Agents!$B:$I,8,0),"")=H133,IF(AND(A133&lt;&gt;"",E133&lt;&gt;""),"Saved","Pending"),"🔒 BLOCKED — Wrong Code")))</f>
        <v>Pending</v>
      </c>
      <c r="J133" s="83" t="str">
        <f t="shared" ca="1" si="11"/>
        <v>—</v>
      </c>
      <c r="K133" s="84"/>
    </row>
    <row r="134" spans="1:11" ht="15" customHeight="1" x14ac:dyDescent="0.25">
      <c r="A134" s="85"/>
      <c r="B134" s="41" t="str">
        <f>IF(A134="","",IFERROR(VLOOKUP(A134,DB_Customers!$A:$D,4,0),"❌ Account Not Found"))</f>
        <v/>
      </c>
      <c r="C134" s="86" t="str">
        <f>IF(A134="","",IFERROR(IF(SUMIF(DB_Savings!$C:$C,A134,DB_Savings!$F:$F)=0,VLOOKUP(A134,DB_Customers!$A:$I,9,0),VLOOKUP(A134,DB_Customers!$A:$N,14,0)),"❌ Acct Not Found"))</f>
        <v/>
      </c>
      <c r="D134" s="87" t="str">
        <f t="shared" ca="1" si="9"/>
        <v/>
      </c>
      <c r="E134" s="79"/>
      <c r="F134" s="88" t="str">
        <f t="shared" si="10"/>
        <v/>
      </c>
      <c r="G134" s="43" t="s">
        <v>134</v>
      </c>
      <c r="H134" s="81"/>
      <c r="I134" s="89" t="str">
        <f>IF(A134="","Pending",IF(H134="","⚠️ Enter Agent Code",IF(IFERROR(VLOOKUP(G134,DB_Agents!$B:$I,8,0),"")=H134,IF(AND(A134&lt;&gt;"",E134&lt;&gt;""),"Saved","Pending"),"🔒 BLOCKED — Wrong Code")))</f>
        <v>Pending</v>
      </c>
      <c r="J134" s="90" t="str">
        <f t="shared" ca="1" si="11"/>
        <v>—</v>
      </c>
      <c r="K134" s="91"/>
    </row>
    <row r="135" spans="1:11" ht="15" customHeight="1" x14ac:dyDescent="0.25">
      <c r="A135" s="76"/>
      <c r="B135" s="37" t="str">
        <f>IF(A135="","",IFERROR(VLOOKUP(A135,DB_Customers!$A:$D,4,0),"❌ Account Not Found"))</f>
        <v/>
      </c>
      <c r="C135" s="77" t="str">
        <f>IF(A135="","",IFERROR(IF(SUMIF(DB_Savings!$C:$C,A135,DB_Savings!$F:$F)=0,VLOOKUP(A135,DB_Customers!$A:$I,9,0),VLOOKUP(A135,DB_Customers!$A:$N,14,0)),"❌ Acct Not Found"))</f>
        <v/>
      </c>
      <c r="D135" s="78" t="str">
        <f t="shared" ca="1" si="9"/>
        <v/>
      </c>
      <c r="E135" s="79"/>
      <c r="F135" s="80" t="str">
        <f t="shared" si="10"/>
        <v/>
      </c>
      <c r="G135" s="39" t="s">
        <v>134</v>
      </c>
      <c r="H135" s="81"/>
      <c r="I135" s="82" t="str">
        <f>IF(A135="","Pending",IF(H135="","⚠️ Enter Agent Code",IF(IFERROR(VLOOKUP(G135,DB_Agents!$B:$I,8,0),"")=H135,IF(AND(A135&lt;&gt;"",E135&lt;&gt;""),"Saved","Pending"),"🔒 BLOCKED — Wrong Code")))</f>
        <v>Pending</v>
      </c>
      <c r="J135" s="83" t="str">
        <f t="shared" ca="1" si="11"/>
        <v>—</v>
      </c>
      <c r="K135" s="84"/>
    </row>
    <row r="136" spans="1:11" ht="15" customHeight="1" x14ac:dyDescent="0.25">
      <c r="A136" s="85"/>
      <c r="B136" s="41" t="str">
        <f>IF(A136="","",IFERROR(VLOOKUP(A136,DB_Customers!$A:$D,4,0),"❌ Account Not Found"))</f>
        <v/>
      </c>
      <c r="C136" s="86" t="str">
        <f>IF(A136="","",IFERROR(IF(SUMIF(DB_Savings!$C:$C,A136,DB_Savings!$F:$F)=0,VLOOKUP(A136,DB_Customers!$A:$I,9,0),VLOOKUP(A136,DB_Customers!$A:$N,14,0)),"❌ Acct Not Found"))</f>
        <v/>
      </c>
      <c r="D136" s="87" t="str">
        <f t="shared" ca="1" si="9"/>
        <v/>
      </c>
      <c r="E136" s="79"/>
      <c r="F136" s="88" t="str">
        <f t="shared" si="10"/>
        <v/>
      </c>
      <c r="G136" s="43" t="s">
        <v>134</v>
      </c>
      <c r="H136" s="81"/>
      <c r="I136" s="89" t="str">
        <f>IF(A136="","Pending",IF(H136="","⚠️ Enter Agent Code",IF(IFERROR(VLOOKUP(G136,DB_Agents!$B:$I,8,0),"")=H136,IF(AND(A136&lt;&gt;"",E136&lt;&gt;""),"Saved","Pending"),"🔒 BLOCKED — Wrong Code")))</f>
        <v>Pending</v>
      </c>
      <c r="J136" s="90" t="str">
        <f t="shared" ca="1" si="11"/>
        <v>—</v>
      </c>
      <c r="K136" s="91"/>
    </row>
    <row r="137" spans="1:11" ht="15" customHeight="1" x14ac:dyDescent="0.25">
      <c r="A137" s="76"/>
      <c r="B137" s="37" t="str">
        <f>IF(A137="","",IFERROR(VLOOKUP(A137,DB_Customers!$A:$D,4,0),"❌ Account Not Found"))</f>
        <v/>
      </c>
      <c r="C137" s="77" t="str">
        <f>IF(A137="","",IFERROR(IF(SUMIF(DB_Savings!$C:$C,A137,DB_Savings!$F:$F)=0,VLOOKUP(A137,DB_Customers!$A:$I,9,0),VLOOKUP(A137,DB_Customers!$A:$N,14,0)),"❌ Acct Not Found"))</f>
        <v/>
      </c>
      <c r="D137" s="78" t="str">
        <f t="shared" ref="D137:D168" ca="1" si="12">IF(A137="","",TODAY())</f>
        <v/>
      </c>
      <c r="E137" s="79"/>
      <c r="F137" s="80" t="str">
        <f t="shared" ref="F137:F168" si="13">IF(OR(A137="",E137=""),"",IF(C137="","",C137+E137))</f>
        <v/>
      </c>
      <c r="G137" s="39" t="s">
        <v>134</v>
      </c>
      <c r="H137" s="81"/>
      <c r="I137" s="82" t="str">
        <f>IF(A137="","Pending",IF(H137="","⚠️ Enter Agent Code",IF(IFERROR(VLOOKUP(G137,DB_Agents!$B:$I,8,0),"")=H137,IF(AND(A137&lt;&gt;"",E137&lt;&gt;""),"Saved","Pending"),"🔒 BLOCKED — Wrong Code")))</f>
        <v>Pending</v>
      </c>
      <c r="J137" s="83" t="str">
        <f t="shared" ref="J137:J168" ca="1" si="14">IF(I137="Saved",TEXT(TODAY(),"YYYY-MM-DD")&amp;" Auto","—")</f>
        <v>—</v>
      </c>
      <c r="K137" s="84"/>
    </row>
    <row r="138" spans="1:11" ht="15" customHeight="1" x14ac:dyDescent="0.25">
      <c r="A138" s="85"/>
      <c r="B138" s="41" t="str">
        <f>IF(A138="","",IFERROR(VLOOKUP(A138,DB_Customers!$A:$D,4,0),"❌ Account Not Found"))</f>
        <v/>
      </c>
      <c r="C138" s="86" t="str">
        <f>IF(A138="","",IFERROR(IF(SUMIF(DB_Savings!$C:$C,A138,DB_Savings!$F:$F)=0,VLOOKUP(A138,DB_Customers!$A:$I,9,0),VLOOKUP(A138,DB_Customers!$A:$N,14,0)),"❌ Acct Not Found"))</f>
        <v/>
      </c>
      <c r="D138" s="87" t="str">
        <f t="shared" ca="1" si="12"/>
        <v/>
      </c>
      <c r="E138" s="79"/>
      <c r="F138" s="88" t="str">
        <f t="shared" si="13"/>
        <v/>
      </c>
      <c r="G138" s="43" t="s">
        <v>134</v>
      </c>
      <c r="H138" s="81"/>
      <c r="I138" s="89" t="str">
        <f>IF(A138="","Pending",IF(H138="","⚠️ Enter Agent Code",IF(IFERROR(VLOOKUP(G138,DB_Agents!$B:$I,8,0),"")=H138,IF(AND(A138&lt;&gt;"",E138&lt;&gt;""),"Saved","Pending"),"🔒 BLOCKED — Wrong Code")))</f>
        <v>Pending</v>
      </c>
      <c r="J138" s="90" t="str">
        <f t="shared" ca="1" si="14"/>
        <v>—</v>
      </c>
      <c r="K138" s="91"/>
    </row>
    <row r="139" spans="1:11" ht="15" customHeight="1" x14ac:dyDescent="0.25">
      <c r="A139" s="76"/>
      <c r="B139" s="37" t="str">
        <f>IF(A139="","",IFERROR(VLOOKUP(A139,DB_Customers!$A:$D,4,0),"❌ Account Not Found"))</f>
        <v/>
      </c>
      <c r="C139" s="77" t="str">
        <f>IF(A139="","",IFERROR(IF(SUMIF(DB_Savings!$C:$C,A139,DB_Savings!$F:$F)=0,VLOOKUP(A139,DB_Customers!$A:$I,9,0),VLOOKUP(A139,DB_Customers!$A:$N,14,0)),"❌ Acct Not Found"))</f>
        <v/>
      </c>
      <c r="D139" s="78" t="str">
        <f t="shared" ca="1" si="12"/>
        <v/>
      </c>
      <c r="E139" s="79"/>
      <c r="F139" s="80" t="str">
        <f t="shared" si="13"/>
        <v/>
      </c>
      <c r="G139" s="39" t="s">
        <v>134</v>
      </c>
      <c r="H139" s="81"/>
      <c r="I139" s="82" t="str">
        <f>IF(A139="","Pending",IF(H139="","⚠️ Enter Agent Code",IF(IFERROR(VLOOKUP(G139,DB_Agents!$B:$I,8,0),"")=H139,IF(AND(A139&lt;&gt;"",E139&lt;&gt;""),"Saved","Pending"),"🔒 BLOCKED — Wrong Code")))</f>
        <v>Pending</v>
      </c>
      <c r="J139" s="83" t="str">
        <f t="shared" ca="1" si="14"/>
        <v>—</v>
      </c>
      <c r="K139" s="84"/>
    </row>
    <row r="140" spans="1:11" ht="15" customHeight="1" x14ac:dyDescent="0.25">
      <c r="A140" s="85"/>
      <c r="B140" s="41" t="str">
        <f>IF(A140="","",IFERROR(VLOOKUP(A140,DB_Customers!$A:$D,4,0),"❌ Account Not Found"))</f>
        <v/>
      </c>
      <c r="C140" s="86" t="str">
        <f>IF(A140="","",IFERROR(IF(SUMIF(DB_Savings!$C:$C,A140,DB_Savings!$F:$F)=0,VLOOKUP(A140,DB_Customers!$A:$I,9,0),VLOOKUP(A140,DB_Customers!$A:$N,14,0)),"❌ Acct Not Found"))</f>
        <v/>
      </c>
      <c r="D140" s="87" t="str">
        <f t="shared" ca="1" si="12"/>
        <v/>
      </c>
      <c r="E140" s="79"/>
      <c r="F140" s="88" t="str">
        <f t="shared" si="13"/>
        <v/>
      </c>
      <c r="G140" s="43" t="s">
        <v>134</v>
      </c>
      <c r="H140" s="81"/>
      <c r="I140" s="89" t="str">
        <f>IF(A140="","Pending",IF(H140="","⚠️ Enter Agent Code",IF(IFERROR(VLOOKUP(G140,DB_Agents!$B:$I,8,0),"")=H140,IF(AND(A140&lt;&gt;"",E140&lt;&gt;""),"Saved","Pending"),"🔒 BLOCKED — Wrong Code")))</f>
        <v>Pending</v>
      </c>
      <c r="J140" s="90" t="str">
        <f t="shared" ca="1" si="14"/>
        <v>—</v>
      </c>
      <c r="K140" s="91"/>
    </row>
    <row r="141" spans="1:11" ht="15" customHeight="1" x14ac:dyDescent="0.25">
      <c r="A141" s="76"/>
      <c r="B141" s="37" t="str">
        <f>IF(A141="","",IFERROR(VLOOKUP(A141,DB_Customers!$A:$D,4,0),"❌ Account Not Found"))</f>
        <v/>
      </c>
      <c r="C141" s="77" t="str">
        <f>IF(A141="","",IFERROR(IF(SUMIF(DB_Savings!$C:$C,A141,DB_Savings!$F:$F)=0,VLOOKUP(A141,DB_Customers!$A:$I,9,0),VLOOKUP(A141,DB_Customers!$A:$N,14,0)),"❌ Acct Not Found"))</f>
        <v/>
      </c>
      <c r="D141" s="78" t="str">
        <f t="shared" ca="1" si="12"/>
        <v/>
      </c>
      <c r="E141" s="79"/>
      <c r="F141" s="80" t="str">
        <f t="shared" si="13"/>
        <v/>
      </c>
      <c r="G141" s="39" t="s">
        <v>134</v>
      </c>
      <c r="H141" s="81"/>
      <c r="I141" s="82" t="str">
        <f>IF(A141="","Pending",IF(H141="","⚠️ Enter Agent Code",IF(IFERROR(VLOOKUP(G141,DB_Agents!$B:$I,8,0),"")=H141,IF(AND(A141&lt;&gt;"",E141&lt;&gt;""),"Saved","Pending"),"🔒 BLOCKED — Wrong Code")))</f>
        <v>Pending</v>
      </c>
      <c r="J141" s="83" t="str">
        <f t="shared" ca="1" si="14"/>
        <v>—</v>
      </c>
      <c r="K141" s="84"/>
    </row>
    <row r="142" spans="1:11" ht="15" customHeight="1" x14ac:dyDescent="0.25">
      <c r="A142" s="85"/>
      <c r="B142" s="41" t="str">
        <f>IF(A142="","",IFERROR(VLOOKUP(A142,DB_Customers!$A:$D,4,0),"❌ Account Not Found"))</f>
        <v/>
      </c>
      <c r="C142" s="86" t="str">
        <f>IF(A142="","",IFERROR(IF(SUMIF(DB_Savings!$C:$C,A142,DB_Savings!$F:$F)=0,VLOOKUP(A142,DB_Customers!$A:$I,9,0),VLOOKUP(A142,DB_Customers!$A:$N,14,0)),"❌ Acct Not Found"))</f>
        <v/>
      </c>
      <c r="D142" s="87" t="str">
        <f t="shared" ca="1" si="12"/>
        <v/>
      </c>
      <c r="E142" s="79"/>
      <c r="F142" s="88" t="str">
        <f t="shared" si="13"/>
        <v/>
      </c>
      <c r="G142" s="43" t="s">
        <v>134</v>
      </c>
      <c r="H142" s="81"/>
      <c r="I142" s="89" t="str">
        <f>IF(A142="","Pending",IF(H142="","⚠️ Enter Agent Code",IF(IFERROR(VLOOKUP(G142,DB_Agents!$B:$I,8,0),"")=H142,IF(AND(A142&lt;&gt;"",E142&lt;&gt;""),"Saved","Pending"),"🔒 BLOCKED — Wrong Code")))</f>
        <v>Pending</v>
      </c>
      <c r="J142" s="90" t="str">
        <f t="shared" ca="1" si="14"/>
        <v>—</v>
      </c>
      <c r="K142" s="91"/>
    </row>
    <row r="143" spans="1:11" ht="15" customHeight="1" x14ac:dyDescent="0.25">
      <c r="A143" s="76"/>
      <c r="B143" s="37" t="str">
        <f>IF(A143="","",IFERROR(VLOOKUP(A143,DB_Customers!$A:$D,4,0),"❌ Account Not Found"))</f>
        <v/>
      </c>
      <c r="C143" s="77" t="str">
        <f>IF(A143="","",IFERROR(IF(SUMIF(DB_Savings!$C:$C,A143,DB_Savings!$F:$F)=0,VLOOKUP(A143,DB_Customers!$A:$I,9,0),VLOOKUP(A143,DB_Customers!$A:$N,14,0)),"❌ Acct Not Found"))</f>
        <v/>
      </c>
      <c r="D143" s="78" t="str">
        <f t="shared" ca="1" si="12"/>
        <v/>
      </c>
      <c r="E143" s="79"/>
      <c r="F143" s="80" t="str">
        <f t="shared" si="13"/>
        <v/>
      </c>
      <c r="G143" s="39" t="s">
        <v>134</v>
      </c>
      <c r="H143" s="81"/>
      <c r="I143" s="82" t="str">
        <f>IF(A143="","Pending",IF(H143="","⚠️ Enter Agent Code",IF(IFERROR(VLOOKUP(G143,DB_Agents!$B:$I,8,0),"")=H143,IF(AND(A143&lt;&gt;"",E143&lt;&gt;""),"Saved","Pending"),"🔒 BLOCKED — Wrong Code")))</f>
        <v>Pending</v>
      </c>
      <c r="J143" s="83" t="str">
        <f t="shared" ca="1" si="14"/>
        <v>—</v>
      </c>
      <c r="K143" s="84"/>
    </row>
    <row r="144" spans="1:11" ht="15" customHeight="1" x14ac:dyDescent="0.25">
      <c r="A144" s="85"/>
      <c r="B144" s="41" t="str">
        <f>IF(A144="","",IFERROR(VLOOKUP(A144,DB_Customers!$A:$D,4,0),"❌ Account Not Found"))</f>
        <v/>
      </c>
      <c r="C144" s="86" t="str">
        <f>IF(A144="","",IFERROR(IF(SUMIF(DB_Savings!$C:$C,A144,DB_Savings!$F:$F)=0,VLOOKUP(A144,DB_Customers!$A:$I,9,0),VLOOKUP(A144,DB_Customers!$A:$N,14,0)),"❌ Acct Not Found"))</f>
        <v/>
      </c>
      <c r="D144" s="87" t="str">
        <f t="shared" ca="1" si="12"/>
        <v/>
      </c>
      <c r="E144" s="79"/>
      <c r="F144" s="88" t="str">
        <f t="shared" si="13"/>
        <v/>
      </c>
      <c r="G144" s="43" t="s">
        <v>134</v>
      </c>
      <c r="H144" s="81"/>
      <c r="I144" s="89" t="str">
        <f>IF(A144="","Pending",IF(H144="","⚠️ Enter Agent Code",IF(IFERROR(VLOOKUP(G144,DB_Agents!$B:$I,8,0),"")=H144,IF(AND(A144&lt;&gt;"",E144&lt;&gt;""),"Saved","Pending"),"🔒 BLOCKED — Wrong Code")))</f>
        <v>Pending</v>
      </c>
      <c r="J144" s="90" t="str">
        <f t="shared" ca="1" si="14"/>
        <v>—</v>
      </c>
      <c r="K144" s="91"/>
    </row>
    <row r="145" spans="1:11" ht="15" customHeight="1" x14ac:dyDescent="0.25">
      <c r="A145" s="76"/>
      <c r="B145" s="37" t="str">
        <f>IF(A145="","",IFERROR(VLOOKUP(A145,DB_Customers!$A:$D,4,0),"❌ Account Not Found"))</f>
        <v/>
      </c>
      <c r="C145" s="77" t="str">
        <f>IF(A145="","",IFERROR(IF(SUMIF(DB_Savings!$C:$C,A145,DB_Savings!$F:$F)=0,VLOOKUP(A145,DB_Customers!$A:$I,9,0),VLOOKUP(A145,DB_Customers!$A:$N,14,0)),"❌ Acct Not Found"))</f>
        <v/>
      </c>
      <c r="D145" s="78" t="str">
        <f t="shared" ca="1" si="12"/>
        <v/>
      </c>
      <c r="E145" s="79"/>
      <c r="F145" s="80" t="str">
        <f t="shared" si="13"/>
        <v/>
      </c>
      <c r="G145" s="39" t="s">
        <v>134</v>
      </c>
      <c r="H145" s="81"/>
      <c r="I145" s="82" t="str">
        <f>IF(A145="","Pending",IF(H145="","⚠️ Enter Agent Code",IF(IFERROR(VLOOKUP(G145,DB_Agents!$B:$I,8,0),"")=H145,IF(AND(A145&lt;&gt;"",E145&lt;&gt;""),"Saved","Pending"),"🔒 BLOCKED — Wrong Code")))</f>
        <v>Pending</v>
      </c>
      <c r="J145" s="83" t="str">
        <f t="shared" ca="1" si="14"/>
        <v>—</v>
      </c>
      <c r="K145" s="84"/>
    </row>
    <row r="146" spans="1:11" ht="15" customHeight="1" x14ac:dyDescent="0.25">
      <c r="A146" s="85"/>
      <c r="B146" s="41" t="str">
        <f>IF(A146="","",IFERROR(VLOOKUP(A146,DB_Customers!$A:$D,4,0),"❌ Account Not Found"))</f>
        <v/>
      </c>
      <c r="C146" s="86" t="str">
        <f>IF(A146="","",IFERROR(IF(SUMIF(DB_Savings!$C:$C,A146,DB_Savings!$F:$F)=0,VLOOKUP(A146,DB_Customers!$A:$I,9,0),VLOOKUP(A146,DB_Customers!$A:$N,14,0)),"❌ Acct Not Found"))</f>
        <v/>
      </c>
      <c r="D146" s="87" t="str">
        <f t="shared" ca="1" si="12"/>
        <v/>
      </c>
      <c r="E146" s="79"/>
      <c r="F146" s="88" t="str">
        <f t="shared" si="13"/>
        <v/>
      </c>
      <c r="G146" s="43" t="s">
        <v>134</v>
      </c>
      <c r="H146" s="81"/>
      <c r="I146" s="89" t="str">
        <f>IF(A146="","Pending",IF(H146="","⚠️ Enter Agent Code",IF(IFERROR(VLOOKUP(G146,DB_Agents!$B:$I,8,0),"")=H146,IF(AND(A146&lt;&gt;"",E146&lt;&gt;""),"Saved","Pending"),"🔒 BLOCKED — Wrong Code")))</f>
        <v>Pending</v>
      </c>
      <c r="J146" s="90" t="str">
        <f t="shared" ca="1" si="14"/>
        <v>—</v>
      </c>
      <c r="K146" s="91"/>
    </row>
    <row r="147" spans="1:11" ht="15" customHeight="1" x14ac:dyDescent="0.25">
      <c r="A147" s="76"/>
      <c r="B147" s="37" t="str">
        <f>IF(A147="","",IFERROR(VLOOKUP(A147,DB_Customers!$A:$D,4,0),"❌ Account Not Found"))</f>
        <v/>
      </c>
      <c r="C147" s="77" t="str">
        <f>IF(A147="","",IFERROR(IF(SUMIF(DB_Savings!$C:$C,A147,DB_Savings!$F:$F)=0,VLOOKUP(A147,DB_Customers!$A:$I,9,0),VLOOKUP(A147,DB_Customers!$A:$N,14,0)),"❌ Acct Not Found"))</f>
        <v/>
      </c>
      <c r="D147" s="78" t="str">
        <f t="shared" ca="1" si="12"/>
        <v/>
      </c>
      <c r="E147" s="79"/>
      <c r="F147" s="80" t="str">
        <f t="shared" si="13"/>
        <v/>
      </c>
      <c r="G147" s="39" t="s">
        <v>134</v>
      </c>
      <c r="H147" s="81"/>
      <c r="I147" s="82" t="str">
        <f>IF(A147="","Pending",IF(H147="","⚠️ Enter Agent Code",IF(IFERROR(VLOOKUP(G147,DB_Agents!$B:$I,8,0),"")=H147,IF(AND(A147&lt;&gt;"",E147&lt;&gt;""),"Saved","Pending"),"🔒 BLOCKED — Wrong Code")))</f>
        <v>Pending</v>
      </c>
      <c r="J147" s="83" t="str">
        <f t="shared" ca="1" si="14"/>
        <v>—</v>
      </c>
      <c r="K147" s="84"/>
    </row>
    <row r="148" spans="1:11" ht="15" customHeight="1" x14ac:dyDescent="0.25">
      <c r="A148" s="85"/>
      <c r="B148" s="41" t="str">
        <f>IF(A148="","",IFERROR(VLOOKUP(A148,DB_Customers!$A:$D,4,0),"❌ Account Not Found"))</f>
        <v/>
      </c>
      <c r="C148" s="86" t="str">
        <f>IF(A148="","",IFERROR(IF(SUMIF(DB_Savings!$C:$C,A148,DB_Savings!$F:$F)=0,VLOOKUP(A148,DB_Customers!$A:$I,9,0),VLOOKUP(A148,DB_Customers!$A:$N,14,0)),"❌ Acct Not Found"))</f>
        <v/>
      </c>
      <c r="D148" s="87" t="str">
        <f t="shared" ca="1" si="12"/>
        <v/>
      </c>
      <c r="E148" s="79"/>
      <c r="F148" s="88" t="str">
        <f t="shared" si="13"/>
        <v/>
      </c>
      <c r="G148" s="43" t="s">
        <v>134</v>
      </c>
      <c r="H148" s="81"/>
      <c r="I148" s="89" t="str">
        <f>IF(A148="","Pending",IF(H148="","⚠️ Enter Agent Code",IF(IFERROR(VLOOKUP(G148,DB_Agents!$B:$I,8,0),"")=H148,IF(AND(A148&lt;&gt;"",E148&lt;&gt;""),"Saved","Pending"),"🔒 BLOCKED — Wrong Code")))</f>
        <v>Pending</v>
      </c>
      <c r="J148" s="90" t="str">
        <f t="shared" ca="1" si="14"/>
        <v>—</v>
      </c>
      <c r="K148" s="91"/>
    </row>
    <row r="149" spans="1:11" ht="15" customHeight="1" x14ac:dyDescent="0.25">
      <c r="A149" s="76"/>
      <c r="B149" s="37" t="str">
        <f>IF(A149="","",IFERROR(VLOOKUP(A149,DB_Customers!$A:$D,4,0),"❌ Account Not Found"))</f>
        <v/>
      </c>
      <c r="C149" s="77" t="str">
        <f>IF(A149="","",IFERROR(IF(SUMIF(DB_Savings!$C:$C,A149,DB_Savings!$F:$F)=0,VLOOKUP(A149,DB_Customers!$A:$I,9,0),VLOOKUP(A149,DB_Customers!$A:$N,14,0)),"❌ Acct Not Found"))</f>
        <v/>
      </c>
      <c r="D149" s="78" t="str">
        <f t="shared" ca="1" si="12"/>
        <v/>
      </c>
      <c r="E149" s="79"/>
      <c r="F149" s="80" t="str">
        <f t="shared" si="13"/>
        <v/>
      </c>
      <c r="G149" s="39" t="s">
        <v>134</v>
      </c>
      <c r="H149" s="81"/>
      <c r="I149" s="82" t="str">
        <f>IF(A149="","Pending",IF(H149="","⚠️ Enter Agent Code",IF(IFERROR(VLOOKUP(G149,DB_Agents!$B:$I,8,0),"")=H149,IF(AND(A149&lt;&gt;"",E149&lt;&gt;""),"Saved","Pending"),"🔒 BLOCKED — Wrong Code")))</f>
        <v>Pending</v>
      </c>
      <c r="J149" s="83" t="str">
        <f t="shared" ca="1" si="14"/>
        <v>—</v>
      </c>
      <c r="K149" s="84"/>
    </row>
    <row r="150" spans="1:11" ht="15" customHeight="1" x14ac:dyDescent="0.25">
      <c r="A150" s="85"/>
      <c r="B150" s="41" t="str">
        <f>IF(A150="","",IFERROR(VLOOKUP(A150,DB_Customers!$A:$D,4,0),"❌ Account Not Found"))</f>
        <v/>
      </c>
      <c r="C150" s="86" t="str">
        <f>IF(A150="","",IFERROR(IF(SUMIF(DB_Savings!$C:$C,A150,DB_Savings!$F:$F)=0,VLOOKUP(A150,DB_Customers!$A:$I,9,0),VLOOKUP(A150,DB_Customers!$A:$N,14,0)),"❌ Acct Not Found"))</f>
        <v/>
      </c>
      <c r="D150" s="87" t="str">
        <f t="shared" ca="1" si="12"/>
        <v/>
      </c>
      <c r="E150" s="79"/>
      <c r="F150" s="88" t="str">
        <f t="shared" si="13"/>
        <v/>
      </c>
      <c r="G150" s="43" t="s">
        <v>134</v>
      </c>
      <c r="H150" s="81"/>
      <c r="I150" s="89" t="str">
        <f>IF(A150="","Pending",IF(H150="","⚠️ Enter Agent Code",IF(IFERROR(VLOOKUP(G150,DB_Agents!$B:$I,8,0),"")=H150,IF(AND(A150&lt;&gt;"",E150&lt;&gt;""),"Saved","Pending"),"🔒 BLOCKED — Wrong Code")))</f>
        <v>Pending</v>
      </c>
      <c r="J150" s="90" t="str">
        <f t="shared" ca="1" si="14"/>
        <v>—</v>
      </c>
      <c r="K150" s="91"/>
    </row>
    <row r="151" spans="1:11" ht="15" customHeight="1" x14ac:dyDescent="0.25">
      <c r="A151" s="76"/>
      <c r="B151" s="37" t="str">
        <f>IF(A151="","",IFERROR(VLOOKUP(A151,DB_Customers!$A:$D,4,0),"❌ Account Not Found"))</f>
        <v/>
      </c>
      <c r="C151" s="77" t="str">
        <f>IF(A151="","",IFERROR(IF(SUMIF(DB_Savings!$C:$C,A151,DB_Savings!$F:$F)=0,VLOOKUP(A151,DB_Customers!$A:$I,9,0),VLOOKUP(A151,DB_Customers!$A:$N,14,0)),"❌ Acct Not Found"))</f>
        <v/>
      </c>
      <c r="D151" s="78" t="str">
        <f t="shared" ca="1" si="12"/>
        <v/>
      </c>
      <c r="E151" s="79"/>
      <c r="F151" s="80" t="str">
        <f t="shared" si="13"/>
        <v/>
      </c>
      <c r="G151" s="39" t="s">
        <v>134</v>
      </c>
      <c r="H151" s="81"/>
      <c r="I151" s="82" t="str">
        <f>IF(A151="","Pending",IF(H151="","⚠️ Enter Agent Code",IF(IFERROR(VLOOKUP(G151,DB_Agents!$B:$I,8,0),"")=H151,IF(AND(A151&lt;&gt;"",E151&lt;&gt;""),"Saved","Pending"),"🔒 BLOCKED — Wrong Code")))</f>
        <v>Pending</v>
      </c>
      <c r="J151" s="83" t="str">
        <f t="shared" ca="1" si="14"/>
        <v>—</v>
      </c>
      <c r="K151" s="84"/>
    </row>
    <row r="152" spans="1:11" ht="15" customHeight="1" x14ac:dyDescent="0.25">
      <c r="A152" s="85"/>
      <c r="B152" s="41" t="str">
        <f>IF(A152="","",IFERROR(VLOOKUP(A152,DB_Customers!$A:$D,4,0),"❌ Account Not Found"))</f>
        <v/>
      </c>
      <c r="C152" s="86" t="str">
        <f>IF(A152="","",IFERROR(IF(SUMIF(DB_Savings!$C:$C,A152,DB_Savings!$F:$F)=0,VLOOKUP(A152,DB_Customers!$A:$I,9,0),VLOOKUP(A152,DB_Customers!$A:$N,14,0)),"❌ Acct Not Found"))</f>
        <v/>
      </c>
      <c r="D152" s="87" t="str">
        <f t="shared" ca="1" si="12"/>
        <v/>
      </c>
      <c r="E152" s="79"/>
      <c r="F152" s="88" t="str">
        <f t="shared" si="13"/>
        <v/>
      </c>
      <c r="G152" s="43" t="s">
        <v>134</v>
      </c>
      <c r="H152" s="81"/>
      <c r="I152" s="89" t="str">
        <f>IF(A152="","Pending",IF(H152="","⚠️ Enter Agent Code",IF(IFERROR(VLOOKUP(G152,DB_Agents!$B:$I,8,0),"")=H152,IF(AND(A152&lt;&gt;"",E152&lt;&gt;""),"Saved","Pending"),"🔒 BLOCKED — Wrong Code")))</f>
        <v>Pending</v>
      </c>
      <c r="J152" s="90" t="str">
        <f t="shared" ca="1" si="14"/>
        <v>—</v>
      </c>
      <c r="K152" s="91"/>
    </row>
    <row r="153" spans="1:11" ht="15" customHeight="1" x14ac:dyDescent="0.25">
      <c r="A153" s="76"/>
      <c r="B153" s="37" t="str">
        <f>IF(A153="","",IFERROR(VLOOKUP(A153,DB_Customers!$A:$D,4,0),"❌ Account Not Found"))</f>
        <v/>
      </c>
      <c r="C153" s="77" t="str">
        <f>IF(A153="","",IFERROR(IF(SUMIF(DB_Savings!$C:$C,A153,DB_Savings!$F:$F)=0,VLOOKUP(A153,DB_Customers!$A:$I,9,0),VLOOKUP(A153,DB_Customers!$A:$N,14,0)),"❌ Acct Not Found"))</f>
        <v/>
      </c>
      <c r="D153" s="78" t="str">
        <f t="shared" ca="1" si="12"/>
        <v/>
      </c>
      <c r="E153" s="79"/>
      <c r="F153" s="80" t="str">
        <f t="shared" si="13"/>
        <v/>
      </c>
      <c r="G153" s="39" t="s">
        <v>134</v>
      </c>
      <c r="H153" s="81"/>
      <c r="I153" s="82" t="str">
        <f>IF(A153="","Pending",IF(H153="","⚠️ Enter Agent Code",IF(IFERROR(VLOOKUP(G153,DB_Agents!$B:$I,8,0),"")=H153,IF(AND(A153&lt;&gt;"",E153&lt;&gt;""),"Saved","Pending"),"🔒 BLOCKED — Wrong Code")))</f>
        <v>Pending</v>
      </c>
      <c r="J153" s="83" t="str">
        <f t="shared" ca="1" si="14"/>
        <v>—</v>
      </c>
      <c r="K153" s="84"/>
    </row>
    <row r="154" spans="1:11" ht="15" customHeight="1" x14ac:dyDescent="0.25">
      <c r="A154" s="85"/>
      <c r="B154" s="41" t="str">
        <f>IF(A154="","",IFERROR(VLOOKUP(A154,DB_Customers!$A:$D,4,0),"❌ Account Not Found"))</f>
        <v/>
      </c>
      <c r="C154" s="86" t="str">
        <f>IF(A154="","",IFERROR(IF(SUMIF(DB_Savings!$C:$C,A154,DB_Savings!$F:$F)=0,VLOOKUP(A154,DB_Customers!$A:$I,9,0),VLOOKUP(A154,DB_Customers!$A:$N,14,0)),"❌ Acct Not Found"))</f>
        <v/>
      </c>
      <c r="D154" s="87" t="str">
        <f t="shared" ca="1" si="12"/>
        <v/>
      </c>
      <c r="E154" s="79"/>
      <c r="F154" s="88" t="str">
        <f t="shared" si="13"/>
        <v/>
      </c>
      <c r="G154" s="43" t="s">
        <v>134</v>
      </c>
      <c r="H154" s="81"/>
      <c r="I154" s="89" t="str">
        <f>IF(A154="","Pending",IF(H154="","⚠️ Enter Agent Code",IF(IFERROR(VLOOKUP(G154,DB_Agents!$B:$I,8,0),"")=H154,IF(AND(A154&lt;&gt;"",E154&lt;&gt;""),"Saved","Pending"),"🔒 BLOCKED — Wrong Code")))</f>
        <v>Pending</v>
      </c>
      <c r="J154" s="90" t="str">
        <f t="shared" ca="1" si="14"/>
        <v>—</v>
      </c>
      <c r="K154" s="91"/>
    </row>
    <row r="155" spans="1:11" ht="15" customHeight="1" x14ac:dyDescent="0.25">
      <c r="A155" s="76"/>
      <c r="B155" s="37" t="str">
        <f>IF(A155="","",IFERROR(VLOOKUP(A155,DB_Customers!$A:$D,4,0),"❌ Account Not Found"))</f>
        <v/>
      </c>
      <c r="C155" s="77" t="str">
        <f>IF(A155="","",IFERROR(IF(SUMIF(DB_Savings!$C:$C,A155,DB_Savings!$F:$F)=0,VLOOKUP(A155,DB_Customers!$A:$I,9,0),VLOOKUP(A155,DB_Customers!$A:$N,14,0)),"❌ Acct Not Found"))</f>
        <v/>
      </c>
      <c r="D155" s="78" t="str">
        <f t="shared" ca="1" si="12"/>
        <v/>
      </c>
      <c r="E155" s="79"/>
      <c r="F155" s="80" t="str">
        <f t="shared" si="13"/>
        <v/>
      </c>
      <c r="G155" s="39" t="s">
        <v>134</v>
      </c>
      <c r="H155" s="81"/>
      <c r="I155" s="82" t="str">
        <f>IF(A155="","Pending",IF(H155="","⚠️ Enter Agent Code",IF(IFERROR(VLOOKUP(G155,DB_Agents!$B:$I,8,0),"")=H155,IF(AND(A155&lt;&gt;"",E155&lt;&gt;""),"Saved","Pending"),"🔒 BLOCKED — Wrong Code")))</f>
        <v>Pending</v>
      </c>
      <c r="J155" s="83" t="str">
        <f t="shared" ca="1" si="14"/>
        <v>—</v>
      </c>
      <c r="K155" s="84"/>
    </row>
    <row r="156" spans="1:11" ht="15" customHeight="1" x14ac:dyDescent="0.25">
      <c r="A156" s="85"/>
      <c r="B156" s="41" t="str">
        <f>IF(A156="","",IFERROR(VLOOKUP(A156,DB_Customers!$A:$D,4,0),"❌ Account Not Found"))</f>
        <v/>
      </c>
      <c r="C156" s="86" t="str">
        <f>IF(A156="","",IFERROR(IF(SUMIF(DB_Savings!$C:$C,A156,DB_Savings!$F:$F)=0,VLOOKUP(A156,DB_Customers!$A:$I,9,0),VLOOKUP(A156,DB_Customers!$A:$N,14,0)),"❌ Acct Not Found"))</f>
        <v/>
      </c>
      <c r="D156" s="87" t="str">
        <f t="shared" ca="1" si="12"/>
        <v/>
      </c>
      <c r="E156" s="79"/>
      <c r="F156" s="88" t="str">
        <f t="shared" si="13"/>
        <v/>
      </c>
      <c r="G156" s="43" t="s">
        <v>134</v>
      </c>
      <c r="H156" s="81"/>
      <c r="I156" s="89" t="str">
        <f>IF(A156="","Pending",IF(H156="","⚠️ Enter Agent Code",IF(IFERROR(VLOOKUP(G156,DB_Agents!$B:$I,8,0),"")=H156,IF(AND(A156&lt;&gt;"",E156&lt;&gt;""),"Saved","Pending"),"🔒 BLOCKED — Wrong Code")))</f>
        <v>Pending</v>
      </c>
      <c r="J156" s="90" t="str">
        <f t="shared" ca="1" si="14"/>
        <v>—</v>
      </c>
      <c r="K156" s="91"/>
    </row>
    <row r="157" spans="1:11" ht="15" customHeight="1" x14ac:dyDescent="0.25">
      <c r="A157" s="76"/>
      <c r="B157" s="37" t="str">
        <f>IF(A157="","",IFERROR(VLOOKUP(A157,DB_Customers!$A:$D,4,0),"❌ Account Not Found"))</f>
        <v/>
      </c>
      <c r="C157" s="77" t="str">
        <f>IF(A157="","",IFERROR(IF(SUMIF(DB_Savings!$C:$C,A157,DB_Savings!$F:$F)=0,VLOOKUP(A157,DB_Customers!$A:$I,9,0),VLOOKUP(A157,DB_Customers!$A:$N,14,0)),"❌ Acct Not Found"))</f>
        <v/>
      </c>
      <c r="D157" s="78" t="str">
        <f t="shared" ca="1" si="12"/>
        <v/>
      </c>
      <c r="E157" s="79"/>
      <c r="F157" s="80" t="str">
        <f t="shared" si="13"/>
        <v/>
      </c>
      <c r="G157" s="39" t="s">
        <v>134</v>
      </c>
      <c r="H157" s="81"/>
      <c r="I157" s="82" t="str">
        <f>IF(A157="","Pending",IF(H157="","⚠️ Enter Agent Code",IF(IFERROR(VLOOKUP(G157,DB_Agents!$B:$I,8,0),"")=H157,IF(AND(A157&lt;&gt;"",E157&lt;&gt;""),"Saved","Pending"),"🔒 BLOCKED — Wrong Code")))</f>
        <v>Pending</v>
      </c>
      <c r="J157" s="83" t="str">
        <f t="shared" ca="1" si="14"/>
        <v>—</v>
      </c>
      <c r="K157" s="84"/>
    </row>
    <row r="158" spans="1:11" ht="15" customHeight="1" x14ac:dyDescent="0.25">
      <c r="A158" s="85"/>
      <c r="B158" s="41" t="str">
        <f>IF(A158="","",IFERROR(VLOOKUP(A158,DB_Customers!$A:$D,4,0),"❌ Account Not Found"))</f>
        <v/>
      </c>
      <c r="C158" s="86" t="str">
        <f>IF(A158="","",IFERROR(IF(SUMIF(DB_Savings!$C:$C,A158,DB_Savings!$F:$F)=0,VLOOKUP(A158,DB_Customers!$A:$I,9,0),VLOOKUP(A158,DB_Customers!$A:$N,14,0)),"❌ Acct Not Found"))</f>
        <v/>
      </c>
      <c r="D158" s="87" t="str">
        <f t="shared" ca="1" si="12"/>
        <v/>
      </c>
      <c r="E158" s="79"/>
      <c r="F158" s="88" t="str">
        <f t="shared" si="13"/>
        <v/>
      </c>
      <c r="G158" s="43" t="s">
        <v>134</v>
      </c>
      <c r="H158" s="81"/>
      <c r="I158" s="89" t="str">
        <f>IF(A158="","Pending",IF(H158="","⚠️ Enter Agent Code",IF(IFERROR(VLOOKUP(G158,DB_Agents!$B:$I,8,0),"")=H158,IF(AND(A158&lt;&gt;"",E158&lt;&gt;""),"Saved","Pending"),"🔒 BLOCKED — Wrong Code")))</f>
        <v>Pending</v>
      </c>
      <c r="J158" s="90" t="str">
        <f t="shared" ca="1" si="14"/>
        <v>—</v>
      </c>
      <c r="K158" s="91"/>
    </row>
    <row r="159" spans="1:11" ht="15" customHeight="1" x14ac:dyDescent="0.25">
      <c r="A159" s="76"/>
      <c r="B159" s="37" t="str">
        <f>IF(A159="","",IFERROR(VLOOKUP(A159,DB_Customers!$A:$D,4,0),"❌ Account Not Found"))</f>
        <v/>
      </c>
      <c r="C159" s="77" t="str">
        <f>IF(A159="","",IFERROR(IF(SUMIF(DB_Savings!$C:$C,A159,DB_Savings!$F:$F)=0,VLOOKUP(A159,DB_Customers!$A:$I,9,0),VLOOKUP(A159,DB_Customers!$A:$N,14,0)),"❌ Acct Not Found"))</f>
        <v/>
      </c>
      <c r="D159" s="78" t="str">
        <f t="shared" ca="1" si="12"/>
        <v/>
      </c>
      <c r="E159" s="79"/>
      <c r="F159" s="80" t="str">
        <f t="shared" si="13"/>
        <v/>
      </c>
      <c r="G159" s="39" t="s">
        <v>134</v>
      </c>
      <c r="H159" s="81"/>
      <c r="I159" s="82" t="str">
        <f>IF(A159="","Pending",IF(H159="","⚠️ Enter Agent Code",IF(IFERROR(VLOOKUP(G159,DB_Agents!$B:$I,8,0),"")=H159,IF(AND(A159&lt;&gt;"",E159&lt;&gt;""),"Saved","Pending"),"🔒 BLOCKED — Wrong Code")))</f>
        <v>Pending</v>
      </c>
      <c r="J159" s="83" t="str">
        <f t="shared" ca="1" si="14"/>
        <v>—</v>
      </c>
      <c r="K159" s="84"/>
    </row>
    <row r="160" spans="1:11" ht="15" customHeight="1" x14ac:dyDescent="0.25">
      <c r="A160" s="85"/>
      <c r="B160" s="41" t="str">
        <f>IF(A160="","",IFERROR(VLOOKUP(A160,DB_Customers!$A:$D,4,0),"❌ Account Not Found"))</f>
        <v/>
      </c>
      <c r="C160" s="86" t="str">
        <f>IF(A160="","",IFERROR(IF(SUMIF(DB_Savings!$C:$C,A160,DB_Savings!$F:$F)=0,VLOOKUP(A160,DB_Customers!$A:$I,9,0),VLOOKUP(A160,DB_Customers!$A:$N,14,0)),"❌ Acct Not Found"))</f>
        <v/>
      </c>
      <c r="D160" s="87" t="str">
        <f t="shared" ca="1" si="12"/>
        <v/>
      </c>
      <c r="E160" s="79"/>
      <c r="F160" s="88" t="str">
        <f t="shared" si="13"/>
        <v/>
      </c>
      <c r="G160" s="43" t="s">
        <v>134</v>
      </c>
      <c r="H160" s="81"/>
      <c r="I160" s="89" t="str">
        <f>IF(A160="","Pending",IF(H160="","⚠️ Enter Agent Code",IF(IFERROR(VLOOKUP(G160,DB_Agents!$B:$I,8,0),"")=H160,IF(AND(A160&lt;&gt;"",E160&lt;&gt;""),"Saved","Pending"),"🔒 BLOCKED — Wrong Code")))</f>
        <v>Pending</v>
      </c>
      <c r="J160" s="90" t="str">
        <f t="shared" ca="1" si="14"/>
        <v>—</v>
      </c>
      <c r="K160" s="91"/>
    </row>
    <row r="161" spans="1:11" ht="15" customHeight="1" x14ac:dyDescent="0.25">
      <c r="A161" s="76"/>
      <c r="B161" s="37" t="str">
        <f>IF(A161="","",IFERROR(VLOOKUP(A161,DB_Customers!$A:$D,4,0),"❌ Account Not Found"))</f>
        <v/>
      </c>
      <c r="C161" s="77" t="str">
        <f>IF(A161="","",IFERROR(IF(SUMIF(DB_Savings!$C:$C,A161,DB_Savings!$F:$F)=0,VLOOKUP(A161,DB_Customers!$A:$I,9,0),VLOOKUP(A161,DB_Customers!$A:$N,14,0)),"❌ Acct Not Found"))</f>
        <v/>
      </c>
      <c r="D161" s="78" t="str">
        <f t="shared" ca="1" si="12"/>
        <v/>
      </c>
      <c r="E161" s="79"/>
      <c r="F161" s="80" t="str">
        <f t="shared" si="13"/>
        <v/>
      </c>
      <c r="G161" s="39" t="s">
        <v>134</v>
      </c>
      <c r="H161" s="81"/>
      <c r="I161" s="82" t="str">
        <f>IF(A161="","Pending",IF(H161="","⚠️ Enter Agent Code",IF(IFERROR(VLOOKUP(G161,DB_Agents!$B:$I,8,0),"")=H161,IF(AND(A161&lt;&gt;"",E161&lt;&gt;""),"Saved","Pending"),"🔒 BLOCKED — Wrong Code")))</f>
        <v>Pending</v>
      </c>
      <c r="J161" s="83" t="str">
        <f t="shared" ca="1" si="14"/>
        <v>—</v>
      </c>
      <c r="K161" s="84"/>
    </row>
    <row r="162" spans="1:11" ht="15" customHeight="1" x14ac:dyDescent="0.25">
      <c r="A162" s="85"/>
      <c r="B162" s="41" t="str">
        <f>IF(A162="","",IFERROR(VLOOKUP(A162,DB_Customers!$A:$D,4,0),"❌ Account Not Found"))</f>
        <v/>
      </c>
      <c r="C162" s="86" t="str">
        <f>IF(A162="","",IFERROR(IF(SUMIF(DB_Savings!$C:$C,A162,DB_Savings!$F:$F)=0,VLOOKUP(A162,DB_Customers!$A:$I,9,0),VLOOKUP(A162,DB_Customers!$A:$N,14,0)),"❌ Acct Not Found"))</f>
        <v/>
      </c>
      <c r="D162" s="87" t="str">
        <f t="shared" ca="1" si="12"/>
        <v/>
      </c>
      <c r="E162" s="79"/>
      <c r="F162" s="88" t="str">
        <f t="shared" si="13"/>
        <v/>
      </c>
      <c r="G162" s="43" t="s">
        <v>134</v>
      </c>
      <c r="H162" s="81"/>
      <c r="I162" s="89" t="str">
        <f>IF(A162="","Pending",IF(H162="","⚠️ Enter Agent Code",IF(IFERROR(VLOOKUP(G162,DB_Agents!$B:$I,8,0),"")=H162,IF(AND(A162&lt;&gt;"",E162&lt;&gt;""),"Saved","Pending"),"🔒 BLOCKED — Wrong Code")))</f>
        <v>Pending</v>
      </c>
      <c r="J162" s="90" t="str">
        <f t="shared" ca="1" si="14"/>
        <v>—</v>
      </c>
      <c r="K162" s="91"/>
    </row>
    <row r="163" spans="1:11" ht="15" customHeight="1" x14ac:dyDescent="0.25">
      <c r="A163" s="76"/>
      <c r="B163" s="37" t="str">
        <f>IF(A163="","",IFERROR(VLOOKUP(A163,DB_Customers!$A:$D,4,0),"❌ Account Not Found"))</f>
        <v/>
      </c>
      <c r="C163" s="77" t="str">
        <f>IF(A163="","",IFERROR(IF(SUMIF(DB_Savings!$C:$C,A163,DB_Savings!$F:$F)=0,VLOOKUP(A163,DB_Customers!$A:$I,9,0),VLOOKUP(A163,DB_Customers!$A:$N,14,0)),"❌ Acct Not Found"))</f>
        <v/>
      </c>
      <c r="D163" s="78" t="str">
        <f t="shared" ca="1" si="12"/>
        <v/>
      </c>
      <c r="E163" s="79"/>
      <c r="F163" s="80" t="str">
        <f t="shared" si="13"/>
        <v/>
      </c>
      <c r="G163" s="39" t="s">
        <v>134</v>
      </c>
      <c r="H163" s="81"/>
      <c r="I163" s="82" t="str">
        <f>IF(A163="","Pending",IF(H163="","⚠️ Enter Agent Code",IF(IFERROR(VLOOKUP(G163,DB_Agents!$B:$I,8,0),"")=H163,IF(AND(A163&lt;&gt;"",E163&lt;&gt;""),"Saved","Pending"),"🔒 BLOCKED — Wrong Code")))</f>
        <v>Pending</v>
      </c>
      <c r="J163" s="83" t="str">
        <f t="shared" ca="1" si="14"/>
        <v>—</v>
      </c>
      <c r="K163" s="84"/>
    </row>
    <row r="164" spans="1:11" ht="15" customHeight="1" x14ac:dyDescent="0.25">
      <c r="A164" s="85"/>
      <c r="B164" s="41" t="str">
        <f>IF(A164="","",IFERROR(VLOOKUP(A164,DB_Customers!$A:$D,4,0),"❌ Account Not Found"))</f>
        <v/>
      </c>
      <c r="C164" s="86" t="str">
        <f>IF(A164="","",IFERROR(IF(SUMIF(DB_Savings!$C:$C,A164,DB_Savings!$F:$F)=0,VLOOKUP(A164,DB_Customers!$A:$I,9,0),VLOOKUP(A164,DB_Customers!$A:$N,14,0)),"❌ Acct Not Found"))</f>
        <v/>
      </c>
      <c r="D164" s="87" t="str">
        <f t="shared" ca="1" si="12"/>
        <v/>
      </c>
      <c r="E164" s="79"/>
      <c r="F164" s="88" t="str">
        <f t="shared" si="13"/>
        <v/>
      </c>
      <c r="G164" s="43" t="s">
        <v>134</v>
      </c>
      <c r="H164" s="81"/>
      <c r="I164" s="89" t="str">
        <f>IF(A164="","Pending",IF(H164="","⚠️ Enter Agent Code",IF(IFERROR(VLOOKUP(G164,DB_Agents!$B:$I,8,0),"")=H164,IF(AND(A164&lt;&gt;"",E164&lt;&gt;""),"Saved","Pending"),"🔒 BLOCKED — Wrong Code")))</f>
        <v>Pending</v>
      </c>
      <c r="J164" s="90" t="str">
        <f t="shared" ca="1" si="14"/>
        <v>—</v>
      </c>
      <c r="K164" s="91"/>
    </row>
    <row r="165" spans="1:11" ht="15" customHeight="1" x14ac:dyDescent="0.25">
      <c r="A165" s="76"/>
      <c r="B165" s="37" t="str">
        <f>IF(A165="","",IFERROR(VLOOKUP(A165,DB_Customers!$A:$D,4,0),"❌ Account Not Found"))</f>
        <v/>
      </c>
      <c r="C165" s="77" t="str">
        <f>IF(A165="","",IFERROR(IF(SUMIF(DB_Savings!$C:$C,A165,DB_Savings!$F:$F)=0,VLOOKUP(A165,DB_Customers!$A:$I,9,0),VLOOKUP(A165,DB_Customers!$A:$N,14,0)),"❌ Acct Not Found"))</f>
        <v/>
      </c>
      <c r="D165" s="78" t="str">
        <f t="shared" ca="1" si="12"/>
        <v/>
      </c>
      <c r="E165" s="79"/>
      <c r="F165" s="80" t="str">
        <f t="shared" si="13"/>
        <v/>
      </c>
      <c r="G165" s="39" t="s">
        <v>134</v>
      </c>
      <c r="H165" s="81"/>
      <c r="I165" s="82" t="str">
        <f>IF(A165="","Pending",IF(H165="","⚠️ Enter Agent Code",IF(IFERROR(VLOOKUP(G165,DB_Agents!$B:$I,8,0),"")=H165,IF(AND(A165&lt;&gt;"",E165&lt;&gt;""),"Saved","Pending"),"🔒 BLOCKED — Wrong Code")))</f>
        <v>Pending</v>
      </c>
      <c r="J165" s="83" t="str">
        <f t="shared" ca="1" si="14"/>
        <v>—</v>
      </c>
      <c r="K165" s="84"/>
    </row>
    <row r="166" spans="1:11" ht="15" customHeight="1" x14ac:dyDescent="0.25">
      <c r="A166" s="85"/>
      <c r="B166" s="41" t="str">
        <f>IF(A166="","",IFERROR(VLOOKUP(A166,DB_Customers!$A:$D,4,0),"❌ Account Not Found"))</f>
        <v/>
      </c>
      <c r="C166" s="86" t="str">
        <f>IF(A166="","",IFERROR(IF(SUMIF(DB_Savings!$C:$C,A166,DB_Savings!$F:$F)=0,VLOOKUP(A166,DB_Customers!$A:$I,9,0),VLOOKUP(A166,DB_Customers!$A:$N,14,0)),"❌ Acct Not Found"))</f>
        <v/>
      </c>
      <c r="D166" s="87" t="str">
        <f t="shared" ca="1" si="12"/>
        <v/>
      </c>
      <c r="E166" s="79"/>
      <c r="F166" s="88" t="str">
        <f t="shared" si="13"/>
        <v/>
      </c>
      <c r="G166" s="43" t="s">
        <v>134</v>
      </c>
      <c r="H166" s="81"/>
      <c r="I166" s="89" t="str">
        <f>IF(A166="","Pending",IF(H166="","⚠️ Enter Agent Code",IF(IFERROR(VLOOKUP(G166,DB_Agents!$B:$I,8,0),"")=H166,IF(AND(A166&lt;&gt;"",E166&lt;&gt;""),"Saved","Pending"),"🔒 BLOCKED — Wrong Code")))</f>
        <v>Pending</v>
      </c>
      <c r="J166" s="90" t="str">
        <f t="shared" ca="1" si="14"/>
        <v>—</v>
      </c>
      <c r="K166" s="91"/>
    </row>
    <row r="167" spans="1:11" ht="15" customHeight="1" x14ac:dyDescent="0.25">
      <c r="A167" s="76"/>
      <c r="B167" s="37" t="str">
        <f>IF(A167="","",IFERROR(VLOOKUP(A167,DB_Customers!$A:$D,4,0),"❌ Account Not Found"))</f>
        <v/>
      </c>
      <c r="C167" s="77" t="str">
        <f>IF(A167="","",IFERROR(IF(SUMIF(DB_Savings!$C:$C,A167,DB_Savings!$F:$F)=0,VLOOKUP(A167,DB_Customers!$A:$I,9,0),VLOOKUP(A167,DB_Customers!$A:$N,14,0)),"❌ Acct Not Found"))</f>
        <v/>
      </c>
      <c r="D167" s="78" t="str">
        <f t="shared" ca="1" si="12"/>
        <v/>
      </c>
      <c r="E167" s="79"/>
      <c r="F167" s="80" t="str">
        <f t="shared" si="13"/>
        <v/>
      </c>
      <c r="G167" s="39" t="s">
        <v>134</v>
      </c>
      <c r="H167" s="81"/>
      <c r="I167" s="82" t="str">
        <f>IF(A167="","Pending",IF(H167="","⚠️ Enter Agent Code",IF(IFERROR(VLOOKUP(G167,DB_Agents!$B:$I,8,0),"")=H167,IF(AND(A167&lt;&gt;"",E167&lt;&gt;""),"Saved","Pending"),"🔒 BLOCKED — Wrong Code")))</f>
        <v>Pending</v>
      </c>
      <c r="J167" s="83" t="str">
        <f t="shared" ca="1" si="14"/>
        <v>—</v>
      </c>
      <c r="K167" s="84"/>
    </row>
    <row r="168" spans="1:11" ht="15" customHeight="1" x14ac:dyDescent="0.25">
      <c r="A168" s="85"/>
      <c r="B168" s="41" t="str">
        <f>IF(A168="","",IFERROR(VLOOKUP(A168,DB_Customers!$A:$D,4,0),"❌ Account Not Found"))</f>
        <v/>
      </c>
      <c r="C168" s="86" t="str">
        <f>IF(A168="","",IFERROR(IF(SUMIF(DB_Savings!$C:$C,A168,DB_Savings!$F:$F)=0,VLOOKUP(A168,DB_Customers!$A:$I,9,0),VLOOKUP(A168,DB_Customers!$A:$N,14,0)),"❌ Acct Not Found"))</f>
        <v/>
      </c>
      <c r="D168" s="87" t="str">
        <f t="shared" ca="1" si="12"/>
        <v/>
      </c>
      <c r="E168" s="79"/>
      <c r="F168" s="88" t="str">
        <f t="shared" si="13"/>
        <v/>
      </c>
      <c r="G168" s="43" t="s">
        <v>134</v>
      </c>
      <c r="H168" s="81"/>
      <c r="I168" s="89" t="str">
        <f>IF(A168="","Pending",IF(H168="","⚠️ Enter Agent Code",IF(IFERROR(VLOOKUP(G168,DB_Agents!$B:$I,8,0),"")=H168,IF(AND(A168&lt;&gt;"",E168&lt;&gt;""),"Saved","Pending"),"🔒 BLOCKED — Wrong Code")))</f>
        <v>Pending</v>
      </c>
      <c r="J168" s="90" t="str">
        <f t="shared" ca="1" si="14"/>
        <v>—</v>
      </c>
      <c r="K168" s="91"/>
    </row>
    <row r="169" spans="1:11" ht="15" customHeight="1" x14ac:dyDescent="0.25">
      <c r="A169" s="76"/>
      <c r="B169" s="37" t="str">
        <f>IF(A169="","",IFERROR(VLOOKUP(A169,DB_Customers!$A:$D,4,0),"❌ Account Not Found"))</f>
        <v/>
      </c>
      <c r="C169" s="77" t="str">
        <f>IF(A169="","",IFERROR(IF(SUMIF(DB_Savings!$C:$C,A169,DB_Savings!$F:$F)=0,VLOOKUP(A169,DB_Customers!$A:$I,9,0),VLOOKUP(A169,DB_Customers!$A:$N,14,0)),"❌ Acct Not Found"))</f>
        <v/>
      </c>
      <c r="D169" s="78" t="str">
        <f t="shared" ref="D169:D200" ca="1" si="15">IF(A169="","",TODAY())</f>
        <v/>
      </c>
      <c r="E169" s="79"/>
      <c r="F169" s="80" t="str">
        <f t="shared" ref="F169:F200" si="16">IF(OR(A169="",E169=""),"",IF(C169="","",C169+E169))</f>
        <v/>
      </c>
      <c r="G169" s="39" t="s">
        <v>134</v>
      </c>
      <c r="H169" s="81"/>
      <c r="I169" s="82" t="str">
        <f>IF(A169="","Pending",IF(H169="","⚠️ Enter Agent Code",IF(IFERROR(VLOOKUP(G169,DB_Agents!$B:$I,8,0),"")=H169,IF(AND(A169&lt;&gt;"",E169&lt;&gt;""),"Saved","Pending"),"🔒 BLOCKED — Wrong Code")))</f>
        <v>Pending</v>
      </c>
      <c r="J169" s="83" t="str">
        <f t="shared" ref="J169:J200" ca="1" si="17">IF(I169="Saved",TEXT(TODAY(),"YYYY-MM-DD")&amp;" Auto","—")</f>
        <v>—</v>
      </c>
      <c r="K169" s="84"/>
    </row>
    <row r="170" spans="1:11" ht="15" customHeight="1" x14ac:dyDescent="0.25">
      <c r="A170" s="85"/>
      <c r="B170" s="41" t="str">
        <f>IF(A170="","",IFERROR(VLOOKUP(A170,DB_Customers!$A:$D,4,0),"❌ Account Not Found"))</f>
        <v/>
      </c>
      <c r="C170" s="86" t="str">
        <f>IF(A170="","",IFERROR(IF(SUMIF(DB_Savings!$C:$C,A170,DB_Savings!$F:$F)=0,VLOOKUP(A170,DB_Customers!$A:$I,9,0),VLOOKUP(A170,DB_Customers!$A:$N,14,0)),"❌ Acct Not Found"))</f>
        <v/>
      </c>
      <c r="D170" s="87" t="str">
        <f t="shared" ca="1" si="15"/>
        <v/>
      </c>
      <c r="E170" s="79"/>
      <c r="F170" s="88" t="str">
        <f t="shared" si="16"/>
        <v/>
      </c>
      <c r="G170" s="43" t="s">
        <v>134</v>
      </c>
      <c r="H170" s="81"/>
      <c r="I170" s="89" t="str">
        <f>IF(A170="","Pending",IF(H170="","⚠️ Enter Agent Code",IF(IFERROR(VLOOKUP(G170,DB_Agents!$B:$I,8,0),"")=H170,IF(AND(A170&lt;&gt;"",E170&lt;&gt;""),"Saved","Pending"),"🔒 BLOCKED — Wrong Code")))</f>
        <v>Pending</v>
      </c>
      <c r="J170" s="90" t="str">
        <f t="shared" ca="1" si="17"/>
        <v>—</v>
      </c>
      <c r="K170" s="91"/>
    </row>
    <row r="171" spans="1:11" ht="15" customHeight="1" x14ac:dyDescent="0.25">
      <c r="A171" s="76"/>
      <c r="B171" s="37" t="str">
        <f>IF(A171="","",IFERROR(VLOOKUP(A171,DB_Customers!$A:$D,4,0),"❌ Account Not Found"))</f>
        <v/>
      </c>
      <c r="C171" s="77" t="str">
        <f>IF(A171="","",IFERROR(IF(SUMIF(DB_Savings!$C:$C,A171,DB_Savings!$F:$F)=0,VLOOKUP(A171,DB_Customers!$A:$I,9,0),VLOOKUP(A171,DB_Customers!$A:$N,14,0)),"❌ Acct Not Found"))</f>
        <v/>
      </c>
      <c r="D171" s="78" t="str">
        <f t="shared" ca="1" si="15"/>
        <v/>
      </c>
      <c r="E171" s="79"/>
      <c r="F171" s="80" t="str">
        <f t="shared" si="16"/>
        <v/>
      </c>
      <c r="G171" s="39" t="s">
        <v>134</v>
      </c>
      <c r="H171" s="81"/>
      <c r="I171" s="82" t="str">
        <f>IF(A171="","Pending",IF(H171="","⚠️ Enter Agent Code",IF(IFERROR(VLOOKUP(G171,DB_Agents!$B:$I,8,0),"")=H171,IF(AND(A171&lt;&gt;"",E171&lt;&gt;""),"Saved","Pending"),"🔒 BLOCKED — Wrong Code")))</f>
        <v>Pending</v>
      </c>
      <c r="J171" s="83" t="str">
        <f t="shared" ca="1" si="17"/>
        <v>—</v>
      </c>
      <c r="K171" s="84"/>
    </row>
    <row r="172" spans="1:11" ht="15" customHeight="1" x14ac:dyDescent="0.25">
      <c r="A172" s="85"/>
      <c r="B172" s="41" t="str">
        <f>IF(A172="","",IFERROR(VLOOKUP(A172,DB_Customers!$A:$D,4,0),"❌ Account Not Found"))</f>
        <v/>
      </c>
      <c r="C172" s="86" t="str">
        <f>IF(A172="","",IFERROR(IF(SUMIF(DB_Savings!$C:$C,A172,DB_Savings!$F:$F)=0,VLOOKUP(A172,DB_Customers!$A:$I,9,0),VLOOKUP(A172,DB_Customers!$A:$N,14,0)),"❌ Acct Not Found"))</f>
        <v/>
      </c>
      <c r="D172" s="87" t="str">
        <f t="shared" ca="1" si="15"/>
        <v/>
      </c>
      <c r="E172" s="79"/>
      <c r="F172" s="88" t="str">
        <f t="shared" si="16"/>
        <v/>
      </c>
      <c r="G172" s="43" t="s">
        <v>134</v>
      </c>
      <c r="H172" s="81"/>
      <c r="I172" s="89" t="str">
        <f>IF(A172="","Pending",IF(H172="","⚠️ Enter Agent Code",IF(IFERROR(VLOOKUP(G172,DB_Agents!$B:$I,8,0),"")=H172,IF(AND(A172&lt;&gt;"",E172&lt;&gt;""),"Saved","Pending"),"🔒 BLOCKED — Wrong Code")))</f>
        <v>Pending</v>
      </c>
      <c r="J172" s="90" t="str">
        <f t="shared" ca="1" si="17"/>
        <v>—</v>
      </c>
      <c r="K172" s="91"/>
    </row>
    <row r="173" spans="1:11" ht="15" customHeight="1" x14ac:dyDescent="0.25">
      <c r="A173" s="76"/>
      <c r="B173" s="37" t="str">
        <f>IF(A173="","",IFERROR(VLOOKUP(A173,DB_Customers!$A:$D,4,0),"❌ Account Not Found"))</f>
        <v/>
      </c>
      <c r="C173" s="77" t="str">
        <f>IF(A173="","",IFERROR(IF(SUMIF(DB_Savings!$C:$C,A173,DB_Savings!$F:$F)=0,VLOOKUP(A173,DB_Customers!$A:$I,9,0),VLOOKUP(A173,DB_Customers!$A:$N,14,0)),"❌ Acct Not Found"))</f>
        <v/>
      </c>
      <c r="D173" s="78" t="str">
        <f t="shared" ca="1" si="15"/>
        <v/>
      </c>
      <c r="E173" s="79"/>
      <c r="F173" s="80" t="str">
        <f t="shared" si="16"/>
        <v/>
      </c>
      <c r="G173" s="39" t="s">
        <v>134</v>
      </c>
      <c r="H173" s="81"/>
      <c r="I173" s="82" t="str">
        <f>IF(A173="","Pending",IF(H173="","⚠️ Enter Agent Code",IF(IFERROR(VLOOKUP(G173,DB_Agents!$B:$I,8,0),"")=H173,IF(AND(A173&lt;&gt;"",E173&lt;&gt;""),"Saved","Pending"),"🔒 BLOCKED — Wrong Code")))</f>
        <v>Pending</v>
      </c>
      <c r="J173" s="83" t="str">
        <f t="shared" ca="1" si="17"/>
        <v>—</v>
      </c>
      <c r="K173" s="84"/>
    </row>
    <row r="174" spans="1:11" ht="15" customHeight="1" x14ac:dyDescent="0.25">
      <c r="A174" s="85"/>
      <c r="B174" s="41" t="str">
        <f>IF(A174="","",IFERROR(VLOOKUP(A174,DB_Customers!$A:$D,4,0),"❌ Account Not Found"))</f>
        <v/>
      </c>
      <c r="C174" s="86" t="str">
        <f>IF(A174="","",IFERROR(IF(SUMIF(DB_Savings!$C:$C,A174,DB_Savings!$F:$F)=0,VLOOKUP(A174,DB_Customers!$A:$I,9,0),VLOOKUP(A174,DB_Customers!$A:$N,14,0)),"❌ Acct Not Found"))</f>
        <v/>
      </c>
      <c r="D174" s="87" t="str">
        <f t="shared" ca="1" si="15"/>
        <v/>
      </c>
      <c r="E174" s="79"/>
      <c r="F174" s="88" t="str">
        <f t="shared" si="16"/>
        <v/>
      </c>
      <c r="G174" s="43" t="s">
        <v>134</v>
      </c>
      <c r="H174" s="81"/>
      <c r="I174" s="89" t="str">
        <f>IF(A174="","Pending",IF(H174="","⚠️ Enter Agent Code",IF(IFERROR(VLOOKUP(G174,DB_Agents!$B:$I,8,0),"")=H174,IF(AND(A174&lt;&gt;"",E174&lt;&gt;""),"Saved","Pending"),"🔒 BLOCKED — Wrong Code")))</f>
        <v>Pending</v>
      </c>
      <c r="J174" s="90" t="str">
        <f t="shared" ca="1" si="17"/>
        <v>—</v>
      </c>
      <c r="K174" s="91"/>
    </row>
    <row r="175" spans="1:11" ht="15" customHeight="1" x14ac:dyDescent="0.25">
      <c r="A175" s="76"/>
      <c r="B175" s="37" t="str">
        <f>IF(A175="","",IFERROR(VLOOKUP(A175,DB_Customers!$A:$D,4,0),"❌ Account Not Found"))</f>
        <v/>
      </c>
      <c r="C175" s="77" t="str">
        <f>IF(A175="","",IFERROR(IF(SUMIF(DB_Savings!$C:$C,A175,DB_Savings!$F:$F)=0,VLOOKUP(A175,DB_Customers!$A:$I,9,0),VLOOKUP(A175,DB_Customers!$A:$N,14,0)),"❌ Acct Not Found"))</f>
        <v/>
      </c>
      <c r="D175" s="78" t="str">
        <f t="shared" ca="1" si="15"/>
        <v/>
      </c>
      <c r="E175" s="79"/>
      <c r="F175" s="80" t="str">
        <f t="shared" si="16"/>
        <v/>
      </c>
      <c r="G175" s="39" t="s">
        <v>134</v>
      </c>
      <c r="H175" s="81"/>
      <c r="I175" s="82" t="str">
        <f>IF(A175="","Pending",IF(H175="","⚠️ Enter Agent Code",IF(IFERROR(VLOOKUP(G175,DB_Agents!$B:$I,8,0),"")=H175,IF(AND(A175&lt;&gt;"",E175&lt;&gt;""),"Saved","Pending"),"🔒 BLOCKED — Wrong Code")))</f>
        <v>Pending</v>
      </c>
      <c r="J175" s="83" t="str">
        <f t="shared" ca="1" si="17"/>
        <v>—</v>
      </c>
      <c r="K175" s="84"/>
    </row>
    <row r="176" spans="1:11" ht="15" customHeight="1" x14ac:dyDescent="0.25">
      <c r="A176" s="85"/>
      <c r="B176" s="41" t="str">
        <f>IF(A176="","",IFERROR(VLOOKUP(A176,DB_Customers!$A:$D,4,0),"❌ Account Not Found"))</f>
        <v/>
      </c>
      <c r="C176" s="86" t="str">
        <f>IF(A176="","",IFERROR(IF(SUMIF(DB_Savings!$C:$C,A176,DB_Savings!$F:$F)=0,VLOOKUP(A176,DB_Customers!$A:$I,9,0),VLOOKUP(A176,DB_Customers!$A:$N,14,0)),"❌ Acct Not Found"))</f>
        <v/>
      </c>
      <c r="D176" s="87" t="str">
        <f t="shared" ca="1" si="15"/>
        <v/>
      </c>
      <c r="E176" s="79"/>
      <c r="F176" s="88" t="str">
        <f t="shared" si="16"/>
        <v/>
      </c>
      <c r="G176" s="43" t="s">
        <v>134</v>
      </c>
      <c r="H176" s="81"/>
      <c r="I176" s="89" t="str">
        <f>IF(A176="","Pending",IF(H176="","⚠️ Enter Agent Code",IF(IFERROR(VLOOKUP(G176,DB_Agents!$B:$I,8,0),"")=H176,IF(AND(A176&lt;&gt;"",E176&lt;&gt;""),"Saved","Pending"),"🔒 BLOCKED — Wrong Code")))</f>
        <v>Pending</v>
      </c>
      <c r="J176" s="90" t="str">
        <f t="shared" ca="1" si="17"/>
        <v>—</v>
      </c>
      <c r="K176" s="91"/>
    </row>
    <row r="177" spans="1:11" ht="15" customHeight="1" x14ac:dyDescent="0.25">
      <c r="A177" s="76"/>
      <c r="B177" s="37" t="str">
        <f>IF(A177="","",IFERROR(VLOOKUP(A177,DB_Customers!$A:$D,4,0),"❌ Account Not Found"))</f>
        <v/>
      </c>
      <c r="C177" s="77" t="str">
        <f>IF(A177="","",IFERROR(IF(SUMIF(DB_Savings!$C:$C,A177,DB_Savings!$F:$F)=0,VLOOKUP(A177,DB_Customers!$A:$I,9,0),VLOOKUP(A177,DB_Customers!$A:$N,14,0)),"❌ Acct Not Found"))</f>
        <v/>
      </c>
      <c r="D177" s="78" t="str">
        <f t="shared" ca="1" si="15"/>
        <v/>
      </c>
      <c r="E177" s="79"/>
      <c r="F177" s="80" t="str">
        <f t="shared" si="16"/>
        <v/>
      </c>
      <c r="G177" s="39" t="s">
        <v>134</v>
      </c>
      <c r="H177" s="81"/>
      <c r="I177" s="82" t="str">
        <f>IF(A177="","Pending",IF(H177="","⚠️ Enter Agent Code",IF(IFERROR(VLOOKUP(G177,DB_Agents!$B:$I,8,0),"")=H177,IF(AND(A177&lt;&gt;"",E177&lt;&gt;""),"Saved","Pending"),"🔒 BLOCKED — Wrong Code")))</f>
        <v>Pending</v>
      </c>
      <c r="J177" s="83" t="str">
        <f t="shared" ca="1" si="17"/>
        <v>—</v>
      </c>
      <c r="K177" s="84"/>
    </row>
    <row r="178" spans="1:11" ht="15" customHeight="1" x14ac:dyDescent="0.25">
      <c r="A178" s="85"/>
      <c r="B178" s="41" t="str">
        <f>IF(A178="","",IFERROR(VLOOKUP(A178,DB_Customers!$A:$D,4,0),"❌ Account Not Found"))</f>
        <v/>
      </c>
      <c r="C178" s="86" t="str">
        <f>IF(A178="","",IFERROR(IF(SUMIF(DB_Savings!$C:$C,A178,DB_Savings!$F:$F)=0,VLOOKUP(A178,DB_Customers!$A:$I,9,0),VLOOKUP(A178,DB_Customers!$A:$N,14,0)),"❌ Acct Not Found"))</f>
        <v/>
      </c>
      <c r="D178" s="87" t="str">
        <f t="shared" ca="1" si="15"/>
        <v/>
      </c>
      <c r="E178" s="79"/>
      <c r="F178" s="88" t="str">
        <f t="shared" si="16"/>
        <v/>
      </c>
      <c r="G178" s="43" t="s">
        <v>134</v>
      </c>
      <c r="H178" s="81"/>
      <c r="I178" s="89" t="str">
        <f>IF(A178="","Pending",IF(H178="","⚠️ Enter Agent Code",IF(IFERROR(VLOOKUP(G178,DB_Agents!$B:$I,8,0),"")=H178,IF(AND(A178&lt;&gt;"",E178&lt;&gt;""),"Saved","Pending"),"🔒 BLOCKED — Wrong Code")))</f>
        <v>Pending</v>
      </c>
      <c r="J178" s="90" t="str">
        <f t="shared" ca="1" si="17"/>
        <v>—</v>
      </c>
      <c r="K178" s="91"/>
    </row>
    <row r="179" spans="1:11" ht="15" customHeight="1" x14ac:dyDescent="0.25">
      <c r="A179" s="76"/>
      <c r="B179" s="37" t="str">
        <f>IF(A179="","",IFERROR(VLOOKUP(A179,DB_Customers!$A:$D,4,0),"❌ Account Not Found"))</f>
        <v/>
      </c>
      <c r="C179" s="77" t="str">
        <f>IF(A179="","",IFERROR(IF(SUMIF(DB_Savings!$C:$C,A179,DB_Savings!$F:$F)=0,VLOOKUP(A179,DB_Customers!$A:$I,9,0),VLOOKUP(A179,DB_Customers!$A:$N,14,0)),"❌ Acct Not Found"))</f>
        <v/>
      </c>
      <c r="D179" s="78" t="str">
        <f t="shared" ca="1" si="15"/>
        <v/>
      </c>
      <c r="E179" s="79"/>
      <c r="F179" s="80" t="str">
        <f t="shared" si="16"/>
        <v/>
      </c>
      <c r="G179" s="39" t="s">
        <v>134</v>
      </c>
      <c r="H179" s="81"/>
      <c r="I179" s="82" t="str">
        <f>IF(A179="","Pending",IF(H179="","⚠️ Enter Agent Code",IF(IFERROR(VLOOKUP(G179,DB_Agents!$B:$I,8,0),"")=H179,IF(AND(A179&lt;&gt;"",E179&lt;&gt;""),"Saved","Pending"),"🔒 BLOCKED — Wrong Code")))</f>
        <v>Pending</v>
      </c>
      <c r="J179" s="83" t="str">
        <f t="shared" ca="1" si="17"/>
        <v>—</v>
      </c>
      <c r="K179" s="84"/>
    </row>
    <row r="180" spans="1:11" ht="15" customHeight="1" x14ac:dyDescent="0.25">
      <c r="A180" s="85"/>
      <c r="B180" s="41" t="str">
        <f>IF(A180="","",IFERROR(VLOOKUP(A180,DB_Customers!$A:$D,4,0),"❌ Account Not Found"))</f>
        <v/>
      </c>
      <c r="C180" s="86" t="str">
        <f>IF(A180="","",IFERROR(IF(SUMIF(DB_Savings!$C:$C,A180,DB_Savings!$F:$F)=0,VLOOKUP(A180,DB_Customers!$A:$I,9,0),VLOOKUP(A180,DB_Customers!$A:$N,14,0)),"❌ Acct Not Found"))</f>
        <v/>
      </c>
      <c r="D180" s="87" t="str">
        <f t="shared" ca="1" si="15"/>
        <v/>
      </c>
      <c r="E180" s="79"/>
      <c r="F180" s="88" t="str">
        <f t="shared" si="16"/>
        <v/>
      </c>
      <c r="G180" s="43" t="s">
        <v>134</v>
      </c>
      <c r="H180" s="81"/>
      <c r="I180" s="89" t="str">
        <f>IF(A180="","Pending",IF(H180="","⚠️ Enter Agent Code",IF(IFERROR(VLOOKUP(G180,DB_Agents!$B:$I,8,0),"")=H180,IF(AND(A180&lt;&gt;"",E180&lt;&gt;""),"Saved","Pending"),"🔒 BLOCKED — Wrong Code")))</f>
        <v>Pending</v>
      </c>
      <c r="J180" s="90" t="str">
        <f t="shared" ca="1" si="17"/>
        <v>—</v>
      </c>
      <c r="K180" s="91"/>
    </row>
    <row r="181" spans="1:11" ht="15" customHeight="1" x14ac:dyDescent="0.25">
      <c r="A181" s="76"/>
      <c r="B181" s="37" t="str">
        <f>IF(A181="","",IFERROR(VLOOKUP(A181,DB_Customers!$A:$D,4,0),"❌ Account Not Found"))</f>
        <v/>
      </c>
      <c r="C181" s="77" t="str">
        <f>IF(A181="","",IFERROR(IF(SUMIF(DB_Savings!$C:$C,A181,DB_Savings!$F:$F)=0,VLOOKUP(A181,DB_Customers!$A:$I,9,0),VLOOKUP(A181,DB_Customers!$A:$N,14,0)),"❌ Acct Not Found"))</f>
        <v/>
      </c>
      <c r="D181" s="78" t="str">
        <f t="shared" ca="1" si="15"/>
        <v/>
      </c>
      <c r="E181" s="79"/>
      <c r="F181" s="80" t="str">
        <f t="shared" si="16"/>
        <v/>
      </c>
      <c r="G181" s="39" t="s">
        <v>134</v>
      </c>
      <c r="H181" s="81"/>
      <c r="I181" s="82" t="str">
        <f>IF(A181="","Pending",IF(H181="","⚠️ Enter Agent Code",IF(IFERROR(VLOOKUP(G181,DB_Agents!$B:$I,8,0),"")=H181,IF(AND(A181&lt;&gt;"",E181&lt;&gt;""),"Saved","Pending"),"🔒 BLOCKED — Wrong Code")))</f>
        <v>Pending</v>
      </c>
      <c r="J181" s="83" t="str">
        <f t="shared" ca="1" si="17"/>
        <v>—</v>
      </c>
      <c r="K181" s="84"/>
    </row>
    <row r="182" spans="1:11" ht="15" customHeight="1" x14ac:dyDescent="0.25">
      <c r="A182" s="85"/>
      <c r="B182" s="41" t="str">
        <f>IF(A182="","",IFERROR(VLOOKUP(A182,DB_Customers!$A:$D,4,0),"❌ Account Not Found"))</f>
        <v/>
      </c>
      <c r="C182" s="86" t="str">
        <f>IF(A182="","",IFERROR(IF(SUMIF(DB_Savings!$C:$C,A182,DB_Savings!$F:$F)=0,VLOOKUP(A182,DB_Customers!$A:$I,9,0),VLOOKUP(A182,DB_Customers!$A:$N,14,0)),"❌ Acct Not Found"))</f>
        <v/>
      </c>
      <c r="D182" s="87" t="str">
        <f t="shared" ca="1" si="15"/>
        <v/>
      </c>
      <c r="E182" s="79"/>
      <c r="F182" s="88" t="str">
        <f t="shared" si="16"/>
        <v/>
      </c>
      <c r="G182" s="43" t="s">
        <v>134</v>
      </c>
      <c r="H182" s="81"/>
      <c r="I182" s="89" t="str">
        <f>IF(A182="","Pending",IF(H182="","⚠️ Enter Agent Code",IF(IFERROR(VLOOKUP(G182,DB_Agents!$B:$I,8,0),"")=H182,IF(AND(A182&lt;&gt;"",E182&lt;&gt;""),"Saved","Pending"),"🔒 BLOCKED — Wrong Code")))</f>
        <v>Pending</v>
      </c>
      <c r="J182" s="90" t="str">
        <f t="shared" ca="1" si="17"/>
        <v>—</v>
      </c>
      <c r="K182" s="91"/>
    </row>
    <row r="183" spans="1:11" ht="15" customHeight="1" x14ac:dyDescent="0.25">
      <c r="A183" s="76"/>
      <c r="B183" s="37" t="str">
        <f>IF(A183="","",IFERROR(VLOOKUP(A183,DB_Customers!$A:$D,4,0),"❌ Account Not Found"))</f>
        <v/>
      </c>
      <c r="C183" s="77" t="str">
        <f>IF(A183="","",IFERROR(IF(SUMIF(DB_Savings!$C:$C,A183,DB_Savings!$F:$F)=0,VLOOKUP(A183,DB_Customers!$A:$I,9,0),VLOOKUP(A183,DB_Customers!$A:$N,14,0)),"❌ Acct Not Found"))</f>
        <v/>
      </c>
      <c r="D183" s="78" t="str">
        <f t="shared" ca="1" si="15"/>
        <v/>
      </c>
      <c r="E183" s="79"/>
      <c r="F183" s="80" t="str">
        <f t="shared" si="16"/>
        <v/>
      </c>
      <c r="G183" s="39" t="s">
        <v>134</v>
      </c>
      <c r="H183" s="81"/>
      <c r="I183" s="82" t="str">
        <f>IF(A183="","Pending",IF(H183="","⚠️ Enter Agent Code",IF(IFERROR(VLOOKUP(G183,DB_Agents!$B:$I,8,0),"")=H183,IF(AND(A183&lt;&gt;"",E183&lt;&gt;""),"Saved","Pending"),"🔒 BLOCKED — Wrong Code")))</f>
        <v>Pending</v>
      </c>
      <c r="J183" s="83" t="str">
        <f t="shared" ca="1" si="17"/>
        <v>—</v>
      </c>
      <c r="K183" s="84"/>
    </row>
    <row r="184" spans="1:11" ht="15" customHeight="1" x14ac:dyDescent="0.25">
      <c r="A184" s="85"/>
      <c r="B184" s="41" t="str">
        <f>IF(A184="","",IFERROR(VLOOKUP(A184,DB_Customers!$A:$D,4,0),"❌ Account Not Found"))</f>
        <v/>
      </c>
      <c r="C184" s="86" t="str">
        <f>IF(A184="","",IFERROR(IF(SUMIF(DB_Savings!$C:$C,A184,DB_Savings!$F:$F)=0,VLOOKUP(A184,DB_Customers!$A:$I,9,0),VLOOKUP(A184,DB_Customers!$A:$N,14,0)),"❌ Acct Not Found"))</f>
        <v/>
      </c>
      <c r="D184" s="87" t="str">
        <f t="shared" ca="1" si="15"/>
        <v/>
      </c>
      <c r="E184" s="79"/>
      <c r="F184" s="88" t="str">
        <f t="shared" si="16"/>
        <v/>
      </c>
      <c r="G184" s="43" t="s">
        <v>134</v>
      </c>
      <c r="H184" s="81"/>
      <c r="I184" s="89" t="str">
        <f>IF(A184="","Pending",IF(H184="","⚠️ Enter Agent Code",IF(IFERROR(VLOOKUP(G184,DB_Agents!$B:$I,8,0),"")=H184,IF(AND(A184&lt;&gt;"",E184&lt;&gt;""),"Saved","Pending"),"🔒 BLOCKED — Wrong Code")))</f>
        <v>Pending</v>
      </c>
      <c r="J184" s="90" t="str">
        <f t="shared" ca="1" si="17"/>
        <v>—</v>
      </c>
      <c r="K184" s="91"/>
    </row>
    <row r="185" spans="1:11" ht="15" customHeight="1" x14ac:dyDescent="0.25">
      <c r="A185" s="76"/>
      <c r="B185" s="37" t="str">
        <f>IF(A185="","",IFERROR(VLOOKUP(A185,DB_Customers!$A:$D,4,0),"❌ Account Not Found"))</f>
        <v/>
      </c>
      <c r="C185" s="77" t="str">
        <f>IF(A185="","",IFERROR(IF(SUMIF(DB_Savings!$C:$C,A185,DB_Savings!$F:$F)=0,VLOOKUP(A185,DB_Customers!$A:$I,9,0),VLOOKUP(A185,DB_Customers!$A:$N,14,0)),"❌ Acct Not Found"))</f>
        <v/>
      </c>
      <c r="D185" s="78" t="str">
        <f t="shared" ca="1" si="15"/>
        <v/>
      </c>
      <c r="E185" s="79"/>
      <c r="F185" s="80" t="str">
        <f t="shared" si="16"/>
        <v/>
      </c>
      <c r="G185" s="39" t="s">
        <v>134</v>
      </c>
      <c r="H185" s="81"/>
      <c r="I185" s="82" t="str">
        <f>IF(A185="","Pending",IF(H185="","⚠️ Enter Agent Code",IF(IFERROR(VLOOKUP(G185,DB_Agents!$B:$I,8,0),"")=H185,IF(AND(A185&lt;&gt;"",E185&lt;&gt;""),"Saved","Pending"),"🔒 BLOCKED — Wrong Code")))</f>
        <v>Pending</v>
      </c>
      <c r="J185" s="83" t="str">
        <f t="shared" ca="1" si="17"/>
        <v>—</v>
      </c>
      <c r="K185" s="84"/>
    </row>
    <row r="186" spans="1:11" ht="15" customHeight="1" x14ac:dyDescent="0.25">
      <c r="A186" s="85"/>
      <c r="B186" s="41" t="str">
        <f>IF(A186="","",IFERROR(VLOOKUP(A186,DB_Customers!$A:$D,4,0),"❌ Account Not Found"))</f>
        <v/>
      </c>
      <c r="C186" s="86" t="str">
        <f>IF(A186="","",IFERROR(IF(SUMIF(DB_Savings!$C:$C,A186,DB_Savings!$F:$F)=0,VLOOKUP(A186,DB_Customers!$A:$I,9,0),VLOOKUP(A186,DB_Customers!$A:$N,14,0)),"❌ Acct Not Found"))</f>
        <v/>
      </c>
      <c r="D186" s="87" t="str">
        <f t="shared" ca="1" si="15"/>
        <v/>
      </c>
      <c r="E186" s="79"/>
      <c r="F186" s="88" t="str">
        <f t="shared" si="16"/>
        <v/>
      </c>
      <c r="G186" s="43" t="s">
        <v>134</v>
      </c>
      <c r="H186" s="81"/>
      <c r="I186" s="89" t="str">
        <f>IF(A186="","Pending",IF(H186="","⚠️ Enter Agent Code",IF(IFERROR(VLOOKUP(G186,DB_Agents!$B:$I,8,0),"")=H186,IF(AND(A186&lt;&gt;"",E186&lt;&gt;""),"Saved","Pending"),"🔒 BLOCKED — Wrong Code")))</f>
        <v>Pending</v>
      </c>
      <c r="J186" s="90" t="str">
        <f t="shared" ca="1" si="17"/>
        <v>—</v>
      </c>
      <c r="K186" s="91"/>
    </row>
    <row r="187" spans="1:11" ht="15" customHeight="1" x14ac:dyDescent="0.25">
      <c r="A187" s="76"/>
      <c r="B187" s="37" t="str">
        <f>IF(A187="","",IFERROR(VLOOKUP(A187,DB_Customers!$A:$D,4,0),"❌ Account Not Found"))</f>
        <v/>
      </c>
      <c r="C187" s="77" t="str">
        <f>IF(A187="","",IFERROR(IF(SUMIF(DB_Savings!$C:$C,A187,DB_Savings!$F:$F)=0,VLOOKUP(A187,DB_Customers!$A:$I,9,0),VLOOKUP(A187,DB_Customers!$A:$N,14,0)),"❌ Acct Not Found"))</f>
        <v/>
      </c>
      <c r="D187" s="78" t="str">
        <f t="shared" ca="1" si="15"/>
        <v/>
      </c>
      <c r="E187" s="79"/>
      <c r="F187" s="80" t="str">
        <f t="shared" si="16"/>
        <v/>
      </c>
      <c r="G187" s="39" t="s">
        <v>134</v>
      </c>
      <c r="H187" s="81"/>
      <c r="I187" s="82" t="str">
        <f>IF(A187="","Pending",IF(H187="","⚠️ Enter Agent Code",IF(IFERROR(VLOOKUP(G187,DB_Agents!$B:$I,8,0),"")=H187,IF(AND(A187&lt;&gt;"",E187&lt;&gt;""),"Saved","Pending"),"🔒 BLOCKED — Wrong Code")))</f>
        <v>Pending</v>
      </c>
      <c r="J187" s="83" t="str">
        <f t="shared" ca="1" si="17"/>
        <v>—</v>
      </c>
      <c r="K187" s="84"/>
    </row>
    <row r="188" spans="1:11" ht="15" customHeight="1" x14ac:dyDescent="0.25">
      <c r="A188" s="85"/>
      <c r="B188" s="41" t="str">
        <f>IF(A188="","",IFERROR(VLOOKUP(A188,DB_Customers!$A:$D,4,0),"❌ Account Not Found"))</f>
        <v/>
      </c>
      <c r="C188" s="86" t="str">
        <f>IF(A188="","",IFERROR(IF(SUMIF(DB_Savings!$C:$C,A188,DB_Savings!$F:$F)=0,VLOOKUP(A188,DB_Customers!$A:$I,9,0),VLOOKUP(A188,DB_Customers!$A:$N,14,0)),"❌ Acct Not Found"))</f>
        <v/>
      </c>
      <c r="D188" s="87" t="str">
        <f t="shared" ca="1" si="15"/>
        <v/>
      </c>
      <c r="E188" s="79"/>
      <c r="F188" s="88" t="str">
        <f t="shared" si="16"/>
        <v/>
      </c>
      <c r="G188" s="43" t="s">
        <v>134</v>
      </c>
      <c r="H188" s="81"/>
      <c r="I188" s="89" t="str">
        <f>IF(A188="","Pending",IF(H188="","⚠️ Enter Agent Code",IF(IFERROR(VLOOKUP(G188,DB_Agents!$B:$I,8,0),"")=H188,IF(AND(A188&lt;&gt;"",E188&lt;&gt;""),"Saved","Pending"),"🔒 BLOCKED — Wrong Code")))</f>
        <v>Pending</v>
      </c>
      <c r="J188" s="90" t="str">
        <f t="shared" ca="1" si="17"/>
        <v>—</v>
      </c>
      <c r="K188" s="91"/>
    </row>
    <row r="189" spans="1:11" ht="15" customHeight="1" x14ac:dyDescent="0.25">
      <c r="A189" s="76"/>
      <c r="B189" s="37" t="str">
        <f>IF(A189="","",IFERROR(VLOOKUP(A189,DB_Customers!$A:$D,4,0),"❌ Account Not Found"))</f>
        <v/>
      </c>
      <c r="C189" s="77" t="str">
        <f>IF(A189="","",IFERROR(IF(SUMIF(DB_Savings!$C:$C,A189,DB_Savings!$F:$F)=0,VLOOKUP(A189,DB_Customers!$A:$I,9,0),VLOOKUP(A189,DB_Customers!$A:$N,14,0)),"❌ Acct Not Found"))</f>
        <v/>
      </c>
      <c r="D189" s="78" t="str">
        <f t="shared" ca="1" si="15"/>
        <v/>
      </c>
      <c r="E189" s="79"/>
      <c r="F189" s="80" t="str">
        <f t="shared" si="16"/>
        <v/>
      </c>
      <c r="G189" s="39" t="s">
        <v>134</v>
      </c>
      <c r="H189" s="81"/>
      <c r="I189" s="82" t="str">
        <f>IF(A189="","Pending",IF(H189="","⚠️ Enter Agent Code",IF(IFERROR(VLOOKUP(G189,DB_Agents!$B:$I,8,0),"")=H189,IF(AND(A189&lt;&gt;"",E189&lt;&gt;""),"Saved","Pending"),"🔒 BLOCKED — Wrong Code")))</f>
        <v>Pending</v>
      </c>
      <c r="J189" s="83" t="str">
        <f t="shared" ca="1" si="17"/>
        <v>—</v>
      </c>
      <c r="K189" s="84"/>
    </row>
    <row r="190" spans="1:11" ht="15" customHeight="1" x14ac:dyDescent="0.25">
      <c r="A190" s="85"/>
      <c r="B190" s="41" t="str">
        <f>IF(A190="","",IFERROR(VLOOKUP(A190,DB_Customers!$A:$D,4,0),"❌ Account Not Found"))</f>
        <v/>
      </c>
      <c r="C190" s="86" t="str">
        <f>IF(A190="","",IFERROR(IF(SUMIF(DB_Savings!$C:$C,A190,DB_Savings!$F:$F)=0,VLOOKUP(A190,DB_Customers!$A:$I,9,0),VLOOKUP(A190,DB_Customers!$A:$N,14,0)),"❌ Acct Not Found"))</f>
        <v/>
      </c>
      <c r="D190" s="87" t="str">
        <f t="shared" ca="1" si="15"/>
        <v/>
      </c>
      <c r="E190" s="79"/>
      <c r="F190" s="88" t="str">
        <f t="shared" si="16"/>
        <v/>
      </c>
      <c r="G190" s="43" t="s">
        <v>134</v>
      </c>
      <c r="H190" s="81"/>
      <c r="I190" s="89" t="str">
        <f>IF(A190="","Pending",IF(H190="","⚠️ Enter Agent Code",IF(IFERROR(VLOOKUP(G190,DB_Agents!$B:$I,8,0),"")=H190,IF(AND(A190&lt;&gt;"",E190&lt;&gt;""),"Saved","Pending"),"🔒 BLOCKED — Wrong Code")))</f>
        <v>Pending</v>
      </c>
      <c r="J190" s="90" t="str">
        <f t="shared" ca="1" si="17"/>
        <v>—</v>
      </c>
      <c r="K190" s="91"/>
    </row>
    <row r="191" spans="1:11" ht="15" customHeight="1" x14ac:dyDescent="0.25">
      <c r="A191" s="76"/>
      <c r="B191" s="37" t="str">
        <f>IF(A191="","",IFERROR(VLOOKUP(A191,DB_Customers!$A:$D,4,0),"❌ Account Not Found"))</f>
        <v/>
      </c>
      <c r="C191" s="77" t="str">
        <f>IF(A191="","",IFERROR(IF(SUMIF(DB_Savings!$C:$C,A191,DB_Savings!$F:$F)=0,VLOOKUP(A191,DB_Customers!$A:$I,9,0),VLOOKUP(A191,DB_Customers!$A:$N,14,0)),"❌ Acct Not Found"))</f>
        <v/>
      </c>
      <c r="D191" s="78" t="str">
        <f t="shared" ca="1" si="15"/>
        <v/>
      </c>
      <c r="E191" s="79"/>
      <c r="F191" s="80" t="str">
        <f t="shared" si="16"/>
        <v/>
      </c>
      <c r="G191" s="39" t="s">
        <v>134</v>
      </c>
      <c r="H191" s="81"/>
      <c r="I191" s="82" t="str">
        <f>IF(A191="","Pending",IF(H191="","⚠️ Enter Agent Code",IF(IFERROR(VLOOKUP(G191,DB_Agents!$B:$I,8,0),"")=H191,IF(AND(A191&lt;&gt;"",E191&lt;&gt;""),"Saved","Pending"),"🔒 BLOCKED — Wrong Code")))</f>
        <v>Pending</v>
      </c>
      <c r="J191" s="83" t="str">
        <f t="shared" ca="1" si="17"/>
        <v>—</v>
      </c>
      <c r="K191" s="84"/>
    </row>
    <row r="192" spans="1:11" ht="15" customHeight="1" x14ac:dyDescent="0.25">
      <c r="A192" s="85"/>
      <c r="B192" s="41" t="str">
        <f>IF(A192="","",IFERROR(VLOOKUP(A192,DB_Customers!$A:$D,4,0),"❌ Account Not Found"))</f>
        <v/>
      </c>
      <c r="C192" s="86" t="str">
        <f>IF(A192="","",IFERROR(IF(SUMIF(DB_Savings!$C:$C,A192,DB_Savings!$F:$F)=0,VLOOKUP(A192,DB_Customers!$A:$I,9,0),VLOOKUP(A192,DB_Customers!$A:$N,14,0)),"❌ Acct Not Found"))</f>
        <v/>
      </c>
      <c r="D192" s="87" t="str">
        <f t="shared" ca="1" si="15"/>
        <v/>
      </c>
      <c r="E192" s="79"/>
      <c r="F192" s="88" t="str">
        <f t="shared" si="16"/>
        <v/>
      </c>
      <c r="G192" s="43" t="s">
        <v>134</v>
      </c>
      <c r="H192" s="81"/>
      <c r="I192" s="89" t="str">
        <f>IF(A192="","Pending",IF(H192="","⚠️ Enter Agent Code",IF(IFERROR(VLOOKUP(G192,DB_Agents!$B:$I,8,0),"")=H192,IF(AND(A192&lt;&gt;"",E192&lt;&gt;""),"Saved","Pending"),"🔒 BLOCKED — Wrong Code")))</f>
        <v>Pending</v>
      </c>
      <c r="J192" s="90" t="str">
        <f t="shared" ca="1" si="17"/>
        <v>—</v>
      </c>
      <c r="K192" s="91"/>
    </row>
    <row r="193" spans="1:11" ht="15" customHeight="1" x14ac:dyDescent="0.25">
      <c r="A193" s="76"/>
      <c r="B193" s="37" t="str">
        <f>IF(A193="","",IFERROR(VLOOKUP(A193,DB_Customers!$A:$D,4,0),"❌ Account Not Found"))</f>
        <v/>
      </c>
      <c r="C193" s="77" t="str">
        <f>IF(A193="","",IFERROR(IF(SUMIF(DB_Savings!$C:$C,A193,DB_Savings!$F:$F)=0,VLOOKUP(A193,DB_Customers!$A:$I,9,0),VLOOKUP(A193,DB_Customers!$A:$N,14,0)),"❌ Acct Not Found"))</f>
        <v/>
      </c>
      <c r="D193" s="78" t="str">
        <f t="shared" ca="1" si="15"/>
        <v/>
      </c>
      <c r="E193" s="79"/>
      <c r="F193" s="80" t="str">
        <f t="shared" si="16"/>
        <v/>
      </c>
      <c r="G193" s="39" t="s">
        <v>134</v>
      </c>
      <c r="H193" s="81"/>
      <c r="I193" s="82" t="str">
        <f>IF(A193="","Pending",IF(H193="","⚠️ Enter Agent Code",IF(IFERROR(VLOOKUP(G193,DB_Agents!$B:$I,8,0),"")=H193,IF(AND(A193&lt;&gt;"",E193&lt;&gt;""),"Saved","Pending"),"🔒 BLOCKED — Wrong Code")))</f>
        <v>Pending</v>
      </c>
      <c r="J193" s="83" t="str">
        <f t="shared" ca="1" si="17"/>
        <v>—</v>
      </c>
      <c r="K193" s="84"/>
    </row>
    <row r="194" spans="1:11" ht="15" customHeight="1" x14ac:dyDescent="0.25">
      <c r="A194" s="85"/>
      <c r="B194" s="41" t="str">
        <f>IF(A194="","",IFERROR(VLOOKUP(A194,DB_Customers!$A:$D,4,0),"❌ Account Not Found"))</f>
        <v/>
      </c>
      <c r="C194" s="86" t="str">
        <f>IF(A194="","",IFERROR(IF(SUMIF(DB_Savings!$C:$C,A194,DB_Savings!$F:$F)=0,VLOOKUP(A194,DB_Customers!$A:$I,9,0),VLOOKUP(A194,DB_Customers!$A:$N,14,0)),"❌ Acct Not Found"))</f>
        <v/>
      </c>
      <c r="D194" s="87" t="str">
        <f t="shared" ca="1" si="15"/>
        <v/>
      </c>
      <c r="E194" s="79"/>
      <c r="F194" s="88" t="str">
        <f t="shared" si="16"/>
        <v/>
      </c>
      <c r="G194" s="43" t="s">
        <v>134</v>
      </c>
      <c r="H194" s="81"/>
      <c r="I194" s="89" t="str">
        <f>IF(A194="","Pending",IF(H194="","⚠️ Enter Agent Code",IF(IFERROR(VLOOKUP(G194,DB_Agents!$B:$I,8,0),"")=H194,IF(AND(A194&lt;&gt;"",E194&lt;&gt;""),"Saved","Pending"),"🔒 BLOCKED — Wrong Code")))</f>
        <v>Pending</v>
      </c>
      <c r="J194" s="90" t="str">
        <f t="shared" ca="1" si="17"/>
        <v>—</v>
      </c>
      <c r="K194" s="91"/>
    </row>
    <row r="195" spans="1:11" ht="15" customHeight="1" x14ac:dyDescent="0.25">
      <c r="A195" s="76"/>
      <c r="B195" s="37" t="str">
        <f>IF(A195="","",IFERROR(VLOOKUP(A195,DB_Customers!$A:$D,4,0),"❌ Account Not Found"))</f>
        <v/>
      </c>
      <c r="C195" s="77" t="str">
        <f>IF(A195="","",IFERROR(IF(SUMIF(DB_Savings!$C:$C,A195,DB_Savings!$F:$F)=0,VLOOKUP(A195,DB_Customers!$A:$I,9,0),VLOOKUP(A195,DB_Customers!$A:$N,14,0)),"❌ Acct Not Found"))</f>
        <v/>
      </c>
      <c r="D195" s="78" t="str">
        <f t="shared" ca="1" si="15"/>
        <v/>
      </c>
      <c r="E195" s="79"/>
      <c r="F195" s="80" t="str">
        <f t="shared" si="16"/>
        <v/>
      </c>
      <c r="G195" s="39" t="s">
        <v>134</v>
      </c>
      <c r="H195" s="81"/>
      <c r="I195" s="82" t="str">
        <f>IF(A195="","Pending",IF(H195="","⚠️ Enter Agent Code",IF(IFERROR(VLOOKUP(G195,DB_Agents!$B:$I,8,0),"")=H195,IF(AND(A195&lt;&gt;"",E195&lt;&gt;""),"Saved","Pending"),"🔒 BLOCKED — Wrong Code")))</f>
        <v>Pending</v>
      </c>
      <c r="J195" s="83" t="str">
        <f t="shared" ca="1" si="17"/>
        <v>—</v>
      </c>
      <c r="K195" s="84"/>
    </row>
    <row r="196" spans="1:11" ht="15" customHeight="1" x14ac:dyDescent="0.25">
      <c r="A196" s="85"/>
      <c r="B196" s="41" t="str">
        <f>IF(A196="","",IFERROR(VLOOKUP(A196,DB_Customers!$A:$D,4,0),"❌ Account Not Found"))</f>
        <v/>
      </c>
      <c r="C196" s="86" t="str">
        <f>IF(A196="","",IFERROR(IF(SUMIF(DB_Savings!$C:$C,A196,DB_Savings!$F:$F)=0,VLOOKUP(A196,DB_Customers!$A:$I,9,0),VLOOKUP(A196,DB_Customers!$A:$N,14,0)),"❌ Acct Not Found"))</f>
        <v/>
      </c>
      <c r="D196" s="87" t="str">
        <f t="shared" ca="1" si="15"/>
        <v/>
      </c>
      <c r="E196" s="79"/>
      <c r="F196" s="88" t="str">
        <f t="shared" si="16"/>
        <v/>
      </c>
      <c r="G196" s="43" t="s">
        <v>134</v>
      </c>
      <c r="H196" s="81"/>
      <c r="I196" s="89" t="str">
        <f>IF(A196="","Pending",IF(H196="","⚠️ Enter Agent Code",IF(IFERROR(VLOOKUP(G196,DB_Agents!$B:$I,8,0),"")=H196,IF(AND(A196&lt;&gt;"",E196&lt;&gt;""),"Saved","Pending"),"🔒 BLOCKED — Wrong Code")))</f>
        <v>Pending</v>
      </c>
      <c r="J196" s="90" t="str">
        <f t="shared" ca="1" si="17"/>
        <v>—</v>
      </c>
      <c r="K196" s="91"/>
    </row>
    <row r="197" spans="1:11" ht="15" customHeight="1" x14ac:dyDescent="0.25">
      <c r="A197" s="76"/>
      <c r="B197" s="37" t="str">
        <f>IF(A197="","",IFERROR(VLOOKUP(A197,DB_Customers!$A:$D,4,0),"❌ Account Not Found"))</f>
        <v/>
      </c>
      <c r="C197" s="77" t="str">
        <f>IF(A197="","",IFERROR(IF(SUMIF(DB_Savings!$C:$C,A197,DB_Savings!$F:$F)=0,VLOOKUP(A197,DB_Customers!$A:$I,9,0),VLOOKUP(A197,DB_Customers!$A:$N,14,0)),"❌ Acct Not Found"))</f>
        <v/>
      </c>
      <c r="D197" s="78" t="str">
        <f t="shared" ca="1" si="15"/>
        <v/>
      </c>
      <c r="E197" s="79"/>
      <c r="F197" s="80" t="str">
        <f t="shared" si="16"/>
        <v/>
      </c>
      <c r="G197" s="39" t="s">
        <v>134</v>
      </c>
      <c r="H197" s="81"/>
      <c r="I197" s="82" t="str">
        <f>IF(A197="","Pending",IF(H197="","⚠️ Enter Agent Code",IF(IFERROR(VLOOKUP(G197,DB_Agents!$B:$I,8,0),"")=H197,IF(AND(A197&lt;&gt;"",E197&lt;&gt;""),"Saved","Pending"),"🔒 BLOCKED — Wrong Code")))</f>
        <v>Pending</v>
      </c>
      <c r="J197" s="83" t="str">
        <f t="shared" ca="1" si="17"/>
        <v>—</v>
      </c>
      <c r="K197" s="84"/>
    </row>
    <row r="198" spans="1:11" ht="15" customHeight="1" x14ac:dyDescent="0.25">
      <c r="A198" s="85"/>
      <c r="B198" s="41" t="str">
        <f>IF(A198="","",IFERROR(VLOOKUP(A198,DB_Customers!$A:$D,4,0),"❌ Account Not Found"))</f>
        <v/>
      </c>
      <c r="C198" s="86" t="str">
        <f>IF(A198="","",IFERROR(IF(SUMIF(DB_Savings!$C:$C,A198,DB_Savings!$F:$F)=0,VLOOKUP(A198,DB_Customers!$A:$I,9,0),VLOOKUP(A198,DB_Customers!$A:$N,14,0)),"❌ Acct Not Found"))</f>
        <v/>
      </c>
      <c r="D198" s="87" t="str">
        <f t="shared" ca="1" si="15"/>
        <v/>
      </c>
      <c r="E198" s="79"/>
      <c r="F198" s="88" t="str">
        <f t="shared" si="16"/>
        <v/>
      </c>
      <c r="G198" s="43" t="s">
        <v>134</v>
      </c>
      <c r="H198" s="81"/>
      <c r="I198" s="89" t="str">
        <f>IF(A198="","Pending",IF(H198="","⚠️ Enter Agent Code",IF(IFERROR(VLOOKUP(G198,DB_Agents!$B:$I,8,0),"")=H198,IF(AND(A198&lt;&gt;"",E198&lt;&gt;""),"Saved","Pending"),"🔒 BLOCKED — Wrong Code")))</f>
        <v>Pending</v>
      </c>
      <c r="J198" s="90" t="str">
        <f t="shared" ca="1" si="17"/>
        <v>—</v>
      </c>
      <c r="K198" s="91"/>
    </row>
    <row r="199" spans="1:11" ht="15" customHeight="1" x14ac:dyDescent="0.25">
      <c r="A199" s="76"/>
      <c r="B199" s="37" t="str">
        <f>IF(A199="","",IFERROR(VLOOKUP(A199,DB_Customers!$A:$D,4,0),"❌ Account Not Found"))</f>
        <v/>
      </c>
      <c r="C199" s="77" t="str">
        <f>IF(A199="","",IFERROR(IF(SUMIF(DB_Savings!$C:$C,A199,DB_Savings!$F:$F)=0,VLOOKUP(A199,DB_Customers!$A:$I,9,0),VLOOKUP(A199,DB_Customers!$A:$N,14,0)),"❌ Acct Not Found"))</f>
        <v/>
      </c>
      <c r="D199" s="78" t="str">
        <f t="shared" ca="1" si="15"/>
        <v/>
      </c>
      <c r="E199" s="79"/>
      <c r="F199" s="80" t="str">
        <f t="shared" si="16"/>
        <v/>
      </c>
      <c r="G199" s="39" t="s">
        <v>134</v>
      </c>
      <c r="H199" s="81"/>
      <c r="I199" s="82" t="str">
        <f>IF(A199="","Pending",IF(H199="","⚠️ Enter Agent Code",IF(IFERROR(VLOOKUP(G199,DB_Agents!$B:$I,8,0),"")=H199,IF(AND(A199&lt;&gt;"",E199&lt;&gt;""),"Saved","Pending"),"🔒 BLOCKED — Wrong Code")))</f>
        <v>Pending</v>
      </c>
      <c r="J199" s="83" t="str">
        <f t="shared" ca="1" si="17"/>
        <v>—</v>
      </c>
      <c r="K199" s="84"/>
    </row>
    <row r="200" spans="1:11" ht="15" customHeight="1" x14ac:dyDescent="0.25">
      <c r="A200" s="85"/>
      <c r="B200" s="41" t="str">
        <f>IF(A200="","",IFERROR(VLOOKUP(A200,DB_Customers!$A:$D,4,0),"❌ Account Not Found"))</f>
        <v/>
      </c>
      <c r="C200" s="86" t="str">
        <f>IF(A200="","",IFERROR(IF(SUMIF(DB_Savings!$C:$C,A200,DB_Savings!$F:$F)=0,VLOOKUP(A200,DB_Customers!$A:$I,9,0),VLOOKUP(A200,DB_Customers!$A:$N,14,0)),"❌ Acct Not Found"))</f>
        <v/>
      </c>
      <c r="D200" s="87" t="str">
        <f t="shared" ca="1" si="15"/>
        <v/>
      </c>
      <c r="E200" s="79"/>
      <c r="F200" s="88" t="str">
        <f t="shared" si="16"/>
        <v/>
      </c>
      <c r="G200" s="43" t="s">
        <v>134</v>
      </c>
      <c r="H200" s="81"/>
      <c r="I200" s="89" t="str">
        <f>IF(A200="","Pending",IF(H200="","⚠️ Enter Agent Code",IF(IFERROR(VLOOKUP(G200,DB_Agents!$B:$I,8,0),"")=H200,IF(AND(A200&lt;&gt;"",E200&lt;&gt;""),"Saved","Pending"),"🔒 BLOCKED — Wrong Code")))</f>
        <v>Pending</v>
      </c>
      <c r="J200" s="90" t="str">
        <f t="shared" ca="1" si="17"/>
        <v>—</v>
      </c>
      <c r="K200" s="91"/>
    </row>
    <row r="201" spans="1:11" ht="15" customHeight="1" x14ac:dyDescent="0.25">
      <c r="A201" s="76"/>
      <c r="B201" s="37" t="str">
        <f>IF(A201="","",IFERROR(VLOOKUP(A201,DB_Customers!$A:$D,4,0),"❌ Account Not Found"))</f>
        <v/>
      </c>
      <c r="C201" s="77" t="str">
        <f>IF(A201="","",IFERROR(IF(SUMIF(DB_Savings!$C:$C,A201,DB_Savings!$F:$F)=0,VLOOKUP(A201,DB_Customers!$A:$I,9,0),VLOOKUP(A201,DB_Customers!$A:$N,14,0)),"❌ Acct Not Found"))</f>
        <v/>
      </c>
      <c r="D201" s="78" t="str">
        <f t="shared" ref="D201:D208" ca="1" si="18">IF(A201="","",TODAY())</f>
        <v/>
      </c>
      <c r="E201" s="79"/>
      <c r="F201" s="80" t="str">
        <f t="shared" ref="F201:F208" si="19">IF(OR(A201="",E201=""),"",IF(C201="","",C201+E201))</f>
        <v/>
      </c>
      <c r="G201" s="39" t="s">
        <v>134</v>
      </c>
      <c r="H201" s="81"/>
      <c r="I201" s="82" t="str">
        <f>IF(A201="","Pending",IF(H201="","⚠️ Enter Agent Code",IF(IFERROR(VLOOKUP(G201,DB_Agents!$B:$I,8,0),"")=H201,IF(AND(A201&lt;&gt;"",E201&lt;&gt;""),"Saved","Pending"),"🔒 BLOCKED — Wrong Code")))</f>
        <v>Pending</v>
      </c>
      <c r="J201" s="83" t="str">
        <f t="shared" ref="J201:J208" ca="1" si="20">IF(I201="Saved",TEXT(TODAY(),"YYYY-MM-DD")&amp;" Auto","—")</f>
        <v>—</v>
      </c>
      <c r="K201" s="84"/>
    </row>
    <row r="202" spans="1:11" ht="15" customHeight="1" x14ac:dyDescent="0.25">
      <c r="A202" s="85"/>
      <c r="B202" s="41" t="str">
        <f>IF(A202="","",IFERROR(VLOOKUP(A202,DB_Customers!$A:$D,4,0),"❌ Account Not Found"))</f>
        <v/>
      </c>
      <c r="C202" s="86" t="str">
        <f>IF(A202="","",IFERROR(IF(SUMIF(DB_Savings!$C:$C,A202,DB_Savings!$F:$F)=0,VLOOKUP(A202,DB_Customers!$A:$I,9,0),VLOOKUP(A202,DB_Customers!$A:$N,14,0)),"❌ Acct Not Found"))</f>
        <v/>
      </c>
      <c r="D202" s="87" t="str">
        <f t="shared" ca="1" si="18"/>
        <v/>
      </c>
      <c r="E202" s="79"/>
      <c r="F202" s="88" t="str">
        <f t="shared" si="19"/>
        <v/>
      </c>
      <c r="G202" s="43" t="s">
        <v>134</v>
      </c>
      <c r="H202" s="81"/>
      <c r="I202" s="89" t="str">
        <f>IF(A202="","Pending",IF(H202="","⚠️ Enter Agent Code",IF(IFERROR(VLOOKUP(G202,DB_Agents!$B:$I,8,0),"")=H202,IF(AND(A202&lt;&gt;"",E202&lt;&gt;""),"Saved","Pending"),"🔒 BLOCKED — Wrong Code")))</f>
        <v>Pending</v>
      </c>
      <c r="J202" s="90" t="str">
        <f t="shared" ca="1" si="20"/>
        <v>—</v>
      </c>
      <c r="K202" s="91"/>
    </row>
    <row r="203" spans="1:11" ht="15" customHeight="1" x14ac:dyDescent="0.25">
      <c r="A203" s="76"/>
      <c r="B203" s="37" t="str">
        <f>IF(A203="","",IFERROR(VLOOKUP(A203,DB_Customers!$A:$D,4,0),"❌ Account Not Found"))</f>
        <v/>
      </c>
      <c r="C203" s="77" t="str">
        <f>IF(A203="","",IFERROR(IF(SUMIF(DB_Savings!$C:$C,A203,DB_Savings!$F:$F)=0,VLOOKUP(A203,DB_Customers!$A:$I,9,0),VLOOKUP(A203,DB_Customers!$A:$N,14,0)),"❌ Acct Not Found"))</f>
        <v/>
      </c>
      <c r="D203" s="78" t="str">
        <f t="shared" ca="1" si="18"/>
        <v/>
      </c>
      <c r="E203" s="79"/>
      <c r="F203" s="80" t="str">
        <f t="shared" si="19"/>
        <v/>
      </c>
      <c r="G203" s="39" t="s">
        <v>134</v>
      </c>
      <c r="H203" s="81"/>
      <c r="I203" s="82" t="str">
        <f>IF(A203="","Pending",IF(H203="","⚠️ Enter Agent Code",IF(IFERROR(VLOOKUP(G203,DB_Agents!$B:$I,8,0),"")=H203,IF(AND(A203&lt;&gt;"",E203&lt;&gt;""),"Saved","Pending"),"🔒 BLOCKED — Wrong Code")))</f>
        <v>Pending</v>
      </c>
      <c r="J203" s="83" t="str">
        <f t="shared" ca="1" si="20"/>
        <v>—</v>
      </c>
      <c r="K203" s="84"/>
    </row>
    <row r="204" spans="1:11" ht="15" customHeight="1" x14ac:dyDescent="0.25">
      <c r="A204" s="85"/>
      <c r="B204" s="41" t="str">
        <f>IF(A204="","",IFERROR(VLOOKUP(A204,DB_Customers!$A:$D,4,0),"❌ Account Not Found"))</f>
        <v/>
      </c>
      <c r="C204" s="86" t="str">
        <f>IF(A204="","",IFERROR(IF(SUMIF(DB_Savings!$C:$C,A204,DB_Savings!$F:$F)=0,VLOOKUP(A204,DB_Customers!$A:$I,9,0),VLOOKUP(A204,DB_Customers!$A:$N,14,0)),"❌ Acct Not Found"))</f>
        <v/>
      </c>
      <c r="D204" s="87" t="str">
        <f t="shared" ca="1" si="18"/>
        <v/>
      </c>
      <c r="E204" s="79"/>
      <c r="F204" s="88" t="str">
        <f t="shared" si="19"/>
        <v/>
      </c>
      <c r="G204" s="43" t="s">
        <v>134</v>
      </c>
      <c r="H204" s="81"/>
      <c r="I204" s="89" t="str">
        <f>IF(A204="","Pending",IF(H204="","⚠️ Enter Agent Code",IF(IFERROR(VLOOKUP(G204,DB_Agents!$B:$I,8,0),"")=H204,IF(AND(A204&lt;&gt;"",E204&lt;&gt;""),"Saved","Pending"),"🔒 BLOCKED — Wrong Code")))</f>
        <v>Pending</v>
      </c>
      <c r="J204" s="90" t="str">
        <f t="shared" ca="1" si="20"/>
        <v>—</v>
      </c>
      <c r="K204" s="91"/>
    </row>
    <row r="205" spans="1:11" ht="15" customHeight="1" x14ac:dyDescent="0.25">
      <c r="A205" s="76"/>
      <c r="B205" s="37" t="str">
        <f>IF(A205="","",IFERROR(VLOOKUP(A205,DB_Customers!$A:$D,4,0),"❌ Account Not Found"))</f>
        <v/>
      </c>
      <c r="C205" s="77" t="str">
        <f>IF(A205="","",IFERROR(IF(SUMIF(DB_Savings!$C:$C,A205,DB_Savings!$F:$F)=0,VLOOKUP(A205,DB_Customers!$A:$I,9,0),VLOOKUP(A205,DB_Customers!$A:$N,14,0)),"❌ Acct Not Found"))</f>
        <v/>
      </c>
      <c r="D205" s="78" t="str">
        <f t="shared" ca="1" si="18"/>
        <v/>
      </c>
      <c r="E205" s="79"/>
      <c r="F205" s="80" t="str">
        <f t="shared" si="19"/>
        <v/>
      </c>
      <c r="G205" s="39" t="s">
        <v>134</v>
      </c>
      <c r="H205" s="81"/>
      <c r="I205" s="82" t="str">
        <f>IF(A205="","Pending",IF(H205="","⚠️ Enter Agent Code",IF(IFERROR(VLOOKUP(G205,DB_Agents!$B:$I,8,0),"")=H205,IF(AND(A205&lt;&gt;"",E205&lt;&gt;""),"Saved","Pending"),"🔒 BLOCKED — Wrong Code")))</f>
        <v>Pending</v>
      </c>
      <c r="J205" s="83" t="str">
        <f t="shared" ca="1" si="20"/>
        <v>—</v>
      </c>
      <c r="K205" s="84"/>
    </row>
    <row r="206" spans="1:11" ht="15" customHeight="1" x14ac:dyDescent="0.25">
      <c r="A206" s="85"/>
      <c r="B206" s="41" t="str">
        <f>IF(A206="","",IFERROR(VLOOKUP(A206,DB_Customers!$A:$D,4,0),"❌ Account Not Found"))</f>
        <v/>
      </c>
      <c r="C206" s="86" t="str">
        <f>IF(A206="","",IFERROR(IF(SUMIF(DB_Savings!$C:$C,A206,DB_Savings!$F:$F)=0,VLOOKUP(A206,DB_Customers!$A:$I,9,0),VLOOKUP(A206,DB_Customers!$A:$N,14,0)),"❌ Acct Not Found"))</f>
        <v/>
      </c>
      <c r="D206" s="87" t="str">
        <f t="shared" ca="1" si="18"/>
        <v/>
      </c>
      <c r="E206" s="79"/>
      <c r="F206" s="88" t="str">
        <f t="shared" si="19"/>
        <v/>
      </c>
      <c r="G206" s="43" t="s">
        <v>134</v>
      </c>
      <c r="H206" s="81"/>
      <c r="I206" s="89" t="str">
        <f>IF(A206="","Pending",IF(H206="","⚠️ Enter Agent Code",IF(IFERROR(VLOOKUP(G206,DB_Agents!$B:$I,8,0),"")=H206,IF(AND(A206&lt;&gt;"",E206&lt;&gt;""),"Saved","Pending"),"🔒 BLOCKED — Wrong Code")))</f>
        <v>Pending</v>
      </c>
      <c r="J206" s="90" t="str">
        <f t="shared" ca="1" si="20"/>
        <v>—</v>
      </c>
      <c r="K206" s="91"/>
    </row>
    <row r="207" spans="1:11" ht="15" customHeight="1" x14ac:dyDescent="0.25">
      <c r="A207" s="76"/>
      <c r="B207" s="37" t="str">
        <f>IF(A207="","",IFERROR(VLOOKUP(A207,DB_Customers!$A:$D,4,0),"❌ Account Not Found"))</f>
        <v/>
      </c>
      <c r="C207" s="77" t="str">
        <f>IF(A207="","",IFERROR(IF(SUMIF(DB_Savings!$C:$C,A207,DB_Savings!$F:$F)=0,VLOOKUP(A207,DB_Customers!$A:$I,9,0),VLOOKUP(A207,DB_Customers!$A:$N,14,0)),"❌ Acct Not Found"))</f>
        <v/>
      </c>
      <c r="D207" s="78" t="str">
        <f t="shared" ca="1" si="18"/>
        <v/>
      </c>
      <c r="E207" s="79"/>
      <c r="F207" s="80" t="str">
        <f t="shared" si="19"/>
        <v/>
      </c>
      <c r="G207" s="39" t="s">
        <v>134</v>
      </c>
      <c r="H207" s="81"/>
      <c r="I207" s="82" t="str">
        <f>IF(A207="","Pending",IF(H207="","⚠️ Enter Agent Code",IF(IFERROR(VLOOKUP(G207,DB_Agents!$B:$I,8,0),"")=H207,IF(AND(A207&lt;&gt;"",E207&lt;&gt;""),"Saved","Pending"),"🔒 BLOCKED — Wrong Code")))</f>
        <v>Pending</v>
      </c>
      <c r="J207" s="83" t="str">
        <f t="shared" ca="1" si="20"/>
        <v>—</v>
      </c>
      <c r="K207" s="84"/>
    </row>
    <row r="208" spans="1:11" ht="15" customHeight="1" x14ac:dyDescent="0.25">
      <c r="A208" s="85"/>
      <c r="B208" s="41" t="str">
        <f>IF(A208="","",IFERROR(VLOOKUP(A208,DB_Customers!$A:$D,4,0),"❌ Account Not Found"))</f>
        <v/>
      </c>
      <c r="C208" s="86" t="str">
        <f>IF(A208="","",IFERROR(IF(SUMIF(DB_Savings!$C:$C,A208,DB_Savings!$F:$F)=0,VLOOKUP(A208,DB_Customers!$A:$I,9,0),VLOOKUP(A208,DB_Customers!$A:$N,14,0)),"❌ Acct Not Found"))</f>
        <v/>
      </c>
      <c r="D208" s="87" t="str">
        <f t="shared" ca="1" si="18"/>
        <v/>
      </c>
      <c r="E208" s="79"/>
      <c r="F208" s="88" t="str">
        <f t="shared" si="19"/>
        <v/>
      </c>
      <c r="G208" s="43" t="s">
        <v>134</v>
      </c>
      <c r="H208" s="81"/>
      <c r="I208" s="89" t="str">
        <f>IF(A208="","Pending",IF(H208="","⚠️ Enter Agent Code",IF(IFERROR(VLOOKUP(G208,DB_Agents!$B:$I,8,0),"")=H208,IF(AND(A208&lt;&gt;"",E208&lt;&gt;""),"Saved","Pending"),"🔒 BLOCKED — Wrong Code")))</f>
        <v>Pending</v>
      </c>
      <c r="J208" s="90" t="str">
        <f t="shared" ca="1" si="20"/>
        <v>—</v>
      </c>
      <c r="K208" s="91"/>
    </row>
  </sheetData>
  <mergeCells count="12">
    <mergeCell ref="A2:L2"/>
    <mergeCell ref="A7:L7"/>
    <mergeCell ref="A1:L1"/>
    <mergeCell ref="A5:L5"/>
    <mergeCell ref="D4:F4"/>
    <mergeCell ref="G4:I4"/>
    <mergeCell ref="A3:C3"/>
    <mergeCell ref="J4:L4"/>
    <mergeCell ref="D3:F3"/>
    <mergeCell ref="G3:I3"/>
    <mergeCell ref="A4:C4"/>
    <mergeCell ref="J3:L3"/>
  </mergeCells>
  <conditionalFormatting sqref="H9:H208">
    <cfRule type="cellIs" dxfId="92" priority="2" operator="equal">
      <formula>"Saved"</formula>
    </cfRule>
    <cfRule type="cellIs" dxfId="91" priority="3" operator="equal">
      <formula>"Pending"</formula>
    </cfRule>
  </conditionalFormatting>
  <conditionalFormatting sqref="A9:J208">
    <cfRule type="expression" dxfId="90" priority="4">
      <formula>$H9="Saved"</formula>
    </cfRule>
  </conditionalFormatting>
  <dataValidations count="2">
    <dataValidation type="decimal" operator="greaterThan" showErrorMessage="1" error="Must be &gt; 0" sqref="E9:E208" xr:uid="{00000000-0002-0000-0C00-000000000000}">
      <formula1>0</formula1>
      <formula2>0</formula2>
    </dataValidation>
    <dataValidation type="list" sqref="G9:G208" xr:uid="{00000000-0002-0000-0C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67" t="s">
        <v>345</v>
      </c>
      <c r="B1" s="265"/>
      <c r="C1" s="265"/>
      <c r="D1" s="265"/>
      <c r="E1" s="265"/>
      <c r="F1" s="265"/>
      <c r="G1" s="265"/>
      <c r="H1" s="265"/>
      <c r="I1" s="265"/>
      <c r="J1" s="265"/>
      <c r="K1" s="265"/>
      <c r="L1" s="265"/>
      <c r="M1" s="265"/>
    </row>
    <row r="2" spans="1:13" ht="19.5" customHeight="1" x14ac:dyDescent="0.25">
      <c r="A2" s="366" t="s">
        <v>346</v>
      </c>
      <c r="B2" s="265"/>
      <c r="C2" s="265"/>
      <c r="D2" s="265"/>
      <c r="E2" s="265"/>
      <c r="F2" s="265"/>
      <c r="G2" s="265"/>
      <c r="H2" s="265"/>
      <c r="I2" s="265"/>
      <c r="J2" s="265"/>
      <c r="K2" s="265"/>
      <c r="L2" s="265"/>
      <c r="M2" s="265"/>
    </row>
    <row r="3" spans="1:13" ht="18" customHeight="1" x14ac:dyDescent="0.25">
      <c r="A3" s="328" t="s">
        <v>324</v>
      </c>
      <c r="B3" s="265"/>
      <c r="C3" s="265"/>
      <c r="D3" s="323" t="s">
        <v>325</v>
      </c>
      <c r="E3" s="265"/>
      <c r="F3" s="265"/>
      <c r="G3" s="35" t="s">
        <v>326</v>
      </c>
      <c r="K3" s="66" t="s">
        <v>313</v>
      </c>
    </row>
    <row r="4" spans="1:13" ht="27.75" customHeight="1" x14ac:dyDescent="0.25">
      <c r="A4" s="365">
        <f ca="1">SUMIFS(DB_Withdrawals!$G:$G,DB_Withdrawals!$J:$J,"Agent 02",DB_Withdrawals!$F:$F,TODAY())</f>
        <v>0</v>
      </c>
      <c r="B4" s="265"/>
      <c r="C4" s="265"/>
      <c r="D4" s="369">
        <f ca="1">COUNTIFS(DB_Withdrawals!$J:$J,"Agent 02",DB_Withdrawals!$K:$K,"Successful",DB_Withdrawals!$F:$F,TODAY())</f>
        <v>0</v>
      </c>
      <c r="E4" s="265"/>
      <c r="F4" s="265"/>
      <c r="G4" s="92">
        <f ca="1">COUNTIFS(DB_Withdrawals!$J:$J,"Agent 02",DB_Withdrawals!$K:$K,"Unsuccessful",DB_Withdrawals!$F:$F,TODAY())</f>
        <v>0</v>
      </c>
      <c r="K4" s="74" t="str">
        <f ca="1">TEXT(TODAY(),"DD MMM YYYY")</f>
        <v>24 Apr 2026</v>
      </c>
    </row>
    <row r="5" spans="1:13" ht="19.5" customHeight="1" x14ac:dyDescent="0.25">
      <c r="A5" s="368" t="s">
        <v>327</v>
      </c>
      <c r="B5" s="265"/>
      <c r="C5" s="265"/>
      <c r="D5" s="265"/>
      <c r="E5" s="265"/>
      <c r="F5" s="265"/>
      <c r="G5" s="265"/>
      <c r="H5" s="265"/>
      <c r="I5" s="265"/>
      <c r="J5" s="265"/>
      <c r="K5" s="265"/>
      <c r="L5" s="265"/>
      <c r="M5" s="265"/>
    </row>
    <row r="6" spans="1:13" ht="7.5" customHeight="1" x14ac:dyDescent="0.25"/>
    <row r="7" spans="1:13" ht="19.5" customHeight="1" x14ac:dyDescent="0.25">
      <c r="A7" s="364" t="s">
        <v>328</v>
      </c>
      <c r="B7" s="265"/>
      <c r="C7" s="265"/>
      <c r="D7" s="265"/>
      <c r="E7" s="265"/>
      <c r="F7" s="265"/>
      <c r="G7" s="265"/>
      <c r="H7" s="265"/>
      <c r="I7" s="265"/>
      <c r="J7" s="265"/>
      <c r="K7" s="265"/>
      <c r="L7" s="265"/>
      <c r="M7" s="265"/>
    </row>
    <row r="8" spans="1:13" ht="19.5" customHeight="1" x14ac:dyDescent="0.25">
      <c r="A8" s="93" t="s">
        <v>315</v>
      </c>
      <c r="B8" s="93" t="s">
        <v>77</v>
      </c>
      <c r="C8" s="93" t="s">
        <v>329</v>
      </c>
      <c r="D8" s="93" t="s">
        <v>78</v>
      </c>
      <c r="E8" s="93" t="s">
        <v>330</v>
      </c>
      <c r="F8" s="93" t="s">
        <v>331</v>
      </c>
      <c r="G8" s="93" t="s">
        <v>318</v>
      </c>
      <c r="H8" s="93" t="s">
        <v>14</v>
      </c>
      <c r="I8" s="75" t="s">
        <v>319</v>
      </c>
      <c r="J8" s="93" t="s">
        <v>13</v>
      </c>
      <c r="K8" s="93" t="s">
        <v>320</v>
      </c>
      <c r="L8" s="93" t="s">
        <v>321</v>
      </c>
    </row>
    <row r="9" spans="1:13" ht="15" customHeight="1" x14ac:dyDescent="0.25">
      <c r="A9" s="76"/>
      <c r="B9" s="37" t="str">
        <f>IF(A9="","",IFERROR(VLOOKUP(A9,DB_Customers!$A:$D,4,0),"❌ Account Not Found"))</f>
        <v/>
      </c>
      <c r="C9" s="77" t="str">
        <f>IF(A9="","",IFERROR(VLOOKUP(A9,DB_Customers!$A:$N,14,0),"❌ Acct Not Found"))</f>
        <v/>
      </c>
      <c r="D9" s="78" t="str">
        <f t="shared" ref="D9:D40" ca="1" si="0">IF(A9="","",TODAY())</f>
        <v/>
      </c>
      <c r="E9" s="94"/>
      <c r="F9" s="37"/>
      <c r="G9" s="95" t="str">
        <f t="shared" ref="G9:G40" si="1">IF(OR(A9="",E9=""),"",IF(C9="","",C9-E9))</f>
        <v/>
      </c>
      <c r="H9" s="39" t="s">
        <v>134</v>
      </c>
      <c r="I9" s="81"/>
      <c r="J9" s="82" t="str">
        <f>IF(AND(A9&lt;&gt;"",E9&lt;&gt;""),IF(I9="","⚠️ Enter Code",IF(IFERROR(VLOOKUP(H9,DB_Agents!$B:$I,8,0),"")=I9,IF(C9&gt;=E9,"Successful","Unsuccessful"),"🔒 BLOCKED — Wrong Code")),"Pending")</f>
        <v>Pending</v>
      </c>
      <c r="K9" s="83" t="str">
        <f t="shared" ref="K9:K40" ca="1" si="2">IF(J9="Successful",TEXT(TODAY(),"YYYY-MM-DD")&amp;" Auto","—")</f>
        <v>—</v>
      </c>
      <c r="L9" s="84"/>
    </row>
    <row r="10" spans="1:13" ht="15" customHeight="1" x14ac:dyDescent="0.25">
      <c r="A10" s="85"/>
      <c r="B10" s="41" t="str">
        <f>IF(A10="","",IFERROR(VLOOKUP(A10,DB_Customers!$A:$D,4,0),"❌ Account Not Found"))</f>
        <v/>
      </c>
      <c r="C10" s="86" t="str">
        <f>IF(A10="","",IFERROR(VLOOKUP(A10,DB_Customers!$A:$N,14,0),"❌ Acct Not Found"))</f>
        <v/>
      </c>
      <c r="D10" s="87" t="str">
        <f t="shared" ca="1" si="0"/>
        <v/>
      </c>
      <c r="E10" s="94"/>
      <c r="F10" s="41"/>
      <c r="G10" s="96" t="str">
        <f t="shared" si="1"/>
        <v/>
      </c>
      <c r="H10" s="43" t="s">
        <v>134</v>
      </c>
      <c r="I10" s="81"/>
      <c r="J10" s="89" t="str">
        <f>IF(AND(A10&lt;&gt;"",E10&lt;&gt;""),IF(I10="","⚠️ Enter Code",IF(IFERROR(VLOOKUP(H10,DB_Agents!$B:$I,8,0),"")=I10,IF(C10&gt;=E10,"Successful","Unsuccessful"),"🔒 BLOCKED — Wrong Code")),"Pending")</f>
        <v>Pending</v>
      </c>
      <c r="K10" s="90" t="str">
        <f t="shared" ca="1" si="2"/>
        <v>—</v>
      </c>
      <c r="L10" s="91"/>
    </row>
    <row r="11" spans="1:13" ht="15" customHeight="1" x14ac:dyDescent="0.25">
      <c r="A11" s="76"/>
      <c r="B11" s="37" t="str">
        <f>IF(A11="","",IFERROR(VLOOKUP(A11,DB_Customers!$A:$D,4,0),"❌ Account Not Found"))</f>
        <v/>
      </c>
      <c r="C11" s="77" t="str">
        <f>IF(A11="","",IFERROR(VLOOKUP(A11,DB_Customers!$A:$N,14,0),"❌ Acct Not Found"))</f>
        <v/>
      </c>
      <c r="D11" s="78" t="str">
        <f t="shared" ca="1" si="0"/>
        <v/>
      </c>
      <c r="E11" s="94"/>
      <c r="F11" s="37"/>
      <c r="G11" s="95" t="str">
        <f t="shared" si="1"/>
        <v/>
      </c>
      <c r="H11" s="39" t="s">
        <v>134</v>
      </c>
      <c r="I11" s="81"/>
      <c r="J11" s="82" t="str">
        <f>IF(AND(A11&lt;&gt;"",E11&lt;&gt;""),IF(I11="","⚠️ Enter Code",IF(IFERROR(VLOOKUP(H11,DB_Agents!$B:$I,8,0),"")=I11,IF(C11&gt;=E11,"Successful","Unsuccessful"),"🔒 BLOCKED — Wrong Code")),"Pending")</f>
        <v>Pending</v>
      </c>
      <c r="K11" s="83" t="str">
        <f t="shared" ca="1" si="2"/>
        <v>—</v>
      </c>
      <c r="L11" s="84"/>
    </row>
    <row r="12" spans="1:13" ht="15" customHeight="1" x14ac:dyDescent="0.25">
      <c r="A12" s="85"/>
      <c r="B12" s="41" t="str">
        <f>IF(A12="","",IFERROR(VLOOKUP(A12,DB_Customers!$A:$D,4,0),"❌ Account Not Found"))</f>
        <v/>
      </c>
      <c r="C12" s="86" t="str">
        <f>IF(A12="","",IFERROR(VLOOKUP(A12,DB_Customers!$A:$N,14,0),"❌ Acct Not Found"))</f>
        <v/>
      </c>
      <c r="D12" s="87" t="str">
        <f t="shared" ca="1" si="0"/>
        <v/>
      </c>
      <c r="E12" s="94"/>
      <c r="F12" s="41"/>
      <c r="G12" s="96" t="str">
        <f t="shared" si="1"/>
        <v/>
      </c>
      <c r="H12" s="43" t="s">
        <v>134</v>
      </c>
      <c r="I12" s="81"/>
      <c r="J12" s="89" t="str">
        <f>IF(AND(A12&lt;&gt;"",E12&lt;&gt;""),IF(I12="","⚠️ Enter Code",IF(IFERROR(VLOOKUP(H12,DB_Agents!$B:$I,8,0),"")=I12,IF(C12&gt;=E12,"Successful","Unsuccessful"),"🔒 BLOCKED — Wrong Code")),"Pending")</f>
        <v>Pending</v>
      </c>
      <c r="K12" s="90" t="str">
        <f t="shared" ca="1" si="2"/>
        <v>—</v>
      </c>
      <c r="L12" s="91"/>
    </row>
    <row r="13" spans="1:13" ht="15" customHeight="1" x14ac:dyDescent="0.25">
      <c r="A13" s="76"/>
      <c r="B13" s="37" t="str">
        <f>IF(A13="","",IFERROR(VLOOKUP(A13,DB_Customers!$A:$D,4,0),"❌ Account Not Found"))</f>
        <v/>
      </c>
      <c r="C13" s="77" t="str">
        <f>IF(A13="","",IFERROR(VLOOKUP(A13,DB_Customers!$A:$N,14,0),"❌ Acct Not Found"))</f>
        <v/>
      </c>
      <c r="D13" s="78" t="str">
        <f t="shared" ca="1" si="0"/>
        <v/>
      </c>
      <c r="E13" s="94"/>
      <c r="F13" s="37"/>
      <c r="G13" s="95" t="str">
        <f t="shared" si="1"/>
        <v/>
      </c>
      <c r="H13" s="39" t="s">
        <v>134</v>
      </c>
      <c r="I13" s="81"/>
      <c r="J13" s="82" t="str">
        <f>IF(AND(A13&lt;&gt;"",E13&lt;&gt;""),IF(I13="","⚠️ Enter Code",IF(IFERROR(VLOOKUP(H13,DB_Agents!$B:$I,8,0),"")=I13,IF(C13&gt;=E13,"Successful","Unsuccessful"),"🔒 BLOCKED — Wrong Code")),"Pending")</f>
        <v>Pending</v>
      </c>
      <c r="K13" s="83" t="str">
        <f t="shared" ca="1" si="2"/>
        <v>—</v>
      </c>
      <c r="L13" s="84"/>
    </row>
    <row r="14" spans="1:13" ht="15" customHeight="1" x14ac:dyDescent="0.25">
      <c r="A14" s="85"/>
      <c r="B14" s="41" t="str">
        <f>IF(A14="","",IFERROR(VLOOKUP(A14,DB_Customers!$A:$D,4,0),"❌ Account Not Found"))</f>
        <v/>
      </c>
      <c r="C14" s="86" t="str">
        <f>IF(A14="","",IFERROR(VLOOKUP(A14,DB_Customers!$A:$N,14,0),"❌ Acct Not Found"))</f>
        <v/>
      </c>
      <c r="D14" s="87" t="str">
        <f t="shared" ca="1" si="0"/>
        <v/>
      </c>
      <c r="E14" s="94"/>
      <c r="F14" s="41"/>
      <c r="G14" s="96" t="str">
        <f t="shared" si="1"/>
        <v/>
      </c>
      <c r="H14" s="43" t="s">
        <v>134</v>
      </c>
      <c r="I14" s="81"/>
      <c r="J14" s="89" t="str">
        <f>IF(AND(A14&lt;&gt;"",E14&lt;&gt;""),IF(I14="","⚠️ Enter Code",IF(IFERROR(VLOOKUP(H14,DB_Agents!$B:$I,8,0),"")=I14,IF(C14&gt;=E14,"Successful","Unsuccessful"),"🔒 BLOCKED — Wrong Code")),"Pending")</f>
        <v>Pending</v>
      </c>
      <c r="K14" s="90" t="str">
        <f t="shared" ca="1" si="2"/>
        <v>—</v>
      </c>
      <c r="L14" s="91"/>
    </row>
    <row r="15" spans="1:13" ht="15" customHeight="1" x14ac:dyDescent="0.25">
      <c r="A15" s="76"/>
      <c r="B15" s="37" t="str">
        <f>IF(A15="","",IFERROR(VLOOKUP(A15,DB_Customers!$A:$D,4,0),"❌ Account Not Found"))</f>
        <v/>
      </c>
      <c r="C15" s="77" t="str">
        <f>IF(A15="","",IFERROR(VLOOKUP(A15,DB_Customers!$A:$N,14,0),"❌ Acct Not Found"))</f>
        <v/>
      </c>
      <c r="D15" s="78" t="str">
        <f t="shared" ca="1" si="0"/>
        <v/>
      </c>
      <c r="E15" s="94"/>
      <c r="F15" s="37"/>
      <c r="G15" s="95" t="str">
        <f t="shared" si="1"/>
        <v/>
      </c>
      <c r="H15" s="39" t="s">
        <v>134</v>
      </c>
      <c r="I15" s="81"/>
      <c r="J15" s="82" t="str">
        <f>IF(AND(A15&lt;&gt;"",E15&lt;&gt;""),IF(I15="","⚠️ Enter Code",IF(IFERROR(VLOOKUP(H15,DB_Agents!$B:$I,8,0),"")=I15,IF(C15&gt;=E15,"Successful","Unsuccessful"),"🔒 BLOCKED — Wrong Code")),"Pending")</f>
        <v>Pending</v>
      </c>
      <c r="K15" s="83" t="str">
        <f t="shared" ca="1" si="2"/>
        <v>—</v>
      </c>
      <c r="L15" s="84"/>
    </row>
    <row r="16" spans="1:13" ht="15" customHeight="1" x14ac:dyDescent="0.25">
      <c r="A16" s="85"/>
      <c r="B16" s="41" t="str">
        <f>IF(A16="","",IFERROR(VLOOKUP(A16,DB_Customers!$A:$D,4,0),"❌ Account Not Found"))</f>
        <v/>
      </c>
      <c r="C16" s="86" t="str">
        <f>IF(A16="","",IFERROR(VLOOKUP(A16,DB_Customers!$A:$N,14,0),"❌ Acct Not Found"))</f>
        <v/>
      </c>
      <c r="D16" s="87" t="str">
        <f t="shared" ca="1" si="0"/>
        <v/>
      </c>
      <c r="E16" s="94"/>
      <c r="F16" s="41"/>
      <c r="G16" s="96" t="str">
        <f t="shared" si="1"/>
        <v/>
      </c>
      <c r="H16" s="43" t="s">
        <v>134</v>
      </c>
      <c r="I16" s="81"/>
      <c r="J16" s="89" t="str">
        <f>IF(AND(A16&lt;&gt;"",E16&lt;&gt;""),IF(I16="","⚠️ Enter Code",IF(IFERROR(VLOOKUP(H16,DB_Agents!$B:$I,8,0),"")=I16,IF(C16&gt;=E16,"Successful","Unsuccessful"),"🔒 BLOCKED — Wrong Code")),"Pending")</f>
        <v>Pending</v>
      </c>
      <c r="K16" s="90" t="str">
        <f t="shared" ca="1" si="2"/>
        <v>—</v>
      </c>
      <c r="L16" s="91"/>
    </row>
    <row r="17" spans="1:12" ht="15" customHeight="1" x14ac:dyDescent="0.25">
      <c r="A17" s="76"/>
      <c r="B17" s="37" t="str">
        <f>IF(A17="","",IFERROR(VLOOKUP(A17,DB_Customers!$A:$D,4,0),"❌ Account Not Found"))</f>
        <v/>
      </c>
      <c r="C17" s="77" t="str">
        <f>IF(A17="","",IFERROR(VLOOKUP(A17,DB_Customers!$A:$N,14,0),"❌ Acct Not Found"))</f>
        <v/>
      </c>
      <c r="D17" s="78" t="str">
        <f t="shared" ca="1" si="0"/>
        <v/>
      </c>
      <c r="E17" s="94"/>
      <c r="F17" s="37"/>
      <c r="G17" s="95" t="str">
        <f t="shared" si="1"/>
        <v/>
      </c>
      <c r="H17" s="39" t="s">
        <v>134</v>
      </c>
      <c r="I17" s="81"/>
      <c r="J17" s="82" t="str">
        <f>IF(AND(A17&lt;&gt;"",E17&lt;&gt;""),IF(I17="","⚠️ Enter Code",IF(IFERROR(VLOOKUP(H17,DB_Agents!$B:$I,8,0),"")=I17,IF(C17&gt;=E17,"Successful","Unsuccessful"),"🔒 BLOCKED — Wrong Code")),"Pending")</f>
        <v>Pending</v>
      </c>
      <c r="K17" s="83" t="str">
        <f t="shared" ca="1" si="2"/>
        <v>—</v>
      </c>
      <c r="L17" s="84"/>
    </row>
    <row r="18" spans="1:12" ht="15" customHeight="1" x14ac:dyDescent="0.25">
      <c r="A18" s="85"/>
      <c r="B18" s="41" t="str">
        <f>IF(A18="","",IFERROR(VLOOKUP(A18,DB_Customers!$A:$D,4,0),"❌ Account Not Found"))</f>
        <v/>
      </c>
      <c r="C18" s="86" t="str">
        <f>IF(A18="","",IFERROR(VLOOKUP(A18,DB_Customers!$A:$N,14,0),"❌ Acct Not Found"))</f>
        <v/>
      </c>
      <c r="D18" s="87" t="str">
        <f t="shared" ca="1" si="0"/>
        <v/>
      </c>
      <c r="E18" s="94"/>
      <c r="F18" s="41"/>
      <c r="G18" s="96" t="str">
        <f t="shared" si="1"/>
        <v/>
      </c>
      <c r="H18" s="43" t="s">
        <v>134</v>
      </c>
      <c r="I18" s="81"/>
      <c r="J18" s="89" t="str">
        <f>IF(AND(A18&lt;&gt;"",E18&lt;&gt;""),IF(I18="","⚠️ Enter Code",IF(IFERROR(VLOOKUP(H18,DB_Agents!$B:$I,8,0),"")=I18,IF(C18&gt;=E18,"Successful","Unsuccessful"),"🔒 BLOCKED — Wrong Code")),"Pending")</f>
        <v>Pending</v>
      </c>
      <c r="K18" s="90" t="str">
        <f t="shared" ca="1" si="2"/>
        <v>—</v>
      </c>
      <c r="L18" s="91"/>
    </row>
    <row r="19" spans="1:12" ht="15" customHeight="1" x14ac:dyDescent="0.25">
      <c r="A19" s="76"/>
      <c r="B19" s="37" t="str">
        <f>IF(A19="","",IFERROR(VLOOKUP(A19,DB_Customers!$A:$D,4,0),"❌ Account Not Found"))</f>
        <v/>
      </c>
      <c r="C19" s="77" t="str">
        <f>IF(A19="","",IFERROR(VLOOKUP(A19,DB_Customers!$A:$N,14,0),"❌ Acct Not Found"))</f>
        <v/>
      </c>
      <c r="D19" s="78" t="str">
        <f t="shared" ca="1" si="0"/>
        <v/>
      </c>
      <c r="E19" s="94"/>
      <c r="F19" s="37"/>
      <c r="G19" s="95" t="str">
        <f t="shared" si="1"/>
        <v/>
      </c>
      <c r="H19" s="39" t="s">
        <v>134</v>
      </c>
      <c r="I19" s="81"/>
      <c r="J19" s="82" t="str">
        <f>IF(AND(A19&lt;&gt;"",E19&lt;&gt;""),IF(I19="","⚠️ Enter Code",IF(IFERROR(VLOOKUP(H19,DB_Agents!$B:$I,8,0),"")=I19,IF(C19&gt;=E19,"Successful","Unsuccessful"),"🔒 BLOCKED — Wrong Code")),"Pending")</f>
        <v>Pending</v>
      </c>
      <c r="K19" s="83" t="str">
        <f t="shared" ca="1" si="2"/>
        <v>—</v>
      </c>
      <c r="L19" s="84"/>
    </row>
    <row r="20" spans="1:12" ht="15" customHeight="1" x14ac:dyDescent="0.25">
      <c r="A20" s="85"/>
      <c r="B20" s="41" t="str">
        <f>IF(A20="","",IFERROR(VLOOKUP(A20,DB_Customers!$A:$D,4,0),"❌ Account Not Found"))</f>
        <v/>
      </c>
      <c r="C20" s="86" t="str">
        <f>IF(A20="","",IFERROR(VLOOKUP(A20,DB_Customers!$A:$N,14,0),"❌ Acct Not Found"))</f>
        <v/>
      </c>
      <c r="D20" s="87" t="str">
        <f t="shared" ca="1" si="0"/>
        <v/>
      </c>
      <c r="E20" s="94"/>
      <c r="F20" s="41"/>
      <c r="G20" s="96" t="str">
        <f t="shared" si="1"/>
        <v/>
      </c>
      <c r="H20" s="43" t="s">
        <v>134</v>
      </c>
      <c r="I20" s="81"/>
      <c r="J20" s="89" t="str">
        <f>IF(AND(A20&lt;&gt;"",E20&lt;&gt;""),IF(I20="","⚠️ Enter Code",IF(IFERROR(VLOOKUP(H20,DB_Agents!$B:$I,8,0),"")=I20,IF(C20&gt;=E20,"Successful","Unsuccessful"),"🔒 BLOCKED — Wrong Code")),"Pending")</f>
        <v>Pending</v>
      </c>
      <c r="K20" s="90" t="str">
        <f t="shared" ca="1" si="2"/>
        <v>—</v>
      </c>
      <c r="L20" s="91"/>
    </row>
    <row r="21" spans="1:12" ht="15" customHeight="1" x14ac:dyDescent="0.25">
      <c r="A21" s="76"/>
      <c r="B21" s="37" t="str">
        <f>IF(A21="","",IFERROR(VLOOKUP(A21,DB_Customers!$A:$D,4,0),"❌ Account Not Found"))</f>
        <v/>
      </c>
      <c r="C21" s="77" t="str">
        <f>IF(A21="","",IFERROR(VLOOKUP(A21,DB_Customers!$A:$N,14,0),"❌ Acct Not Found"))</f>
        <v/>
      </c>
      <c r="D21" s="78" t="str">
        <f t="shared" ca="1" si="0"/>
        <v/>
      </c>
      <c r="E21" s="94"/>
      <c r="F21" s="37"/>
      <c r="G21" s="95" t="str">
        <f t="shared" si="1"/>
        <v/>
      </c>
      <c r="H21" s="39" t="s">
        <v>134</v>
      </c>
      <c r="I21" s="81"/>
      <c r="J21" s="82" t="str">
        <f>IF(AND(A21&lt;&gt;"",E21&lt;&gt;""),IF(I21="","⚠️ Enter Code",IF(IFERROR(VLOOKUP(H21,DB_Agents!$B:$I,8,0),"")=I21,IF(C21&gt;=E21,"Successful","Unsuccessful"),"🔒 BLOCKED — Wrong Code")),"Pending")</f>
        <v>Pending</v>
      </c>
      <c r="K21" s="83" t="str">
        <f t="shared" ca="1" si="2"/>
        <v>—</v>
      </c>
      <c r="L21" s="84"/>
    </row>
    <row r="22" spans="1:12" ht="15" customHeight="1" x14ac:dyDescent="0.25">
      <c r="A22" s="85"/>
      <c r="B22" s="41" t="str">
        <f>IF(A22="","",IFERROR(VLOOKUP(A22,DB_Customers!$A:$D,4,0),"❌ Account Not Found"))</f>
        <v/>
      </c>
      <c r="C22" s="86" t="str">
        <f>IF(A22="","",IFERROR(VLOOKUP(A22,DB_Customers!$A:$N,14,0),"❌ Acct Not Found"))</f>
        <v/>
      </c>
      <c r="D22" s="87" t="str">
        <f t="shared" ca="1" si="0"/>
        <v/>
      </c>
      <c r="E22" s="94"/>
      <c r="F22" s="41"/>
      <c r="G22" s="96" t="str">
        <f t="shared" si="1"/>
        <v/>
      </c>
      <c r="H22" s="43" t="s">
        <v>134</v>
      </c>
      <c r="I22" s="81"/>
      <c r="J22" s="89" t="str">
        <f>IF(AND(A22&lt;&gt;"",E22&lt;&gt;""),IF(I22="","⚠️ Enter Code",IF(IFERROR(VLOOKUP(H22,DB_Agents!$B:$I,8,0),"")=I22,IF(C22&gt;=E22,"Successful","Unsuccessful"),"🔒 BLOCKED — Wrong Code")),"Pending")</f>
        <v>Pending</v>
      </c>
      <c r="K22" s="90" t="str">
        <f t="shared" ca="1" si="2"/>
        <v>—</v>
      </c>
      <c r="L22" s="91"/>
    </row>
    <row r="23" spans="1:12" ht="15" customHeight="1" x14ac:dyDescent="0.25">
      <c r="A23" s="76"/>
      <c r="B23" s="37" t="str">
        <f>IF(A23="","",IFERROR(VLOOKUP(A23,DB_Customers!$A:$D,4,0),"❌ Account Not Found"))</f>
        <v/>
      </c>
      <c r="C23" s="77" t="str">
        <f>IF(A23="","",IFERROR(VLOOKUP(A23,DB_Customers!$A:$N,14,0),"❌ Acct Not Found"))</f>
        <v/>
      </c>
      <c r="D23" s="78" t="str">
        <f t="shared" ca="1" si="0"/>
        <v/>
      </c>
      <c r="E23" s="94"/>
      <c r="F23" s="37"/>
      <c r="G23" s="95" t="str">
        <f t="shared" si="1"/>
        <v/>
      </c>
      <c r="H23" s="39" t="s">
        <v>134</v>
      </c>
      <c r="I23" s="81"/>
      <c r="J23" s="82" t="str">
        <f>IF(AND(A23&lt;&gt;"",E23&lt;&gt;""),IF(I23="","⚠️ Enter Code",IF(IFERROR(VLOOKUP(H23,DB_Agents!$B:$I,8,0),"")=I23,IF(C23&gt;=E23,"Successful","Unsuccessful"),"🔒 BLOCKED — Wrong Code")),"Pending")</f>
        <v>Pending</v>
      </c>
      <c r="K23" s="83" t="str">
        <f t="shared" ca="1" si="2"/>
        <v>—</v>
      </c>
      <c r="L23" s="84"/>
    </row>
    <row r="24" spans="1:12" ht="15" customHeight="1" x14ac:dyDescent="0.25">
      <c r="A24" s="85"/>
      <c r="B24" s="41" t="str">
        <f>IF(A24="","",IFERROR(VLOOKUP(A24,DB_Customers!$A:$D,4,0),"❌ Account Not Found"))</f>
        <v/>
      </c>
      <c r="C24" s="86" t="str">
        <f>IF(A24="","",IFERROR(VLOOKUP(A24,DB_Customers!$A:$N,14,0),"❌ Acct Not Found"))</f>
        <v/>
      </c>
      <c r="D24" s="87" t="str">
        <f t="shared" ca="1" si="0"/>
        <v/>
      </c>
      <c r="E24" s="94"/>
      <c r="F24" s="41"/>
      <c r="G24" s="96" t="str">
        <f t="shared" si="1"/>
        <v/>
      </c>
      <c r="H24" s="43" t="s">
        <v>134</v>
      </c>
      <c r="I24" s="81"/>
      <c r="J24" s="89" t="str">
        <f>IF(AND(A24&lt;&gt;"",E24&lt;&gt;""),IF(I24="","⚠️ Enter Code",IF(IFERROR(VLOOKUP(H24,DB_Agents!$B:$I,8,0),"")=I24,IF(C24&gt;=E24,"Successful","Unsuccessful"),"🔒 BLOCKED — Wrong Code")),"Pending")</f>
        <v>Pending</v>
      </c>
      <c r="K24" s="90" t="str">
        <f t="shared" ca="1" si="2"/>
        <v>—</v>
      </c>
      <c r="L24" s="91"/>
    </row>
    <row r="25" spans="1:12" ht="15" customHeight="1" x14ac:dyDescent="0.25">
      <c r="A25" s="76"/>
      <c r="B25" s="37" t="str">
        <f>IF(A25="","",IFERROR(VLOOKUP(A25,DB_Customers!$A:$D,4,0),"❌ Account Not Found"))</f>
        <v/>
      </c>
      <c r="C25" s="77" t="str">
        <f>IF(A25="","",IFERROR(VLOOKUP(A25,DB_Customers!$A:$N,14,0),"❌ Acct Not Found"))</f>
        <v/>
      </c>
      <c r="D25" s="78" t="str">
        <f t="shared" ca="1" si="0"/>
        <v/>
      </c>
      <c r="E25" s="94"/>
      <c r="F25" s="37"/>
      <c r="G25" s="95" t="str">
        <f t="shared" si="1"/>
        <v/>
      </c>
      <c r="H25" s="39" t="s">
        <v>134</v>
      </c>
      <c r="I25" s="81"/>
      <c r="J25" s="82" t="str">
        <f>IF(AND(A25&lt;&gt;"",E25&lt;&gt;""),IF(I25="","⚠️ Enter Code",IF(IFERROR(VLOOKUP(H25,DB_Agents!$B:$I,8,0),"")=I25,IF(C25&gt;=E25,"Successful","Unsuccessful"),"🔒 BLOCKED — Wrong Code")),"Pending")</f>
        <v>Pending</v>
      </c>
      <c r="K25" s="83" t="str">
        <f t="shared" ca="1" si="2"/>
        <v>—</v>
      </c>
      <c r="L25" s="84"/>
    </row>
    <row r="26" spans="1:12" ht="15" customHeight="1" x14ac:dyDescent="0.25">
      <c r="A26" s="85"/>
      <c r="B26" s="41" t="str">
        <f>IF(A26="","",IFERROR(VLOOKUP(A26,DB_Customers!$A:$D,4,0),"❌ Account Not Found"))</f>
        <v/>
      </c>
      <c r="C26" s="86" t="str">
        <f>IF(A26="","",IFERROR(VLOOKUP(A26,DB_Customers!$A:$N,14,0),"❌ Acct Not Found"))</f>
        <v/>
      </c>
      <c r="D26" s="87" t="str">
        <f t="shared" ca="1" si="0"/>
        <v/>
      </c>
      <c r="E26" s="94"/>
      <c r="F26" s="41"/>
      <c r="G26" s="96" t="str">
        <f t="shared" si="1"/>
        <v/>
      </c>
      <c r="H26" s="43" t="s">
        <v>134</v>
      </c>
      <c r="I26" s="81"/>
      <c r="J26" s="89" t="str">
        <f>IF(AND(A26&lt;&gt;"",E26&lt;&gt;""),IF(I26="","⚠️ Enter Code",IF(IFERROR(VLOOKUP(H26,DB_Agents!$B:$I,8,0),"")=I26,IF(C26&gt;=E26,"Successful","Unsuccessful"),"🔒 BLOCKED — Wrong Code")),"Pending")</f>
        <v>Pending</v>
      </c>
      <c r="K26" s="90" t="str">
        <f t="shared" ca="1" si="2"/>
        <v>—</v>
      </c>
      <c r="L26" s="91"/>
    </row>
    <row r="27" spans="1:12" ht="15" customHeight="1" x14ac:dyDescent="0.25">
      <c r="A27" s="76"/>
      <c r="B27" s="37" t="str">
        <f>IF(A27="","",IFERROR(VLOOKUP(A27,DB_Customers!$A:$D,4,0),"❌ Account Not Found"))</f>
        <v/>
      </c>
      <c r="C27" s="77" t="str">
        <f>IF(A27="","",IFERROR(VLOOKUP(A27,DB_Customers!$A:$N,14,0),"❌ Acct Not Found"))</f>
        <v/>
      </c>
      <c r="D27" s="78" t="str">
        <f t="shared" ca="1" si="0"/>
        <v/>
      </c>
      <c r="E27" s="94"/>
      <c r="F27" s="37"/>
      <c r="G27" s="95" t="str">
        <f t="shared" si="1"/>
        <v/>
      </c>
      <c r="H27" s="39" t="s">
        <v>134</v>
      </c>
      <c r="I27" s="81"/>
      <c r="J27" s="82" t="str">
        <f>IF(AND(A27&lt;&gt;"",E27&lt;&gt;""),IF(I27="","⚠️ Enter Code",IF(IFERROR(VLOOKUP(H27,DB_Agents!$B:$I,8,0),"")=I27,IF(C27&gt;=E27,"Successful","Unsuccessful"),"🔒 BLOCKED — Wrong Code")),"Pending")</f>
        <v>Pending</v>
      </c>
      <c r="K27" s="83" t="str">
        <f t="shared" ca="1" si="2"/>
        <v>—</v>
      </c>
      <c r="L27" s="84"/>
    </row>
    <row r="28" spans="1:12" ht="15" customHeight="1" x14ac:dyDescent="0.25">
      <c r="A28" s="85"/>
      <c r="B28" s="41" t="str">
        <f>IF(A28="","",IFERROR(VLOOKUP(A28,DB_Customers!$A:$D,4,0),"❌ Account Not Found"))</f>
        <v/>
      </c>
      <c r="C28" s="86" t="str">
        <f>IF(A28="","",IFERROR(VLOOKUP(A28,DB_Customers!$A:$N,14,0),"❌ Acct Not Found"))</f>
        <v/>
      </c>
      <c r="D28" s="87" t="str">
        <f t="shared" ca="1" si="0"/>
        <v/>
      </c>
      <c r="E28" s="94"/>
      <c r="F28" s="41"/>
      <c r="G28" s="96" t="str">
        <f t="shared" si="1"/>
        <v/>
      </c>
      <c r="H28" s="43" t="s">
        <v>134</v>
      </c>
      <c r="I28" s="81"/>
      <c r="J28" s="89" t="str">
        <f>IF(AND(A28&lt;&gt;"",E28&lt;&gt;""),IF(I28="","⚠️ Enter Code",IF(IFERROR(VLOOKUP(H28,DB_Agents!$B:$I,8,0),"")=I28,IF(C28&gt;=E28,"Successful","Unsuccessful"),"🔒 BLOCKED — Wrong Code")),"Pending")</f>
        <v>Pending</v>
      </c>
      <c r="K28" s="90" t="str">
        <f t="shared" ca="1" si="2"/>
        <v>—</v>
      </c>
      <c r="L28" s="91"/>
    </row>
    <row r="29" spans="1:12" ht="15" customHeight="1" x14ac:dyDescent="0.25">
      <c r="A29" s="76"/>
      <c r="B29" s="37" t="str">
        <f>IF(A29="","",IFERROR(VLOOKUP(A29,DB_Customers!$A:$D,4,0),"❌ Account Not Found"))</f>
        <v/>
      </c>
      <c r="C29" s="77" t="str">
        <f>IF(A29="","",IFERROR(VLOOKUP(A29,DB_Customers!$A:$N,14,0),"❌ Acct Not Found"))</f>
        <v/>
      </c>
      <c r="D29" s="78" t="str">
        <f t="shared" ca="1" si="0"/>
        <v/>
      </c>
      <c r="E29" s="94"/>
      <c r="F29" s="37"/>
      <c r="G29" s="95" t="str">
        <f t="shared" si="1"/>
        <v/>
      </c>
      <c r="H29" s="39" t="s">
        <v>134</v>
      </c>
      <c r="I29" s="81"/>
      <c r="J29" s="82" t="str">
        <f>IF(AND(A29&lt;&gt;"",E29&lt;&gt;""),IF(I29="","⚠️ Enter Code",IF(IFERROR(VLOOKUP(H29,DB_Agents!$B:$I,8,0),"")=I29,IF(C29&gt;=E29,"Successful","Unsuccessful"),"🔒 BLOCKED — Wrong Code")),"Pending")</f>
        <v>Pending</v>
      </c>
      <c r="K29" s="83" t="str">
        <f t="shared" ca="1" si="2"/>
        <v>—</v>
      </c>
      <c r="L29" s="84"/>
    </row>
    <row r="30" spans="1:12" ht="15" customHeight="1" x14ac:dyDescent="0.25">
      <c r="A30" s="85"/>
      <c r="B30" s="41" t="str">
        <f>IF(A30="","",IFERROR(VLOOKUP(A30,DB_Customers!$A:$D,4,0),"❌ Account Not Found"))</f>
        <v/>
      </c>
      <c r="C30" s="86" t="str">
        <f>IF(A30="","",IFERROR(VLOOKUP(A30,DB_Customers!$A:$N,14,0),"❌ Acct Not Found"))</f>
        <v/>
      </c>
      <c r="D30" s="87" t="str">
        <f t="shared" ca="1" si="0"/>
        <v/>
      </c>
      <c r="E30" s="94"/>
      <c r="F30" s="41"/>
      <c r="G30" s="96" t="str">
        <f t="shared" si="1"/>
        <v/>
      </c>
      <c r="H30" s="43" t="s">
        <v>134</v>
      </c>
      <c r="I30" s="81"/>
      <c r="J30" s="89" t="str">
        <f>IF(AND(A30&lt;&gt;"",E30&lt;&gt;""),IF(I30="","⚠️ Enter Code",IF(IFERROR(VLOOKUP(H30,DB_Agents!$B:$I,8,0),"")=I30,IF(C30&gt;=E30,"Successful","Unsuccessful"),"🔒 BLOCKED — Wrong Code")),"Pending")</f>
        <v>Pending</v>
      </c>
      <c r="K30" s="90" t="str">
        <f t="shared" ca="1" si="2"/>
        <v>—</v>
      </c>
      <c r="L30" s="91"/>
    </row>
    <row r="31" spans="1:12" ht="15" customHeight="1" x14ac:dyDescent="0.25">
      <c r="A31" s="76"/>
      <c r="B31" s="37" t="str">
        <f>IF(A31="","",IFERROR(VLOOKUP(A31,DB_Customers!$A:$D,4,0),"❌ Account Not Found"))</f>
        <v/>
      </c>
      <c r="C31" s="77" t="str">
        <f>IF(A31="","",IFERROR(VLOOKUP(A31,DB_Customers!$A:$N,14,0),"❌ Acct Not Found"))</f>
        <v/>
      </c>
      <c r="D31" s="78" t="str">
        <f t="shared" ca="1" si="0"/>
        <v/>
      </c>
      <c r="E31" s="94"/>
      <c r="F31" s="37"/>
      <c r="G31" s="95" t="str">
        <f t="shared" si="1"/>
        <v/>
      </c>
      <c r="H31" s="39" t="s">
        <v>134</v>
      </c>
      <c r="I31" s="81"/>
      <c r="J31" s="82" t="str">
        <f>IF(AND(A31&lt;&gt;"",E31&lt;&gt;""),IF(I31="","⚠️ Enter Code",IF(IFERROR(VLOOKUP(H31,DB_Agents!$B:$I,8,0),"")=I31,IF(C31&gt;=E31,"Successful","Unsuccessful"),"🔒 BLOCKED — Wrong Code")),"Pending")</f>
        <v>Pending</v>
      </c>
      <c r="K31" s="83" t="str">
        <f t="shared" ca="1" si="2"/>
        <v>—</v>
      </c>
      <c r="L31" s="84"/>
    </row>
    <row r="32" spans="1:12" ht="15" customHeight="1" x14ac:dyDescent="0.25">
      <c r="A32" s="85"/>
      <c r="B32" s="41" t="str">
        <f>IF(A32="","",IFERROR(VLOOKUP(A32,DB_Customers!$A:$D,4,0),"❌ Account Not Found"))</f>
        <v/>
      </c>
      <c r="C32" s="86" t="str">
        <f>IF(A32="","",IFERROR(VLOOKUP(A32,DB_Customers!$A:$N,14,0),"❌ Acct Not Found"))</f>
        <v/>
      </c>
      <c r="D32" s="87" t="str">
        <f t="shared" ca="1" si="0"/>
        <v/>
      </c>
      <c r="E32" s="94"/>
      <c r="F32" s="41"/>
      <c r="G32" s="96" t="str">
        <f t="shared" si="1"/>
        <v/>
      </c>
      <c r="H32" s="43" t="s">
        <v>134</v>
      </c>
      <c r="I32" s="81"/>
      <c r="J32" s="89" t="str">
        <f>IF(AND(A32&lt;&gt;"",E32&lt;&gt;""),IF(I32="","⚠️ Enter Code",IF(IFERROR(VLOOKUP(H32,DB_Agents!$B:$I,8,0),"")=I32,IF(C32&gt;=E32,"Successful","Unsuccessful"),"🔒 BLOCKED — Wrong Code")),"Pending")</f>
        <v>Pending</v>
      </c>
      <c r="K32" s="90" t="str">
        <f t="shared" ca="1" si="2"/>
        <v>—</v>
      </c>
      <c r="L32" s="91"/>
    </row>
    <row r="33" spans="1:12" ht="15" customHeight="1" x14ac:dyDescent="0.25">
      <c r="A33" s="76"/>
      <c r="B33" s="37" t="str">
        <f>IF(A33="","",IFERROR(VLOOKUP(A33,DB_Customers!$A:$D,4,0),"❌ Account Not Found"))</f>
        <v/>
      </c>
      <c r="C33" s="77" t="str">
        <f>IF(A33="","",IFERROR(VLOOKUP(A33,DB_Customers!$A:$N,14,0),"❌ Acct Not Found"))</f>
        <v/>
      </c>
      <c r="D33" s="78" t="str">
        <f t="shared" ca="1" si="0"/>
        <v/>
      </c>
      <c r="E33" s="94"/>
      <c r="F33" s="37"/>
      <c r="G33" s="95" t="str">
        <f t="shared" si="1"/>
        <v/>
      </c>
      <c r="H33" s="39" t="s">
        <v>134</v>
      </c>
      <c r="I33" s="81"/>
      <c r="J33" s="82" t="str">
        <f>IF(AND(A33&lt;&gt;"",E33&lt;&gt;""),IF(I33="","⚠️ Enter Code",IF(IFERROR(VLOOKUP(H33,DB_Agents!$B:$I,8,0),"")=I33,IF(C33&gt;=E33,"Successful","Unsuccessful"),"🔒 BLOCKED — Wrong Code")),"Pending")</f>
        <v>Pending</v>
      </c>
      <c r="K33" s="83" t="str">
        <f t="shared" ca="1" si="2"/>
        <v>—</v>
      </c>
      <c r="L33" s="84"/>
    </row>
    <row r="34" spans="1:12" ht="15" customHeight="1" x14ac:dyDescent="0.25">
      <c r="A34" s="85"/>
      <c r="B34" s="41" t="str">
        <f>IF(A34="","",IFERROR(VLOOKUP(A34,DB_Customers!$A:$D,4,0),"❌ Account Not Found"))</f>
        <v/>
      </c>
      <c r="C34" s="86" t="str">
        <f>IF(A34="","",IFERROR(VLOOKUP(A34,DB_Customers!$A:$N,14,0),"❌ Acct Not Found"))</f>
        <v/>
      </c>
      <c r="D34" s="87" t="str">
        <f t="shared" ca="1" si="0"/>
        <v/>
      </c>
      <c r="E34" s="94"/>
      <c r="F34" s="41"/>
      <c r="G34" s="96" t="str">
        <f t="shared" si="1"/>
        <v/>
      </c>
      <c r="H34" s="43" t="s">
        <v>134</v>
      </c>
      <c r="I34" s="81"/>
      <c r="J34" s="89" t="str">
        <f>IF(AND(A34&lt;&gt;"",E34&lt;&gt;""),IF(I34="","⚠️ Enter Code",IF(IFERROR(VLOOKUP(H34,DB_Agents!$B:$I,8,0),"")=I34,IF(C34&gt;=E34,"Successful","Unsuccessful"),"🔒 BLOCKED — Wrong Code")),"Pending")</f>
        <v>Pending</v>
      </c>
      <c r="K34" s="90" t="str">
        <f t="shared" ca="1" si="2"/>
        <v>—</v>
      </c>
      <c r="L34" s="91"/>
    </row>
    <row r="35" spans="1:12" ht="15" customHeight="1" x14ac:dyDescent="0.25">
      <c r="A35" s="76"/>
      <c r="B35" s="37" t="str">
        <f>IF(A35="","",IFERROR(VLOOKUP(A35,DB_Customers!$A:$D,4,0),"❌ Account Not Found"))</f>
        <v/>
      </c>
      <c r="C35" s="77" t="str">
        <f>IF(A35="","",IFERROR(VLOOKUP(A35,DB_Customers!$A:$N,14,0),"❌ Acct Not Found"))</f>
        <v/>
      </c>
      <c r="D35" s="78" t="str">
        <f t="shared" ca="1" si="0"/>
        <v/>
      </c>
      <c r="E35" s="94"/>
      <c r="F35" s="37"/>
      <c r="G35" s="95" t="str">
        <f t="shared" si="1"/>
        <v/>
      </c>
      <c r="H35" s="39" t="s">
        <v>134</v>
      </c>
      <c r="I35" s="81"/>
      <c r="J35" s="82" t="str">
        <f>IF(AND(A35&lt;&gt;"",E35&lt;&gt;""),IF(I35="","⚠️ Enter Code",IF(IFERROR(VLOOKUP(H35,DB_Agents!$B:$I,8,0),"")=I35,IF(C35&gt;=E35,"Successful","Unsuccessful"),"🔒 BLOCKED — Wrong Code")),"Pending")</f>
        <v>Pending</v>
      </c>
      <c r="K35" s="83" t="str">
        <f t="shared" ca="1" si="2"/>
        <v>—</v>
      </c>
      <c r="L35" s="84"/>
    </row>
    <row r="36" spans="1:12" ht="15" customHeight="1" x14ac:dyDescent="0.25">
      <c r="A36" s="85"/>
      <c r="B36" s="41" t="str">
        <f>IF(A36="","",IFERROR(VLOOKUP(A36,DB_Customers!$A:$D,4,0),"❌ Account Not Found"))</f>
        <v/>
      </c>
      <c r="C36" s="86" t="str">
        <f>IF(A36="","",IFERROR(VLOOKUP(A36,DB_Customers!$A:$N,14,0),"❌ Acct Not Found"))</f>
        <v/>
      </c>
      <c r="D36" s="87" t="str">
        <f t="shared" ca="1" si="0"/>
        <v/>
      </c>
      <c r="E36" s="94"/>
      <c r="F36" s="41"/>
      <c r="G36" s="96" t="str">
        <f t="shared" si="1"/>
        <v/>
      </c>
      <c r="H36" s="43" t="s">
        <v>134</v>
      </c>
      <c r="I36" s="81"/>
      <c r="J36" s="89" t="str">
        <f>IF(AND(A36&lt;&gt;"",E36&lt;&gt;""),IF(I36="","⚠️ Enter Code",IF(IFERROR(VLOOKUP(H36,DB_Agents!$B:$I,8,0),"")=I36,IF(C36&gt;=E36,"Successful","Unsuccessful"),"🔒 BLOCKED — Wrong Code")),"Pending")</f>
        <v>Pending</v>
      </c>
      <c r="K36" s="90" t="str">
        <f t="shared" ca="1" si="2"/>
        <v>—</v>
      </c>
      <c r="L36" s="91"/>
    </row>
    <row r="37" spans="1:12" ht="15" customHeight="1" x14ac:dyDescent="0.25">
      <c r="A37" s="76"/>
      <c r="B37" s="37" t="str">
        <f>IF(A37="","",IFERROR(VLOOKUP(A37,DB_Customers!$A:$D,4,0),"❌ Account Not Found"))</f>
        <v/>
      </c>
      <c r="C37" s="77" t="str">
        <f>IF(A37="","",IFERROR(VLOOKUP(A37,DB_Customers!$A:$N,14,0),"❌ Acct Not Found"))</f>
        <v/>
      </c>
      <c r="D37" s="78" t="str">
        <f t="shared" ca="1" si="0"/>
        <v/>
      </c>
      <c r="E37" s="94"/>
      <c r="F37" s="37"/>
      <c r="G37" s="95" t="str">
        <f t="shared" si="1"/>
        <v/>
      </c>
      <c r="H37" s="39" t="s">
        <v>134</v>
      </c>
      <c r="I37" s="81"/>
      <c r="J37" s="82" t="str">
        <f>IF(AND(A37&lt;&gt;"",E37&lt;&gt;""),IF(I37="","⚠️ Enter Code",IF(IFERROR(VLOOKUP(H37,DB_Agents!$B:$I,8,0),"")=I37,IF(C37&gt;=E37,"Successful","Unsuccessful"),"🔒 BLOCKED — Wrong Code")),"Pending")</f>
        <v>Pending</v>
      </c>
      <c r="K37" s="83" t="str">
        <f t="shared" ca="1" si="2"/>
        <v>—</v>
      </c>
      <c r="L37" s="84"/>
    </row>
    <row r="38" spans="1:12" ht="15" customHeight="1" x14ac:dyDescent="0.25">
      <c r="A38" s="85"/>
      <c r="B38" s="41" t="str">
        <f>IF(A38="","",IFERROR(VLOOKUP(A38,DB_Customers!$A:$D,4,0),"❌ Account Not Found"))</f>
        <v/>
      </c>
      <c r="C38" s="86" t="str">
        <f>IF(A38="","",IFERROR(VLOOKUP(A38,DB_Customers!$A:$N,14,0),"❌ Acct Not Found"))</f>
        <v/>
      </c>
      <c r="D38" s="87" t="str">
        <f t="shared" ca="1" si="0"/>
        <v/>
      </c>
      <c r="E38" s="94"/>
      <c r="F38" s="41"/>
      <c r="G38" s="96" t="str">
        <f t="shared" si="1"/>
        <v/>
      </c>
      <c r="H38" s="43" t="s">
        <v>134</v>
      </c>
      <c r="I38" s="81"/>
      <c r="J38" s="89" t="str">
        <f>IF(AND(A38&lt;&gt;"",E38&lt;&gt;""),IF(I38="","⚠️ Enter Code",IF(IFERROR(VLOOKUP(H38,DB_Agents!$B:$I,8,0),"")=I38,IF(C38&gt;=E38,"Successful","Unsuccessful"),"🔒 BLOCKED — Wrong Code")),"Pending")</f>
        <v>Pending</v>
      </c>
      <c r="K38" s="90" t="str">
        <f t="shared" ca="1" si="2"/>
        <v>—</v>
      </c>
      <c r="L38" s="91"/>
    </row>
    <row r="39" spans="1:12" ht="15" customHeight="1" x14ac:dyDescent="0.25">
      <c r="A39" s="76"/>
      <c r="B39" s="37" t="str">
        <f>IF(A39="","",IFERROR(VLOOKUP(A39,DB_Customers!$A:$D,4,0),"❌ Account Not Found"))</f>
        <v/>
      </c>
      <c r="C39" s="77" t="str">
        <f>IF(A39="","",IFERROR(VLOOKUP(A39,DB_Customers!$A:$N,14,0),"❌ Acct Not Found"))</f>
        <v/>
      </c>
      <c r="D39" s="78" t="str">
        <f t="shared" ca="1" si="0"/>
        <v/>
      </c>
      <c r="E39" s="94"/>
      <c r="F39" s="37"/>
      <c r="G39" s="95" t="str">
        <f t="shared" si="1"/>
        <v/>
      </c>
      <c r="H39" s="39" t="s">
        <v>134</v>
      </c>
      <c r="I39" s="81"/>
      <c r="J39" s="82" t="str">
        <f>IF(AND(A39&lt;&gt;"",E39&lt;&gt;""),IF(I39="","⚠️ Enter Code",IF(IFERROR(VLOOKUP(H39,DB_Agents!$B:$I,8,0),"")=I39,IF(C39&gt;=E39,"Successful","Unsuccessful"),"🔒 BLOCKED — Wrong Code")),"Pending")</f>
        <v>Pending</v>
      </c>
      <c r="K39" s="83" t="str">
        <f t="shared" ca="1" si="2"/>
        <v>—</v>
      </c>
      <c r="L39" s="84"/>
    </row>
    <row r="40" spans="1:12" ht="15" customHeight="1" x14ac:dyDescent="0.25">
      <c r="A40" s="85"/>
      <c r="B40" s="41" t="str">
        <f>IF(A40="","",IFERROR(VLOOKUP(A40,DB_Customers!$A:$D,4,0),"❌ Account Not Found"))</f>
        <v/>
      </c>
      <c r="C40" s="86" t="str">
        <f>IF(A40="","",IFERROR(VLOOKUP(A40,DB_Customers!$A:$N,14,0),"❌ Acct Not Found"))</f>
        <v/>
      </c>
      <c r="D40" s="87" t="str">
        <f t="shared" ca="1" si="0"/>
        <v/>
      </c>
      <c r="E40" s="94"/>
      <c r="F40" s="41"/>
      <c r="G40" s="96" t="str">
        <f t="shared" si="1"/>
        <v/>
      </c>
      <c r="H40" s="43" t="s">
        <v>134</v>
      </c>
      <c r="I40" s="81"/>
      <c r="J40" s="89" t="str">
        <f>IF(AND(A40&lt;&gt;"",E40&lt;&gt;""),IF(I40="","⚠️ Enter Code",IF(IFERROR(VLOOKUP(H40,DB_Agents!$B:$I,8,0),"")=I40,IF(C40&gt;=E40,"Successful","Unsuccessful"),"🔒 BLOCKED — Wrong Code")),"Pending")</f>
        <v>Pending</v>
      </c>
      <c r="K40" s="90" t="str">
        <f t="shared" ca="1" si="2"/>
        <v>—</v>
      </c>
      <c r="L40" s="91"/>
    </row>
    <row r="41" spans="1:12" ht="15" customHeight="1" x14ac:dyDescent="0.25">
      <c r="A41" s="76"/>
      <c r="B41" s="37" t="str">
        <f>IF(A41="","",IFERROR(VLOOKUP(A41,DB_Customers!$A:$D,4,0),"❌ Account Not Found"))</f>
        <v/>
      </c>
      <c r="C41" s="77" t="str">
        <f>IF(A41="","",IFERROR(VLOOKUP(A41,DB_Customers!$A:$N,14,0),"❌ Acct Not Found"))</f>
        <v/>
      </c>
      <c r="D41" s="78" t="str">
        <f t="shared" ref="D41:D72" ca="1" si="3">IF(A41="","",TODAY())</f>
        <v/>
      </c>
      <c r="E41" s="94"/>
      <c r="F41" s="37"/>
      <c r="G41" s="95" t="str">
        <f t="shared" ref="G41:G72" si="4">IF(OR(A41="",E41=""),"",IF(C41="","",C41-E41))</f>
        <v/>
      </c>
      <c r="H41" s="39" t="s">
        <v>134</v>
      </c>
      <c r="I41" s="81"/>
      <c r="J41" s="82" t="str">
        <f>IF(AND(A41&lt;&gt;"",E41&lt;&gt;""),IF(I41="","⚠️ Enter Code",IF(IFERROR(VLOOKUP(H41,DB_Agents!$B:$I,8,0),"")=I41,IF(C41&gt;=E41,"Successful","Unsuccessful"),"🔒 BLOCKED — Wrong Code")),"Pending")</f>
        <v>Pending</v>
      </c>
      <c r="K41" s="83" t="str">
        <f t="shared" ref="K41:K72" ca="1" si="5">IF(J41="Successful",TEXT(TODAY(),"YYYY-MM-DD")&amp;" Auto","—")</f>
        <v>—</v>
      </c>
      <c r="L41" s="84"/>
    </row>
    <row r="42" spans="1:12" ht="15" customHeight="1" x14ac:dyDescent="0.25">
      <c r="A42" s="85"/>
      <c r="B42" s="41" t="str">
        <f>IF(A42="","",IFERROR(VLOOKUP(A42,DB_Customers!$A:$D,4,0),"❌ Account Not Found"))</f>
        <v/>
      </c>
      <c r="C42" s="86" t="str">
        <f>IF(A42="","",IFERROR(VLOOKUP(A42,DB_Customers!$A:$N,14,0),"❌ Acct Not Found"))</f>
        <v/>
      </c>
      <c r="D42" s="87" t="str">
        <f t="shared" ca="1" si="3"/>
        <v/>
      </c>
      <c r="E42" s="94"/>
      <c r="F42" s="41"/>
      <c r="G42" s="96" t="str">
        <f t="shared" si="4"/>
        <v/>
      </c>
      <c r="H42" s="43" t="s">
        <v>134</v>
      </c>
      <c r="I42" s="81"/>
      <c r="J42" s="89" t="str">
        <f>IF(AND(A42&lt;&gt;"",E42&lt;&gt;""),IF(I42="","⚠️ Enter Code",IF(IFERROR(VLOOKUP(H42,DB_Agents!$B:$I,8,0),"")=I42,IF(C42&gt;=E42,"Successful","Unsuccessful"),"🔒 BLOCKED — Wrong Code")),"Pending")</f>
        <v>Pending</v>
      </c>
      <c r="K42" s="90" t="str">
        <f t="shared" ca="1" si="5"/>
        <v>—</v>
      </c>
      <c r="L42" s="91"/>
    </row>
    <row r="43" spans="1:12" ht="15" customHeight="1" x14ac:dyDescent="0.25">
      <c r="A43" s="76"/>
      <c r="B43" s="37" t="str">
        <f>IF(A43="","",IFERROR(VLOOKUP(A43,DB_Customers!$A:$D,4,0),"❌ Account Not Found"))</f>
        <v/>
      </c>
      <c r="C43" s="77" t="str">
        <f>IF(A43="","",IFERROR(VLOOKUP(A43,DB_Customers!$A:$N,14,0),"❌ Acct Not Found"))</f>
        <v/>
      </c>
      <c r="D43" s="78" t="str">
        <f t="shared" ca="1" si="3"/>
        <v/>
      </c>
      <c r="E43" s="94"/>
      <c r="F43" s="37"/>
      <c r="G43" s="95" t="str">
        <f t="shared" si="4"/>
        <v/>
      </c>
      <c r="H43" s="39" t="s">
        <v>134</v>
      </c>
      <c r="I43" s="81"/>
      <c r="J43" s="82" t="str">
        <f>IF(AND(A43&lt;&gt;"",E43&lt;&gt;""),IF(I43="","⚠️ Enter Code",IF(IFERROR(VLOOKUP(H43,DB_Agents!$B:$I,8,0),"")=I43,IF(C43&gt;=E43,"Successful","Unsuccessful"),"🔒 BLOCKED — Wrong Code")),"Pending")</f>
        <v>Pending</v>
      </c>
      <c r="K43" s="83" t="str">
        <f t="shared" ca="1" si="5"/>
        <v>—</v>
      </c>
      <c r="L43" s="84"/>
    </row>
    <row r="44" spans="1:12" ht="15" customHeight="1" x14ac:dyDescent="0.25">
      <c r="A44" s="85"/>
      <c r="B44" s="41" t="str">
        <f>IF(A44="","",IFERROR(VLOOKUP(A44,DB_Customers!$A:$D,4,0),"❌ Account Not Found"))</f>
        <v/>
      </c>
      <c r="C44" s="86" t="str">
        <f>IF(A44="","",IFERROR(VLOOKUP(A44,DB_Customers!$A:$N,14,0),"❌ Acct Not Found"))</f>
        <v/>
      </c>
      <c r="D44" s="87" t="str">
        <f t="shared" ca="1" si="3"/>
        <v/>
      </c>
      <c r="E44" s="94"/>
      <c r="F44" s="41"/>
      <c r="G44" s="96" t="str">
        <f t="shared" si="4"/>
        <v/>
      </c>
      <c r="H44" s="43" t="s">
        <v>134</v>
      </c>
      <c r="I44" s="81"/>
      <c r="J44" s="89" t="str">
        <f>IF(AND(A44&lt;&gt;"",E44&lt;&gt;""),IF(I44="","⚠️ Enter Code",IF(IFERROR(VLOOKUP(H44,DB_Agents!$B:$I,8,0),"")=I44,IF(C44&gt;=E44,"Successful","Unsuccessful"),"🔒 BLOCKED — Wrong Code")),"Pending")</f>
        <v>Pending</v>
      </c>
      <c r="K44" s="90" t="str">
        <f t="shared" ca="1" si="5"/>
        <v>—</v>
      </c>
      <c r="L44" s="91"/>
    </row>
    <row r="45" spans="1:12" ht="15" customHeight="1" x14ac:dyDescent="0.25">
      <c r="A45" s="76"/>
      <c r="B45" s="37" t="str">
        <f>IF(A45="","",IFERROR(VLOOKUP(A45,DB_Customers!$A:$D,4,0),"❌ Account Not Found"))</f>
        <v/>
      </c>
      <c r="C45" s="77" t="str">
        <f>IF(A45="","",IFERROR(VLOOKUP(A45,DB_Customers!$A:$N,14,0),"❌ Acct Not Found"))</f>
        <v/>
      </c>
      <c r="D45" s="78" t="str">
        <f t="shared" ca="1" si="3"/>
        <v/>
      </c>
      <c r="E45" s="94"/>
      <c r="F45" s="37"/>
      <c r="G45" s="95" t="str">
        <f t="shared" si="4"/>
        <v/>
      </c>
      <c r="H45" s="39" t="s">
        <v>134</v>
      </c>
      <c r="I45" s="81"/>
      <c r="J45" s="82" t="str">
        <f>IF(AND(A45&lt;&gt;"",E45&lt;&gt;""),IF(I45="","⚠️ Enter Code",IF(IFERROR(VLOOKUP(H45,DB_Agents!$B:$I,8,0),"")=I45,IF(C45&gt;=E45,"Successful","Unsuccessful"),"🔒 BLOCKED — Wrong Code")),"Pending")</f>
        <v>Pending</v>
      </c>
      <c r="K45" s="83" t="str">
        <f t="shared" ca="1" si="5"/>
        <v>—</v>
      </c>
      <c r="L45" s="84"/>
    </row>
    <row r="46" spans="1:12" ht="15" customHeight="1" x14ac:dyDescent="0.25">
      <c r="A46" s="85"/>
      <c r="B46" s="41" t="str">
        <f>IF(A46="","",IFERROR(VLOOKUP(A46,DB_Customers!$A:$D,4,0),"❌ Account Not Found"))</f>
        <v/>
      </c>
      <c r="C46" s="86" t="str">
        <f>IF(A46="","",IFERROR(VLOOKUP(A46,DB_Customers!$A:$N,14,0),"❌ Acct Not Found"))</f>
        <v/>
      </c>
      <c r="D46" s="87" t="str">
        <f t="shared" ca="1" si="3"/>
        <v/>
      </c>
      <c r="E46" s="94"/>
      <c r="F46" s="41"/>
      <c r="G46" s="96" t="str">
        <f t="shared" si="4"/>
        <v/>
      </c>
      <c r="H46" s="43" t="s">
        <v>134</v>
      </c>
      <c r="I46" s="81"/>
      <c r="J46" s="89" t="str">
        <f>IF(AND(A46&lt;&gt;"",E46&lt;&gt;""),IF(I46="","⚠️ Enter Code",IF(IFERROR(VLOOKUP(H46,DB_Agents!$B:$I,8,0),"")=I46,IF(C46&gt;=E46,"Successful","Unsuccessful"),"🔒 BLOCKED — Wrong Code")),"Pending")</f>
        <v>Pending</v>
      </c>
      <c r="K46" s="90" t="str">
        <f t="shared" ca="1" si="5"/>
        <v>—</v>
      </c>
      <c r="L46" s="91"/>
    </row>
    <row r="47" spans="1:12" ht="15" customHeight="1" x14ac:dyDescent="0.25">
      <c r="A47" s="76"/>
      <c r="B47" s="37" t="str">
        <f>IF(A47="","",IFERROR(VLOOKUP(A47,DB_Customers!$A:$D,4,0),"❌ Account Not Found"))</f>
        <v/>
      </c>
      <c r="C47" s="77" t="str">
        <f>IF(A47="","",IFERROR(VLOOKUP(A47,DB_Customers!$A:$N,14,0),"❌ Acct Not Found"))</f>
        <v/>
      </c>
      <c r="D47" s="78" t="str">
        <f t="shared" ca="1" si="3"/>
        <v/>
      </c>
      <c r="E47" s="94"/>
      <c r="F47" s="37"/>
      <c r="G47" s="95" t="str">
        <f t="shared" si="4"/>
        <v/>
      </c>
      <c r="H47" s="39" t="s">
        <v>134</v>
      </c>
      <c r="I47" s="81"/>
      <c r="J47" s="82" t="str">
        <f>IF(AND(A47&lt;&gt;"",E47&lt;&gt;""),IF(I47="","⚠️ Enter Code",IF(IFERROR(VLOOKUP(H47,DB_Agents!$B:$I,8,0),"")=I47,IF(C47&gt;=E47,"Successful","Unsuccessful"),"🔒 BLOCKED — Wrong Code")),"Pending")</f>
        <v>Pending</v>
      </c>
      <c r="K47" s="83" t="str">
        <f t="shared" ca="1" si="5"/>
        <v>—</v>
      </c>
      <c r="L47" s="84"/>
    </row>
    <row r="48" spans="1:12" ht="15" customHeight="1" x14ac:dyDescent="0.25">
      <c r="A48" s="85"/>
      <c r="B48" s="41" t="str">
        <f>IF(A48="","",IFERROR(VLOOKUP(A48,DB_Customers!$A:$D,4,0),"❌ Account Not Found"))</f>
        <v/>
      </c>
      <c r="C48" s="86" t="str">
        <f>IF(A48="","",IFERROR(VLOOKUP(A48,DB_Customers!$A:$N,14,0),"❌ Acct Not Found"))</f>
        <v/>
      </c>
      <c r="D48" s="87" t="str">
        <f t="shared" ca="1" si="3"/>
        <v/>
      </c>
      <c r="E48" s="94"/>
      <c r="F48" s="41"/>
      <c r="G48" s="96" t="str">
        <f t="shared" si="4"/>
        <v/>
      </c>
      <c r="H48" s="43" t="s">
        <v>134</v>
      </c>
      <c r="I48" s="81"/>
      <c r="J48" s="89" t="str">
        <f>IF(AND(A48&lt;&gt;"",E48&lt;&gt;""),IF(I48="","⚠️ Enter Code",IF(IFERROR(VLOOKUP(H48,DB_Agents!$B:$I,8,0),"")=I48,IF(C48&gt;=E48,"Successful","Unsuccessful"),"🔒 BLOCKED — Wrong Code")),"Pending")</f>
        <v>Pending</v>
      </c>
      <c r="K48" s="90" t="str">
        <f t="shared" ca="1" si="5"/>
        <v>—</v>
      </c>
      <c r="L48" s="91"/>
    </row>
    <row r="49" spans="1:12" ht="15" customHeight="1" x14ac:dyDescent="0.25">
      <c r="A49" s="76"/>
      <c r="B49" s="37" t="str">
        <f>IF(A49="","",IFERROR(VLOOKUP(A49,DB_Customers!$A:$D,4,0),"❌ Account Not Found"))</f>
        <v/>
      </c>
      <c r="C49" s="77" t="str">
        <f>IF(A49="","",IFERROR(VLOOKUP(A49,DB_Customers!$A:$N,14,0),"❌ Acct Not Found"))</f>
        <v/>
      </c>
      <c r="D49" s="78" t="str">
        <f t="shared" ca="1" si="3"/>
        <v/>
      </c>
      <c r="E49" s="94"/>
      <c r="F49" s="37"/>
      <c r="G49" s="95" t="str">
        <f t="shared" si="4"/>
        <v/>
      </c>
      <c r="H49" s="39" t="s">
        <v>134</v>
      </c>
      <c r="I49" s="81"/>
      <c r="J49" s="82" t="str">
        <f>IF(AND(A49&lt;&gt;"",E49&lt;&gt;""),IF(I49="","⚠️ Enter Code",IF(IFERROR(VLOOKUP(H49,DB_Agents!$B:$I,8,0),"")=I49,IF(C49&gt;=E49,"Successful","Unsuccessful"),"🔒 BLOCKED — Wrong Code")),"Pending")</f>
        <v>Pending</v>
      </c>
      <c r="K49" s="83" t="str">
        <f t="shared" ca="1" si="5"/>
        <v>—</v>
      </c>
      <c r="L49" s="84"/>
    </row>
    <row r="50" spans="1:12" ht="15" customHeight="1" x14ac:dyDescent="0.25">
      <c r="A50" s="85"/>
      <c r="B50" s="41" t="str">
        <f>IF(A50="","",IFERROR(VLOOKUP(A50,DB_Customers!$A:$D,4,0),"❌ Account Not Found"))</f>
        <v/>
      </c>
      <c r="C50" s="86" t="str">
        <f>IF(A50="","",IFERROR(VLOOKUP(A50,DB_Customers!$A:$N,14,0),"❌ Acct Not Found"))</f>
        <v/>
      </c>
      <c r="D50" s="87" t="str">
        <f t="shared" ca="1" si="3"/>
        <v/>
      </c>
      <c r="E50" s="94"/>
      <c r="F50" s="41"/>
      <c r="G50" s="96" t="str">
        <f t="shared" si="4"/>
        <v/>
      </c>
      <c r="H50" s="43" t="s">
        <v>134</v>
      </c>
      <c r="I50" s="81"/>
      <c r="J50" s="89" t="str">
        <f>IF(AND(A50&lt;&gt;"",E50&lt;&gt;""),IF(I50="","⚠️ Enter Code",IF(IFERROR(VLOOKUP(H50,DB_Agents!$B:$I,8,0),"")=I50,IF(C50&gt;=E50,"Successful","Unsuccessful"),"🔒 BLOCKED — Wrong Code")),"Pending")</f>
        <v>Pending</v>
      </c>
      <c r="K50" s="90" t="str">
        <f t="shared" ca="1" si="5"/>
        <v>—</v>
      </c>
      <c r="L50" s="91"/>
    </row>
    <row r="51" spans="1:12" ht="15" customHeight="1" x14ac:dyDescent="0.25">
      <c r="A51" s="76"/>
      <c r="B51" s="37" t="str">
        <f>IF(A51="","",IFERROR(VLOOKUP(A51,DB_Customers!$A:$D,4,0),"❌ Account Not Found"))</f>
        <v/>
      </c>
      <c r="C51" s="77" t="str">
        <f>IF(A51="","",IFERROR(VLOOKUP(A51,DB_Customers!$A:$N,14,0),"❌ Acct Not Found"))</f>
        <v/>
      </c>
      <c r="D51" s="78" t="str">
        <f t="shared" ca="1" si="3"/>
        <v/>
      </c>
      <c r="E51" s="94"/>
      <c r="F51" s="37"/>
      <c r="G51" s="95" t="str">
        <f t="shared" si="4"/>
        <v/>
      </c>
      <c r="H51" s="39" t="s">
        <v>134</v>
      </c>
      <c r="I51" s="81"/>
      <c r="J51" s="82" t="str">
        <f>IF(AND(A51&lt;&gt;"",E51&lt;&gt;""),IF(I51="","⚠️ Enter Code",IF(IFERROR(VLOOKUP(H51,DB_Agents!$B:$I,8,0),"")=I51,IF(C51&gt;=E51,"Successful","Unsuccessful"),"🔒 BLOCKED — Wrong Code")),"Pending")</f>
        <v>Pending</v>
      </c>
      <c r="K51" s="83" t="str">
        <f t="shared" ca="1" si="5"/>
        <v>—</v>
      </c>
      <c r="L51" s="84"/>
    </row>
    <row r="52" spans="1:12" ht="15" customHeight="1" x14ac:dyDescent="0.25">
      <c r="A52" s="85"/>
      <c r="B52" s="41" t="str">
        <f>IF(A52="","",IFERROR(VLOOKUP(A52,DB_Customers!$A:$D,4,0),"❌ Account Not Found"))</f>
        <v/>
      </c>
      <c r="C52" s="86" t="str">
        <f>IF(A52="","",IFERROR(VLOOKUP(A52,DB_Customers!$A:$N,14,0),"❌ Acct Not Found"))</f>
        <v/>
      </c>
      <c r="D52" s="87" t="str">
        <f t="shared" ca="1" si="3"/>
        <v/>
      </c>
      <c r="E52" s="94"/>
      <c r="F52" s="41"/>
      <c r="G52" s="96" t="str">
        <f t="shared" si="4"/>
        <v/>
      </c>
      <c r="H52" s="43" t="s">
        <v>134</v>
      </c>
      <c r="I52" s="81"/>
      <c r="J52" s="89" t="str">
        <f>IF(AND(A52&lt;&gt;"",E52&lt;&gt;""),IF(I52="","⚠️ Enter Code",IF(IFERROR(VLOOKUP(H52,DB_Agents!$B:$I,8,0),"")=I52,IF(C52&gt;=E52,"Successful","Unsuccessful"),"🔒 BLOCKED — Wrong Code")),"Pending")</f>
        <v>Pending</v>
      </c>
      <c r="K52" s="90" t="str">
        <f t="shared" ca="1" si="5"/>
        <v>—</v>
      </c>
      <c r="L52" s="91"/>
    </row>
    <row r="53" spans="1:12" ht="15" customHeight="1" x14ac:dyDescent="0.25">
      <c r="A53" s="76"/>
      <c r="B53" s="37" t="str">
        <f>IF(A53="","",IFERROR(VLOOKUP(A53,DB_Customers!$A:$D,4,0),"❌ Account Not Found"))</f>
        <v/>
      </c>
      <c r="C53" s="77" t="str">
        <f>IF(A53="","",IFERROR(VLOOKUP(A53,DB_Customers!$A:$N,14,0),"❌ Acct Not Found"))</f>
        <v/>
      </c>
      <c r="D53" s="78" t="str">
        <f t="shared" ca="1" si="3"/>
        <v/>
      </c>
      <c r="E53" s="94"/>
      <c r="F53" s="37"/>
      <c r="G53" s="95" t="str">
        <f t="shared" si="4"/>
        <v/>
      </c>
      <c r="H53" s="39" t="s">
        <v>134</v>
      </c>
      <c r="I53" s="81"/>
      <c r="J53" s="82" t="str">
        <f>IF(AND(A53&lt;&gt;"",E53&lt;&gt;""),IF(I53="","⚠️ Enter Code",IF(IFERROR(VLOOKUP(H53,DB_Agents!$B:$I,8,0),"")=I53,IF(C53&gt;=E53,"Successful","Unsuccessful"),"🔒 BLOCKED — Wrong Code")),"Pending")</f>
        <v>Pending</v>
      </c>
      <c r="K53" s="83" t="str">
        <f t="shared" ca="1" si="5"/>
        <v>—</v>
      </c>
      <c r="L53" s="84"/>
    </row>
    <row r="54" spans="1:12" ht="15" customHeight="1" x14ac:dyDescent="0.25">
      <c r="A54" s="85"/>
      <c r="B54" s="41" t="str">
        <f>IF(A54="","",IFERROR(VLOOKUP(A54,DB_Customers!$A:$D,4,0),"❌ Account Not Found"))</f>
        <v/>
      </c>
      <c r="C54" s="86" t="str">
        <f>IF(A54="","",IFERROR(VLOOKUP(A54,DB_Customers!$A:$N,14,0),"❌ Acct Not Found"))</f>
        <v/>
      </c>
      <c r="D54" s="87" t="str">
        <f t="shared" ca="1" si="3"/>
        <v/>
      </c>
      <c r="E54" s="94"/>
      <c r="F54" s="41"/>
      <c r="G54" s="96" t="str">
        <f t="shared" si="4"/>
        <v/>
      </c>
      <c r="H54" s="43" t="s">
        <v>134</v>
      </c>
      <c r="I54" s="81"/>
      <c r="J54" s="89" t="str">
        <f>IF(AND(A54&lt;&gt;"",E54&lt;&gt;""),IF(I54="","⚠️ Enter Code",IF(IFERROR(VLOOKUP(H54,DB_Agents!$B:$I,8,0),"")=I54,IF(C54&gt;=E54,"Successful","Unsuccessful"),"🔒 BLOCKED — Wrong Code")),"Pending")</f>
        <v>Pending</v>
      </c>
      <c r="K54" s="90" t="str">
        <f t="shared" ca="1" si="5"/>
        <v>—</v>
      </c>
      <c r="L54" s="91"/>
    </row>
    <row r="55" spans="1:12" ht="15" customHeight="1" x14ac:dyDescent="0.25">
      <c r="A55" s="76"/>
      <c r="B55" s="37" t="str">
        <f>IF(A55="","",IFERROR(VLOOKUP(A55,DB_Customers!$A:$D,4,0),"❌ Account Not Found"))</f>
        <v/>
      </c>
      <c r="C55" s="77" t="str">
        <f>IF(A55="","",IFERROR(VLOOKUP(A55,DB_Customers!$A:$N,14,0),"❌ Acct Not Found"))</f>
        <v/>
      </c>
      <c r="D55" s="78" t="str">
        <f t="shared" ca="1" si="3"/>
        <v/>
      </c>
      <c r="E55" s="94"/>
      <c r="F55" s="37"/>
      <c r="G55" s="95" t="str">
        <f t="shared" si="4"/>
        <v/>
      </c>
      <c r="H55" s="39" t="s">
        <v>134</v>
      </c>
      <c r="I55" s="81"/>
      <c r="J55" s="82" t="str">
        <f>IF(AND(A55&lt;&gt;"",E55&lt;&gt;""),IF(I55="","⚠️ Enter Code",IF(IFERROR(VLOOKUP(H55,DB_Agents!$B:$I,8,0),"")=I55,IF(C55&gt;=E55,"Successful","Unsuccessful"),"🔒 BLOCKED — Wrong Code")),"Pending")</f>
        <v>Pending</v>
      </c>
      <c r="K55" s="83" t="str">
        <f t="shared" ca="1" si="5"/>
        <v>—</v>
      </c>
      <c r="L55" s="84"/>
    </row>
    <row r="56" spans="1:12" ht="15" customHeight="1" x14ac:dyDescent="0.25">
      <c r="A56" s="85"/>
      <c r="B56" s="41" t="str">
        <f>IF(A56="","",IFERROR(VLOOKUP(A56,DB_Customers!$A:$D,4,0),"❌ Account Not Found"))</f>
        <v/>
      </c>
      <c r="C56" s="86" t="str">
        <f>IF(A56="","",IFERROR(VLOOKUP(A56,DB_Customers!$A:$N,14,0),"❌ Acct Not Found"))</f>
        <v/>
      </c>
      <c r="D56" s="87" t="str">
        <f t="shared" ca="1" si="3"/>
        <v/>
      </c>
      <c r="E56" s="94"/>
      <c r="F56" s="41"/>
      <c r="G56" s="96" t="str">
        <f t="shared" si="4"/>
        <v/>
      </c>
      <c r="H56" s="43" t="s">
        <v>134</v>
      </c>
      <c r="I56" s="81"/>
      <c r="J56" s="89" t="str">
        <f>IF(AND(A56&lt;&gt;"",E56&lt;&gt;""),IF(I56="","⚠️ Enter Code",IF(IFERROR(VLOOKUP(H56,DB_Agents!$B:$I,8,0),"")=I56,IF(C56&gt;=E56,"Successful","Unsuccessful"),"🔒 BLOCKED — Wrong Code")),"Pending")</f>
        <v>Pending</v>
      </c>
      <c r="K56" s="90" t="str">
        <f t="shared" ca="1" si="5"/>
        <v>—</v>
      </c>
      <c r="L56" s="91"/>
    </row>
    <row r="57" spans="1:12" ht="15" customHeight="1" x14ac:dyDescent="0.25">
      <c r="A57" s="76"/>
      <c r="B57" s="37" t="str">
        <f>IF(A57="","",IFERROR(VLOOKUP(A57,DB_Customers!$A:$D,4,0),"❌ Account Not Found"))</f>
        <v/>
      </c>
      <c r="C57" s="77" t="str">
        <f>IF(A57="","",IFERROR(VLOOKUP(A57,DB_Customers!$A:$N,14,0),"❌ Acct Not Found"))</f>
        <v/>
      </c>
      <c r="D57" s="78" t="str">
        <f t="shared" ca="1" si="3"/>
        <v/>
      </c>
      <c r="E57" s="94"/>
      <c r="F57" s="37"/>
      <c r="G57" s="95" t="str">
        <f t="shared" si="4"/>
        <v/>
      </c>
      <c r="H57" s="39" t="s">
        <v>134</v>
      </c>
      <c r="I57" s="81"/>
      <c r="J57" s="82" t="str">
        <f>IF(AND(A57&lt;&gt;"",E57&lt;&gt;""),IF(I57="","⚠️ Enter Code",IF(IFERROR(VLOOKUP(H57,DB_Agents!$B:$I,8,0),"")=I57,IF(C57&gt;=E57,"Successful","Unsuccessful"),"🔒 BLOCKED — Wrong Code")),"Pending")</f>
        <v>Pending</v>
      </c>
      <c r="K57" s="83" t="str">
        <f t="shared" ca="1" si="5"/>
        <v>—</v>
      </c>
      <c r="L57" s="84"/>
    </row>
    <row r="58" spans="1:12" ht="15" customHeight="1" x14ac:dyDescent="0.25">
      <c r="A58" s="85"/>
      <c r="B58" s="41" t="str">
        <f>IF(A58="","",IFERROR(VLOOKUP(A58,DB_Customers!$A:$D,4,0),"❌ Account Not Found"))</f>
        <v/>
      </c>
      <c r="C58" s="86" t="str">
        <f>IF(A58="","",IFERROR(VLOOKUP(A58,DB_Customers!$A:$N,14,0),"❌ Acct Not Found"))</f>
        <v/>
      </c>
      <c r="D58" s="87" t="str">
        <f t="shared" ca="1" si="3"/>
        <v/>
      </c>
      <c r="E58" s="94"/>
      <c r="F58" s="41"/>
      <c r="G58" s="96" t="str">
        <f t="shared" si="4"/>
        <v/>
      </c>
      <c r="H58" s="43" t="s">
        <v>134</v>
      </c>
      <c r="I58" s="81"/>
      <c r="J58" s="89" t="str">
        <f>IF(AND(A58&lt;&gt;"",E58&lt;&gt;""),IF(I58="","⚠️ Enter Code",IF(IFERROR(VLOOKUP(H58,DB_Agents!$B:$I,8,0),"")=I58,IF(C58&gt;=E58,"Successful","Unsuccessful"),"🔒 BLOCKED — Wrong Code")),"Pending")</f>
        <v>Pending</v>
      </c>
      <c r="K58" s="90" t="str">
        <f t="shared" ca="1" si="5"/>
        <v>—</v>
      </c>
      <c r="L58" s="91"/>
    </row>
    <row r="59" spans="1:12" ht="15" customHeight="1" x14ac:dyDescent="0.25">
      <c r="A59" s="76"/>
      <c r="B59" s="37" t="str">
        <f>IF(A59="","",IFERROR(VLOOKUP(A59,DB_Customers!$A:$D,4,0),"❌ Account Not Found"))</f>
        <v/>
      </c>
      <c r="C59" s="77" t="str">
        <f>IF(A59="","",IFERROR(VLOOKUP(A59,DB_Customers!$A:$N,14,0),"❌ Acct Not Found"))</f>
        <v/>
      </c>
      <c r="D59" s="78" t="str">
        <f t="shared" ca="1" si="3"/>
        <v/>
      </c>
      <c r="E59" s="94"/>
      <c r="F59" s="37"/>
      <c r="G59" s="95" t="str">
        <f t="shared" si="4"/>
        <v/>
      </c>
      <c r="H59" s="39" t="s">
        <v>134</v>
      </c>
      <c r="I59" s="81"/>
      <c r="J59" s="82" t="str">
        <f>IF(AND(A59&lt;&gt;"",E59&lt;&gt;""),IF(I59="","⚠️ Enter Code",IF(IFERROR(VLOOKUP(H59,DB_Agents!$B:$I,8,0),"")=I59,IF(C59&gt;=E59,"Successful","Unsuccessful"),"🔒 BLOCKED — Wrong Code")),"Pending")</f>
        <v>Pending</v>
      </c>
      <c r="K59" s="83" t="str">
        <f t="shared" ca="1" si="5"/>
        <v>—</v>
      </c>
      <c r="L59" s="84"/>
    </row>
    <row r="60" spans="1:12" ht="15" customHeight="1" x14ac:dyDescent="0.25">
      <c r="A60" s="85"/>
      <c r="B60" s="41" t="str">
        <f>IF(A60="","",IFERROR(VLOOKUP(A60,DB_Customers!$A:$D,4,0),"❌ Account Not Found"))</f>
        <v/>
      </c>
      <c r="C60" s="86" t="str">
        <f>IF(A60="","",IFERROR(VLOOKUP(A60,DB_Customers!$A:$N,14,0),"❌ Acct Not Found"))</f>
        <v/>
      </c>
      <c r="D60" s="87" t="str">
        <f t="shared" ca="1" si="3"/>
        <v/>
      </c>
      <c r="E60" s="94"/>
      <c r="F60" s="41"/>
      <c r="G60" s="96" t="str">
        <f t="shared" si="4"/>
        <v/>
      </c>
      <c r="H60" s="43" t="s">
        <v>134</v>
      </c>
      <c r="I60" s="81"/>
      <c r="J60" s="89" t="str">
        <f>IF(AND(A60&lt;&gt;"",E60&lt;&gt;""),IF(I60="","⚠️ Enter Code",IF(IFERROR(VLOOKUP(H60,DB_Agents!$B:$I,8,0),"")=I60,IF(C60&gt;=E60,"Successful","Unsuccessful"),"🔒 BLOCKED — Wrong Code")),"Pending")</f>
        <v>Pending</v>
      </c>
      <c r="K60" s="90" t="str">
        <f t="shared" ca="1" si="5"/>
        <v>—</v>
      </c>
      <c r="L60" s="91"/>
    </row>
    <row r="61" spans="1:12" ht="15" customHeight="1" x14ac:dyDescent="0.25">
      <c r="A61" s="76"/>
      <c r="B61" s="37" t="str">
        <f>IF(A61="","",IFERROR(VLOOKUP(A61,DB_Customers!$A:$D,4,0),"❌ Account Not Found"))</f>
        <v/>
      </c>
      <c r="C61" s="77" t="str">
        <f>IF(A61="","",IFERROR(VLOOKUP(A61,DB_Customers!$A:$N,14,0),"❌ Acct Not Found"))</f>
        <v/>
      </c>
      <c r="D61" s="78" t="str">
        <f t="shared" ca="1" si="3"/>
        <v/>
      </c>
      <c r="E61" s="94"/>
      <c r="F61" s="37"/>
      <c r="G61" s="95" t="str">
        <f t="shared" si="4"/>
        <v/>
      </c>
      <c r="H61" s="39" t="s">
        <v>134</v>
      </c>
      <c r="I61" s="81"/>
      <c r="J61" s="82" t="str">
        <f>IF(AND(A61&lt;&gt;"",E61&lt;&gt;""),IF(I61="","⚠️ Enter Code",IF(IFERROR(VLOOKUP(H61,DB_Agents!$B:$I,8,0),"")=I61,IF(C61&gt;=E61,"Successful","Unsuccessful"),"🔒 BLOCKED — Wrong Code")),"Pending")</f>
        <v>Pending</v>
      </c>
      <c r="K61" s="83" t="str">
        <f t="shared" ca="1" si="5"/>
        <v>—</v>
      </c>
      <c r="L61" s="84"/>
    </row>
    <row r="62" spans="1:12" ht="15" customHeight="1" x14ac:dyDescent="0.25">
      <c r="A62" s="85"/>
      <c r="B62" s="41" t="str">
        <f>IF(A62="","",IFERROR(VLOOKUP(A62,DB_Customers!$A:$D,4,0),"❌ Account Not Found"))</f>
        <v/>
      </c>
      <c r="C62" s="86" t="str">
        <f>IF(A62="","",IFERROR(VLOOKUP(A62,DB_Customers!$A:$N,14,0),"❌ Acct Not Found"))</f>
        <v/>
      </c>
      <c r="D62" s="87" t="str">
        <f t="shared" ca="1" si="3"/>
        <v/>
      </c>
      <c r="E62" s="94"/>
      <c r="F62" s="41"/>
      <c r="G62" s="96" t="str">
        <f t="shared" si="4"/>
        <v/>
      </c>
      <c r="H62" s="43" t="s">
        <v>134</v>
      </c>
      <c r="I62" s="81"/>
      <c r="J62" s="89" t="str">
        <f>IF(AND(A62&lt;&gt;"",E62&lt;&gt;""),IF(I62="","⚠️ Enter Code",IF(IFERROR(VLOOKUP(H62,DB_Agents!$B:$I,8,0),"")=I62,IF(C62&gt;=E62,"Successful","Unsuccessful"),"🔒 BLOCKED — Wrong Code")),"Pending")</f>
        <v>Pending</v>
      </c>
      <c r="K62" s="90" t="str">
        <f t="shared" ca="1" si="5"/>
        <v>—</v>
      </c>
      <c r="L62" s="91"/>
    </row>
    <row r="63" spans="1:12" ht="15" customHeight="1" x14ac:dyDescent="0.25">
      <c r="A63" s="76"/>
      <c r="B63" s="37" t="str">
        <f>IF(A63="","",IFERROR(VLOOKUP(A63,DB_Customers!$A:$D,4,0),"❌ Account Not Found"))</f>
        <v/>
      </c>
      <c r="C63" s="77" t="str">
        <f>IF(A63="","",IFERROR(VLOOKUP(A63,DB_Customers!$A:$N,14,0),"❌ Acct Not Found"))</f>
        <v/>
      </c>
      <c r="D63" s="78" t="str">
        <f t="shared" ca="1" si="3"/>
        <v/>
      </c>
      <c r="E63" s="94"/>
      <c r="F63" s="37"/>
      <c r="G63" s="95" t="str">
        <f t="shared" si="4"/>
        <v/>
      </c>
      <c r="H63" s="39" t="s">
        <v>134</v>
      </c>
      <c r="I63" s="81"/>
      <c r="J63" s="82" t="str">
        <f>IF(AND(A63&lt;&gt;"",E63&lt;&gt;""),IF(I63="","⚠️ Enter Code",IF(IFERROR(VLOOKUP(H63,DB_Agents!$B:$I,8,0),"")=I63,IF(C63&gt;=E63,"Successful","Unsuccessful"),"🔒 BLOCKED — Wrong Code")),"Pending")</f>
        <v>Pending</v>
      </c>
      <c r="K63" s="83" t="str">
        <f t="shared" ca="1" si="5"/>
        <v>—</v>
      </c>
      <c r="L63" s="84"/>
    </row>
    <row r="64" spans="1:12" ht="15" customHeight="1" x14ac:dyDescent="0.25">
      <c r="A64" s="85"/>
      <c r="B64" s="41" t="str">
        <f>IF(A64="","",IFERROR(VLOOKUP(A64,DB_Customers!$A:$D,4,0),"❌ Account Not Found"))</f>
        <v/>
      </c>
      <c r="C64" s="86" t="str">
        <f>IF(A64="","",IFERROR(VLOOKUP(A64,DB_Customers!$A:$N,14,0),"❌ Acct Not Found"))</f>
        <v/>
      </c>
      <c r="D64" s="87" t="str">
        <f t="shared" ca="1" si="3"/>
        <v/>
      </c>
      <c r="E64" s="94"/>
      <c r="F64" s="41"/>
      <c r="G64" s="96" t="str">
        <f t="shared" si="4"/>
        <v/>
      </c>
      <c r="H64" s="43" t="s">
        <v>134</v>
      </c>
      <c r="I64" s="81"/>
      <c r="J64" s="89" t="str">
        <f>IF(AND(A64&lt;&gt;"",E64&lt;&gt;""),IF(I64="","⚠️ Enter Code",IF(IFERROR(VLOOKUP(H64,DB_Agents!$B:$I,8,0),"")=I64,IF(C64&gt;=E64,"Successful","Unsuccessful"),"🔒 BLOCKED — Wrong Code")),"Pending")</f>
        <v>Pending</v>
      </c>
      <c r="K64" s="90" t="str">
        <f t="shared" ca="1" si="5"/>
        <v>—</v>
      </c>
      <c r="L64" s="91"/>
    </row>
    <row r="65" spans="1:12" ht="15" customHeight="1" x14ac:dyDescent="0.25">
      <c r="A65" s="76"/>
      <c r="B65" s="37" t="str">
        <f>IF(A65="","",IFERROR(VLOOKUP(A65,DB_Customers!$A:$D,4,0),"❌ Account Not Found"))</f>
        <v/>
      </c>
      <c r="C65" s="77" t="str">
        <f>IF(A65="","",IFERROR(VLOOKUP(A65,DB_Customers!$A:$N,14,0),"❌ Acct Not Found"))</f>
        <v/>
      </c>
      <c r="D65" s="78" t="str">
        <f t="shared" ca="1" si="3"/>
        <v/>
      </c>
      <c r="E65" s="94"/>
      <c r="F65" s="37"/>
      <c r="G65" s="95" t="str">
        <f t="shared" si="4"/>
        <v/>
      </c>
      <c r="H65" s="39" t="s">
        <v>134</v>
      </c>
      <c r="I65" s="81"/>
      <c r="J65" s="82" t="str">
        <f>IF(AND(A65&lt;&gt;"",E65&lt;&gt;""),IF(I65="","⚠️ Enter Code",IF(IFERROR(VLOOKUP(H65,DB_Agents!$B:$I,8,0),"")=I65,IF(C65&gt;=E65,"Successful","Unsuccessful"),"🔒 BLOCKED — Wrong Code")),"Pending")</f>
        <v>Pending</v>
      </c>
      <c r="K65" s="83" t="str">
        <f t="shared" ca="1" si="5"/>
        <v>—</v>
      </c>
      <c r="L65" s="84"/>
    </row>
    <row r="66" spans="1:12" ht="15" customHeight="1" x14ac:dyDescent="0.25">
      <c r="A66" s="85"/>
      <c r="B66" s="41" t="str">
        <f>IF(A66="","",IFERROR(VLOOKUP(A66,DB_Customers!$A:$D,4,0),"❌ Account Not Found"))</f>
        <v/>
      </c>
      <c r="C66" s="86" t="str">
        <f>IF(A66="","",IFERROR(VLOOKUP(A66,DB_Customers!$A:$N,14,0),"❌ Acct Not Found"))</f>
        <v/>
      </c>
      <c r="D66" s="87" t="str">
        <f t="shared" ca="1" si="3"/>
        <v/>
      </c>
      <c r="E66" s="94"/>
      <c r="F66" s="41"/>
      <c r="G66" s="96" t="str">
        <f t="shared" si="4"/>
        <v/>
      </c>
      <c r="H66" s="43" t="s">
        <v>134</v>
      </c>
      <c r="I66" s="81"/>
      <c r="J66" s="89" t="str">
        <f>IF(AND(A66&lt;&gt;"",E66&lt;&gt;""),IF(I66="","⚠️ Enter Code",IF(IFERROR(VLOOKUP(H66,DB_Agents!$B:$I,8,0),"")=I66,IF(C66&gt;=E66,"Successful","Unsuccessful"),"🔒 BLOCKED — Wrong Code")),"Pending")</f>
        <v>Pending</v>
      </c>
      <c r="K66" s="90" t="str">
        <f t="shared" ca="1" si="5"/>
        <v>—</v>
      </c>
      <c r="L66" s="91"/>
    </row>
    <row r="67" spans="1:12" ht="15" customHeight="1" x14ac:dyDescent="0.25">
      <c r="A67" s="76"/>
      <c r="B67" s="37" t="str">
        <f>IF(A67="","",IFERROR(VLOOKUP(A67,DB_Customers!$A:$D,4,0),"❌ Account Not Found"))</f>
        <v/>
      </c>
      <c r="C67" s="77" t="str">
        <f>IF(A67="","",IFERROR(VLOOKUP(A67,DB_Customers!$A:$N,14,0),"❌ Acct Not Found"))</f>
        <v/>
      </c>
      <c r="D67" s="78" t="str">
        <f t="shared" ca="1" si="3"/>
        <v/>
      </c>
      <c r="E67" s="94"/>
      <c r="F67" s="37"/>
      <c r="G67" s="95" t="str">
        <f t="shared" si="4"/>
        <v/>
      </c>
      <c r="H67" s="39" t="s">
        <v>134</v>
      </c>
      <c r="I67" s="81"/>
      <c r="J67" s="82" t="str">
        <f>IF(AND(A67&lt;&gt;"",E67&lt;&gt;""),IF(I67="","⚠️ Enter Code",IF(IFERROR(VLOOKUP(H67,DB_Agents!$B:$I,8,0),"")=I67,IF(C67&gt;=E67,"Successful","Unsuccessful"),"🔒 BLOCKED — Wrong Code")),"Pending")</f>
        <v>Pending</v>
      </c>
      <c r="K67" s="83" t="str">
        <f t="shared" ca="1" si="5"/>
        <v>—</v>
      </c>
      <c r="L67" s="84"/>
    </row>
    <row r="68" spans="1:12" ht="15" customHeight="1" x14ac:dyDescent="0.25">
      <c r="A68" s="85"/>
      <c r="B68" s="41" t="str">
        <f>IF(A68="","",IFERROR(VLOOKUP(A68,DB_Customers!$A:$D,4,0),"❌ Account Not Found"))</f>
        <v/>
      </c>
      <c r="C68" s="86" t="str">
        <f>IF(A68="","",IFERROR(VLOOKUP(A68,DB_Customers!$A:$N,14,0),"❌ Acct Not Found"))</f>
        <v/>
      </c>
      <c r="D68" s="87" t="str">
        <f t="shared" ca="1" si="3"/>
        <v/>
      </c>
      <c r="E68" s="94"/>
      <c r="F68" s="41"/>
      <c r="G68" s="96" t="str">
        <f t="shared" si="4"/>
        <v/>
      </c>
      <c r="H68" s="43" t="s">
        <v>134</v>
      </c>
      <c r="I68" s="81"/>
      <c r="J68" s="89" t="str">
        <f>IF(AND(A68&lt;&gt;"",E68&lt;&gt;""),IF(I68="","⚠️ Enter Code",IF(IFERROR(VLOOKUP(H68,DB_Agents!$B:$I,8,0),"")=I68,IF(C68&gt;=E68,"Successful","Unsuccessful"),"🔒 BLOCKED — Wrong Code")),"Pending")</f>
        <v>Pending</v>
      </c>
      <c r="K68" s="90" t="str">
        <f t="shared" ca="1" si="5"/>
        <v>—</v>
      </c>
      <c r="L68" s="91"/>
    </row>
    <row r="69" spans="1:12" ht="15" customHeight="1" x14ac:dyDescent="0.25">
      <c r="A69" s="76"/>
      <c r="B69" s="37" t="str">
        <f>IF(A69="","",IFERROR(VLOOKUP(A69,DB_Customers!$A:$D,4,0),"❌ Account Not Found"))</f>
        <v/>
      </c>
      <c r="C69" s="77" t="str">
        <f>IF(A69="","",IFERROR(VLOOKUP(A69,DB_Customers!$A:$N,14,0),"❌ Acct Not Found"))</f>
        <v/>
      </c>
      <c r="D69" s="78" t="str">
        <f t="shared" ca="1" si="3"/>
        <v/>
      </c>
      <c r="E69" s="94"/>
      <c r="F69" s="37"/>
      <c r="G69" s="95" t="str">
        <f t="shared" si="4"/>
        <v/>
      </c>
      <c r="H69" s="39" t="s">
        <v>134</v>
      </c>
      <c r="I69" s="81"/>
      <c r="J69" s="82" t="str">
        <f>IF(AND(A69&lt;&gt;"",E69&lt;&gt;""),IF(I69="","⚠️ Enter Code",IF(IFERROR(VLOOKUP(H69,DB_Agents!$B:$I,8,0),"")=I69,IF(C69&gt;=E69,"Successful","Unsuccessful"),"🔒 BLOCKED — Wrong Code")),"Pending")</f>
        <v>Pending</v>
      </c>
      <c r="K69" s="83" t="str">
        <f t="shared" ca="1" si="5"/>
        <v>—</v>
      </c>
      <c r="L69" s="84"/>
    </row>
    <row r="70" spans="1:12" ht="15" customHeight="1" x14ac:dyDescent="0.25">
      <c r="A70" s="85"/>
      <c r="B70" s="41" t="str">
        <f>IF(A70="","",IFERROR(VLOOKUP(A70,DB_Customers!$A:$D,4,0),"❌ Account Not Found"))</f>
        <v/>
      </c>
      <c r="C70" s="86" t="str">
        <f>IF(A70="","",IFERROR(VLOOKUP(A70,DB_Customers!$A:$N,14,0),"❌ Acct Not Found"))</f>
        <v/>
      </c>
      <c r="D70" s="87" t="str">
        <f t="shared" ca="1" si="3"/>
        <v/>
      </c>
      <c r="E70" s="94"/>
      <c r="F70" s="41"/>
      <c r="G70" s="96" t="str">
        <f t="shared" si="4"/>
        <v/>
      </c>
      <c r="H70" s="43" t="s">
        <v>134</v>
      </c>
      <c r="I70" s="81"/>
      <c r="J70" s="89" t="str">
        <f>IF(AND(A70&lt;&gt;"",E70&lt;&gt;""),IF(I70="","⚠️ Enter Code",IF(IFERROR(VLOOKUP(H70,DB_Agents!$B:$I,8,0),"")=I70,IF(C70&gt;=E70,"Successful","Unsuccessful"),"🔒 BLOCKED — Wrong Code")),"Pending")</f>
        <v>Pending</v>
      </c>
      <c r="K70" s="90" t="str">
        <f t="shared" ca="1" si="5"/>
        <v>—</v>
      </c>
      <c r="L70" s="91"/>
    </row>
    <row r="71" spans="1:12" ht="15" customHeight="1" x14ac:dyDescent="0.25">
      <c r="A71" s="76"/>
      <c r="B71" s="37" t="str">
        <f>IF(A71="","",IFERROR(VLOOKUP(A71,DB_Customers!$A:$D,4,0),"❌ Account Not Found"))</f>
        <v/>
      </c>
      <c r="C71" s="77" t="str">
        <f>IF(A71="","",IFERROR(VLOOKUP(A71,DB_Customers!$A:$N,14,0),"❌ Acct Not Found"))</f>
        <v/>
      </c>
      <c r="D71" s="78" t="str">
        <f t="shared" ca="1" si="3"/>
        <v/>
      </c>
      <c r="E71" s="94"/>
      <c r="F71" s="37"/>
      <c r="G71" s="95" t="str">
        <f t="shared" si="4"/>
        <v/>
      </c>
      <c r="H71" s="39" t="s">
        <v>134</v>
      </c>
      <c r="I71" s="81"/>
      <c r="J71" s="82" t="str">
        <f>IF(AND(A71&lt;&gt;"",E71&lt;&gt;""),IF(I71="","⚠️ Enter Code",IF(IFERROR(VLOOKUP(H71,DB_Agents!$B:$I,8,0),"")=I71,IF(C71&gt;=E71,"Successful","Unsuccessful"),"🔒 BLOCKED — Wrong Code")),"Pending")</f>
        <v>Pending</v>
      </c>
      <c r="K71" s="83" t="str">
        <f t="shared" ca="1" si="5"/>
        <v>—</v>
      </c>
      <c r="L71" s="84"/>
    </row>
    <row r="72" spans="1:12" ht="15" customHeight="1" x14ac:dyDescent="0.25">
      <c r="A72" s="85"/>
      <c r="B72" s="41" t="str">
        <f>IF(A72="","",IFERROR(VLOOKUP(A72,DB_Customers!$A:$D,4,0),"❌ Account Not Found"))</f>
        <v/>
      </c>
      <c r="C72" s="86" t="str">
        <f>IF(A72="","",IFERROR(VLOOKUP(A72,DB_Customers!$A:$N,14,0),"❌ Acct Not Found"))</f>
        <v/>
      </c>
      <c r="D72" s="87" t="str">
        <f t="shared" ca="1" si="3"/>
        <v/>
      </c>
      <c r="E72" s="94"/>
      <c r="F72" s="41"/>
      <c r="G72" s="96" t="str">
        <f t="shared" si="4"/>
        <v/>
      </c>
      <c r="H72" s="43" t="s">
        <v>134</v>
      </c>
      <c r="I72" s="81"/>
      <c r="J72" s="89" t="str">
        <f>IF(AND(A72&lt;&gt;"",E72&lt;&gt;""),IF(I72="","⚠️ Enter Code",IF(IFERROR(VLOOKUP(H72,DB_Agents!$B:$I,8,0),"")=I72,IF(C72&gt;=E72,"Successful","Unsuccessful"),"🔒 BLOCKED — Wrong Code")),"Pending")</f>
        <v>Pending</v>
      </c>
      <c r="K72" s="90" t="str">
        <f t="shared" ca="1" si="5"/>
        <v>—</v>
      </c>
      <c r="L72" s="91"/>
    </row>
    <row r="73" spans="1:12" ht="15" customHeight="1" x14ac:dyDescent="0.25">
      <c r="A73" s="76"/>
      <c r="B73" s="37" t="str">
        <f>IF(A73="","",IFERROR(VLOOKUP(A73,DB_Customers!$A:$D,4,0),"❌ Account Not Found"))</f>
        <v/>
      </c>
      <c r="C73" s="77" t="str">
        <f>IF(A73="","",IFERROR(VLOOKUP(A73,DB_Customers!$A:$N,14,0),"❌ Acct Not Found"))</f>
        <v/>
      </c>
      <c r="D73" s="78" t="str">
        <f t="shared" ref="D73:D104" ca="1" si="6">IF(A73="","",TODAY())</f>
        <v/>
      </c>
      <c r="E73" s="94"/>
      <c r="F73" s="37"/>
      <c r="G73" s="95" t="str">
        <f t="shared" ref="G73:G104" si="7">IF(OR(A73="",E73=""),"",IF(C73="","",C73-E73))</f>
        <v/>
      </c>
      <c r="H73" s="39" t="s">
        <v>134</v>
      </c>
      <c r="I73" s="81"/>
      <c r="J73" s="82" t="str">
        <f>IF(AND(A73&lt;&gt;"",E73&lt;&gt;""),IF(I73="","⚠️ Enter Code",IF(IFERROR(VLOOKUP(H73,DB_Agents!$B:$I,8,0),"")=I73,IF(C73&gt;=E73,"Successful","Unsuccessful"),"🔒 BLOCKED — Wrong Code")),"Pending")</f>
        <v>Pending</v>
      </c>
      <c r="K73" s="83" t="str">
        <f t="shared" ref="K73:K104" ca="1" si="8">IF(J73="Successful",TEXT(TODAY(),"YYYY-MM-DD")&amp;" Auto","—")</f>
        <v>—</v>
      </c>
      <c r="L73" s="84"/>
    </row>
    <row r="74" spans="1:12" ht="15" customHeight="1" x14ac:dyDescent="0.25">
      <c r="A74" s="85"/>
      <c r="B74" s="41" t="str">
        <f>IF(A74="","",IFERROR(VLOOKUP(A74,DB_Customers!$A:$D,4,0),"❌ Account Not Found"))</f>
        <v/>
      </c>
      <c r="C74" s="86" t="str">
        <f>IF(A74="","",IFERROR(VLOOKUP(A74,DB_Customers!$A:$N,14,0),"❌ Acct Not Found"))</f>
        <v/>
      </c>
      <c r="D74" s="87" t="str">
        <f t="shared" ca="1" si="6"/>
        <v/>
      </c>
      <c r="E74" s="94"/>
      <c r="F74" s="41"/>
      <c r="G74" s="96" t="str">
        <f t="shared" si="7"/>
        <v/>
      </c>
      <c r="H74" s="43" t="s">
        <v>134</v>
      </c>
      <c r="I74" s="81"/>
      <c r="J74" s="89" t="str">
        <f>IF(AND(A74&lt;&gt;"",E74&lt;&gt;""),IF(I74="","⚠️ Enter Code",IF(IFERROR(VLOOKUP(H74,DB_Agents!$B:$I,8,0),"")=I74,IF(C74&gt;=E74,"Successful","Unsuccessful"),"🔒 BLOCKED — Wrong Code")),"Pending")</f>
        <v>Pending</v>
      </c>
      <c r="K74" s="90" t="str">
        <f t="shared" ca="1" si="8"/>
        <v>—</v>
      </c>
      <c r="L74" s="91"/>
    </row>
    <row r="75" spans="1:12" ht="15" customHeight="1" x14ac:dyDescent="0.25">
      <c r="A75" s="76"/>
      <c r="B75" s="37" t="str">
        <f>IF(A75="","",IFERROR(VLOOKUP(A75,DB_Customers!$A:$D,4,0),"❌ Account Not Found"))</f>
        <v/>
      </c>
      <c r="C75" s="77" t="str">
        <f>IF(A75="","",IFERROR(VLOOKUP(A75,DB_Customers!$A:$N,14,0),"❌ Acct Not Found"))</f>
        <v/>
      </c>
      <c r="D75" s="78" t="str">
        <f t="shared" ca="1" si="6"/>
        <v/>
      </c>
      <c r="E75" s="94"/>
      <c r="F75" s="37"/>
      <c r="G75" s="95" t="str">
        <f t="shared" si="7"/>
        <v/>
      </c>
      <c r="H75" s="39" t="s">
        <v>134</v>
      </c>
      <c r="I75" s="81"/>
      <c r="J75" s="82" t="str">
        <f>IF(AND(A75&lt;&gt;"",E75&lt;&gt;""),IF(I75="","⚠️ Enter Code",IF(IFERROR(VLOOKUP(H75,DB_Agents!$B:$I,8,0),"")=I75,IF(C75&gt;=E75,"Successful","Unsuccessful"),"🔒 BLOCKED — Wrong Code")),"Pending")</f>
        <v>Pending</v>
      </c>
      <c r="K75" s="83" t="str">
        <f t="shared" ca="1" si="8"/>
        <v>—</v>
      </c>
      <c r="L75" s="84"/>
    </row>
    <row r="76" spans="1:12" ht="15" customHeight="1" x14ac:dyDescent="0.25">
      <c r="A76" s="85"/>
      <c r="B76" s="41" t="str">
        <f>IF(A76="","",IFERROR(VLOOKUP(A76,DB_Customers!$A:$D,4,0),"❌ Account Not Found"))</f>
        <v/>
      </c>
      <c r="C76" s="86" t="str">
        <f>IF(A76="","",IFERROR(VLOOKUP(A76,DB_Customers!$A:$N,14,0),"❌ Acct Not Found"))</f>
        <v/>
      </c>
      <c r="D76" s="87" t="str">
        <f t="shared" ca="1" si="6"/>
        <v/>
      </c>
      <c r="E76" s="94"/>
      <c r="F76" s="41"/>
      <c r="G76" s="96" t="str">
        <f t="shared" si="7"/>
        <v/>
      </c>
      <c r="H76" s="43" t="s">
        <v>134</v>
      </c>
      <c r="I76" s="81"/>
      <c r="J76" s="89" t="str">
        <f>IF(AND(A76&lt;&gt;"",E76&lt;&gt;""),IF(I76="","⚠️ Enter Code",IF(IFERROR(VLOOKUP(H76,DB_Agents!$B:$I,8,0),"")=I76,IF(C76&gt;=E76,"Successful","Unsuccessful"),"🔒 BLOCKED — Wrong Code")),"Pending")</f>
        <v>Pending</v>
      </c>
      <c r="K76" s="90" t="str">
        <f t="shared" ca="1" si="8"/>
        <v>—</v>
      </c>
      <c r="L76" s="91"/>
    </row>
    <row r="77" spans="1:12" ht="15" customHeight="1" x14ac:dyDescent="0.25">
      <c r="A77" s="76"/>
      <c r="B77" s="37" t="str">
        <f>IF(A77="","",IFERROR(VLOOKUP(A77,DB_Customers!$A:$D,4,0),"❌ Account Not Found"))</f>
        <v/>
      </c>
      <c r="C77" s="77" t="str">
        <f>IF(A77="","",IFERROR(VLOOKUP(A77,DB_Customers!$A:$N,14,0),"❌ Acct Not Found"))</f>
        <v/>
      </c>
      <c r="D77" s="78" t="str">
        <f t="shared" ca="1" si="6"/>
        <v/>
      </c>
      <c r="E77" s="94"/>
      <c r="F77" s="37"/>
      <c r="G77" s="95" t="str">
        <f t="shared" si="7"/>
        <v/>
      </c>
      <c r="H77" s="39" t="s">
        <v>134</v>
      </c>
      <c r="I77" s="81"/>
      <c r="J77" s="82" t="str">
        <f>IF(AND(A77&lt;&gt;"",E77&lt;&gt;""),IF(I77="","⚠️ Enter Code",IF(IFERROR(VLOOKUP(H77,DB_Agents!$B:$I,8,0),"")=I77,IF(C77&gt;=E77,"Successful","Unsuccessful"),"🔒 BLOCKED — Wrong Code")),"Pending")</f>
        <v>Pending</v>
      </c>
      <c r="K77" s="83" t="str">
        <f t="shared" ca="1" si="8"/>
        <v>—</v>
      </c>
      <c r="L77" s="84"/>
    </row>
    <row r="78" spans="1:12" ht="15" customHeight="1" x14ac:dyDescent="0.25">
      <c r="A78" s="85"/>
      <c r="B78" s="41" t="str">
        <f>IF(A78="","",IFERROR(VLOOKUP(A78,DB_Customers!$A:$D,4,0),"❌ Account Not Found"))</f>
        <v/>
      </c>
      <c r="C78" s="86" t="str">
        <f>IF(A78="","",IFERROR(VLOOKUP(A78,DB_Customers!$A:$N,14,0),"❌ Acct Not Found"))</f>
        <v/>
      </c>
      <c r="D78" s="87" t="str">
        <f t="shared" ca="1" si="6"/>
        <v/>
      </c>
      <c r="E78" s="94"/>
      <c r="F78" s="41"/>
      <c r="G78" s="96" t="str">
        <f t="shared" si="7"/>
        <v/>
      </c>
      <c r="H78" s="43" t="s">
        <v>134</v>
      </c>
      <c r="I78" s="81"/>
      <c r="J78" s="89" t="str">
        <f>IF(AND(A78&lt;&gt;"",E78&lt;&gt;""),IF(I78="","⚠️ Enter Code",IF(IFERROR(VLOOKUP(H78,DB_Agents!$B:$I,8,0),"")=I78,IF(C78&gt;=E78,"Successful","Unsuccessful"),"🔒 BLOCKED — Wrong Code")),"Pending")</f>
        <v>Pending</v>
      </c>
      <c r="K78" s="90" t="str">
        <f t="shared" ca="1" si="8"/>
        <v>—</v>
      </c>
      <c r="L78" s="91"/>
    </row>
    <row r="79" spans="1:12" ht="15" customHeight="1" x14ac:dyDescent="0.25">
      <c r="A79" s="76"/>
      <c r="B79" s="37" t="str">
        <f>IF(A79="","",IFERROR(VLOOKUP(A79,DB_Customers!$A:$D,4,0),"❌ Account Not Found"))</f>
        <v/>
      </c>
      <c r="C79" s="77" t="str">
        <f>IF(A79="","",IFERROR(VLOOKUP(A79,DB_Customers!$A:$N,14,0),"❌ Acct Not Found"))</f>
        <v/>
      </c>
      <c r="D79" s="78" t="str">
        <f t="shared" ca="1" si="6"/>
        <v/>
      </c>
      <c r="E79" s="94"/>
      <c r="F79" s="37"/>
      <c r="G79" s="95" t="str">
        <f t="shared" si="7"/>
        <v/>
      </c>
      <c r="H79" s="39" t="s">
        <v>134</v>
      </c>
      <c r="I79" s="81"/>
      <c r="J79" s="82" t="str">
        <f>IF(AND(A79&lt;&gt;"",E79&lt;&gt;""),IF(I79="","⚠️ Enter Code",IF(IFERROR(VLOOKUP(H79,DB_Agents!$B:$I,8,0),"")=I79,IF(C79&gt;=E79,"Successful","Unsuccessful"),"🔒 BLOCKED — Wrong Code")),"Pending")</f>
        <v>Pending</v>
      </c>
      <c r="K79" s="83" t="str">
        <f t="shared" ca="1" si="8"/>
        <v>—</v>
      </c>
      <c r="L79" s="84"/>
    </row>
    <row r="80" spans="1:12" ht="15" customHeight="1" x14ac:dyDescent="0.25">
      <c r="A80" s="85"/>
      <c r="B80" s="41" t="str">
        <f>IF(A80="","",IFERROR(VLOOKUP(A80,DB_Customers!$A:$D,4,0),"❌ Account Not Found"))</f>
        <v/>
      </c>
      <c r="C80" s="86" t="str">
        <f>IF(A80="","",IFERROR(VLOOKUP(A80,DB_Customers!$A:$N,14,0),"❌ Acct Not Found"))</f>
        <v/>
      </c>
      <c r="D80" s="87" t="str">
        <f t="shared" ca="1" si="6"/>
        <v/>
      </c>
      <c r="E80" s="94"/>
      <c r="F80" s="41"/>
      <c r="G80" s="96" t="str">
        <f t="shared" si="7"/>
        <v/>
      </c>
      <c r="H80" s="43" t="s">
        <v>134</v>
      </c>
      <c r="I80" s="81"/>
      <c r="J80" s="89" t="str">
        <f>IF(AND(A80&lt;&gt;"",E80&lt;&gt;""),IF(I80="","⚠️ Enter Code",IF(IFERROR(VLOOKUP(H80,DB_Agents!$B:$I,8,0),"")=I80,IF(C80&gt;=E80,"Successful","Unsuccessful"),"🔒 BLOCKED — Wrong Code")),"Pending")</f>
        <v>Pending</v>
      </c>
      <c r="K80" s="90" t="str">
        <f t="shared" ca="1" si="8"/>
        <v>—</v>
      </c>
      <c r="L80" s="91"/>
    </row>
    <row r="81" spans="1:12" ht="15" customHeight="1" x14ac:dyDescent="0.25">
      <c r="A81" s="76"/>
      <c r="B81" s="37" t="str">
        <f>IF(A81="","",IFERROR(VLOOKUP(A81,DB_Customers!$A:$D,4,0),"❌ Account Not Found"))</f>
        <v/>
      </c>
      <c r="C81" s="77" t="str">
        <f>IF(A81="","",IFERROR(VLOOKUP(A81,DB_Customers!$A:$N,14,0),"❌ Acct Not Found"))</f>
        <v/>
      </c>
      <c r="D81" s="78" t="str">
        <f t="shared" ca="1" si="6"/>
        <v/>
      </c>
      <c r="E81" s="94"/>
      <c r="F81" s="37"/>
      <c r="G81" s="95" t="str">
        <f t="shared" si="7"/>
        <v/>
      </c>
      <c r="H81" s="39" t="s">
        <v>134</v>
      </c>
      <c r="I81" s="81"/>
      <c r="J81" s="82" t="str">
        <f>IF(AND(A81&lt;&gt;"",E81&lt;&gt;""),IF(I81="","⚠️ Enter Code",IF(IFERROR(VLOOKUP(H81,DB_Agents!$B:$I,8,0),"")=I81,IF(C81&gt;=E81,"Successful","Unsuccessful"),"🔒 BLOCKED — Wrong Code")),"Pending")</f>
        <v>Pending</v>
      </c>
      <c r="K81" s="83" t="str">
        <f t="shared" ca="1" si="8"/>
        <v>—</v>
      </c>
      <c r="L81" s="84"/>
    </row>
    <row r="82" spans="1:12" ht="15" customHeight="1" x14ac:dyDescent="0.25">
      <c r="A82" s="85"/>
      <c r="B82" s="41" t="str">
        <f>IF(A82="","",IFERROR(VLOOKUP(A82,DB_Customers!$A:$D,4,0),"❌ Account Not Found"))</f>
        <v/>
      </c>
      <c r="C82" s="86" t="str">
        <f>IF(A82="","",IFERROR(VLOOKUP(A82,DB_Customers!$A:$N,14,0),"❌ Acct Not Found"))</f>
        <v/>
      </c>
      <c r="D82" s="87" t="str">
        <f t="shared" ca="1" si="6"/>
        <v/>
      </c>
      <c r="E82" s="94"/>
      <c r="F82" s="41"/>
      <c r="G82" s="96" t="str">
        <f t="shared" si="7"/>
        <v/>
      </c>
      <c r="H82" s="43" t="s">
        <v>134</v>
      </c>
      <c r="I82" s="81"/>
      <c r="J82" s="89" t="str">
        <f>IF(AND(A82&lt;&gt;"",E82&lt;&gt;""),IF(I82="","⚠️ Enter Code",IF(IFERROR(VLOOKUP(H82,DB_Agents!$B:$I,8,0),"")=I82,IF(C82&gt;=E82,"Successful","Unsuccessful"),"🔒 BLOCKED — Wrong Code")),"Pending")</f>
        <v>Pending</v>
      </c>
      <c r="K82" s="90" t="str">
        <f t="shared" ca="1" si="8"/>
        <v>—</v>
      </c>
      <c r="L82" s="91"/>
    </row>
    <row r="83" spans="1:12" ht="15" customHeight="1" x14ac:dyDescent="0.25">
      <c r="A83" s="76"/>
      <c r="B83" s="37" t="str">
        <f>IF(A83="","",IFERROR(VLOOKUP(A83,DB_Customers!$A:$D,4,0),"❌ Account Not Found"))</f>
        <v/>
      </c>
      <c r="C83" s="77" t="str">
        <f>IF(A83="","",IFERROR(VLOOKUP(A83,DB_Customers!$A:$N,14,0),"❌ Acct Not Found"))</f>
        <v/>
      </c>
      <c r="D83" s="78" t="str">
        <f t="shared" ca="1" si="6"/>
        <v/>
      </c>
      <c r="E83" s="94"/>
      <c r="F83" s="37"/>
      <c r="G83" s="95" t="str">
        <f t="shared" si="7"/>
        <v/>
      </c>
      <c r="H83" s="39" t="s">
        <v>134</v>
      </c>
      <c r="I83" s="81"/>
      <c r="J83" s="82" t="str">
        <f>IF(AND(A83&lt;&gt;"",E83&lt;&gt;""),IF(I83="","⚠️ Enter Code",IF(IFERROR(VLOOKUP(H83,DB_Agents!$B:$I,8,0),"")=I83,IF(C83&gt;=E83,"Successful","Unsuccessful"),"🔒 BLOCKED — Wrong Code")),"Pending")</f>
        <v>Pending</v>
      </c>
      <c r="K83" s="83" t="str">
        <f t="shared" ca="1" si="8"/>
        <v>—</v>
      </c>
      <c r="L83" s="84"/>
    </row>
    <row r="84" spans="1:12" ht="15" customHeight="1" x14ac:dyDescent="0.25">
      <c r="A84" s="85"/>
      <c r="B84" s="41" t="str">
        <f>IF(A84="","",IFERROR(VLOOKUP(A84,DB_Customers!$A:$D,4,0),"❌ Account Not Found"))</f>
        <v/>
      </c>
      <c r="C84" s="86" t="str">
        <f>IF(A84="","",IFERROR(VLOOKUP(A84,DB_Customers!$A:$N,14,0),"❌ Acct Not Found"))</f>
        <v/>
      </c>
      <c r="D84" s="87" t="str">
        <f t="shared" ca="1" si="6"/>
        <v/>
      </c>
      <c r="E84" s="94"/>
      <c r="F84" s="41"/>
      <c r="G84" s="96" t="str">
        <f t="shared" si="7"/>
        <v/>
      </c>
      <c r="H84" s="43" t="s">
        <v>134</v>
      </c>
      <c r="I84" s="81"/>
      <c r="J84" s="89" t="str">
        <f>IF(AND(A84&lt;&gt;"",E84&lt;&gt;""),IF(I84="","⚠️ Enter Code",IF(IFERROR(VLOOKUP(H84,DB_Agents!$B:$I,8,0),"")=I84,IF(C84&gt;=E84,"Successful","Unsuccessful"),"🔒 BLOCKED — Wrong Code")),"Pending")</f>
        <v>Pending</v>
      </c>
      <c r="K84" s="90" t="str">
        <f t="shared" ca="1" si="8"/>
        <v>—</v>
      </c>
      <c r="L84" s="91"/>
    </row>
    <row r="85" spans="1:12" ht="15" customHeight="1" x14ac:dyDescent="0.25">
      <c r="A85" s="76"/>
      <c r="B85" s="37" t="str">
        <f>IF(A85="","",IFERROR(VLOOKUP(A85,DB_Customers!$A:$D,4,0),"❌ Account Not Found"))</f>
        <v/>
      </c>
      <c r="C85" s="77" t="str">
        <f>IF(A85="","",IFERROR(VLOOKUP(A85,DB_Customers!$A:$N,14,0),"❌ Acct Not Found"))</f>
        <v/>
      </c>
      <c r="D85" s="78" t="str">
        <f t="shared" ca="1" si="6"/>
        <v/>
      </c>
      <c r="E85" s="94"/>
      <c r="F85" s="37"/>
      <c r="G85" s="95" t="str">
        <f t="shared" si="7"/>
        <v/>
      </c>
      <c r="H85" s="39" t="s">
        <v>134</v>
      </c>
      <c r="I85" s="81"/>
      <c r="J85" s="82" t="str">
        <f>IF(AND(A85&lt;&gt;"",E85&lt;&gt;""),IF(I85="","⚠️ Enter Code",IF(IFERROR(VLOOKUP(H85,DB_Agents!$B:$I,8,0),"")=I85,IF(C85&gt;=E85,"Successful","Unsuccessful"),"🔒 BLOCKED — Wrong Code")),"Pending")</f>
        <v>Pending</v>
      </c>
      <c r="K85" s="83" t="str">
        <f t="shared" ca="1" si="8"/>
        <v>—</v>
      </c>
      <c r="L85" s="84"/>
    </row>
    <row r="86" spans="1:12" ht="15" customHeight="1" x14ac:dyDescent="0.25">
      <c r="A86" s="85"/>
      <c r="B86" s="41" t="str">
        <f>IF(A86="","",IFERROR(VLOOKUP(A86,DB_Customers!$A:$D,4,0),"❌ Account Not Found"))</f>
        <v/>
      </c>
      <c r="C86" s="86" t="str">
        <f>IF(A86="","",IFERROR(VLOOKUP(A86,DB_Customers!$A:$N,14,0),"❌ Acct Not Found"))</f>
        <v/>
      </c>
      <c r="D86" s="87" t="str">
        <f t="shared" ca="1" si="6"/>
        <v/>
      </c>
      <c r="E86" s="94"/>
      <c r="F86" s="41"/>
      <c r="G86" s="96" t="str">
        <f t="shared" si="7"/>
        <v/>
      </c>
      <c r="H86" s="43" t="s">
        <v>134</v>
      </c>
      <c r="I86" s="81"/>
      <c r="J86" s="89" t="str">
        <f>IF(AND(A86&lt;&gt;"",E86&lt;&gt;""),IF(I86="","⚠️ Enter Code",IF(IFERROR(VLOOKUP(H86,DB_Agents!$B:$I,8,0),"")=I86,IF(C86&gt;=E86,"Successful","Unsuccessful"),"🔒 BLOCKED — Wrong Code")),"Pending")</f>
        <v>Pending</v>
      </c>
      <c r="K86" s="90" t="str">
        <f t="shared" ca="1" si="8"/>
        <v>—</v>
      </c>
      <c r="L86" s="91"/>
    </row>
    <row r="87" spans="1:12" ht="15" customHeight="1" x14ac:dyDescent="0.25">
      <c r="A87" s="76"/>
      <c r="B87" s="37" t="str">
        <f>IF(A87="","",IFERROR(VLOOKUP(A87,DB_Customers!$A:$D,4,0),"❌ Account Not Found"))</f>
        <v/>
      </c>
      <c r="C87" s="77" t="str">
        <f>IF(A87="","",IFERROR(VLOOKUP(A87,DB_Customers!$A:$N,14,0),"❌ Acct Not Found"))</f>
        <v/>
      </c>
      <c r="D87" s="78" t="str">
        <f t="shared" ca="1" si="6"/>
        <v/>
      </c>
      <c r="E87" s="94"/>
      <c r="F87" s="37"/>
      <c r="G87" s="95" t="str">
        <f t="shared" si="7"/>
        <v/>
      </c>
      <c r="H87" s="39" t="s">
        <v>134</v>
      </c>
      <c r="I87" s="81"/>
      <c r="J87" s="82" t="str">
        <f>IF(AND(A87&lt;&gt;"",E87&lt;&gt;""),IF(I87="","⚠️ Enter Code",IF(IFERROR(VLOOKUP(H87,DB_Agents!$B:$I,8,0),"")=I87,IF(C87&gt;=E87,"Successful","Unsuccessful"),"🔒 BLOCKED — Wrong Code")),"Pending")</f>
        <v>Pending</v>
      </c>
      <c r="K87" s="83" t="str">
        <f t="shared" ca="1" si="8"/>
        <v>—</v>
      </c>
      <c r="L87" s="84"/>
    </row>
    <row r="88" spans="1:12" ht="15" customHeight="1" x14ac:dyDescent="0.25">
      <c r="A88" s="85"/>
      <c r="B88" s="41" t="str">
        <f>IF(A88="","",IFERROR(VLOOKUP(A88,DB_Customers!$A:$D,4,0),"❌ Account Not Found"))</f>
        <v/>
      </c>
      <c r="C88" s="86" t="str">
        <f>IF(A88="","",IFERROR(VLOOKUP(A88,DB_Customers!$A:$N,14,0),"❌ Acct Not Found"))</f>
        <v/>
      </c>
      <c r="D88" s="87" t="str">
        <f t="shared" ca="1" si="6"/>
        <v/>
      </c>
      <c r="E88" s="94"/>
      <c r="F88" s="41"/>
      <c r="G88" s="96" t="str">
        <f t="shared" si="7"/>
        <v/>
      </c>
      <c r="H88" s="43" t="s">
        <v>134</v>
      </c>
      <c r="I88" s="81"/>
      <c r="J88" s="89" t="str">
        <f>IF(AND(A88&lt;&gt;"",E88&lt;&gt;""),IF(I88="","⚠️ Enter Code",IF(IFERROR(VLOOKUP(H88,DB_Agents!$B:$I,8,0),"")=I88,IF(C88&gt;=E88,"Successful","Unsuccessful"),"🔒 BLOCKED — Wrong Code")),"Pending")</f>
        <v>Pending</v>
      </c>
      <c r="K88" s="90" t="str">
        <f t="shared" ca="1" si="8"/>
        <v>—</v>
      </c>
      <c r="L88" s="91"/>
    </row>
    <row r="89" spans="1:12" ht="15" customHeight="1" x14ac:dyDescent="0.25">
      <c r="A89" s="76"/>
      <c r="B89" s="37" t="str">
        <f>IF(A89="","",IFERROR(VLOOKUP(A89,DB_Customers!$A:$D,4,0),"❌ Account Not Found"))</f>
        <v/>
      </c>
      <c r="C89" s="77" t="str">
        <f>IF(A89="","",IFERROR(VLOOKUP(A89,DB_Customers!$A:$N,14,0),"❌ Acct Not Found"))</f>
        <v/>
      </c>
      <c r="D89" s="78" t="str">
        <f t="shared" ca="1" si="6"/>
        <v/>
      </c>
      <c r="E89" s="94"/>
      <c r="F89" s="37"/>
      <c r="G89" s="95" t="str">
        <f t="shared" si="7"/>
        <v/>
      </c>
      <c r="H89" s="39" t="s">
        <v>134</v>
      </c>
      <c r="I89" s="81"/>
      <c r="J89" s="82" t="str">
        <f>IF(AND(A89&lt;&gt;"",E89&lt;&gt;""),IF(I89="","⚠️ Enter Code",IF(IFERROR(VLOOKUP(H89,DB_Agents!$B:$I,8,0),"")=I89,IF(C89&gt;=E89,"Successful","Unsuccessful"),"🔒 BLOCKED — Wrong Code")),"Pending")</f>
        <v>Pending</v>
      </c>
      <c r="K89" s="83" t="str">
        <f t="shared" ca="1" si="8"/>
        <v>—</v>
      </c>
      <c r="L89" s="84"/>
    </row>
    <row r="90" spans="1:12" ht="15" customHeight="1" x14ac:dyDescent="0.25">
      <c r="A90" s="85"/>
      <c r="B90" s="41" t="str">
        <f>IF(A90="","",IFERROR(VLOOKUP(A90,DB_Customers!$A:$D,4,0),"❌ Account Not Found"))</f>
        <v/>
      </c>
      <c r="C90" s="86" t="str">
        <f>IF(A90="","",IFERROR(VLOOKUP(A90,DB_Customers!$A:$N,14,0),"❌ Acct Not Found"))</f>
        <v/>
      </c>
      <c r="D90" s="87" t="str">
        <f t="shared" ca="1" si="6"/>
        <v/>
      </c>
      <c r="E90" s="94"/>
      <c r="F90" s="41"/>
      <c r="G90" s="96" t="str">
        <f t="shared" si="7"/>
        <v/>
      </c>
      <c r="H90" s="43" t="s">
        <v>134</v>
      </c>
      <c r="I90" s="81"/>
      <c r="J90" s="89" t="str">
        <f>IF(AND(A90&lt;&gt;"",E90&lt;&gt;""),IF(I90="","⚠️ Enter Code",IF(IFERROR(VLOOKUP(H90,DB_Agents!$B:$I,8,0),"")=I90,IF(C90&gt;=E90,"Successful","Unsuccessful"),"🔒 BLOCKED — Wrong Code")),"Pending")</f>
        <v>Pending</v>
      </c>
      <c r="K90" s="90" t="str">
        <f t="shared" ca="1" si="8"/>
        <v>—</v>
      </c>
      <c r="L90" s="91"/>
    </row>
    <row r="91" spans="1:12" ht="15" customHeight="1" x14ac:dyDescent="0.25">
      <c r="A91" s="76"/>
      <c r="B91" s="37" t="str">
        <f>IF(A91="","",IFERROR(VLOOKUP(A91,DB_Customers!$A:$D,4,0),"❌ Account Not Found"))</f>
        <v/>
      </c>
      <c r="C91" s="77" t="str">
        <f>IF(A91="","",IFERROR(VLOOKUP(A91,DB_Customers!$A:$N,14,0),"❌ Acct Not Found"))</f>
        <v/>
      </c>
      <c r="D91" s="78" t="str">
        <f t="shared" ca="1" si="6"/>
        <v/>
      </c>
      <c r="E91" s="94"/>
      <c r="F91" s="37"/>
      <c r="G91" s="95" t="str">
        <f t="shared" si="7"/>
        <v/>
      </c>
      <c r="H91" s="39" t="s">
        <v>134</v>
      </c>
      <c r="I91" s="81"/>
      <c r="J91" s="82" t="str">
        <f>IF(AND(A91&lt;&gt;"",E91&lt;&gt;""),IF(I91="","⚠️ Enter Code",IF(IFERROR(VLOOKUP(H91,DB_Agents!$B:$I,8,0),"")=I91,IF(C91&gt;=E91,"Successful","Unsuccessful"),"🔒 BLOCKED — Wrong Code")),"Pending")</f>
        <v>Pending</v>
      </c>
      <c r="K91" s="83" t="str">
        <f t="shared" ca="1" si="8"/>
        <v>—</v>
      </c>
      <c r="L91" s="84"/>
    </row>
    <row r="92" spans="1:12" ht="15" customHeight="1" x14ac:dyDescent="0.25">
      <c r="A92" s="85"/>
      <c r="B92" s="41" t="str">
        <f>IF(A92="","",IFERROR(VLOOKUP(A92,DB_Customers!$A:$D,4,0),"❌ Account Not Found"))</f>
        <v/>
      </c>
      <c r="C92" s="86" t="str">
        <f>IF(A92="","",IFERROR(VLOOKUP(A92,DB_Customers!$A:$N,14,0),"❌ Acct Not Found"))</f>
        <v/>
      </c>
      <c r="D92" s="87" t="str">
        <f t="shared" ca="1" si="6"/>
        <v/>
      </c>
      <c r="E92" s="94"/>
      <c r="F92" s="41"/>
      <c r="G92" s="96" t="str">
        <f t="shared" si="7"/>
        <v/>
      </c>
      <c r="H92" s="43" t="s">
        <v>134</v>
      </c>
      <c r="I92" s="81"/>
      <c r="J92" s="89" t="str">
        <f>IF(AND(A92&lt;&gt;"",E92&lt;&gt;""),IF(I92="","⚠️ Enter Code",IF(IFERROR(VLOOKUP(H92,DB_Agents!$B:$I,8,0),"")=I92,IF(C92&gt;=E92,"Successful","Unsuccessful"),"🔒 BLOCKED — Wrong Code")),"Pending")</f>
        <v>Pending</v>
      </c>
      <c r="K92" s="90" t="str">
        <f t="shared" ca="1" si="8"/>
        <v>—</v>
      </c>
      <c r="L92" s="91"/>
    </row>
    <row r="93" spans="1:12" ht="15" customHeight="1" x14ac:dyDescent="0.25">
      <c r="A93" s="76"/>
      <c r="B93" s="37" t="str">
        <f>IF(A93="","",IFERROR(VLOOKUP(A93,DB_Customers!$A:$D,4,0),"❌ Account Not Found"))</f>
        <v/>
      </c>
      <c r="C93" s="77" t="str">
        <f>IF(A93="","",IFERROR(VLOOKUP(A93,DB_Customers!$A:$N,14,0),"❌ Acct Not Found"))</f>
        <v/>
      </c>
      <c r="D93" s="78" t="str">
        <f t="shared" ca="1" si="6"/>
        <v/>
      </c>
      <c r="E93" s="94"/>
      <c r="F93" s="37"/>
      <c r="G93" s="95" t="str">
        <f t="shared" si="7"/>
        <v/>
      </c>
      <c r="H93" s="39" t="s">
        <v>134</v>
      </c>
      <c r="I93" s="81"/>
      <c r="J93" s="82" t="str">
        <f>IF(AND(A93&lt;&gt;"",E93&lt;&gt;""),IF(I93="","⚠️ Enter Code",IF(IFERROR(VLOOKUP(H93,DB_Agents!$B:$I,8,0),"")=I93,IF(C93&gt;=E93,"Successful","Unsuccessful"),"🔒 BLOCKED — Wrong Code")),"Pending")</f>
        <v>Pending</v>
      </c>
      <c r="K93" s="83" t="str">
        <f t="shared" ca="1" si="8"/>
        <v>—</v>
      </c>
      <c r="L93" s="84"/>
    </row>
    <row r="94" spans="1:12" ht="15" customHeight="1" x14ac:dyDescent="0.25">
      <c r="A94" s="85"/>
      <c r="B94" s="41" t="str">
        <f>IF(A94="","",IFERROR(VLOOKUP(A94,DB_Customers!$A:$D,4,0),"❌ Account Not Found"))</f>
        <v/>
      </c>
      <c r="C94" s="86" t="str">
        <f>IF(A94="","",IFERROR(VLOOKUP(A94,DB_Customers!$A:$N,14,0),"❌ Acct Not Found"))</f>
        <v/>
      </c>
      <c r="D94" s="87" t="str">
        <f t="shared" ca="1" si="6"/>
        <v/>
      </c>
      <c r="E94" s="94"/>
      <c r="F94" s="41"/>
      <c r="G94" s="96" t="str">
        <f t="shared" si="7"/>
        <v/>
      </c>
      <c r="H94" s="43" t="s">
        <v>134</v>
      </c>
      <c r="I94" s="81"/>
      <c r="J94" s="89" t="str">
        <f>IF(AND(A94&lt;&gt;"",E94&lt;&gt;""),IF(I94="","⚠️ Enter Code",IF(IFERROR(VLOOKUP(H94,DB_Agents!$B:$I,8,0),"")=I94,IF(C94&gt;=E94,"Successful","Unsuccessful"),"🔒 BLOCKED — Wrong Code")),"Pending")</f>
        <v>Pending</v>
      </c>
      <c r="K94" s="90" t="str">
        <f t="shared" ca="1" si="8"/>
        <v>—</v>
      </c>
      <c r="L94" s="91"/>
    </row>
    <row r="95" spans="1:12" ht="15" customHeight="1" x14ac:dyDescent="0.25">
      <c r="A95" s="76"/>
      <c r="B95" s="37" t="str">
        <f>IF(A95="","",IFERROR(VLOOKUP(A95,DB_Customers!$A:$D,4,0),"❌ Account Not Found"))</f>
        <v/>
      </c>
      <c r="C95" s="77" t="str">
        <f>IF(A95="","",IFERROR(VLOOKUP(A95,DB_Customers!$A:$N,14,0),"❌ Acct Not Found"))</f>
        <v/>
      </c>
      <c r="D95" s="78" t="str">
        <f t="shared" ca="1" si="6"/>
        <v/>
      </c>
      <c r="E95" s="94"/>
      <c r="F95" s="37"/>
      <c r="G95" s="95" t="str">
        <f t="shared" si="7"/>
        <v/>
      </c>
      <c r="H95" s="39" t="s">
        <v>134</v>
      </c>
      <c r="I95" s="81"/>
      <c r="J95" s="82" t="str">
        <f>IF(AND(A95&lt;&gt;"",E95&lt;&gt;""),IF(I95="","⚠️ Enter Code",IF(IFERROR(VLOOKUP(H95,DB_Agents!$B:$I,8,0),"")=I95,IF(C95&gt;=E95,"Successful","Unsuccessful"),"🔒 BLOCKED — Wrong Code")),"Pending")</f>
        <v>Pending</v>
      </c>
      <c r="K95" s="83" t="str">
        <f t="shared" ca="1" si="8"/>
        <v>—</v>
      </c>
      <c r="L95" s="84"/>
    </row>
    <row r="96" spans="1:12" ht="15" customHeight="1" x14ac:dyDescent="0.25">
      <c r="A96" s="85"/>
      <c r="B96" s="41" t="str">
        <f>IF(A96="","",IFERROR(VLOOKUP(A96,DB_Customers!$A:$D,4,0),"❌ Account Not Found"))</f>
        <v/>
      </c>
      <c r="C96" s="86" t="str">
        <f>IF(A96="","",IFERROR(VLOOKUP(A96,DB_Customers!$A:$N,14,0),"❌ Acct Not Found"))</f>
        <v/>
      </c>
      <c r="D96" s="87" t="str">
        <f t="shared" ca="1" si="6"/>
        <v/>
      </c>
      <c r="E96" s="94"/>
      <c r="F96" s="41"/>
      <c r="G96" s="96" t="str">
        <f t="shared" si="7"/>
        <v/>
      </c>
      <c r="H96" s="43" t="s">
        <v>134</v>
      </c>
      <c r="I96" s="81"/>
      <c r="J96" s="89" t="str">
        <f>IF(AND(A96&lt;&gt;"",E96&lt;&gt;""),IF(I96="","⚠️ Enter Code",IF(IFERROR(VLOOKUP(H96,DB_Agents!$B:$I,8,0),"")=I96,IF(C96&gt;=E96,"Successful","Unsuccessful"),"🔒 BLOCKED — Wrong Code")),"Pending")</f>
        <v>Pending</v>
      </c>
      <c r="K96" s="90" t="str">
        <f t="shared" ca="1" si="8"/>
        <v>—</v>
      </c>
      <c r="L96" s="91"/>
    </row>
    <row r="97" spans="1:12" ht="15" customHeight="1" x14ac:dyDescent="0.25">
      <c r="A97" s="76"/>
      <c r="B97" s="37" t="str">
        <f>IF(A97="","",IFERROR(VLOOKUP(A97,DB_Customers!$A:$D,4,0),"❌ Account Not Found"))</f>
        <v/>
      </c>
      <c r="C97" s="77" t="str">
        <f>IF(A97="","",IFERROR(VLOOKUP(A97,DB_Customers!$A:$N,14,0),"❌ Acct Not Found"))</f>
        <v/>
      </c>
      <c r="D97" s="78" t="str">
        <f t="shared" ca="1" si="6"/>
        <v/>
      </c>
      <c r="E97" s="94"/>
      <c r="F97" s="37"/>
      <c r="G97" s="95" t="str">
        <f t="shared" si="7"/>
        <v/>
      </c>
      <c r="H97" s="39" t="s">
        <v>134</v>
      </c>
      <c r="I97" s="81"/>
      <c r="J97" s="82" t="str">
        <f>IF(AND(A97&lt;&gt;"",E97&lt;&gt;""),IF(I97="","⚠️ Enter Code",IF(IFERROR(VLOOKUP(H97,DB_Agents!$B:$I,8,0),"")=I97,IF(C97&gt;=E97,"Successful","Unsuccessful"),"🔒 BLOCKED — Wrong Code")),"Pending")</f>
        <v>Pending</v>
      </c>
      <c r="K97" s="83" t="str">
        <f t="shared" ca="1" si="8"/>
        <v>—</v>
      </c>
      <c r="L97" s="84"/>
    </row>
    <row r="98" spans="1:12" ht="15" customHeight="1" x14ac:dyDescent="0.25">
      <c r="A98" s="85"/>
      <c r="B98" s="41" t="str">
        <f>IF(A98="","",IFERROR(VLOOKUP(A98,DB_Customers!$A:$D,4,0),"❌ Account Not Found"))</f>
        <v/>
      </c>
      <c r="C98" s="86" t="str">
        <f>IF(A98="","",IFERROR(VLOOKUP(A98,DB_Customers!$A:$N,14,0),"❌ Acct Not Found"))</f>
        <v/>
      </c>
      <c r="D98" s="87" t="str">
        <f t="shared" ca="1" si="6"/>
        <v/>
      </c>
      <c r="E98" s="94"/>
      <c r="F98" s="41"/>
      <c r="G98" s="96" t="str">
        <f t="shared" si="7"/>
        <v/>
      </c>
      <c r="H98" s="43" t="s">
        <v>134</v>
      </c>
      <c r="I98" s="81"/>
      <c r="J98" s="89" t="str">
        <f>IF(AND(A98&lt;&gt;"",E98&lt;&gt;""),IF(I98="","⚠️ Enter Code",IF(IFERROR(VLOOKUP(H98,DB_Agents!$B:$I,8,0),"")=I98,IF(C98&gt;=E98,"Successful","Unsuccessful"),"🔒 BLOCKED — Wrong Code")),"Pending")</f>
        <v>Pending</v>
      </c>
      <c r="K98" s="90" t="str">
        <f t="shared" ca="1" si="8"/>
        <v>—</v>
      </c>
      <c r="L98" s="91"/>
    </row>
    <row r="99" spans="1:12" ht="15" customHeight="1" x14ac:dyDescent="0.25">
      <c r="A99" s="76"/>
      <c r="B99" s="37" t="str">
        <f>IF(A99="","",IFERROR(VLOOKUP(A99,DB_Customers!$A:$D,4,0),"❌ Account Not Found"))</f>
        <v/>
      </c>
      <c r="C99" s="77" t="str">
        <f>IF(A99="","",IFERROR(VLOOKUP(A99,DB_Customers!$A:$N,14,0),"❌ Acct Not Found"))</f>
        <v/>
      </c>
      <c r="D99" s="78" t="str">
        <f t="shared" ca="1" si="6"/>
        <v/>
      </c>
      <c r="E99" s="94"/>
      <c r="F99" s="37"/>
      <c r="G99" s="95" t="str">
        <f t="shared" si="7"/>
        <v/>
      </c>
      <c r="H99" s="39" t="s">
        <v>134</v>
      </c>
      <c r="I99" s="81"/>
      <c r="J99" s="82" t="str">
        <f>IF(AND(A99&lt;&gt;"",E99&lt;&gt;""),IF(I99="","⚠️ Enter Code",IF(IFERROR(VLOOKUP(H99,DB_Agents!$B:$I,8,0),"")=I99,IF(C99&gt;=E99,"Successful","Unsuccessful"),"🔒 BLOCKED — Wrong Code")),"Pending")</f>
        <v>Pending</v>
      </c>
      <c r="K99" s="83" t="str">
        <f t="shared" ca="1" si="8"/>
        <v>—</v>
      </c>
      <c r="L99" s="84"/>
    </row>
    <row r="100" spans="1:12" ht="15" customHeight="1" x14ac:dyDescent="0.25">
      <c r="A100" s="85"/>
      <c r="B100" s="41" t="str">
        <f>IF(A100="","",IFERROR(VLOOKUP(A100,DB_Customers!$A:$D,4,0),"❌ Account Not Found"))</f>
        <v/>
      </c>
      <c r="C100" s="86" t="str">
        <f>IF(A100="","",IFERROR(VLOOKUP(A100,DB_Customers!$A:$N,14,0),"❌ Acct Not Found"))</f>
        <v/>
      </c>
      <c r="D100" s="87" t="str">
        <f t="shared" ca="1" si="6"/>
        <v/>
      </c>
      <c r="E100" s="94"/>
      <c r="F100" s="41"/>
      <c r="G100" s="96" t="str">
        <f t="shared" si="7"/>
        <v/>
      </c>
      <c r="H100" s="43" t="s">
        <v>134</v>
      </c>
      <c r="I100" s="81"/>
      <c r="J100" s="89" t="str">
        <f>IF(AND(A100&lt;&gt;"",E100&lt;&gt;""),IF(I100="","⚠️ Enter Code",IF(IFERROR(VLOOKUP(H100,DB_Agents!$B:$I,8,0),"")=I100,IF(C100&gt;=E100,"Successful","Unsuccessful"),"🔒 BLOCKED — Wrong Code")),"Pending")</f>
        <v>Pending</v>
      </c>
      <c r="K100" s="90" t="str">
        <f t="shared" ca="1" si="8"/>
        <v>—</v>
      </c>
      <c r="L100" s="91"/>
    </row>
    <row r="101" spans="1:12" ht="15" customHeight="1" x14ac:dyDescent="0.25">
      <c r="A101" s="76"/>
      <c r="B101" s="37" t="str">
        <f>IF(A101="","",IFERROR(VLOOKUP(A101,DB_Customers!$A:$D,4,0),"❌ Account Not Found"))</f>
        <v/>
      </c>
      <c r="C101" s="77" t="str">
        <f>IF(A101="","",IFERROR(VLOOKUP(A101,DB_Customers!$A:$N,14,0),"❌ Acct Not Found"))</f>
        <v/>
      </c>
      <c r="D101" s="78" t="str">
        <f t="shared" ca="1" si="6"/>
        <v/>
      </c>
      <c r="E101" s="94"/>
      <c r="F101" s="37"/>
      <c r="G101" s="95" t="str">
        <f t="shared" si="7"/>
        <v/>
      </c>
      <c r="H101" s="39" t="s">
        <v>134</v>
      </c>
      <c r="I101" s="81"/>
      <c r="J101" s="82" t="str">
        <f>IF(AND(A101&lt;&gt;"",E101&lt;&gt;""),IF(I101="","⚠️ Enter Code",IF(IFERROR(VLOOKUP(H101,DB_Agents!$B:$I,8,0),"")=I101,IF(C101&gt;=E101,"Successful","Unsuccessful"),"🔒 BLOCKED — Wrong Code")),"Pending")</f>
        <v>Pending</v>
      </c>
      <c r="K101" s="83" t="str">
        <f t="shared" ca="1" si="8"/>
        <v>—</v>
      </c>
      <c r="L101" s="84"/>
    </row>
    <row r="102" spans="1:12" ht="15" customHeight="1" x14ac:dyDescent="0.25">
      <c r="A102" s="85"/>
      <c r="B102" s="41" t="str">
        <f>IF(A102="","",IFERROR(VLOOKUP(A102,DB_Customers!$A:$D,4,0),"❌ Account Not Found"))</f>
        <v/>
      </c>
      <c r="C102" s="86" t="str">
        <f>IF(A102="","",IFERROR(VLOOKUP(A102,DB_Customers!$A:$N,14,0),"❌ Acct Not Found"))</f>
        <v/>
      </c>
      <c r="D102" s="87" t="str">
        <f t="shared" ca="1" si="6"/>
        <v/>
      </c>
      <c r="E102" s="94"/>
      <c r="F102" s="41"/>
      <c r="G102" s="96" t="str">
        <f t="shared" si="7"/>
        <v/>
      </c>
      <c r="H102" s="43" t="s">
        <v>134</v>
      </c>
      <c r="I102" s="81"/>
      <c r="J102" s="89" t="str">
        <f>IF(AND(A102&lt;&gt;"",E102&lt;&gt;""),IF(I102="","⚠️ Enter Code",IF(IFERROR(VLOOKUP(H102,DB_Agents!$B:$I,8,0),"")=I102,IF(C102&gt;=E102,"Successful","Unsuccessful"),"🔒 BLOCKED — Wrong Code")),"Pending")</f>
        <v>Pending</v>
      </c>
      <c r="K102" s="90" t="str">
        <f t="shared" ca="1" si="8"/>
        <v>—</v>
      </c>
      <c r="L102" s="91"/>
    </row>
    <row r="103" spans="1:12" ht="15" customHeight="1" x14ac:dyDescent="0.25">
      <c r="A103" s="76"/>
      <c r="B103" s="37" t="str">
        <f>IF(A103="","",IFERROR(VLOOKUP(A103,DB_Customers!$A:$D,4,0),"❌ Account Not Found"))</f>
        <v/>
      </c>
      <c r="C103" s="77" t="str">
        <f>IF(A103="","",IFERROR(VLOOKUP(A103,DB_Customers!$A:$N,14,0),"❌ Acct Not Found"))</f>
        <v/>
      </c>
      <c r="D103" s="78" t="str">
        <f t="shared" ca="1" si="6"/>
        <v/>
      </c>
      <c r="E103" s="94"/>
      <c r="F103" s="37"/>
      <c r="G103" s="95" t="str">
        <f t="shared" si="7"/>
        <v/>
      </c>
      <c r="H103" s="39" t="s">
        <v>134</v>
      </c>
      <c r="I103" s="81"/>
      <c r="J103" s="82" t="str">
        <f>IF(AND(A103&lt;&gt;"",E103&lt;&gt;""),IF(I103="","⚠️ Enter Code",IF(IFERROR(VLOOKUP(H103,DB_Agents!$B:$I,8,0),"")=I103,IF(C103&gt;=E103,"Successful","Unsuccessful"),"🔒 BLOCKED — Wrong Code")),"Pending")</f>
        <v>Pending</v>
      </c>
      <c r="K103" s="83" t="str">
        <f t="shared" ca="1" si="8"/>
        <v>—</v>
      </c>
      <c r="L103" s="84"/>
    </row>
    <row r="104" spans="1:12" ht="15" customHeight="1" x14ac:dyDescent="0.25">
      <c r="A104" s="85"/>
      <c r="B104" s="41" t="str">
        <f>IF(A104="","",IFERROR(VLOOKUP(A104,DB_Customers!$A:$D,4,0),"❌ Account Not Found"))</f>
        <v/>
      </c>
      <c r="C104" s="86" t="str">
        <f>IF(A104="","",IFERROR(VLOOKUP(A104,DB_Customers!$A:$N,14,0),"❌ Acct Not Found"))</f>
        <v/>
      </c>
      <c r="D104" s="87" t="str">
        <f t="shared" ca="1" si="6"/>
        <v/>
      </c>
      <c r="E104" s="94"/>
      <c r="F104" s="41"/>
      <c r="G104" s="96" t="str">
        <f t="shared" si="7"/>
        <v/>
      </c>
      <c r="H104" s="43" t="s">
        <v>134</v>
      </c>
      <c r="I104" s="81"/>
      <c r="J104" s="89" t="str">
        <f>IF(AND(A104&lt;&gt;"",E104&lt;&gt;""),IF(I104="","⚠️ Enter Code",IF(IFERROR(VLOOKUP(H104,DB_Agents!$B:$I,8,0),"")=I104,IF(C104&gt;=E104,"Successful","Unsuccessful"),"🔒 BLOCKED — Wrong Code")),"Pending")</f>
        <v>Pending</v>
      </c>
      <c r="K104" s="90" t="str">
        <f t="shared" ca="1" si="8"/>
        <v>—</v>
      </c>
      <c r="L104" s="91"/>
    </row>
    <row r="105" spans="1:12" ht="15" customHeight="1" x14ac:dyDescent="0.25">
      <c r="A105" s="76"/>
      <c r="B105" s="37" t="str">
        <f>IF(A105="","",IFERROR(VLOOKUP(A105,DB_Customers!$A:$D,4,0),"❌ Account Not Found"))</f>
        <v/>
      </c>
      <c r="C105" s="77" t="str">
        <f>IF(A105="","",IFERROR(VLOOKUP(A105,DB_Customers!$A:$N,14,0),"❌ Acct Not Found"))</f>
        <v/>
      </c>
      <c r="D105" s="78" t="str">
        <f t="shared" ref="D105:D136" ca="1" si="9">IF(A105="","",TODAY())</f>
        <v/>
      </c>
      <c r="E105" s="94"/>
      <c r="F105" s="37"/>
      <c r="G105" s="95" t="str">
        <f t="shared" ref="G105:G136" si="10">IF(OR(A105="",E105=""),"",IF(C105="","",C105-E105))</f>
        <v/>
      </c>
      <c r="H105" s="39" t="s">
        <v>134</v>
      </c>
      <c r="I105" s="81"/>
      <c r="J105" s="82" t="str">
        <f>IF(AND(A105&lt;&gt;"",E105&lt;&gt;""),IF(I105="","⚠️ Enter Code",IF(IFERROR(VLOOKUP(H105,DB_Agents!$B:$I,8,0),"")=I105,IF(C105&gt;=E105,"Successful","Unsuccessful"),"🔒 BLOCKED — Wrong Code")),"Pending")</f>
        <v>Pending</v>
      </c>
      <c r="K105" s="83" t="str">
        <f t="shared" ref="K105:K136" ca="1" si="11">IF(J105="Successful",TEXT(TODAY(),"YYYY-MM-DD")&amp;" Auto","—")</f>
        <v>—</v>
      </c>
      <c r="L105" s="84"/>
    </row>
    <row r="106" spans="1:12" ht="15" customHeight="1" x14ac:dyDescent="0.25">
      <c r="A106" s="85"/>
      <c r="B106" s="41" t="str">
        <f>IF(A106="","",IFERROR(VLOOKUP(A106,DB_Customers!$A:$D,4,0),"❌ Account Not Found"))</f>
        <v/>
      </c>
      <c r="C106" s="86" t="str">
        <f>IF(A106="","",IFERROR(VLOOKUP(A106,DB_Customers!$A:$N,14,0),"❌ Acct Not Found"))</f>
        <v/>
      </c>
      <c r="D106" s="87" t="str">
        <f t="shared" ca="1" si="9"/>
        <v/>
      </c>
      <c r="E106" s="94"/>
      <c r="F106" s="41"/>
      <c r="G106" s="96" t="str">
        <f t="shared" si="10"/>
        <v/>
      </c>
      <c r="H106" s="43" t="s">
        <v>134</v>
      </c>
      <c r="I106" s="81"/>
      <c r="J106" s="89" t="str">
        <f>IF(AND(A106&lt;&gt;"",E106&lt;&gt;""),IF(I106="","⚠️ Enter Code",IF(IFERROR(VLOOKUP(H106,DB_Agents!$B:$I,8,0),"")=I106,IF(C106&gt;=E106,"Successful","Unsuccessful"),"🔒 BLOCKED — Wrong Code")),"Pending")</f>
        <v>Pending</v>
      </c>
      <c r="K106" s="90" t="str">
        <f t="shared" ca="1" si="11"/>
        <v>—</v>
      </c>
      <c r="L106" s="91"/>
    </row>
    <row r="107" spans="1:12" ht="15" customHeight="1" x14ac:dyDescent="0.25">
      <c r="A107" s="76"/>
      <c r="B107" s="37" t="str">
        <f>IF(A107="","",IFERROR(VLOOKUP(A107,DB_Customers!$A:$D,4,0),"❌ Account Not Found"))</f>
        <v/>
      </c>
      <c r="C107" s="77" t="str">
        <f>IF(A107="","",IFERROR(VLOOKUP(A107,DB_Customers!$A:$N,14,0),"❌ Acct Not Found"))</f>
        <v/>
      </c>
      <c r="D107" s="78" t="str">
        <f t="shared" ca="1" si="9"/>
        <v/>
      </c>
      <c r="E107" s="94"/>
      <c r="F107" s="37"/>
      <c r="G107" s="95" t="str">
        <f t="shared" si="10"/>
        <v/>
      </c>
      <c r="H107" s="39" t="s">
        <v>134</v>
      </c>
      <c r="I107" s="81"/>
      <c r="J107" s="82" t="str">
        <f>IF(AND(A107&lt;&gt;"",E107&lt;&gt;""),IF(I107="","⚠️ Enter Code",IF(IFERROR(VLOOKUP(H107,DB_Agents!$B:$I,8,0),"")=I107,IF(C107&gt;=E107,"Successful","Unsuccessful"),"🔒 BLOCKED — Wrong Code")),"Pending")</f>
        <v>Pending</v>
      </c>
      <c r="K107" s="83" t="str">
        <f t="shared" ca="1" si="11"/>
        <v>—</v>
      </c>
      <c r="L107" s="84"/>
    </row>
    <row r="108" spans="1:12" ht="15" customHeight="1" x14ac:dyDescent="0.25">
      <c r="A108" s="85"/>
      <c r="B108" s="41" t="str">
        <f>IF(A108="","",IFERROR(VLOOKUP(A108,DB_Customers!$A:$D,4,0),"❌ Account Not Found"))</f>
        <v/>
      </c>
      <c r="C108" s="86" t="str">
        <f>IF(A108="","",IFERROR(VLOOKUP(A108,DB_Customers!$A:$N,14,0),"❌ Acct Not Found"))</f>
        <v/>
      </c>
      <c r="D108" s="87" t="str">
        <f t="shared" ca="1" si="9"/>
        <v/>
      </c>
      <c r="E108" s="94"/>
      <c r="F108" s="41"/>
      <c r="G108" s="96" t="str">
        <f t="shared" si="10"/>
        <v/>
      </c>
      <c r="H108" s="43" t="s">
        <v>134</v>
      </c>
      <c r="I108" s="81"/>
      <c r="J108" s="89" t="str">
        <f>IF(AND(A108&lt;&gt;"",E108&lt;&gt;""),IF(I108="","⚠️ Enter Code",IF(IFERROR(VLOOKUP(H108,DB_Agents!$B:$I,8,0),"")=I108,IF(C108&gt;=E108,"Successful","Unsuccessful"),"🔒 BLOCKED — Wrong Code")),"Pending")</f>
        <v>Pending</v>
      </c>
      <c r="K108" s="90" t="str">
        <f t="shared" ca="1" si="11"/>
        <v>—</v>
      </c>
      <c r="L108" s="91"/>
    </row>
    <row r="109" spans="1:12" ht="15" customHeight="1" x14ac:dyDescent="0.25">
      <c r="A109" s="76"/>
      <c r="B109" s="37" t="str">
        <f>IF(A109="","",IFERROR(VLOOKUP(A109,DB_Customers!$A:$D,4,0),"❌ Account Not Found"))</f>
        <v/>
      </c>
      <c r="C109" s="77" t="str">
        <f>IF(A109="","",IFERROR(VLOOKUP(A109,DB_Customers!$A:$N,14,0),"❌ Acct Not Found"))</f>
        <v/>
      </c>
      <c r="D109" s="78" t="str">
        <f t="shared" ca="1" si="9"/>
        <v/>
      </c>
      <c r="E109" s="94"/>
      <c r="F109" s="37"/>
      <c r="G109" s="95" t="str">
        <f t="shared" si="10"/>
        <v/>
      </c>
      <c r="H109" s="39" t="s">
        <v>134</v>
      </c>
      <c r="I109" s="81"/>
      <c r="J109" s="82" t="str">
        <f>IF(AND(A109&lt;&gt;"",E109&lt;&gt;""),IF(I109="","⚠️ Enter Code",IF(IFERROR(VLOOKUP(H109,DB_Agents!$B:$I,8,0),"")=I109,IF(C109&gt;=E109,"Successful","Unsuccessful"),"🔒 BLOCKED — Wrong Code")),"Pending")</f>
        <v>Pending</v>
      </c>
      <c r="K109" s="83" t="str">
        <f t="shared" ca="1" si="11"/>
        <v>—</v>
      </c>
      <c r="L109" s="84"/>
    </row>
    <row r="110" spans="1:12" ht="15" customHeight="1" x14ac:dyDescent="0.25">
      <c r="A110" s="85"/>
      <c r="B110" s="41" t="str">
        <f>IF(A110="","",IFERROR(VLOOKUP(A110,DB_Customers!$A:$D,4,0),"❌ Account Not Found"))</f>
        <v/>
      </c>
      <c r="C110" s="86" t="str">
        <f>IF(A110="","",IFERROR(VLOOKUP(A110,DB_Customers!$A:$N,14,0),"❌ Acct Not Found"))</f>
        <v/>
      </c>
      <c r="D110" s="87" t="str">
        <f t="shared" ca="1" si="9"/>
        <v/>
      </c>
      <c r="E110" s="94"/>
      <c r="F110" s="41"/>
      <c r="G110" s="96" t="str">
        <f t="shared" si="10"/>
        <v/>
      </c>
      <c r="H110" s="43" t="s">
        <v>134</v>
      </c>
      <c r="I110" s="81"/>
      <c r="J110" s="89" t="str">
        <f>IF(AND(A110&lt;&gt;"",E110&lt;&gt;""),IF(I110="","⚠️ Enter Code",IF(IFERROR(VLOOKUP(H110,DB_Agents!$B:$I,8,0),"")=I110,IF(C110&gt;=E110,"Successful","Unsuccessful"),"🔒 BLOCKED — Wrong Code")),"Pending")</f>
        <v>Pending</v>
      </c>
      <c r="K110" s="90" t="str">
        <f t="shared" ca="1" si="11"/>
        <v>—</v>
      </c>
      <c r="L110" s="91"/>
    </row>
    <row r="111" spans="1:12" ht="15" customHeight="1" x14ac:dyDescent="0.25">
      <c r="A111" s="76"/>
      <c r="B111" s="37" t="str">
        <f>IF(A111="","",IFERROR(VLOOKUP(A111,DB_Customers!$A:$D,4,0),"❌ Account Not Found"))</f>
        <v/>
      </c>
      <c r="C111" s="77" t="str">
        <f>IF(A111="","",IFERROR(VLOOKUP(A111,DB_Customers!$A:$N,14,0),"❌ Acct Not Found"))</f>
        <v/>
      </c>
      <c r="D111" s="78" t="str">
        <f t="shared" ca="1" si="9"/>
        <v/>
      </c>
      <c r="E111" s="94"/>
      <c r="F111" s="37"/>
      <c r="G111" s="95" t="str">
        <f t="shared" si="10"/>
        <v/>
      </c>
      <c r="H111" s="39" t="s">
        <v>134</v>
      </c>
      <c r="I111" s="81"/>
      <c r="J111" s="82" t="str">
        <f>IF(AND(A111&lt;&gt;"",E111&lt;&gt;""),IF(I111="","⚠️ Enter Code",IF(IFERROR(VLOOKUP(H111,DB_Agents!$B:$I,8,0),"")=I111,IF(C111&gt;=E111,"Successful","Unsuccessful"),"🔒 BLOCKED — Wrong Code")),"Pending")</f>
        <v>Pending</v>
      </c>
      <c r="K111" s="83" t="str">
        <f t="shared" ca="1" si="11"/>
        <v>—</v>
      </c>
      <c r="L111" s="84"/>
    </row>
    <row r="112" spans="1:12" ht="15" customHeight="1" x14ac:dyDescent="0.25">
      <c r="A112" s="85"/>
      <c r="B112" s="41" t="str">
        <f>IF(A112="","",IFERROR(VLOOKUP(A112,DB_Customers!$A:$D,4,0),"❌ Account Not Found"))</f>
        <v/>
      </c>
      <c r="C112" s="86" t="str">
        <f>IF(A112="","",IFERROR(VLOOKUP(A112,DB_Customers!$A:$N,14,0),"❌ Acct Not Found"))</f>
        <v/>
      </c>
      <c r="D112" s="87" t="str">
        <f t="shared" ca="1" si="9"/>
        <v/>
      </c>
      <c r="E112" s="94"/>
      <c r="F112" s="41"/>
      <c r="G112" s="96" t="str">
        <f t="shared" si="10"/>
        <v/>
      </c>
      <c r="H112" s="43" t="s">
        <v>134</v>
      </c>
      <c r="I112" s="81"/>
      <c r="J112" s="89" t="str">
        <f>IF(AND(A112&lt;&gt;"",E112&lt;&gt;""),IF(I112="","⚠️ Enter Code",IF(IFERROR(VLOOKUP(H112,DB_Agents!$B:$I,8,0),"")=I112,IF(C112&gt;=E112,"Successful","Unsuccessful"),"🔒 BLOCKED — Wrong Code")),"Pending")</f>
        <v>Pending</v>
      </c>
      <c r="K112" s="90" t="str">
        <f t="shared" ca="1" si="11"/>
        <v>—</v>
      </c>
      <c r="L112" s="91"/>
    </row>
    <row r="113" spans="1:12" ht="15" customHeight="1" x14ac:dyDescent="0.25">
      <c r="A113" s="76"/>
      <c r="B113" s="37" t="str">
        <f>IF(A113="","",IFERROR(VLOOKUP(A113,DB_Customers!$A:$D,4,0),"❌ Account Not Found"))</f>
        <v/>
      </c>
      <c r="C113" s="77" t="str">
        <f>IF(A113="","",IFERROR(VLOOKUP(A113,DB_Customers!$A:$N,14,0),"❌ Acct Not Found"))</f>
        <v/>
      </c>
      <c r="D113" s="78" t="str">
        <f t="shared" ca="1" si="9"/>
        <v/>
      </c>
      <c r="E113" s="94"/>
      <c r="F113" s="37"/>
      <c r="G113" s="95" t="str">
        <f t="shared" si="10"/>
        <v/>
      </c>
      <c r="H113" s="39" t="s">
        <v>134</v>
      </c>
      <c r="I113" s="81"/>
      <c r="J113" s="82" t="str">
        <f>IF(AND(A113&lt;&gt;"",E113&lt;&gt;""),IF(I113="","⚠️ Enter Code",IF(IFERROR(VLOOKUP(H113,DB_Agents!$B:$I,8,0),"")=I113,IF(C113&gt;=E113,"Successful","Unsuccessful"),"🔒 BLOCKED — Wrong Code")),"Pending")</f>
        <v>Pending</v>
      </c>
      <c r="K113" s="83" t="str">
        <f t="shared" ca="1" si="11"/>
        <v>—</v>
      </c>
      <c r="L113" s="84"/>
    </row>
    <row r="114" spans="1:12" ht="15" customHeight="1" x14ac:dyDescent="0.25">
      <c r="A114" s="85"/>
      <c r="B114" s="41" t="str">
        <f>IF(A114="","",IFERROR(VLOOKUP(A114,DB_Customers!$A:$D,4,0),"❌ Account Not Found"))</f>
        <v/>
      </c>
      <c r="C114" s="86" t="str">
        <f>IF(A114="","",IFERROR(VLOOKUP(A114,DB_Customers!$A:$N,14,0),"❌ Acct Not Found"))</f>
        <v/>
      </c>
      <c r="D114" s="87" t="str">
        <f t="shared" ca="1" si="9"/>
        <v/>
      </c>
      <c r="E114" s="94"/>
      <c r="F114" s="41"/>
      <c r="G114" s="96" t="str">
        <f t="shared" si="10"/>
        <v/>
      </c>
      <c r="H114" s="43" t="s">
        <v>134</v>
      </c>
      <c r="I114" s="81"/>
      <c r="J114" s="89" t="str">
        <f>IF(AND(A114&lt;&gt;"",E114&lt;&gt;""),IF(I114="","⚠️ Enter Code",IF(IFERROR(VLOOKUP(H114,DB_Agents!$B:$I,8,0),"")=I114,IF(C114&gt;=E114,"Successful","Unsuccessful"),"🔒 BLOCKED — Wrong Code")),"Pending")</f>
        <v>Pending</v>
      </c>
      <c r="K114" s="90" t="str">
        <f t="shared" ca="1" si="11"/>
        <v>—</v>
      </c>
      <c r="L114" s="91"/>
    </row>
    <row r="115" spans="1:12" ht="15" customHeight="1" x14ac:dyDescent="0.25">
      <c r="A115" s="76"/>
      <c r="B115" s="37" t="str">
        <f>IF(A115="","",IFERROR(VLOOKUP(A115,DB_Customers!$A:$D,4,0),"❌ Account Not Found"))</f>
        <v/>
      </c>
      <c r="C115" s="77" t="str">
        <f>IF(A115="","",IFERROR(VLOOKUP(A115,DB_Customers!$A:$N,14,0),"❌ Acct Not Found"))</f>
        <v/>
      </c>
      <c r="D115" s="78" t="str">
        <f t="shared" ca="1" si="9"/>
        <v/>
      </c>
      <c r="E115" s="94"/>
      <c r="F115" s="37"/>
      <c r="G115" s="95" t="str">
        <f t="shared" si="10"/>
        <v/>
      </c>
      <c r="H115" s="39" t="s">
        <v>134</v>
      </c>
      <c r="I115" s="81"/>
      <c r="J115" s="82" t="str">
        <f>IF(AND(A115&lt;&gt;"",E115&lt;&gt;""),IF(I115="","⚠️ Enter Code",IF(IFERROR(VLOOKUP(H115,DB_Agents!$B:$I,8,0),"")=I115,IF(C115&gt;=E115,"Successful","Unsuccessful"),"🔒 BLOCKED — Wrong Code")),"Pending")</f>
        <v>Pending</v>
      </c>
      <c r="K115" s="83" t="str">
        <f t="shared" ca="1" si="11"/>
        <v>—</v>
      </c>
      <c r="L115" s="84"/>
    </row>
    <row r="116" spans="1:12" ht="15" customHeight="1" x14ac:dyDescent="0.25">
      <c r="A116" s="85"/>
      <c r="B116" s="41" t="str">
        <f>IF(A116="","",IFERROR(VLOOKUP(A116,DB_Customers!$A:$D,4,0),"❌ Account Not Found"))</f>
        <v/>
      </c>
      <c r="C116" s="86" t="str">
        <f>IF(A116="","",IFERROR(VLOOKUP(A116,DB_Customers!$A:$N,14,0),"❌ Acct Not Found"))</f>
        <v/>
      </c>
      <c r="D116" s="87" t="str">
        <f t="shared" ca="1" si="9"/>
        <v/>
      </c>
      <c r="E116" s="94"/>
      <c r="F116" s="41"/>
      <c r="G116" s="96" t="str">
        <f t="shared" si="10"/>
        <v/>
      </c>
      <c r="H116" s="43" t="s">
        <v>134</v>
      </c>
      <c r="I116" s="81"/>
      <c r="J116" s="89" t="str">
        <f>IF(AND(A116&lt;&gt;"",E116&lt;&gt;""),IF(I116="","⚠️ Enter Code",IF(IFERROR(VLOOKUP(H116,DB_Agents!$B:$I,8,0),"")=I116,IF(C116&gt;=E116,"Successful","Unsuccessful"),"🔒 BLOCKED — Wrong Code")),"Pending")</f>
        <v>Pending</v>
      </c>
      <c r="K116" s="90" t="str">
        <f t="shared" ca="1" si="11"/>
        <v>—</v>
      </c>
      <c r="L116" s="91"/>
    </row>
    <row r="117" spans="1:12" ht="15" customHeight="1" x14ac:dyDescent="0.25">
      <c r="A117" s="76"/>
      <c r="B117" s="37" t="str">
        <f>IF(A117="","",IFERROR(VLOOKUP(A117,DB_Customers!$A:$D,4,0),"❌ Account Not Found"))</f>
        <v/>
      </c>
      <c r="C117" s="77" t="str">
        <f>IF(A117="","",IFERROR(VLOOKUP(A117,DB_Customers!$A:$N,14,0),"❌ Acct Not Found"))</f>
        <v/>
      </c>
      <c r="D117" s="78" t="str">
        <f t="shared" ca="1" si="9"/>
        <v/>
      </c>
      <c r="E117" s="94"/>
      <c r="F117" s="37"/>
      <c r="G117" s="95" t="str">
        <f t="shared" si="10"/>
        <v/>
      </c>
      <c r="H117" s="39" t="s">
        <v>134</v>
      </c>
      <c r="I117" s="81"/>
      <c r="J117" s="82" t="str">
        <f>IF(AND(A117&lt;&gt;"",E117&lt;&gt;""),IF(I117="","⚠️ Enter Code",IF(IFERROR(VLOOKUP(H117,DB_Agents!$B:$I,8,0),"")=I117,IF(C117&gt;=E117,"Successful","Unsuccessful"),"🔒 BLOCKED — Wrong Code")),"Pending")</f>
        <v>Pending</v>
      </c>
      <c r="K117" s="83" t="str">
        <f t="shared" ca="1" si="11"/>
        <v>—</v>
      </c>
      <c r="L117" s="84"/>
    </row>
    <row r="118" spans="1:12" ht="15" customHeight="1" x14ac:dyDescent="0.25">
      <c r="A118" s="85"/>
      <c r="B118" s="41" t="str">
        <f>IF(A118="","",IFERROR(VLOOKUP(A118,DB_Customers!$A:$D,4,0),"❌ Account Not Found"))</f>
        <v/>
      </c>
      <c r="C118" s="86" t="str">
        <f>IF(A118="","",IFERROR(VLOOKUP(A118,DB_Customers!$A:$N,14,0),"❌ Acct Not Found"))</f>
        <v/>
      </c>
      <c r="D118" s="87" t="str">
        <f t="shared" ca="1" si="9"/>
        <v/>
      </c>
      <c r="E118" s="94"/>
      <c r="F118" s="41"/>
      <c r="G118" s="96" t="str">
        <f t="shared" si="10"/>
        <v/>
      </c>
      <c r="H118" s="43" t="s">
        <v>134</v>
      </c>
      <c r="I118" s="81"/>
      <c r="J118" s="89" t="str">
        <f>IF(AND(A118&lt;&gt;"",E118&lt;&gt;""),IF(I118="","⚠️ Enter Code",IF(IFERROR(VLOOKUP(H118,DB_Agents!$B:$I,8,0),"")=I118,IF(C118&gt;=E118,"Successful","Unsuccessful"),"🔒 BLOCKED — Wrong Code")),"Pending")</f>
        <v>Pending</v>
      </c>
      <c r="K118" s="90" t="str">
        <f t="shared" ca="1" si="11"/>
        <v>—</v>
      </c>
      <c r="L118" s="91"/>
    </row>
    <row r="119" spans="1:12" ht="15" customHeight="1" x14ac:dyDescent="0.25">
      <c r="A119" s="76"/>
      <c r="B119" s="37" t="str">
        <f>IF(A119="","",IFERROR(VLOOKUP(A119,DB_Customers!$A:$D,4,0),"❌ Account Not Found"))</f>
        <v/>
      </c>
      <c r="C119" s="77" t="str">
        <f>IF(A119="","",IFERROR(VLOOKUP(A119,DB_Customers!$A:$N,14,0),"❌ Acct Not Found"))</f>
        <v/>
      </c>
      <c r="D119" s="78" t="str">
        <f t="shared" ca="1" si="9"/>
        <v/>
      </c>
      <c r="E119" s="94"/>
      <c r="F119" s="37"/>
      <c r="G119" s="95" t="str">
        <f t="shared" si="10"/>
        <v/>
      </c>
      <c r="H119" s="39" t="s">
        <v>134</v>
      </c>
      <c r="I119" s="81"/>
      <c r="J119" s="82" t="str">
        <f>IF(AND(A119&lt;&gt;"",E119&lt;&gt;""),IF(I119="","⚠️ Enter Code",IF(IFERROR(VLOOKUP(H119,DB_Agents!$B:$I,8,0),"")=I119,IF(C119&gt;=E119,"Successful","Unsuccessful"),"🔒 BLOCKED — Wrong Code")),"Pending")</f>
        <v>Pending</v>
      </c>
      <c r="K119" s="83" t="str">
        <f t="shared" ca="1" si="11"/>
        <v>—</v>
      </c>
      <c r="L119" s="84"/>
    </row>
    <row r="120" spans="1:12" ht="15" customHeight="1" x14ac:dyDescent="0.25">
      <c r="A120" s="85"/>
      <c r="B120" s="41" t="str">
        <f>IF(A120="","",IFERROR(VLOOKUP(A120,DB_Customers!$A:$D,4,0),"❌ Account Not Found"))</f>
        <v/>
      </c>
      <c r="C120" s="86" t="str">
        <f>IF(A120="","",IFERROR(VLOOKUP(A120,DB_Customers!$A:$N,14,0),"❌ Acct Not Found"))</f>
        <v/>
      </c>
      <c r="D120" s="87" t="str">
        <f t="shared" ca="1" si="9"/>
        <v/>
      </c>
      <c r="E120" s="94"/>
      <c r="F120" s="41"/>
      <c r="G120" s="96" t="str">
        <f t="shared" si="10"/>
        <v/>
      </c>
      <c r="H120" s="43" t="s">
        <v>134</v>
      </c>
      <c r="I120" s="81"/>
      <c r="J120" s="89" t="str">
        <f>IF(AND(A120&lt;&gt;"",E120&lt;&gt;""),IF(I120="","⚠️ Enter Code",IF(IFERROR(VLOOKUP(H120,DB_Agents!$B:$I,8,0),"")=I120,IF(C120&gt;=E120,"Successful","Unsuccessful"),"🔒 BLOCKED — Wrong Code")),"Pending")</f>
        <v>Pending</v>
      </c>
      <c r="K120" s="90" t="str">
        <f t="shared" ca="1" si="11"/>
        <v>—</v>
      </c>
      <c r="L120" s="91"/>
    </row>
    <row r="121" spans="1:12" ht="15" customHeight="1" x14ac:dyDescent="0.25">
      <c r="A121" s="76"/>
      <c r="B121" s="37" t="str">
        <f>IF(A121="","",IFERROR(VLOOKUP(A121,DB_Customers!$A:$D,4,0),"❌ Account Not Found"))</f>
        <v/>
      </c>
      <c r="C121" s="77" t="str">
        <f>IF(A121="","",IFERROR(VLOOKUP(A121,DB_Customers!$A:$N,14,0),"❌ Acct Not Found"))</f>
        <v/>
      </c>
      <c r="D121" s="78" t="str">
        <f t="shared" ca="1" si="9"/>
        <v/>
      </c>
      <c r="E121" s="94"/>
      <c r="F121" s="37"/>
      <c r="G121" s="95" t="str">
        <f t="shared" si="10"/>
        <v/>
      </c>
      <c r="H121" s="39" t="s">
        <v>134</v>
      </c>
      <c r="I121" s="81"/>
      <c r="J121" s="82" t="str">
        <f>IF(AND(A121&lt;&gt;"",E121&lt;&gt;""),IF(I121="","⚠️ Enter Code",IF(IFERROR(VLOOKUP(H121,DB_Agents!$B:$I,8,0),"")=I121,IF(C121&gt;=E121,"Successful","Unsuccessful"),"🔒 BLOCKED — Wrong Code")),"Pending")</f>
        <v>Pending</v>
      </c>
      <c r="K121" s="83" t="str">
        <f t="shared" ca="1" si="11"/>
        <v>—</v>
      </c>
      <c r="L121" s="84"/>
    </row>
    <row r="122" spans="1:12" ht="15" customHeight="1" x14ac:dyDescent="0.25">
      <c r="A122" s="85"/>
      <c r="B122" s="41" t="str">
        <f>IF(A122="","",IFERROR(VLOOKUP(A122,DB_Customers!$A:$D,4,0),"❌ Account Not Found"))</f>
        <v/>
      </c>
      <c r="C122" s="86" t="str">
        <f>IF(A122="","",IFERROR(VLOOKUP(A122,DB_Customers!$A:$N,14,0),"❌ Acct Not Found"))</f>
        <v/>
      </c>
      <c r="D122" s="87" t="str">
        <f t="shared" ca="1" si="9"/>
        <v/>
      </c>
      <c r="E122" s="94"/>
      <c r="F122" s="41"/>
      <c r="G122" s="96" t="str">
        <f t="shared" si="10"/>
        <v/>
      </c>
      <c r="H122" s="43" t="s">
        <v>134</v>
      </c>
      <c r="I122" s="81"/>
      <c r="J122" s="89" t="str">
        <f>IF(AND(A122&lt;&gt;"",E122&lt;&gt;""),IF(I122="","⚠️ Enter Code",IF(IFERROR(VLOOKUP(H122,DB_Agents!$B:$I,8,0),"")=I122,IF(C122&gt;=E122,"Successful","Unsuccessful"),"🔒 BLOCKED — Wrong Code")),"Pending")</f>
        <v>Pending</v>
      </c>
      <c r="K122" s="90" t="str">
        <f t="shared" ca="1" si="11"/>
        <v>—</v>
      </c>
      <c r="L122" s="91"/>
    </row>
    <row r="123" spans="1:12" ht="15" customHeight="1" x14ac:dyDescent="0.25">
      <c r="A123" s="76"/>
      <c r="B123" s="37" t="str">
        <f>IF(A123="","",IFERROR(VLOOKUP(A123,DB_Customers!$A:$D,4,0),"❌ Account Not Found"))</f>
        <v/>
      </c>
      <c r="C123" s="77" t="str">
        <f>IF(A123="","",IFERROR(VLOOKUP(A123,DB_Customers!$A:$N,14,0),"❌ Acct Not Found"))</f>
        <v/>
      </c>
      <c r="D123" s="78" t="str">
        <f t="shared" ca="1" si="9"/>
        <v/>
      </c>
      <c r="E123" s="94"/>
      <c r="F123" s="37"/>
      <c r="G123" s="95" t="str">
        <f t="shared" si="10"/>
        <v/>
      </c>
      <c r="H123" s="39" t="s">
        <v>134</v>
      </c>
      <c r="I123" s="81"/>
      <c r="J123" s="82" t="str">
        <f>IF(AND(A123&lt;&gt;"",E123&lt;&gt;""),IF(I123="","⚠️ Enter Code",IF(IFERROR(VLOOKUP(H123,DB_Agents!$B:$I,8,0),"")=I123,IF(C123&gt;=E123,"Successful","Unsuccessful"),"🔒 BLOCKED — Wrong Code")),"Pending")</f>
        <v>Pending</v>
      </c>
      <c r="K123" s="83" t="str">
        <f t="shared" ca="1" si="11"/>
        <v>—</v>
      </c>
      <c r="L123" s="84"/>
    </row>
    <row r="124" spans="1:12" ht="15" customHeight="1" x14ac:dyDescent="0.25">
      <c r="A124" s="85"/>
      <c r="B124" s="41" t="str">
        <f>IF(A124="","",IFERROR(VLOOKUP(A124,DB_Customers!$A:$D,4,0),"❌ Account Not Found"))</f>
        <v/>
      </c>
      <c r="C124" s="86" t="str">
        <f>IF(A124="","",IFERROR(VLOOKUP(A124,DB_Customers!$A:$N,14,0),"❌ Acct Not Found"))</f>
        <v/>
      </c>
      <c r="D124" s="87" t="str">
        <f t="shared" ca="1" si="9"/>
        <v/>
      </c>
      <c r="E124" s="94"/>
      <c r="F124" s="41"/>
      <c r="G124" s="96" t="str">
        <f t="shared" si="10"/>
        <v/>
      </c>
      <c r="H124" s="43" t="s">
        <v>134</v>
      </c>
      <c r="I124" s="81"/>
      <c r="J124" s="89" t="str">
        <f>IF(AND(A124&lt;&gt;"",E124&lt;&gt;""),IF(I124="","⚠️ Enter Code",IF(IFERROR(VLOOKUP(H124,DB_Agents!$B:$I,8,0),"")=I124,IF(C124&gt;=E124,"Successful","Unsuccessful"),"🔒 BLOCKED — Wrong Code")),"Pending")</f>
        <v>Pending</v>
      </c>
      <c r="K124" s="90" t="str">
        <f t="shared" ca="1" si="11"/>
        <v>—</v>
      </c>
      <c r="L124" s="91"/>
    </row>
    <row r="125" spans="1:12" ht="15" customHeight="1" x14ac:dyDescent="0.25">
      <c r="A125" s="76"/>
      <c r="B125" s="37" t="str">
        <f>IF(A125="","",IFERROR(VLOOKUP(A125,DB_Customers!$A:$D,4,0),"❌ Account Not Found"))</f>
        <v/>
      </c>
      <c r="C125" s="77" t="str">
        <f>IF(A125="","",IFERROR(VLOOKUP(A125,DB_Customers!$A:$N,14,0),"❌ Acct Not Found"))</f>
        <v/>
      </c>
      <c r="D125" s="78" t="str">
        <f t="shared" ca="1" si="9"/>
        <v/>
      </c>
      <c r="E125" s="94"/>
      <c r="F125" s="37"/>
      <c r="G125" s="95" t="str">
        <f t="shared" si="10"/>
        <v/>
      </c>
      <c r="H125" s="39" t="s">
        <v>134</v>
      </c>
      <c r="I125" s="81"/>
      <c r="J125" s="82" t="str">
        <f>IF(AND(A125&lt;&gt;"",E125&lt;&gt;""),IF(I125="","⚠️ Enter Code",IF(IFERROR(VLOOKUP(H125,DB_Agents!$B:$I,8,0),"")=I125,IF(C125&gt;=E125,"Successful","Unsuccessful"),"🔒 BLOCKED — Wrong Code")),"Pending")</f>
        <v>Pending</v>
      </c>
      <c r="K125" s="83" t="str">
        <f t="shared" ca="1" si="11"/>
        <v>—</v>
      </c>
      <c r="L125" s="84"/>
    </row>
    <row r="126" spans="1:12" ht="15" customHeight="1" x14ac:dyDescent="0.25">
      <c r="A126" s="85"/>
      <c r="B126" s="41" t="str">
        <f>IF(A126="","",IFERROR(VLOOKUP(A126,DB_Customers!$A:$D,4,0),"❌ Account Not Found"))</f>
        <v/>
      </c>
      <c r="C126" s="86" t="str">
        <f>IF(A126="","",IFERROR(VLOOKUP(A126,DB_Customers!$A:$N,14,0),"❌ Acct Not Found"))</f>
        <v/>
      </c>
      <c r="D126" s="87" t="str">
        <f t="shared" ca="1" si="9"/>
        <v/>
      </c>
      <c r="E126" s="94"/>
      <c r="F126" s="41"/>
      <c r="G126" s="96" t="str">
        <f t="shared" si="10"/>
        <v/>
      </c>
      <c r="H126" s="43" t="s">
        <v>134</v>
      </c>
      <c r="I126" s="81"/>
      <c r="J126" s="89" t="str">
        <f>IF(AND(A126&lt;&gt;"",E126&lt;&gt;""),IF(I126="","⚠️ Enter Code",IF(IFERROR(VLOOKUP(H126,DB_Agents!$B:$I,8,0),"")=I126,IF(C126&gt;=E126,"Successful","Unsuccessful"),"🔒 BLOCKED — Wrong Code")),"Pending")</f>
        <v>Pending</v>
      </c>
      <c r="K126" s="90" t="str">
        <f t="shared" ca="1" si="11"/>
        <v>—</v>
      </c>
      <c r="L126" s="91"/>
    </row>
    <row r="127" spans="1:12" ht="15" customHeight="1" x14ac:dyDescent="0.25">
      <c r="A127" s="76"/>
      <c r="B127" s="37" t="str">
        <f>IF(A127="","",IFERROR(VLOOKUP(A127,DB_Customers!$A:$D,4,0),"❌ Account Not Found"))</f>
        <v/>
      </c>
      <c r="C127" s="77" t="str">
        <f>IF(A127="","",IFERROR(VLOOKUP(A127,DB_Customers!$A:$N,14,0),"❌ Acct Not Found"))</f>
        <v/>
      </c>
      <c r="D127" s="78" t="str">
        <f t="shared" ca="1" si="9"/>
        <v/>
      </c>
      <c r="E127" s="94"/>
      <c r="F127" s="37"/>
      <c r="G127" s="95" t="str">
        <f t="shared" si="10"/>
        <v/>
      </c>
      <c r="H127" s="39" t="s">
        <v>134</v>
      </c>
      <c r="I127" s="81"/>
      <c r="J127" s="82" t="str">
        <f>IF(AND(A127&lt;&gt;"",E127&lt;&gt;""),IF(I127="","⚠️ Enter Code",IF(IFERROR(VLOOKUP(H127,DB_Agents!$B:$I,8,0),"")=I127,IF(C127&gt;=E127,"Successful","Unsuccessful"),"🔒 BLOCKED — Wrong Code")),"Pending")</f>
        <v>Pending</v>
      </c>
      <c r="K127" s="83" t="str">
        <f t="shared" ca="1" si="11"/>
        <v>—</v>
      </c>
      <c r="L127" s="84"/>
    </row>
    <row r="128" spans="1:12" ht="15" customHeight="1" x14ac:dyDescent="0.25">
      <c r="A128" s="85"/>
      <c r="B128" s="41" t="str">
        <f>IF(A128="","",IFERROR(VLOOKUP(A128,DB_Customers!$A:$D,4,0),"❌ Account Not Found"))</f>
        <v/>
      </c>
      <c r="C128" s="86" t="str">
        <f>IF(A128="","",IFERROR(VLOOKUP(A128,DB_Customers!$A:$N,14,0),"❌ Acct Not Found"))</f>
        <v/>
      </c>
      <c r="D128" s="87" t="str">
        <f t="shared" ca="1" si="9"/>
        <v/>
      </c>
      <c r="E128" s="94"/>
      <c r="F128" s="41"/>
      <c r="G128" s="96" t="str">
        <f t="shared" si="10"/>
        <v/>
      </c>
      <c r="H128" s="43" t="s">
        <v>134</v>
      </c>
      <c r="I128" s="81"/>
      <c r="J128" s="89" t="str">
        <f>IF(AND(A128&lt;&gt;"",E128&lt;&gt;""),IF(I128="","⚠️ Enter Code",IF(IFERROR(VLOOKUP(H128,DB_Agents!$B:$I,8,0),"")=I128,IF(C128&gt;=E128,"Successful","Unsuccessful"),"🔒 BLOCKED — Wrong Code")),"Pending")</f>
        <v>Pending</v>
      </c>
      <c r="K128" s="90" t="str">
        <f t="shared" ca="1" si="11"/>
        <v>—</v>
      </c>
      <c r="L128" s="91"/>
    </row>
    <row r="129" spans="1:12" ht="15" customHeight="1" x14ac:dyDescent="0.25">
      <c r="A129" s="76"/>
      <c r="B129" s="37" t="str">
        <f>IF(A129="","",IFERROR(VLOOKUP(A129,DB_Customers!$A:$D,4,0),"❌ Account Not Found"))</f>
        <v/>
      </c>
      <c r="C129" s="77" t="str">
        <f>IF(A129="","",IFERROR(VLOOKUP(A129,DB_Customers!$A:$N,14,0),"❌ Acct Not Found"))</f>
        <v/>
      </c>
      <c r="D129" s="78" t="str">
        <f t="shared" ca="1" si="9"/>
        <v/>
      </c>
      <c r="E129" s="94"/>
      <c r="F129" s="37"/>
      <c r="G129" s="95" t="str">
        <f t="shared" si="10"/>
        <v/>
      </c>
      <c r="H129" s="39" t="s">
        <v>134</v>
      </c>
      <c r="I129" s="81"/>
      <c r="J129" s="82" t="str">
        <f>IF(AND(A129&lt;&gt;"",E129&lt;&gt;""),IF(I129="","⚠️ Enter Code",IF(IFERROR(VLOOKUP(H129,DB_Agents!$B:$I,8,0),"")=I129,IF(C129&gt;=E129,"Successful","Unsuccessful"),"🔒 BLOCKED — Wrong Code")),"Pending")</f>
        <v>Pending</v>
      </c>
      <c r="K129" s="83" t="str">
        <f t="shared" ca="1" si="11"/>
        <v>—</v>
      </c>
      <c r="L129" s="84"/>
    </row>
    <row r="130" spans="1:12" ht="15" customHeight="1" x14ac:dyDescent="0.25">
      <c r="A130" s="85"/>
      <c r="B130" s="41" t="str">
        <f>IF(A130="","",IFERROR(VLOOKUP(A130,DB_Customers!$A:$D,4,0),"❌ Account Not Found"))</f>
        <v/>
      </c>
      <c r="C130" s="86" t="str">
        <f>IF(A130="","",IFERROR(VLOOKUP(A130,DB_Customers!$A:$N,14,0),"❌ Acct Not Found"))</f>
        <v/>
      </c>
      <c r="D130" s="87" t="str">
        <f t="shared" ca="1" si="9"/>
        <v/>
      </c>
      <c r="E130" s="94"/>
      <c r="F130" s="41"/>
      <c r="G130" s="96" t="str">
        <f t="shared" si="10"/>
        <v/>
      </c>
      <c r="H130" s="43" t="s">
        <v>134</v>
      </c>
      <c r="I130" s="81"/>
      <c r="J130" s="89" t="str">
        <f>IF(AND(A130&lt;&gt;"",E130&lt;&gt;""),IF(I130="","⚠️ Enter Code",IF(IFERROR(VLOOKUP(H130,DB_Agents!$B:$I,8,0),"")=I130,IF(C130&gt;=E130,"Successful","Unsuccessful"),"🔒 BLOCKED — Wrong Code")),"Pending")</f>
        <v>Pending</v>
      </c>
      <c r="K130" s="90" t="str">
        <f t="shared" ca="1" si="11"/>
        <v>—</v>
      </c>
      <c r="L130" s="91"/>
    </row>
    <row r="131" spans="1:12" ht="15" customHeight="1" x14ac:dyDescent="0.25">
      <c r="A131" s="76"/>
      <c r="B131" s="37" t="str">
        <f>IF(A131="","",IFERROR(VLOOKUP(A131,DB_Customers!$A:$D,4,0),"❌ Account Not Found"))</f>
        <v/>
      </c>
      <c r="C131" s="77" t="str">
        <f>IF(A131="","",IFERROR(VLOOKUP(A131,DB_Customers!$A:$N,14,0),"❌ Acct Not Found"))</f>
        <v/>
      </c>
      <c r="D131" s="78" t="str">
        <f t="shared" ca="1" si="9"/>
        <v/>
      </c>
      <c r="E131" s="94"/>
      <c r="F131" s="37"/>
      <c r="G131" s="95" t="str">
        <f t="shared" si="10"/>
        <v/>
      </c>
      <c r="H131" s="39" t="s">
        <v>134</v>
      </c>
      <c r="I131" s="81"/>
      <c r="J131" s="82" t="str">
        <f>IF(AND(A131&lt;&gt;"",E131&lt;&gt;""),IF(I131="","⚠️ Enter Code",IF(IFERROR(VLOOKUP(H131,DB_Agents!$B:$I,8,0),"")=I131,IF(C131&gt;=E131,"Successful","Unsuccessful"),"🔒 BLOCKED — Wrong Code")),"Pending")</f>
        <v>Pending</v>
      </c>
      <c r="K131" s="83" t="str">
        <f t="shared" ca="1" si="11"/>
        <v>—</v>
      </c>
      <c r="L131" s="84"/>
    </row>
    <row r="132" spans="1:12" ht="15" customHeight="1" x14ac:dyDescent="0.25">
      <c r="A132" s="85"/>
      <c r="B132" s="41" t="str">
        <f>IF(A132="","",IFERROR(VLOOKUP(A132,DB_Customers!$A:$D,4,0),"❌ Account Not Found"))</f>
        <v/>
      </c>
      <c r="C132" s="86" t="str">
        <f>IF(A132="","",IFERROR(VLOOKUP(A132,DB_Customers!$A:$N,14,0),"❌ Acct Not Found"))</f>
        <v/>
      </c>
      <c r="D132" s="87" t="str">
        <f t="shared" ca="1" si="9"/>
        <v/>
      </c>
      <c r="E132" s="94"/>
      <c r="F132" s="41"/>
      <c r="G132" s="96" t="str">
        <f t="shared" si="10"/>
        <v/>
      </c>
      <c r="H132" s="43" t="s">
        <v>134</v>
      </c>
      <c r="I132" s="81"/>
      <c r="J132" s="89" t="str">
        <f>IF(AND(A132&lt;&gt;"",E132&lt;&gt;""),IF(I132="","⚠️ Enter Code",IF(IFERROR(VLOOKUP(H132,DB_Agents!$B:$I,8,0),"")=I132,IF(C132&gt;=E132,"Successful","Unsuccessful"),"🔒 BLOCKED — Wrong Code")),"Pending")</f>
        <v>Pending</v>
      </c>
      <c r="K132" s="90" t="str">
        <f t="shared" ca="1" si="11"/>
        <v>—</v>
      </c>
      <c r="L132" s="91"/>
    </row>
    <row r="133" spans="1:12" ht="15" customHeight="1" x14ac:dyDescent="0.25">
      <c r="A133" s="76"/>
      <c r="B133" s="37" t="str">
        <f>IF(A133="","",IFERROR(VLOOKUP(A133,DB_Customers!$A:$D,4,0),"❌ Account Not Found"))</f>
        <v/>
      </c>
      <c r="C133" s="77" t="str">
        <f>IF(A133="","",IFERROR(VLOOKUP(A133,DB_Customers!$A:$N,14,0),"❌ Acct Not Found"))</f>
        <v/>
      </c>
      <c r="D133" s="78" t="str">
        <f t="shared" ca="1" si="9"/>
        <v/>
      </c>
      <c r="E133" s="94"/>
      <c r="F133" s="37"/>
      <c r="G133" s="95" t="str">
        <f t="shared" si="10"/>
        <v/>
      </c>
      <c r="H133" s="39" t="s">
        <v>134</v>
      </c>
      <c r="I133" s="81"/>
      <c r="J133" s="82" t="str">
        <f>IF(AND(A133&lt;&gt;"",E133&lt;&gt;""),IF(I133="","⚠️ Enter Code",IF(IFERROR(VLOOKUP(H133,DB_Agents!$B:$I,8,0),"")=I133,IF(C133&gt;=E133,"Successful","Unsuccessful"),"🔒 BLOCKED — Wrong Code")),"Pending")</f>
        <v>Pending</v>
      </c>
      <c r="K133" s="83" t="str">
        <f t="shared" ca="1" si="11"/>
        <v>—</v>
      </c>
      <c r="L133" s="84"/>
    </row>
    <row r="134" spans="1:12" ht="15" customHeight="1" x14ac:dyDescent="0.25">
      <c r="A134" s="85"/>
      <c r="B134" s="41" t="str">
        <f>IF(A134="","",IFERROR(VLOOKUP(A134,DB_Customers!$A:$D,4,0),"❌ Account Not Found"))</f>
        <v/>
      </c>
      <c r="C134" s="86" t="str">
        <f>IF(A134="","",IFERROR(VLOOKUP(A134,DB_Customers!$A:$N,14,0),"❌ Acct Not Found"))</f>
        <v/>
      </c>
      <c r="D134" s="87" t="str">
        <f t="shared" ca="1" si="9"/>
        <v/>
      </c>
      <c r="E134" s="94"/>
      <c r="F134" s="41"/>
      <c r="G134" s="96" t="str">
        <f t="shared" si="10"/>
        <v/>
      </c>
      <c r="H134" s="43" t="s">
        <v>134</v>
      </c>
      <c r="I134" s="81"/>
      <c r="J134" s="89" t="str">
        <f>IF(AND(A134&lt;&gt;"",E134&lt;&gt;""),IF(I134="","⚠️ Enter Code",IF(IFERROR(VLOOKUP(H134,DB_Agents!$B:$I,8,0),"")=I134,IF(C134&gt;=E134,"Successful","Unsuccessful"),"🔒 BLOCKED — Wrong Code")),"Pending")</f>
        <v>Pending</v>
      </c>
      <c r="K134" s="90" t="str">
        <f t="shared" ca="1" si="11"/>
        <v>—</v>
      </c>
      <c r="L134" s="91"/>
    </row>
    <row r="135" spans="1:12" ht="15" customHeight="1" x14ac:dyDescent="0.25">
      <c r="A135" s="76"/>
      <c r="B135" s="37" t="str">
        <f>IF(A135="","",IFERROR(VLOOKUP(A135,DB_Customers!$A:$D,4,0),"❌ Account Not Found"))</f>
        <v/>
      </c>
      <c r="C135" s="77" t="str">
        <f>IF(A135="","",IFERROR(VLOOKUP(A135,DB_Customers!$A:$N,14,0),"❌ Acct Not Found"))</f>
        <v/>
      </c>
      <c r="D135" s="78" t="str">
        <f t="shared" ca="1" si="9"/>
        <v/>
      </c>
      <c r="E135" s="94"/>
      <c r="F135" s="37"/>
      <c r="G135" s="95" t="str">
        <f t="shared" si="10"/>
        <v/>
      </c>
      <c r="H135" s="39" t="s">
        <v>134</v>
      </c>
      <c r="I135" s="81"/>
      <c r="J135" s="82" t="str">
        <f>IF(AND(A135&lt;&gt;"",E135&lt;&gt;""),IF(I135="","⚠️ Enter Code",IF(IFERROR(VLOOKUP(H135,DB_Agents!$B:$I,8,0),"")=I135,IF(C135&gt;=E135,"Successful","Unsuccessful"),"🔒 BLOCKED — Wrong Code")),"Pending")</f>
        <v>Pending</v>
      </c>
      <c r="K135" s="83" t="str">
        <f t="shared" ca="1" si="11"/>
        <v>—</v>
      </c>
      <c r="L135" s="84"/>
    </row>
    <row r="136" spans="1:12" ht="15" customHeight="1" x14ac:dyDescent="0.25">
      <c r="A136" s="85"/>
      <c r="B136" s="41" t="str">
        <f>IF(A136="","",IFERROR(VLOOKUP(A136,DB_Customers!$A:$D,4,0),"❌ Account Not Found"))</f>
        <v/>
      </c>
      <c r="C136" s="86" t="str">
        <f>IF(A136="","",IFERROR(VLOOKUP(A136,DB_Customers!$A:$N,14,0),"❌ Acct Not Found"))</f>
        <v/>
      </c>
      <c r="D136" s="87" t="str">
        <f t="shared" ca="1" si="9"/>
        <v/>
      </c>
      <c r="E136" s="94"/>
      <c r="F136" s="41"/>
      <c r="G136" s="96" t="str">
        <f t="shared" si="10"/>
        <v/>
      </c>
      <c r="H136" s="43" t="s">
        <v>134</v>
      </c>
      <c r="I136" s="81"/>
      <c r="J136" s="89" t="str">
        <f>IF(AND(A136&lt;&gt;"",E136&lt;&gt;""),IF(I136="","⚠️ Enter Code",IF(IFERROR(VLOOKUP(H136,DB_Agents!$B:$I,8,0),"")=I136,IF(C136&gt;=E136,"Successful","Unsuccessful"),"🔒 BLOCKED — Wrong Code")),"Pending")</f>
        <v>Pending</v>
      </c>
      <c r="K136" s="90" t="str">
        <f t="shared" ca="1" si="11"/>
        <v>—</v>
      </c>
      <c r="L136" s="91"/>
    </row>
    <row r="137" spans="1:12" ht="15" customHeight="1" x14ac:dyDescent="0.25">
      <c r="A137" s="76"/>
      <c r="B137" s="37" t="str">
        <f>IF(A137="","",IFERROR(VLOOKUP(A137,DB_Customers!$A:$D,4,0),"❌ Account Not Found"))</f>
        <v/>
      </c>
      <c r="C137" s="77" t="str">
        <f>IF(A137="","",IFERROR(VLOOKUP(A137,DB_Customers!$A:$N,14,0),"❌ Acct Not Found"))</f>
        <v/>
      </c>
      <c r="D137" s="78" t="str">
        <f t="shared" ref="D137:D168" ca="1" si="12">IF(A137="","",TODAY())</f>
        <v/>
      </c>
      <c r="E137" s="94"/>
      <c r="F137" s="37"/>
      <c r="G137" s="95" t="str">
        <f t="shared" ref="G137:G168" si="13">IF(OR(A137="",E137=""),"",IF(C137="","",C137-E137))</f>
        <v/>
      </c>
      <c r="H137" s="39" t="s">
        <v>134</v>
      </c>
      <c r="I137" s="81"/>
      <c r="J137" s="82" t="str">
        <f>IF(AND(A137&lt;&gt;"",E137&lt;&gt;""),IF(I137="","⚠️ Enter Code",IF(IFERROR(VLOOKUP(H137,DB_Agents!$B:$I,8,0),"")=I137,IF(C137&gt;=E137,"Successful","Unsuccessful"),"🔒 BLOCKED — Wrong Code")),"Pending")</f>
        <v>Pending</v>
      </c>
      <c r="K137" s="83" t="str">
        <f t="shared" ref="K137:K168" ca="1" si="14">IF(J137="Successful",TEXT(TODAY(),"YYYY-MM-DD")&amp;" Auto","—")</f>
        <v>—</v>
      </c>
      <c r="L137" s="84"/>
    </row>
    <row r="138" spans="1:12" ht="15" customHeight="1" x14ac:dyDescent="0.25">
      <c r="A138" s="85"/>
      <c r="B138" s="41" t="str">
        <f>IF(A138="","",IFERROR(VLOOKUP(A138,DB_Customers!$A:$D,4,0),"❌ Account Not Found"))</f>
        <v/>
      </c>
      <c r="C138" s="86" t="str">
        <f>IF(A138="","",IFERROR(VLOOKUP(A138,DB_Customers!$A:$N,14,0),"❌ Acct Not Found"))</f>
        <v/>
      </c>
      <c r="D138" s="87" t="str">
        <f t="shared" ca="1" si="12"/>
        <v/>
      </c>
      <c r="E138" s="94"/>
      <c r="F138" s="41"/>
      <c r="G138" s="96" t="str">
        <f t="shared" si="13"/>
        <v/>
      </c>
      <c r="H138" s="43" t="s">
        <v>134</v>
      </c>
      <c r="I138" s="81"/>
      <c r="J138" s="89" t="str">
        <f>IF(AND(A138&lt;&gt;"",E138&lt;&gt;""),IF(I138="","⚠️ Enter Code",IF(IFERROR(VLOOKUP(H138,DB_Agents!$B:$I,8,0),"")=I138,IF(C138&gt;=E138,"Successful","Unsuccessful"),"🔒 BLOCKED — Wrong Code")),"Pending")</f>
        <v>Pending</v>
      </c>
      <c r="K138" s="90" t="str">
        <f t="shared" ca="1" si="14"/>
        <v>—</v>
      </c>
      <c r="L138" s="91"/>
    </row>
    <row r="139" spans="1:12" ht="15" customHeight="1" x14ac:dyDescent="0.25">
      <c r="A139" s="76"/>
      <c r="B139" s="37" t="str">
        <f>IF(A139="","",IFERROR(VLOOKUP(A139,DB_Customers!$A:$D,4,0),"❌ Account Not Found"))</f>
        <v/>
      </c>
      <c r="C139" s="77" t="str">
        <f>IF(A139="","",IFERROR(VLOOKUP(A139,DB_Customers!$A:$N,14,0),"❌ Acct Not Found"))</f>
        <v/>
      </c>
      <c r="D139" s="78" t="str">
        <f t="shared" ca="1" si="12"/>
        <v/>
      </c>
      <c r="E139" s="94"/>
      <c r="F139" s="37"/>
      <c r="G139" s="95" t="str">
        <f t="shared" si="13"/>
        <v/>
      </c>
      <c r="H139" s="39" t="s">
        <v>134</v>
      </c>
      <c r="I139" s="81"/>
      <c r="J139" s="82" t="str">
        <f>IF(AND(A139&lt;&gt;"",E139&lt;&gt;""),IF(I139="","⚠️ Enter Code",IF(IFERROR(VLOOKUP(H139,DB_Agents!$B:$I,8,0),"")=I139,IF(C139&gt;=E139,"Successful","Unsuccessful"),"🔒 BLOCKED — Wrong Code")),"Pending")</f>
        <v>Pending</v>
      </c>
      <c r="K139" s="83" t="str">
        <f t="shared" ca="1" si="14"/>
        <v>—</v>
      </c>
      <c r="L139" s="84"/>
    </row>
    <row r="140" spans="1:12" ht="15" customHeight="1" x14ac:dyDescent="0.25">
      <c r="A140" s="85"/>
      <c r="B140" s="41" t="str">
        <f>IF(A140="","",IFERROR(VLOOKUP(A140,DB_Customers!$A:$D,4,0),"❌ Account Not Found"))</f>
        <v/>
      </c>
      <c r="C140" s="86" t="str">
        <f>IF(A140="","",IFERROR(VLOOKUP(A140,DB_Customers!$A:$N,14,0),"❌ Acct Not Found"))</f>
        <v/>
      </c>
      <c r="D140" s="87" t="str">
        <f t="shared" ca="1" si="12"/>
        <v/>
      </c>
      <c r="E140" s="94"/>
      <c r="F140" s="41"/>
      <c r="G140" s="96" t="str">
        <f t="shared" si="13"/>
        <v/>
      </c>
      <c r="H140" s="43" t="s">
        <v>134</v>
      </c>
      <c r="I140" s="81"/>
      <c r="J140" s="89" t="str">
        <f>IF(AND(A140&lt;&gt;"",E140&lt;&gt;""),IF(I140="","⚠️ Enter Code",IF(IFERROR(VLOOKUP(H140,DB_Agents!$B:$I,8,0),"")=I140,IF(C140&gt;=E140,"Successful","Unsuccessful"),"🔒 BLOCKED — Wrong Code")),"Pending")</f>
        <v>Pending</v>
      </c>
      <c r="K140" s="90" t="str">
        <f t="shared" ca="1" si="14"/>
        <v>—</v>
      </c>
      <c r="L140" s="91"/>
    </row>
    <row r="141" spans="1:12" ht="15" customHeight="1" x14ac:dyDescent="0.25">
      <c r="A141" s="76"/>
      <c r="B141" s="37" t="str">
        <f>IF(A141="","",IFERROR(VLOOKUP(A141,DB_Customers!$A:$D,4,0),"❌ Account Not Found"))</f>
        <v/>
      </c>
      <c r="C141" s="77" t="str">
        <f>IF(A141="","",IFERROR(VLOOKUP(A141,DB_Customers!$A:$N,14,0),"❌ Acct Not Found"))</f>
        <v/>
      </c>
      <c r="D141" s="78" t="str">
        <f t="shared" ca="1" si="12"/>
        <v/>
      </c>
      <c r="E141" s="94"/>
      <c r="F141" s="37"/>
      <c r="G141" s="95" t="str">
        <f t="shared" si="13"/>
        <v/>
      </c>
      <c r="H141" s="39" t="s">
        <v>134</v>
      </c>
      <c r="I141" s="81"/>
      <c r="J141" s="82" t="str">
        <f>IF(AND(A141&lt;&gt;"",E141&lt;&gt;""),IF(I141="","⚠️ Enter Code",IF(IFERROR(VLOOKUP(H141,DB_Agents!$B:$I,8,0),"")=I141,IF(C141&gt;=E141,"Successful","Unsuccessful"),"🔒 BLOCKED — Wrong Code")),"Pending")</f>
        <v>Pending</v>
      </c>
      <c r="K141" s="83" t="str">
        <f t="shared" ca="1" si="14"/>
        <v>—</v>
      </c>
      <c r="L141" s="84"/>
    </row>
    <row r="142" spans="1:12" ht="15" customHeight="1" x14ac:dyDescent="0.25">
      <c r="A142" s="85"/>
      <c r="B142" s="41" t="str">
        <f>IF(A142="","",IFERROR(VLOOKUP(A142,DB_Customers!$A:$D,4,0),"❌ Account Not Found"))</f>
        <v/>
      </c>
      <c r="C142" s="86" t="str">
        <f>IF(A142="","",IFERROR(VLOOKUP(A142,DB_Customers!$A:$N,14,0),"❌ Acct Not Found"))</f>
        <v/>
      </c>
      <c r="D142" s="87" t="str">
        <f t="shared" ca="1" si="12"/>
        <v/>
      </c>
      <c r="E142" s="94"/>
      <c r="F142" s="41"/>
      <c r="G142" s="96" t="str">
        <f t="shared" si="13"/>
        <v/>
      </c>
      <c r="H142" s="43" t="s">
        <v>134</v>
      </c>
      <c r="I142" s="81"/>
      <c r="J142" s="89" t="str">
        <f>IF(AND(A142&lt;&gt;"",E142&lt;&gt;""),IF(I142="","⚠️ Enter Code",IF(IFERROR(VLOOKUP(H142,DB_Agents!$B:$I,8,0),"")=I142,IF(C142&gt;=E142,"Successful","Unsuccessful"),"🔒 BLOCKED — Wrong Code")),"Pending")</f>
        <v>Pending</v>
      </c>
      <c r="K142" s="90" t="str">
        <f t="shared" ca="1" si="14"/>
        <v>—</v>
      </c>
      <c r="L142" s="91"/>
    </row>
    <row r="143" spans="1:12" ht="15" customHeight="1" x14ac:dyDescent="0.25">
      <c r="A143" s="76"/>
      <c r="B143" s="37" t="str">
        <f>IF(A143="","",IFERROR(VLOOKUP(A143,DB_Customers!$A:$D,4,0),"❌ Account Not Found"))</f>
        <v/>
      </c>
      <c r="C143" s="77" t="str">
        <f>IF(A143="","",IFERROR(VLOOKUP(A143,DB_Customers!$A:$N,14,0),"❌ Acct Not Found"))</f>
        <v/>
      </c>
      <c r="D143" s="78" t="str">
        <f t="shared" ca="1" si="12"/>
        <v/>
      </c>
      <c r="E143" s="94"/>
      <c r="F143" s="37"/>
      <c r="G143" s="95" t="str">
        <f t="shared" si="13"/>
        <v/>
      </c>
      <c r="H143" s="39" t="s">
        <v>134</v>
      </c>
      <c r="I143" s="81"/>
      <c r="J143" s="82" t="str">
        <f>IF(AND(A143&lt;&gt;"",E143&lt;&gt;""),IF(I143="","⚠️ Enter Code",IF(IFERROR(VLOOKUP(H143,DB_Agents!$B:$I,8,0),"")=I143,IF(C143&gt;=E143,"Successful","Unsuccessful"),"🔒 BLOCKED — Wrong Code")),"Pending")</f>
        <v>Pending</v>
      </c>
      <c r="K143" s="83" t="str">
        <f t="shared" ca="1" si="14"/>
        <v>—</v>
      </c>
      <c r="L143" s="84"/>
    </row>
    <row r="144" spans="1:12" ht="15" customHeight="1" x14ac:dyDescent="0.25">
      <c r="A144" s="85"/>
      <c r="B144" s="41" t="str">
        <f>IF(A144="","",IFERROR(VLOOKUP(A144,DB_Customers!$A:$D,4,0),"❌ Account Not Found"))</f>
        <v/>
      </c>
      <c r="C144" s="86" t="str">
        <f>IF(A144="","",IFERROR(VLOOKUP(A144,DB_Customers!$A:$N,14,0),"❌ Acct Not Found"))</f>
        <v/>
      </c>
      <c r="D144" s="87" t="str">
        <f t="shared" ca="1" si="12"/>
        <v/>
      </c>
      <c r="E144" s="94"/>
      <c r="F144" s="41"/>
      <c r="G144" s="96" t="str">
        <f t="shared" si="13"/>
        <v/>
      </c>
      <c r="H144" s="43" t="s">
        <v>134</v>
      </c>
      <c r="I144" s="81"/>
      <c r="J144" s="89" t="str">
        <f>IF(AND(A144&lt;&gt;"",E144&lt;&gt;""),IF(I144="","⚠️ Enter Code",IF(IFERROR(VLOOKUP(H144,DB_Agents!$B:$I,8,0),"")=I144,IF(C144&gt;=E144,"Successful","Unsuccessful"),"🔒 BLOCKED — Wrong Code")),"Pending")</f>
        <v>Pending</v>
      </c>
      <c r="K144" s="90" t="str">
        <f t="shared" ca="1" si="14"/>
        <v>—</v>
      </c>
      <c r="L144" s="91"/>
    </row>
    <row r="145" spans="1:12" ht="15" customHeight="1" x14ac:dyDescent="0.25">
      <c r="A145" s="76"/>
      <c r="B145" s="37" t="str">
        <f>IF(A145="","",IFERROR(VLOOKUP(A145,DB_Customers!$A:$D,4,0),"❌ Account Not Found"))</f>
        <v/>
      </c>
      <c r="C145" s="77" t="str">
        <f>IF(A145="","",IFERROR(VLOOKUP(A145,DB_Customers!$A:$N,14,0),"❌ Acct Not Found"))</f>
        <v/>
      </c>
      <c r="D145" s="78" t="str">
        <f t="shared" ca="1" si="12"/>
        <v/>
      </c>
      <c r="E145" s="94"/>
      <c r="F145" s="37"/>
      <c r="G145" s="95" t="str">
        <f t="shared" si="13"/>
        <v/>
      </c>
      <c r="H145" s="39" t="s">
        <v>134</v>
      </c>
      <c r="I145" s="81"/>
      <c r="J145" s="82" t="str">
        <f>IF(AND(A145&lt;&gt;"",E145&lt;&gt;""),IF(I145="","⚠️ Enter Code",IF(IFERROR(VLOOKUP(H145,DB_Agents!$B:$I,8,0),"")=I145,IF(C145&gt;=E145,"Successful","Unsuccessful"),"🔒 BLOCKED — Wrong Code")),"Pending")</f>
        <v>Pending</v>
      </c>
      <c r="K145" s="83" t="str">
        <f t="shared" ca="1" si="14"/>
        <v>—</v>
      </c>
      <c r="L145" s="84"/>
    </row>
    <row r="146" spans="1:12" ht="15" customHeight="1" x14ac:dyDescent="0.25">
      <c r="A146" s="85"/>
      <c r="B146" s="41" t="str">
        <f>IF(A146="","",IFERROR(VLOOKUP(A146,DB_Customers!$A:$D,4,0),"❌ Account Not Found"))</f>
        <v/>
      </c>
      <c r="C146" s="86" t="str">
        <f>IF(A146="","",IFERROR(VLOOKUP(A146,DB_Customers!$A:$N,14,0),"❌ Acct Not Found"))</f>
        <v/>
      </c>
      <c r="D146" s="87" t="str">
        <f t="shared" ca="1" si="12"/>
        <v/>
      </c>
      <c r="E146" s="94"/>
      <c r="F146" s="41"/>
      <c r="G146" s="96" t="str">
        <f t="shared" si="13"/>
        <v/>
      </c>
      <c r="H146" s="43" t="s">
        <v>134</v>
      </c>
      <c r="I146" s="81"/>
      <c r="J146" s="89" t="str">
        <f>IF(AND(A146&lt;&gt;"",E146&lt;&gt;""),IF(I146="","⚠️ Enter Code",IF(IFERROR(VLOOKUP(H146,DB_Agents!$B:$I,8,0),"")=I146,IF(C146&gt;=E146,"Successful","Unsuccessful"),"🔒 BLOCKED — Wrong Code")),"Pending")</f>
        <v>Pending</v>
      </c>
      <c r="K146" s="90" t="str">
        <f t="shared" ca="1" si="14"/>
        <v>—</v>
      </c>
      <c r="L146" s="91"/>
    </row>
    <row r="147" spans="1:12" ht="15" customHeight="1" x14ac:dyDescent="0.25">
      <c r="A147" s="76"/>
      <c r="B147" s="37" t="str">
        <f>IF(A147="","",IFERROR(VLOOKUP(A147,DB_Customers!$A:$D,4,0),"❌ Account Not Found"))</f>
        <v/>
      </c>
      <c r="C147" s="77" t="str">
        <f>IF(A147="","",IFERROR(VLOOKUP(A147,DB_Customers!$A:$N,14,0),"❌ Acct Not Found"))</f>
        <v/>
      </c>
      <c r="D147" s="78" t="str">
        <f t="shared" ca="1" si="12"/>
        <v/>
      </c>
      <c r="E147" s="94"/>
      <c r="F147" s="37"/>
      <c r="G147" s="95" t="str">
        <f t="shared" si="13"/>
        <v/>
      </c>
      <c r="H147" s="39" t="s">
        <v>134</v>
      </c>
      <c r="I147" s="81"/>
      <c r="J147" s="82" t="str">
        <f>IF(AND(A147&lt;&gt;"",E147&lt;&gt;""),IF(I147="","⚠️ Enter Code",IF(IFERROR(VLOOKUP(H147,DB_Agents!$B:$I,8,0),"")=I147,IF(C147&gt;=E147,"Successful","Unsuccessful"),"🔒 BLOCKED — Wrong Code")),"Pending")</f>
        <v>Pending</v>
      </c>
      <c r="K147" s="83" t="str">
        <f t="shared" ca="1" si="14"/>
        <v>—</v>
      </c>
      <c r="L147" s="84"/>
    </row>
    <row r="148" spans="1:12" ht="15" customHeight="1" x14ac:dyDescent="0.25">
      <c r="A148" s="85"/>
      <c r="B148" s="41" t="str">
        <f>IF(A148="","",IFERROR(VLOOKUP(A148,DB_Customers!$A:$D,4,0),"❌ Account Not Found"))</f>
        <v/>
      </c>
      <c r="C148" s="86" t="str">
        <f>IF(A148="","",IFERROR(VLOOKUP(A148,DB_Customers!$A:$N,14,0),"❌ Acct Not Found"))</f>
        <v/>
      </c>
      <c r="D148" s="87" t="str">
        <f t="shared" ca="1" si="12"/>
        <v/>
      </c>
      <c r="E148" s="94"/>
      <c r="F148" s="41"/>
      <c r="G148" s="96" t="str">
        <f t="shared" si="13"/>
        <v/>
      </c>
      <c r="H148" s="43" t="s">
        <v>134</v>
      </c>
      <c r="I148" s="81"/>
      <c r="J148" s="89" t="str">
        <f>IF(AND(A148&lt;&gt;"",E148&lt;&gt;""),IF(I148="","⚠️ Enter Code",IF(IFERROR(VLOOKUP(H148,DB_Agents!$B:$I,8,0),"")=I148,IF(C148&gt;=E148,"Successful","Unsuccessful"),"🔒 BLOCKED — Wrong Code")),"Pending")</f>
        <v>Pending</v>
      </c>
      <c r="K148" s="90" t="str">
        <f t="shared" ca="1" si="14"/>
        <v>—</v>
      </c>
      <c r="L148" s="91"/>
    </row>
    <row r="149" spans="1:12" ht="15" customHeight="1" x14ac:dyDescent="0.25">
      <c r="A149" s="76"/>
      <c r="B149" s="37" t="str">
        <f>IF(A149="","",IFERROR(VLOOKUP(A149,DB_Customers!$A:$D,4,0),"❌ Account Not Found"))</f>
        <v/>
      </c>
      <c r="C149" s="77" t="str">
        <f>IF(A149="","",IFERROR(VLOOKUP(A149,DB_Customers!$A:$N,14,0),"❌ Acct Not Found"))</f>
        <v/>
      </c>
      <c r="D149" s="78" t="str">
        <f t="shared" ca="1" si="12"/>
        <v/>
      </c>
      <c r="E149" s="94"/>
      <c r="F149" s="37"/>
      <c r="G149" s="95" t="str">
        <f t="shared" si="13"/>
        <v/>
      </c>
      <c r="H149" s="39" t="s">
        <v>134</v>
      </c>
      <c r="I149" s="81"/>
      <c r="J149" s="82" t="str">
        <f>IF(AND(A149&lt;&gt;"",E149&lt;&gt;""),IF(I149="","⚠️ Enter Code",IF(IFERROR(VLOOKUP(H149,DB_Agents!$B:$I,8,0),"")=I149,IF(C149&gt;=E149,"Successful","Unsuccessful"),"🔒 BLOCKED — Wrong Code")),"Pending")</f>
        <v>Pending</v>
      </c>
      <c r="K149" s="83" t="str">
        <f t="shared" ca="1" si="14"/>
        <v>—</v>
      </c>
      <c r="L149" s="84"/>
    </row>
    <row r="150" spans="1:12" ht="15" customHeight="1" x14ac:dyDescent="0.25">
      <c r="A150" s="85"/>
      <c r="B150" s="41" t="str">
        <f>IF(A150="","",IFERROR(VLOOKUP(A150,DB_Customers!$A:$D,4,0),"❌ Account Not Found"))</f>
        <v/>
      </c>
      <c r="C150" s="86" t="str">
        <f>IF(A150="","",IFERROR(VLOOKUP(A150,DB_Customers!$A:$N,14,0),"❌ Acct Not Found"))</f>
        <v/>
      </c>
      <c r="D150" s="87" t="str">
        <f t="shared" ca="1" si="12"/>
        <v/>
      </c>
      <c r="E150" s="94"/>
      <c r="F150" s="41"/>
      <c r="G150" s="96" t="str">
        <f t="shared" si="13"/>
        <v/>
      </c>
      <c r="H150" s="43" t="s">
        <v>134</v>
      </c>
      <c r="I150" s="81"/>
      <c r="J150" s="89" t="str">
        <f>IF(AND(A150&lt;&gt;"",E150&lt;&gt;""),IF(I150="","⚠️ Enter Code",IF(IFERROR(VLOOKUP(H150,DB_Agents!$B:$I,8,0),"")=I150,IF(C150&gt;=E150,"Successful","Unsuccessful"),"🔒 BLOCKED — Wrong Code")),"Pending")</f>
        <v>Pending</v>
      </c>
      <c r="K150" s="90" t="str">
        <f t="shared" ca="1" si="14"/>
        <v>—</v>
      </c>
      <c r="L150" s="91"/>
    </row>
    <row r="151" spans="1:12" ht="15" customHeight="1" x14ac:dyDescent="0.25">
      <c r="A151" s="76"/>
      <c r="B151" s="37" t="str">
        <f>IF(A151="","",IFERROR(VLOOKUP(A151,DB_Customers!$A:$D,4,0),"❌ Account Not Found"))</f>
        <v/>
      </c>
      <c r="C151" s="77" t="str">
        <f>IF(A151="","",IFERROR(VLOOKUP(A151,DB_Customers!$A:$N,14,0),"❌ Acct Not Found"))</f>
        <v/>
      </c>
      <c r="D151" s="78" t="str">
        <f t="shared" ca="1" si="12"/>
        <v/>
      </c>
      <c r="E151" s="94"/>
      <c r="F151" s="37"/>
      <c r="G151" s="95" t="str">
        <f t="shared" si="13"/>
        <v/>
      </c>
      <c r="H151" s="39" t="s">
        <v>134</v>
      </c>
      <c r="I151" s="81"/>
      <c r="J151" s="82" t="str">
        <f>IF(AND(A151&lt;&gt;"",E151&lt;&gt;""),IF(I151="","⚠️ Enter Code",IF(IFERROR(VLOOKUP(H151,DB_Agents!$B:$I,8,0),"")=I151,IF(C151&gt;=E151,"Successful","Unsuccessful"),"🔒 BLOCKED — Wrong Code")),"Pending")</f>
        <v>Pending</v>
      </c>
      <c r="K151" s="83" t="str">
        <f t="shared" ca="1" si="14"/>
        <v>—</v>
      </c>
      <c r="L151" s="84"/>
    </row>
    <row r="152" spans="1:12" ht="15" customHeight="1" x14ac:dyDescent="0.25">
      <c r="A152" s="85"/>
      <c r="B152" s="41" t="str">
        <f>IF(A152="","",IFERROR(VLOOKUP(A152,DB_Customers!$A:$D,4,0),"❌ Account Not Found"))</f>
        <v/>
      </c>
      <c r="C152" s="86" t="str">
        <f>IF(A152="","",IFERROR(VLOOKUP(A152,DB_Customers!$A:$N,14,0),"❌ Acct Not Found"))</f>
        <v/>
      </c>
      <c r="D152" s="87" t="str">
        <f t="shared" ca="1" si="12"/>
        <v/>
      </c>
      <c r="E152" s="94"/>
      <c r="F152" s="41"/>
      <c r="G152" s="96" t="str">
        <f t="shared" si="13"/>
        <v/>
      </c>
      <c r="H152" s="43" t="s">
        <v>134</v>
      </c>
      <c r="I152" s="81"/>
      <c r="J152" s="89" t="str">
        <f>IF(AND(A152&lt;&gt;"",E152&lt;&gt;""),IF(I152="","⚠️ Enter Code",IF(IFERROR(VLOOKUP(H152,DB_Agents!$B:$I,8,0),"")=I152,IF(C152&gt;=E152,"Successful","Unsuccessful"),"🔒 BLOCKED — Wrong Code")),"Pending")</f>
        <v>Pending</v>
      </c>
      <c r="K152" s="90" t="str">
        <f t="shared" ca="1" si="14"/>
        <v>—</v>
      </c>
      <c r="L152" s="91"/>
    </row>
    <row r="153" spans="1:12" ht="15" customHeight="1" x14ac:dyDescent="0.25">
      <c r="A153" s="76"/>
      <c r="B153" s="37" t="str">
        <f>IF(A153="","",IFERROR(VLOOKUP(A153,DB_Customers!$A:$D,4,0),"❌ Account Not Found"))</f>
        <v/>
      </c>
      <c r="C153" s="77" t="str">
        <f>IF(A153="","",IFERROR(VLOOKUP(A153,DB_Customers!$A:$N,14,0),"❌ Acct Not Found"))</f>
        <v/>
      </c>
      <c r="D153" s="78" t="str">
        <f t="shared" ca="1" si="12"/>
        <v/>
      </c>
      <c r="E153" s="94"/>
      <c r="F153" s="37"/>
      <c r="G153" s="95" t="str">
        <f t="shared" si="13"/>
        <v/>
      </c>
      <c r="H153" s="39" t="s">
        <v>134</v>
      </c>
      <c r="I153" s="81"/>
      <c r="J153" s="82" t="str">
        <f>IF(AND(A153&lt;&gt;"",E153&lt;&gt;""),IF(I153="","⚠️ Enter Code",IF(IFERROR(VLOOKUP(H153,DB_Agents!$B:$I,8,0),"")=I153,IF(C153&gt;=E153,"Successful","Unsuccessful"),"🔒 BLOCKED — Wrong Code")),"Pending")</f>
        <v>Pending</v>
      </c>
      <c r="K153" s="83" t="str">
        <f t="shared" ca="1" si="14"/>
        <v>—</v>
      </c>
      <c r="L153" s="84"/>
    </row>
    <row r="154" spans="1:12" ht="15" customHeight="1" x14ac:dyDescent="0.25">
      <c r="A154" s="85"/>
      <c r="B154" s="41" t="str">
        <f>IF(A154="","",IFERROR(VLOOKUP(A154,DB_Customers!$A:$D,4,0),"❌ Account Not Found"))</f>
        <v/>
      </c>
      <c r="C154" s="86" t="str">
        <f>IF(A154="","",IFERROR(VLOOKUP(A154,DB_Customers!$A:$N,14,0),"❌ Acct Not Found"))</f>
        <v/>
      </c>
      <c r="D154" s="87" t="str">
        <f t="shared" ca="1" si="12"/>
        <v/>
      </c>
      <c r="E154" s="94"/>
      <c r="F154" s="41"/>
      <c r="G154" s="96" t="str">
        <f t="shared" si="13"/>
        <v/>
      </c>
      <c r="H154" s="43" t="s">
        <v>134</v>
      </c>
      <c r="I154" s="81"/>
      <c r="J154" s="89" t="str">
        <f>IF(AND(A154&lt;&gt;"",E154&lt;&gt;""),IF(I154="","⚠️ Enter Code",IF(IFERROR(VLOOKUP(H154,DB_Agents!$B:$I,8,0),"")=I154,IF(C154&gt;=E154,"Successful","Unsuccessful"),"🔒 BLOCKED — Wrong Code")),"Pending")</f>
        <v>Pending</v>
      </c>
      <c r="K154" s="90" t="str">
        <f t="shared" ca="1" si="14"/>
        <v>—</v>
      </c>
      <c r="L154" s="91"/>
    </row>
    <row r="155" spans="1:12" ht="15" customHeight="1" x14ac:dyDescent="0.25">
      <c r="A155" s="76"/>
      <c r="B155" s="37" t="str">
        <f>IF(A155="","",IFERROR(VLOOKUP(A155,DB_Customers!$A:$D,4,0),"❌ Account Not Found"))</f>
        <v/>
      </c>
      <c r="C155" s="77" t="str">
        <f>IF(A155="","",IFERROR(VLOOKUP(A155,DB_Customers!$A:$N,14,0),"❌ Acct Not Found"))</f>
        <v/>
      </c>
      <c r="D155" s="78" t="str">
        <f t="shared" ca="1" si="12"/>
        <v/>
      </c>
      <c r="E155" s="94"/>
      <c r="F155" s="37"/>
      <c r="G155" s="95" t="str">
        <f t="shared" si="13"/>
        <v/>
      </c>
      <c r="H155" s="39" t="s">
        <v>134</v>
      </c>
      <c r="I155" s="81"/>
      <c r="J155" s="82" t="str">
        <f>IF(AND(A155&lt;&gt;"",E155&lt;&gt;""),IF(I155="","⚠️ Enter Code",IF(IFERROR(VLOOKUP(H155,DB_Agents!$B:$I,8,0),"")=I155,IF(C155&gt;=E155,"Successful","Unsuccessful"),"🔒 BLOCKED — Wrong Code")),"Pending")</f>
        <v>Pending</v>
      </c>
      <c r="K155" s="83" t="str">
        <f t="shared" ca="1" si="14"/>
        <v>—</v>
      </c>
      <c r="L155" s="84"/>
    </row>
    <row r="156" spans="1:12" ht="15" customHeight="1" x14ac:dyDescent="0.25">
      <c r="A156" s="85"/>
      <c r="B156" s="41" t="str">
        <f>IF(A156="","",IFERROR(VLOOKUP(A156,DB_Customers!$A:$D,4,0),"❌ Account Not Found"))</f>
        <v/>
      </c>
      <c r="C156" s="86" t="str">
        <f>IF(A156="","",IFERROR(VLOOKUP(A156,DB_Customers!$A:$N,14,0),"❌ Acct Not Found"))</f>
        <v/>
      </c>
      <c r="D156" s="87" t="str">
        <f t="shared" ca="1" si="12"/>
        <v/>
      </c>
      <c r="E156" s="94"/>
      <c r="F156" s="41"/>
      <c r="G156" s="96" t="str">
        <f t="shared" si="13"/>
        <v/>
      </c>
      <c r="H156" s="43" t="s">
        <v>134</v>
      </c>
      <c r="I156" s="81"/>
      <c r="J156" s="89" t="str">
        <f>IF(AND(A156&lt;&gt;"",E156&lt;&gt;""),IF(I156="","⚠️ Enter Code",IF(IFERROR(VLOOKUP(H156,DB_Agents!$B:$I,8,0),"")=I156,IF(C156&gt;=E156,"Successful","Unsuccessful"),"🔒 BLOCKED — Wrong Code")),"Pending")</f>
        <v>Pending</v>
      </c>
      <c r="K156" s="90" t="str">
        <f t="shared" ca="1" si="14"/>
        <v>—</v>
      </c>
      <c r="L156" s="91"/>
    </row>
    <row r="157" spans="1:12" ht="15" customHeight="1" x14ac:dyDescent="0.25">
      <c r="A157" s="76"/>
      <c r="B157" s="37" t="str">
        <f>IF(A157="","",IFERROR(VLOOKUP(A157,DB_Customers!$A:$D,4,0),"❌ Account Not Found"))</f>
        <v/>
      </c>
      <c r="C157" s="77" t="str">
        <f>IF(A157="","",IFERROR(VLOOKUP(A157,DB_Customers!$A:$N,14,0),"❌ Acct Not Found"))</f>
        <v/>
      </c>
      <c r="D157" s="78" t="str">
        <f t="shared" ca="1" si="12"/>
        <v/>
      </c>
      <c r="E157" s="94"/>
      <c r="F157" s="37"/>
      <c r="G157" s="95" t="str">
        <f t="shared" si="13"/>
        <v/>
      </c>
      <c r="H157" s="39" t="s">
        <v>134</v>
      </c>
      <c r="I157" s="81"/>
      <c r="J157" s="82" t="str">
        <f>IF(AND(A157&lt;&gt;"",E157&lt;&gt;""),IF(I157="","⚠️ Enter Code",IF(IFERROR(VLOOKUP(H157,DB_Agents!$B:$I,8,0),"")=I157,IF(C157&gt;=E157,"Successful","Unsuccessful"),"🔒 BLOCKED — Wrong Code")),"Pending")</f>
        <v>Pending</v>
      </c>
      <c r="K157" s="83" t="str">
        <f t="shared" ca="1" si="14"/>
        <v>—</v>
      </c>
      <c r="L157" s="84"/>
    </row>
    <row r="158" spans="1:12" ht="15" customHeight="1" x14ac:dyDescent="0.25">
      <c r="A158" s="85"/>
      <c r="B158" s="41" t="str">
        <f>IF(A158="","",IFERROR(VLOOKUP(A158,DB_Customers!$A:$D,4,0),"❌ Account Not Found"))</f>
        <v/>
      </c>
      <c r="C158" s="86" t="str">
        <f>IF(A158="","",IFERROR(VLOOKUP(A158,DB_Customers!$A:$N,14,0),"❌ Acct Not Found"))</f>
        <v/>
      </c>
      <c r="D158" s="87" t="str">
        <f t="shared" ca="1" si="12"/>
        <v/>
      </c>
      <c r="E158" s="94"/>
      <c r="F158" s="41"/>
      <c r="G158" s="96" t="str">
        <f t="shared" si="13"/>
        <v/>
      </c>
      <c r="H158" s="43" t="s">
        <v>134</v>
      </c>
      <c r="I158" s="81"/>
      <c r="J158" s="89" t="str">
        <f>IF(AND(A158&lt;&gt;"",E158&lt;&gt;""),IF(I158="","⚠️ Enter Code",IF(IFERROR(VLOOKUP(H158,DB_Agents!$B:$I,8,0),"")=I158,IF(C158&gt;=E158,"Successful","Unsuccessful"),"🔒 BLOCKED — Wrong Code")),"Pending")</f>
        <v>Pending</v>
      </c>
      <c r="K158" s="90" t="str">
        <f t="shared" ca="1" si="14"/>
        <v>—</v>
      </c>
      <c r="L158" s="91"/>
    </row>
    <row r="159" spans="1:12" ht="15" customHeight="1" x14ac:dyDescent="0.25">
      <c r="A159" s="76"/>
      <c r="B159" s="37" t="str">
        <f>IF(A159="","",IFERROR(VLOOKUP(A159,DB_Customers!$A:$D,4,0),"❌ Account Not Found"))</f>
        <v/>
      </c>
      <c r="C159" s="77" t="str">
        <f>IF(A159="","",IFERROR(VLOOKUP(A159,DB_Customers!$A:$N,14,0),"❌ Acct Not Found"))</f>
        <v/>
      </c>
      <c r="D159" s="78" t="str">
        <f t="shared" ca="1" si="12"/>
        <v/>
      </c>
      <c r="E159" s="94"/>
      <c r="F159" s="37"/>
      <c r="G159" s="95" t="str">
        <f t="shared" si="13"/>
        <v/>
      </c>
      <c r="H159" s="39" t="s">
        <v>134</v>
      </c>
      <c r="I159" s="81"/>
      <c r="J159" s="82" t="str">
        <f>IF(AND(A159&lt;&gt;"",E159&lt;&gt;""),IF(I159="","⚠️ Enter Code",IF(IFERROR(VLOOKUP(H159,DB_Agents!$B:$I,8,0),"")=I159,IF(C159&gt;=E159,"Successful","Unsuccessful"),"🔒 BLOCKED — Wrong Code")),"Pending")</f>
        <v>Pending</v>
      </c>
      <c r="K159" s="83" t="str">
        <f t="shared" ca="1" si="14"/>
        <v>—</v>
      </c>
      <c r="L159" s="84"/>
    </row>
    <row r="160" spans="1:12" ht="15" customHeight="1" x14ac:dyDescent="0.25">
      <c r="A160" s="85"/>
      <c r="B160" s="41" t="str">
        <f>IF(A160="","",IFERROR(VLOOKUP(A160,DB_Customers!$A:$D,4,0),"❌ Account Not Found"))</f>
        <v/>
      </c>
      <c r="C160" s="86" t="str">
        <f>IF(A160="","",IFERROR(VLOOKUP(A160,DB_Customers!$A:$N,14,0),"❌ Acct Not Found"))</f>
        <v/>
      </c>
      <c r="D160" s="87" t="str">
        <f t="shared" ca="1" si="12"/>
        <v/>
      </c>
      <c r="E160" s="94"/>
      <c r="F160" s="41"/>
      <c r="G160" s="96" t="str">
        <f t="shared" si="13"/>
        <v/>
      </c>
      <c r="H160" s="43" t="s">
        <v>134</v>
      </c>
      <c r="I160" s="81"/>
      <c r="J160" s="89" t="str">
        <f>IF(AND(A160&lt;&gt;"",E160&lt;&gt;""),IF(I160="","⚠️ Enter Code",IF(IFERROR(VLOOKUP(H160,DB_Agents!$B:$I,8,0),"")=I160,IF(C160&gt;=E160,"Successful","Unsuccessful"),"🔒 BLOCKED — Wrong Code")),"Pending")</f>
        <v>Pending</v>
      </c>
      <c r="K160" s="90" t="str">
        <f t="shared" ca="1" si="14"/>
        <v>—</v>
      </c>
      <c r="L160" s="91"/>
    </row>
    <row r="161" spans="1:12" ht="15" customHeight="1" x14ac:dyDescent="0.25">
      <c r="A161" s="76"/>
      <c r="B161" s="37" t="str">
        <f>IF(A161="","",IFERROR(VLOOKUP(A161,DB_Customers!$A:$D,4,0),"❌ Account Not Found"))</f>
        <v/>
      </c>
      <c r="C161" s="77" t="str">
        <f>IF(A161="","",IFERROR(VLOOKUP(A161,DB_Customers!$A:$N,14,0),"❌ Acct Not Found"))</f>
        <v/>
      </c>
      <c r="D161" s="78" t="str">
        <f t="shared" ca="1" si="12"/>
        <v/>
      </c>
      <c r="E161" s="94"/>
      <c r="F161" s="37"/>
      <c r="G161" s="95" t="str">
        <f t="shared" si="13"/>
        <v/>
      </c>
      <c r="H161" s="39" t="s">
        <v>134</v>
      </c>
      <c r="I161" s="81"/>
      <c r="J161" s="82" t="str">
        <f>IF(AND(A161&lt;&gt;"",E161&lt;&gt;""),IF(I161="","⚠️ Enter Code",IF(IFERROR(VLOOKUP(H161,DB_Agents!$B:$I,8,0),"")=I161,IF(C161&gt;=E161,"Successful","Unsuccessful"),"🔒 BLOCKED — Wrong Code")),"Pending")</f>
        <v>Pending</v>
      </c>
      <c r="K161" s="83" t="str">
        <f t="shared" ca="1" si="14"/>
        <v>—</v>
      </c>
      <c r="L161" s="84"/>
    </row>
    <row r="162" spans="1:12" ht="15" customHeight="1" x14ac:dyDescent="0.25">
      <c r="A162" s="85"/>
      <c r="B162" s="41" t="str">
        <f>IF(A162="","",IFERROR(VLOOKUP(A162,DB_Customers!$A:$D,4,0),"❌ Account Not Found"))</f>
        <v/>
      </c>
      <c r="C162" s="86" t="str">
        <f>IF(A162="","",IFERROR(VLOOKUP(A162,DB_Customers!$A:$N,14,0),"❌ Acct Not Found"))</f>
        <v/>
      </c>
      <c r="D162" s="87" t="str">
        <f t="shared" ca="1" si="12"/>
        <v/>
      </c>
      <c r="E162" s="94"/>
      <c r="F162" s="41"/>
      <c r="G162" s="96" t="str">
        <f t="shared" si="13"/>
        <v/>
      </c>
      <c r="H162" s="43" t="s">
        <v>134</v>
      </c>
      <c r="I162" s="81"/>
      <c r="J162" s="89" t="str">
        <f>IF(AND(A162&lt;&gt;"",E162&lt;&gt;""),IF(I162="","⚠️ Enter Code",IF(IFERROR(VLOOKUP(H162,DB_Agents!$B:$I,8,0),"")=I162,IF(C162&gt;=E162,"Successful","Unsuccessful"),"🔒 BLOCKED — Wrong Code")),"Pending")</f>
        <v>Pending</v>
      </c>
      <c r="K162" s="90" t="str">
        <f t="shared" ca="1" si="14"/>
        <v>—</v>
      </c>
      <c r="L162" s="91"/>
    </row>
    <row r="163" spans="1:12" ht="15" customHeight="1" x14ac:dyDescent="0.25">
      <c r="A163" s="76"/>
      <c r="B163" s="37" t="str">
        <f>IF(A163="","",IFERROR(VLOOKUP(A163,DB_Customers!$A:$D,4,0),"❌ Account Not Found"))</f>
        <v/>
      </c>
      <c r="C163" s="77" t="str">
        <f>IF(A163="","",IFERROR(VLOOKUP(A163,DB_Customers!$A:$N,14,0),"❌ Acct Not Found"))</f>
        <v/>
      </c>
      <c r="D163" s="78" t="str">
        <f t="shared" ca="1" si="12"/>
        <v/>
      </c>
      <c r="E163" s="94"/>
      <c r="F163" s="37"/>
      <c r="G163" s="95" t="str">
        <f t="shared" si="13"/>
        <v/>
      </c>
      <c r="H163" s="39" t="s">
        <v>134</v>
      </c>
      <c r="I163" s="81"/>
      <c r="J163" s="82" t="str">
        <f>IF(AND(A163&lt;&gt;"",E163&lt;&gt;""),IF(I163="","⚠️ Enter Code",IF(IFERROR(VLOOKUP(H163,DB_Agents!$B:$I,8,0),"")=I163,IF(C163&gt;=E163,"Successful","Unsuccessful"),"🔒 BLOCKED — Wrong Code")),"Pending")</f>
        <v>Pending</v>
      </c>
      <c r="K163" s="83" t="str">
        <f t="shared" ca="1" si="14"/>
        <v>—</v>
      </c>
      <c r="L163" s="84"/>
    </row>
    <row r="164" spans="1:12" ht="15" customHeight="1" x14ac:dyDescent="0.25">
      <c r="A164" s="85"/>
      <c r="B164" s="41" t="str">
        <f>IF(A164="","",IFERROR(VLOOKUP(A164,DB_Customers!$A:$D,4,0),"❌ Account Not Found"))</f>
        <v/>
      </c>
      <c r="C164" s="86" t="str">
        <f>IF(A164="","",IFERROR(VLOOKUP(A164,DB_Customers!$A:$N,14,0),"❌ Acct Not Found"))</f>
        <v/>
      </c>
      <c r="D164" s="87" t="str">
        <f t="shared" ca="1" si="12"/>
        <v/>
      </c>
      <c r="E164" s="94"/>
      <c r="F164" s="41"/>
      <c r="G164" s="96" t="str">
        <f t="shared" si="13"/>
        <v/>
      </c>
      <c r="H164" s="43" t="s">
        <v>134</v>
      </c>
      <c r="I164" s="81"/>
      <c r="J164" s="89" t="str">
        <f>IF(AND(A164&lt;&gt;"",E164&lt;&gt;""),IF(I164="","⚠️ Enter Code",IF(IFERROR(VLOOKUP(H164,DB_Agents!$B:$I,8,0),"")=I164,IF(C164&gt;=E164,"Successful","Unsuccessful"),"🔒 BLOCKED — Wrong Code")),"Pending")</f>
        <v>Pending</v>
      </c>
      <c r="K164" s="90" t="str">
        <f t="shared" ca="1" si="14"/>
        <v>—</v>
      </c>
      <c r="L164" s="91"/>
    </row>
    <row r="165" spans="1:12" ht="15" customHeight="1" x14ac:dyDescent="0.25">
      <c r="A165" s="76"/>
      <c r="B165" s="37" t="str">
        <f>IF(A165="","",IFERROR(VLOOKUP(A165,DB_Customers!$A:$D,4,0),"❌ Account Not Found"))</f>
        <v/>
      </c>
      <c r="C165" s="77" t="str">
        <f>IF(A165="","",IFERROR(VLOOKUP(A165,DB_Customers!$A:$N,14,0),"❌ Acct Not Found"))</f>
        <v/>
      </c>
      <c r="D165" s="78" t="str">
        <f t="shared" ca="1" si="12"/>
        <v/>
      </c>
      <c r="E165" s="94"/>
      <c r="F165" s="37"/>
      <c r="G165" s="95" t="str">
        <f t="shared" si="13"/>
        <v/>
      </c>
      <c r="H165" s="39" t="s">
        <v>134</v>
      </c>
      <c r="I165" s="81"/>
      <c r="J165" s="82" t="str">
        <f>IF(AND(A165&lt;&gt;"",E165&lt;&gt;""),IF(I165="","⚠️ Enter Code",IF(IFERROR(VLOOKUP(H165,DB_Agents!$B:$I,8,0),"")=I165,IF(C165&gt;=E165,"Successful","Unsuccessful"),"🔒 BLOCKED — Wrong Code")),"Pending")</f>
        <v>Pending</v>
      </c>
      <c r="K165" s="83" t="str">
        <f t="shared" ca="1" si="14"/>
        <v>—</v>
      </c>
      <c r="L165" s="84"/>
    </row>
    <row r="166" spans="1:12" ht="15" customHeight="1" x14ac:dyDescent="0.25">
      <c r="A166" s="85"/>
      <c r="B166" s="41" t="str">
        <f>IF(A166="","",IFERROR(VLOOKUP(A166,DB_Customers!$A:$D,4,0),"❌ Account Not Found"))</f>
        <v/>
      </c>
      <c r="C166" s="86" t="str">
        <f>IF(A166="","",IFERROR(VLOOKUP(A166,DB_Customers!$A:$N,14,0),"❌ Acct Not Found"))</f>
        <v/>
      </c>
      <c r="D166" s="87" t="str">
        <f t="shared" ca="1" si="12"/>
        <v/>
      </c>
      <c r="E166" s="94"/>
      <c r="F166" s="41"/>
      <c r="G166" s="96" t="str">
        <f t="shared" si="13"/>
        <v/>
      </c>
      <c r="H166" s="43" t="s">
        <v>134</v>
      </c>
      <c r="I166" s="81"/>
      <c r="J166" s="89" t="str">
        <f>IF(AND(A166&lt;&gt;"",E166&lt;&gt;""),IF(I166="","⚠️ Enter Code",IF(IFERROR(VLOOKUP(H166,DB_Agents!$B:$I,8,0),"")=I166,IF(C166&gt;=E166,"Successful","Unsuccessful"),"🔒 BLOCKED — Wrong Code")),"Pending")</f>
        <v>Pending</v>
      </c>
      <c r="K166" s="90" t="str">
        <f t="shared" ca="1" si="14"/>
        <v>—</v>
      </c>
      <c r="L166" s="91"/>
    </row>
    <row r="167" spans="1:12" ht="15" customHeight="1" x14ac:dyDescent="0.25">
      <c r="A167" s="76"/>
      <c r="B167" s="37" t="str">
        <f>IF(A167="","",IFERROR(VLOOKUP(A167,DB_Customers!$A:$D,4,0),"❌ Account Not Found"))</f>
        <v/>
      </c>
      <c r="C167" s="77" t="str">
        <f>IF(A167="","",IFERROR(VLOOKUP(A167,DB_Customers!$A:$N,14,0),"❌ Acct Not Found"))</f>
        <v/>
      </c>
      <c r="D167" s="78" t="str">
        <f t="shared" ca="1" si="12"/>
        <v/>
      </c>
      <c r="E167" s="94"/>
      <c r="F167" s="37"/>
      <c r="G167" s="95" t="str">
        <f t="shared" si="13"/>
        <v/>
      </c>
      <c r="H167" s="39" t="s">
        <v>134</v>
      </c>
      <c r="I167" s="81"/>
      <c r="J167" s="82" t="str">
        <f>IF(AND(A167&lt;&gt;"",E167&lt;&gt;""),IF(I167="","⚠️ Enter Code",IF(IFERROR(VLOOKUP(H167,DB_Agents!$B:$I,8,0),"")=I167,IF(C167&gt;=E167,"Successful","Unsuccessful"),"🔒 BLOCKED — Wrong Code")),"Pending")</f>
        <v>Pending</v>
      </c>
      <c r="K167" s="83" t="str">
        <f t="shared" ca="1" si="14"/>
        <v>—</v>
      </c>
      <c r="L167" s="84"/>
    </row>
    <row r="168" spans="1:12" ht="15" customHeight="1" x14ac:dyDescent="0.25">
      <c r="A168" s="85"/>
      <c r="B168" s="41" t="str">
        <f>IF(A168="","",IFERROR(VLOOKUP(A168,DB_Customers!$A:$D,4,0),"❌ Account Not Found"))</f>
        <v/>
      </c>
      <c r="C168" s="86" t="str">
        <f>IF(A168="","",IFERROR(VLOOKUP(A168,DB_Customers!$A:$N,14,0),"❌ Acct Not Found"))</f>
        <v/>
      </c>
      <c r="D168" s="87" t="str">
        <f t="shared" ca="1" si="12"/>
        <v/>
      </c>
      <c r="E168" s="94"/>
      <c r="F168" s="41"/>
      <c r="G168" s="96" t="str">
        <f t="shared" si="13"/>
        <v/>
      </c>
      <c r="H168" s="43" t="s">
        <v>134</v>
      </c>
      <c r="I168" s="81"/>
      <c r="J168" s="89" t="str">
        <f>IF(AND(A168&lt;&gt;"",E168&lt;&gt;""),IF(I168="","⚠️ Enter Code",IF(IFERROR(VLOOKUP(H168,DB_Agents!$B:$I,8,0),"")=I168,IF(C168&gt;=E168,"Successful","Unsuccessful"),"🔒 BLOCKED — Wrong Code")),"Pending")</f>
        <v>Pending</v>
      </c>
      <c r="K168" s="90" t="str">
        <f t="shared" ca="1" si="14"/>
        <v>—</v>
      </c>
      <c r="L168" s="91"/>
    </row>
    <row r="169" spans="1:12" ht="15" customHeight="1" x14ac:dyDescent="0.25">
      <c r="A169" s="76"/>
      <c r="B169" s="37" t="str">
        <f>IF(A169="","",IFERROR(VLOOKUP(A169,DB_Customers!$A:$D,4,0),"❌ Account Not Found"))</f>
        <v/>
      </c>
      <c r="C169" s="77" t="str">
        <f>IF(A169="","",IFERROR(VLOOKUP(A169,DB_Customers!$A:$N,14,0),"❌ Acct Not Found"))</f>
        <v/>
      </c>
      <c r="D169" s="78" t="str">
        <f t="shared" ref="D169:D200" ca="1" si="15">IF(A169="","",TODAY())</f>
        <v/>
      </c>
      <c r="E169" s="94"/>
      <c r="F169" s="37"/>
      <c r="G169" s="95" t="str">
        <f t="shared" ref="G169:G200" si="16">IF(OR(A169="",E169=""),"",IF(C169="","",C169-E169))</f>
        <v/>
      </c>
      <c r="H169" s="39" t="s">
        <v>134</v>
      </c>
      <c r="I169" s="81"/>
      <c r="J169" s="82" t="str">
        <f>IF(AND(A169&lt;&gt;"",E169&lt;&gt;""),IF(I169="","⚠️ Enter Code",IF(IFERROR(VLOOKUP(H169,DB_Agents!$B:$I,8,0),"")=I169,IF(C169&gt;=E169,"Successful","Unsuccessful"),"🔒 BLOCKED — Wrong Code")),"Pending")</f>
        <v>Pending</v>
      </c>
      <c r="K169" s="83" t="str">
        <f t="shared" ref="K169:K200" ca="1" si="17">IF(J169="Successful",TEXT(TODAY(),"YYYY-MM-DD")&amp;" Auto","—")</f>
        <v>—</v>
      </c>
      <c r="L169" s="84"/>
    </row>
    <row r="170" spans="1:12" ht="15" customHeight="1" x14ac:dyDescent="0.25">
      <c r="A170" s="85"/>
      <c r="B170" s="41" t="str">
        <f>IF(A170="","",IFERROR(VLOOKUP(A170,DB_Customers!$A:$D,4,0),"❌ Account Not Found"))</f>
        <v/>
      </c>
      <c r="C170" s="86" t="str">
        <f>IF(A170="","",IFERROR(VLOOKUP(A170,DB_Customers!$A:$N,14,0),"❌ Acct Not Found"))</f>
        <v/>
      </c>
      <c r="D170" s="87" t="str">
        <f t="shared" ca="1" si="15"/>
        <v/>
      </c>
      <c r="E170" s="94"/>
      <c r="F170" s="41"/>
      <c r="G170" s="96" t="str">
        <f t="shared" si="16"/>
        <v/>
      </c>
      <c r="H170" s="43" t="s">
        <v>134</v>
      </c>
      <c r="I170" s="81"/>
      <c r="J170" s="89" t="str">
        <f>IF(AND(A170&lt;&gt;"",E170&lt;&gt;""),IF(I170="","⚠️ Enter Code",IF(IFERROR(VLOOKUP(H170,DB_Agents!$B:$I,8,0),"")=I170,IF(C170&gt;=E170,"Successful","Unsuccessful"),"🔒 BLOCKED — Wrong Code")),"Pending")</f>
        <v>Pending</v>
      </c>
      <c r="K170" s="90" t="str">
        <f t="shared" ca="1" si="17"/>
        <v>—</v>
      </c>
      <c r="L170" s="91"/>
    </row>
    <row r="171" spans="1:12" ht="15" customHeight="1" x14ac:dyDescent="0.25">
      <c r="A171" s="76"/>
      <c r="B171" s="37" t="str">
        <f>IF(A171="","",IFERROR(VLOOKUP(A171,DB_Customers!$A:$D,4,0),"❌ Account Not Found"))</f>
        <v/>
      </c>
      <c r="C171" s="77" t="str">
        <f>IF(A171="","",IFERROR(VLOOKUP(A171,DB_Customers!$A:$N,14,0),"❌ Acct Not Found"))</f>
        <v/>
      </c>
      <c r="D171" s="78" t="str">
        <f t="shared" ca="1" si="15"/>
        <v/>
      </c>
      <c r="E171" s="94"/>
      <c r="F171" s="37"/>
      <c r="G171" s="95" t="str">
        <f t="shared" si="16"/>
        <v/>
      </c>
      <c r="H171" s="39" t="s">
        <v>134</v>
      </c>
      <c r="I171" s="81"/>
      <c r="J171" s="82" t="str">
        <f>IF(AND(A171&lt;&gt;"",E171&lt;&gt;""),IF(I171="","⚠️ Enter Code",IF(IFERROR(VLOOKUP(H171,DB_Agents!$B:$I,8,0),"")=I171,IF(C171&gt;=E171,"Successful","Unsuccessful"),"🔒 BLOCKED — Wrong Code")),"Pending")</f>
        <v>Pending</v>
      </c>
      <c r="K171" s="83" t="str">
        <f t="shared" ca="1" si="17"/>
        <v>—</v>
      </c>
      <c r="L171" s="84"/>
    </row>
    <row r="172" spans="1:12" ht="15" customHeight="1" x14ac:dyDescent="0.25">
      <c r="A172" s="85"/>
      <c r="B172" s="41" t="str">
        <f>IF(A172="","",IFERROR(VLOOKUP(A172,DB_Customers!$A:$D,4,0),"❌ Account Not Found"))</f>
        <v/>
      </c>
      <c r="C172" s="86" t="str">
        <f>IF(A172="","",IFERROR(VLOOKUP(A172,DB_Customers!$A:$N,14,0),"❌ Acct Not Found"))</f>
        <v/>
      </c>
      <c r="D172" s="87" t="str">
        <f t="shared" ca="1" si="15"/>
        <v/>
      </c>
      <c r="E172" s="94"/>
      <c r="F172" s="41"/>
      <c r="G172" s="96" t="str">
        <f t="shared" si="16"/>
        <v/>
      </c>
      <c r="H172" s="43" t="s">
        <v>134</v>
      </c>
      <c r="I172" s="81"/>
      <c r="J172" s="89" t="str">
        <f>IF(AND(A172&lt;&gt;"",E172&lt;&gt;""),IF(I172="","⚠️ Enter Code",IF(IFERROR(VLOOKUP(H172,DB_Agents!$B:$I,8,0),"")=I172,IF(C172&gt;=E172,"Successful","Unsuccessful"),"🔒 BLOCKED — Wrong Code")),"Pending")</f>
        <v>Pending</v>
      </c>
      <c r="K172" s="90" t="str">
        <f t="shared" ca="1" si="17"/>
        <v>—</v>
      </c>
      <c r="L172" s="91"/>
    </row>
    <row r="173" spans="1:12" ht="15" customHeight="1" x14ac:dyDescent="0.25">
      <c r="A173" s="76"/>
      <c r="B173" s="37" t="str">
        <f>IF(A173="","",IFERROR(VLOOKUP(A173,DB_Customers!$A:$D,4,0),"❌ Account Not Found"))</f>
        <v/>
      </c>
      <c r="C173" s="77" t="str">
        <f>IF(A173="","",IFERROR(VLOOKUP(A173,DB_Customers!$A:$N,14,0),"❌ Acct Not Found"))</f>
        <v/>
      </c>
      <c r="D173" s="78" t="str">
        <f t="shared" ca="1" si="15"/>
        <v/>
      </c>
      <c r="E173" s="94"/>
      <c r="F173" s="37"/>
      <c r="G173" s="95" t="str">
        <f t="shared" si="16"/>
        <v/>
      </c>
      <c r="H173" s="39" t="s">
        <v>134</v>
      </c>
      <c r="I173" s="81"/>
      <c r="J173" s="82" t="str">
        <f>IF(AND(A173&lt;&gt;"",E173&lt;&gt;""),IF(I173="","⚠️ Enter Code",IF(IFERROR(VLOOKUP(H173,DB_Agents!$B:$I,8,0),"")=I173,IF(C173&gt;=E173,"Successful","Unsuccessful"),"🔒 BLOCKED — Wrong Code")),"Pending")</f>
        <v>Pending</v>
      </c>
      <c r="K173" s="83" t="str">
        <f t="shared" ca="1" si="17"/>
        <v>—</v>
      </c>
      <c r="L173" s="84"/>
    </row>
    <row r="174" spans="1:12" ht="15" customHeight="1" x14ac:dyDescent="0.25">
      <c r="A174" s="85"/>
      <c r="B174" s="41" t="str">
        <f>IF(A174="","",IFERROR(VLOOKUP(A174,DB_Customers!$A:$D,4,0),"❌ Account Not Found"))</f>
        <v/>
      </c>
      <c r="C174" s="86" t="str">
        <f>IF(A174="","",IFERROR(VLOOKUP(A174,DB_Customers!$A:$N,14,0),"❌ Acct Not Found"))</f>
        <v/>
      </c>
      <c r="D174" s="87" t="str">
        <f t="shared" ca="1" si="15"/>
        <v/>
      </c>
      <c r="E174" s="94"/>
      <c r="F174" s="41"/>
      <c r="G174" s="96" t="str">
        <f t="shared" si="16"/>
        <v/>
      </c>
      <c r="H174" s="43" t="s">
        <v>134</v>
      </c>
      <c r="I174" s="81"/>
      <c r="J174" s="89" t="str">
        <f>IF(AND(A174&lt;&gt;"",E174&lt;&gt;""),IF(I174="","⚠️ Enter Code",IF(IFERROR(VLOOKUP(H174,DB_Agents!$B:$I,8,0),"")=I174,IF(C174&gt;=E174,"Successful","Unsuccessful"),"🔒 BLOCKED — Wrong Code")),"Pending")</f>
        <v>Pending</v>
      </c>
      <c r="K174" s="90" t="str">
        <f t="shared" ca="1" si="17"/>
        <v>—</v>
      </c>
      <c r="L174" s="91"/>
    </row>
    <row r="175" spans="1:12" ht="15" customHeight="1" x14ac:dyDescent="0.25">
      <c r="A175" s="76"/>
      <c r="B175" s="37" t="str">
        <f>IF(A175="","",IFERROR(VLOOKUP(A175,DB_Customers!$A:$D,4,0),"❌ Account Not Found"))</f>
        <v/>
      </c>
      <c r="C175" s="77" t="str">
        <f>IF(A175="","",IFERROR(VLOOKUP(A175,DB_Customers!$A:$N,14,0),"❌ Acct Not Found"))</f>
        <v/>
      </c>
      <c r="D175" s="78" t="str">
        <f t="shared" ca="1" si="15"/>
        <v/>
      </c>
      <c r="E175" s="94"/>
      <c r="F175" s="37"/>
      <c r="G175" s="95" t="str">
        <f t="shared" si="16"/>
        <v/>
      </c>
      <c r="H175" s="39" t="s">
        <v>134</v>
      </c>
      <c r="I175" s="81"/>
      <c r="J175" s="82" t="str">
        <f>IF(AND(A175&lt;&gt;"",E175&lt;&gt;""),IF(I175="","⚠️ Enter Code",IF(IFERROR(VLOOKUP(H175,DB_Agents!$B:$I,8,0),"")=I175,IF(C175&gt;=E175,"Successful","Unsuccessful"),"🔒 BLOCKED — Wrong Code")),"Pending")</f>
        <v>Pending</v>
      </c>
      <c r="K175" s="83" t="str">
        <f t="shared" ca="1" si="17"/>
        <v>—</v>
      </c>
      <c r="L175" s="84"/>
    </row>
    <row r="176" spans="1:12" ht="15" customHeight="1" x14ac:dyDescent="0.25">
      <c r="A176" s="85"/>
      <c r="B176" s="41" t="str">
        <f>IF(A176="","",IFERROR(VLOOKUP(A176,DB_Customers!$A:$D,4,0),"❌ Account Not Found"))</f>
        <v/>
      </c>
      <c r="C176" s="86" t="str">
        <f>IF(A176="","",IFERROR(VLOOKUP(A176,DB_Customers!$A:$N,14,0),"❌ Acct Not Found"))</f>
        <v/>
      </c>
      <c r="D176" s="87" t="str">
        <f t="shared" ca="1" si="15"/>
        <v/>
      </c>
      <c r="E176" s="94"/>
      <c r="F176" s="41"/>
      <c r="G176" s="96" t="str">
        <f t="shared" si="16"/>
        <v/>
      </c>
      <c r="H176" s="43" t="s">
        <v>134</v>
      </c>
      <c r="I176" s="81"/>
      <c r="J176" s="89" t="str">
        <f>IF(AND(A176&lt;&gt;"",E176&lt;&gt;""),IF(I176="","⚠️ Enter Code",IF(IFERROR(VLOOKUP(H176,DB_Agents!$B:$I,8,0),"")=I176,IF(C176&gt;=E176,"Successful","Unsuccessful"),"🔒 BLOCKED — Wrong Code")),"Pending")</f>
        <v>Pending</v>
      </c>
      <c r="K176" s="90" t="str">
        <f t="shared" ca="1" si="17"/>
        <v>—</v>
      </c>
      <c r="L176" s="91"/>
    </row>
    <row r="177" spans="1:12" ht="15" customHeight="1" x14ac:dyDescent="0.25">
      <c r="A177" s="76"/>
      <c r="B177" s="37" t="str">
        <f>IF(A177="","",IFERROR(VLOOKUP(A177,DB_Customers!$A:$D,4,0),"❌ Account Not Found"))</f>
        <v/>
      </c>
      <c r="C177" s="77" t="str">
        <f>IF(A177="","",IFERROR(VLOOKUP(A177,DB_Customers!$A:$N,14,0),"❌ Acct Not Found"))</f>
        <v/>
      </c>
      <c r="D177" s="78" t="str">
        <f t="shared" ca="1" si="15"/>
        <v/>
      </c>
      <c r="E177" s="94"/>
      <c r="F177" s="37"/>
      <c r="G177" s="95" t="str">
        <f t="shared" si="16"/>
        <v/>
      </c>
      <c r="H177" s="39" t="s">
        <v>134</v>
      </c>
      <c r="I177" s="81"/>
      <c r="J177" s="82" t="str">
        <f>IF(AND(A177&lt;&gt;"",E177&lt;&gt;""),IF(I177="","⚠️ Enter Code",IF(IFERROR(VLOOKUP(H177,DB_Agents!$B:$I,8,0),"")=I177,IF(C177&gt;=E177,"Successful","Unsuccessful"),"🔒 BLOCKED — Wrong Code")),"Pending")</f>
        <v>Pending</v>
      </c>
      <c r="K177" s="83" t="str">
        <f t="shared" ca="1" si="17"/>
        <v>—</v>
      </c>
      <c r="L177" s="84"/>
    </row>
    <row r="178" spans="1:12" ht="15" customHeight="1" x14ac:dyDescent="0.25">
      <c r="A178" s="85"/>
      <c r="B178" s="41" t="str">
        <f>IF(A178="","",IFERROR(VLOOKUP(A178,DB_Customers!$A:$D,4,0),"❌ Account Not Found"))</f>
        <v/>
      </c>
      <c r="C178" s="86" t="str">
        <f>IF(A178="","",IFERROR(VLOOKUP(A178,DB_Customers!$A:$N,14,0),"❌ Acct Not Found"))</f>
        <v/>
      </c>
      <c r="D178" s="87" t="str">
        <f t="shared" ca="1" si="15"/>
        <v/>
      </c>
      <c r="E178" s="94"/>
      <c r="F178" s="41"/>
      <c r="G178" s="96" t="str">
        <f t="shared" si="16"/>
        <v/>
      </c>
      <c r="H178" s="43" t="s">
        <v>134</v>
      </c>
      <c r="I178" s="81"/>
      <c r="J178" s="89" t="str">
        <f>IF(AND(A178&lt;&gt;"",E178&lt;&gt;""),IF(I178="","⚠️ Enter Code",IF(IFERROR(VLOOKUP(H178,DB_Agents!$B:$I,8,0),"")=I178,IF(C178&gt;=E178,"Successful","Unsuccessful"),"🔒 BLOCKED — Wrong Code")),"Pending")</f>
        <v>Pending</v>
      </c>
      <c r="K178" s="90" t="str">
        <f t="shared" ca="1" si="17"/>
        <v>—</v>
      </c>
      <c r="L178" s="91"/>
    </row>
    <row r="179" spans="1:12" ht="15" customHeight="1" x14ac:dyDescent="0.25">
      <c r="A179" s="76"/>
      <c r="B179" s="37" t="str">
        <f>IF(A179="","",IFERROR(VLOOKUP(A179,DB_Customers!$A:$D,4,0),"❌ Account Not Found"))</f>
        <v/>
      </c>
      <c r="C179" s="77" t="str">
        <f>IF(A179="","",IFERROR(VLOOKUP(A179,DB_Customers!$A:$N,14,0),"❌ Acct Not Found"))</f>
        <v/>
      </c>
      <c r="D179" s="78" t="str">
        <f t="shared" ca="1" si="15"/>
        <v/>
      </c>
      <c r="E179" s="94"/>
      <c r="F179" s="37"/>
      <c r="G179" s="95" t="str">
        <f t="shared" si="16"/>
        <v/>
      </c>
      <c r="H179" s="39" t="s">
        <v>134</v>
      </c>
      <c r="I179" s="81"/>
      <c r="J179" s="82" t="str">
        <f>IF(AND(A179&lt;&gt;"",E179&lt;&gt;""),IF(I179="","⚠️ Enter Code",IF(IFERROR(VLOOKUP(H179,DB_Agents!$B:$I,8,0),"")=I179,IF(C179&gt;=E179,"Successful","Unsuccessful"),"🔒 BLOCKED — Wrong Code")),"Pending")</f>
        <v>Pending</v>
      </c>
      <c r="K179" s="83" t="str">
        <f t="shared" ca="1" si="17"/>
        <v>—</v>
      </c>
      <c r="L179" s="84"/>
    </row>
    <row r="180" spans="1:12" ht="15" customHeight="1" x14ac:dyDescent="0.25">
      <c r="A180" s="85"/>
      <c r="B180" s="41" t="str">
        <f>IF(A180="","",IFERROR(VLOOKUP(A180,DB_Customers!$A:$D,4,0),"❌ Account Not Found"))</f>
        <v/>
      </c>
      <c r="C180" s="86" t="str">
        <f>IF(A180="","",IFERROR(VLOOKUP(A180,DB_Customers!$A:$N,14,0),"❌ Acct Not Found"))</f>
        <v/>
      </c>
      <c r="D180" s="87" t="str">
        <f t="shared" ca="1" si="15"/>
        <v/>
      </c>
      <c r="E180" s="94"/>
      <c r="F180" s="41"/>
      <c r="G180" s="96" t="str">
        <f t="shared" si="16"/>
        <v/>
      </c>
      <c r="H180" s="43" t="s">
        <v>134</v>
      </c>
      <c r="I180" s="81"/>
      <c r="J180" s="89" t="str">
        <f>IF(AND(A180&lt;&gt;"",E180&lt;&gt;""),IF(I180="","⚠️ Enter Code",IF(IFERROR(VLOOKUP(H180,DB_Agents!$B:$I,8,0),"")=I180,IF(C180&gt;=E180,"Successful","Unsuccessful"),"🔒 BLOCKED — Wrong Code")),"Pending")</f>
        <v>Pending</v>
      </c>
      <c r="K180" s="90" t="str">
        <f t="shared" ca="1" si="17"/>
        <v>—</v>
      </c>
      <c r="L180" s="91"/>
    </row>
    <row r="181" spans="1:12" ht="15" customHeight="1" x14ac:dyDescent="0.25">
      <c r="A181" s="76"/>
      <c r="B181" s="37" t="str">
        <f>IF(A181="","",IFERROR(VLOOKUP(A181,DB_Customers!$A:$D,4,0),"❌ Account Not Found"))</f>
        <v/>
      </c>
      <c r="C181" s="77" t="str">
        <f>IF(A181="","",IFERROR(VLOOKUP(A181,DB_Customers!$A:$N,14,0),"❌ Acct Not Found"))</f>
        <v/>
      </c>
      <c r="D181" s="78" t="str">
        <f t="shared" ca="1" si="15"/>
        <v/>
      </c>
      <c r="E181" s="94"/>
      <c r="F181" s="37"/>
      <c r="G181" s="95" t="str">
        <f t="shared" si="16"/>
        <v/>
      </c>
      <c r="H181" s="39" t="s">
        <v>134</v>
      </c>
      <c r="I181" s="81"/>
      <c r="J181" s="82" t="str">
        <f>IF(AND(A181&lt;&gt;"",E181&lt;&gt;""),IF(I181="","⚠️ Enter Code",IF(IFERROR(VLOOKUP(H181,DB_Agents!$B:$I,8,0),"")=I181,IF(C181&gt;=E181,"Successful","Unsuccessful"),"🔒 BLOCKED — Wrong Code")),"Pending")</f>
        <v>Pending</v>
      </c>
      <c r="K181" s="83" t="str">
        <f t="shared" ca="1" si="17"/>
        <v>—</v>
      </c>
      <c r="L181" s="84"/>
    </row>
    <row r="182" spans="1:12" ht="15" customHeight="1" x14ac:dyDescent="0.25">
      <c r="A182" s="85"/>
      <c r="B182" s="41" t="str">
        <f>IF(A182="","",IFERROR(VLOOKUP(A182,DB_Customers!$A:$D,4,0),"❌ Account Not Found"))</f>
        <v/>
      </c>
      <c r="C182" s="86" t="str">
        <f>IF(A182="","",IFERROR(VLOOKUP(A182,DB_Customers!$A:$N,14,0),"❌ Acct Not Found"))</f>
        <v/>
      </c>
      <c r="D182" s="87" t="str">
        <f t="shared" ca="1" si="15"/>
        <v/>
      </c>
      <c r="E182" s="94"/>
      <c r="F182" s="41"/>
      <c r="G182" s="96" t="str">
        <f t="shared" si="16"/>
        <v/>
      </c>
      <c r="H182" s="43" t="s">
        <v>134</v>
      </c>
      <c r="I182" s="81"/>
      <c r="J182" s="89" t="str">
        <f>IF(AND(A182&lt;&gt;"",E182&lt;&gt;""),IF(I182="","⚠️ Enter Code",IF(IFERROR(VLOOKUP(H182,DB_Agents!$B:$I,8,0),"")=I182,IF(C182&gt;=E182,"Successful","Unsuccessful"),"🔒 BLOCKED — Wrong Code")),"Pending")</f>
        <v>Pending</v>
      </c>
      <c r="K182" s="90" t="str">
        <f t="shared" ca="1" si="17"/>
        <v>—</v>
      </c>
      <c r="L182" s="91"/>
    </row>
    <row r="183" spans="1:12" ht="15" customHeight="1" x14ac:dyDescent="0.25">
      <c r="A183" s="76"/>
      <c r="B183" s="37" t="str">
        <f>IF(A183="","",IFERROR(VLOOKUP(A183,DB_Customers!$A:$D,4,0),"❌ Account Not Found"))</f>
        <v/>
      </c>
      <c r="C183" s="77" t="str">
        <f>IF(A183="","",IFERROR(VLOOKUP(A183,DB_Customers!$A:$N,14,0),"❌ Acct Not Found"))</f>
        <v/>
      </c>
      <c r="D183" s="78" t="str">
        <f t="shared" ca="1" si="15"/>
        <v/>
      </c>
      <c r="E183" s="94"/>
      <c r="F183" s="37"/>
      <c r="G183" s="95" t="str">
        <f t="shared" si="16"/>
        <v/>
      </c>
      <c r="H183" s="39" t="s">
        <v>134</v>
      </c>
      <c r="I183" s="81"/>
      <c r="J183" s="82" t="str">
        <f>IF(AND(A183&lt;&gt;"",E183&lt;&gt;""),IF(I183="","⚠️ Enter Code",IF(IFERROR(VLOOKUP(H183,DB_Agents!$B:$I,8,0),"")=I183,IF(C183&gt;=E183,"Successful","Unsuccessful"),"🔒 BLOCKED — Wrong Code")),"Pending")</f>
        <v>Pending</v>
      </c>
      <c r="K183" s="83" t="str">
        <f t="shared" ca="1" si="17"/>
        <v>—</v>
      </c>
      <c r="L183" s="84"/>
    </row>
    <row r="184" spans="1:12" ht="15" customHeight="1" x14ac:dyDescent="0.25">
      <c r="A184" s="85"/>
      <c r="B184" s="41" t="str">
        <f>IF(A184="","",IFERROR(VLOOKUP(A184,DB_Customers!$A:$D,4,0),"❌ Account Not Found"))</f>
        <v/>
      </c>
      <c r="C184" s="86" t="str">
        <f>IF(A184="","",IFERROR(VLOOKUP(A184,DB_Customers!$A:$N,14,0),"❌ Acct Not Found"))</f>
        <v/>
      </c>
      <c r="D184" s="87" t="str">
        <f t="shared" ca="1" si="15"/>
        <v/>
      </c>
      <c r="E184" s="94"/>
      <c r="F184" s="41"/>
      <c r="G184" s="96" t="str">
        <f t="shared" si="16"/>
        <v/>
      </c>
      <c r="H184" s="43" t="s">
        <v>134</v>
      </c>
      <c r="I184" s="81"/>
      <c r="J184" s="89" t="str">
        <f>IF(AND(A184&lt;&gt;"",E184&lt;&gt;""),IF(I184="","⚠️ Enter Code",IF(IFERROR(VLOOKUP(H184,DB_Agents!$B:$I,8,0),"")=I184,IF(C184&gt;=E184,"Successful","Unsuccessful"),"🔒 BLOCKED — Wrong Code")),"Pending")</f>
        <v>Pending</v>
      </c>
      <c r="K184" s="90" t="str">
        <f t="shared" ca="1" si="17"/>
        <v>—</v>
      </c>
      <c r="L184" s="91"/>
    </row>
    <row r="185" spans="1:12" ht="15" customHeight="1" x14ac:dyDescent="0.25">
      <c r="A185" s="76"/>
      <c r="B185" s="37" t="str">
        <f>IF(A185="","",IFERROR(VLOOKUP(A185,DB_Customers!$A:$D,4,0),"❌ Account Not Found"))</f>
        <v/>
      </c>
      <c r="C185" s="77" t="str">
        <f>IF(A185="","",IFERROR(VLOOKUP(A185,DB_Customers!$A:$N,14,0),"❌ Acct Not Found"))</f>
        <v/>
      </c>
      <c r="D185" s="78" t="str">
        <f t="shared" ca="1" si="15"/>
        <v/>
      </c>
      <c r="E185" s="94"/>
      <c r="F185" s="37"/>
      <c r="G185" s="95" t="str">
        <f t="shared" si="16"/>
        <v/>
      </c>
      <c r="H185" s="39" t="s">
        <v>134</v>
      </c>
      <c r="I185" s="81"/>
      <c r="J185" s="82" t="str">
        <f>IF(AND(A185&lt;&gt;"",E185&lt;&gt;""),IF(I185="","⚠️ Enter Code",IF(IFERROR(VLOOKUP(H185,DB_Agents!$B:$I,8,0),"")=I185,IF(C185&gt;=E185,"Successful","Unsuccessful"),"🔒 BLOCKED — Wrong Code")),"Pending")</f>
        <v>Pending</v>
      </c>
      <c r="K185" s="83" t="str">
        <f t="shared" ca="1" si="17"/>
        <v>—</v>
      </c>
      <c r="L185" s="84"/>
    </row>
    <row r="186" spans="1:12" ht="15" customHeight="1" x14ac:dyDescent="0.25">
      <c r="A186" s="85"/>
      <c r="B186" s="41" t="str">
        <f>IF(A186="","",IFERROR(VLOOKUP(A186,DB_Customers!$A:$D,4,0),"❌ Account Not Found"))</f>
        <v/>
      </c>
      <c r="C186" s="86" t="str">
        <f>IF(A186="","",IFERROR(VLOOKUP(A186,DB_Customers!$A:$N,14,0),"❌ Acct Not Found"))</f>
        <v/>
      </c>
      <c r="D186" s="87" t="str">
        <f t="shared" ca="1" si="15"/>
        <v/>
      </c>
      <c r="E186" s="94"/>
      <c r="F186" s="41"/>
      <c r="G186" s="96" t="str">
        <f t="shared" si="16"/>
        <v/>
      </c>
      <c r="H186" s="43" t="s">
        <v>134</v>
      </c>
      <c r="I186" s="81"/>
      <c r="J186" s="89" t="str">
        <f>IF(AND(A186&lt;&gt;"",E186&lt;&gt;""),IF(I186="","⚠️ Enter Code",IF(IFERROR(VLOOKUP(H186,DB_Agents!$B:$I,8,0),"")=I186,IF(C186&gt;=E186,"Successful","Unsuccessful"),"🔒 BLOCKED — Wrong Code")),"Pending")</f>
        <v>Pending</v>
      </c>
      <c r="K186" s="90" t="str">
        <f t="shared" ca="1" si="17"/>
        <v>—</v>
      </c>
      <c r="L186" s="91"/>
    </row>
    <row r="187" spans="1:12" ht="15" customHeight="1" x14ac:dyDescent="0.25">
      <c r="A187" s="76"/>
      <c r="B187" s="37" t="str">
        <f>IF(A187="","",IFERROR(VLOOKUP(A187,DB_Customers!$A:$D,4,0),"❌ Account Not Found"))</f>
        <v/>
      </c>
      <c r="C187" s="77" t="str">
        <f>IF(A187="","",IFERROR(VLOOKUP(A187,DB_Customers!$A:$N,14,0),"❌ Acct Not Found"))</f>
        <v/>
      </c>
      <c r="D187" s="78" t="str">
        <f t="shared" ca="1" si="15"/>
        <v/>
      </c>
      <c r="E187" s="94"/>
      <c r="F187" s="37"/>
      <c r="G187" s="95" t="str">
        <f t="shared" si="16"/>
        <v/>
      </c>
      <c r="H187" s="39" t="s">
        <v>134</v>
      </c>
      <c r="I187" s="81"/>
      <c r="J187" s="82" t="str">
        <f>IF(AND(A187&lt;&gt;"",E187&lt;&gt;""),IF(I187="","⚠️ Enter Code",IF(IFERROR(VLOOKUP(H187,DB_Agents!$B:$I,8,0),"")=I187,IF(C187&gt;=E187,"Successful","Unsuccessful"),"🔒 BLOCKED — Wrong Code")),"Pending")</f>
        <v>Pending</v>
      </c>
      <c r="K187" s="83" t="str">
        <f t="shared" ca="1" si="17"/>
        <v>—</v>
      </c>
      <c r="L187" s="84"/>
    </row>
    <row r="188" spans="1:12" ht="15" customHeight="1" x14ac:dyDescent="0.25">
      <c r="A188" s="85"/>
      <c r="B188" s="41" t="str">
        <f>IF(A188="","",IFERROR(VLOOKUP(A188,DB_Customers!$A:$D,4,0),"❌ Account Not Found"))</f>
        <v/>
      </c>
      <c r="C188" s="86" t="str">
        <f>IF(A188="","",IFERROR(VLOOKUP(A188,DB_Customers!$A:$N,14,0),"❌ Acct Not Found"))</f>
        <v/>
      </c>
      <c r="D188" s="87" t="str">
        <f t="shared" ca="1" si="15"/>
        <v/>
      </c>
      <c r="E188" s="94"/>
      <c r="F188" s="41"/>
      <c r="G188" s="96" t="str">
        <f t="shared" si="16"/>
        <v/>
      </c>
      <c r="H188" s="43" t="s">
        <v>134</v>
      </c>
      <c r="I188" s="81"/>
      <c r="J188" s="89" t="str">
        <f>IF(AND(A188&lt;&gt;"",E188&lt;&gt;""),IF(I188="","⚠️ Enter Code",IF(IFERROR(VLOOKUP(H188,DB_Agents!$B:$I,8,0),"")=I188,IF(C188&gt;=E188,"Successful","Unsuccessful"),"🔒 BLOCKED — Wrong Code")),"Pending")</f>
        <v>Pending</v>
      </c>
      <c r="K188" s="90" t="str">
        <f t="shared" ca="1" si="17"/>
        <v>—</v>
      </c>
      <c r="L188" s="91"/>
    </row>
    <row r="189" spans="1:12" ht="15" customHeight="1" x14ac:dyDescent="0.25">
      <c r="A189" s="76"/>
      <c r="B189" s="37" t="str">
        <f>IF(A189="","",IFERROR(VLOOKUP(A189,DB_Customers!$A:$D,4,0),"❌ Account Not Found"))</f>
        <v/>
      </c>
      <c r="C189" s="77" t="str">
        <f>IF(A189="","",IFERROR(VLOOKUP(A189,DB_Customers!$A:$N,14,0),"❌ Acct Not Found"))</f>
        <v/>
      </c>
      <c r="D189" s="78" t="str">
        <f t="shared" ca="1" si="15"/>
        <v/>
      </c>
      <c r="E189" s="94"/>
      <c r="F189" s="37"/>
      <c r="G189" s="95" t="str">
        <f t="shared" si="16"/>
        <v/>
      </c>
      <c r="H189" s="39" t="s">
        <v>134</v>
      </c>
      <c r="I189" s="81"/>
      <c r="J189" s="82" t="str">
        <f>IF(AND(A189&lt;&gt;"",E189&lt;&gt;""),IF(I189="","⚠️ Enter Code",IF(IFERROR(VLOOKUP(H189,DB_Agents!$B:$I,8,0),"")=I189,IF(C189&gt;=E189,"Successful","Unsuccessful"),"🔒 BLOCKED — Wrong Code")),"Pending")</f>
        <v>Pending</v>
      </c>
      <c r="K189" s="83" t="str">
        <f t="shared" ca="1" si="17"/>
        <v>—</v>
      </c>
      <c r="L189" s="84"/>
    </row>
    <row r="190" spans="1:12" ht="15" customHeight="1" x14ac:dyDescent="0.25">
      <c r="A190" s="85"/>
      <c r="B190" s="41" t="str">
        <f>IF(A190="","",IFERROR(VLOOKUP(A190,DB_Customers!$A:$D,4,0),"❌ Account Not Found"))</f>
        <v/>
      </c>
      <c r="C190" s="86" t="str">
        <f>IF(A190="","",IFERROR(VLOOKUP(A190,DB_Customers!$A:$N,14,0),"❌ Acct Not Found"))</f>
        <v/>
      </c>
      <c r="D190" s="87" t="str">
        <f t="shared" ca="1" si="15"/>
        <v/>
      </c>
      <c r="E190" s="94"/>
      <c r="F190" s="41"/>
      <c r="G190" s="96" t="str">
        <f t="shared" si="16"/>
        <v/>
      </c>
      <c r="H190" s="43" t="s">
        <v>134</v>
      </c>
      <c r="I190" s="81"/>
      <c r="J190" s="89" t="str">
        <f>IF(AND(A190&lt;&gt;"",E190&lt;&gt;""),IF(I190="","⚠️ Enter Code",IF(IFERROR(VLOOKUP(H190,DB_Agents!$B:$I,8,0),"")=I190,IF(C190&gt;=E190,"Successful","Unsuccessful"),"🔒 BLOCKED — Wrong Code")),"Pending")</f>
        <v>Pending</v>
      </c>
      <c r="K190" s="90" t="str">
        <f t="shared" ca="1" si="17"/>
        <v>—</v>
      </c>
      <c r="L190" s="91"/>
    </row>
    <row r="191" spans="1:12" ht="15" customHeight="1" x14ac:dyDescent="0.25">
      <c r="A191" s="76"/>
      <c r="B191" s="37" t="str">
        <f>IF(A191="","",IFERROR(VLOOKUP(A191,DB_Customers!$A:$D,4,0),"❌ Account Not Found"))</f>
        <v/>
      </c>
      <c r="C191" s="77" t="str">
        <f>IF(A191="","",IFERROR(VLOOKUP(A191,DB_Customers!$A:$N,14,0),"❌ Acct Not Found"))</f>
        <v/>
      </c>
      <c r="D191" s="78" t="str">
        <f t="shared" ca="1" si="15"/>
        <v/>
      </c>
      <c r="E191" s="94"/>
      <c r="F191" s="37"/>
      <c r="G191" s="95" t="str">
        <f t="shared" si="16"/>
        <v/>
      </c>
      <c r="H191" s="39" t="s">
        <v>134</v>
      </c>
      <c r="I191" s="81"/>
      <c r="J191" s="82" t="str">
        <f>IF(AND(A191&lt;&gt;"",E191&lt;&gt;""),IF(I191="","⚠️ Enter Code",IF(IFERROR(VLOOKUP(H191,DB_Agents!$B:$I,8,0),"")=I191,IF(C191&gt;=E191,"Successful","Unsuccessful"),"🔒 BLOCKED — Wrong Code")),"Pending")</f>
        <v>Pending</v>
      </c>
      <c r="K191" s="83" t="str">
        <f t="shared" ca="1" si="17"/>
        <v>—</v>
      </c>
      <c r="L191" s="84"/>
    </row>
    <row r="192" spans="1:12" ht="15" customHeight="1" x14ac:dyDescent="0.25">
      <c r="A192" s="85"/>
      <c r="B192" s="41" t="str">
        <f>IF(A192="","",IFERROR(VLOOKUP(A192,DB_Customers!$A:$D,4,0),"❌ Account Not Found"))</f>
        <v/>
      </c>
      <c r="C192" s="86" t="str">
        <f>IF(A192="","",IFERROR(VLOOKUP(A192,DB_Customers!$A:$N,14,0),"❌ Acct Not Found"))</f>
        <v/>
      </c>
      <c r="D192" s="87" t="str">
        <f t="shared" ca="1" si="15"/>
        <v/>
      </c>
      <c r="E192" s="94"/>
      <c r="F192" s="41"/>
      <c r="G192" s="96" t="str">
        <f t="shared" si="16"/>
        <v/>
      </c>
      <c r="H192" s="43" t="s">
        <v>134</v>
      </c>
      <c r="I192" s="81"/>
      <c r="J192" s="89" t="str">
        <f>IF(AND(A192&lt;&gt;"",E192&lt;&gt;""),IF(I192="","⚠️ Enter Code",IF(IFERROR(VLOOKUP(H192,DB_Agents!$B:$I,8,0),"")=I192,IF(C192&gt;=E192,"Successful","Unsuccessful"),"🔒 BLOCKED — Wrong Code")),"Pending")</f>
        <v>Pending</v>
      </c>
      <c r="K192" s="90" t="str">
        <f t="shared" ca="1" si="17"/>
        <v>—</v>
      </c>
      <c r="L192" s="91"/>
    </row>
    <row r="193" spans="1:12" ht="15" customHeight="1" x14ac:dyDescent="0.25">
      <c r="A193" s="76"/>
      <c r="B193" s="37" t="str">
        <f>IF(A193="","",IFERROR(VLOOKUP(A193,DB_Customers!$A:$D,4,0),"❌ Account Not Found"))</f>
        <v/>
      </c>
      <c r="C193" s="77" t="str">
        <f>IF(A193="","",IFERROR(VLOOKUP(A193,DB_Customers!$A:$N,14,0),"❌ Acct Not Found"))</f>
        <v/>
      </c>
      <c r="D193" s="78" t="str">
        <f t="shared" ca="1" si="15"/>
        <v/>
      </c>
      <c r="E193" s="94"/>
      <c r="F193" s="37"/>
      <c r="G193" s="95" t="str">
        <f t="shared" si="16"/>
        <v/>
      </c>
      <c r="H193" s="39" t="s">
        <v>134</v>
      </c>
      <c r="I193" s="81"/>
      <c r="J193" s="82" t="str">
        <f>IF(AND(A193&lt;&gt;"",E193&lt;&gt;""),IF(I193="","⚠️ Enter Code",IF(IFERROR(VLOOKUP(H193,DB_Agents!$B:$I,8,0),"")=I193,IF(C193&gt;=E193,"Successful","Unsuccessful"),"🔒 BLOCKED — Wrong Code")),"Pending")</f>
        <v>Pending</v>
      </c>
      <c r="K193" s="83" t="str">
        <f t="shared" ca="1" si="17"/>
        <v>—</v>
      </c>
      <c r="L193" s="84"/>
    </row>
    <row r="194" spans="1:12" ht="15" customHeight="1" x14ac:dyDescent="0.25">
      <c r="A194" s="85"/>
      <c r="B194" s="41" t="str">
        <f>IF(A194="","",IFERROR(VLOOKUP(A194,DB_Customers!$A:$D,4,0),"❌ Account Not Found"))</f>
        <v/>
      </c>
      <c r="C194" s="86" t="str">
        <f>IF(A194="","",IFERROR(VLOOKUP(A194,DB_Customers!$A:$N,14,0),"❌ Acct Not Found"))</f>
        <v/>
      </c>
      <c r="D194" s="87" t="str">
        <f t="shared" ca="1" si="15"/>
        <v/>
      </c>
      <c r="E194" s="94"/>
      <c r="F194" s="41"/>
      <c r="G194" s="96" t="str">
        <f t="shared" si="16"/>
        <v/>
      </c>
      <c r="H194" s="43" t="s">
        <v>134</v>
      </c>
      <c r="I194" s="81"/>
      <c r="J194" s="89" t="str">
        <f>IF(AND(A194&lt;&gt;"",E194&lt;&gt;""),IF(I194="","⚠️ Enter Code",IF(IFERROR(VLOOKUP(H194,DB_Agents!$B:$I,8,0),"")=I194,IF(C194&gt;=E194,"Successful","Unsuccessful"),"🔒 BLOCKED — Wrong Code")),"Pending")</f>
        <v>Pending</v>
      </c>
      <c r="K194" s="90" t="str">
        <f t="shared" ca="1" si="17"/>
        <v>—</v>
      </c>
      <c r="L194" s="91"/>
    </row>
    <row r="195" spans="1:12" ht="15" customHeight="1" x14ac:dyDescent="0.25">
      <c r="A195" s="76"/>
      <c r="B195" s="37" t="str">
        <f>IF(A195="","",IFERROR(VLOOKUP(A195,DB_Customers!$A:$D,4,0),"❌ Account Not Found"))</f>
        <v/>
      </c>
      <c r="C195" s="77" t="str">
        <f>IF(A195="","",IFERROR(VLOOKUP(A195,DB_Customers!$A:$N,14,0),"❌ Acct Not Found"))</f>
        <v/>
      </c>
      <c r="D195" s="78" t="str">
        <f t="shared" ca="1" si="15"/>
        <v/>
      </c>
      <c r="E195" s="94"/>
      <c r="F195" s="37"/>
      <c r="G195" s="95" t="str">
        <f t="shared" si="16"/>
        <v/>
      </c>
      <c r="H195" s="39" t="s">
        <v>134</v>
      </c>
      <c r="I195" s="81"/>
      <c r="J195" s="82" t="str">
        <f>IF(AND(A195&lt;&gt;"",E195&lt;&gt;""),IF(I195="","⚠️ Enter Code",IF(IFERROR(VLOOKUP(H195,DB_Agents!$B:$I,8,0),"")=I195,IF(C195&gt;=E195,"Successful","Unsuccessful"),"🔒 BLOCKED — Wrong Code")),"Pending")</f>
        <v>Pending</v>
      </c>
      <c r="K195" s="83" t="str">
        <f t="shared" ca="1" si="17"/>
        <v>—</v>
      </c>
      <c r="L195" s="84"/>
    </row>
    <row r="196" spans="1:12" ht="15" customHeight="1" x14ac:dyDescent="0.25">
      <c r="A196" s="85"/>
      <c r="B196" s="41" t="str">
        <f>IF(A196="","",IFERROR(VLOOKUP(A196,DB_Customers!$A:$D,4,0),"❌ Account Not Found"))</f>
        <v/>
      </c>
      <c r="C196" s="86" t="str">
        <f>IF(A196="","",IFERROR(VLOOKUP(A196,DB_Customers!$A:$N,14,0),"❌ Acct Not Found"))</f>
        <v/>
      </c>
      <c r="D196" s="87" t="str">
        <f t="shared" ca="1" si="15"/>
        <v/>
      </c>
      <c r="E196" s="94"/>
      <c r="F196" s="41"/>
      <c r="G196" s="96" t="str">
        <f t="shared" si="16"/>
        <v/>
      </c>
      <c r="H196" s="43" t="s">
        <v>134</v>
      </c>
      <c r="I196" s="81"/>
      <c r="J196" s="89" t="str">
        <f>IF(AND(A196&lt;&gt;"",E196&lt;&gt;""),IF(I196="","⚠️ Enter Code",IF(IFERROR(VLOOKUP(H196,DB_Agents!$B:$I,8,0),"")=I196,IF(C196&gt;=E196,"Successful","Unsuccessful"),"🔒 BLOCKED — Wrong Code")),"Pending")</f>
        <v>Pending</v>
      </c>
      <c r="K196" s="90" t="str">
        <f t="shared" ca="1" si="17"/>
        <v>—</v>
      </c>
      <c r="L196" s="91"/>
    </row>
    <row r="197" spans="1:12" ht="15" customHeight="1" x14ac:dyDescent="0.25">
      <c r="A197" s="76"/>
      <c r="B197" s="37" t="str">
        <f>IF(A197="","",IFERROR(VLOOKUP(A197,DB_Customers!$A:$D,4,0),"❌ Account Not Found"))</f>
        <v/>
      </c>
      <c r="C197" s="77" t="str">
        <f>IF(A197="","",IFERROR(VLOOKUP(A197,DB_Customers!$A:$N,14,0),"❌ Acct Not Found"))</f>
        <v/>
      </c>
      <c r="D197" s="78" t="str">
        <f t="shared" ca="1" si="15"/>
        <v/>
      </c>
      <c r="E197" s="94"/>
      <c r="F197" s="37"/>
      <c r="G197" s="95" t="str">
        <f t="shared" si="16"/>
        <v/>
      </c>
      <c r="H197" s="39" t="s">
        <v>134</v>
      </c>
      <c r="I197" s="81"/>
      <c r="J197" s="82" t="str">
        <f>IF(AND(A197&lt;&gt;"",E197&lt;&gt;""),IF(I197="","⚠️ Enter Code",IF(IFERROR(VLOOKUP(H197,DB_Agents!$B:$I,8,0),"")=I197,IF(C197&gt;=E197,"Successful","Unsuccessful"),"🔒 BLOCKED — Wrong Code")),"Pending")</f>
        <v>Pending</v>
      </c>
      <c r="K197" s="83" t="str">
        <f t="shared" ca="1" si="17"/>
        <v>—</v>
      </c>
      <c r="L197" s="84"/>
    </row>
    <row r="198" spans="1:12" ht="15" customHeight="1" x14ac:dyDescent="0.25">
      <c r="A198" s="85"/>
      <c r="B198" s="41" t="str">
        <f>IF(A198="","",IFERROR(VLOOKUP(A198,DB_Customers!$A:$D,4,0),"❌ Account Not Found"))</f>
        <v/>
      </c>
      <c r="C198" s="86" t="str">
        <f>IF(A198="","",IFERROR(VLOOKUP(A198,DB_Customers!$A:$N,14,0),"❌ Acct Not Found"))</f>
        <v/>
      </c>
      <c r="D198" s="87" t="str">
        <f t="shared" ca="1" si="15"/>
        <v/>
      </c>
      <c r="E198" s="94"/>
      <c r="F198" s="41"/>
      <c r="G198" s="96" t="str">
        <f t="shared" si="16"/>
        <v/>
      </c>
      <c r="H198" s="43" t="s">
        <v>134</v>
      </c>
      <c r="I198" s="81"/>
      <c r="J198" s="89" t="str">
        <f>IF(AND(A198&lt;&gt;"",E198&lt;&gt;""),IF(I198="","⚠️ Enter Code",IF(IFERROR(VLOOKUP(H198,DB_Agents!$B:$I,8,0),"")=I198,IF(C198&gt;=E198,"Successful","Unsuccessful"),"🔒 BLOCKED — Wrong Code")),"Pending")</f>
        <v>Pending</v>
      </c>
      <c r="K198" s="90" t="str">
        <f t="shared" ca="1" si="17"/>
        <v>—</v>
      </c>
      <c r="L198" s="91"/>
    </row>
    <row r="199" spans="1:12" ht="15" customHeight="1" x14ac:dyDescent="0.25">
      <c r="A199" s="76"/>
      <c r="B199" s="37" t="str">
        <f>IF(A199="","",IFERROR(VLOOKUP(A199,DB_Customers!$A:$D,4,0),"❌ Account Not Found"))</f>
        <v/>
      </c>
      <c r="C199" s="77" t="str">
        <f>IF(A199="","",IFERROR(VLOOKUP(A199,DB_Customers!$A:$N,14,0),"❌ Acct Not Found"))</f>
        <v/>
      </c>
      <c r="D199" s="78" t="str">
        <f t="shared" ca="1" si="15"/>
        <v/>
      </c>
      <c r="E199" s="94"/>
      <c r="F199" s="37"/>
      <c r="G199" s="95" t="str">
        <f t="shared" si="16"/>
        <v/>
      </c>
      <c r="H199" s="39" t="s">
        <v>134</v>
      </c>
      <c r="I199" s="81"/>
      <c r="J199" s="82" t="str">
        <f>IF(AND(A199&lt;&gt;"",E199&lt;&gt;""),IF(I199="","⚠️ Enter Code",IF(IFERROR(VLOOKUP(H199,DB_Agents!$B:$I,8,0),"")=I199,IF(C199&gt;=E199,"Successful","Unsuccessful"),"🔒 BLOCKED — Wrong Code")),"Pending")</f>
        <v>Pending</v>
      </c>
      <c r="K199" s="83" t="str">
        <f t="shared" ca="1" si="17"/>
        <v>—</v>
      </c>
      <c r="L199" s="84"/>
    </row>
    <row r="200" spans="1:12" ht="15" customHeight="1" x14ac:dyDescent="0.25">
      <c r="A200" s="85"/>
      <c r="B200" s="41" t="str">
        <f>IF(A200="","",IFERROR(VLOOKUP(A200,DB_Customers!$A:$D,4,0),"❌ Account Not Found"))</f>
        <v/>
      </c>
      <c r="C200" s="86" t="str">
        <f>IF(A200="","",IFERROR(VLOOKUP(A200,DB_Customers!$A:$N,14,0),"❌ Acct Not Found"))</f>
        <v/>
      </c>
      <c r="D200" s="87" t="str">
        <f t="shared" ca="1" si="15"/>
        <v/>
      </c>
      <c r="E200" s="94"/>
      <c r="F200" s="41"/>
      <c r="G200" s="96" t="str">
        <f t="shared" si="16"/>
        <v/>
      </c>
      <c r="H200" s="43" t="s">
        <v>134</v>
      </c>
      <c r="I200" s="81"/>
      <c r="J200" s="89" t="str">
        <f>IF(AND(A200&lt;&gt;"",E200&lt;&gt;""),IF(I200="","⚠️ Enter Code",IF(IFERROR(VLOOKUP(H200,DB_Agents!$B:$I,8,0),"")=I200,IF(C200&gt;=E200,"Successful","Unsuccessful"),"🔒 BLOCKED — Wrong Code")),"Pending")</f>
        <v>Pending</v>
      </c>
      <c r="K200" s="90" t="str">
        <f t="shared" ca="1" si="17"/>
        <v>—</v>
      </c>
      <c r="L200" s="91"/>
    </row>
    <row r="201" spans="1:12" ht="15" customHeight="1" x14ac:dyDescent="0.25">
      <c r="A201" s="76"/>
      <c r="B201" s="37" t="str">
        <f>IF(A201="","",IFERROR(VLOOKUP(A201,DB_Customers!$A:$D,4,0),"❌ Account Not Found"))</f>
        <v/>
      </c>
      <c r="C201" s="77" t="str">
        <f>IF(A201="","",IFERROR(VLOOKUP(A201,DB_Customers!$A:$N,14,0),"❌ Acct Not Found"))</f>
        <v/>
      </c>
      <c r="D201" s="78" t="str">
        <f t="shared" ref="D201:D208" ca="1" si="18">IF(A201="","",TODAY())</f>
        <v/>
      </c>
      <c r="E201" s="94"/>
      <c r="F201" s="37"/>
      <c r="G201" s="95" t="str">
        <f t="shared" ref="G201:G208" si="19">IF(OR(A201="",E201=""),"",IF(C201="","",C201-E201))</f>
        <v/>
      </c>
      <c r="H201" s="39" t="s">
        <v>134</v>
      </c>
      <c r="I201" s="81"/>
      <c r="J201" s="82" t="str">
        <f>IF(AND(A201&lt;&gt;"",E201&lt;&gt;""),IF(I201="","⚠️ Enter Code",IF(IFERROR(VLOOKUP(H201,DB_Agents!$B:$I,8,0),"")=I201,IF(C201&gt;=E201,"Successful","Unsuccessful"),"🔒 BLOCKED — Wrong Code")),"Pending")</f>
        <v>Pending</v>
      </c>
      <c r="K201" s="83" t="str">
        <f t="shared" ref="K201:K208" ca="1" si="20">IF(J201="Successful",TEXT(TODAY(),"YYYY-MM-DD")&amp;" Auto","—")</f>
        <v>—</v>
      </c>
      <c r="L201" s="84"/>
    </row>
    <row r="202" spans="1:12" ht="15" customHeight="1" x14ac:dyDescent="0.25">
      <c r="A202" s="85"/>
      <c r="B202" s="41" t="str">
        <f>IF(A202="","",IFERROR(VLOOKUP(A202,DB_Customers!$A:$D,4,0),"❌ Account Not Found"))</f>
        <v/>
      </c>
      <c r="C202" s="86" t="str">
        <f>IF(A202="","",IFERROR(VLOOKUP(A202,DB_Customers!$A:$N,14,0),"❌ Acct Not Found"))</f>
        <v/>
      </c>
      <c r="D202" s="87" t="str">
        <f t="shared" ca="1" si="18"/>
        <v/>
      </c>
      <c r="E202" s="94"/>
      <c r="F202" s="41"/>
      <c r="G202" s="96" t="str">
        <f t="shared" si="19"/>
        <v/>
      </c>
      <c r="H202" s="43" t="s">
        <v>134</v>
      </c>
      <c r="I202" s="81"/>
      <c r="J202" s="89" t="str">
        <f>IF(AND(A202&lt;&gt;"",E202&lt;&gt;""),IF(I202="","⚠️ Enter Code",IF(IFERROR(VLOOKUP(H202,DB_Agents!$B:$I,8,0),"")=I202,IF(C202&gt;=E202,"Successful","Unsuccessful"),"🔒 BLOCKED — Wrong Code")),"Pending")</f>
        <v>Pending</v>
      </c>
      <c r="K202" s="90" t="str">
        <f t="shared" ca="1" si="20"/>
        <v>—</v>
      </c>
      <c r="L202" s="91"/>
    </row>
    <row r="203" spans="1:12" ht="15" customHeight="1" x14ac:dyDescent="0.25">
      <c r="A203" s="76"/>
      <c r="B203" s="37" t="str">
        <f>IF(A203="","",IFERROR(VLOOKUP(A203,DB_Customers!$A:$D,4,0),"❌ Account Not Found"))</f>
        <v/>
      </c>
      <c r="C203" s="77" t="str">
        <f>IF(A203="","",IFERROR(VLOOKUP(A203,DB_Customers!$A:$N,14,0),"❌ Acct Not Found"))</f>
        <v/>
      </c>
      <c r="D203" s="78" t="str">
        <f t="shared" ca="1" si="18"/>
        <v/>
      </c>
      <c r="E203" s="94"/>
      <c r="F203" s="37"/>
      <c r="G203" s="95" t="str">
        <f t="shared" si="19"/>
        <v/>
      </c>
      <c r="H203" s="39" t="s">
        <v>134</v>
      </c>
      <c r="I203" s="81"/>
      <c r="J203" s="82" t="str">
        <f>IF(AND(A203&lt;&gt;"",E203&lt;&gt;""),IF(I203="","⚠️ Enter Code",IF(IFERROR(VLOOKUP(H203,DB_Agents!$B:$I,8,0),"")=I203,IF(C203&gt;=E203,"Successful","Unsuccessful"),"🔒 BLOCKED — Wrong Code")),"Pending")</f>
        <v>Pending</v>
      </c>
      <c r="K203" s="83" t="str">
        <f t="shared" ca="1" si="20"/>
        <v>—</v>
      </c>
      <c r="L203" s="84"/>
    </row>
    <row r="204" spans="1:12" ht="15" customHeight="1" x14ac:dyDescent="0.25">
      <c r="A204" s="85"/>
      <c r="B204" s="41" t="str">
        <f>IF(A204="","",IFERROR(VLOOKUP(A204,DB_Customers!$A:$D,4,0),"❌ Account Not Found"))</f>
        <v/>
      </c>
      <c r="C204" s="86" t="str">
        <f>IF(A204="","",IFERROR(VLOOKUP(A204,DB_Customers!$A:$N,14,0),"❌ Acct Not Found"))</f>
        <v/>
      </c>
      <c r="D204" s="87" t="str">
        <f t="shared" ca="1" si="18"/>
        <v/>
      </c>
      <c r="E204" s="94"/>
      <c r="F204" s="41"/>
      <c r="G204" s="96" t="str">
        <f t="shared" si="19"/>
        <v/>
      </c>
      <c r="H204" s="43" t="s">
        <v>134</v>
      </c>
      <c r="I204" s="81"/>
      <c r="J204" s="89" t="str">
        <f>IF(AND(A204&lt;&gt;"",E204&lt;&gt;""),IF(I204="","⚠️ Enter Code",IF(IFERROR(VLOOKUP(H204,DB_Agents!$B:$I,8,0),"")=I204,IF(C204&gt;=E204,"Successful","Unsuccessful"),"🔒 BLOCKED — Wrong Code")),"Pending")</f>
        <v>Pending</v>
      </c>
      <c r="K204" s="90" t="str">
        <f t="shared" ca="1" si="20"/>
        <v>—</v>
      </c>
      <c r="L204" s="91"/>
    </row>
    <row r="205" spans="1:12" ht="15" customHeight="1" x14ac:dyDescent="0.25">
      <c r="A205" s="76"/>
      <c r="B205" s="37" t="str">
        <f>IF(A205="","",IFERROR(VLOOKUP(A205,DB_Customers!$A:$D,4,0),"❌ Account Not Found"))</f>
        <v/>
      </c>
      <c r="C205" s="77" t="str">
        <f>IF(A205="","",IFERROR(VLOOKUP(A205,DB_Customers!$A:$N,14,0),"❌ Acct Not Found"))</f>
        <v/>
      </c>
      <c r="D205" s="78" t="str">
        <f t="shared" ca="1" si="18"/>
        <v/>
      </c>
      <c r="E205" s="94"/>
      <c r="F205" s="37"/>
      <c r="G205" s="95" t="str">
        <f t="shared" si="19"/>
        <v/>
      </c>
      <c r="H205" s="39" t="s">
        <v>134</v>
      </c>
      <c r="I205" s="81"/>
      <c r="J205" s="82" t="str">
        <f>IF(AND(A205&lt;&gt;"",E205&lt;&gt;""),IF(I205="","⚠️ Enter Code",IF(IFERROR(VLOOKUP(H205,DB_Agents!$B:$I,8,0),"")=I205,IF(C205&gt;=E205,"Successful","Unsuccessful"),"🔒 BLOCKED — Wrong Code")),"Pending")</f>
        <v>Pending</v>
      </c>
      <c r="K205" s="83" t="str">
        <f t="shared" ca="1" si="20"/>
        <v>—</v>
      </c>
      <c r="L205" s="84"/>
    </row>
    <row r="206" spans="1:12" ht="15" customHeight="1" x14ac:dyDescent="0.25">
      <c r="A206" s="85"/>
      <c r="B206" s="41" t="str">
        <f>IF(A206="","",IFERROR(VLOOKUP(A206,DB_Customers!$A:$D,4,0),"❌ Account Not Found"))</f>
        <v/>
      </c>
      <c r="C206" s="86" t="str">
        <f>IF(A206="","",IFERROR(VLOOKUP(A206,DB_Customers!$A:$N,14,0),"❌ Acct Not Found"))</f>
        <v/>
      </c>
      <c r="D206" s="87" t="str">
        <f t="shared" ca="1" si="18"/>
        <v/>
      </c>
      <c r="E206" s="94"/>
      <c r="F206" s="41"/>
      <c r="G206" s="96" t="str">
        <f t="shared" si="19"/>
        <v/>
      </c>
      <c r="H206" s="43" t="s">
        <v>134</v>
      </c>
      <c r="I206" s="81"/>
      <c r="J206" s="89" t="str">
        <f>IF(AND(A206&lt;&gt;"",E206&lt;&gt;""),IF(I206="","⚠️ Enter Code",IF(IFERROR(VLOOKUP(H206,DB_Agents!$B:$I,8,0),"")=I206,IF(C206&gt;=E206,"Successful","Unsuccessful"),"🔒 BLOCKED — Wrong Code")),"Pending")</f>
        <v>Pending</v>
      </c>
      <c r="K206" s="90" t="str">
        <f t="shared" ca="1" si="20"/>
        <v>—</v>
      </c>
      <c r="L206" s="91"/>
    </row>
    <row r="207" spans="1:12" ht="15" customHeight="1" x14ac:dyDescent="0.25">
      <c r="A207" s="76"/>
      <c r="B207" s="37" t="str">
        <f>IF(A207="","",IFERROR(VLOOKUP(A207,DB_Customers!$A:$D,4,0),"❌ Account Not Found"))</f>
        <v/>
      </c>
      <c r="C207" s="77" t="str">
        <f>IF(A207="","",IFERROR(VLOOKUP(A207,DB_Customers!$A:$N,14,0),"❌ Acct Not Found"))</f>
        <v/>
      </c>
      <c r="D207" s="78" t="str">
        <f t="shared" ca="1" si="18"/>
        <v/>
      </c>
      <c r="E207" s="94"/>
      <c r="F207" s="37"/>
      <c r="G207" s="95" t="str">
        <f t="shared" si="19"/>
        <v/>
      </c>
      <c r="H207" s="39" t="s">
        <v>134</v>
      </c>
      <c r="I207" s="81"/>
      <c r="J207" s="82" t="str">
        <f>IF(AND(A207&lt;&gt;"",E207&lt;&gt;""),IF(I207="","⚠️ Enter Code",IF(IFERROR(VLOOKUP(H207,DB_Agents!$B:$I,8,0),"")=I207,IF(C207&gt;=E207,"Successful","Unsuccessful"),"🔒 BLOCKED — Wrong Code")),"Pending")</f>
        <v>Pending</v>
      </c>
      <c r="K207" s="83" t="str">
        <f t="shared" ca="1" si="20"/>
        <v>—</v>
      </c>
      <c r="L207" s="84"/>
    </row>
    <row r="208" spans="1:12" ht="15" customHeight="1" x14ac:dyDescent="0.25">
      <c r="A208" s="85"/>
      <c r="B208" s="41" t="str">
        <f>IF(A208="","",IFERROR(VLOOKUP(A208,DB_Customers!$A:$D,4,0),"❌ Account Not Found"))</f>
        <v/>
      </c>
      <c r="C208" s="86" t="str">
        <f>IF(A208="","",IFERROR(VLOOKUP(A208,DB_Customers!$A:$N,14,0),"❌ Acct Not Found"))</f>
        <v/>
      </c>
      <c r="D208" s="87" t="str">
        <f t="shared" ca="1" si="18"/>
        <v/>
      </c>
      <c r="E208" s="94"/>
      <c r="F208" s="41"/>
      <c r="G208" s="96" t="str">
        <f t="shared" si="19"/>
        <v/>
      </c>
      <c r="H208" s="43" t="s">
        <v>134</v>
      </c>
      <c r="I208" s="81"/>
      <c r="J208" s="89" t="str">
        <f>IF(AND(A208&lt;&gt;"",E208&lt;&gt;""),IF(I208="","⚠️ Enter Code",IF(IFERROR(VLOOKUP(H208,DB_Agents!$B:$I,8,0),"")=I208,IF(C208&gt;=E208,"Successful","Unsuccessful"),"🔒 BLOCKED — Wrong Code")),"Pending")</f>
        <v>Pending</v>
      </c>
      <c r="K208" s="90" t="str">
        <f t="shared" ca="1" si="20"/>
        <v>—</v>
      </c>
      <c r="L208" s="91"/>
    </row>
  </sheetData>
  <mergeCells count="8">
    <mergeCell ref="A7:M7"/>
    <mergeCell ref="A4:C4"/>
    <mergeCell ref="A2:M2"/>
    <mergeCell ref="A1:M1"/>
    <mergeCell ref="A5:M5"/>
    <mergeCell ref="D4:F4"/>
    <mergeCell ref="D3:F3"/>
    <mergeCell ref="A3:C3"/>
  </mergeCells>
  <conditionalFormatting sqref="I9:I208">
    <cfRule type="cellIs" dxfId="89" priority="2" operator="equal">
      <formula>"Successful"</formula>
    </cfRule>
    <cfRule type="cellIs" dxfId="88" priority="3" operator="equal">
      <formula>"Unsuccessful"</formula>
    </cfRule>
  </conditionalFormatting>
  <conditionalFormatting sqref="A9:K208">
    <cfRule type="expression" dxfId="87" priority="4">
      <formula>$I9="Unsuccessful"</formula>
    </cfRule>
  </conditionalFormatting>
  <conditionalFormatting sqref="G9:G208">
    <cfRule type="cellIs" dxfId="86" priority="5" operator="lessThan">
      <formula>0</formula>
    </cfRule>
  </conditionalFormatting>
  <dataValidations count="1">
    <dataValidation type="list" sqref="H9:H208" xr:uid="{00000000-0002-0000-0D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5" width="13" customWidth="1"/>
    <col min="6" max="6" width="20" customWidth="1"/>
    <col min="7" max="7" width="9" customWidth="1"/>
    <col min="8" max="8" width="8" customWidth="1"/>
    <col min="9" max="10" width="14" customWidth="1"/>
    <col min="11" max="11" width="18" customWidth="1"/>
    <col min="12" max="12" width="10" customWidth="1"/>
    <col min="13" max="13" width="12" customWidth="1"/>
    <col min="14" max="14" width="18" customWidth="1"/>
  </cols>
  <sheetData>
    <row r="1" spans="1:14" ht="31.5" customHeight="1" x14ac:dyDescent="0.25">
      <c r="A1" s="226" t="s">
        <v>347</v>
      </c>
    </row>
    <row r="2" spans="1:14" ht="19.5" customHeight="1" x14ac:dyDescent="0.25">
      <c r="A2" s="201" t="s">
        <v>2</v>
      </c>
    </row>
    <row r="4" spans="1:14" ht="21.75" customHeight="1" x14ac:dyDescent="0.25">
      <c r="A4" s="97" t="s">
        <v>333</v>
      </c>
    </row>
    <row r="5" spans="1:14" ht="19.5" customHeight="1" x14ac:dyDescent="0.25">
      <c r="A5" s="227" t="s">
        <v>334</v>
      </c>
      <c r="B5" s="202"/>
    </row>
    <row r="6" spans="1:14" ht="19.5" customHeight="1" x14ac:dyDescent="0.25">
      <c r="A6" s="227" t="s">
        <v>335</v>
      </c>
      <c r="B6" s="202"/>
    </row>
    <row r="7" spans="1:14" ht="19.5" customHeight="1" x14ac:dyDescent="0.25">
      <c r="A7" s="227" t="s">
        <v>336</v>
      </c>
      <c r="B7" s="228">
        <v>2.5</v>
      </c>
    </row>
    <row r="8" spans="1:14" ht="19.5" customHeight="1" x14ac:dyDescent="0.25">
      <c r="A8" s="99" t="s">
        <v>337</v>
      </c>
      <c r="B8" s="203" t="str">
        <f>IF(B5="","",B5*B7/100*B6)</f>
        <v/>
      </c>
    </row>
    <row r="9" spans="1:14" ht="19.5" customHeight="1" x14ac:dyDescent="0.25">
      <c r="A9" s="99" t="s">
        <v>338</v>
      </c>
      <c r="B9" s="204" t="str">
        <f>IF(B5="","",B5+(B5*B7/100*B6))</f>
        <v/>
      </c>
    </row>
    <row r="10" spans="1:14" ht="19.5" customHeight="1" x14ac:dyDescent="0.25">
      <c r="A10" s="99" t="s">
        <v>339</v>
      </c>
      <c r="B10" s="204" t="str">
        <f>IFERROR(B9/B6,"")</f>
        <v/>
      </c>
    </row>
    <row r="11" spans="1:14" ht="7.5" customHeight="1" x14ac:dyDescent="0.25"/>
    <row r="12" spans="1:14" ht="21.75" customHeight="1" x14ac:dyDescent="0.25">
      <c r="A12" s="205"/>
    </row>
    <row r="13" spans="1:14" ht="27.95" customHeight="1" x14ac:dyDescent="0.25">
      <c r="A13" s="212" t="s">
        <v>82</v>
      </c>
      <c r="B13" s="212" t="s">
        <v>315</v>
      </c>
      <c r="C13" s="212" t="s">
        <v>77</v>
      </c>
      <c r="D13" s="212" t="s">
        <v>84</v>
      </c>
      <c r="E13" s="212" t="s">
        <v>340</v>
      </c>
      <c r="F13" s="212" t="s">
        <v>8</v>
      </c>
      <c r="G13" s="212" t="s">
        <v>9</v>
      </c>
      <c r="H13" s="212" t="s">
        <v>86</v>
      </c>
      <c r="I13" s="212" t="s">
        <v>341</v>
      </c>
      <c r="J13" s="212" t="s">
        <v>342</v>
      </c>
      <c r="K13" s="212" t="s">
        <v>13</v>
      </c>
      <c r="L13" s="212" t="s">
        <v>14</v>
      </c>
      <c r="M13" s="212" t="s">
        <v>319</v>
      </c>
      <c r="N13" s="212" t="s">
        <v>15</v>
      </c>
    </row>
    <row r="14" spans="1:14" ht="18" customHeight="1" x14ac:dyDescent="0.25">
      <c r="A14" s="229" t="str">
        <f t="shared" ref="A14:A45" si="0">IF(B14="","",IF(C14="❌ Account Not Found","INVALID","LN"&amp;TEXT(D14,"YYYYMMDD")&amp;TEXT(ROW()-13,"0000")))</f>
        <v/>
      </c>
      <c r="B14" s="230"/>
      <c r="C14" s="231" t="str">
        <f>IF(B14="","",IFERROR(VLOOKUP(B14,DB_Customers!$A:$D,4,0),"❌ Account Not Found"))</f>
        <v/>
      </c>
      <c r="D14" s="232" t="str">
        <f t="shared" ref="D14:D45" ca="1" si="1">IF(B14="","",TODAY())</f>
        <v/>
      </c>
      <c r="E14" s="233"/>
      <c r="F14" s="231"/>
      <c r="G14" s="234"/>
      <c r="H14" s="235">
        <v>2.5</v>
      </c>
      <c r="I14" s="236" t="str">
        <f t="shared" ref="I14:I45" si="2">IF(E14="","",E14+(E14*H14/100*G14))</f>
        <v/>
      </c>
      <c r="J14" s="237" t="str">
        <f t="shared" ref="J14:J45" si="3">IFERROR(I14/G14,"")</f>
        <v/>
      </c>
      <c r="K14" s="238" t="str">
        <f>IF(B14="","Pending",IF(M14="","⚠️ Enter Code",IF(IFERROR(VLOOKUP(L14,DB_Agents!$B:$I,8,0),"")=M14,"Pending","🔒 BLOCKED — Wrong Code")))</f>
        <v>Pending</v>
      </c>
      <c r="L14" s="239" t="s">
        <v>134</v>
      </c>
      <c r="M14" s="240"/>
      <c r="N14" s="230"/>
    </row>
    <row r="15" spans="1:14" ht="18" customHeight="1" x14ac:dyDescent="0.25">
      <c r="A15" s="241" t="str">
        <f t="shared" si="0"/>
        <v/>
      </c>
      <c r="B15" s="242"/>
      <c r="C15" s="243" t="str">
        <f>IF(B15="","",IFERROR(VLOOKUP(B15,DB_Customers!$A:$D,4,0),"❌ Account Not Found"))</f>
        <v/>
      </c>
      <c r="D15" s="244" t="str">
        <f t="shared" ca="1" si="1"/>
        <v/>
      </c>
      <c r="E15" s="245"/>
      <c r="F15" s="243"/>
      <c r="G15" s="246"/>
      <c r="H15" s="247">
        <v>2.5</v>
      </c>
      <c r="I15" s="248" t="str">
        <f t="shared" si="2"/>
        <v/>
      </c>
      <c r="J15" s="249" t="str">
        <f t="shared" si="3"/>
        <v/>
      </c>
      <c r="K15" s="250" t="str">
        <f>IF(B15="","Pending",IF(M15="","⚠️ Enter Code",IF(IFERROR(VLOOKUP(L15,DB_Agents!$B:$I,8,0),"")=M15,"Pending","🔒 BLOCKED — Wrong Code")))</f>
        <v>Pending</v>
      </c>
      <c r="L15" s="251" t="s">
        <v>134</v>
      </c>
      <c r="M15" s="252"/>
      <c r="N15" s="242"/>
    </row>
    <row r="16" spans="1:14" ht="18" customHeight="1" x14ac:dyDescent="0.25">
      <c r="A16" s="229" t="str">
        <f t="shared" si="0"/>
        <v/>
      </c>
      <c r="B16" s="230"/>
      <c r="C16" s="231" t="str">
        <f>IF(B16="","",IFERROR(VLOOKUP(B16,DB_Customers!$A:$D,4,0),"❌ Account Not Found"))</f>
        <v/>
      </c>
      <c r="D16" s="232" t="str">
        <f t="shared" ca="1" si="1"/>
        <v/>
      </c>
      <c r="E16" s="233"/>
      <c r="F16" s="231"/>
      <c r="G16" s="234"/>
      <c r="H16" s="235">
        <v>2.5</v>
      </c>
      <c r="I16" s="236" t="str">
        <f t="shared" si="2"/>
        <v/>
      </c>
      <c r="J16" s="237" t="str">
        <f t="shared" si="3"/>
        <v/>
      </c>
      <c r="K16" s="238" t="str">
        <f>IF(B16="","Pending",IF(M16="","⚠️ Enter Code",IF(IFERROR(VLOOKUP(L16,DB_Agents!$B:$I,8,0),"")=M16,"Pending","🔒 BLOCKED — Wrong Code")))</f>
        <v>Pending</v>
      </c>
      <c r="L16" s="239" t="s">
        <v>134</v>
      </c>
      <c r="M16" s="240"/>
      <c r="N16" s="230"/>
    </row>
    <row r="17" spans="1:14" ht="18" customHeight="1" x14ac:dyDescent="0.25">
      <c r="A17" s="241" t="str">
        <f t="shared" si="0"/>
        <v/>
      </c>
      <c r="B17" s="242"/>
      <c r="C17" s="243" t="str">
        <f>IF(B17="","",IFERROR(VLOOKUP(B17,DB_Customers!$A:$D,4,0),"❌ Account Not Found"))</f>
        <v/>
      </c>
      <c r="D17" s="244" t="str">
        <f t="shared" ca="1" si="1"/>
        <v/>
      </c>
      <c r="E17" s="245"/>
      <c r="F17" s="243"/>
      <c r="G17" s="246"/>
      <c r="H17" s="247">
        <v>2.5</v>
      </c>
      <c r="I17" s="248" t="str">
        <f t="shared" si="2"/>
        <v/>
      </c>
      <c r="J17" s="249" t="str">
        <f t="shared" si="3"/>
        <v/>
      </c>
      <c r="K17" s="250" t="str">
        <f>IF(B17="","Pending",IF(M17="","⚠️ Enter Code",IF(IFERROR(VLOOKUP(L17,DB_Agents!$B:$I,8,0),"")=M17,"Pending","🔒 BLOCKED — Wrong Code")))</f>
        <v>Pending</v>
      </c>
      <c r="L17" s="251" t="s">
        <v>134</v>
      </c>
      <c r="M17" s="252"/>
      <c r="N17" s="242"/>
    </row>
    <row r="18" spans="1:14" ht="18" customHeight="1" x14ac:dyDescent="0.25">
      <c r="A18" s="229" t="str">
        <f t="shared" si="0"/>
        <v/>
      </c>
      <c r="B18" s="230"/>
      <c r="C18" s="231" t="str">
        <f>IF(B18="","",IFERROR(VLOOKUP(B18,DB_Customers!$A:$D,4,0),"❌ Account Not Found"))</f>
        <v/>
      </c>
      <c r="D18" s="232" t="str">
        <f t="shared" ca="1" si="1"/>
        <v/>
      </c>
      <c r="E18" s="233"/>
      <c r="F18" s="231"/>
      <c r="G18" s="234"/>
      <c r="H18" s="235">
        <v>2.5</v>
      </c>
      <c r="I18" s="236" t="str">
        <f t="shared" si="2"/>
        <v/>
      </c>
      <c r="J18" s="237" t="str">
        <f t="shared" si="3"/>
        <v/>
      </c>
      <c r="K18" s="238" t="str">
        <f>IF(B18="","Pending",IF(M18="","⚠️ Enter Code",IF(IFERROR(VLOOKUP(L18,DB_Agents!$B:$I,8,0),"")=M18,"Pending","🔒 BLOCKED — Wrong Code")))</f>
        <v>Pending</v>
      </c>
      <c r="L18" s="239" t="s">
        <v>134</v>
      </c>
      <c r="M18" s="240"/>
      <c r="N18" s="230"/>
    </row>
    <row r="19" spans="1:14" ht="18" customHeight="1" x14ac:dyDescent="0.25">
      <c r="A19" s="241" t="str">
        <f t="shared" si="0"/>
        <v/>
      </c>
      <c r="B19" s="242"/>
      <c r="C19" s="243" t="str">
        <f>IF(B19="","",IFERROR(VLOOKUP(B19,DB_Customers!$A:$D,4,0),"❌ Account Not Found"))</f>
        <v/>
      </c>
      <c r="D19" s="244" t="str">
        <f t="shared" ca="1" si="1"/>
        <v/>
      </c>
      <c r="E19" s="245"/>
      <c r="F19" s="243"/>
      <c r="G19" s="246"/>
      <c r="H19" s="247">
        <v>2.5</v>
      </c>
      <c r="I19" s="248" t="str">
        <f t="shared" si="2"/>
        <v/>
      </c>
      <c r="J19" s="249" t="str">
        <f t="shared" si="3"/>
        <v/>
      </c>
      <c r="K19" s="250" t="str">
        <f>IF(B19="","Pending",IF(M19="","⚠️ Enter Code",IF(IFERROR(VLOOKUP(L19,DB_Agents!$B:$I,8,0),"")=M19,"Pending","🔒 BLOCKED — Wrong Code")))</f>
        <v>Pending</v>
      </c>
      <c r="L19" s="251" t="s">
        <v>134</v>
      </c>
      <c r="M19" s="252"/>
      <c r="N19" s="242"/>
    </row>
    <row r="20" spans="1:14" ht="18" customHeight="1" x14ac:dyDescent="0.25">
      <c r="A20" s="229" t="str">
        <f t="shared" si="0"/>
        <v/>
      </c>
      <c r="B20" s="230"/>
      <c r="C20" s="231" t="str">
        <f>IF(B20="","",IFERROR(VLOOKUP(B20,DB_Customers!$A:$D,4,0),"❌ Account Not Found"))</f>
        <v/>
      </c>
      <c r="D20" s="232" t="str">
        <f t="shared" ca="1" si="1"/>
        <v/>
      </c>
      <c r="E20" s="233"/>
      <c r="F20" s="231"/>
      <c r="G20" s="234"/>
      <c r="H20" s="235">
        <v>2.5</v>
      </c>
      <c r="I20" s="236" t="str">
        <f t="shared" si="2"/>
        <v/>
      </c>
      <c r="J20" s="237" t="str">
        <f t="shared" si="3"/>
        <v/>
      </c>
      <c r="K20" s="238" t="str">
        <f>IF(B20="","Pending",IF(M20="","⚠️ Enter Code",IF(IFERROR(VLOOKUP(L20,DB_Agents!$B:$I,8,0),"")=M20,"Pending","🔒 BLOCKED — Wrong Code")))</f>
        <v>Pending</v>
      </c>
      <c r="L20" s="239" t="s">
        <v>134</v>
      </c>
      <c r="M20" s="240"/>
      <c r="N20" s="230"/>
    </row>
    <row r="21" spans="1:14" ht="18" customHeight="1" x14ac:dyDescent="0.25">
      <c r="A21" s="241" t="str">
        <f t="shared" si="0"/>
        <v/>
      </c>
      <c r="B21" s="242"/>
      <c r="C21" s="243" t="str">
        <f>IF(B21="","",IFERROR(VLOOKUP(B21,DB_Customers!$A:$D,4,0),"❌ Account Not Found"))</f>
        <v/>
      </c>
      <c r="D21" s="244" t="str">
        <f t="shared" ca="1" si="1"/>
        <v/>
      </c>
      <c r="E21" s="245"/>
      <c r="F21" s="243"/>
      <c r="G21" s="246"/>
      <c r="H21" s="247">
        <v>2.5</v>
      </c>
      <c r="I21" s="248" t="str">
        <f t="shared" si="2"/>
        <v/>
      </c>
      <c r="J21" s="249" t="str">
        <f t="shared" si="3"/>
        <v/>
      </c>
      <c r="K21" s="250" t="str">
        <f>IF(B21="","Pending",IF(M21="","⚠️ Enter Code",IF(IFERROR(VLOOKUP(L21,DB_Agents!$B:$I,8,0),"")=M21,"Pending","🔒 BLOCKED — Wrong Code")))</f>
        <v>Pending</v>
      </c>
      <c r="L21" s="251" t="s">
        <v>134</v>
      </c>
      <c r="M21" s="252"/>
      <c r="N21" s="242"/>
    </row>
    <row r="22" spans="1:14" ht="18" customHeight="1" x14ac:dyDescent="0.25">
      <c r="A22" s="229" t="str">
        <f t="shared" si="0"/>
        <v/>
      </c>
      <c r="B22" s="230"/>
      <c r="C22" s="231" t="str">
        <f>IF(B22="","",IFERROR(VLOOKUP(B22,DB_Customers!$A:$D,4,0),"❌ Account Not Found"))</f>
        <v/>
      </c>
      <c r="D22" s="232" t="str">
        <f t="shared" ca="1" si="1"/>
        <v/>
      </c>
      <c r="E22" s="233"/>
      <c r="F22" s="231"/>
      <c r="G22" s="234"/>
      <c r="H22" s="235">
        <v>2.5</v>
      </c>
      <c r="I22" s="236" t="str">
        <f t="shared" si="2"/>
        <v/>
      </c>
      <c r="J22" s="237" t="str">
        <f t="shared" si="3"/>
        <v/>
      </c>
      <c r="K22" s="238" t="str">
        <f>IF(B22="","Pending",IF(M22="","⚠️ Enter Code",IF(IFERROR(VLOOKUP(L22,DB_Agents!$B:$I,8,0),"")=M22,"Pending","🔒 BLOCKED — Wrong Code")))</f>
        <v>Pending</v>
      </c>
      <c r="L22" s="239" t="s">
        <v>134</v>
      </c>
      <c r="M22" s="240"/>
      <c r="N22" s="230"/>
    </row>
    <row r="23" spans="1:14" ht="18" customHeight="1" x14ac:dyDescent="0.25">
      <c r="A23" s="241" t="str">
        <f t="shared" si="0"/>
        <v/>
      </c>
      <c r="B23" s="242"/>
      <c r="C23" s="243" t="str">
        <f>IF(B23="","",IFERROR(VLOOKUP(B23,DB_Customers!$A:$D,4,0),"❌ Account Not Found"))</f>
        <v/>
      </c>
      <c r="D23" s="244" t="str">
        <f t="shared" ca="1" si="1"/>
        <v/>
      </c>
      <c r="E23" s="245"/>
      <c r="F23" s="243"/>
      <c r="G23" s="246"/>
      <c r="H23" s="247">
        <v>2.5</v>
      </c>
      <c r="I23" s="248" t="str">
        <f t="shared" si="2"/>
        <v/>
      </c>
      <c r="J23" s="249" t="str">
        <f t="shared" si="3"/>
        <v/>
      </c>
      <c r="K23" s="250" t="str">
        <f>IF(B23="","Pending",IF(M23="","⚠️ Enter Code",IF(IFERROR(VLOOKUP(L23,DB_Agents!$B:$I,8,0),"")=M23,"Pending","🔒 BLOCKED — Wrong Code")))</f>
        <v>Pending</v>
      </c>
      <c r="L23" s="251" t="s">
        <v>134</v>
      </c>
      <c r="M23" s="252"/>
      <c r="N23" s="242"/>
    </row>
    <row r="24" spans="1:14" ht="18" customHeight="1" x14ac:dyDescent="0.25">
      <c r="A24" s="229" t="str">
        <f t="shared" si="0"/>
        <v/>
      </c>
      <c r="B24" s="230"/>
      <c r="C24" s="231" t="str">
        <f>IF(B24="","",IFERROR(VLOOKUP(B24,DB_Customers!$A:$D,4,0),"❌ Account Not Found"))</f>
        <v/>
      </c>
      <c r="D24" s="232" t="str">
        <f t="shared" ca="1" si="1"/>
        <v/>
      </c>
      <c r="E24" s="233"/>
      <c r="F24" s="231"/>
      <c r="G24" s="234"/>
      <c r="H24" s="235">
        <v>2.5</v>
      </c>
      <c r="I24" s="236" t="str">
        <f t="shared" si="2"/>
        <v/>
      </c>
      <c r="J24" s="237" t="str">
        <f t="shared" si="3"/>
        <v/>
      </c>
      <c r="K24" s="238" t="str">
        <f>IF(B24="","Pending",IF(M24="","⚠️ Enter Code",IF(IFERROR(VLOOKUP(L24,DB_Agents!$B:$I,8,0),"")=M24,"Pending","🔒 BLOCKED — Wrong Code")))</f>
        <v>Pending</v>
      </c>
      <c r="L24" s="239" t="s">
        <v>134</v>
      </c>
      <c r="M24" s="240"/>
      <c r="N24" s="230"/>
    </row>
    <row r="25" spans="1:14" ht="18" customHeight="1" x14ac:dyDescent="0.25">
      <c r="A25" s="241" t="str">
        <f t="shared" si="0"/>
        <v/>
      </c>
      <c r="B25" s="242"/>
      <c r="C25" s="243" t="str">
        <f>IF(B25="","",IFERROR(VLOOKUP(B25,DB_Customers!$A:$D,4,0),"❌ Account Not Found"))</f>
        <v/>
      </c>
      <c r="D25" s="244" t="str">
        <f t="shared" ca="1" si="1"/>
        <v/>
      </c>
      <c r="E25" s="245"/>
      <c r="F25" s="243"/>
      <c r="G25" s="246"/>
      <c r="H25" s="247">
        <v>2.5</v>
      </c>
      <c r="I25" s="248" t="str">
        <f t="shared" si="2"/>
        <v/>
      </c>
      <c r="J25" s="249" t="str">
        <f t="shared" si="3"/>
        <v/>
      </c>
      <c r="K25" s="250" t="str">
        <f>IF(B25="","Pending",IF(M25="","⚠️ Enter Code",IF(IFERROR(VLOOKUP(L25,DB_Agents!$B:$I,8,0),"")=M25,"Pending","🔒 BLOCKED — Wrong Code")))</f>
        <v>Pending</v>
      </c>
      <c r="L25" s="251" t="s">
        <v>134</v>
      </c>
      <c r="M25" s="252"/>
      <c r="N25" s="242"/>
    </row>
    <row r="26" spans="1:14" ht="18" customHeight="1" x14ac:dyDescent="0.25">
      <c r="A26" s="229" t="str">
        <f t="shared" si="0"/>
        <v/>
      </c>
      <c r="B26" s="230"/>
      <c r="C26" s="231" t="str">
        <f>IF(B26="","",IFERROR(VLOOKUP(B26,DB_Customers!$A:$D,4,0),"❌ Account Not Found"))</f>
        <v/>
      </c>
      <c r="D26" s="232" t="str">
        <f t="shared" ca="1" si="1"/>
        <v/>
      </c>
      <c r="E26" s="233"/>
      <c r="F26" s="231"/>
      <c r="G26" s="234"/>
      <c r="H26" s="235">
        <v>2.5</v>
      </c>
      <c r="I26" s="236" t="str">
        <f t="shared" si="2"/>
        <v/>
      </c>
      <c r="J26" s="237" t="str">
        <f t="shared" si="3"/>
        <v/>
      </c>
      <c r="K26" s="238" t="str">
        <f>IF(B26="","Pending",IF(M26="","⚠️ Enter Code",IF(IFERROR(VLOOKUP(L26,DB_Agents!$B:$I,8,0),"")=M26,"Pending","🔒 BLOCKED — Wrong Code")))</f>
        <v>Pending</v>
      </c>
      <c r="L26" s="239" t="s">
        <v>134</v>
      </c>
      <c r="M26" s="240"/>
      <c r="N26" s="230"/>
    </row>
    <row r="27" spans="1:14" ht="18" customHeight="1" x14ac:dyDescent="0.25">
      <c r="A27" s="241" t="str">
        <f t="shared" si="0"/>
        <v/>
      </c>
      <c r="B27" s="242"/>
      <c r="C27" s="243" t="str">
        <f>IF(B27="","",IFERROR(VLOOKUP(B27,DB_Customers!$A:$D,4,0),"❌ Account Not Found"))</f>
        <v/>
      </c>
      <c r="D27" s="244" t="str">
        <f t="shared" ca="1" si="1"/>
        <v/>
      </c>
      <c r="E27" s="245"/>
      <c r="F27" s="243"/>
      <c r="G27" s="246"/>
      <c r="H27" s="247">
        <v>2.5</v>
      </c>
      <c r="I27" s="248" t="str">
        <f t="shared" si="2"/>
        <v/>
      </c>
      <c r="J27" s="249" t="str">
        <f t="shared" si="3"/>
        <v/>
      </c>
      <c r="K27" s="250" t="str">
        <f>IF(B27="","Pending",IF(M27="","⚠️ Enter Code",IF(IFERROR(VLOOKUP(L27,DB_Agents!$B:$I,8,0),"")=M27,"Pending","🔒 BLOCKED — Wrong Code")))</f>
        <v>Pending</v>
      </c>
      <c r="L27" s="251" t="s">
        <v>134</v>
      </c>
      <c r="M27" s="252"/>
      <c r="N27" s="242"/>
    </row>
    <row r="28" spans="1:14" ht="18" customHeight="1" x14ac:dyDescent="0.25">
      <c r="A28" s="229" t="str">
        <f t="shared" si="0"/>
        <v/>
      </c>
      <c r="B28" s="230"/>
      <c r="C28" s="231" t="str">
        <f>IF(B28="","",IFERROR(VLOOKUP(B28,DB_Customers!$A:$D,4,0),"❌ Account Not Found"))</f>
        <v/>
      </c>
      <c r="D28" s="232" t="str">
        <f t="shared" ca="1" si="1"/>
        <v/>
      </c>
      <c r="E28" s="233"/>
      <c r="F28" s="231"/>
      <c r="G28" s="234"/>
      <c r="H28" s="235">
        <v>2.5</v>
      </c>
      <c r="I28" s="236" t="str">
        <f t="shared" si="2"/>
        <v/>
      </c>
      <c r="J28" s="237" t="str">
        <f t="shared" si="3"/>
        <v/>
      </c>
      <c r="K28" s="238" t="str">
        <f>IF(B28="","Pending",IF(M28="","⚠️ Enter Code",IF(IFERROR(VLOOKUP(L28,DB_Agents!$B:$I,8,0),"")=M28,"Pending","🔒 BLOCKED — Wrong Code")))</f>
        <v>Pending</v>
      </c>
      <c r="L28" s="239" t="s">
        <v>134</v>
      </c>
      <c r="M28" s="240"/>
      <c r="N28" s="230"/>
    </row>
    <row r="29" spans="1:14" ht="18" customHeight="1" x14ac:dyDescent="0.25">
      <c r="A29" s="241" t="str">
        <f t="shared" si="0"/>
        <v/>
      </c>
      <c r="B29" s="242"/>
      <c r="C29" s="243" t="str">
        <f>IF(B29="","",IFERROR(VLOOKUP(B29,DB_Customers!$A:$D,4,0),"❌ Account Not Found"))</f>
        <v/>
      </c>
      <c r="D29" s="244" t="str">
        <f t="shared" ca="1" si="1"/>
        <v/>
      </c>
      <c r="E29" s="245"/>
      <c r="F29" s="243"/>
      <c r="G29" s="246"/>
      <c r="H29" s="247">
        <v>2.5</v>
      </c>
      <c r="I29" s="248" t="str">
        <f t="shared" si="2"/>
        <v/>
      </c>
      <c r="J29" s="249" t="str">
        <f t="shared" si="3"/>
        <v/>
      </c>
      <c r="K29" s="250" t="str">
        <f>IF(B29="","Pending",IF(M29="","⚠️ Enter Code",IF(IFERROR(VLOOKUP(L29,DB_Agents!$B:$I,8,0),"")=M29,"Pending","🔒 BLOCKED — Wrong Code")))</f>
        <v>Pending</v>
      </c>
      <c r="L29" s="251" t="s">
        <v>134</v>
      </c>
      <c r="M29" s="252"/>
      <c r="N29" s="242"/>
    </row>
    <row r="30" spans="1:14" ht="18" customHeight="1" x14ac:dyDescent="0.25">
      <c r="A30" s="229" t="str">
        <f t="shared" si="0"/>
        <v/>
      </c>
      <c r="B30" s="230"/>
      <c r="C30" s="231" t="str">
        <f>IF(B30="","",IFERROR(VLOOKUP(B30,DB_Customers!$A:$D,4,0),"❌ Account Not Found"))</f>
        <v/>
      </c>
      <c r="D30" s="232" t="str">
        <f t="shared" ca="1" si="1"/>
        <v/>
      </c>
      <c r="E30" s="233"/>
      <c r="F30" s="231"/>
      <c r="G30" s="234"/>
      <c r="H30" s="235">
        <v>2.5</v>
      </c>
      <c r="I30" s="236" t="str">
        <f t="shared" si="2"/>
        <v/>
      </c>
      <c r="J30" s="237" t="str">
        <f t="shared" si="3"/>
        <v/>
      </c>
      <c r="K30" s="238" t="str">
        <f>IF(B30="","Pending",IF(M30="","⚠️ Enter Code",IF(IFERROR(VLOOKUP(L30,DB_Agents!$B:$I,8,0),"")=M30,"Pending","🔒 BLOCKED — Wrong Code")))</f>
        <v>Pending</v>
      </c>
      <c r="L30" s="239" t="s">
        <v>134</v>
      </c>
      <c r="M30" s="240"/>
      <c r="N30" s="230"/>
    </row>
    <row r="31" spans="1:14" ht="18" customHeight="1" x14ac:dyDescent="0.25">
      <c r="A31" s="241" t="str">
        <f t="shared" si="0"/>
        <v/>
      </c>
      <c r="B31" s="242"/>
      <c r="C31" s="243" t="str">
        <f>IF(B31="","",IFERROR(VLOOKUP(B31,DB_Customers!$A:$D,4,0),"❌ Account Not Found"))</f>
        <v/>
      </c>
      <c r="D31" s="244" t="str">
        <f t="shared" ca="1" si="1"/>
        <v/>
      </c>
      <c r="E31" s="245"/>
      <c r="F31" s="243"/>
      <c r="G31" s="246"/>
      <c r="H31" s="247">
        <v>2.5</v>
      </c>
      <c r="I31" s="248" t="str">
        <f t="shared" si="2"/>
        <v/>
      </c>
      <c r="J31" s="249" t="str">
        <f t="shared" si="3"/>
        <v/>
      </c>
      <c r="K31" s="250" t="str">
        <f>IF(B31="","Pending",IF(M31="","⚠️ Enter Code",IF(IFERROR(VLOOKUP(L31,DB_Agents!$B:$I,8,0),"")=M31,"Pending","🔒 BLOCKED — Wrong Code")))</f>
        <v>Pending</v>
      </c>
      <c r="L31" s="251" t="s">
        <v>134</v>
      </c>
      <c r="M31" s="252"/>
      <c r="N31" s="242"/>
    </row>
    <row r="32" spans="1:14" ht="18" customHeight="1" x14ac:dyDescent="0.25">
      <c r="A32" s="229" t="str">
        <f t="shared" si="0"/>
        <v/>
      </c>
      <c r="B32" s="230"/>
      <c r="C32" s="231" t="str">
        <f>IF(B32="","",IFERROR(VLOOKUP(B32,DB_Customers!$A:$D,4,0),"❌ Account Not Found"))</f>
        <v/>
      </c>
      <c r="D32" s="232" t="str">
        <f t="shared" ca="1" si="1"/>
        <v/>
      </c>
      <c r="E32" s="233"/>
      <c r="F32" s="231"/>
      <c r="G32" s="234"/>
      <c r="H32" s="235">
        <v>2.5</v>
      </c>
      <c r="I32" s="236" t="str">
        <f t="shared" si="2"/>
        <v/>
      </c>
      <c r="J32" s="237" t="str">
        <f t="shared" si="3"/>
        <v/>
      </c>
      <c r="K32" s="238" t="str">
        <f>IF(B32="","Pending",IF(M32="","⚠️ Enter Code",IF(IFERROR(VLOOKUP(L32,DB_Agents!$B:$I,8,0),"")=M32,"Pending","🔒 BLOCKED — Wrong Code")))</f>
        <v>Pending</v>
      </c>
      <c r="L32" s="239" t="s">
        <v>134</v>
      </c>
      <c r="M32" s="240"/>
      <c r="N32" s="230"/>
    </row>
    <row r="33" spans="1:14" ht="18" customHeight="1" x14ac:dyDescent="0.25">
      <c r="A33" s="241" t="str">
        <f t="shared" si="0"/>
        <v/>
      </c>
      <c r="B33" s="242"/>
      <c r="C33" s="243" t="str">
        <f>IF(B33="","",IFERROR(VLOOKUP(B33,DB_Customers!$A:$D,4,0),"❌ Account Not Found"))</f>
        <v/>
      </c>
      <c r="D33" s="244" t="str">
        <f t="shared" ca="1" si="1"/>
        <v/>
      </c>
      <c r="E33" s="245"/>
      <c r="F33" s="243"/>
      <c r="G33" s="246"/>
      <c r="H33" s="247">
        <v>2.5</v>
      </c>
      <c r="I33" s="248" t="str">
        <f t="shared" si="2"/>
        <v/>
      </c>
      <c r="J33" s="249" t="str">
        <f t="shared" si="3"/>
        <v/>
      </c>
      <c r="K33" s="250" t="str">
        <f>IF(B33="","Pending",IF(M33="","⚠️ Enter Code",IF(IFERROR(VLOOKUP(L33,DB_Agents!$B:$I,8,0),"")=M33,"Pending","🔒 BLOCKED — Wrong Code")))</f>
        <v>Pending</v>
      </c>
      <c r="L33" s="251" t="s">
        <v>134</v>
      </c>
      <c r="M33" s="252"/>
      <c r="N33" s="242"/>
    </row>
    <row r="34" spans="1:14" ht="18" customHeight="1" x14ac:dyDescent="0.25">
      <c r="A34" s="229" t="str">
        <f t="shared" si="0"/>
        <v/>
      </c>
      <c r="B34" s="230"/>
      <c r="C34" s="231" t="str">
        <f>IF(B34="","",IFERROR(VLOOKUP(B34,DB_Customers!$A:$D,4,0),"❌ Account Not Found"))</f>
        <v/>
      </c>
      <c r="D34" s="232" t="str">
        <f t="shared" ca="1" si="1"/>
        <v/>
      </c>
      <c r="E34" s="233"/>
      <c r="F34" s="231"/>
      <c r="G34" s="234"/>
      <c r="H34" s="235">
        <v>2.5</v>
      </c>
      <c r="I34" s="236" t="str">
        <f t="shared" si="2"/>
        <v/>
      </c>
      <c r="J34" s="237" t="str">
        <f t="shared" si="3"/>
        <v/>
      </c>
      <c r="K34" s="238" t="str">
        <f>IF(B34="","Pending",IF(M34="","⚠️ Enter Code",IF(IFERROR(VLOOKUP(L34,DB_Agents!$B:$I,8,0),"")=M34,"Pending","🔒 BLOCKED — Wrong Code")))</f>
        <v>Pending</v>
      </c>
      <c r="L34" s="239" t="s">
        <v>134</v>
      </c>
      <c r="M34" s="240"/>
      <c r="N34" s="230"/>
    </row>
    <row r="35" spans="1:14" ht="18" customHeight="1" x14ac:dyDescent="0.25">
      <c r="A35" s="241" t="str">
        <f t="shared" si="0"/>
        <v/>
      </c>
      <c r="B35" s="242"/>
      <c r="C35" s="243" t="str">
        <f>IF(B35="","",IFERROR(VLOOKUP(B35,DB_Customers!$A:$D,4,0),"❌ Account Not Found"))</f>
        <v/>
      </c>
      <c r="D35" s="244" t="str">
        <f t="shared" ca="1" si="1"/>
        <v/>
      </c>
      <c r="E35" s="245"/>
      <c r="F35" s="243"/>
      <c r="G35" s="246"/>
      <c r="H35" s="247">
        <v>2.5</v>
      </c>
      <c r="I35" s="248" t="str">
        <f t="shared" si="2"/>
        <v/>
      </c>
      <c r="J35" s="249" t="str">
        <f t="shared" si="3"/>
        <v/>
      </c>
      <c r="K35" s="250" t="str">
        <f>IF(B35="","Pending",IF(M35="","⚠️ Enter Code",IF(IFERROR(VLOOKUP(L35,DB_Agents!$B:$I,8,0),"")=M35,"Pending","🔒 BLOCKED — Wrong Code")))</f>
        <v>Pending</v>
      </c>
      <c r="L35" s="251" t="s">
        <v>134</v>
      </c>
      <c r="M35" s="252"/>
      <c r="N35" s="242"/>
    </row>
    <row r="36" spans="1:14" ht="18" customHeight="1" x14ac:dyDescent="0.25">
      <c r="A36" s="229" t="str">
        <f t="shared" si="0"/>
        <v/>
      </c>
      <c r="B36" s="230"/>
      <c r="C36" s="231" t="str">
        <f>IF(B36="","",IFERROR(VLOOKUP(B36,DB_Customers!$A:$D,4,0),"❌ Account Not Found"))</f>
        <v/>
      </c>
      <c r="D36" s="232" t="str">
        <f t="shared" ca="1" si="1"/>
        <v/>
      </c>
      <c r="E36" s="233"/>
      <c r="F36" s="231"/>
      <c r="G36" s="234"/>
      <c r="H36" s="235">
        <v>2.5</v>
      </c>
      <c r="I36" s="236" t="str">
        <f t="shared" si="2"/>
        <v/>
      </c>
      <c r="J36" s="237" t="str">
        <f t="shared" si="3"/>
        <v/>
      </c>
      <c r="K36" s="238" t="str">
        <f>IF(B36="","Pending",IF(M36="","⚠️ Enter Code",IF(IFERROR(VLOOKUP(L36,DB_Agents!$B:$I,8,0),"")=M36,"Pending","🔒 BLOCKED — Wrong Code")))</f>
        <v>Pending</v>
      </c>
      <c r="L36" s="239" t="s">
        <v>134</v>
      </c>
      <c r="M36" s="240"/>
      <c r="N36" s="230"/>
    </row>
    <row r="37" spans="1:14" ht="18" customHeight="1" x14ac:dyDescent="0.25">
      <c r="A37" s="241" t="str">
        <f t="shared" si="0"/>
        <v/>
      </c>
      <c r="B37" s="242"/>
      <c r="C37" s="243" t="str">
        <f>IF(B37="","",IFERROR(VLOOKUP(B37,DB_Customers!$A:$D,4,0),"❌ Account Not Found"))</f>
        <v/>
      </c>
      <c r="D37" s="244" t="str">
        <f t="shared" ca="1" si="1"/>
        <v/>
      </c>
      <c r="E37" s="245"/>
      <c r="F37" s="243"/>
      <c r="G37" s="246"/>
      <c r="H37" s="247">
        <v>2.5</v>
      </c>
      <c r="I37" s="248" t="str">
        <f t="shared" si="2"/>
        <v/>
      </c>
      <c r="J37" s="249" t="str">
        <f t="shared" si="3"/>
        <v/>
      </c>
      <c r="K37" s="250" t="str">
        <f>IF(B37="","Pending",IF(M37="","⚠️ Enter Code",IF(IFERROR(VLOOKUP(L37,DB_Agents!$B:$I,8,0),"")=M37,"Pending","🔒 BLOCKED — Wrong Code")))</f>
        <v>Pending</v>
      </c>
      <c r="L37" s="251" t="s">
        <v>134</v>
      </c>
      <c r="M37" s="252"/>
      <c r="N37" s="242"/>
    </row>
    <row r="38" spans="1:14" ht="18" customHeight="1" x14ac:dyDescent="0.25">
      <c r="A38" s="229" t="str">
        <f t="shared" si="0"/>
        <v/>
      </c>
      <c r="B38" s="230"/>
      <c r="C38" s="231" t="str">
        <f>IF(B38="","",IFERROR(VLOOKUP(B38,DB_Customers!$A:$D,4,0),"❌ Account Not Found"))</f>
        <v/>
      </c>
      <c r="D38" s="232" t="str">
        <f t="shared" ca="1" si="1"/>
        <v/>
      </c>
      <c r="E38" s="233"/>
      <c r="F38" s="231"/>
      <c r="G38" s="234"/>
      <c r="H38" s="235">
        <v>2.5</v>
      </c>
      <c r="I38" s="236" t="str">
        <f t="shared" si="2"/>
        <v/>
      </c>
      <c r="J38" s="237" t="str">
        <f t="shared" si="3"/>
        <v/>
      </c>
      <c r="K38" s="238" t="str">
        <f>IF(B38="","Pending",IF(M38="","⚠️ Enter Code",IF(IFERROR(VLOOKUP(L38,DB_Agents!$B:$I,8,0),"")=M38,"Pending","🔒 BLOCKED — Wrong Code")))</f>
        <v>Pending</v>
      </c>
      <c r="L38" s="239" t="s">
        <v>134</v>
      </c>
      <c r="M38" s="240"/>
      <c r="N38" s="230"/>
    </row>
    <row r="39" spans="1:14" ht="18" customHeight="1" x14ac:dyDescent="0.25">
      <c r="A39" s="241" t="str">
        <f t="shared" si="0"/>
        <v/>
      </c>
      <c r="B39" s="242"/>
      <c r="C39" s="243" t="str">
        <f>IF(B39="","",IFERROR(VLOOKUP(B39,DB_Customers!$A:$D,4,0),"❌ Account Not Found"))</f>
        <v/>
      </c>
      <c r="D39" s="244" t="str">
        <f t="shared" ca="1" si="1"/>
        <v/>
      </c>
      <c r="E39" s="245"/>
      <c r="F39" s="243"/>
      <c r="G39" s="246"/>
      <c r="H39" s="247">
        <v>2.5</v>
      </c>
      <c r="I39" s="248" t="str">
        <f t="shared" si="2"/>
        <v/>
      </c>
      <c r="J39" s="249" t="str">
        <f t="shared" si="3"/>
        <v/>
      </c>
      <c r="K39" s="250" t="str">
        <f>IF(B39="","Pending",IF(M39="","⚠️ Enter Code",IF(IFERROR(VLOOKUP(L39,DB_Agents!$B:$I,8,0),"")=M39,"Pending","🔒 BLOCKED — Wrong Code")))</f>
        <v>Pending</v>
      </c>
      <c r="L39" s="251" t="s">
        <v>134</v>
      </c>
      <c r="M39" s="252"/>
      <c r="N39" s="242"/>
    </row>
    <row r="40" spans="1:14" ht="18" customHeight="1" x14ac:dyDescent="0.25">
      <c r="A40" s="229" t="str">
        <f t="shared" si="0"/>
        <v/>
      </c>
      <c r="B40" s="230"/>
      <c r="C40" s="231" t="str">
        <f>IF(B40="","",IFERROR(VLOOKUP(B40,DB_Customers!$A:$D,4,0),"❌ Account Not Found"))</f>
        <v/>
      </c>
      <c r="D40" s="232" t="str">
        <f t="shared" ca="1" si="1"/>
        <v/>
      </c>
      <c r="E40" s="233"/>
      <c r="F40" s="231"/>
      <c r="G40" s="234"/>
      <c r="H40" s="235">
        <v>2.5</v>
      </c>
      <c r="I40" s="236" t="str">
        <f t="shared" si="2"/>
        <v/>
      </c>
      <c r="J40" s="237" t="str">
        <f t="shared" si="3"/>
        <v/>
      </c>
      <c r="K40" s="238" t="str">
        <f>IF(B40="","Pending",IF(M40="","⚠️ Enter Code",IF(IFERROR(VLOOKUP(L40,DB_Agents!$B:$I,8,0),"")=M40,"Pending","🔒 BLOCKED — Wrong Code")))</f>
        <v>Pending</v>
      </c>
      <c r="L40" s="239" t="s">
        <v>134</v>
      </c>
      <c r="M40" s="240"/>
      <c r="N40" s="230"/>
    </row>
    <row r="41" spans="1:14" ht="18" customHeight="1" x14ac:dyDescent="0.25">
      <c r="A41" s="241" t="str">
        <f t="shared" si="0"/>
        <v/>
      </c>
      <c r="B41" s="242"/>
      <c r="C41" s="243" t="str">
        <f>IF(B41="","",IFERROR(VLOOKUP(B41,DB_Customers!$A:$D,4,0),"❌ Account Not Found"))</f>
        <v/>
      </c>
      <c r="D41" s="244" t="str">
        <f t="shared" ca="1" si="1"/>
        <v/>
      </c>
      <c r="E41" s="245"/>
      <c r="F41" s="243"/>
      <c r="G41" s="246"/>
      <c r="H41" s="247">
        <v>2.5</v>
      </c>
      <c r="I41" s="248" t="str">
        <f t="shared" si="2"/>
        <v/>
      </c>
      <c r="J41" s="249" t="str">
        <f t="shared" si="3"/>
        <v/>
      </c>
      <c r="K41" s="250" t="str">
        <f>IF(B41="","Pending",IF(M41="","⚠️ Enter Code",IF(IFERROR(VLOOKUP(L41,DB_Agents!$B:$I,8,0),"")=M41,"Pending","🔒 BLOCKED — Wrong Code")))</f>
        <v>Pending</v>
      </c>
      <c r="L41" s="251" t="s">
        <v>134</v>
      </c>
      <c r="M41" s="252"/>
      <c r="N41" s="242"/>
    </row>
    <row r="42" spans="1:14" ht="18" customHeight="1" x14ac:dyDescent="0.25">
      <c r="A42" s="229" t="str">
        <f t="shared" si="0"/>
        <v/>
      </c>
      <c r="B42" s="230"/>
      <c r="C42" s="231" t="str">
        <f>IF(B42="","",IFERROR(VLOOKUP(B42,DB_Customers!$A:$D,4,0),"❌ Account Not Found"))</f>
        <v/>
      </c>
      <c r="D42" s="232" t="str">
        <f t="shared" ca="1" si="1"/>
        <v/>
      </c>
      <c r="E42" s="233"/>
      <c r="F42" s="231"/>
      <c r="G42" s="234"/>
      <c r="H42" s="235">
        <v>2.5</v>
      </c>
      <c r="I42" s="236" t="str">
        <f t="shared" si="2"/>
        <v/>
      </c>
      <c r="J42" s="237" t="str">
        <f t="shared" si="3"/>
        <v/>
      </c>
      <c r="K42" s="238" t="str">
        <f>IF(B42="","Pending",IF(M42="","⚠️ Enter Code",IF(IFERROR(VLOOKUP(L42,DB_Agents!$B:$I,8,0),"")=M42,"Pending","🔒 BLOCKED — Wrong Code")))</f>
        <v>Pending</v>
      </c>
      <c r="L42" s="239" t="s">
        <v>134</v>
      </c>
      <c r="M42" s="240"/>
      <c r="N42" s="230"/>
    </row>
    <row r="43" spans="1:14" ht="18" customHeight="1" x14ac:dyDescent="0.25">
      <c r="A43" s="241" t="str">
        <f t="shared" si="0"/>
        <v/>
      </c>
      <c r="B43" s="242"/>
      <c r="C43" s="243" t="str">
        <f>IF(B43="","",IFERROR(VLOOKUP(B43,DB_Customers!$A:$D,4,0),"❌ Account Not Found"))</f>
        <v/>
      </c>
      <c r="D43" s="244" t="str">
        <f t="shared" ca="1" si="1"/>
        <v/>
      </c>
      <c r="E43" s="245"/>
      <c r="F43" s="243"/>
      <c r="G43" s="246"/>
      <c r="H43" s="247">
        <v>2.5</v>
      </c>
      <c r="I43" s="248" t="str">
        <f t="shared" si="2"/>
        <v/>
      </c>
      <c r="J43" s="249" t="str">
        <f t="shared" si="3"/>
        <v/>
      </c>
      <c r="K43" s="250" t="str">
        <f>IF(B43="","Pending",IF(M43="","⚠️ Enter Code",IF(IFERROR(VLOOKUP(L43,DB_Agents!$B:$I,8,0),"")=M43,"Pending","🔒 BLOCKED — Wrong Code")))</f>
        <v>Pending</v>
      </c>
      <c r="L43" s="251" t="s">
        <v>134</v>
      </c>
      <c r="M43" s="252"/>
      <c r="N43" s="242"/>
    </row>
    <row r="44" spans="1:14" ht="18" customHeight="1" x14ac:dyDescent="0.25">
      <c r="A44" s="229" t="str">
        <f t="shared" si="0"/>
        <v/>
      </c>
      <c r="B44" s="230"/>
      <c r="C44" s="231" t="str">
        <f>IF(B44="","",IFERROR(VLOOKUP(B44,DB_Customers!$A:$D,4,0),"❌ Account Not Found"))</f>
        <v/>
      </c>
      <c r="D44" s="232" t="str">
        <f t="shared" ca="1" si="1"/>
        <v/>
      </c>
      <c r="E44" s="233"/>
      <c r="F44" s="231"/>
      <c r="G44" s="234"/>
      <c r="H44" s="235">
        <v>2.5</v>
      </c>
      <c r="I44" s="236" t="str">
        <f t="shared" si="2"/>
        <v/>
      </c>
      <c r="J44" s="237" t="str">
        <f t="shared" si="3"/>
        <v/>
      </c>
      <c r="K44" s="238" t="str">
        <f>IF(B44="","Pending",IF(M44="","⚠️ Enter Code",IF(IFERROR(VLOOKUP(L44,DB_Agents!$B:$I,8,0),"")=M44,"Pending","🔒 BLOCKED — Wrong Code")))</f>
        <v>Pending</v>
      </c>
      <c r="L44" s="239" t="s">
        <v>134</v>
      </c>
      <c r="M44" s="240"/>
      <c r="N44" s="230"/>
    </row>
    <row r="45" spans="1:14" ht="18" customHeight="1" x14ac:dyDescent="0.25">
      <c r="A45" s="241" t="str">
        <f t="shared" si="0"/>
        <v/>
      </c>
      <c r="B45" s="242"/>
      <c r="C45" s="243" t="str">
        <f>IF(B45="","",IFERROR(VLOOKUP(B45,DB_Customers!$A:$D,4,0),"❌ Account Not Found"))</f>
        <v/>
      </c>
      <c r="D45" s="244" t="str">
        <f t="shared" ca="1" si="1"/>
        <v/>
      </c>
      <c r="E45" s="245"/>
      <c r="F45" s="243"/>
      <c r="G45" s="246"/>
      <c r="H45" s="247">
        <v>2.5</v>
      </c>
      <c r="I45" s="248" t="str">
        <f t="shared" si="2"/>
        <v/>
      </c>
      <c r="J45" s="249" t="str">
        <f t="shared" si="3"/>
        <v/>
      </c>
      <c r="K45" s="250" t="str">
        <f>IF(B45="","Pending",IF(M45="","⚠️ Enter Code",IF(IFERROR(VLOOKUP(L45,DB_Agents!$B:$I,8,0),"")=M45,"Pending","🔒 BLOCKED — Wrong Code")))</f>
        <v>Pending</v>
      </c>
      <c r="L45" s="251" t="s">
        <v>134</v>
      </c>
      <c r="M45" s="252"/>
      <c r="N45" s="242"/>
    </row>
    <row r="46" spans="1:14" ht="18" customHeight="1" x14ac:dyDescent="0.25">
      <c r="A46" s="229" t="str">
        <f t="shared" ref="A46:A77" si="4">IF(B46="","",IF(C46="❌ Account Not Found","INVALID","LN"&amp;TEXT(D46,"YYYYMMDD")&amp;TEXT(ROW()-13,"0000")))</f>
        <v/>
      </c>
      <c r="B46" s="230"/>
      <c r="C46" s="231" t="str">
        <f>IF(B46="","",IFERROR(VLOOKUP(B46,DB_Customers!$A:$D,4,0),"❌ Account Not Found"))</f>
        <v/>
      </c>
      <c r="D46" s="232" t="str">
        <f t="shared" ref="D46:D77" ca="1" si="5">IF(B46="","",TODAY())</f>
        <v/>
      </c>
      <c r="E46" s="233"/>
      <c r="F46" s="231"/>
      <c r="G46" s="234"/>
      <c r="H46" s="235">
        <v>2.5</v>
      </c>
      <c r="I46" s="236" t="str">
        <f t="shared" ref="I46:I77" si="6">IF(E46="","",E46+(E46*H46/100*G46))</f>
        <v/>
      </c>
      <c r="J46" s="237" t="str">
        <f t="shared" ref="J46:J77" si="7">IFERROR(I46/G46,"")</f>
        <v/>
      </c>
      <c r="K46" s="238" t="str">
        <f>IF(B46="","Pending",IF(M46="","⚠️ Enter Code",IF(IFERROR(VLOOKUP(L46,DB_Agents!$B:$I,8,0),"")=M46,"Pending","🔒 BLOCKED — Wrong Code")))</f>
        <v>Pending</v>
      </c>
      <c r="L46" s="239" t="s">
        <v>134</v>
      </c>
      <c r="M46" s="240"/>
      <c r="N46" s="230"/>
    </row>
    <row r="47" spans="1:14" ht="18" customHeight="1" x14ac:dyDescent="0.25">
      <c r="A47" s="241" t="str">
        <f t="shared" si="4"/>
        <v/>
      </c>
      <c r="B47" s="242"/>
      <c r="C47" s="243" t="str">
        <f>IF(B47="","",IFERROR(VLOOKUP(B47,DB_Customers!$A:$D,4,0),"❌ Account Not Found"))</f>
        <v/>
      </c>
      <c r="D47" s="244" t="str">
        <f t="shared" ca="1" si="5"/>
        <v/>
      </c>
      <c r="E47" s="245"/>
      <c r="F47" s="243"/>
      <c r="G47" s="246"/>
      <c r="H47" s="247">
        <v>2.5</v>
      </c>
      <c r="I47" s="248" t="str">
        <f t="shared" si="6"/>
        <v/>
      </c>
      <c r="J47" s="249" t="str">
        <f t="shared" si="7"/>
        <v/>
      </c>
      <c r="K47" s="250" t="str">
        <f>IF(B47="","Pending",IF(M47="","⚠️ Enter Code",IF(IFERROR(VLOOKUP(L47,DB_Agents!$B:$I,8,0),"")=M47,"Pending","🔒 BLOCKED — Wrong Code")))</f>
        <v>Pending</v>
      </c>
      <c r="L47" s="251" t="s">
        <v>134</v>
      </c>
      <c r="M47" s="252"/>
      <c r="N47" s="242"/>
    </row>
    <row r="48" spans="1:14" ht="18" customHeight="1" x14ac:dyDescent="0.25">
      <c r="A48" s="229" t="str">
        <f t="shared" si="4"/>
        <v/>
      </c>
      <c r="B48" s="230"/>
      <c r="C48" s="231" t="str">
        <f>IF(B48="","",IFERROR(VLOOKUP(B48,DB_Customers!$A:$D,4,0),"❌ Account Not Found"))</f>
        <v/>
      </c>
      <c r="D48" s="232" t="str">
        <f t="shared" ca="1" si="5"/>
        <v/>
      </c>
      <c r="E48" s="233"/>
      <c r="F48" s="231"/>
      <c r="G48" s="234"/>
      <c r="H48" s="235">
        <v>2.5</v>
      </c>
      <c r="I48" s="236" t="str">
        <f t="shared" si="6"/>
        <v/>
      </c>
      <c r="J48" s="237" t="str">
        <f t="shared" si="7"/>
        <v/>
      </c>
      <c r="K48" s="238" t="str">
        <f>IF(B48="","Pending",IF(M48="","⚠️ Enter Code",IF(IFERROR(VLOOKUP(L48,DB_Agents!$B:$I,8,0),"")=M48,"Pending","🔒 BLOCKED — Wrong Code")))</f>
        <v>Pending</v>
      </c>
      <c r="L48" s="239" t="s">
        <v>134</v>
      </c>
      <c r="M48" s="240"/>
      <c r="N48" s="230"/>
    </row>
    <row r="49" spans="1:14" ht="18" customHeight="1" x14ac:dyDescent="0.25">
      <c r="A49" s="241" t="str">
        <f t="shared" si="4"/>
        <v/>
      </c>
      <c r="B49" s="242"/>
      <c r="C49" s="243" t="str">
        <f>IF(B49="","",IFERROR(VLOOKUP(B49,DB_Customers!$A:$D,4,0),"❌ Account Not Found"))</f>
        <v/>
      </c>
      <c r="D49" s="244" t="str">
        <f t="shared" ca="1" si="5"/>
        <v/>
      </c>
      <c r="E49" s="245"/>
      <c r="F49" s="243"/>
      <c r="G49" s="246"/>
      <c r="H49" s="247">
        <v>2.5</v>
      </c>
      <c r="I49" s="248" t="str">
        <f t="shared" si="6"/>
        <v/>
      </c>
      <c r="J49" s="249" t="str">
        <f t="shared" si="7"/>
        <v/>
      </c>
      <c r="K49" s="250" t="str">
        <f>IF(B49="","Pending",IF(M49="","⚠️ Enter Code",IF(IFERROR(VLOOKUP(L49,DB_Agents!$B:$I,8,0),"")=M49,"Pending","🔒 BLOCKED — Wrong Code")))</f>
        <v>Pending</v>
      </c>
      <c r="L49" s="251" t="s">
        <v>134</v>
      </c>
      <c r="M49" s="252"/>
      <c r="N49" s="242"/>
    </row>
    <row r="50" spans="1:14" ht="18" customHeight="1" x14ac:dyDescent="0.25">
      <c r="A50" s="229" t="str">
        <f t="shared" si="4"/>
        <v/>
      </c>
      <c r="B50" s="230"/>
      <c r="C50" s="231" t="str">
        <f>IF(B50="","",IFERROR(VLOOKUP(B50,DB_Customers!$A:$D,4,0),"❌ Account Not Found"))</f>
        <v/>
      </c>
      <c r="D50" s="232" t="str">
        <f t="shared" ca="1" si="5"/>
        <v/>
      </c>
      <c r="E50" s="233"/>
      <c r="F50" s="231"/>
      <c r="G50" s="234"/>
      <c r="H50" s="235">
        <v>2.5</v>
      </c>
      <c r="I50" s="236" t="str">
        <f t="shared" si="6"/>
        <v/>
      </c>
      <c r="J50" s="237" t="str">
        <f t="shared" si="7"/>
        <v/>
      </c>
      <c r="K50" s="238" t="str">
        <f>IF(B50="","Pending",IF(M50="","⚠️ Enter Code",IF(IFERROR(VLOOKUP(L50,DB_Agents!$B:$I,8,0),"")=M50,"Pending","🔒 BLOCKED — Wrong Code")))</f>
        <v>Pending</v>
      </c>
      <c r="L50" s="239" t="s">
        <v>134</v>
      </c>
      <c r="M50" s="240"/>
      <c r="N50" s="230"/>
    </row>
    <row r="51" spans="1:14" ht="18" customHeight="1" x14ac:dyDescent="0.25">
      <c r="A51" s="241" t="str">
        <f t="shared" si="4"/>
        <v/>
      </c>
      <c r="B51" s="242"/>
      <c r="C51" s="243" t="str">
        <f>IF(B51="","",IFERROR(VLOOKUP(B51,DB_Customers!$A:$D,4,0),"❌ Account Not Found"))</f>
        <v/>
      </c>
      <c r="D51" s="244" t="str">
        <f t="shared" ca="1" si="5"/>
        <v/>
      </c>
      <c r="E51" s="245"/>
      <c r="F51" s="243"/>
      <c r="G51" s="246"/>
      <c r="H51" s="247">
        <v>2.5</v>
      </c>
      <c r="I51" s="248" t="str">
        <f t="shared" si="6"/>
        <v/>
      </c>
      <c r="J51" s="249" t="str">
        <f t="shared" si="7"/>
        <v/>
      </c>
      <c r="K51" s="250" t="str">
        <f>IF(B51="","Pending",IF(M51="","⚠️ Enter Code",IF(IFERROR(VLOOKUP(L51,DB_Agents!$B:$I,8,0),"")=M51,"Pending","🔒 BLOCKED — Wrong Code")))</f>
        <v>Pending</v>
      </c>
      <c r="L51" s="251" t="s">
        <v>134</v>
      </c>
      <c r="M51" s="252"/>
      <c r="N51" s="242"/>
    </row>
    <row r="52" spans="1:14" ht="18" customHeight="1" x14ac:dyDescent="0.25">
      <c r="A52" s="229" t="str">
        <f t="shared" si="4"/>
        <v/>
      </c>
      <c r="B52" s="230"/>
      <c r="C52" s="231" t="str">
        <f>IF(B52="","",IFERROR(VLOOKUP(B52,DB_Customers!$A:$D,4,0),"❌ Account Not Found"))</f>
        <v/>
      </c>
      <c r="D52" s="232" t="str">
        <f t="shared" ca="1" si="5"/>
        <v/>
      </c>
      <c r="E52" s="233"/>
      <c r="F52" s="231"/>
      <c r="G52" s="234"/>
      <c r="H52" s="235">
        <v>2.5</v>
      </c>
      <c r="I52" s="236" t="str">
        <f t="shared" si="6"/>
        <v/>
      </c>
      <c r="J52" s="237" t="str">
        <f t="shared" si="7"/>
        <v/>
      </c>
      <c r="K52" s="238" t="str">
        <f>IF(B52="","Pending",IF(M52="","⚠️ Enter Code",IF(IFERROR(VLOOKUP(L52,DB_Agents!$B:$I,8,0),"")=M52,"Pending","🔒 BLOCKED — Wrong Code")))</f>
        <v>Pending</v>
      </c>
      <c r="L52" s="239" t="s">
        <v>134</v>
      </c>
      <c r="M52" s="240"/>
      <c r="N52" s="230"/>
    </row>
    <row r="53" spans="1:14" ht="18" customHeight="1" x14ac:dyDescent="0.25">
      <c r="A53" s="241" t="str">
        <f t="shared" si="4"/>
        <v/>
      </c>
      <c r="B53" s="242"/>
      <c r="C53" s="243" t="str">
        <f>IF(B53="","",IFERROR(VLOOKUP(B53,DB_Customers!$A:$D,4,0),"❌ Account Not Found"))</f>
        <v/>
      </c>
      <c r="D53" s="244" t="str">
        <f t="shared" ca="1" si="5"/>
        <v/>
      </c>
      <c r="E53" s="245"/>
      <c r="F53" s="243"/>
      <c r="G53" s="246"/>
      <c r="H53" s="247">
        <v>2.5</v>
      </c>
      <c r="I53" s="248" t="str">
        <f t="shared" si="6"/>
        <v/>
      </c>
      <c r="J53" s="249" t="str">
        <f t="shared" si="7"/>
        <v/>
      </c>
      <c r="K53" s="250" t="str">
        <f>IF(B53="","Pending",IF(M53="","⚠️ Enter Code",IF(IFERROR(VLOOKUP(L53,DB_Agents!$B:$I,8,0),"")=M53,"Pending","🔒 BLOCKED — Wrong Code")))</f>
        <v>Pending</v>
      </c>
      <c r="L53" s="251" t="s">
        <v>134</v>
      </c>
      <c r="M53" s="252"/>
      <c r="N53" s="242"/>
    </row>
    <row r="54" spans="1:14" ht="18" customHeight="1" x14ac:dyDescent="0.25">
      <c r="A54" s="229" t="str">
        <f t="shared" si="4"/>
        <v/>
      </c>
      <c r="B54" s="230"/>
      <c r="C54" s="231" t="str">
        <f>IF(B54="","",IFERROR(VLOOKUP(B54,DB_Customers!$A:$D,4,0),"❌ Account Not Found"))</f>
        <v/>
      </c>
      <c r="D54" s="232" t="str">
        <f t="shared" ca="1" si="5"/>
        <v/>
      </c>
      <c r="E54" s="233"/>
      <c r="F54" s="231"/>
      <c r="G54" s="234"/>
      <c r="H54" s="235">
        <v>2.5</v>
      </c>
      <c r="I54" s="236" t="str">
        <f t="shared" si="6"/>
        <v/>
      </c>
      <c r="J54" s="237" t="str">
        <f t="shared" si="7"/>
        <v/>
      </c>
      <c r="K54" s="238" t="str">
        <f>IF(B54="","Pending",IF(M54="","⚠️ Enter Code",IF(IFERROR(VLOOKUP(L54,DB_Agents!$B:$I,8,0),"")=M54,"Pending","🔒 BLOCKED — Wrong Code")))</f>
        <v>Pending</v>
      </c>
      <c r="L54" s="239" t="s">
        <v>134</v>
      </c>
      <c r="M54" s="240"/>
      <c r="N54" s="230"/>
    </row>
    <row r="55" spans="1:14" ht="18" customHeight="1" x14ac:dyDescent="0.25">
      <c r="A55" s="241" t="str">
        <f t="shared" si="4"/>
        <v/>
      </c>
      <c r="B55" s="242"/>
      <c r="C55" s="243" t="str">
        <f>IF(B55="","",IFERROR(VLOOKUP(B55,DB_Customers!$A:$D,4,0),"❌ Account Not Found"))</f>
        <v/>
      </c>
      <c r="D55" s="244" t="str">
        <f t="shared" ca="1" si="5"/>
        <v/>
      </c>
      <c r="E55" s="245"/>
      <c r="F55" s="243"/>
      <c r="G55" s="246"/>
      <c r="H55" s="247">
        <v>2.5</v>
      </c>
      <c r="I55" s="248" t="str">
        <f t="shared" si="6"/>
        <v/>
      </c>
      <c r="J55" s="249" t="str">
        <f t="shared" si="7"/>
        <v/>
      </c>
      <c r="K55" s="250" t="str">
        <f>IF(B55="","Pending",IF(M55="","⚠️ Enter Code",IF(IFERROR(VLOOKUP(L55,DB_Agents!$B:$I,8,0),"")=M55,"Pending","🔒 BLOCKED — Wrong Code")))</f>
        <v>Pending</v>
      </c>
      <c r="L55" s="251" t="s">
        <v>134</v>
      </c>
      <c r="M55" s="252"/>
      <c r="N55" s="242"/>
    </row>
    <row r="56" spans="1:14" ht="18" customHeight="1" x14ac:dyDescent="0.25">
      <c r="A56" s="229" t="str">
        <f t="shared" si="4"/>
        <v/>
      </c>
      <c r="B56" s="230"/>
      <c r="C56" s="231" t="str">
        <f>IF(B56="","",IFERROR(VLOOKUP(B56,DB_Customers!$A:$D,4,0),"❌ Account Not Found"))</f>
        <v/>
      </c>
      <c r="D56" s="232" t="str">
        <f t="shared" ca="1" si="5"/>
        <v/>
      </c>
      <c r="E56" s="233"/>
      <c r="F56" s="231"/>
      <c r="G56" s="234"/>
      <c r="H56" s="235">
        <v>2.5</v>
      </c>
      <c r="I56" s="236" t="str">
        <f t="shared" si="6"/>
        <v/>
      </c>
      <c r="J56" s="237" t="str">
        <f t="shared" si="7"/>
        <v/>
      </c>
      <c r="K56" s="238" t="str">
        <f>IF(B56="","Pending",IF(M56="","⚠️ Enter Code",IF(IFERROR(VLOOKUP(L56,DB_Agents!$B:$I,8,0),"")=M56,"Pending","🔒 BLOCKED — Wrong Code")))</f>
        <v>Pending</v>
      </c>
      <c r="L56" s="239" t="s">
        <v>134</v>
      </c>
      <c r="M56" s="240"/>
      <c r="N56" s="230"/>
    </row>
    <row r="57" spans="1:14" ht="18" customHeight="1" x14ac:dyDescent="0.25">
      <c r="A57" s="241" t="str">
        <f t="shared" si="4"/>
        <v/>
      </c>
      <c r="B57" s="242"/>
      <c r="C57" s="243" t="str">
        <f>IF(B57="","",IFERROR(VLOOKUP(B57,DB_Customers!$A:$D,4,0),"❌ Account Not Found"))</f>
        <v/>
      </c>
      <c r="D57" s="244" t="str">
        <f t="shared" ca="1" si="5"/>
        <v/>
      </c>
      <c r="E57" s="245"/>
      <c r="F57" s="243"/>
      <c r="G57" s="246"/>
      <c r="H57" s="247">
        <v>2.5</v>
      </c>
      <c r="I57" s="248" t="str">
        <f t="shared" si="6"/>
        <v/>
      </c>
      <c r="J57" s="249" t="str">
        <f t="shared" si="7"/>
        <v/>
      </c>
      <c r="K57" s="250" t="str">
        <f>IF(B57="","Pending",IF(M57="","⚠️ Enter Code",IF(IFERROR(VLOOKUP(L57,DB_Agents!$B:$I,8,0),"")=M57,"Pending","🔒 BLOCKED — Wrong Code")))</f>
        <v>Pending</v>
      </c>
      <c r="L57" s="251" t="s">
        <v>134</v>
      </c>
      <c r="M57" s="252"/>
      <c r="N57" s="242"/>
    </row>
    <row r="58" spans="1:14" ht="18" customHeight="1" x14ac:dyDescent="0.25">
      <c r="A58" s="229" t="str">
        <f t="shared" si="4"/>
        <v/>
      </c>
      <c r="B58" s="230"/>
      <c r="C58" s="231" t="str">
        <f>IF(B58="","",IFERROR(VLOOKUP(B58,DB_Customers!$A:$D,4,0),"❌ Account Not Found"))</f>
        <v/>
      </c>
      <c r="D58" s="232" t="str">
        <f t="shared" ca="1" si="5"/>
        <v/>
      </c>
      <c r="E58" s="233"/>
      <c r="F58" s="231"/>
      <c r="G58" s="234"/>
      <c r="H58" s="235">
        <v>2.5</v>
      </c>
      <c r="I58" s="236" t="str">
        <f t="shared" si="6"/>
        <v/>
      </c>
      <c r="J58" s="237" t="str">
        <f t="shared" si="7"/>
        <v/>
      </c>
      <c r="K58" s="238" t="str">
        <f>IF(B58="","Pending",IF(M58="","⚠️ Enter Code",IF(IFERROR(VLOOKUP(L58,DB_Agents!$B:$I,8,0),"")=M58,"Pending","🔒 BLOCKED — Wrong Code")))</f>
        <v>Pending</v>
      </c>
      <c r="L58" s="239" t="s">
        <v>134</v>
      </c>
      <c r="M58" s="240"/>
      <c r="N58" s="230"/>
    </row>
    <row r="59" spans="1:14" ht="18" customHeight="1" x14ac:dyDescent="0.25">
      <c r="A59" s="241" t="str">
        <f t="shared" si="4"/>
        <v/>
      </c>
      <c r="B59" s="242"/>
      <c r="C59" s="243" t="str">
        <f>IF(B59="","",IFERROR(VLOOKUP(B59,DB_Customers!$A:$D,4,0),"❌ Account Not Found"))</f>
        <v/>
      </c>
      <c r="D59" s="244" t="str">
        <f t="shared" ca="1" si="5"/>
        <v/>
      </c>
      <c r="E59" s="245"/>
      <c r="F59" s="243"/>
      <c r="G59" s="246"/>
      <c r="H59" s="247">
        <v>2.5</v>
      </c>
      <c r="I59" s="248" t="str">
        <f t="shared" si="6"/>
        <v/>
      </c>
      <c r="J59" s="249" t="str">
        <f t="shared" si="7"/>
        <v/>
      </c>
      <c r="K59" s="250" t="str">
        <f>IF(B59="","Pending",IF(M59="","⚠️ Enter Code",IF(IFERROR(VLOOKUP(L59,DB_Agents!$B:$I,8,0),"")=M59,"Pending","🔒 BLOCKED — Wrong Code")))</f>
        <v>Pending</v>
      </c>
      <c r="L59" s="251" t="s">
        <v>134</v>
      </c>
      <c r="M59" s="252"/>
      <c r="N59" s="242"/>
    </row>
    <row r="60" spans="1:14" ht="18" customHeight="1" x14ac:dyDescent="0.25">
      <c r="A60" s="229" t="str">
        <f t="shared" si="4"/>
        <v/>
      </c>
      <c r="B60" s="230"/>
      <c r="C60" s="231" t="str">
        <f>IF(B60="","",IFERROR(VLOOKUP(B60,DB_Customers!$A:$D,4,0),"❌ Account Not Found"))</f>
        <v/>
      </c>
      <c r="D60" s="232" t="str">
        <f t="shared" ca="1" si="5"/>
        <v/>
      </c>
      <c r="E60" s="233"/>
      <c r="F60" s="231"/>
      <c r="G60" s="234"/>
      <c r="H60" s="235">
        <v>2.5</v>
      </c>
      <c r="I60" s="236" t="str">
        <f t="shared" si="6"/>
        <v/>
      </c>
      <c r="J60" s="237" t="str">
        <f t="shared" si="7"/>
        <v/>
      </c>
      <c r="K60" s="238" t="str">
        <f>IF(B60="","Pending",IF(M60="","⚠️ Enter Code",IF(IFERROR(VLOOKUP(L60,DB_Agents!$B:$I,8,0),"")=M60,"Pending","🔒 BLOCKED — Wrong Code")))</f>
        <v>Pending</v>
      </c>
      <c r="L60" s="239" t="s">
        <v>134</v>
      </c>
      <c r="M60" s="240"/>
      <c r="N60" s="230"/>
    </row>
    <row r="61" spans="1:14" ht="18" customHeight="1" x14ac:dyDescent="0.25">
      <c r="A61" s="241" t="str">
        <f t="shared" si="4"/>
        <v/>
      </c>
      <c r="B61" s="242"/>
      <c r="C61" s="243" t="str">
        <f>IF(B61="","",IFERROR(VLOOKUP(B61,DB_Customers!$A:$D,4,0),"❌ Account Not Found"))</f>
        <v/>
      </c>
      <c r="D61" s="244" t="str">
        <f t="shared" ca="1" si="5"/>
        <v/>
      </c>
      <c r="E61" s="245"/>
      <c r="F61" s="243"/>
      <c r="G61" s="246"/>
      <c r="H61" s="247">
        <v>2.5</v>
      </c>
      <c r="I61" s="248" t="str">
        <f t="shared" si="6"/>
        <v/>
      </c>
      <c r="J61" s="249" t="str">
        <f t="shared" si="7"/>
        <v/>
      </c>
      <c r="K61" s="250" t="str">
        <f>IF(B61="","Pending",IF(M61="","⚠️ Enter Code",IF(IFERROR(VLOOKUP(L61,DB_Agents!$B:$I,8,0),"")=M61,"Pending","🔒 BLOCKED — Wrong Code")))</f>
        <v>Pending</v>
      </c>
      <c r="L61" s="251" t="s">
        <v>134</v>
      </c>
      <c r="M61" s="252"/>
      <c r="N61" s="242"/>
    </row>
    <row r="62" spans="1:14" ht="18" customHeight="1" x14ac:dyDescent="0.25">
      <c r="A62" s="229" t="str">
        <f t="shared" si="4"/>
        <v/>
      </c>
      <c r="B62" s="230"/>
      <c r="C62" s="231" t="str">
        <f>IF(B62="","",IFERROR(VLOOKUP(B62,DB_Customers!$A:$D,4,0),"❌ Account Not Found"))</f>
        <v/>
      </c>
      <c r="D62" s="232" t="str">
        <f t="shared" ca="1" si="5"/>
        <v/>
      </c>
      <c r="E62" s="233"/>
      <c r="F62" s="231"/>
      <c r="G62" s="234"/>
      <c r="H62" s="235">
        <v>2.5</v>
      </c>
      <c r="I62" s="236" t="str">
        <f t="shared" si="6"/>
        <v/>
      </c>
      <c r="J62" s="237" t="str">
        <f t="shared" si="7"/>
        <v/>
      </c>
      <c r="K62" s="238" t="str">
        <f>IF(B62="","Pending",IF(M62="","⚠️ Enter Code",IF(IFERROR(VLOOKUP(L62,DB_Agents!$B:$I,8,0),"")=M62,"Pending","🔒 BLOCKED — Wrong Code")))</f>
        <v>Pending</v>
      </c>
      <c r="L62" s="239" t="s">
        <v>134</v>
      </c>
      <c r="M62" s="240"/>
      <c r="N62" s="230"/>
    </row>
    <row r="63" spans="1:14" ht="18" customHeight="1" x14ac:dyDescent="0.25">
      <c r="A63" s="241" t="str">
        <f t="shared" si="4"/>
        <v/>
      </c>
      <c r="B63" s="242"/>
      <c r="C63" s="243" t="str">
        <f>IF(B63="","",IFERROR(VLOOKUP(B63,DB_Customers!$A:$D,4,0),"❌ Account Not Found"))</f>
        <v/>
      </c>
      <c r="D63" s="244" t="str">
        <f t="shared" ca="1" si="5"/>
        <v/>
      </c>
      <c r="E63" s="245"/>
      <c r="F63" s="243"/>
      <c r="G63" s="246"/>
      <c r="H63" s="247">
        <v>2.5</v>
      </c>
      <c r="I63" s="248" t="str">
        <f t="shared" si="6"/>
        <v/>
      </c>
      <c r="J63" s="249" t="str">
        <f t="shared" si="7"/>
        <v/>
      </c>
      <c r="K63" s="250" t="str">
        <f>IF(B63="","Pending",IF(M63="","⚠️ Enter Code",IF(IFERROR(VLOOKUP(L63,DB_Agents!$B:$I,8,0),"")=M63,"Pending","🔒 BLOCKED — Wrong Code")))</f>
        <v>Pending</v>
      </c>
      <c r="L63" s="251" t="s">
        <v>134</v>
      </c>
      <c r="M63" s="252"/>
      <c r="N63" s="242"/>
    </row>
    <row r="64" spans="1:14" ht="18" customHeight="1" x14ac:dyDescent="0.25">
      <c r="A64" s="229" t="str">
        <f t="shared" si="4"/>
        <v/>
      </c>
      <c r="B64" s="230"/>
      <c r="C64" s="231" t="str">
        <f>IF(B64="","",IFERROR(VLOOKUP(B64,DB_Customers!$A:$D,4,0),"❌ Account Not Found"))</f>
        <v/>
      </c>
      <c r="D64" s="232" t="str">
        <f t="shared" ca="1" si="5"/>
        <v/>
      </c>
      <c r="E64" s="233"/>
      <c r="F64" s="231"/>
      <c r="G64" s="234"/>
      <c r="H64" s="235">
        <v>2.5</v>
      </c>
      <c r="I64" s="236" t="str">
        <f t="shared" si="6"/>
        <v/>
      </c>
      <c r="J64" s="237" t="str">
        <f t="shared" si="7"/>
        <v/>
      </c>
      <c r="K64" s="238" t="str">
        <f>IF(B64="","Pending",IF(M64="","⚠️ Enter Code",IF(IFERROR(VLOOKUP(L64,DB_Agents!$B:$I,8,0),"")=M64,"Pending","🔒 BLOCKED — Wrong Code")))</f>
        <v>Pending</v>
      </c>
      <c r="L64" s="239" t="s">
        <v>134</v>
      </c>
      <c r="M64" s="240"/>
      <c r="N64" s="230"/>
    </row>
    <row r="65" spans="1:14" ht="18" customHeight="1" x14ac:dyDescent="0.25">
      <c r="A65" s="241" t="str">
        <f t="shared" si="4"/>
        <v/>
      </c>
      <c r="B65" s="242"/>
      <c r="C65" s="243" t="str">
        <f>IF(B65="","",IFERROR(VLOOKUP(B65,DB_Customers!$A:$D,4,0),"❌ Account Not Found"))</f>
        <v/>
      </c>
      <c r="D65" s="244" t="str">
        <f t="shared" ca="1" si="5"/>
        <v/>
      </c>
      <c r="E65" s="245"/>
      <c r="F65" s="243"/>
      <c r="G65" s="246"/>
      <c r="H65" s="247">
        <v>2.5</v>
      </c>
      <c r="I65" s="248" t="str">
        <f t="shared" si="6"/>
        <v/>
      </c>
      <c r="J65" s="249" t="str">
        <f t="shared" si="7"/>
        <v/>
      </c>
      <c r="K65" s="250" t="str">
        <f>IF(B65="","Pending",IF(M65="","⚠️ Enter Code",IF(IFERROR(VLOOKUP(L65,DB_Agents!$B:$I,8,0),"")=M65,"Pending","🔒 BLOCKED — Wrong Code")))</f>
        <v>Pending</v>
      </c>
      <c r="L65" s="251" t="s">
        <v>134</v>
      </c>
      <c r="M65" s="252"/>
      <c r="N65" s="242"/>
    </row>
    <row r="66" spans="1:14" ht="18" customHeight="1" x14ac:dyDescent="0.25">
      <c r="A66" s="229" t="str">
        <f t="shared" si="4"/>
        <v/>
      </c>
      <c r="B66" s="230"/>
      <c r="C66" s="231" t="str">
        <f>IF(B66="","",IFERROR(VLOOKUP(B66,DB_Customers!$A:$D,4,0),"❌ Account Not Found"))</f>
        <v/>
      </c>
      <c r="D66" s="232" t="str">
        <f t="shared" ca="1" si="5"/>
        <v/>
      </c>
      <c r="E66" s="233"/>
      <c r="F66" s="231"/>
      <c r="G66" s="234"/>
      <c r="H66" s="235">
        <v>2.5</v>
      </c>
      <c r="I66" s="236" t="str">
        <f t="shared" si="6"/>
        <v/>
      </c>
      <c r="J66" s="237" t="str">
        <f t="shared" si="7"/>
        <v/>
      </c>
      <c r="K66" s="238" t="str">
        <f>IF(B66="","Pending",IF(M66="","⚠️ Enter Code",IF(IFERROR(VLOOKUP(L66,DB_Agents!$B:$I,8,0),"")=M66,"Pending","🔒 BLOCKED — Wrong Code")))</f>
        <v>Pending</v>
      </c>
      <c r="L66" s="239" t="s">
        <v>134</v>
      </c>
      <c r="M66" s="240"/>
      <c r="N66" s="230"/>
    </row>
    <row r="67" spans="1:14" ht="18" customHeight="1" x14ac:dyDescent="0.25">
      <c r="A67" s="241" t="str">
        <f t="shared" si="4"/>
        <v/>
      </c>
      <c r="B67" s="242"/>
      <c r="C67" s="243" t="str">
        <f>IF(B67="","",IFERROR(VLOOKUP(B67,DB_Customers!$A:$D,4,0),"❌ Account Not Found"))</f>
        <v/>
      </c>
      <c r="D67" s="244" t="str">
        <f t="shared" ca="1" si="5"/>
        <v/>
      </c>
      <c r="E67" s="245"/>
      <c r="F67" s="243"/>
      <c r="G67" s="246"/>
      <c r="H67" s="247">
        <v>2.5</v>
      </c>
      <c r="I67" s="248" t="str">
        <f t="shared" si="6"/>
        <v/>
      </c>
      <c r="J67" s="249" t="str">
        <f t="shared" si="7"/>
        <v/>
      </c>
      <c r="K67" s="250" t="str">
        <f>IF(B67="","Pending",IF(M67="","⚠️ Enter Code",IF(IFERROR(VLOOKUP(L67,DB_Agents!$B:$I,8,0),"")=M67,"Pending","🔒 BLOCKED — Wrong Code")))</f>
        <v>Pending</v>
      </c>
      <c r="L67" s="251" t="s">
        <v>134</v>
      </c>
      <c r="M67" s="252"/>
      <c r="N67" s="242"/>
    </row>
    <row r="68" spans="1:14" ht="18" customHeight="1" x14ac:dyDescent="0.25">
      <c r="A68" s="229" t="str">
        <f t="shared" si="4"/>
        <v/>
      </c>
      <c r="B68" s="230"/>
      <c r="C68" s="231" t="str">
        <f>IF(B68="","",IFERROR(VLOOKUP(B68,DB_Customers!$A:$D,4,0),"❌ Account Not Found"))</f>
        <v/>
      </c>
      <c r="D68" s="232" t="str">
        <f t="shared" ca="1" si="5"/>
        <v/>
      </c>
      <c r="E68" s="233"/>
      <c r="F68" s="231"/>
      <c r="G68" s="234"/>
      <c r="H68" s="235">
        <v>2.5</v>
      </c>
      <c r="I68" s="236" t="str">
        <f t="shared" si="6"/>
        <v/>
      </c>
      <c r="J68" s="237" t="str">
        <f t="shared" si="7"/>
        <v/>
      </c>
      <c r="K68" s="238" t="str">
        <f>IF(B68="","Pending",IF(M68="","⚠️ Enter Code",IF(IFERROR(VLOOKUP(L68,DB_Agents!$B:$I,8,0),"")=M68,"Pending","🔒 BLOCKED — Wrong Code")))</f>
        <v>Pending</v>
      </c>
      <c r="L68" s="239" t="s">
        <v>134</v>
      </c>
      <c r="M68" s="240"/>
      <c r="N68" s="230"/>
    </row>
    <row r="69" spans="1:14" ht="18" customHeight="1" x14ac:dyDescent="0.25">
      <c r="A69" s="241" t="str">
        <f t="shared" si="4"/>
        <v/>
      </c>
      <c r="B69" s="242"/>
      <c r="C69" s="243" t="str">
        <f>IF(B69="","",IFERROR(VLOOKUP(B69,DB_Customers!$A:$D,4,0),"❌ Account Not Found"))</f>
        <v/>
      </c>
      <c r="D69" s="244" t="str">
        <f t="shared" ca="1" si="5"/>
        <v/>
      </c>
      <c r="E69" s="245"/>
      <c r="F69" s="243"/>
      <c r="G69" s="246"/>
      <c r="H69" s="247">
        <v>2.5</v>
      </c>
      <c r="I69" s="248" t="str">
        <f t="shared" si="6"/>
        <v/>
      </c>
      <c r="J69" s="249" t="str">
        <f t="shared" si="7"/>
        <v/>
      </c>
      <c r="K69" s="250" t="str">
        <f>IF(B69="","Pending",IF(M69="","⚠️ Enter Code",IF(IFERROR(VLOOKUP(L69,DB_Agents!$B:$I,8,0),"")=M69,"Pending","🔒 BLOCKED — Wrong Code")))</f>
        <v>Pending</v>
      </c>
      <c r="L69" s="251" t="s">
        <v>134</v>
      </c>
      <c r="M69" s="252"/>
      <c r="N69" s="242"/>
    </row>
    <row r="70" spans="1:14" ht="18" customHeight="1" x14ac:dyDescent="0.25">
      <c r="A70" s="229" t="str">
        <f t="shared" si="4"/>
        <v/>
      </c>
      <c r="B70" s="230"/>
      <c r="C70" s="231" t="str">
        <f>IF(B70="","",IFERROR(VLOOKUP(B70,DB_Customers!$A:$D,4,0),"❌ Account Not Found"))</f>
        <v/>
      </c>
      <c r="D70" s="232" t="str">
        <f t="shared" ca="1" si="5"/>
        <v/>
      </c>
      <c r="E70" s="233"/>
      <c r="F70" s="231"/>
      <c r="G70" s="234"/>
      <c r="H70" s="235">
        <v>2.5</v>
      </c>
      <c r="I70" s="236" t="str">
        <f t="shared" si="6"/>
        <v/>
      </c>
      <c r="J70" s="237" t="str">
        <f t="shared" si="7"/>
        <v/>
      </c>
      <c r="K70" s="238" t="str">
        <f>IF(B70="","Pending",IF(M70="","⚠️ Enter Code",IF(IFERROR(VLOOKUP(L70,DB_Agents!$B:$I,8,0),"")=M70,"Pending","🔒 BLOCKED — Wrong Code")))</f>
        <v>Pending</v>
      </c>
      <c r="L70" s="239" t="s">
        <v>134</v>
      </c>
      <c r="M70" s="240"/>
      <c r="N70" s="230"/>
    </row>
    <row r="71" spans="1:14" ht="18" customHeight="1" x14ac:dyDescent="0.25">
      <c r="A71" s="241" t="str">
        <f t="shared" si="4"/>
        <v/>
      </c>
      <c r="B71" s="242"/>
      <c r="C71" s="243" t="str">
        <f>IF(B71="","",IFERROR(VLOOKUP(B71,DB_Customers!$A:$D,4,0),"❌ Account Not Found"))</f>
        <v/>
      </c>
      <c r="D71" s="244" t="str">
        <f t="shared" ca="1" si="5"/>
        <v/>
      </c>
      <c r="E71" s="245"/>
      <c r="F71" s="243"/>
      <c r="G71" s="246"/>
      <c r="H71" s="247">
        <v>2.5</v>
      </c>
      <c r="I71" s="248" t="str">
        <f t="shared" si="6"/>
        <v/>
      </c>
      <c r="J71" s="249" t="str">
        <f t="shared" si="7"/>
        <v/>
      </c>
      <c r="K71" s="250" t="str">
        <f>IF(B71="","Pending",IF(M71="","⚠️ Enter Code",IF(IFERROR(VLOOKUP(L71,DB_Agents!$B:$I,8,0),"")=M71,"Pending","🔒 BLOCKED — Wrong Code")))</f>
        <v>Pending</v>
      </c>
      <c r="L71" s="251" t="s">
        <v>134</v>
      </c>
      <c r="M71" s="252"/>
      <c r="N71" s="242"/>
    </row>
    <row r="72" spans="1:14" ht="18" customHeight="1" x14ac:dyDescent="0.25">
      <c r="A72" s="229" t="str">
        <f t="shared" si="4"/>
        <v/>
      </c>
      <c r="B72" s="230"/>
      <c r="C72" s="231" t="str">
        <f>IF(B72="","",IFERROR(VLOOKUP(B72,DB_Customers!$A:$D,4,0),"❌ Account Not Found"))</f>
        <v/>
      </c>
      <c r="D72" s="232" t="str">
        <f t="shared" ca="1" si="5"/>
        <v/>
      </c>
      <c r="E72" s="233"/>
      <c r="F72" s="231"/>
      <c r="G72" s="234"/>
      <c r="H72" s="235">
        <v>2.5</v>
      </c>
      <c r="I72" s="236" t="str">
        <f t="shared" si="6"/>
        <v/>
      </c>
      <c r="J72" s="237" t="str">
        <f t="shared" si="7"/>
        <v/>
      </c>
      <c r="K72" s="238" t="str">
        <f>IF(B72="","Pending",IF(M72="","⚠️ Enter Code",IF(IFERROR(VLOOKUP(L72,DB_Agents!$B:$I,8,0),"")=M72,"Pending","🔒 BLOCKED — Wrong Code")))</f>
        <v>Pending</v>
      </c>
      <c r="L72" s="239" t="s">
        <v>134</v>
      </c>
      <c r="M72" s="240"/>
      <c r="N72" s="230"/>
    </row>
    <row r="73" spans="1:14" ht="18" customHeight="1" x14ac:dyDescent="0.25">
      <c r="A73" s="241" t="str">
        <f t="shared" si="4"/>
        <v/>
      </c>
      <c r="B73" s="242"/>
      <c r="C73" s="243" t="str">
        <f>IF(B73="","",IFERROR(VLOOKUP(B73,DB_Customers!$A:$D,4,0),"❌ Account Not Found"))</f>
        <v/>
      </c>
      <c r="D73" s="244" t="str">
        <f t="shared" ca="1" si="5"/>
        <v/>
      </c>
      <c r="E73" s="245"/>
      <c r="F73" s="243"/>
      <c r="G73" s="246"/>
      <c r="H73" s="247">
        <v>2.5</v>
      </c>
      <c r="I73" s="248" t="str">
        <f t="shared" si="6"/>
        <v/>
      </c>
      <c r="J73" s="249" t="str">
        <f t="shared" si="7"/>
        <v/>
      </c>
      <c r="K73" s="250" t="str">
        <f>IF(B73="","Pending",IF(M73="","⚠️ Enter Code",IF(IFERROR(VLOOKUP(L73,DB_Agents!$B:$I,8,0),"")=M73,"Pending","🔒 BLOCKED — Wrong Code")))</f>
        <v>Pending</v>
      </c>
      <c r="L73" s="251" t="s">
        <v>134</v>
      </c>
      <c r="M73" s="252"/>
      <c r="N73" s="242"/>
    </row>
    <row r="74" spans="1:14" ht="18" customHeight="1" x14ac:dyDescent="0.25">
      <c r="A74" s="229" t="str">
        <f t="shared" si="4"/>
        <v/>
      </c>
      <c r="B74" s="230"/>
      <c r="C74" s="231" t="str">
        <f>IF(B74="","",IFERROR(VLOOKUP(B74,DB_Customers!$A:$D,4,0),"❌ Account Not Found"))</f>
        <v/>
      </c>
      <c r="D74" s="232" t="str">
        <f t="shared" ca="1" si="5"/>
        <v/>
      </c>
      <c r="E74" s="233"/>
      <c r="F74" s="231"/>
      <c r="G74" s="234"/>
      <c r="H74" s="235">
        <v>2.5</v>
      </c>
      <c r="I74" s="236" t="str">
        <f t="shared" si="6"/>
        <v/>
      </c>
      <c r="J74" s="237" t="str">
        <f t="shared" si="7"/>
        <v/>
      </c>
      <c r="K74" s="238" t="str">
        <f>IF(B74="","Pending",IF(M74="","⚠️ Enter Code",IF(IFERROR(VLOOKUP(L74,DB_Agents!$B:$I,8,0),"")=M74,"Pending","🔒 BLOCKED — Wrong Code")))</f>
        <v>Pending</v>
      </c>
      <c r="L74" s="239" t="s">
        <v>134</v>
      </c>
      <c r="M74" s="240"/>
      <c r="N74" s="230"/>
    </row>
    <row r="75" spans="1:14" ht="18" customHeight="1" x14ac:dyDescent="0.25">
      <c r="A75" s="241" t="str">
        <f t="shared" si="4"/>
        <v/>
      </c>
      <c r="B75" s="242"/>
      <c r="C75" s="243" t="str">
        <f>IF(B75="","",IFERROR(VLOOKUP(B75,DB_Customers!$A:$D,4,0),"❌ Account Not Found"))</f>
        <v/>
      </c>
      <c r="D75" s="244" t="str">
        <f t="shared" ca="1" si="5"/>
        <v/>
      </c>
      <c r="E75" s="245"/>
      <c r="F75" s="243"/>
      <c r="G75" s="246"/>
      <c r="H75" s="247">
        <v>2.5</v>
      </c>
      <c r="I75" s="248" t="str">
        <f t="shared" si="6"/>
        <v/>
      </c>
      <c r="J75" s="249" t="str">
        <f t="shared" si="7"/>
        <v/>
      </c>
      <c r="K75" s="250" t="str">
        <f>IF(B75="","Pending",IF(M75="","⚠️ Enter Code",IF(IFERROR(VLOOKUP(L75,DB_Agents!$B:$I,8,0),"")=M75,"Pending","🔒 BLOCKED — Wrong Code")))</f>
        <v>Pending</v>
      </c>
      <c r="L75" s="251" t="s">
        <v>134</v>
      </c>
      <c r="M75" s="252"/>
      <c r="N75" s="242"/>
    </row>
    <row r="76" spans="1:14" ht="18" customHeight="1" x14ac:dyDescent="0.25">
      <c r="A76" s="229" t="str">
        <f t="shared" si="4"/>
        <v/>
      </c>
      <c r="B76" s="230"/>
      <c r="C76" s="231" t="str">
        <f>IF(B76="","",IFERROR(VLOOKUP(B76,DB_Customers!$A:$D,4,0),"❌ Account Not Found"))</f>
        <v/>
      </c>
      <c r="D76" s="232" t="str">
        <f t="shared" ca="1" si="5"/>
        <v/>
      </c>
      <c r="E76" s="233"/>
      <c r="F76" s="231"/>
      <c r="G76" s="234"/>
      <c r="H76" s="235">
        <v>2.5</v>
      </c>
      <c r="I76" s="236" t="str">
        <f t="shared" si="6"/>
        <v/>
      </c>
      <c r="J76" s="237" t="str">
        <f t="shared" si="7"/>
        <v/>
      </c>
      <c r="K76" s="238" t="str">
        <f>IF(B76="","Pending",IF(M76="","⚠️ Enter Code",IF(IFERROR(VLOOKUP(L76,DB_Agents!$B:$I,8,0),"")=M76,"Pending","🔒 BLOCKED — Wrong Code")))</f>
        <v>Pending</v>
      </c>
      <c r="L76" s="239" t="s">
        <v>134</v>
      </c>
      <c r="M76" s="240"/>
      <c r="N76" s="230"/>
    </row>
    <row r="77" spans="1:14" ht="18" customHeight="1" x14ac:dyDescent="0.25">
      <c r="A77" s="241" t="str">
        <f t="shared" si="4"/>
        <v/>
      </c>
      <c r="B77" s="242"/>
      <c r="C77" s="243" t="str">
        <f>IF(B77="","",IFERROR(VLOOKUP(B77,DB_Customers!$A:$D,4,0),"❌ Account Not Found"))</f>
        <v/>
      </c>
      <c r="D77" s="244" t="str">
        <f t="shared" ca="1" si="5"/>
        <v/>
      </c>
      <c r="E77" s="245"/>
      <c r="F77" s="243"/>
      <c r="G77" s="246"/>
      <c r="H77" s="247">
        <v>2.5</v>
      </c>
      <c r="I77" s="248" t="str">
        <f t="shared" si="6"/>
        <v/>
      </c>
      <c r="J77" s="249" t="str">
        <f t="shared" si="7"/>
        <v/>
      </c>
      <c r="K77" s="250" t="str">
        <f>IF(B77="","Pending",IF(M77="","⚠️ Enter Code",IF(IFERROR(VLOOKUP(L77,DB_Agents!$B:$I,8,0),"")=M77,"Pending","🔒 BLOCKED — Wrong Code")))</f>
        <v>Pending</v>
      </c>
      <c r="L77" s="251" t="s">
        <v>134</v>
      </c>
      <c r="M77" s="252"/>
      <c r="N77" s="242"/>
    </row>
    <row r="78" spans="1:14" ht="18" customHeight="1" x14ac:dyDescent="0.25">
      <c r="A78" s="229" t="str">
        <f t="shared" ref="A78:A109" si="8">IF(B78="","",IF(C78="❌ Account Not Found","INVALID","LN"&amp;TEXT(D78,"YYYYMMDD")&amp;TEXT(ROW()-13,"0000")))</f>
        <v/>
      </c>
      <c r="B78" s="230"/>
      <c r="C78" s="231" t="str">
        <f>IF(B78="","",IFERROR(VLOOKUP(B78,DB_Customers!$A:$D,4,0),"❌ Account Not Found"))</f>
        <v/>
      </c>
      <c r="D78" s="232" t="str">
        <f t="shared" ref="D78:D109" ca="1" si="9">IF(B78="","",TODAY())</f>
        <v/>
      </c>
      <c r="E78" s="233"/>
      <c r="F78" s="231"/>
      <c r="G78" s="234"/>
      <c r="H78" s="235">
        <v>2.5</v>
      </c>
      <c r="I78" s="236" t="str">
        <f t="shared" ref="I78:I109" si="10">IF(E78="","",E78+(E78*H78/100*G78))</f>
        <v/>
      </c>
      <c r="J78" s="237" t="str">
        <f t="shared" ref="J78:J109" si="11">IFERROR(I78/G78,"")</f>
        <v/>
      </c>
      <c r="K78" s="238" t="str">
        <f>IF(B78="","Pending",IF(M78="","⚠️ Enter Code",IF(IFERROR(VLOOKUP(L78,DB_Agents!$B:$I,8,0),"")=M78,"Pending","🔒 BLOCKED — Wrong Code")))</f>
        <v>Pending</v>
      </c>
      <c r="L78" s="239" t="s">
        <v>134</v>
      </c>
      <c r="M78" s="240"/>
      <c r="N78" s="230"/>
    </row>
    <row r="79" spans="1:14" ht="18" customHeight="1" x14ac:dyDescent="0.25">
      <c r="A79" s="241" t="str">
        <f t="shared" si="8"/>
        <v/>
      </c>
      <c r="B79" s="242"/>
      <c r="C79" s="243" t="str">
        <f>IF(B79="","",IFERROR(VLOOKUP(B79,DB_Customers!$A:$D,4,0),"❌ Account Not Found"))</f>
        <v/>
      </c>
      <c r="D79" s="244" t="str">
        <f t="shared" ca="1" si="9"/>
        <v/>
      </c>
      <c r="E79" s="245"/>
      <c r="F79" s="243"/>
      <c r="G79" s="246"/>
      <c r="H79" s="247">
        <v>2.5</v>
      </c>
      <c r="I79" s="248" t="str">
        <f t="shared" si="10"/>
        <v/>
      </c>
      <c r="J79" s="249" t="str">
        <f t="shared" si="11"/>
        <v/>
      </c>
      <c r="K79" s="250" t="str">
        <f>IF(B79="","Pending",IF(M79="","⚠️ Enter Code",IF(IFERROR(VLOOKUP(L79,DB_Agents!$B:$I,8,0),"")=M79,"Pending","🔒 BLOCKED — Wrong Code")))</f>
        <v>Pending</v>
      </c>
      <c r="L79" s="251" t="s">
        <v>134</v>
      </c>
      <c r="M79" s="252"/>
      <c r="N79" s="242"/>
    </row>
    <row r="80" spans="1:14" ht="18" customHeight="1" x14ac:dyDescent="0.25">
      <c r="A80" s="229" t="str">
        <f t="shared" si="8"/>
        <v/>
      </c>
      <c r="B80" s="230"/>
      <c r="C80" s="231" t="str">
        <f>IF(B80="","",IFERROR(VLOOKUP(B80,DB_Customers!$A:$D,4,0),"❌ Account Not Found"))</f>
        <v/>
      </c>
      <c r="D80" s="232" t="str">
        <f t="shared" ca="1" si="9"/>
        <v/>
      </c>
      <c r="E80" s="233"/>
      <c r="F80" s="231"/>
      <c r="G80" s="234"/>
      <c r="H80" s="235">
        <v>2.5</v>
      </c>
      <c r="I80" s="236" t="str">
        <f t="shared" si="10"/>
        <v/>
      </c>
      <c r="J80" s="237" t="str">
        <f t="shared" si="11"/>
        <v/>
      </c>
      <c r="K80" s="238" t="str">
        <f>IF(B80="","Pending",IF(M80="","⚠️ Enter Code",IF(IFERROR(VLOOKUP(L80,DB_Agents!$B:$I,8,0),"")=M80,"Pending","🔒 BLOCKED — Wrong Code")))</f>
        <v>Pending</v>
      </c>
      <c r="L80" s="239" t="s">
        <v>134</v>
      </c>
      <c r="M80" s="240"/>
      <c r="N80" s="230"/>
    </row>
    <row r="81" spans="1:14" ht="18" customHeight="1" x14ac:dyDescent="0.25">
      <c r="A81" s="241" t="str">
        <f t="shared" si="8"/>
        <v/>
      </c>
      <c r="B81" s="242"/>
      <c r="C81" s="243" t="str">
        <f>IF(B81="","",IFERROR(VLOOKUP(B81,DB_Customers!$A:$D,4,0),"❌ Account Not Found"))</f>
        <v/>
      </c>
      <c r="D81" s="244" t="str">
        <f t="shared" ca="1" si="9"/>
        <v/>
      </c>
      <c r="E81" s="245"/>
      <c r="F81" s="243"/>
      <c r="G81" s="246"/>
      <c r="H81" s="247">
        <v>2.5</v>
      </c>
      <c r="I81" s="248" t="str">
        <f t="shared" si="10"/>
        <v/>
      </c>
      <c r="J81" s="249" t="str">
        <f t="shared" si="11"/>
        <v/>
      </c>
      <c r="K81" s="250" t="str">
        <f>IF(B81="","Pending",IF(M81="","⚠️ Enter Code",IF(IFERROR(VLOOKUP(L81,DB_Agents!$B:$I,8,0),"")=M81,"Pending","🔒 BLOCKED — Wrong Code")))</f>
        <v>Pending</v>
      </c>
      <c r="L81" s="251" t="s">
        <v>134</v>
      </c>
      <c r="M81" s="252"/>
      <c r="N81" s="242"/>
    </row>
    <row r="82" spans="1:14" ht="18" customHeight="1" x14ac:dyDescent="0.25">
      <c r="A82" s="229" t="str">
        <f t="shared" si="8"/>
        <v/>
      </c>
      <c r="B82" s="230"/>
      <c r="C82" s="231" t="str">
        <f>IF(B82="","",IFERROR(VLOOKUP(B82,DB_Customers!$A:$D,4,0),"❌ Account Not Found"))</f>
        <v/>
      </c>
      <c r="D82" s="232" t="str">
        <f t="shared" ca="1" si="9"/>
        <v/>
      </c>
      <c r="E82" s="233"/>
      <c r="F82" s="231"/>
      <c r="G82" s="234"/>
      <c r="H82" s="235">
        <v>2.5</v>
      </c>
      <c r="I82" s="236" t="str">
        <f t="shared" si="10"/>
        <v/>
      </c>
      <c r="J82" s="237" t="str">
        <f t="shared" si="11"/>
        <v/>
      </c>
      <c r="K82" s="238" t="str">
        <f>IF(B82="","Pending",IF(M82="","⚠️ Enter Code",IF(IFERROR(VLOOKUP(L82,DB_Agents!$B:$I,8,0),"")=M82,"Pending","🔒 BLOCKED — Wrong Code")))</f>
        <v>Pending</v>
      </c>
      <c r="L82" s="239" t="s">
        <v>134</v>
      </c>
      <c r="M82" s="240"/>
      <c r="N82" s="230"/>
    </row>
    <row r="83" spans="1:14" ht="18" customHeight="1" x14ac:dyDescent="0.25">
      <c r="A83" s="241" t="str">
        <f t="shared" si="8"/>
        <v/>
      </c>
      <c r="B83" s="242"/>
      <c r="C83" s="243" t="str">
        <f>IF(B83="","",IFERROR(VLOOKUP(B83,DB_Customers!$A:$D,4,0),"❌ Account Not Found"))</f>
        <v/>
      </c>
      <c r="D83" s="244" t="str">
        <f t="shared" ca="1" si="9"/>
        <v/>
      </c>
      <c r="E83" s="245"/>
      <c r="F83" s="243"/>
      <c r="G83" s="246"/>
      <c r="H83" s="247">
        <v>2.5</v>
      </c>
      <c r="I83" s="248" t="str">
        <f t="shared" si="10"/>
        <v/>
      </c>
      <c r="J83" s="249" t="str">
        <f t="shared" si="11"/>
        <v/>
      </c>
      <c r="K83" s="250" t="str">
        <f>IF(B83="","Pending",IF(M83="","⚠️ Enter Code",IF(IFERROR(VLOOKUP(L83,DB_Agents!$B:$I,8,0),"")=M83,"Pending","🔒 BLOCKED — Wrong Code")))</f>
        <v>Pending</v>
      </c>
      <c r="L83" s="251" t="s">
        <v>134</v>
      </c>
      <c r="M83" s="252"/>
      <c r="N83" s="242"/>
    </row>
    <row r="84" spans="1:14" ht="18" customHeight="1" x14ac:dyDescent="0.25">
      <c r="A84" s="229" t="str">
        <f t="shared" si="8"/>
        <v/>
      </c>
      <c r="B84" s="230"/>
      <c r="C84" s="231" t="str">
        <f>IF(B84="","",IFERROR(VLOOKUP(B84,DB_Customers!$A:$D,4,0),"❌ Account Not Found"))</f>
        <v/>
      </c>
      <c r="D84" s="232" t="str">
        <f t="shared" ca="1" si="9"/>
        <v/>
      </c>
      <c r="E84" s="233"/>
      <c r="F84" s="231"/>
      <c r="G84" s="234"/>
      <c r="H84" s="235">
        <v>2.5</v>
      </c>
      <c r="I84" s="236" t="str">
        <f t="shared" si="10"/>
        <v/>
      </c>
      <c r="J84" s="237" t="str">
        <f t="shared" si="11"/>
        <v/>
      </c>
      <c r="K84" s="238" t="str">
        <f>IF(B84="","Pending",IF(M84="","⚠️ Enter Code",IF(IFERROR(VLOOKUP(L84,DB_Agents!$B:$I,8,0),"")=M84,"Pending","🔒 BLOCKED — Wrong Code")))</f>
        <v>Pending</v>
      </c>
      <c r="L84" s="239" t="s">
        <v>134</v>
      </c>
      <c r="M84" s="240"/>
      <c r="N84" s="230"/>
    </row>
    <row r="85" spans="1:14" ht="18" customHeight="1" x14ac:dyDescent="0.25">
      <c r="A85" s="241" t="str">
        <f t="shared" si="8"/>
        <v/>
      </c>
      <c r="B85" s="242"/>
      <c r="C85" s="243" t="str">
        <f>IF(B85="","",IFERROR(VLOOKUP(B85,DB_Customers!$A:$D,4,0),"❌ Account Not Found"))</f>
        <v/>
      </c>
      <c r="D85" s="244" t="str">
        <f t="shared" ca="1" si="9"/>
        <v/>
      </c>
      <c r="E85" s="245"/>
      <c r="F85" s="243"/>
      <c r="G85" s="246"/>
      <c r="H85" s="247">
        <v>2.5</v>
      </c>
      <c r="I85" s="248" t="str">
        <f t="shared" si="10"/>
        <v/>
      </c>
      <c r="J85" s="249" t="str">
        <f t="shared" si="11"/>
        <v/>
      </c>
      <c r="K85" s="250" t="str">
        <f>IF(B85="","Pending",IF(M85="","⚠️ Enter Code",IF(IFERROR(VLOOKUP(L85,DB_Agents!$B:$I,8,0),"")=M85,"Pending","🔒 BLOCKED — Wrong Code")))</f>
        <v>Pending</v>
      </c>
      <c r="L85" s="251" t="s">
        <v>134</v>
      </c>
      <c r="M85" s="252"/>
      <c r="N85" s="242"/>
    </row>
    <row r="86" spans="1:14" ht="18" customHeight="1" x14ac:dyDescent="0.25">
      <c r="A86" s="229" t="str">
        <f t="shared" si="8"/>
        <v/>
      </c>
      <c r="B86" s="230"/>
      <c r="C86" s="231" t="str">
        <f>IF(B86="","",IFERROR(VLOOKUP(B86,DB_Customers!$A:$D,4,0),"❌ Account Not Found"))</f>
        <v/>
      </c>
      <c r="D86" s="232" t="str">
        <f t="shared" ca="1" si="9"/>
        <v/>
      </c>
      <c r="E86" s="233"/>
      <c r="F86" s="231"/>
      <c r="G86" s="234"/>
      <c r="H86" s="235">
        <v>2.5</v>
      </c>
      <c r="I86" s="236" t="str">
        <f t="shared" si="10"/>
        <v/>
      </c>
      <c r="J86" s="237" t="str">
        <f t="shared" si="11"/>
        <v/>
      </c>
      <c r="K86" s="238" t="str">
        <f>IF(B86="","Pending",IF(M86="","⚠️ Enter Code",IF(IFERROR(VLOOKUP(L86,DB_Agents!$B:$I,8,0),"")=M86,"Pending","🔒 BLOCKED — Wrong Code")))</f>
        <v>Pending</v>
      </c>
      <c r="L86" s="239" t="s">
        <v>134</v>
      </c>
      <c r="M86" s="240"/>
      <c r="N86" s="230"/>
    </row>
    <row r="87" spans="1:14" ht="18" customHeight="1" x14ac:dyDescent="0.25">
      <c r="A87" s="241" t="str">
        <f t="shared" si="8"/>
        <v/>
      </c>
      <c r="B87" s="242"/>
      <c r="C87" s="243" t="str">
        <f>IF(B87="","",IFERROR(VLOOKUP(B87,DB_Customers!$A:$D,4,0),"❌ Account Not Found"))</f>
        <v/>
      </c>
      <c r="D87" s="244" t="str">
        <f t="shared" ca="1" si="9"/>
        <v/>
      </c>
      <c r="E87" s="245"/>
      <c r="F87" s="243"/>
      <c r="G87" s="246"/>
      <c r="H87" s="247">
        <v>2.5</v>
      </c>
      <c r="I87" s="248" t="str">
        <f t="shared" si="10"/>
        <v/>
      </c>
      <c r="J87" s="249" t="str">
        <f t="shared" si="11"/>
        <v/>
      </c>
      <c r="K87" s="250" t="str">
        <f>IF(B87="","Pending",IF(M87="","⚠️ Enter Code",IF(IFERROR(VLOOKUP(L87,DB_Agents!$B:$I,8,0),"")=M87,"Pending","🔒 BLOCKED — Wrong Code")))</f>
        <v>Pending</v>
      </c>
      <c r="L87" s="251" t="s">
        <v>134</v>
      </c>
      <c r="M87" s="252"/>
      <c r="N87" s="242"/>
    </row>
    <row r="88" spans="1:14" ht="18" customHeight="1" x14ac:dyDescent="0.25">
      <c r="A88" s="229" t="str">
        <f t="shared" si="8"/>
        <v/>
      </c>
      <c r="B88" s="230"/>
      <c r="C88" s="231" t="str">
        <f>IF(B88="","",IFERROR(VLOOKUP(B88,DB_Customers!$A:$D,4,0),"❌ Account Not Found"))</f>
        <v/>
      </c>
      <c r="D88" s="232" t="str">
        <f t="shared" ca="1" si="9"/>
        <v/>
      </c>
      <c r="E88" s="233"/>
      <c r="F88" s="231"/>
      <c r="G88" s="234"/>
      <c r="H88" s="235">
        <v>2.5</v>
      </c>
      <c r="I88" s="236" t="str">
        <f t="shared" si="10"/>
        <v/>
      </c>
      <c r="J88" s="237" t="str">
        <f t="shared" si="11"/>
        <v/>
      </c>
      <c r="K88" s="238" t="str">
        <f>IF(B88="","Pending",IF(M88="","⚠️ Enter Code",IF(IFERROR(VLOOKUP(L88,DB_Agents!$B:$I,8,0),"")=M88,"Pending","🔒 BLOCKED — Wrong Code")))</f>
        <v>Pending</v>
      </c>
      <c r="L88" s="239" t="s">
        <v>134</v>
      </c>
      <c r="M88" s="240"/>
      <c r="N88" s="230"/>
    </row>
    <row r="89" spans="1:14" ht="18" customHeight="1" x14ac:dyDescent="0.25">
      <c r="A89" s="241" t="str">
        <f t="shared" si="8"/>
        <v/>
      </c>
      <c r="B89" s="242"/>
      <c r="C89" s="243" t="str">
        <f>IF(B89="","",IFERROR(VLOOKUP(B89,DB_Customers!$A:$D,4,0),"❌ Account Not Found"))</f>
        <v/>
      </c>
      <c r="D89" s="244" t="str">
        <f t="shared" ca="1" si="9"/>
        <v/>
      </c>
      <c r="E89" s="245"/>
      <c r="F89" s="243"/>
      <c r="G89" s="246"/>
      <c r="H89" s="247">
        <v>2.5</v>
      </c>
      <c r="I89" s="248" t="str">
        <f t="shared" si="10"/>
        <v/>
      </c>
      <c r="J89" s="249" t="str">
        <f t="shared" si="11"/>
        <v/>
      </c>
      <c r="K89" s="250" t="str">
        <f>IF(B89="","Pending",IF(M89="","⚠️ Enter Code",IF(IFERROR(VLOOKUP(L89,DB_Agents!$B:$I,8,0),"")=M89,"Pending","🔒 BLOCKED — Wrong Code")))</f>
        <v>Pending</v>
      </c>
      <c r="L89" s="251" t="s">
        <v>134</v>
      </c>
      <c r="M89" s="252"/>
      <c r="N89" s="242"/>
    </row>
    <row r="90" spans="1:14" ht="18" customHeight="1" x14ac:dyDescent="0.25">
      <c r="A90" s="229" t="str">
        <f t="shared" si="8"/>
        <v/>
      </c>
      <c r="B90" s="230"/>
      <c r="C90" s="231" t="str">
        <f>IF(B90="","",IFERROR(VLOOKUP(B90,DB_Customers!$A:$D,4,0),"❌ Account Not Found"))</f>
        <v/>
      </c>
      <c r="D90" s="232" t="str">
        <f t="shared" ca="1" si="9"/>
        <v/>
      </c>
      <c r="E90" s="233"/>
      <c r="F90" s="231"/>
      <c r="G90" s="234"/>
      <c r="H90" s="235">
        <v>2.5</v>
      </c>
      <c r="I90" s="236" t="str">
        <f t="shared" si="10"/>
        <v/>
      </c>
      <c r="J90" s="237" t="str">
        <f t="shared" si="11"/>
        <v/>
      </c>
      <c r="K90" s="238" t="str">
        <f>IF(B90="","Pending",IF(M90="","⚠️ Enter Code",IF(IFERROR(VLOOKUP(L90,DB_Agents!$B:$I,8,0),"")=M90,"Pending","🔒 BLOCKED — Wrong Code")))</f>
        <v>Pending</v>
      </c>
      <c r="L90" s="239" t="s">
        <v>134</v>
      </c>
      <c r="M90" s="240"/>
      <c r="N90" s="230"/>
    </row>
    <row r="91" spans="1:14" ht="18" customHeight="1" x14ac:dyDescent="0.25">
      <c r="A91" s="241" t="str">
        <f t="shared" si="8"/>
        <v/>
      </c>
      <c r="B91" s="242"/>
      <c r="C91" s="243" t="str">
        <f>IF(B91="","",IFERROR(VLOOKUP(B91,DB_Customers!$A:$D,4,0),"❌ Account Not Found"))</f>
        <v/>
      </c>
      <c r="D91" s="244" t="str">
        <f t="shared" ca="1" si="9"/>
        <v/>
      </c>
      <c r="E91" s="245"/>
      <c r="F91" s="243"/>
      <c r="G91" s="246"/>
      <c r="H91" s="247">
        <v>2.5</v>
      </c>
      <c r="I91" s="248" t="str">
        <f t="shared" si="10"/>
        <v/>
      </c>
      <c r="J91" s="249" t="str">
        <f t="shared" si="11"/>
        <v/>
      </c>
      <c r="K91" s="250" t="str">
        <f>IF(B91="","Pending",IF(M91="","⚠️ Enter Code",IF(IFERROR(VLOOKUP(L91,DB_Agents!$B:$I,8,0),"")=M91,"Pending","🔒 BLOCKED — Wrong Code")))</f>
        <v>Pending</v>
      </c>
      <c r="L91" s="251" t="s">
        <v>134</v>
      </c>
      <c r="M91" s="252"/>
      <c r="N91" s="242"/>
    </row>
    <row r="92" spans="1:14" ht="18" customHeight="1" x14ac:dyDescent="0.25">
      <c r="A92" s="229" t="str">
        <f t="shared" si="8"/>
        <v/>
      </c>
      <c r="B92" s="230"/>
      <c r="C92" s="231" t="str">
        <f>IF(B92="","",IFERROR(VLOOKUP(B92,DB_Customers!$A:$D,4,0),"❌ Account Not Found"))</f>
        <v/>
      </c>
      <c r="D92" s="232" t="str">
        <f t="shared" ca="1" si="9"/>
        <v/>
      </c>
      <c r="E92" s="233"/>
      <c r="F92" s="231"/>
      <c r="G92" s="234"/>
      <c r="H92" s="235">
        <v>2.5</v>
      </c>
      <c r="I92" s="236" t="str">
        <f t="shared" si="10"/>
        <v/>
      </c>
      <c r="J92" s="237" t="str">
        <f t="shared" si="11"/>
        <v/>
      </c>
      <c r="K92" s="238" t="str">
        <f>IF(B92="","Pending",IF(M92="","⚠️ Enter Code",IF(IFERROR(VLOOKUP(L92,DB_Agents!$B:$I,8,0),"")=M92,"Pending","🔒 BLOCKED — Wrong Code")))</f>
        <v>Pending</v>
      </c>
      <c r="L92" s="239" t="s">
        <v>134</v>
      </c>
      <c r="M92" s="240"/>
      <c r="N92" s="230"/>
    </row>
    <row r="93" spans="1:14" ht="18" customHeight="1" x14ac:dyDescent="0.25">
      <c r="A93" s="241" t="str">
        <f t="shared" si="8"/>
        <v/>
      </c>
      <c r="B93" s="242"/>
      <c r="C93" s="243" t="str">
        <f>IF(B93="","",IFERROR(VLOOKUP(B93,DB_Customers!$A:$D,4,0),"❌ Account Not Found"))</f>
        <v/>
      </c>
      <c r="D93" s="244" t="str">
        <f t="shared" ca="1" si="9"/>
        <v/>
      </c>
      <c r="E93" s="245"/>
      <c r="F93" s="243"/>
      <c r="G93" s="246"/>
      <c r="H93" s="247">
        <v>2.5</v>
      </c>
      <c r="I93" s="248" t="str">
        <f t="shared" si="10"/>
        <v/>
      </c>
      <c r="J93" s="249" t="str">
        <f t="shared" si="11"/>
        <v/>
      </c>
      <c r="K93" s="250" t="str">
        <f>IF(B93="","Pending",IF(M93="","⚠️ Enter Code",IF(IFERROR(VLOOKUP(L93,DB_Agents!$B:$I,8,0),"")=M93,"Pending","🔒 BLOCKED — Wrong Code")))</f>
        <v>Pending</v>
      </c>
      <c r="L93" s="251" t="s">
        <v>134</v>
      </c>
      <c r="M93" s="252"/>
      <c r="N93" s="242"/>
    </row>
    <row r="94" spans="1:14" ht="18" customHeight="1" x14ac:dyDescent="0.25">
      <c r="A94" s="229" t="str">
        <f t="shared" si="8"/>
        <v/>
      </c>
      <c r="B94" s="230"/>
      <c r="C94" s="231" t="str">
        <f>IF(B94="","",IFERROR(VLOOKUP(B94,DB_Customers!$A:$D,4,0),"❌ Account Not Found"))</f>
        <v/>
      </c>
      <c r="D94" s="232" t="str">
        <f t="shared" ca="1" si="9"/>
        <v/>
      </c>
      <c r="E94" s="233"/>
      <c r="F94" s="231"/>
      <c r="G94" s="234"/>
      <c r="H94" s="235">
        <v>2.5</v>
      </c>
      <c r="I94" s="236" t="str">
        <f t="shared" si="10"/>
        <v/>
      </c>
      <c r="J94" s="237" t="str">
        <f t="shared" si="11"/>
        <v/>
      </c>
      <c r="K94" s="238" t="str">
        <f>IF(B94="","Pending",IF(M94="","⚠️ Enter Code",IF(IFERROR(VLOOKUP(L94,DB_Agents!$B:$I,8,0),"")=M94,"Pending","🔒 BLOCKED — Wrong Code")))</f>
        <v>Pending</v>
      </c>
      <c r="L94" s="239" t="s">
        <v>134</v>
      </c>
      <c r="M94" s="240"/>
      <c r="N94" s="230"/>
    </row>
    <row r="95" spans="1:14" ht="18" customHeight="1" x14ac:dyDescent="0.25">
      <c r="A95" s="241" t="str">
        <f t="shared" si="8"/>
        <v/>
      </c>
      <c r="B95" s="242"/>
      <c r="C95" s="243" t="str">
        <f>IF(B95="","",IFERROR(VLOOKUP(B95,DB_Customers!$A:$D,4,0),"❌ Account Not Found"))</f>
        <v/>
      </c>
      <c r="D95" s="244" t="str">
        <f t="shared" ca="1" si="9"/>
        <v/>
      </c>
      <c r="E95" s="245"/>
      <c r="F95" s="243"/>
      <c r="G95" s="246"/>
      <c r="H95" s="247">
        <v>2.5</v>
      </c>
      <c r="I95" s="248" t="str">
        <f t="shared" si="10"/>
        <v/>
      </c>
      <c r="J95" s="249" t="str">
        <f t="shared" si="11"/>
        <v/>
      </c>
      <c r="K95" s="250" t="str">
        <f>IF(B95="","Pending",IF(M95="","⚠️ Enter Code",IF(IFERROR(VLOOKUP(L95,DB_Agents!$B:$I,8,0),"")=M95,"Pending","🔒 BLOCKED — Wrong Code")))</f>
        <v>Pending</v>
      </c>
      <c r="L95" s="251" t="s">
        <v>134</v>
      </c>
      <c r="M95" s="252"/>
      <c r="N95" s="242"/>
    </row>
    <row r="96" spans="1:14" ht="18" customHeight="1" x14ac:dyDescent="0.25">
      <c r="A96" s="229" t="str">
        <f t="shared" si="8"/>
        <v/>
      </c>
      <c r="B96" s="230"/>
      <c r="C96" s="231" t="str">
        <f>IF(B96="","",IFERROR(VLOOKUP(B96,DB_Customers!$A:$D,4,0),"❌ Account Not Found"))</f>
        <v/>
      </c>
      <c r="D96" s="232" t="str">
        <f t="shared" ca="1" si="9"/>
        <v/>
      </c>
      <c r="E96" s="233"/>
      <c r="F96" s="231"/>
      <c r="G96" s="234"/>
      <c r="H96" s="235">
        <v>2.5</v>
      </c>
      <c r="I96" s="236" t="str">
        <f t="shared" si="10"/>
        <v/>
      </c>
      <c r="J96" s="237" t="str">
        <f t="shared" si="11"/>
        <v/>
      </c>
      <c r="K96" s="238" t="str">
        <f>IF(B96="","Pending",IF(M96="","⚠️ Enter Code",IF(IFERROR(VLOOKUP(L96,DB_Agents!$B:$I,8,0),"")=M96,"Pending","🔒 BLOCKED — Wrong Code")))</f>
        <v>Pending</v>
      </c>
      <c r="L96" s="239" t="s">
        <v>134</v>
      </c>
      <c r="M96" s="240"/>
      <c r="N96" s="230"/>
    </row>
    <row r="97" spans="1:14" ht="18" customHeight="1" x14ac:dyDescent="0.25">
      <c r="A97" s="241" t="str">
        <f t="shared" si="8"/>
        <v/>
      </c>
      <c r="B97" s="242"/>
      <c r="C97" s="243" t="str">
        <f>IF(B97="","",IFERROR(VLOOKUP(B97,DB_Customers!$A:$D,4,0),"❌ Account Not Found"))</f>
        <v/>
      </c>
      <c r="D97" s="244" t="str">
        <f t="shared" ca="1" si="9"/>
        <v/>
      </c>
      <c r="E97" s="245"/>
      <c r="F97" s="243"/>
      <c r="G97" s="246"/>
      <c r="H97" s="247">
        <v>2.5</v>
      </c>
      <c r="I97" s="248" t="str">
        <f t="shared" si="10"/>
        <v/>
      </c>
      <c r="J97" s="249" t="str">
        <f t="shared" si="11"/>
        <v/>
      </c>
      <c r="K97" s="250" t="str">
        <f>IF(B97="","Pending",IF(M97="","⚠️ Enter Code",IF(IFERROR(VLOOKUP(L97,DB_Agents!$B:$I,8,0),"")=M97,"Pending","🔒 BLOCKED — Wrong Code")))</f>
        <v>Pending</v>
      </c>
      <c r="L97" s="251" t="s">
        <v>134</v>
      </c>
      <c r="M97" s="252"/>
      <c r="N97" s="242"/>
    </row>
    <row r="98" spans="1:14" ht="18" customHeight="1" x14ac:dyDescent="0.25">
      <c r="A98" s="229" t="str">
        <f t="shared" si="8"/>
        <v/>
      </c>
      <c r="B98" s="230"/>
      <c r="C98" s="231" t="str">
        <f>IF(B98="","",IFERROR(VLOOKUP(B98,DB_Customers!$A:$D,4,0),"❌ Account Not Found"))</f>
        <v/>
      </c>
      <c r="D98" s="232" t="str">
        <f t="shared" ca="1" si="9"/>
        <v/>
      </c>
      <c r="E98" s="233"/>
      <c r="F98" s="231"/>
      <c r="G98" s="234"/>
      <c r="H98" s="235">
        <v>2.5</v>
      </c>
      <c r="I98" s="236" t="str">
        <f t="shared" si="10"/>
        <v/>
      </c>
      <c r="J98" s="237" t="str">
        <f t="shared" si="11"/>
        <v/>
      </c>
      <c r="K98" s="238" t="str">
        <f>IF(B98="","Pending",IF(M98="","⚠️ Enter Code",IF(IFERROR(VLOOKUP(L98,DB_Agents!$B:$I,8,0),"")=M98,"Pending","🔒 BLOCKED — Wrong Code")))</f>
        <v>Pending</v>
      </c>
      <c r="L98" s="239" t="s">
        <v>134</v>
      </c>
      <c r="M98" s="240"/>
      <c r="N98" s="230"/>
    </row>
    <row r="99" spans="1:14" ht="18" customHeight="1" x14ac:dyDescent="0.25">
      <c r="A99" s="241" t="str">
        <f t="shared" si="8"/>
        <v/>
      </c>
      <c r="B99" s="242"/>
      <c r="C99" s="243" t="str">
        <f>IF(B99="","",IFERROR(VLOOKUP(B99,DB_Customers!$A:$D,4,0),"❌ Account Not Found"))</f>
        <v/>
      </c>
      <c r="D99" s="244" t="str">
        <f t="shared" ca="1" si="9"/>
        <v/>
      </c>
      <c r="E99" s="245"/>
      <c r="F99" s="243"/>
      <c r="G99" s="246"/>
      <c r="H99" s="247">
        <v>2.5</v>
      </c>
      <c r="I99" s="248" t="str">
        <f t="shared" si="10"/>
        <v/>
      </c>
      <c r="J99" s="249" t="str">
        <f t="shared" si="11"/>
        <v/>
      </c>
      <c r="K99" s="250" t="str">
        <f>IF(B99="","Pending",IF(M99="","⚠️ Enter Code",IF(IFERROR(VLOOKUP(L99,DB_Agents!$B:$I,8,0),"")=M99,"Pending","🔒 BLOCKED — Wrong Code")))</f>
        <v>Pending</v>
      </c>
      <c r="L99" s="251" t="s">
        <v>134</v>
      </c>
      <c r="M99" s="252"/>
      <c r="N99" s="242"/>
    </row>
    <row r="100" spans="1:14" ht="18" customHeight="1" x14ac:dyDescent="0.25">
      <c r="A100" s="229" t="str">
        <f t="shared" si="8"/>
        <v/>
      </c>
      <c r="B100" s="230"/>
      <c r="C100" s="231" t="str">
        <f>IF(B100="","",IFERROR(VLOOKUP(B100,DB_Customers!$A:$D,4,0),"❌ Account Not Found"))</f>
        <v/>
      </c>
      <c r="D100" s="232" t="str">
        <f t="shared" ca="1" si="9"/>
        <v/>
      </c>
      <c r="E100" s="233"/>
      <c r="F100" s="231"/>
      <c r="G100" s="234"/>
      <c r="H100" s="235">
        <v>2.5</v>
      </c>
      <c r="I100" s="236" t="str">
        <f t="shared" si="10"/>
        <v/>
      </c>
      <c r="J100" s="237" t="str">
        <f t="shared" si="11"/>
        <v/>
      </c>
      <c r="K100" s="238" t="str">
        <f>IF(B100="","Pending",IF(M100="","⚠️ Enter Code",IF(IFERROR(VLOOKUP(L100,DB_Agents!$B:$I,8,0),"")=M100,"Pending","🔒 BLOCKED — Wrong Code")))</f>
        <v>Pending</v>
      </c>
      <c r="L100" s="239" t="s">
        <v>134</v>
      </c>
      <c r="M100" s="240"/>
      <c r="N100" s="230"/>
    </row>
    <row r="101" spans="1:14" ht="18" customHeight="1" x14ac:dyDescent="0.25">
      <c r="A101" s="241" t="str">
        <f t="shared" si="8"/>
        <v/>
      </c>
      <c r="B101" s="242"/>
      <c r="C101" s="243" t="str">
        <f>IF(B101="","",IFERROR(VLOOKUP(B101,DB_Customers!$A:$D,4,0),"❌ Account Not Found"))</f>
        <v/>
      </c>
      <c r="D101" s="244" t="str">
        <f t="shared" ca="1" si="9"/>
        <v/>
      </c>
      <c r="E101" s="245"/>
      <c r="F101" s="243"/>
      <c r="G101" s="246"/>
      <c r="H101" s="247">
        <v>2.5</v>
      </c>
      <c r="I101" s="248" t="str">
        <f t="shared" si="10"/>
        <v/>
      </c>
      <c r="J101" s="249" t="str">
        <f t="shared" si="11"/>
        <v/>
      </c>
      <c r="K101" s="250" t="str">
        <f>IF(B101="","Pending",IF(M101="","⚠️ Enter Code",IF(IFERROR(VLOOKUP(L101,DB_Agents!$B:$I,8,0),"")=M101,"Pending","🔒 BLOCKED — Wrong Code")))</f>
        <v>Pending</v>
      </c>
      <c r="L101" s="251" t="s">
        <v>134</v>
      </c>
      <c r="M101" s="252"/>
      <c r="N101" s="242"/>
    </row>
    <row r="102" spans="1:14" ht="18" customHeight="1" x14ac:dyDescent="0.25">
      <c r="A102" s="229" t="str">
        <f t="shared" si="8"/>
        <v/>
      </c>
      <c r="B102" s="230"/>
      <c r="C102" s="231" t="str">
        <f>IF(B102="","",IFERROR(VLOOKUP(B102,DB_Customers!$A:$D,4,0),"❌ Account Not Found"))</f>
        <v/>
      </c>
      <c r="D102" s="232" t="str">
        <f t="shared" ca="1" si="9"/>
        <v/>
      </c>
      <c r="E102" s="233"/>
      <c r="F102" s="231"/>
      <c r="G102" s="234"/>
      <c r="H102" s="235">
        <v>2.5</v>
      </c>
      <c r="I102" s="236" t="str">
        <f t="shared" si="10"/>
        <v/>
      </c>
      <c r="J102" s="237" t="str">
        <f t="shared" si="11"/>
        <v/>
      </c>
      <c r="K102" s="238" t="str">
        <f>IF(B102="","Pending",IF(M102="","⚠️ Enter Code",IF(IFERROR(VLOOKUP(L102,DB_Agents!$B:$I,8,0),"")=M102,"Pending","🔒 BLOCKED — Wrong Code")))</f>
        <v>Pending</v>
      </c>
      <c r="L102" s="239" t="s">
        <v>134</v>
      </c>
      <c r="M102" s="240"/>
      <c r="N102" s="230"/>
    </row>
    <row r="103" spans="1:14" ht="18" customHeight="1" x14ac:dyDescent="0.25">
      <c r="A103" s="241" t="str">
        <f t="shared" si="8"/>
        <v/>
      </c>
      <c r="B103" s="242"/>
      <c r="C103" s="243" t="str">
        <f>IF(B103="","",IFERROR(VLOOKUP(B103,DB_Customers!$A:$D,4,0),"❌ Account Not Found"))</f>
        <v/>
      </c>
      <c r="D103" s="244" t="str">
        <f t="shared" ca="1" si="9"/>
        <v/>
      </c>
      <c r="E103" s="245"/>
      <c r="F103" s="243"/>
      <c r="G103" s="246"/>
      <c r="H103" s="247">
        <v>2.5</v>
      </c>
      <c r="I103" s="248" t="str">
        <f t="shared" si="10"/>
        <v/>
      </c>
      <c r="J103" s="249" t="str">
        <f t="shared" si="11"/>
        <v/>
      </c>
      <c r="K103" s="250" t="str">
        <f>IF(B103="","Pending",IF(M103="","⚠️ Enter Code",IF(IFERROR(VLOOKUP(L103,DB_Agents!$B:$I,8,0),"")=M103,"Pending","🔒 BLOCKED — Wrong Code")))</f>
        <v>Pending</v>
      </c>
      <c r="L103" s="251" t="s">
        <v>134</v>
      </c>
      <c r="M103" s="252"/>
      <c r="N103" s="242"/>
    </row>
    <row r="104" spans="1:14" ht="18" customHeight="1" x14ac:dyDescent="0.25">
      <c r="A104" s="229" t="str">
        <f t="shared" si="8"/>
        <v/>
      </c>
      <c r="B104" s="230"/>
      <c r="C104" s="231" t="str">
        <f>IF(B104="","",IFERROR(VLOOKUP(B104,DB_Customers!$A:$D,4,0),"❌ Account Not Found"))</f>
        <v/>
      </c>
      <c r="D104" s="232" t="str">
        <f t="shared" ca="1" si="9"/>
        <v/>
      </c>
      <c r="E104" s="233"/>
      <c r="F104" s="231"/>
      <c r="G104" s="234"/>
      <c r="H104" s="235">
        <v>2.5</v>
      </c>
      <c r="I104" s="236" t="str">
        <f t="shared" si="10"/>
        <v/>
      </c>
      <c r="J104" s="237" t="str">
        <f t="shared" si="11"/>
        <v/>
      </c>
      <c r="K104" s="238" t="str">
        <f>IF(B104="","Pending",IF(M104="","⚠️ Enter Code",IF(IFERROR(VLOOKUP(L104,DB_Agents!$B:$I,8,0),"")=M104,"Pending","🔒 BLOCKED — Wrong Code")))</f>
        <v>Pending</v>
      </c>
      <c r="L104" s="239" t="s">
        <v>134</v>
      </c>
      <c r="M104" s="240"/>
      <c r="N104" s="230"/>
    </row>
    <row r="105" spans="1:14" ht="18" customHeight="1" x14ac:dyDescent="0.25">
      <c r="A105" s="241" t="str">
        <f t="shared" si="8"/>
        <v/>
      </c>
      <c r="B105" s="242"/>
      <c r="C105" s="243" t="str">
        <f>IF(B105="","",IFERROR(VLOOKUP(B105,DB_Customers!$A:$D,4,0),"❌ Account Not Found"))</f>
        <v/>
      </c>
      <c r="D105" s="244" t="str">
        <f t="shared" ca="1" si="9"/>
        <v/>
      </c>
      <c r="E105" s="245"/>
      <c r="F105" s="243"/>
      <c r="G105" s="246"/>
      <c r="H105" s="247">
        <v>2.5</v>
      </c>
      <c r="I105" s="248" t="str">
        <f t="shared" si="10"/>
        <v/>
      </c>
      <c r="J105" s="249" t="str">
        <f t="shared" si="11"/>
        <v/>
      </c>
      <c r="K105" s="250" t="str">
        <f>IF(B105="","Pending",IF(M105="","⚠️ Enter Code",IF(IFERROR(VLOOKUP(L105,DB_Agents!$B:$I,8,0),"")=M105,"Pending","🔒 BLOCKED — Wrong Code")))</f>
        <v>Pending</v>
      </c>
      <c r="L105" s="251" t="s">
        <v>134</v>
      </c>
      <c r="M105" s="252"/>
      <c r="N105" s="242"/>
    </row>
    <row r="106" spans="1:14" ht="18" customHeight="1" x14ac:dyDescent="0.25">
      <c r="A106" s="229" t="str">
        <f t="shared" si="8"/>
        <v/>
      </c>
      <c r="B106" s="230"/>
      <c r="C106" s="231" t="str">
        <f>IF(B106="","",IFERROR(VLOOKUP(B106,DB_Customers!$A:$D,4,0),"❌ Account Not Found"))</f>
        <v/>
      </c>
      <c r="D106" s="232" t="str">
        <f t="shared" ca="1" si="9"/>
        <v/>
      </c>
      <c r="E106" s="233"/>
      <c r="F106" s="231"/>
      <c r="G106" s="234"/>
      <c r="H106" s="235">
        <v>2.5</v>
      </c>
      <c r="I106" s="236" t="str">
        <f t="shared" si="10"/>
        <v/>
      </c>
      <c r="J106" s="237" t="str">
        <f t="shared" si="11"/>
        <v/>
      </c>
      <c r="K106" s="238" t="str">
        <f>IF(B106="","Pending",IF(M106="","⚠️ Enter Code",IF(IFERROR(VLOOKUP(L106,DB_Agents!$B:$I,8,0),"")=M106,"Pending","🔒 BLOCKED — Wrong Code")))</f>
        <v>Pending</v>
      </c>
      <c r="L106" s="239" t="s">
        <v>134</v>
      </c>
      <c r="M106" s="240"/>
      <c r="N106" s="230"/>
    </row>
    <row r="107" spans="1:14" ht="18" customHeight="1" x14ac:dyDescent="0.25">
      <c r="A107" s="241" t="str">
        <f t="shared" si="8"/>
        <v/>
      </c>
      <c r="B107" s="242"/>
      <c r="C107" s="243" t="str">
        <f>IF(B107="","",IFERROR(VLOOKUP(B107,DB_Customers!$A:$D,4,0),"❌ Account Not Found"))</f>
        <v/>
      </c>
      <c r="D107" s="244" t="str">
        <f t="shared" ca="1" si="9"/>
        <v/>
      </c>
      <c r="E107" s="245"/>
      <c r="F107" s="243"/>
      <c r="G107" s="246"/>
      <c r="H107" s="247">
        <v>2.5</v>
      </c>
      <c r="I107" s="248" t="str">
        <f t="shared" si="10"/>
        <v/>
      </c>
      <c r="J107" s="249" t="str">
        <f t="shared" si="11"/>
        <v/>
      </c>
      <c r="K107" s="250" t="str">
        <f>IF(B107="","Pending",IF(M107="","⚠️ Enter Code",IF(IFERROR(VLOOKUP(L107,DB_Agents!$B:$I,8,0),"")=M107,"Pending","🔒 BLOCKED — Wrong Code")))</f>
        <v>Pending</v>
      </c>
      <c r="L107" s="251" t="s">
        <v>134</v>
      </c>
      <c r="M107" s="252"/>
      <c r="N107" s="242"/>
    </row>
    <row r="108" spans="1:14" ht="18" customHeight="1" x14ac:dyDescent="0.25">
      <c r="A108" s="229" t="str">
        <f t="shared" si="8"/>
        <v/>
      </c>
      <c r="B108" s="230"/>
      <c r="C108" s="231" t="str">
        <f>IF(B108="","",IFERROR(VLOOKUP(B108,DB_Customers!$A:$D,4,0),"❌ Account Not Found"))</f>
        <v/>
      </c>
      <c r="D108" s="232" t="str">
        <f t="shared" ca="1" si="9"/>
        <v/>
      </c>
      <c r="E108" s="233"/>
      <c r="F108" s="231"/>
      <c r="G108" s="234"/>
      <c r="H108" s="235">
        <v>2.5</v>
      </c>
      <c r="I108" s="236" t="str">
        <f t="shared" si="10"/>
        <v/>
      </c>
      <c r="J108" s="237" t="str">
        <f t="shared" si="11"/>
        <v/>
      </c>
      <c r="K108" s="238" t="str">
        <f>IF(B108="","Pending",IF(M108="","⚠️ Enter Code",IF(IFERROR(VLOOKUP(L108,DB_Agents!$B:$I,8,0),"")=M108,"Pending","🔒 BLOCKED — Wrong Code")))</f>
        <v>Pending</v>
      </c>
      <c r="L108" s="239" t="s">
        <v>134</v>
      </c>
      <c r="M108" s="240"/>
      <c r="N108" s="230"/>
    </row>
    <row r="109" spans="1:14" ht="18" customHeight="1" x14ac:dyDescent="0.25">
      <c r="A109" s="241" t="str">
        <f t="shared" si="8"/>
        <v/>
      </c>
      <c r="B109" s="242"/>
      <c r="C109" s="243" t="str">
        <f>IF(B109="","",IFERROR(VLOOKUP(B109,DB_Customers!$A:$D,4,0),"❌ Account Not Found"))</f>
        <v/>
      </c>
      <c r="D109" s="244" t="str">
        <f t="shared" ca="1" si="9"/>
        <v/>
      </c>
      <c r="E109" s="245"/>
      <c r="F109" s="243"/>
      <c r="G109" s="246"/>
      <c r="H109" s="247">
        <v>2.5</v>
      </c>
      <c r="I109" s="248" t="str">
        <f t="shared" si="10"/>
        <v/>
      </c>
      <c r="J109" s="249" t="str">
        <f t="shared" si="11"/>
        <v/>
      </c>
      <c r="K109" s="250" t="str">
        <f>IF(B109="","Pending",IF(M109="","⚠️ Enter Code",IF(IFERROR(VLOOKUP(L109,DB_Agents!$B:$I,8,0),"")=M109,"Pending","🔒 BLOCKED — Wrong Code")))</f>
        <v>Pending</v>
      </c>
      <c r="L109" s="251" t="s">
        <v>134</v>
      </c>
      <c r="M109" s="252"/>
      <c r="N109" s="242"/>
    </row>
    <row r="110" spans="1:14" ht="18" customHeight="1" x14ac:dyDescent="0.25">
      <c r="A110" s="229" t="str">
        <f t="shared" ref="A110:A141" si="12">IF(B110="","",IF(C110="❌ Account Not Found","INVALID","LN"&amp;TEXT(D110,"YYYYMMDD")&amp;TEXT(ROW()-13,"0000")))</f>
        <v/>
      </c>
      <c r="B110" s="230"/>
      <c r="C110" s="231" t="str">
        <f>IF(B110="","",IFERROR(VLOOKUP(B110,DB_Customers!$A:$D,4,0),"❌ Account Not Found"))</f>
        <v/>
      </c>
      <c r="D110" s="232" t="str">
        <f t="shared" ref="D110:D141" ca="1" si="13">IF(B110="","",TODAY())</f>
        <v/>
      </c>
      <c r="E110" s="233"/>
      <c r="F110" s="231"/>
      <c r="G110" s="234"/>
      <c r="H110" s="235">
        <v>2.5</v>
      </c>
      <c r="I110" s="236" t="str">
        <f t="shared" ref="I110:I141" si="14">IF(E110="","",E110+(E110*H110/100*G110))</f>
        <v/>
      </c>
      <c r="J110" s="237" t="str">
        <f t="shared" ref="J110:J141" si="15">IFERROR(I110/G110,"")</f>
        <v/>
      </c>
      <c r="K110" s="238" t="str">
        <f>IF(B110="","Pending",IF(M110="","⚠️ Enter Code",IF(IFERROR(VLOOKUP(L110,DB_Agents!$B:$I,8,0),"")=M110,"Pending","🔒 BLOCKED — Wrong Code")))</f>
        <v>Pending</v>
      </c>
      <c r="L110" s="239" t="s">
        <v>134</v>
      </c>
      <c r="M110" s="240"/>
      <c r="N110" s="230"/>
    </row>
    <row r="111" spans="1:14" ht="18" customHeight="1" x14ac:dyDescent="0.25">
      <c r="A111" s="241" t="str">
        <f t="shared" si="12"/>
        <v/>
      </c>
      <c r="B111" s="242"/>
      <c r="C111" s="243" t="str">
        <f>IF(B111="","",IFERROR(VLOOKUP(B111,DB_Customers!$A:$D,4,0),"❌ Account Not Found"))</f>
        <v/>
      </c>
      <c r="D111" s="244" t="str">
        <f t="shared" ca="1" si="13"/>
        <v/>
      </c>
      <c r="E111" s="245"/>
      <c r="F111" s="243"/>
      <c r="G111" s="246"/>
      <c r="H111" s="247">
        <v>2.5</v>
      </c>
      <c r="I111" s="248" t="str">
        <f t="shared" si="14"/>
        <v/>
      </c>
      <c r="J111" s="249" t="str">
        <f t="shared" si="15"/>
        <v/>
      </c>
      <c r="K111" s="250" t="str">
        <f>IF(B111="","Pending",IF(M111="","⚠️ Enter Code",IF(IFERROR(VLOOKUP(L111,DB_Agents!$B:$I,8,0),"")=M111,"Pending","🔒 BLOCKED — Wrong Code")))</f>
        <v>Pending</v>
      </c>
      <c r="L111" s="251" t="s">
        <v>134</v>
      </c>
      <c r="M111" s="252"/>
      <c r="N111" s="242"/>
    </row>
    <row r="112" spans="1:14" ht="18" customHeight="1" x14ac:dyDescent="0.25">
      <c r="A112" s="229" t="str">
        <f t="shared" si="12"/>
        <v/>
      </c>
      <c r="B112" s="230"/>
      <c r="C112" s="231" t="str">
        <f>IF(B112="","",IFERROR(VLOOKUP(B112,DB_Customers!$A:$D,4,0),"❌ Account Not Found"))</f>
        <v/>
      </c>
      <c r="D112" s="232" t="str">
        <f t="shared" ca="1" si="13"/>
        <v/>
      </c>
      <c r="E112" s="233"/>
      <c r="F112" s="231"/>
      <c r="G112" s="234"/>
      <c r="H112" s="235">
        <v>2.5</v>
      </c>
      <c r="I112" s="236" t="str">
        <f t="shared" si="14"/>
        <v/>
      </c>
      <c r="J112" s="237" t="str">
        <f t="shared" si="15"/>
        <v/>
      </c>
      <c r="K112" s="238" t="str">
        <f>IF(B112="","Pending",IF(M112="","⚠️ Enter Code",IF(IFERROR(VLOOKUP(L112,DB_Agents!$B:$I,8,0),"")=M112,"Pending","🔒 BLOCKED — Wrong Code")))</f>
        <v>Pending</v>
      </c>
      <c r="L112" s="239" t="s">
        <v>134</v>
      </c>
      <c r="M112" s="240"/>
      <c r="N112" s="230"/>
    </row>
    <row r="113" spans="1:14" ht="18" customHeight="1" x14ac:dyDescent="0.25">
      <c r="A113" s="241" t="str">
        <f t="shared" si="12"/>
        <v/>
      </c>
      <c r="B113" s="242"/>
      <c r="C113" s="243" t="str">
        <f>IF(B113="","",IFERROR(VLOOKUP(B113,DB_Customers!$A:$D,4,0),"❌ Account Not Found"))</f>
        <v/>
      </c>
      <c r="D113" s="244" t="str">
        <f t="shared" ca="1" si="13"/>
        <v/>
      </c>
      <c r="E113" s="245"/>
      <c r="F113" s="243"/>
      <c r="G113" s="246"/>
      <c r="H113" s="247">
        <v>2.5</v>
      </c>
      <c r="I113" s="248" t="str">
        <f t="shared" si="14"/>
        <v/>
      </c>
      <c r="J113" s="249" t="str">
        <f t="shared" si="15"/>
        <v/>
      </c>
      <c r="K113" s="250" t="str">
        <f>IF(B113="","Pending",IF(M113="","⚠️ Enter Code",IF(IFERROR(VLOOKUP(L113,DB_Agents!$B:$I,8,0),"")=M113,"Pending","🔒 BLOCKED — Wrong Code")))</f>
        <v>Pending</v>
      </c>
      <c r="L113" s="251" t="s">
        <v>134</v>
      </c>
      <c r="M113" s="252"/>
      <c r="N113" s="242"/>
    </row>
    <row r="114" spans="1:14" ht="18" customHeight="1" x14ac:dyDescent="0.25">
      <c r="A114" s="253" t="str">
        <f t="shared" si="12"/>
        <v/>
      </c>
      <c r="B114" s="254"/>
      <c r="C114" s="254" t="str">
        <f>IF(B114="","",IFERROR(VLOOKUP(B114,DB_Customers!$A:$D,4,0),"❌ Account Not Found"))</f>
        <v/>
      </c>
      <c r="D114" s="253" t="str">
        <f t="shared" ca="1" si="13"/>
        <v/>
      </c>
      <c r="E114" s="254"/>
      <c r="F114" s="254"/>
      <c r="G114" s="253"/>
      <c r="H114" s="255">
        <v>2.5</v>
      </c>
      <c r="I114" s="253" t="str">
        <f t="shared" si="14"/>
        <v/>
      </c>
      <c r="J114" s="253" t="str">
        <f t="shared" si="15"/>
        <v/>
      </c>
      <c r="K114" s="253" t="str">
        <f>IF(B114="","Pending",IF(M114="","⚠️ Enter Code",IF(IFERROR(VLOOKUP(L114,DB_Agents!$B:$I,8,0),"")=M114,"Pending","🔒 BLOCKED — Wrong Code")))</f>
        <v>Pending</v>
      </c>
      <c r="L114" s="253" t="s">
        <v>134</v>
      </c>
      <c r="M114" s="240"/>
      <c r="N114" s="254"/>
    </row>
    <row r="115" spans="1:14" ht="18" customHeight="1" x14ac:dyDescent="0.25">
      <c r="A115" s="256" t="str">
        <f t="shared" si="12"/>
        <v/>
      </c>
      <c r="B115" s="257"/>
      <c r="C115" s="257" t="str">
        <f>IF(B115="","",IFERROR(VLOOKUP(B115,DB_Customers!$A:$D,4,0),"❌ Account Not Found"))</f>
        <v/>
      </c>
      <c r="D115" s="256" t="str">
        <f t="shared" ca="1" si="13"/>
        <v/>
      </c>
      <c r="E115" s="257"/>
      <c r="F115" s="257"/>
      <c r="G115" s="256"/>
      <c r="H115" s="258">
        <v>2.5</v>
      </c>
      <c r="I115" s="256" t="str">
        <f t="shared" si="14"/>
        <v/>
      </c>
      <c r="J115" s="256" t="str">
        <f t="shared" si="15"/>
        <v/>
      </c>
      <c r="K115" s="256" t="str">
        <f>IF(B115="","Pending",IF(M115="","⚠️ Enter Code",IF(IFERROR(VLOOKUP(L115,DB_Agents!$B:$I,8,0),"")=M115,"Pending","🔒 BLOCKED — Wrong Code")))</f>
        <v>Pending</v>
      </c>
      <c r="L115" s="256" t="s">
        <v>134</v>
      </c>
      <c r="M115" s="252"/>
      <c r="N115" s="257"/>
    </row>
    <row r="116" spans="1:14" ht="18" customHeight="1" x14ac:dyDescent="0.25">
      <c r="A116" s="253" t="str">
        <f t="shared" si="12"/>
        <v/>
      </c>
      <c r="B116" s="254"/>
      <c r="C116" s="254" t="str">
        <f>IF(B116="","",IFERROR(VLOOKUP(B116,DB_Customers!$A:$D,4,0),"❌ Account Not Found"))</f>
        <v/>
      </c>
      <c r="D116" s="253" t="str">
        <f t="shared" ca="1" si="13"/>
        <v/>
      </c>
      <c r="E116" s="254"/>
      <c r="F116" s="254"/>
      <c r="G116" s="253"/>
      <c r="H116" s="255">
        <v>2.5</v>
      </c>
      <c r="I116" s="253" t="str">
        <f t="shared" si="14"/>
        <v/>
      </c>
      <c r="J116" s="253" t="str">
        <f t="shared" si="15"/>
        <v/>
      </c>
      <c r="K116" s="253" t="str">
        <f>IF(B116="","Pending",IF(M116="","⚠️ Enter Code",IF(IFERROR(VLOOKUP(L116,DB_Agents!$B:$I,8,0),"")=M116,"Pending","🔒 BLOCKED — Wrong Code")))</f>
        <v>Pending</v>
      </c>
      <c r="L116" s="253" t="s">
        <v>134</v>
      </c>
      <c r="M116" s="240"/>
      <c r="N116" s="254"/>
    </row>
    <row r="117" spans="1:14" ht="18" customHeight="1" x14ac:dyDescent="0.25">
      <c r="A117" s="256" t="str">
        <f t="shared" si="12"/>
        <v/>
      </c>
      <c r="B117" s="257"/>
      <c r="C117" s="257" t="str">
        <f>IF(B117="","",IFERROR(VLOOKUP(B117,DB_Customers!$A:$D,4,0),"❌ Account Not Found"))</f>
        <v/>
      </c>
      <c r="D117" s="256" t="str">
        <f t="shared" ca="1" si="13"/>
        <v/>
      </c>
      <c r="E117" s="257"/>
      <c r="F117" s="257"/>
      <c r="G117" s="256"/>
      <c r="H117" s="258">
        <v>2.5</v>
      </c>
      <c r="I117" s="256" t="str">
        <f t="shared" si="14"/>
        <v/>
      </c>
      <c r="J117" s="256" t="str">
        <f t="shared" si="15"/>
        <v/>
      </c>
      <c r="K117" s="256" t="str">
        <f>IF(B117="","Pending",IF(M117="","⚠️ Enter Code",IF(IFERROR(VLOOKUP(L117,DB_Agents!$B:$I,8,0),"")=M117,"Pending","🔒 BLOCKED — Wrong Code")))</f>
        <v>Pending</v>
      </c>
      <c r="L117" s="256" t="s">
        <v>134</v>
      </c>
      <c r="M117" s="252"/>
      <c r="N117" s="257"/>
    </row>
    <row r="118" spans="1:14" ht="18" customHeight="1" x14ac:dyDescent="0.25">
      <c r="A118" s="253" t="str">
        <f t="shared" si="12"/>
        <v/>
      </c>
      <c r="B118" s="254"/>
      <c r="C118" s="254" t="str">
        <f>IF(B118="","",IFERROR(VLOOKUP(B118,DB_Customers!$A:$D,4,0),"❌ Account Not Found"))</f>
        <v/>
      </c>
      <c r="D118" s="253" t="str">
        <f t="shared" ca="1" si="13"/>
        <v/>
      </c>
      <c r="E118" s="254"/>
      <c r="F118" s="254"/>
      <c r="G118" s="253"/>
      <c r="H118" s="255">
        <v>2.5</v>
      </c>
      <c r="I118" s="253" t="str">
        <f t="shared" si="14"/>
        <v/>
      </c>
      <c r="J118" s="253" t="str">
        <f t="shared" si="15"/>
        <v/>
      </c>
      <c r="K118" s="253" t="str">
        <f>IF(B118="","Pending",IF(M118="","⚠️ Enter Code",IF(IFERROR(VLOOKUP(L118,DB_Agents!$B:$I,8,0),"")=M118,"Pending","🔒 BLOCKED — Wrong Code")))</f>
        <v>Pending</v>
      </c>
      <c r="L118" s="253" t="s">
        <v>134</v>
      </c>
      <c r="M118" s="240"/>
      <c r="N118" s="254"/>
    </row>
    <row r="119" spans="1:14" ht="18" customHeight="1" x14ac:dyDescent="0.25">
      <c r="A119" s="256" t="str">
        <f t="shared" si="12"/>
        <v/>
      </c>
      <c r="B119" s="257"/>
      <c r="C119" s="257" t="str">
        <f>IF(B119="","",IFERROR(VLOOKUP(B119,DB_Customers!$A:$D,4,0),"❌ Account Not Found"))</f>
        <v/>
      </c>
      <c r="D119" s="256" t="str">
        <f t="shared" ca="1" si="13"/>
        <v/>
      </c>
      <c r="E119" s="257"/>
      <c r="F119" s="257"/>
      <c r="G119" s="256"/>
      <c r="H119" s="258">
        <v>2.5</v>
      </c>
      <c r="I119" s="256" t="str">
        <f t="shared" si="14"/>
        <v/>
      </c>
      <c r="J119" s="256" t="str">
        <f t="shared" si="15"/>
        <v/>
      </c>
      <c r="K119" s="256" t="str">
        <f>IF(B119="","Pending",IF(M119="","⚠️ Enter Code",IF(IFERROR(VLOOKUP(L119,DB_Agents!$B:$I,8,0),"")=M119,"Pending","🔒 BLOCKED — Wrong Code")))</f>
        <v>Pending</v>
      </c>
      <c r="L119" s="256" t="s">
        <v>134</v>
      </c>
      <c r="M119" s="252"/>
      <c r="N119" s="257"/>
    </row>
    <row r="120" spans="1:14" ht="18" customHeight="1" x14ac:dyDescent="0.25">
      <c r="A120" s="253" t="str">
        <f t="shared" si="12"/>
        <v/>
      </c>
      <c r="B120" s="254"/>
      <c r="C120" s="254" t="str">
        <f>IF(B120="","",IFERROR(VLOOKUP(B120,DB_Customers!$A:$D,4,0),"❌ Account Not Found"))</f>
        <v/>
      </c>
      <c r="D120" s="253" t="str">
        <f t="shared" ca="1" si="13"/>
        <v/>
      </c>
      <c r="E120" s="254"/>
      <c r="F120" s="254"/>
      <c r="G120" s="253"/>
      <c r="H120" s="255">
        <v>2.5</v>
      </c>
      <c r="I120" s="253" t="str">
        <f t="shared" si="14"/>
        <v/>
      </c>
      <c r="J120" s="253" t="str">
        <f t="shared" si="15"/>
        <v/>
      </c>
      <c r="K120" s="253" t="str">
        <f>IF(B120="","Pending",IF(M120="","⚠️ Enter Code",IF(IFERROR(VLOOKUP(L120,DB_Agents!$B:$I,8,0),"")=M120,"Pending","🔒 BLOCKED — Wrong Code")))</f>
        <v>Pending</v>
      </c>
      <c r="L120" s="253" t="s">
        <v>134</v>
      </c>
      <c r="M120" s="240"/>
      <c r="N120" s="254"/>
    </row>
    <row r="121" spans="1:14" ht="18" customHeight="1" x14ac:dyDescent="0.25">
      <c r="A121" s="256" t="str">
        <f t="shared" si="12"/>
        <v/>
      </c>
      <c r="B121" s="257"/>
      <c r="C121" s="257" t="str">
        <f>IF(B121="","",IFERROR(VLOOKUP(B121,DB_Customers!$A:$D,4,0),"❌ Account Not Found"))</f>
        <v/>
      </c>
      <c r="D121" s="256" t="str">
        <f t="shared" ca="1" si="13"/>
        <v/>
      </c>
      <c r="E121" s="257"/>
      <c r="F121" s="257"/>
      <c r="G121" s="256"/>
      <c r="H121" s="258">
        <v>2.5</v>
      </c>
      <c r="I121" s="256" t="str">
        <f t="shared" si="14"/>
        <v/>
      </c>
      <c r="J121" s="256" t="str">
        <f t="shared" si="15"/>
        <v/>
      </c>
      <c r="K121" s="256" t="str">
        <f>IF(B121="","Pending",IF(M121="","⚠️ Enter Code",IF(IFERROR(VLOOKUP(L121,DB_Agents!$B:$I,8,0),"")=M121,"Pending","🔒 BLOCKED — Wrong Code")))</f>
        <v>Pending</v>
      </c>
      <c r="L121" s="256" t="s">
        <v>134</v>
      </c>
      <c r="M121" s="252"/>
      <c r="N121" s="257"/>
    </row>
    <row r="122" spans="1:14" ht="18" customHeight="1" x14ac:dyDescent="0.25">
      <c r="A122" s="253" t="str">
        <f t="shared" si="12"/>
        <v/>
      </c>
      <c r="B122" s="254"/>
      <c r="C122" s="254" t="str">
        <f>IF(B122="","",IFERROR(VLOOKUP(B122,DB_Customers!$A:$D,4,0),"❌ Account Not Found"))</f>
        <v/>
      </c>
      <c r="D122" s="253" t="str">
        <f t="shared" ca="1" si="13"/>
        <v/>
      </c>
      <c r="E122" s="254"/>
      <c r="F122" s="254"/>
      <c r="G122" s="253"/>
      <c r="H122" s="255">
        <v>2.5</v>
      </c>
      <c r="I122" s="253" t="str">
        <f t="shared" si="14"/>
        <v/>
      </c>
      <c r="J122" s="253" t="str">
        <f t="shared" si="15"/>
        <v/>
      </c>
      <c r="K122" s="253" t="str">
        <f>IF(B122="","Pending",IF(M122="","⚠️ Enter Code",IF(IFERROR(VLOOKUP(L122,DB_Agents!$B:$I,8,0),"")=M122,"Pending","🔒 BLOCKED — Wrong Code")))</f>
        <v>Pending</v>
      </c>
      <c r="L122" s="253" t="s">
        <v>134</v>
      </c>
      <c r="M122" s="240"/>
      <c r="N122" s="254"/>
    </row>
    <row r="123" spans="1:14" ht="18" customHeight="1" x14ac:dyDescent="0.25">
      <c r="A123" s="256" t="str">
        <f t="shared" si="12"/>
        <v/>
      </c>
      <c r="B123" s="257"/>
      <c r="C123" s="257" t="str">
        <f>IF(B123="","",IFERROR(VLOOKUP(B123,DB_Customers!$A:$D,4,0),"❌ Account Not Found"))</f>
        <v/>
      </c>
      <c r="D123" s="256" t="str">
        <f t="shared" ca="1" si="13"/>
        <v/>
      </c>
      <c r="E123" s="257"/>
      <c r="F123" s="257"/>
      <c r="G123" s="256"/>
      <c r="H123" s="258">
        <v>2.5</v>
      </c>
      <c r="I123" s="256" t="str">
        <f t="shared" si="14"/>
        <v/>
      </c>
      <c r="J123" s="256" t="str">
        <f t="shared" si="15"/>
        <v/>
      </c>
      <c r="K123" s="256" t="str">
        <f>IF(B123="","Pending",IF(M123="","⚠️ Enter Code",IF(IFERROR(VLOOKUP(L123,DB_Agents!$B:$I,8,0),"")=M123,"Pending","🔒 BLOCKED — Wrong Code")))</f>
        <v>Pending</v>
      </c>
      <c r="L123" s="256" t="s">
        <v>134</v>
      </c>
      <c r="M123" s="252"/>
      <c r="N123" s="257"/>
    </row>
    <row r="124" spans="1:14" ht="18" customHeight="1" x14ac:dyDescent="0.25">
      <c r="A124" s="253" t="str">
        <f t="shared" si="12"/>
        <v/>
      </c>
      <c r="B124" s="254"/>
      <c r="C124" s="254" t="str">
        <f>IF(B124="","",IFERROR(VLOOKUP(B124,DB_Customers!$A:$D,4,0),"❌ Account Not Found"))</f>
        <v/>
      </c>
      <c r="D124" s="253" t="str">
        <f t="shared" ca="1" si="13"/>
        <v/>
      </c>
      <c r="E124" s="254"/>
      <c r="F124" s="254"/>
      <c r="G124" s="253"/>
      <c r="H124" s="255">
        <v>2.5</v>
      </c>
      <c r="I124" s="253" t="str">
        <f t="shared" si="14"/>
        <v/>
      </c>
      <c r="J124" s="253" t="str">
        <f t="shared" si="15"/>
        <v/>
      </c>
      <c r="K124" s="253" t="str">
        <f>IF(B124="","Pending",IF(M124="","⚠️ Enter Code",IF(IFERROR(VLOOKUP(L124,DB_Agents!$B:$I,8,0),"")=M124,"Pending","🔒 BLOCKED — Wrong Code")))</f>
        <v>Pending</v>
      </c>
      <c r="L124" s="253" t="s">
        <v>134</v>
      </c>
      <c r="M124" s="240"/>
      <c r="N124" s="254"/>
    </row>
    <row r="125" spans="1:14" ht="18" customHeight="1" x14ac:dyDescent="0.25">
      <c r="A125" s="256" t="str">
        <f t="shared" si="12"/>
        <v/>
      </c>
      <c r="B125" s="257"/>
      <c r="C125" s="257" t="str">
        <f>IF(B125="","",IFERROR(VLOOKUP(B125,DB_Customers!$A:$D,4,0),"❌ Account Not Found"))</f>
        <v/>
      </c>
      <c r="D125" s="256" t="str">
        <f t="shared" ca="1" si="13"/>
        <v/>
      </c>
      <c r="E125" s="257"/>
      <c r="F125" s="257"/>
      <c r="G125" s="256"/>
      <c r="H125" s="258">
        <v>2.5</v>
      </c>
      <c r="I125" s="256" t="str">
        <f t="shared" si="14"/>
        <v/>
      </c>
      <c r="J125" s="256" t="str">
        <f t="shared" si="15"/>
        <v/>
      </c>
      <c r="K125" s="256" t="str">
        <f>IF(B125="","Pending",IF(M125="","⚠️ Enter Code",IF(IFERROR(VLOOKUP(L125,DB_Agents!$B:$I,8,0),"")=M125,"Pending","🔒 BLOCKED — Wrong Code")))</f>
        <v>Pending</v>
      </c>
      <c r="L125" s="256" t="s">
        <v>134</v>
      </c>
      <c r="M125" s="252"/>
      <c r="N125" s="257"/>
    </row>
    <row r="126" spans="1:14" ht="18" customHeight="1" x14ac:dyDescent="0.25">
      <c r="A126" s="253" t="str">
        <f t="shared" si="12"/>
        <v/>
      </c>
      <c r="B126" s="254"/>
      <c r="C126" s="254" t="str">
        <f>IF(B126="","",IFERROR(VLOOKUP(B126,DB_Customers!$A:$D,4,0),"❌ Account Not Found"))</f>
        <v/>
      </c>
      <c r="D126" s="253" t="str">
        <f t="shared" ca="1" si="13"/>
        <v/>
      </c>
      <c r="E126" s="254"/>
      <c r="F126" s="254"/>
      <c r="G126" s="253"/>
      <c r="H126" s="255">
        <v>2.5</v>
      </c>
      <c r="I126" s="253" t="str">
        <f t="shared" si="14"/>
        <v/>
      </c>
      <c r="J126" s="253" t="str">
        <f t="shared" si="15"/>
        <v/>
      </c>
      <c r="K126" s="253" t="str">
        <f>IF(B126="","Pending",IF(M126="","⚠️ Enter Code",IF(IFERROR(VLOOKUP(L126,DB_Agents!$B:$I,8,0),"")=M126,"Pending","🔒 BLOCKED — Wrong Code")))</f>
        <v>Pending</v>
      </c>
      <c r="L126" s="253" t="s">
        <v>134</v>
      </c>
      <c r="M126" s="240"/>
      <c r="N126" s="254"/>
    </row>
    <row r="127" spans="1:14" ht="18" customHeight="1" x14ac:dyDescent="0.25">
      <c r="A127" s="256" t="str">
        <f t="shared" si="12"/>
        <v/>
      </c>
      <c r="B127" s="257"/>
      <c r="C127" s="257" t="str">
        <f>IF(B127="","",IFERROR(VLOOKUP(B127,DB_Customers!$A:$D,4,0),"❌ Account Not Found"))</f>
        <v/>
      </c>
      <c r="D127" s="256" t="str">
        <f t="shared" ca="1" si="13"/>
        <v/>
      </c>
      <c r="E127" s="257"/>
      <c r="F127" s="257"/>
      <c r="G127" s="256"/>
      <c r="H127" s="258">
        <v>2.5</v>
      </c>
      <c r="I127" s="256" t="str">
        <f t="shared" si="14"/>
        <v/>
      </c>
      <c r="J127" s="256" t="str">
        <f t="shared" si="15"/>
        <v/>
      </c>
      <c r="K127" s="256" t="str">
        <f>IF(B127="","Pending",IF(M127="","⚠️ Enter Code",IF(IFERROR(VLOOKUP(L127,DB_Agents!$B:$I,8,0),"")=M127,"Pending","🔒 BLOCKED — Wrong Code")))</f>
        <v>Pending</v>
      </c>
      <c r="L127" s="256" t="s">
        <v>134</v>
      </c>
      <c r="M127" s="252"/>
      <c r="N127" s="257"/>
    </row>
    <row r="128" spans="1:14" ht="18" customHeight="1" x14ac:dyDescent="0.25">
      <c r="A128" s="253" t="str">
        <f t="shared" si="12"/>
        <v/>
      </c>
      <c r="B128" s="254"/>
      <c r="C128" s="254" t="str">
        <f>IF(B128="","",IFERROR(VLOOKUP(B128,DB_Customers!$A:$D,4,0),"❌ Account Not Found"))</f>
        <v/>
      </c>
      <c r="D128" s="253" t="str">
        <f t="shared" ca="1" si="13"/>
        <v/>
      </c>
      <c r="E128" s="254"/>
      <c r="F128" s="254"/>
      <c r="G128" s="253"/>
      <c r="H128" s="255">
        <v>2.5</v>
      </c>
      <c r="I128" s="253" t="str">
        <f t="shared" si="14"/>
        <v/>
      </c>
      <c r="J128" s="253" t="str">
        <f t="shared" si="15"/>
        <v/>
      </c>
      <c r="K128" s="253" t="str">
        <f>IF(B128="","Pending",IF(M128="","⚠️ Enter Code",IF(IFERROR(VLOOKUP(L128,DB_Agents!$B:$I,8,0),"")=M128,"Pending","🔒 BLOCKED — Wrong Code")))</f>
        <v>Pending</v>
      </c>
      <c r="L128" s="253" t="s">
        <v>134</v>
      </c>
      <c r="M128" s="240"/>
      <c r="N128" s="254"/>
    </row>
    <row r="129" spans="1:14" ht="18" customHeight="1" x14ac:dyDescent="0.25">
      <c r="A129" s="256" t="str">
        <f t="shared" si="12"/>
        <v/>
      </c>
      <c r="B129" s="257"/>
      <c r="C129" s="257" t="str">
        <f>IF(B129="","",IFERROR(VLOOKUP(B129,DB_Customers!$A:$D,4,0),"❌ Account Not Found"))</f>
        <v/>
      </c>
      <c r="D129" s="256" t="str">
        <f t="shared" ca="1" si="13"/>
        <v/>
      </c>
      <c r="E129" s="257"/>
      <c r="F129" s="257"/>
      <c r="G129" s="256"/>
      <c r="H129" s="258">
        <v>2.5</v>
      </c>
      <c r="I129" s="256" t="str">
        <f t="shared" si="14"/>
        <v/>
      </c>
      <c r="J129" s="256" t="str">
        <f t="shared" si="15"/>
        <v/>
      </c>
      <c r="K129" s="256" t="str">
        <f>IF(B129="","Pending",IF(M129="","⚠️ Enter Code",IF(IFERROR(VLOOKUP(L129,DB_Agents!$B:$I,8,0),"")=M129,"Pending","🔒 BLOCKED — Wrong Code")))</f>
        <v>Pending</v>
      </c>
      <c r="L129" s="256" t="s">
        <v>134</v>
      </c>
      <c r="M129" s="252"/>
      <c r="N129" s="257"/>
    </row>
    <row r="130" spans="1:14" ht="18" customHeight="1" x14ac:dyDescent="0.25">
      <c r="A130" s="253" t="str">
        <f t="shared" si="12"/>
        <v/>
      </c>
      <c r="B130" s="254"/>
      <c r="C130" s="254" t="str">
        <f>IF(B130="","",IFERROR(VLOOKUP(B130,DB_Customers!$A:$D,4,0),"❌ Account Not Found"))</f>
        <v/>
      </c>
      <c r="D130" s="253" t="str">
        <f t="shared" ca="1" si="13"/>
        <v/>
      </c>
      <c r="E130" s="254"/>
      <c r="F130" s="254"/>
      <c r="G130" s="253"/>
      <c r="H130" s="255">
        <v>2.5</v>
      </c>
      <c r="I130" s="253" t="str">
        <f t="shared" si="14"/>
        <v/>
      </c>
      <c r="J130" s="253" t="str">
        <f t="shared" si="15"/>
        <v/>
      </c>
      <c r="K130" s="253" t="str">
        <f>IF(B130="","Pending",IF(M130="","⚠️ Enter Code",IF(IFERROR(VLOOKUP(L130,DB_Agents!$B:$I,8,0),"")=M130,"Pending","🔒 BLOCKED — Wrong Code")))</f>
        <v>Pending</v>
      </c>
      <c r="L130" s="253" t="s">
        <v>134</v>
      </c>
      <c r="M130" s="240"/>
      <c r="N130" s="254"/>
    </row>
    <row r="131" spans="1:14" ht="18" customHeight="1" x14ac:dyDescent="0.25">
      <c r="A131" s="256" t="str">
        <f t="shared" si="12"/>
        <v/>
      </c>
      <c r="B131" s="257"/>
      <c r="C131" s="257" t="str">
        <f>IF(B131="","",IFERROR(VLOOKUP(B131,DB_Customers!$A:$D,4,0),"❌ Account Not Found"))</f>
        <v/>
      </c>
      <c r="D131" s="256" t="str">
        <f t="shared" ca="1" si="13"/>
        <v/>
      </c>
      <c r="E131" s="257"/>
      <c r="F131" s="257"/>
      <c r="G131" s="256"/>
      <c r="H131" s="258">
        <v>2.5</v>
      </c>
      <c r="I131" s="256" t="str">
        <f t="shared" si="14"/>
        <v/>
      </c>
      <c r="J131" s="256" t="str">
        <f t="shared" si="15"/>
        <v/>
      </c>
      <c r="K131" s="256" t="str">
        <f>IF(B131="","Pending",IF(M131="","⚠️ Enter Code",IF(IFERROR(VLOOKUP(L131,DB_Agents!$B:$I,8,0),"")=M131,"Pending","🔒 BLOCKED — Wrong Code")))</f>
        <v>Pending</v>
      </c>
      <c r="L131" s="256" t="s">
        <v>134</v>
      </c>
      <c r="M131" s="252"/>
      <c r="N131" s="257"/>
    </row>
    <row r="132" spans="1:14" ht="18" customHeight="1" x14ac:dyDescent="0.25">
      <c r="A132" s="253" t="str">
        <f t="shared" si="12"/>
        <v/>
      </c>
      <c r="B132" s="254"/>
      <c r="C132" s="254" t="str">
        <f>IF(B132="","",IFERROR(VLOOKUP(B132,DB_Customers!$A:$D,4,0),"❌ Account Not Found"))</f>
        <v/>
      </c>
      <c r="D132" s="253" t="str">
        <f t="shared" ca="1" si="13"/>
        <v/>
      </c>
      <c r="E132" s="254"/>
      <c r="F132" s="254"/>
      <c r="G132" s="253"/>
      <c r="H132" s="255">
        <v>2.5</v>
      </c>
      <c r="I132" s="253" t="str">
        <f t="shared" si="14"/>
        <v/>
      </c>
      <c r="J132" s="253" t="str">
        <f t="shared" si="15"/>
        <v/>
      </c>
      <c r="K132" s="253" t="str">
        <f>IF(B132="","Pending",IF(M132="","⚠️ Enter Code",IF(IFERROR(VLOOKUP(L132,DB_Agents!$B:$I,8,0),"")=M132,"Pending","🔒 BLOCKED — Wrong Code")))</f>
        <v>Pending</v>
      </c>
      <c r="L132" s="253" t="s">
        <v>134</v>
      </c>
      <c r="M132" s="240"/>
      <c r="N132" s="254"/>
    </row>
    <row r="133" spans="1:14" ht="18" customHeight="1" x14ac:dyDescent="0.25">
      <c r="A133" s="256" t="str">
        <f t="shared" si="12"/>
        <v/>
      </c>
      <c r="B133" s="257"/>
      <c r="C133" s="257" t="str">
        <f>IF(B133="","",IFERROR(VLOOKUP(B133,DB_Customers!$A:$D,4,0),"❌ Account Not Found"))</f>
        <v/>
      </c>
      <c r="D133" s="256" t="str">
        <f t="shared" ca="1" si="13"/>
        <v/>
      </c>
      <c r="E133" s="257"/>
      <c r="F133" s="257"/>
      <c r="G133" s="256"/>
      <c r="H133" s="258">
        <v>2.5</v>
      </c>
      <c r="I133" s="256" t="str">
        <f t="shared" si="14"/>
        <v/>
      </c>
      <c r="J133" s="256" t="str">
        <f t="shared" si="15"/>
        <v/>
      </c>
      <c r="K133" s="256" t="str">
        <f>IF(B133="","Pending",IF(M133="","⚠️ Enter Code",IF(IFERROR(VLOOKUP(L133,DB_Agents!$B:$I,8,0),"")=M133,"Pending","🔒 BLOCKED — Wrong Code")))</f>
        <v>Pending</v>
      </c>
      <c r="L133" s="256" t="s">
        <v>134</v>
      </c>
      <c r="M133" s="252"/>
      <c r="N133" s="257"/>
    </row>
    <row r="134" spans="1:14" ht="18" customHeight="1" x14ac:dyDescent="0.25">
      <c r="A134" s="253" t="str">
        <f t="shared" si="12"/>
        <v/>
      </c>
      <c r="B134" s="254"/>
      <c r="C134" s="254" t="str">
        <f>IF(B134="","",IFERROR(VLOOKUP(B134,DB_Customers!$A:$D,4,0),"❌ Account Not Found"))</f>
        <v/>
      </c>
      <c r="D134" s="253" t="str">
        <f t="shared" ca="1" si="13"/>
        <v/>
      </c>
      <c r="E134" s="254"/>
      <c r="F134" s="254"/>
      <c r="G134" s="253"/>
      <c r="H134" s="255">
        <v>2.5</v>
      </c>
      <c r="I134" s="253" t="str">
        <f t="shared" si="14"/>
        <v/>
      </c>
      <c r="J134" s="253" t="str">
        <f t="shared" si="15"/>
        <v/>
      </c>
      <c r="K134" s="253" t="str">
        <f>IF(B134="","Pending",IF(M134="","⚠️ Enter Code",IF(IFERROR(VLOOKUP(L134,DB_Agents!$B:$I,8,0),"")=M134,"Pending","🔒 BLOCKED — Wrong Code")))</f>
        <v>Pending</v>
      </c>
      <c r="L134" s="253" t="s">
        <v>134</v>
      </c>
      <c r="M134" s="240"/>
      <c r="N134" s="254"/>
    </row>
    <row r="135" spans="1:14" ht="18" customHeight="1" x14ac:dyDescent="0.25">
      <c r="A135" s="256" t="str">
        <f t="shared" si="12"/>
        <v/>
      </c>
      <c r="B135" s="257"/>
      <c r="C135" s="257" t="str">
        <f>IF(B135="","",IFERROR(VLOOKUP(B135,DB_Customers!$A:$D,4,0),"❌ Account Not Found"))</f>
        <v/>
      </c>
      <c r="D135" s="256" t="str">
        <f t="shared" ca="1" si="13"/>
        <v/>
      </c>
      <c r="E135" s="257"/>
      <c r="F135" s="257"/>
      <c r="G135" s="256"/>
      <c r="H135" s="258">
        <v>2.5</v>
      </c>
      <c r="I135" s="256" t="str">
        <f t="shared" si="14"/>
        <v/>
      </c>
      <c r="J135" s="256" t="str">
        <f t="shared" si="15"/>
        <v/>
      </c>
      <c r="K135" s="256" t="str">
        <f>IF(B135="","Pending",IF(M135="","⚠️ Enter Code",IF(IFERROR(VLOOKUP(L135,DB_Agents!$B:$I,8,0),"")=M135,"Pending","🔒 BLOCKED — Wrong Code")))</f>
        <v>Pending</v>
      </c>
      <c r="L135" s="256" t="s">
        <v>134</v>
      </c>
      <c r="M135" s="252"/>
      <c r="N135" s="257"/>
    </row>
    <row r="136" spans="1:14" ht="18" customHeight="1" x14ac:dyDescent="0.25">
      <c r="A136" s="253" t="str">
        <f t="shared" si="12"/>
        <v/>
      </c>
      <c r="B136" s="254"/>
      <c r="C136" s="254" t="str">
        <f>IF(B136="","",IFERROR(VLOOKUP(B136,DB_Customers!$A:$D,4,0),"❌ Account Not Found"))</f>
        <v/>
      </c>
      <c r="D136" s="253" t="str">
        <f t="shared" ca="1" si="13"/>
        <v/>
      </c>
      <c r="E136" s="254"/>
      <c r="F136" s="254"/>
      <c r="G136" s="253"/>
      <c r="H136" s="255">
        <v>2.5</v>
      </c>
      <c r="I136" s="253" t="str">
        <f t="shared" si="14"/>
        <v/>
      </c>
      <c r="J136" s="253" t="str">
        <f t="shared" si="15"/>
        <v/>
      </c>
      <c r="K136" s="253" t="str">
        <f>IF(B136="","Pending",IF(M136="","⚠️ Enter Code",IF(IFERROR(VLOOKUP(L136,DB_Agents!$B:$I,8,0),"")=M136,"Pending","🔒 BLOCKED — Wrong Code")))</f>
        <v>Pending</v>
      </c>
      <c r="L136" s="253" t="s">
        <v>134</v>
      </c>
      <c r="M136" s="240"/>
      <c r="N136" s="254"/>
    </row>
    <row r="137" spans="1:14" ht="18" customHeight="1" x14ac:dyDescent="0.25">
      <c r="A137" s="256" t="str">
        <f t="shared" si="12"/>
        <v/>
      </c>
      <c r="B137" s="257"/>
      <c r="C137" s="257" t="str">
        <f>IF(B137="","",IFERROR(VLOOKUP(B137,DB_Customers!$A:$D,4,0),"❌ Account Not Found"))</f>
        <v/>
      </c>
      <c r="D137" s="256" t="str">
        <f t="shared" ca="1" si="13"/>
        <v/>
      </c>
      <c r="E137" s="257"/>
      <c r="F137" s="257"/>
      <c r="G137" s="256"/>
      <c r="H137" s="258">
        <v>2.5</v>
      </c>
      <c r="I137" s="256" t="str">
        <f t="shared" si="14"/>
        <v/>
      </c>
      <c r="J137" s="256" t="str">
        <f t="shared" si="15"/>
        <v/>
      </c>
      <c r="K137" s="256" t="str">
        <f>IF(B137="","Pending",IF(M137="","⚠️ Enter Code",IF(IFERROR(VLOOKUP(L137,DB_Agents!$B:$I,8,0),"")=M137,"Pending","🔒 BLOCKED — Wrong Code")))</f>
        <v>Pending</v>
      </c>
      <c r="L137" s="256" t="s">
        <v>134</v>
      </c>
      <c r="M137" s="252"/>
      <c r="N137" s="257"/>
    </row>
    <row r="138" spans="1:14" ht="18" customHeight="1" x14ac:dyDescent="0.25">
      <c r="A138" s="253" t="str">
        <f t="shared" si="12"/>
        <v/>
      </c>
      <c r="B138" s="254"/>
      <c r="C138" s="254" t="str">
        <f>IF(B138="","",IFERROR(VLOOKUP(B138,DB_Customers!$A:$D,4,0),"❌ Account Not Found"))</f>
        <v/>
      </c>
      <c r="D138" s="253" t="str">
        <f t="shared" ca="1" si="13"/>
        <v/>
      </c>
      <c r="E138" s="254"/>
      <c r="F138" s="254"/>
      <c r="G138" s="253"/>
      <c r="H138" s="255">
        <v>2.5</v>
      </c>
      <c r="I138" s="253" t="str">
        <f t="shared" si="14"/>
        <v/>
      </c>
      <c r="J138" s="253" t="str">
        <f t="shared" si="15"/>
        <v/>
      </c>
      <c r="K138" s="253" t="str">
        <f>IF(B138="","Pending",IF(M138="","⚠️ Enter Code",IF(IFERROR(VLOOKUP(L138,DB_Agents!$B:$I,8,0),"")=M138,"Pending","🔒 BLOCKED — Wrong Code")))</f>
        <v>Pending</v>
      </c>
      <c r="L138" s="253" t="s">
        <v>134</v>
      </c>
      <c r="M138" s="240"/>
      <c r="N138" s="254"/>
    </row>
    <row r="139" spans="1:14" ht="18" customHeight="1" x14ac:dyDescent="0.25">
      <c r="A139" s="256" t="str">
        <f t="shared" si="12"/>
        <v/>
      </c>
      <c r="B139" s="257"/>
      <c r="C139" s="257" t="str">
        <f>IF(B139="","",IFERROR(VLOOKUP(B139,DB_Customers!$A:$D,4,0),"❌ Account Not Found"))</f>
        <v/>
      </c>
      <c r="D139" s="256" t="str">
        <f t="shared" ca="1" si="13"/>
        <v/>
      </c>
      <c r="E139" s="257"/>
      <c r="F139" s="257"/>
      <c r="G139" s="256"/>
      <c r="H139" s="258">
        <v>2.5</v>
      </c>
      <c r="I139" s="256" t="str">
        <f t="shared" si="14"/>
        <v/>
      </c>
      <c r="J139" s="256" t="str">
        <f t="shared" si="15"/>
        <v/>
      </c>
      <c r="K139" s="256" t="str">
        <f>IF(B139="","Pending",IF(M139="","⚠️ Enter Code",IF(IFERROR(VLOOKUP(L139,DB_Agents!$B:$I,8,0),"")=M139,"Pending","🔒 BLOCKED — Wrong Code")))</f>
        <v>Pending</v>
      </c>
      <c r="L139" s="256" t="s">
        <v>134</v>
      </c>
      <c r="M139" s="252"/>
      <c r="N139" s="257"/>
    </row>
    <row r="140" spans="1:14" ht="18" customHeight="1" x14ac:dyDescent="0.25">
      <c r="A140" s="253" t="str">
        <f t="shared" si="12"/>
        <v/>
      </c>
      <c r="B140" s="254"/>
      <c r="C140" s="254" t="str">
        <f>IF(B140="","",IFERROR(VLOOKUP(B140,DB_Customers!$A:$D,4,0),"❌ Account Not Found"))</f>
        <v/>
      </c>
      <c r="D140" s="253" t="str">
        <f t="shared" ca="1" si="13"/>
        <v/>
      </c>
      <c r="E140" s="254"/>
      <c r="F140" s="254"/>
      <c r="G140" s="253"/>
      <c r="H140" s="255">
        <v>2.5</v>
      </c>
      <c r="I140" s="253" t="str">
        <f t="shared" si="14"/>
        <v/>
      </c>
      <c r="J140" s="253" t="str">
        <f t="shared" si="15"/>
        <v/>
      </c>
      <c r="K140" s="253" t="str">
        <f>IF(B140="","Pending",IF(M140="","⚠️ Enter Code",IF(IFERROR(VLOOKUP(L140,DB_Agents!$B:$I,8,0),"")=M140,"Pending","🔒 BLOCKED — Wrong Code")))</f>
        <v>Pending</v>
      </c>
      <c r="L140" s="253" t="s">
        <v>134</v>
      </c>
      <c r="M140" s="240"/>
      <c r="N140" s="254"/>
    </row>
    <row r="141" spans="1:14" ht="18" customHeight="1" x14ac:dyDescent="0.25">
      <c r="A141" s="256" t="str">
        <f t="shared" si="12"/>
        <v/>
      </c>
      <c r="B141" s="257"/>
      <c r="C141" s="257" t="str">
        <f>IF(B141="","",IFERROR(VLOOKUP(B141,DB_Customers!$A:$D,4,0),"❌ Account Not Found"))</f>
        <v/>
      </c>
      <c r="D141" s="256" t="str">
        <f t="shared" ca="1" si="13"/>
        <v/>
      </c>
      <c r="E141" s="257"/>
      <c r="F141" s="257"/>
      <c r="G141" s="256"/>
      <c r="H141" s="258">
        <v>2.5</v>
      </c>
      <c r="I141" s="256" t="str">
        <f t="shared" si="14"/>
        <v/>
      </c>
      <c r="J141" s="256" t="str">
        <f t="shared" si="15"/>
        <v/>
      </c>
      <c r="K141" s="256" t="str">
        <f>IF(B141="","Pending",IF(M141="","⚠️ Enter Code",IF(IFERROR(VLOOKUP(L141,DB_Agents!$B:$I,8,0),"")=M141,"Pending","🔒 BLOCKED — Wrong Code")))</f>
        <v>Pending</v>
      </c>
      <c r="L141" s="256" t="s">
        <v>134</v>
      </c>
      <c r="M141" s="252"/>
      <c r="N141" s="257"/>
    </row>
    <row r="142" spans="1:14" ht="18" customHeight="1" x14ac:dyDescent="0.25">
      <c r="A142" s="253" t="str">
        <f t="shared" ref="A142:A173" si="16">IF(B142="","",IF(C142="❌ Account Not Found","INVALID","LN"&amp;TEXT(D142,"YYYYMMDD")&amp;TEXT(ROW()-13,"0000")))</f>
        <v/>
      </c>
      <c r="B142" s="254"/>
      <c r="C142" s="254" t="str">
        <f>IF(B142="","",IFERROR(VLOOKUP(B142,DB_Customers!$A:$D,4,0),"❌ Account Not Found"))</f>
        <v/>
      </c>
      <c r="D142" s="253" t="str">
        <f t="shared" ref="D142:D173" ca="1" si="17">IF(B142="","",TODAY())</f>
        <v/>
      </c>
      <c r="E142" s="254"/>
      <c r="F142" s="254"/>
      <c r="G142" s="253"/>
      <c r="H142" s="255">
        <v>2.5</v>
      </c>
      <c r="I142" s="253" t="str">
        <f t="shared" ref="I142:I173" si="18">IF(E142="","",E142+(E142*H142/100*G142))</f>
        <v/>
      </c>
      <c r="J142" s="253" t="str">
        <f t="shared" ref="J142:J173" si="19">IFERROR(I142/G142,"")</f>
        <v/>
      </c>
      <c r="K142" s="253" t="str">
        <f>IF(B142="","Pending",IF(M142="","⚠️ Enter Code",IF(IFERROR(VLOOKUP(L142,DB_Agents!$B:$I,8,0),"")=M142,"Pending","🔒 BLOCKED — Wrong Code")))</f>
        <v>Pending</v>
      </c>
      <c r="L142" s="253" t="s">
        <v>134</v>
      </c>
      <c r="M142" s="240"/>
      <c r="N142" s="254"/>
    </row>
    <row r="143" spans="1:14" ht="18" customHeight="1" x14ac:dyDescent="0.25">
      <c r="A143" s="256" t="str">
        <f t="shared" si="16"/>
        <v/>
      </c>
      <c r="B143" s="257"/>
      <c r="C143" s="257" t="str">
        <f>IF(B143="","",IFERROR(VLOOKUP(B143,DB_Customers!$A:$D,4,0),"❌ Account Not Found"))</f>
        <v/>
      </c>
      <c r="D143" s="256" t="str">
        <f t="shared" ca="1" si="17"/>
        <v/>
      </c>
      <c r="E143" s="257"/>
      <c r="F143" s="257"/>
      <c r="G143" s="256"/>
      <c r="H143" s="258">
        <v>2.5</v>
      </c>
      <c r="I143" s="256" t="str">
        <f t="shared" si="18"/>
        <v/>
      </c>
      <c r="J143" s="256" t="str">
        <f t="shared" si="19"/>
        <v/>
      </c>
      <c r="K143" s="256" t="str">
        <f>IF(B143="","Pending",IF(M143="","⚠️ Enter Code",IF(IFERROR(VLOOKUP(L143,DB_Agents!$B:$I,8,0),"")=M143,"Pending","🔒 BLOCKED — Wrong Code")))</f>
        <v>Pending</v>
      </c>
      <c r="L143" s="256" t="s">
        <v>134</v>
      </c>
      <c r="M143" s="252"/>
      <c r="N143" s="257"/>
    </row>
    <row r="144" spans="1:14" ht="18" customHeight="1" x14ac:dyDescent="0.25">
      <c r="A144" s="253" t="str">
        <f t="shared" si="16"/>
        <v/>
      </c>
      <c r="B144" s="254"/>
      <c r="C144" s="254" t="str">
        <f>IF(B144="","",IFERROR(VLOOKUP(B144,DB_Customers!$A:$D,4,0),"❌ Account Not Found"))</f>
        <v/>
      </c>
      <c r="D144" s="253" t="str">
        <f t="shared" ca="1" si="17"/>
        <v/>
      </c>
      <c r="E144" s="254"/>
      <c r="F144" s="254"/>
      <c r="G144" s="253"/>
      <c r="H144" s="255">
        <v>2.5</v>
      </c>
      <c r="I144" s="253" t="str">
        <f t="shared" si="18"/>
        <v/>
      </c>
      <c r="J144" s="253" t="str">
        <f t="shared" si="19"/>
        <v/>
      </c>
      <c r="K144" s="253" t="str">
        <f>IF(B144="","Pending",IF(M144="","⚠️ Enter Code",IF(IFERROR(VLOOKUP(L144,DB_Agents!$B:$I,8,0),"")=M144,"Pending","🔒 BLOCKED — Wrong Code")))</f>
        <v>Pending</v>
      </c>
      <c r="L144" s="253" t="s">
        <v>134</v>
      </c>
      <c r="M144" s="240"/>
      <c r="N144" s="254"/>
    </row>
    <row r="145" spans="1:14" ht="18" customHeight="1" x14ac:dyDescent="0.25">
      <c r="A145" s="256" t="str">
        <f t="shared" si="16"/>
        <v/>
      </c>
      <c r="B145" s="257"/>
      <c r="C145" s="257" t="str">
        <f>IF(B145="","",IFERROR(VLOOKUP(B145,DB_Customers!$A:$D,4,0),"❌ Account Not Found"))</f>
        <v/>
      </c>
      <c r="D145" s="256" t="str">
        <f t="shared" ca="1" si="17"/>
        <v/>
      </c>
      <c r="E145" s="257"/>
      <c r="F145" s="257"/>
      <c r="G145" s="256"/>
      <c r="H145" s="258">
        <v>2.5</v>
      </c>
      <c r="I145" s="256" t="str">
        <f t="shared" si="18"/>
        <v/>
      </c>
      <c r="J145" s="256" t="str">
        <f t="shared" si="19"/>
        <v/>
      </c>
      <c r="K145" s="256" t="str">
        <f>IF(B145="","Pending",IF(M145="","⚠️ Enter Code",IF(IFERROR(VLOOKUP(L145,DB_Agents!$B:$I,8,0),"")=M145,"Pending","🔒 BLOCKED — Wrong Code")))</f>
        <v>Pending</v>
      </c>
      <c r="L145" s="256" t="s">
        <v>134</v>
      </c>
      <c r="M145" s="252"/>
      <c r="N145" s="257"/>
    </row>
    <row r="146" spans="1:14" ht="18" customHeight="1" x14ac:dyDescent="0.25">
      <c r="A146" s="253" t="str">
        <f t="shared" si="16"/>
        <v/>
      </c>
      <c r="B146" s="254"/>
      <c r="C146" s="254" t="str">
        <f>IF(B146="","",IFERROR(VLOOKUP(B146,DB_Customers!$A:$D,4,0),"❌ Account Not Found"))</f>
        <v/>
      </c>
      <c r="D146" s="253" t="str">
        <f t="shared" ca="1" si="17"/>
        <v/>
      </c>
      <c r="E146" s="254"/>
      <c r="F146" s="254"/>
      <c r="G146" s="253"/>
      <c r="H146" s="255">
        <v>2.5</v>
      </c>
      <c r="I146" s="253" t="str">
        <f t="shared" si="18"/>
        <v/>
      </c>
      <c r="J146" s="253" t="str">
        <f t="shared" si="19"/>
        <v/>
      </c>
      <c r="K146" s="253" t="str">
        <f>IF(B146="","Pending",IF(M146="","⚠️ Enter Code",IF(IFERROR(VLOOKUP(L146,DB_Agents!$B:$I,8,0),"")=M146,"Pending","🔒 BLOCKED — Wrong Code")))</f>
        <v>Pending</v>
      </c>
      <c r="L146" s="253" t="s">
        <v>134</v>
      </c>
      <c r="M146" s="240"/>
      <c r="N146" s="254"/>
    </row>
    <row r="147" spans="1:14" ht="18" customHeight="1" x14ac:dyDescent="0.25">
      <c r="A147" s="256" t="str">
        <f t="shared" si="16"/>
        <v/>
      </c>
      <c r="B147" s="257"/>
      <c r="C147" s="257" t="str">
        <f>IF(B147="","",IFERROR(VLOOKUP(B147,DB_Customers!$A:$D,4,0),"❌ Account Not Found"))</f>
        <v/>
      </c>
      <c r="D147" s="256" t="str">
        <f t="shared" ca="1" si="17"/>
        <v/>
      </c>
      <c r="E147" s="257"/>
      <c r="F147" s="257"/>
      <c r="G147" s="256"/>
      <c r="H147" s="258">
        <v>2.5</v>
      </c>
      <c r="I147" s="256" t="str">
        <f t="shared" si="18"/>
        <v/>
      </c>
      <c r="J147" s="256" t="str">
        <f t="shared" si="19"/>
        <v/>
      </c>
      <c r="K147" s="256" t="str">
        <f>IF(B147="","Pending",IF(M147="","⚠️ Enter Code",IF(IFERROR(VLOOKUP(L147,DB_Agents!$B:$I,8,0),"")=M147,"Pending","🔒 BLOCKED — Wrong Code")))</f>
        <v>Pending</v>
      </c>
      <c r="L147" s="256" t="s">
        <v>134</v>
      </c>
      <c r="M147" s="252"/>
      <c r="N147" s="257"/>
    </row>
    <row r="148" spans="1:14" ht="18" customHeight="1" x14ac:dyDescent="0.25">
      <c r="A148" s="253" t="str">
        <f t="shared" si="16"/>
        <v/>
      </c>
      <c r="B148" s="254"/>
      <c r="C148" s="254" t="str">
        <f>IF(B148="","",IFERROR(VLOOKUP(B148,DB_Customers!$A:$D,4,0),"❌ Account Not Found"))</f>
        <v/>
      </c>
      <c r="D148" s="253" t="str">
        <f t="shared" ca="1" si="17"/>
        <v/>
      </c>
      <c r="E148" s="254"/>
      <c r="F148" s="254"/>
      <c r="G148" s="253"/>
      <c r="H148" s="255">
        <v>2.5</v>
      </c>
      <c r="I148" s="253" t="str">
        <f t="shared" si="18"/>
        <v/>
      </c>
      <c r="J148" s="253" t="str">
        <f t="shared" si="19"/>
        <v/>
      </c>
      <c r="K148" s="253" t="str">
        <f>IF(B148="","Pending",IF(M148="","⚠️ Enter Code",IF(IFERROR(VLOOKUP(L148,DB_Agents!$B:$I,8,0),"")=M148,"Pending","🔒 BLOCKED — Wrong Code")))</f>
        <v>Pending</v>
      </c>
      <c r="L148" s="253" t="s">
        <v>134</v>
      </c>
      <c r="M148" s="240"/>
      <c r="N148" s="254"/>
    </row>
    <row r="149" spans="1:14" ht="18" customHeight="1" x14ac:dyDescent="0.25">
      <c r="A149" s="256" t="str">
        <f t="shared" si="16"/>
        <v/>
      </c>
      <c r="B149" s="257"/>
      <c r="C149" s="257" t="str">
        <f>IF(B149="","",IFERROR(VLOOKUP(B149,DB_Customers!$A:$D,4,0),"❌ Account Not Found"))</f>
        <v/>
      </c>
      <c r="D149" s="256" t="str">
        <f t="shared" ca="1" si="17"/>
        <v/>
      </c>
      <c r="E149" s="257"/>
      <c r="F149" s="257"/>
      <c r="G149" s="256"/>
      <c r="H149" s="258">
        <v>2.5</v>
      </c>
      <c r="I149" s="256" t="str">
        <f t="shared" si="18"/>
        <v/>
      </c>
      <c r="J149" s="256" t="str">
        <f t="shared" si="19"/>
        <v/>
      </c>
      <c r="K149" s="256" t="str">
        <f>IF(B149="","Pending",IF(M149="","⚠️ Enter Code",IF(IFERROR(VLOOKUP(L149,DB_Agents!$B:$I,8,0),"")=M149,"Pending","🔒 BLOCKED — Wrong Code")))</f>
        <v>Pending</v>
      </c>
      <c r="L149" s="256" t="s">
        <v>134</v>
      </c>
      <c r="M149" s="252"/>
      <c r="N149" s="257"/>
    </row>
    <row r="150" spans="1:14" ht="18" customHeight="1" x14ac:dyDescent="0.25">
      <c r="A150" s="253" t="str">
        <f t="shared" si="16"/>
        <v/>
      </c>
      <c r="B150" s="254"/>
      <c r="C150" s="254" t="str">
        <f>IF(B150="","",IFERROR(VLOOKUP(B150,DB_Customers!$A:$D,4,0),"❌ Account Not Found"))</f>
        <v/>
      </c>
      <c r="D150" s="253" t="str">
        <f t="shared" ca="1" si="17"/>
        <v/>
      </c>
      <c r="E150" s="254"/>
      <c r="F150" s="254"/>
      <c r="G150" s="253"/>
      <c r="H150" s="255">
        <v>2.5</v>
      </c>
      <c r="I150" s="253" t="str">
        <f t="shared" si="18"/>
        <v/>
      </c>
      <c r="J150" s="253" t="str">
        <f t="shared" si="19"/>
        <v/>
      </c>
      <c r="K150" s="253" t="str">
        <f>IF(B150="","Pending",IF(M150="","⚠️ Enter Code",IF(IFERROR(VLOOKUP(L150,DB_Agents!$B:$I,8,0),"")=M150,"Pending","🔒 BLOCKED — Wrong Code")))</f>
        <v>Pending</v>
      </c>
      <c r="L150" s="253" t="s">
        <v>134</v>
      </c>
      <c r="M150" s="240"/>
      <c r="N150" s="254"/>
    </row>
    <row r="151" spans="1:14" ht="18" customHeight="1" x14ac:dyDescent="0.25">
      <c r="A151" s="256" t="str">
        <f t="shared" si="16"/>
        <v/>
      </c>
      <c r="B151" s="257"/>
      <c r="C151" s="257" t="str">
        <f>IF(B151="","",IFERROR(VLOOKUP(B151,DB_Customers!$A:$D,4,0),"❌ Account Not Found"))</f>
        <v/>
      </c>
      <c r="D151" s="256" t="str">
        <f t="shared" ca="1" si="17"/>
        <v/>
      </c>
      <c r="E151" s="257"/>
      <c r="F151" s="257"/>
      <c r="G151" s="256"/>
      <c r="H151" s="258">
        <v>2.5</v>
      </c>
      <c r="I151" s="256" t="str">
        <f t="shared" si="18"/>
        <v/>
      </c>
      <c r="J151" s="256" t="str">
        <f t="shared" si="19"/>
        <v/>
      </c>
      <c r="K151" s="256" t="str">
        <f>IF(B151="","Pending",IF(M151="","⚠️ Enter Code",IF(IFERROR(VLOOKUP(L151,DB_Agents!$B:$I,8,0),"")=M151,"Pending","🔒 BLOCKED — Wrong Code")))</f>
        <v>Pending</v>
      </c>
      <c r="L151" s="256" t="s">
        <v>134</v>
      </c>
      <c r="M151" s="252"/>
      <c r="N151" s="257"/>
    </row>
    <row r="152" spans="1:14" ht="18" customHeight="1" x14ac:dyDescent="0.25">
      <c r="A152" s="253" t="str">
        <f t="shared" si="16"/>
        <v/>
      </c>
      <c r="B152" s="254"/>
      <c r="C152" s="254" t="str">
        <f>IF(B152="","",IFERROR(VLOOKUP(B152,DB_Customers!$A:$D,4,0),"❌ Account Not Found"))</f>
        <v/>
      </c>
      <c r="D152" s="253" t="str">
        <f t="shared" ca="1" si="17"/>
        <v/>
      </c>
      <c r="E152" s="254"/>
      <c r="F152" s="254"/>
      <c r="G152" s="253"/>
      <c r="H152" s="255">
        <v>2.5</v>
      </c>
      <c r="I152" s="253" t="str">
        <f t="shared" si="18"/>
        <v/>
      </c>
      <c r="J152" s="253" t="str">
        <f t="shared" si="19"/>
        <v/>
      </c>
      <c r="K152" s="253" t="str">
        <f>IF(B152="","Pending",IF(M152="","⚠️ Enter Code",IF(IFERROR(VLOOKUP(L152,DB_Agents!$B:$I,8,0),"")=M152,"Pending","🔒 BLOCKED — Wrong Code")))</f>
        <v>Pending</v>
      </c>
      <c r="L152" s="253" t="s">
        <v>134</v>
      </c>
      <c r="M152" s="240"/>
      <c r="N152" s="254"/>
    </row>
    <row r="153" spans="1:14" ht="18" customHeight="1" x14ac:dyDescent="0.25">
      <c r="A153" s="256" t="str">
        <f t="shared" si="16"/>
        <v/>
      </c>
      <c r="B153" s="257"/>
      <c r="C153" s="257" t="str">
        <f>IF(B153="","",IFERROR(VLOOKUP(B153,DB_Customers!$A:$D,4,0),"❌ Account Not Found"))</f>
        <v/>
      </c>
      <c r="D153" s="256" t="str">
        <f t="shared" ca="1" si="17"/>
        <v/>
      </c>
      <c r="E153" s="257"/>
      <c r="F153" s="257"/>
      <c r="G153" s="256"/>
      <c r="H153" s="258">
        <v>2.5</v>
      </c>
      <c r="I153" s="256" t="str">
        <f t="shared" si="18"/>
        <v/>
      </c>
      <c r="J153" s="256" t="str">
        <f t="shared" si="19"/>
        <v/>
      </c>
      <c r="K153" s="256" t="str">
        <f>IF(B153="","Pending",IF(M153="","⚠️ Enter Code",IF(IFERROR(VLOOKUP(L153,DB_Agents!$B:$I,8,0),"")=M153,"Pending","🔒 BLOCKED — Wrong Code")))</f>
        <v>Pending</v>
      </c>
      <c r="L153" s="256" t="s">
        <v>134</v>
      </c>
      <c r="M153" s="252"/>
      <c r="N153" s="257"/>
    </row>
    <row r="154" spans="1:14" ht="18" customHeight="1" x14ac:dyDescent="0.25">
      <c r="A154" s="253" t="str">
        <f t="shared" si="16"/>
        <v/>
      </c>
      <c r="B154" s="254"/>
      <c r="C154" s="254" t="str">
        <f>IF(B154="","",IFERROR(VLOOKUP(B154,DB_Customers!$A:$D,4,0),"❌ Account Not Found"))</f>
        <v/>
      </c>
      <c r="D154" s="253" t="str">
        <f t="shared" ca="1" si="17"/>
        <v/>
      </c>
      <c r="E154" s="254"/>
      <c r="F154" s="254"/>
      <c r="G154" s="253"/>
      <c r="H154" s="255">
        <v>2.5</v>
      </c>
      <c r="I154" s="253" t="str">
        <f t="shared" si="18"/>
        <v/>
      </c>
      <c r="J154" s="253" t="str">
        <f t="shared" si="19"/>
        <v/>
      </c>
      <c r="K154" s="253" t="str">
        <f>IF(B154="","Pending",IF(M154="","⚠️ Enter Code",IF(IFERROR(VLOOKUP(L154,DB_Agents!$B:$I,8,0),"")=M154,"Pending","🔒 BLOCKED — Wrong Code")))</f>
        <v>Pending</v>
      </c>
      <c r="L154" s="253" t="s">
        <v>134</v>
      </c>
      <c r="M154" s="240"/>
      <c r="N154" s="254"/>
    </row>
    <row r="155" spans="1:14" ht="18" customHeight="1" x14ac:dyDescent="0.25">
      <c r="A155" s="256" t="str">
        <f t="shared" si="16"/>
        <v/>
      </c>
      <c r="B155" s="257"/>
      <c r="C155" s="257" t="str">
        <f>IF(B155="","",IFERROR(VLOOKUP(B155,DB_Customers!$A:$D,4,0),"❌ Account Not Found"))</f>
        <v/>
      </c>
      <c r="D155" s="256" t="str">
        <f t="shared" ca="1" si="17"/>
        <v/>
      </c>
      <c r="E155" s="257"/>
      <c r="F155" s="257"/>
      <c r="G155" s="256"/>
      <c r="H155" s="258">
        <v>2.5</v>
      </c>
      <c r="I155" s="256" t="str">
        <f t="shared" si="18"/>
        <v/>
      </c>
      <c r="J155" s="256" t="str">
        <f t="shared" si="19"/>
        <v/>
      </c>
      <c r="K155" s="256" t="str">
        <f>IF(B155="","Pending",IF(M155="","⚠️ Enter Code",IF(IFERROR(VLOOKUP(L155,DB_Agents!$B:$I,8,0),"")=M155,"Pending","🔒 BLOCKED — Wrong Code")))</f>
        <v>Pending</v>
      </c>
      <c r="L155" s="256" t="s">
        <v>134</v>
      </c>
      <c r="M155" s="252"/>
      <c r="N155" s="257"/>
    </row>
    <row r="156" spans="1:14" ht="18" customHeight="1" x14ac:dyDescent="0.25">
      <c r="A156" s="253" t="str">
        <f t="shared" si="16"/>
        <v/>
      </c>
      <c r="B156" s="254"/>
      <c r="C156" s="254" t="str">
        <f>IF(B156="","",IFERROR(VLOOKUP(B156,DB_Customers!$A:$D,4,0),"❌ Account Not Found"))</f>
        <v/>
      </c>
      <c r="D156" s="253" t="str">
        <f t="shared" ca="1" si="17"/>
        <v/>
      </c>
      <c r="E156" s="254"/>
      <c r="F156" s="254"/>
      <c r="G156" s="253"/>
      <c r="H156" s="255">
        <v>2.5</v>
      </c>
      <c r="I156" s="253" t="str">
        <f t="shared" si="18"/>
        <v/>
      </c>
      <c r="J156" s="253" t="str">
        <f t="shared" si="19"/>
        <v/>
      </c>
      <c r="K156" s="253" t="str">
        <f>IF(B156="","Pending",IF(M156="","⚠️ Enter Code",IF(IFERROR(VLOOKUP(L156,DB_Agents!$B:$I,8,0),"")=M156,"Pending","🔒 BLOCKED — Wrong Code")))</f>
        <v>Pending</v>
      </c>
      <c r="L156" s="253" t="s">
        <v>134</v>
      </c>
      <c r="M156" s="240"/>
      <c r="N156" s="254"/>
    </row>
    <row r="157" spans="1:14" ht="18" customHeight="1" x14ac:dyDescent="0.25">
      <c r="A157" s="256" t="str">
        <f t="shared" si="16"/>
        <v/>
      </c>
      <c r="B157" s="257"/>
      <c r="C157" s="257" t="str">
        <f>IF(B157="","",IFERROR(VLOOKUP(B157,DB_Customers!$A:$D,4,0),"❌ Account Not Found"))</f>
        <v/>
      </c>
      <c r="D157" s="256" t="str">
        <f t="shared" ca="1" si="17"/>
        <v/>
      </c>
      <c r="E157" s="257"/>
      <c r="F157" s="257"/>
      <c r="G157" s="256"/>
      <c r="H157" s="258">
        <v>2.5</v>
      </c>
      <c r="I157" s="256" t="str">
        <f t="shared" si="18"/>
        <v/>
      </c>
      <c r="J157" s="256" t="str">
        <f t="shared" si="19"/>
        <v/>
      </c>
      <c r="K157" s="256" t="str">
        <f>IF(B157="","Pending",IF(M157="","⚠️ Enter Code",IF(IFERROR(VLOOKUP(L157,DB_Agents!$B:$I,8,0),"")=M157,"Pending","🔒 BLOCKED — Wrong Code")))</f>
        <v>Pending</v>
      </c>
      <c r="L157" s="256" t="s">
        <v>134</v>
      </c>
      <c r="M157" s="252"/>
      <c r="N157" s="257"/>
    </row>
    <row r="158" spans="1:14" ht="18" customHeight="1" x14ac:dyDescent="0.25">
      <c r="A158" s="253" t="str">
        <f t="shared" si="16"/>
        <v/>
      </c>
      <c r="B158" s="254"/>
      <c r="C158" s="254" t="str">
        <f>IF(B158="","",IFERROR(VLOOKUP(B158,DB_Customers!$A:$D,4,0),"❌ Account Not Found"))</f>
        <v/>
      </c>
      <c r="D158" s="253" t="str">
        <f t="shared" ca="1" si="17"/>
        <v/>
      </c>
      <c r="E158" s="254"/>
      <c r="F158" s="254"/>
      <c r="G158" s="253"/>
      <c r="H158" s="255">
        <v>2.5</v>
      </c>
      <c r="I158" s="253" t="str">
        <f t="shared" si="18"/>
        <v/>
      </c>
      <c r="J158" s="253" t="str">
        <f t="shared" si="19"/>
        <v/>
      </c>
      <c r="K158" s="253" t="str">
        <f>IF(B158="","Pending",IF(M158="","⚠️ Enter Code",IF(IFERROR(VLOOKUP(L158,DB_Agents!$B:$I,8,0),"")=M158,"Pending","🔒 BLOCKED — Wrong Code")))</f>
        <v>Pending</v>
      </c>
      <c r="L158" s="253" t="s">
        <v>134</v>
      </c>
      <c r="M158" s="240"/>
      <c r="N158" s="254"/>
    </row>
    <row r="159" spans="1:14" ht="18" customHeight="1" x14ac:dyDescent="0.25">
      <c r="A159" s="256" t="str">
        <f t="shared" si="16"/>
        <v/>
      </c>
      <c r="B159" s="257"/>
      <c r="C159" s="257" t="str">
        <f>IF(B159="","",IFERROR(VLOOKUP(B159,DB_Customers!$A:$D,4,0),"❌ Account Not Found"))</f>
        <v/>
      </c>
      <c r="D159" s="256" t="str">
        <f t="shared" ca="1" si="17"/>
        <v/>
      </c>
      <c r="E159" s="257"/>
      <c r="F159" s="257"/>
      <c r="G159" s="256"/>
      <c r="H159" s="258">
        <v>2.5</v>
      </c>
      <c r="I159" s="256" t="str">
        <f t="shared" si="18"/>
        <v/>
      </c>
      <c r="J159" s="256" t="str">
        <f t="shared" si="19"/>
        <v/>
      </c>
      <c r="K159" s="256" t="str">
        <f>IF(B159="","Pending",IF(M159="","⚠️ Enter Code",IF(IFERROR(VLOOKUP(L159,DB_Agents!$B:$I,8,0),"")=M159,"Pending","🔒 BLOCKED — Wrong Code")))</f>
        <v>Pending</v>
      </c>
      <c r="L159" s="256" t="s">
        <v>134</v>
      </c>
      <c r="M159" s="252"/>
      <c r="N159" s="257"/>
    </row>
    <row r="160" spans="1:14" ht="18" customHeight="1" x14ac:dyDescent="0.25">
      <c r="A160" s="253" t="str">
        <f t="shared" si="16"/>
        <v/>
      </c>
      <c r="B160" s="254"/>
      <c r="C160" s="254" t="str">
        <f>IF(B160="","",IFERROR(VLOOKUP(B160,DB_Customers!$A:$D,4,0),"❌ Account Not Found"))</f>
        <v/>
      </c>
      <c r="D160" s="253" t="str">
        <f t="shared" ca="1" si="17"/>
        <v/>
      </c>
      <c r="E160" s="254"/>
      <c r="F160" s="254"/>
      <c r="G160" s="253"/>
      <c r="H160" s="255">
        <v>2.5</v>
      </c>
      <c r="I160" s="253" t="str">
        <f t="shared" si="18"/>
        <v/>
      </c>
      <c r="J160" s="253" t="str">
        <f t="shared" si="19"/>
        <v/>
      </c>
      <c r="K160" s="253" t="str">
        <f>IF(B160="","Pending",IF(M160="","⚠️ Enter Code",IF(IFERROR(VLOOKUP(L160,DB_Agents!$B:$I,8,0),"")=M160,"Pending","🔒 BLOCKED — Wrong Code")))</f>
        <v>Pending</v>
      </c>
      <c r="L160" s="253" t="s">
        <v>134</v>
      </c>
      <c r="M160" s="240"/>
      <c r="N160" s="254"/>
    </row>
    <row r="161" spans="1:14" ht="18" customHeight="1" x14ac:dyDescent="0.25">
      <c r="A161" s="256" t="str">
        <f t="shared" si="16"/>
        <v/>
      </c>
      <c r="B161" s="257"/>
      <c r="C161" s="257" t="str">
        <f>IF(B161="","",IFERROR(VLOOKUP(B161,DB_Customers!$A:$D,4,0),"❌ Account Not Found"))</f>
        <v/>
      </c>
      <c r="D161" s="256" t="str">
        <f t="shared" ca="1" si="17"/>
        <v/>
      </c>
      <c r="E161" s="257"/>
      <c r="F161" s="257"/>
      <c r="G161" s="256"/>
      <c r="H161" s="258">
        <v>2.5</v>
      </c>
      <c r="I161" s="256" t="str">
        <f t="shared" si="18"/>
        <v/>
      </c>
      <c r="J161" s="256" t="str">
        <f t="shared" si="19"/>
        <v/>
      </c>
      <c r="K161" s="256" t="str">
        <f>IF(B161="","Pending",IF(M161="","⚠️ Enter Code",IF(IFERROR(VLOOKUP(L161,DB_Agents!$B:$I,8,0),"")=M161,"Pending","🔒 BLOCKED — Wrong Code")))</f>
        <v>Pending</v>
      </c>
      <c r="L161" s="256" t="s">
        <v>134</v>
      </c>
      <c r="M161" s="252"/>
      <c r="N161" s="257"/>
    </row>
    <row r="162" spans="1:14" ht="18" customHeight="1" x14ac:dyDescent="0.25">
      <c r="A162" s="253" t="str">
        <f t="shared" si="16"/>
        <v/>
      </c>
      <c r="B162" s="254"/>
      <c r="C162" s="254" t="str">
        <f>IF(B162="","",IFERROR(VLOOKUP(B162,DB_Customers!$A:$D,4,0),"❌ Account Not Found"))</f>
        <v/>
      </c>
      <c r="D162" s="253" t="str">
        <f t="shared" ca="1" si="17"/>
        <v/>
      </c>
      <c r="E162" s="254"/>
      <c r="F162" s="254"/>
      <c r="G162" s="253"/>
      <c r="H162" s="255">
        <v>2.5</v>
      </c>
      <c r="I162" s="253" t="str">
        <f t="shared" si="18"/>
        <v/>
      </c>
      <c r="J162" s="253" t="str">
        <f t="shared" si="19"/>
        <v/>
      </c>
      <c r="K162" s="253" t="str">
        <f>IF(B162="","Pending",IF(M162="","⚠️ Enter Code",IF(IFERROR(VLOOKUP(L162,DB_Agents!$B:$I,8,0),"")=M162,"Pending","🔒 BLOCKED — Wrong Code")))</f>
        <v>Pending</v>
      </c>
      <c r="L162" s="253" t="s">
        <v>134</v>
      </c>
      <c r="M162" s="240"/>
      <c r="N162" s="254"/>
    </row>
    <row r="163" spans="1:14" ht="18" customHeight="1" x14ac:dyDescent="0.25">
      <c r="A163" s="256" t="str">
        <f t="shared" si="16"/>
        <v/>
      </c>
      <c r="B163" s="257"/>
      <c r="C163" s="257" t="str">
        <f>IF(B163="","",IFERROR(VLOOKUP(B163,DB_Customers!$A:$D,4,0),"❌ Account Not Found"))</f>
        <v/>
      </c>
      <c r="D163" s="256" t="str">
        <f t="shared" ca="1" si="17"/>
        <v/>
      </c>
      <c r="E163" s="257"/>
      <c r="F163" s="257"/>
      <c r="G163" s="256"/>
      <c r="H163" s="258">
        <v>2.5</v>
      </c>
      <c r="I163" s="256" t="str">
        <f t="shared" si="18"/>
        <v/>
      </c>
      <c r="J163" s="256" t="str">
        <f t="shared" si="19"/>
        <v/>
      </c>
      <c r="K163" s="256" t="str">
        <f>IF(B163="","Pending",IF(M163="","⚠️ Enter Code",IF(IFERROR(VLOOKUP(L163,DB_Agents!$B:$I,8,0),"")=M163,"Pending","🔒 BLOCKED — Wrong Code")))</f>
        <v>Pending</v>
      </c>
      <c r="L163" s="256" t="s">
        <v>134</v>
      </c>
      <c r="M163" s="252"/>
      <c r="N163" s="257"/>
    </row>
    <row r="164" spans="1:14" ht="18" customHeight="1" x14ac:dyDescent="0.25">
      <c r="A164" s="253" t="str">
        <f t="shared" si="16"/>
        <v/>
      </c>
      <c r="B164" s="254"/>
      <c r="C164" s="254" t="str">
        <f>IF(B164="","",IFERROR(VLOOKUP(B164,DB_Customers!$A:$D,4,0),"❌ Account Not Found"))</f>
        <v/>
      </c>
      <c r="D164" s="253" t="str">
        <f t="shared" ca="1" si="17"/>
        <v/>
      </c>
      <c r="E164" s="254"/>
      <c r="F164" s="254"/>
      <c r="G164" s="253"/>
      <c r="H164" s="255">
        <v>2.5</v>
      </c>
      <c r="I164" s="253" t="str">
        <f t="shared" si="18"/>
        <v/>
      </c>
      <c r="J164" s="253" t="str">
        <f t="shared" si="19"/>
        <v/>
      </c>
      <c r="K164" s="253" t="str">
        <f>IF(B164="","Pending",IF(M164="","⚠️ Enter Code",IF(IFERROR(VLOOKUP(L164,DB_Agents!$B:$I,8,0),"")=M164,"Pending","🔒 BLOCKED — Wrong Code")))</f>
        <v>Pending</v>
      </c>
      <c r="L164" s="253" t="s">
        <v>134</v>
      </c>
      <c r="M164" s="240"/>
      <c r="N164" s="254"/>
    </row>
    <row r="165" spans="1:14" ht="18" customHeight="1" x14ac:dyDescent="0.25">
      <c r="A165" s="256" t="str">
        <f t="shared" si="16"/>
        <v/>
      </c>
      <c r="B165" s="257"/>
      <c r="C165" s="257" t="str">
        <f>IF(B165="","",IFERROR(VLOOKUP(B165,DB_Customers!$A:$D,4,0),"❌ Account Not Found"))</f>
        <v/>
      </c>
      <c r="D165" s="256" t="str">
        <f t="shared" ca="1" si="17"/>
        <v/>
      </c>
      <c r="E165" s="257"/>
      <c r="F165" s="257"/>
      <c r="G165" s="256"/>
      <c r="H165" s="258">
        <v>2.5</v>
      </c>
      <c r="I165" s="256" t="str">
        <f t="shared" si="18"/>
        <v/>
      </c>
      <c r="J165" s="256" t="str">
        <f t="shared" si="19"/>
        <v/>
      </c>
      <c r="K165" s="256" t="str">
        <f>IF(B165="","Pending",IF(M165="","⚠️ Enter Code",IF(IFERROR(VLOOKUP(L165,DB_Agents!$B:$I,8,0),"")=M165,"Pending","🔒 BLOCKED — Wrong Code")))</f>
        <v>Pending</v>
      </c>
      <c r="L165" s="256" t="s">
        <v>134</v>
      </c>
      <c r="M165" s="252"/>
      <c r="N165" s="257"/>
    </row>
    <row r="166" spans="1:14" ht="18" customHeight="1" x14ac:dyDescent="0.25">
      <c r="A166" s="253" t="str">
        <f t="shared" si="16"/>
        <v/>
      </c>
      <c r="B166" s="254"/>
      <c r="C166" s="254" t="str">
        <f>IF(B166="","",IFERROR(VLOOKUP(B166,DB_Customers!$A:$D,4,0),"❌ Account Not Found"))</f>
        <v/>
      </c>
      <c r="D166" s="253" t="str">
        <f t="shared" ca="1" si="17"/>
        <v/>
      </c>
      <c r="E166" s="254"/>
      <c r="F166" s="254"/>
      <c r="G166" s="253"/>
      <c r="H166" s="255">
        <v>2.5</v>
      </c>
      <c r="I166" s="253" t="str">
        <f t="shared" si="18"/>
        <v/>
      </c>
      <c r="J166" s="253" t="str">
        <f t="shared" si="19"/>
        <v/>
      </c>
      <c r="K166" s="253" t="str">
        <f>IF(B166="","Pending",IF(M166="","⚠️ Enter Code",IF(IFERROR(VLOOKUP(L166,DB_Agents!$B:$I,8,0),"")=M166,"Pending","🔒 BLOCKED — Wrong Code")))</f>
        <v>Pending</v>
      </c>
      <c r="L166" s="253" t="s">
        <v>134</v>
      </c>
      <c r="M166" s="240"/>
      <c r="N166" s="254"/>
    </row>
    <row r="167" spans="1:14" ht="18" customHeight="1" x14ac:dyDescent="0.25">
      <c r="A167" s="256" t="str">
        <f t="shared" si="16"/>
        <v/>
      </c>
      <c r="B167" s="257"/>
      <c r="C167" s="257" t="str">
        <f>IF(B167="","",IFERROR(VLOOKUP(B167,DB_Customers!$A:$D,4,0),"❌ Account Not Found"))</f>
        <v/>
      </c>
      <c r="D167" s="256" t="str">
        <f t="shared" ca="1" si="17"/>
        <v/>
      </c>
      <c r="E167" s="257"/>
      <c r="F167" s="257"/>
      <c r="G167" s="256"/>
      <c r="H167" s="258">
        <v>2.5</v>
      </c>
      <c r="I167" s="256" t="str">
        <f t="shared" si="18"/>
        <v/>
      </c>
      <c r="J167" s="256" t="str">
        <f t="shared" si="19"/>
        <v/>
      </c>
      <c r="K167" s="256" t="str">
        <f>IF(B167="","Pending",IF(M167="","⚠️ Enter Code",IF(IFERROR(VLOOKUP(L167,DB_Agents!$B:$I,8,0),"")=M167,"Pending","🔒 BLOCKED — Wrong Code")))</f>
        <v>Pending</v>
      </c>
      <c r="L167" s="256" t="s">
        <v>134</v>
      </c>
      <c r="M167" s="252"/>
      <c r="N167" s="257"/>
    </row>
    <row r="168" spans="1:14" ht="18" customHeight="1" x14ac:dyDescent="0.25">
      <c r="A168" s="253" t="str">
        <f t="shared" si="16"/>
        <v/>
      </c>
      <c r="B168" s="254"/>
      <c r="C168" s="254" t="str">
        <f>IF(B168="","",IFERROR(VLOOKUP(B168,DB_Customers!$A:$D,4,0),"❌ Account Not Found"))</f>
        <v/>
      </c>
      <c r="D168" s="253" t="str">
        <f t="shared" ca="1" si="17"/>
        <v/>
      </c>
      <c r="E168" s="254"/>
      <c r="F168" s="254"/>
      <c r="G168" s="253"/>
      <c r="H168" s="255">
        <v>2.5</v>
      </c>
      <c r="I168" s="253" t="str">
        <f t="shared" si="18"/>
        <v/>
      </c>
      <c r="J168" s="253" t="str">
        <f t="shared" si="19"/>
        <v/>
      </c>
      <c r="K168" s="253" t="str">
        <f>IF(B168="","Pending",IF(M168="","⚠️ Enter Code",IF(IFERROR(VLOOKUP(L168,DB_Agents!$B:$I,8,0),"")=M168,"Pending","🔒 BLOCKED — Wrong Code")))</f>
        <v>Pending</v>
      </c>
      <c r="L168" s="253" t="s">
        <v>134</v>
      </c>
      <c r="M168" s="240"/>
      <c r="N168" s="254"/>
    </row>
    <row r="169" spans="1:14" ht="18" customHeight="1" x14ac:dyDescent="0.25">
      <c r="A169" s="256" t="str">
        <f t="shared" si="16"/>
        <v/>
      </c>
      <c r="B169" s="257"/>
      <c r="C169" s="257" t="str">
        <f>IF(B169="","",IFERROR(VLOOKUP(B169,DB_Customers!$A:$D,4,0),"❌ Account Not Found"))</f>
        <v/>
      </c>
      <c r="D169" s="256" t="str">
        <f t="shared" ca="1" si="17"/>
        <v/>
      </c>
      <c r="E169" s="257"/>
      <c r="F169" s="257"/>
      <c r="G169" s="256"/>
      <c r="H169" s="258">
        <v>2.5</v>
      </c>
      <c r="I169" s="256" t="str">
        <f t="shared" si="18"/>
        <v/>
      </c>
      <c r="J169" s="256" t="str">
        <f t="shared" si="19"/>
        <v/>
      </c>
      <c r="K169" s="256" t="str">
        <f>IF(B169="","Pending",IF(M169="","⚠️ Enter Code",IF(IFERROR(VLOOKUP(L169,DB_Agents!$B:$I,8,0),"")=M169,"Pending","🔒 BLOCKED — Wrong Code")))</f>
        <v>Pending</v>
      </c>
      <c r="L169" s="256" t="s">
        <v>134</v>
      </c>
      <c r="M169" s="252"/>
      <c r="N169" s="257"/>
    </row>
    <row r="170" spans="1:14" ht="18" customHeight="1" x14ac:dyDescent="0.25">
      <c r="A170" s="253" t="str">
        <f t="shared" si="16"/>
        <v/>
      </c>
      <c r="B170" s="254"/>
      <c r="C170" s="254" t="str">
        <f>IF(B170="","",IFERROR(VLOOKUP(B170,DB_Customers!$A:$D,4,0),"❌ Account Not Found"))</f>
        <v/>
      </c>
      <c r="D170" s="253" t="str">
        <f t="shared" ca="1" si="17"/>
        <v/>
      </c>
      <c r="E170" s="254"/>
      <c r="F170" s="254"/>
      <c r="G170" s="253"/>
      <c r="H170" s="255">
        <v>2.5</v>
      </c>
      <c r="I170" s="253" t="str">
        <f t="shared" si="18"/>
        <v/>
      </c>
      <c r="J170" s="253" t="str">
        <f t="shared" si="19"/>
        <v/>
      </c>
      <c r="K170" s="253" t="str">
        <f>IF(B170="","Pending",IF(M170="","⚠️ Enter Code",IF(IFERROR(VLOOKUP(L170,DB_Agents!$B:$I,8,0),"")=M170,"Pending","🔒 BLOCKED — Wrong Code")))</f>
        <v>Pending</v>
      </c>
      <c r="L170" s="253" t="s">
        <v>134</v>
      </c>
      <c r="M170" s="240"/>
      <c r="N170" s="254"/>
    </row>
    <row r="171" spans="1:14" ht="18" customHeight="1" x14ac:dyDescent="0.25">
      <c r="A171" s="256" t="str">
        <f t="shared" si="16"/>
        <v/>
      </c>
      <c r="B171" s="257"/>
      <c r="C171" s="257" t="str">
        <f>IF(B171="","",IFERROR(VLOOKUP(B171,DB_Customers!$A:$D,4,0),"❌ Account Not Found"))</f>
        <v/>
      </c>
      <c r="D171" s="256" t="str">
        <f t="shared" ca="1" si="17"/>
        <v/>
      </c>
      <c r="E171" s="257"/>
      <c r="F171" s="257"/>
      <c r="G171" s="256"/>
      <c r="H171" s="258">
        <v>2.5</v>
      </c>
      <c r="I171" s="256" t="str">
        <f t="shared" si="18"/>
        <v/>
      </c>
      <c r="J171" s="256" t="str">
        <f t="shared" si="19"/>
        <v/>
      </c>
      <c r="K171" s="256" t="str">
        <f>IF(B171="","Pending",IF(M171="","⚠️ Enter Code",IF(IFERROR(VLOOKUP(L171,DB_Agents!$B:$I,8,0),"")=M171,"Pending","🔒 BLOCKED — Wrong Code")))</f>
        <v>Pending</v>
      </c>
      <c r="L171" s="256" t="s">
        <v>134</v>
      </c>
      <c r="M171" s="252"/>
      <c r="N171" s="257"/>
    </row>
    <row r="172" spans="1:14" ht="18" customHeight="1" x14ac:dyDescent="0.25">
      <c r="A172" s="253" t="str">
        <f t="shared" si="16"/>
        <v/>
      </c>
      <c r="B172" s="254"/>
      <c r="C172" s="254" t="str">
        <f>IF(B172="","",IFERROR(VLOOKUP(B172,DB_Customers!$A:$D,4,0),"❌ Account Not Found"))</f>
        <v/>
      </c>
      <c r="D172" s="253" t="str">
        <f t="shared" ca="1" si="17"/>
        <v/>
      </c>
      <c r="E172" s="254"/>
      <c r="F172" s="254"/>
      <c r="G172" s="253"/>
      <c r="H172" s="255">
        <v>2.5</v>
      </c>
      <c r="I172" s="253" t="str">
        <f t="shared" si="18"/>
        <v/>
      </c>
      <c r="J172" s="253" t="str">
        <f t="shared" si="19"/>
        <v/>
      </c>
      <c r="K172" s="253" t="str">
        <f>IF(B172="","Pending",IF(M172="","⚠️ Enter Code",IF(IFERROR(VLOOKUP(L172,DB_Agents!$B:$I,8,0),"")=M172,"Pending","🔒 BLOCKED — Wrong Code")))</f>
        <v>Pending</v>
      </c>
      <c r="L172" s="253" t="s">
        <v>134</v>
      </c>
      <c r="M172" s="240"/>
      <c r="N172" s="254"/>
    </row>
    <row r="173" spans="1:14" ht="18" customHeight="1" x14ac:dyDescent="0.25">
      <c r="A173" s="256" t="str">
        <f t="shared" si="16"/>
        <v/>
      </c>
      <c r="B173" s="257"/>
      <c r="C173" s="257" t="str">
        <f>IF(B173="","",IFERROR(VLOOKUP(B173,DB_Customers!$A:$D,4,0),"❌ Account Not Found"))</f>
        <v/>
      </c>
      <c r="D173" s="256" t="str">
        <f t="shared" ca="1" si="17"/>
        <v/>
      </c>
      <c r="E173" s="257"/>
      <c r="F173" s="257"/>
      <c r="G173" s="256"/>
      <c r="H173" s="258">
        <v>2.5</v>
      </c>
      <c r="I173" s="256" t="str">
        <f t="shared" si="18"/>
        <v/>
      </c>
      <c r="J173" s="256" t="str">
        <f t="shared" si="19"/>
        <v/>
      </c>
      <c r="K173" s="256" t="str">
        <f>IF(B173="","Pending",IF(M173="","⚠️ Enter Code",IF(IFERROR(VLOOKUP(L173,DB_Agents!$B:$I,8,0),"")=M173,"Pending","🔒 BLOCKED — Wrong Code")))</f>
        <v>Pending</v>
      </c>
      <c r="L173" s="256" t="s">
        <v>134</v>
      </c>
      <c r="M173" s="252"/>
      <c r="N173" s="257"/>
    </row>
    <row r="174" spans="1:14" ht="18" customHeight="1" x14ac:dyDescent="0.25">
      <c r="A174" s="253" t="str">
        <f t="shared" ref="A174:A205" si="20">IF(B174="","",IF(C174="❌ Account Not Found","INVALID","LN"&amp;TEXT(D174,"YYYYMMDD")&amp;TEXT(ROW()-13,"0000")))</f>
        <v/>
      </c>
      <c r="B174" s="254"/>
      <c r="C174" s="254" t="str">
        <f>IF(B174="","",IFERROR(VLOOKUP(B174,DB_Customers!$A:$D,4,0),"❌ Account Not Found"))</f>
        <v/>
      </c>
      <c r="D174" s="253" t="str">
        <f t="shared" ref="D174:D205" ca="1" si="21">IF(B174="","",TODAY())</f>
        <v/>
      </c>
      <c r="E174" s="254"/>
      <c r="F174" s="254"/>
      <c r="G174" s="253"/>
      <c r="H174" s="255">
        <v>2.5</v>
      </c>
      <c r="I174" s="253" t="str">
        <f t="shared" ref="I174:I205" si="22">IF(E174="","",E174+(E174*H174/100*G174))</f>
        <v/>
      </c>
      <c r="J174" s="253" t="str">
        <f t="shared" ref="J174:J205" si="23">IFERROR(I174/G174,"")</f>
        <v/>
      </c>
      <c r="K174" s="253" t="str">
        <f>IF(B174="","Pending",IF(M174="","⚠️ Enter Code",IF(IFERROR(VLOOKUP(L174,DB_Agents!$B:$I,8,0),"")=M174,"Pending","🔒 BLOCKED — Wrong Code")))</f>
        <v>Pending</v>
      </c>
      <c r="L174" s="253" t="s">
        <v>134</v>
      </c>
      <c r="M174" s="240"/>
      <c r="N174" s="254"/>
    </row>
    <row r="175" spans="1:14" ht="18" customHeight="1" x14ac:dyDescent="0.25">
      <c r="A175" s="256" t="str">
        <f t="shared" si="20"/>
        <v/>
      </c>
      <c r="B175" s="257"/>
      <c r="C175" s="257" t="str">
        <f>IF(B175="","",IFERROR(VLOOKUP(B175,DB_Customers!$A:$D,4,0),"❌ Account Not Found"))</f>
        <v/>
      </c>
      <c r="D175" s="256" t="str">
        <f t="shared" ca="1" si="21"/>
        <v/>
      </c>
      <c r="E175" s="257"/>
      <c r="F175" s="257"/>
      <c r="G175" s="256"/>
      <c r="H175" s="258">
        <v>2.5</v>
      </c>
      <c r="I175" s="256" t="str">
        <f t="shared" si="22"/>
        <v/>
      </c>
      <c r="J175" s="256" t="str">
        <f t="shared" si="23"/>
        <v/>
      </c>
      <c r="K175" s="256" t="str">
        <f>IF(B175="","Pending",IF(M175="","⚠️ Enter Code",IF(IFERROR(VLOOKUP(L175,DB_Agents!$B:$I,8,0),"")=M175,"Pending","🔒 BLOCKED — Wrong Code")))</f>
        <v>Pending</v>
      </c>
      <c r="L175" s="256" t="s">
        <v>134</v>
      </c>
      <c r="M175" s="252"/>
      <c r="N175" s="257"/>
    </row>
    <row r="176" spans="1:14" ht="18" customHeight="1" x14ac:dyDescent="0.25">
      <c r="A176" s="253" t="str">
        <f t="shared" si="20"/>
        <v/>
      </c>
      <c r="B176" s="254"/>
      <c r="C176" s="254" t="str">
        <f>IF(B176="","",IFERROR(VLOOKUP(B176,DB_Customers!$A:$D,4,0),"❌ Account Not Found"))</f>
        <v/>
      </c>
      <c r="D176" s="253" t="str">
        <f t="shared" ca="1" si="21"/>
        <v/>
      </c>
      <c r="E176" s="254"/>
      <c r="F176" s="254"/>
      <c r="G176" s="253"/>
      <c r="H176" s="255">
        <v>2.5</v>
      </c>
      <c r="I176" s="253" t="str">
        <f t="shared" si="22"/>
        <v/>
      </c>
      <c r="J176" s="253" t="str">
        <f t="shared" si="23"/>
        <v/>
      </c>
      <c r="K176" s="253" t="str">
        <f>IF(B176="","Pending",IF(M176="","⚠️ Enter Code",IF(IFERROR(VLOOKUP(L176,DB_Agents!$B:$I,8,0),"")=M176,"Pending","🔒 BLOCKED — Wrong Code")))</f>
        <v>Pending</v>
      </c>
      <c r="L176" s="253" t="s">
        <v>134</v>
      </c>
      <c r="M176" s="240"/>
      <c r="N176" s="254"/>
    </row>
    <row r="177" spans="1:14" ht="18" customHeight="1" x14ac:dyDescent="0.25">
      <c r="A177" s="256" t="str">
        <f t="shared" si="20"/>
        <v/>
      </c>
      <c r="B177" s="257"/>
      <c r="C177" s="257" t="str">
        <f>IF(B177="","",IFERROR(VLOOKUP(B177,DB_Customers!$A:$D,4,0),"❌ Account Not Found"))</f>
        <v/>
      </c>
      <c r="D177" s="256" t="str">
        <f t="shared" ca="1" si="21"/>
        <v/>
      </c>
      <c r="E177" s="257"/>
      <c r="F177" s="257"/>
      <c r="G177" s="256"/>
      <c r="H177" s="258">
        <v>2.5</v>
      </c>
      <c r="I177" s="256" t="str">
        <f t="shared" si="22"/>
        <v/>
      </c>
      <c r="J177" s="256" t="str">
        <f t="shared" si="23"/>
        <v/>
      </c>
      <c r="K177" s="256" t="str">
        <f>IF(B177="","Pending",IF(M177="","⚠️ Enter Code",IF(IFERROR(VLOOKUP(L177,DB_Agents!$B:$I,8,0),"")=M177,"Pending","🔒 BLOCKED — Wrong Code")))</f>
        <v>Pending</v>
      </c>
      <c r="L177" s="256" t="s">
        <v>134</v>
      </c>
      <c r="M177" s="252"/>
      <c r="N177" s="257"/>
    </row>
    <row r="178" spans="1:14" ht="18" customHeight="1" x14ac:dyDescent="0.25">
      <c r="A178" s="253" t="str">
        <f t="shared" si="20"/>
        <v/>
      </c>
      <c r="B178" s="254"/>
      <c r="C178" s="254" t="str">
        <f>IF(B178="","",IFERROR(VLOOKUP(B178,DB_Customers!$A:$D,4,0),"❌ Account Not Found"))</f>
        <v/>
      </c>
      <c r="D178" s="253" t="str">
        <f t="shared" ca="1" si="21"/>
        <v/>
      </c>
      <c r="E178" s="254"/>
      <c r="F178" s="254"/>
      <c r="G178" s="253"/>
      <c r="H178" s="255">
        <v>2.5</v>
      </c>
      <c r="I178" s="253" t="str">
        <f t="shared" si="22"/>
        <v/>
      </c>
      <c r="J178" s="253" t="str">
        <f t="shared" si="23"/>
        <v/>
      </c>
      <c r="K178" s="253" t="str">
        <f>IF(B178="","Pending",IF(M178="","⚠️ Enter Code",IF(IFERROR(VLOOKUP(L178,DB_Agents!$B:$I,8,0),"")=M178,"Pending","🔒 BLOCKED — Wrong Code")))</f>
        <v>Pending</v>
      </c>
      <c r="L178" s="253" t="s">
        <v>134</v>
      </c>
      <c r="M178" s="240"/>
      <c r="N178" s="254"/>
    </row>
    <row r="179" spans="1:14" ht="18" customHeight="1" x14ac:dyDescent="0.25">
      <c r="A179" s="256" t="str">
        <f t="shared" si="20"/>
        <v/>
      </c>
      <c r="B179" s="257"/>
      <c r="C179" s="257" t="str">
        <f>IF(B179="","",IFERROR(VLOOKUP(B179,DB_Customers!$A:$D,4,0),"❌ Account Not Found"))</f>
        <v/>
      </c>
      <c r="D179" s="256" t="str">
        <f t="shared" ca="1" si="21"/>
        <v/>
      </c>
      <c r="E179" s="257"/>
      <c r="F179" s="257"/>
      <c r="G179" s="256"/>
      <c r="H179" s="258">
        <v>2.5</v>
      </c>
      <c r="I179" s="256" t="str">
        <f t="shared" si="22"/>
        <v/>
      </c>
      <c r="J179" s="256" t="str">
        <f t="shared" si="23"/>
        <v/>
      </c>
      <c r="K179" s="256" t="str">
        <f>IF(B179="","Pending",IF(M179="","⚠️ Enter Code",IF(IFERROR(VLOOKUP(L179,DB_Agents!$B:$I,8,0),"")=M179,"Pending","🔒 BLOCKED — Wrong Code")))</f>
        <v>Pending</v>
      </c>
      <c r="L179" s="256" t="s">
        <v>134</v>
      </c>
      <c r="M179" s="252"/>
      <c r="N179" s="257"/>
    </row>
    <row r="180" spans="1:14" ht="18" customHeight="1" x14ac:dyDescent="0.25">
      <c r="A180" s="253" t="str">
        <f t="shared" si="20"/>
        <v/>
      </c>
      <c r="B180" s="254"/>
      <c r="C180" s="254" t="str">
        <f>IF(B180="","",IFERROR(VLOOKUP(B180,DB_Customers!$A:$D,4,0),"❌ Account Not Found"))</f>
        <v/>
      </c>
      <c r="D180" s="253" t="str">
        <f t="shared" ca="1" si="21"/>
        <v/>
      </c>
      <c r="E180" s="254"/>
      <c r="F180" s="254"/>
      <c r="G180" s="253"/>
      <c r="H180" s="255">
        <v>2.5</v>
      </c>
      <c r="I180" s="253" t="str">
        <f t="shared" si="22"/>
        <v/>
      </c>
      <c r="J180" s="253" t="str">
        <f t="shared" si="23"/>
        <v/>
      </c>
      <c r="K180" s="253" t="str">
        <f>IF(B180="","Pending",IF(M180="","⚠️ Enter Code",IF(IFERROR(VLOOKUP(L180,DB_Agents!$B:$I,8,0),"")=M180,"Pending","🔒 BLOCKED — Wrong Code")))</f>
        <v>Pending</v>
      </c>
      <c r="L180" s="253" t="s">
        <v>134</v>
      </c>
      <c r="M180" s="240"/>
      <c r="N180" s="254"/>
    </row>
    <row r="181" spans="1:14" ht="18" customHeight="1" x14ac:dyDescent="0.25">
      <c r="A181" s="256" t="str">
        <f t="shared" si="20"/>
        <v/>
      </c>
      <c r="B181" s="257"/>
      <c r="C181" s="257" t="str">
        <f>IF(B181="","",IFERROR(VLOOKUP(B181,DB_Customers!$A:$D,4,0),"❌ Account Not Found"))</f>
        <v/>
      </c>
      <c r="D181" s="256" t="str">
        <f t="shared" ca="1" si="21"/>
        <v/>
      </c>
      <c r="E181" s="257"/>
      <c r="F181" s="257"/>
      <c r="G181" s="256"/>
      <c r="H181" s="258">
        <v>2.5</v>
      </c>
      <c r="I181" s="256" t="str">
        <f t="shared" si="22"/>
        <v/>
      </c>
      <c r="J181" s="256" t="str">
        <f t="shared" si="23"/>
        <v/>
      </c>
      <c r="K181" s="256" t="str">
        <f>IF(B181="","Pending",IF(M181="","⚠️ Enter Code",IF(IFERROR(VLOOKUP(L181,DB_Agents!$B:$I,8,0),"")=M181,"Pending","🔒 BLOCKED — Wrong Code")))</f>
        <v>Pending</v>
      </c>
      <c r="L181" s="256" t="s">
        <v>134</v>
      </c>
      <c r="M181" s="252"/>
      <c r="N181" s="257"/>
    </row>
    <row r="182" spans="1:14" ht="18" customHeight="1" x14ac:dyDescent="0.25">
      <c r="A182" s="253" t="str">
        <f t="shared" si="20"/>
        <v/>
      </c>
      <c r="B182" s="254"/>
      <c r="C182" s="254" t="str">
        <f>IF(B182="","",IFERROR(VLOOKUP(B182,DB_Customers!$A:$D,4,0),"❌ Account Not Found"))</f>
        <v/>
      </c>
      <c r="D182" s="253" t="str">
        <f t="shared" ca="1" si="21"/>
        <v/>
      </c>
      <c r="E182" s="254"/>
      <c r="F182" s="254"/>
      <c r="G182" s="253"/>
      <c r="H182" s="255">
        <v>2.5</v>
      </c>
      <c r="I182" s="253" t="str">
        <f t="shared" si="22"/>
        <v/>
      </c>
      <c r="J182" s="253" t="str">
        <f t="shared" si="23"/>
        <v/>
      </c>
      <c r="K182" s="253" t="str">
        <f>IF(B182="","Pending",IF(M182="","⚠️ Enter Code",IF(IFERROR(VLOOKUP(L182,DB_Agents!$B:$I,8,0),"")=M182,"Pending","🔒 BLOCKED — Wrong Code")))</f>
        <v>Pending</v>
      </c>
      <c r="L182" s="253" t="s">
        <v>134</v>
      </c>
      <c r="M182" s="240"/>
      <c r="N182" s="254"/>
    </row>
    <row r="183" spans="1:14" ht="18" customHeight="1" x14ac:dyDescent="0.25">
      <c r="A183" s="256" t="str">
        <f t="shared" si="20"/>
        <v/>
      </c>
      <c r="B183" s="257"/>
      <c r="C183" s="257" t="str">
        <f>IF(B183="","",IFERROR(VLOOKUP(B183,DB_Customers!$A:$D,4,0),"❌ Account Not Found"))</f>
        <v/>
      </c>
      <c r="D183" s="256" t="str">
        <f t="shared" ca="1" si="21"/>
        <v/>
      </c>
      <c r="E183" s="257"/>
      <c r="F183" s="257"/>
      <c r="G183" s="256"/>
      <c r="H183" s="258">
        <v>2.5</v>
      </c>
      <c r="I183" s="256" t="str">
        <f t="shared" si="22"/>
        <v/>
      </c>
      <c r="J183" s="256" t="str">
        <f t="shared" si="23"/>
        <v/>
      </c>
      <c r="K183" s="256" t="str">
        <f>IF(B183="","Pending",IF(M183="","⚠️ Enter Code",IF(IFERROR(VLOOKUP(L183,DB_Agents!$B:$I,8,0),"")=M183,"Pending","🔒 BLOCKED — Wrong Code")))</f>
        <v>Pending</v>
      </c>
      <c r="L183" s="256" t="s">
        <v>134</v>
      </c>
      <c r="M183" s="252"/>
      <c r="N183" s="257"/>
    </row>
    <row r="184" spans="1:14" ht="18" customHeight="1" x14ac:dyDescent="0.25">
      <c r="A184" s="253" t="str">
        <f t="shared" si="20"/>
        <v/>
      </c>
      <c r="B184" s="254"/>
      <c r="C184" s="254" t="str">
        <f>IF(B184="","",IFERROR(VLOOKUP(B184,DB_Customers!$A:$D,4,0),"❌ Account Not Found"))</f>
        <v/>
      </c>
      <c r="D184" s="253" t="str">
        <f t="shared" ca="1" si="21"/>
        <v/>
      </c>
      <c r="E184" s="254"/>
      <c r="F184" s="254"/>
      <c r="G184" s="253"/>
      <c r="H184" s="255">
        <v>2.5</v>
      </c>
      <c r="I184" s="253" t="str">
        <f t="shared" si="22"/>
        <v/>
      </c>
      <c r="J184" s="253" t="str">
        <f t="shared" si="23"/>
        <v/>
      </c>
      <c r="K184" s="253" t="str">
        <f>IF(B184="","Pending",IF(M184="","⚠️ Enter Code",IF(IFERROR(VLOOKUP(L184,DB_Agents!$B:$I,8,0),"")=M184,"Pending","🔒 BLOCKED — Wrong Code")))</f>
        <v>Pending</v>
      </c>
      <c r="L184" s="253" t="s">
        <v>134</v>
      </c>
      <c r="M184" s="240"/>
      <c r="N184" s="254"/>
    </row>
    <row r="185" spans="1:14" ht="18" customHeight="1" x14ac:dyDescent="0.25">
      <c r="A185" s="256" t="str">
        <f t="shared" si="20"/>
        <v/>
      </c>
      <c r="B185" s="257"/>
      <c r="C185" s="257" t="str">
        <f>IF(B185="","",IFERROR(VLOOKUP(B185,DB_Customers!$A:$D,4,0),"❌ Account Not Found"))</f>
        <v/>
      </c>
      <c r="D185" s="256" t="str">
        <f t="shared" ca="1" si="21"/>
        <v/>
      </c>
      <c r="E185" s="257"/>
      <c r="F185" s="257"/>
      <c r="G185" s="256"/>
      <c r="H185" s="258">
        <v>2.5</v>
      </c>
      <c r="I185" s="256" t="str">
        <f t="shared" si="22"/>
        <v/>
      </c>
      <c r="J185" s="256" t="str">
        <f t="shared" si="23"/>
        <v/>
      </c>
      <c r="K185" s="256" t="str">
        <f>IF(B185="","Pending",IF(M185="","⚠️ Enter Code",IF(IFERROR(VLOOKUP(L185,DB_Agents!$B:$I,8,0),"")=M185,"Pending","🔒 BLOCKED — Wrong Code")))</f>
        <v>Pending</v>
      </c>
      <c r="L185" s="256" t="s">
        <v>134</v>
      </c>
      <c r="M185" s="252"/>
      <c r="N185" s="257"/>
    </row>
    <row r="186" spans="1:14" ht="18" customHeight="1" x14ac:dyDescent="0.25">
      <c r="A186" s="253" t="str">
        <f t="shared" si="20"/>
        <v/>
      </c>
      <c r="B186" s="254"/>
      <c r="C186" s="254" t="str">
        <f>IF(B186="","",IFERROR(VLOOKUP(B186,DB_Customers!$A:$D,4,0),"❌ Account Not Found"))</f>
        <v/>
      </c>
      <c r="D186" s="253" t="str">
        <f t="shared" ca="1" si="21"/>
        <v/>
      </c>
      <c r="E186" s="254"/>
      <c r="F186" s="254"/>
      <c r="G186" s="253"/>
      <c r="H186" s="255">
        <v>2.5</v>
      </c>
      <c r="I186" s="253" t="str">
        <f t="shared" si="22"/>
        <v/>
      </c>
      <c r="J186" s="253" t="str">
        <f t="shared" si="23"/>
        <v/>
      </c>
      <c r="K186" s="253" t="str">
        <f>IF(B186="","Pending",IF(M186="","⚠️ Enter Code",IF(IFERROR(VLOOKUP(L186,DB_Agents!$B:$I,8,0),"")=M186,"Pending","🔒 BLOCKED — Wrong Code")))</f>
        <v>Pending</v>
      </c>
      <c r="L186" s="253" t="s">
        <v>134</v>
      </c>
      <c r="M186" s="240"/>
      <c r="N186" s="254"/>
    </row>
    <row r="187" spans="1:14" ht="18" customHeight="1" x14ac:dyDescent="0.25">
      <c r="A187" s="256" t="str">
        <f t="shared" si="20"/>
        <v/>
      </c>
      <c r="B187" s="257"/>
      <c r="C187" s="257" t="str">
        <f>IF(B187="","",IFERROR(VLOOKUP(B187,DB_Customers!$A:$D,4,0),"❌ Account Not Found"))</f>
        <v/>
      </c>
      <c r="D187" s="256" t="str">
        <f t="shared" ca="1" si="21"/>
        <v/>
      </c>
      <c r="E187" s="257"/>
      <c r="F187" s="257"/>
      <c r="G187" s="256"/>
      <c r="H187" s="258">
        <v>2.5</v>
      </c>
      <c r="I187" s="256" t="str">
        <f t="shared" si="22"/>
        <v/>
      </c>
      <c r="J187" s="256" t="str">
        <f t="shared" si="23"/>
        <v/>
      </c>
      <c r="K187" s="256" t="str">
        <f>IF(B187="","Pending",IF(M187="","⚠️ Enter Code",IF(IFERROR(VLOOKUP(L187,DB_Agents!$B:$I,8,0),"")=M187,"Pending","🔒 BLOCKED — Wrong Code")))</f>
        <v>Pending</v>
      </c>
      <c r="L187" s="256" t="s">
        <v>134</v>
      </c>
      <c r="M187" s="252"/>
      <c r="N187" s="257"/>
    </row>
    <row r="188" spans="1:14" ht="18" customHeight="1" x14ac:dyDescent="0.25">
      <c r="A188" s="253" t="str">
        <f t="shared" si="20"/>
        <v/>
      </c>
      <c r="B188" s="254"/>
      <c r="C188" s="254" t="str">
        <f>IF(B188="","",IFERROR(VLOOKUP(B188,DB_Customers!$A:$D,4,0),"❌ Account Not Found"))</f>
        <v/>
      </c>
      <c r="D188" s="253" t="str">
        <f t="shared" ca="1" si="21"/>
        <v/>
      </c>
      <c r="E188" s="254"/>
      <c r="F188" s="254"/>
      <c r="G188" s="253"/>
      <c r="H188" s="255">
        <v>2.5</v>
      </c>
      <c r="I188" s="253" t="str">
        <f t="shared" si="22"/>
        <v/>
      </c>
      <c r="J188" s="253" t="str">
        <f t="shared" si="23"/>
        <v/>
      </c>
      <c r="K188" s="253" t="str">
        <f>IF(B188="","Pending",IF(M188="","⚠️ Enter Code",IF(IFERROR(VLOOKUP(L188,DB_Agents!$B:$I,8,0),"")=M188,"Pending","🔒 BLOCKED — Wrong Code")))</f>
        <v>Pending</v>
      </c>
      <c r="L188" s="253" t="s">
        <v>134</v>
      </c>
      <c r="M188" s="240"/>
      <c r="N188" s="254"/>
    </row>
    <row r="189" spans="1:14" ht="18" customHeight="1" x14ac:dyDescent="0.25">
      <c r="A189" s="256" t="str">
        <f t="shared" si="20"/>
        <v/>
      </c>
      <c r="B189" s="257"/>
      <c r="C189" s="257" t="str">
        <f>IF(B189="","",IFERROR(VLOOKUP(B189,DB_Customers!$A:$D,4,0),"❌ Account Not Found"))</f>
        <v/>
      </c>
      <c r="D189" s="256" t="str">
        <f t="shared" ca="1" si="21"/>
        <v/>
      </c>
      <c r="E189" s="257"/>
      <c r="F189" s="257"/>
      <c r="G189" s="256"/>
      <c r="H189" s="258">
        <v>2.5</v>
      </c>
      <c r="I189" s="256" t="str">
        <f t="shared" si="22"/>
        <v/>
      </c>
      <c r="J189" s="256" t="str">
        <f t="shared" si="23"/>
        <v/>
      </c>
      <c r="K189" s="256" t="str">
        <f>IF(B189="","Pending",IF(M189="","⚠️ Enter Code",IF(IFERROR(VLOOKUP(L189,DB_Agents!$B:$I,8,0),"")=M189,"Pending","🔒 BLOCKED — Wrong Code")))</f>
        <v>Pending</v>
      </c>
      <c r="L189" s="256" t="s">
        <v>134</v>
      </c>
      <c r="M189" s="252"/>
      <c r="N189" s="257"/>
    </row>
    <row r="190" spans="1:14" ht="18" customHeight="1" x14ac:dyDescent="0.25">
      <c r="A190" s="253" t="str">
        <f t="shared" si="20"/>
        <v/>
      </c>
      <c r="B190" s="254"/>
      <c r="C190" s="254" t="str">
        <f>IF(B190="","",IFERROR(VLOOKUP(B190,DB_Customers!$A:$D,4,0),"❌ Account Not Found"))</f>
        <v/>
      </c>
      <c r="D190" s="253" t="str">
        <f t="shared" ca="1" si="21"/>
        <v/>
      </c>
      <c r="E190" s="254"/>
      <c r="F190" s="254"/>
      <c r="G190" s="253"/>
      <c r="H190" s="255">
        <v>2.5</v>
      </c>
      <c r="I190" s="253" t="str">
        <f t="shared" si="22"/>
        <v/>
      </c>
      <c r="J190" s="253" t="str">
        <f t="shared" si="23"/>
        <v/>
      </c>
      <c r="K190" s="253" t="str">
        <f>IF(B190="","Pending",IF(M190="","⚠️ Enter Code",IF(IFERROR(VLOOKUP(L190,DB_Agents!$B:$I,8,0),"")=M190,"Pending","🔒 BLOCKED — Wrong Code")))</f>
        <v>Pending</v>
      </c>
      <c r="L190" s="253" t="s">
        <v>134</v>
      </c>
      <c r="M190" s="240"/>
      <c r="N190" s="254"/>
    </row>
    <row r="191" spans="1:14" ht="18" customHeight="1" x14ac:dyDescent="0.25">
      <c r="A191" s="256" t="str">
        <f t="shared" si="20"/>
        <v/>
      </c>
      <c r="B191" s="257"/>
      <c r="C191" s="257" t="str">
        <f>IF(B191="","",IFERROR(VLOOKUP(B191,DB_Customers!$A:$D,4,0),"❌ Account Not Found"))</f>
        <v/>
      </c>
      <c r="D191" s="256" t="str">
        <f t="shared" ca="1" si="21"/>
        <v/>
      </c>
      <c r="E191" s="257"/>
      <c r="F191" s="257"/>
      <c r="G191" s="256"/>
      <c r="H191" s="258">
        <v>2.5</v>
      </c>
      <c r="I191" s="256" t="str">
        <f t="shared" si="22"/>
        <v/>
      </c>
      <c r="J191" s="256" t="str">
        <f t="shared" si="23"/>
        <v/>
      </c>
      <c r="K191" s="256" t="str">
        <f>IF(B191="","Pending",IF(M191="","⚠️ Enter Code",IF(IFERROR(VLOOKUP(L191,DB_Agents!$B:$I,8,0),"")=M191,"Pending","🔒 BLOCKED — Wrong Code")))</f>
        <v>Pending</v>
      </c>
      <c r="L191" s="256" t="s">
        <v>134</v>
      </c>
      <c r="M191" s="252"/>
      <c r="N191" s="257"/>
    </row>
    <row r="192" spans="1:14" ht="18" customHeight="1" x14ac:dyDescent="0.25">
      <c r="A192" s="253" t="str">
        <f t="shared" si="20"/>
        <v/>
      </c>
      <c r="B192" s="254"/>
      <c r="C192" s="254" t="str">
        <f>IF(B192="","",IFERROR(VLOOKUP(B192,DB_Customers!$A:$D,4,0),"❌ Account Not Found"))</f>
        <v/>
      </c>
      <c r="D192" s="253" t="str">
        <f t="shared" ca="1" si="21"/>
        <v/>
      </c>
      <c r="E192" s="254"/>
      <c r="F192" s="254"/>
      <c r="G192" s="253"/>
      <c r="H192" s="255">
        <v>2.5</v>
      </c>
      <c r="I192" s="253" t="str">
        <f t="shared" si="22"/>
        <v/>
      </c>
      <c r="J192" s="253" t="str">
        <f t="shared" si="23"/>
        <v/>
      </c>
      <c r="K192" s="253" t="str">
        <f>IF(B192="","Pending",IF(M192="","⚠️ Enter Code",IF(IFERROR(VLOOKUP(L192,DB_Agents!$B:$I,8,0),"")=M192,"Pending","🔒 BLOCKED — Wrong Code")))</f>
        <v>Pending</v>
      </c>
      <c r="L192" s="253" t="s">
        <v>134</v>
      </c>
      <c r="M192" s="240"/>
      <c r="N192" s="254"/>
    </row>
    <row r="193" spans="1:14" ht="18" customHeight="1" x14ac:dyDescent="0.25">
      <c r="A193" s="256" t="str">
        <f t="shared" si="20"/>
        <v/>
      </c>
      <c r="B193" s="257"/>
      <c r="C193" s="257" t="str">
        <f>IF(B193="","",IFERROR(VLOOKUP(B193,DB_Customers!$A:$D,4,0),"❌ Account Not Found"))</f>
        <v/>
      </c>
      <c r="D193" s="256" t="str">
        <f t="shared" ca="1" si="21"/>
        <v/>
      </c>
      <c r="E193" s="257"/>
      <c r="F193" s="257"/>
      <c r="G193" s="256"/>
      <c r="H193" s="258">
        <v>2.5</v>
      </c>
      <c r="I193" s="256" t="str">
        <f t="shared" si="22"/>
        <v/>
      </c>
      <c r="J193" s="256" t="str">
        <f t="shared" si="23"/>
        <v/>
      </c>
      <c r="K193" s="256" t="str">
        <f>IF(B193="","Pending",IF(M193="","⚠️ Enter Code",IF(IFERROR(VLOOKUP(L193,DB_Agents!$B:$I,8,0),"")=M193,"Pending","🔒 BLOCKED — Wrong Code")))</f>
        <v>Pending</v>
      </c>
      <c r="L193" s="256" t="s">
        <v>134</v>
      </c>
      <c r="M193" s="252"/>
      <c r="N193" s="257"/>
    </row>
    <row r="194" spans="1:14" ht="18" customHeight="1" x14ac:dyDescent="0.25">
      <c r="A194" s="253" t="str">
        <f t="shared" si="20"/>
        <v/>
      </c>
      <c r="B194" s="254"/>
      <c r="C194" s="254" t="str">
        <f>IF(B194="","",IFERROR(VLOOKUP(B194,DB_Customers!$A:$D,4,0),"❌ Account Not Found"))</f>
        <v/>
      </c>
      <c r="D194" s="253" t="str">
        <f t="shared" ca="1" si="21"/>
        <v/>
      </c>
      <c r="E194" s="254"/>
      <c r="F194" s="254"/>
      <c r="G194" s="253"/>
      <c r="H194" s="255">
        <v>2.5</v>
      </c>
      <c r="I194" s="253" t="str">
        <f t="shared" si="22"/>
        <v/>
      </c>
      <c r="J194" s="253" t="str">
        <f t="shared" si="23"/>
        <v/>
      </c>
      <c r="K194" s="253" t="str">
        <f>IF(B194="","Pending",IF(M194="","⚠️ Enter Code",IF(IFERROR(VLOOKUP(L194,DB_Agents!$B:$I,8,0),"")=M194,"Pending","🔒 BLOCKED — Wrong Code")))</f>
        <v>Pending</v>
      </c>
      <c r="L194" s="253" t="s">
        <v>134</v>
      </c>
      <c r="M194" s="240"/>
      <c r="N194" s="254"/>
    </row>
    <row r="195" spans="1:14" ht="18" customHeight="1" x14ac:dyDescent="0.25">
      <c r="A195" s="256" t="str">
        <f t="shared" si="20"/>
        <v/>
      </c>
      <c r="B195" s="257"/>
      <c r="C195" s="257" t="str">
        <f>IF(B195="","",IFERROR(VLOOKUP(B195,DB_Customers!$A:$D,4,0),"❌ Account Not Found"))</f>
        <v/>
      </c>
      <c r="D195" s="256" t="str">
        <f t="shared" ca="1" si="21"/>
        <v/>
      </c>
      <c r="E195" s="257"/>
      <c r="F195" s="257"/>
      <c r="G195" s="256"/>
      <c r="H195" s="258">
        <v>2.5</v>
      </c>
      <c r="I195" s="256" t="str">
        <f t="shared" si="22"/>
        <v/>
      </c>
      <c r="J195" s="256" t="str">
        <f t="shared" si="23"/>
        <v/>
      </c>
      <c r="K195" s="256" t="str">
        <f>IF(B195="","Pending",IF(M195="","⚠️ Enter Code",IF(IFERROR(VLOOKUP(L195,DB_Agents!$B:$I,8,0),"")=M195,"Pending","🔒 BLOCKED — Wrong Code")))</f>
        <v>Pending</v>
      </c>
      <c r="L195" s="256" t="s">
        <v>134</v>
      </c>
      <c r="M195" s="252"/>
      <c r="N195" s="257"/>
    </row>
    <row r="196" spans="1:14" ht="18" customHeight="1" x14ac:dyDescent="0.25">
      <c r="A196" s="253" t="str">
        <f t="shared" si="20"/>
        <v/>
      </c>
      <c r="B196" s="254"/>
      <c r="C196" s="254" t="str">
        <f>IF(B196="","",IFERROR(VLOOKUP(B196,DB_Customers!$A:$D,4,0),"❌ Account Not Found"))</f>
        <v/>
      </c>
      <c r="D196" s="253" t="str">
        <f t="shared" ca="1" si="21"/>
        <v/>
      </c>
      <c r="E196" s="254"/>
      <c r="F196" s="254"/>
      <c r="G196" s="253"/>
      <c r="H196" s="255">
        <v>2.5</v>
      </c>
      <c r="I196" s="253" t="str">
        <f t="shared" si="22"/>
        <v/>
      </c>
      <c r="J196" s="253" t="str">
        <f t="shared" si="23"/>
        <v/>
      </c>
      <c r="K196" s="253" t="str">
        <f>IF(B196="","Pending",IF(M196="","⚠️ Enter Code",IF(IFERROR(VLOOKUP(L196,DB_Agents!$B:$I,8,0),"")=M196,"Pending","🔒 BLOCKED — Wrong Code")))</f>
        <v>Pending</v>
      </c>
      <c r="L196" s="253" t="s">
        <v>134</v>
      </c>
      <c r="M196" s="240"/>
      <c r="N196" s="254"/>
    </row>
    <row r="197" spans="1:14" ht="18" customHeight="1" x14ac:dyDescent="0.25">
      <c r="A197" s="256" t="str">
        <f t="shared" si="20"/>
        <v/>
      </c>
      <c r="B197" s="257"/>
      <c r="C197" s="257" t="str">
        <f>IF(B197="","",IFERROR(VLOOKUP(B197,DB_Customers!$A:$D,4,0),"❌ Account Not Found"))</f>
        <v/>
      </c>
      <c r="D197" s="256" t="str">
        <f t="shared" ca="1" si="21"/>
        <v/>
      </c>
      <c r="E197" s="257"/>
      <c r="F197" s="257"/>
      <c r="G197" s="256"/>
      <c r="H197" s="258">
        <v>2.5</v>
      </c>
      <c r="I197" s="256" t="str">
        <f t="shared" si="22"/>
        <v/>
      </c>
      <c r="J197" s="256" t="str">
        <f t="shared" si="23"/>
        <v/>
      </c>
      <c r="K197" s="256" t="str">
        <f>IF(B197="","Pending",IF(M197="","⚠️ Enter Code",IF(IFERROR(VLOOKUP(L197,DB_Agents!$B:$I,8,0),"")=M197,"Pending","🔒 BLOCKED — Wrong Code")))</f>
        <v>Pending</v>
      </c>
      <c r="L197" s="256" t="s">
        <v>134</v>
      </c>
      <c r="M197" s="252"/>
      <c r="N197" s="257"/>
    </row>
    <row r="198" spans="1:14" ht="18" customHeight="1" x14ac:dyDescent="0.25">
      <c r="A198" s="253" t="str">
        <f t="shared" si="20"/>
        <v/>
      </c>
      <c r="B198" s="254"/>
      <c r="C198" s="254" t="str">
        <f>IF(B198="","",IFERROR(VLOOKUP(B198,DB_Customers!$A:$D,4,0),"❌ Account Not Found"))</f>
        <v/>
      </c>
      <c r="D198" s="253" t="str">
        <f t="shared" ca="1" si="21"/>
        <v/>
      </c>
      <c r="E198" s="254"/>
      <c r="F198" s="254"/>
      <c r="G198" s="253"/>
      <c r="H198" s="255">
        <v>2.5</v>
      </c>
      <c r="I198" s="253" t="str">
        <f t="shared" si="22"/>
        <v/>
      </c>
      <c r="J198" s="253" t="str">
        <f t="shared" si="23"/>
        <v/>
      </c>
      <c r="K198" s="253" t="str">
        <f>IF(B198="","Pending",IF(M198="","⚠️ Enter Code",IF(IFERROR(VLOOKUP(L198,DB_Agents!$B:$I,8,0),"")=M198,"Pending","🔒 BLOCKED — Wrong Code")))</f>
        <v>Pending</v>
      </c>
      <c r="L198" s="253" t="s">
        <v>134</v>
      </c>
      <c r="M198" s="240"/>
      <c r="N198" s="254"/>
    </row>
    <row r="199" spans="1:14" ht="18" customHeight="1" x14ac:dyDescent="0.25">
      <c r="A199" s="256" t="str">
        <f t="shared" si="20"/>
        <v/>
      </c>
      <c r="B199" s="257"/>
      <c r="C199" s="257" t="str">
        <f>IF(B199="","",IFERROR(VLOOKUP(B199,DB_Customers!$A:$D,4,0),"❌ Account Not Found"))</f>
        <v/>
      </c>
      <c r="D199" s="256" t="str">
        <f t="shared" ca="1" si="21"/>
        <v/>
      </c>
      <c r="E199" s="257"/>
      <c r="F199" s="257"/>
      <c r="G199" s="256"/>
      <c r="H199" s="258">
        <v>2.5</v>
      </c>
      <c r="I199" s="256" t="str">
        <f t="shared" si="22"/>
        <v/>
      </c>
      <c r="J199" s="256" t="str">
        <f t="shared" si="23"/>
        <v/>
      </c>
      <c r="K199" s="256" t="str">
        <f>IF(B199="","Pending",IF(M199="","⚠️ Enter Code",IF(IFERROR(VLOOKUP(L199,DB_Agents!$B:$I,8,0),"")=M199,"Pending","🔒 BLOCKED — Wrong Code")))</f>
        <v>Pending</v>
      </c>
      <c r="L199" s="256" t="s">
        <v>134</v>
      </c>
      <c r="M199" s="252"/>
      <c r="N199" s="257"/>
    </row>
    <row r="200" spans="1:14" ht="18" customHeight="1" x14ac:dyDescent="0.25">
      <c r="A200" s="253" t="str">
        <f t="shared" si="20"/>
        <v/>
      </c>
      <c r="B200" s="254"/>
      <c r="C200" s="254" t="str">
        <f>IF(B200="","",IFERROR(VLOOKUP(B200,DB_Customers!$A:$D,4,0),"❌ Account Not Found"))</f>
        <v/>
      </c>
      <c r="D200" s="253" t="str">
        <f t="shared" ca="1" si="21"/>
        <v/>
      </c>
      <c r="E200" s="254"/>
      <c r="F200" s="254"/>
      <c r="G200" s="253"/>
      <c r="H200" s="255">
        <v>2.5</v>
      </c>
      <c r="I200" s="253" t="str">
        <f t="shared" si="22"/>
        <v/>
      </c>
      <c r="J200" s="253" t="str">
        <f t="shared" si="23"/>
        <v/>
      </c>
      <c r="K200" s="253" t="str">
        <f>IF(B200="","Pending",IF(M200="","⚠️ Enter Code",IF(IFERROR(VLOOKUP(L200,DB_Agents!$B:$I,8,0),"")=M200,"Pending","🔒 BLOCKED — Wrong Code")))</f>
        <v>Pending</v>
      </c>
      <c r="L200" s="253" t="s">
        <v>134</v>
      </c>
      <c r="M200" s="240"/>
      <c r="N200" s="254"/>
    </row>
    <row r="201" spans="1:14" ht="18" customHeight="1" x14ac:dyDescent="0.25">
      <c r="A201" s="256" t="str">
        <f t="shared" si="20"/>
        <v/>
      </c>
      <c r="B201" s="257"/>
      <c r="C201" s="257" t="str">
        <f>IF(B201="","",IFERROR(VLOOKUP(B201,DB_Customers!$A:$D,4,0),"❌ Account Not Found"))</f>
        <v/>
      </c>
      <c r="D201" s="256" t="str">
        <f t="shared" ca="1" si="21"/>
        <v/>
      </c>
      <c r="E201" s="257"/>
      <c r="F201" s="257"/>
      <c r="G201" s="256"/>
      <c r="H201" s="256">
        <v>2.5</v>
      </c>
      <c r="I201" s="256" t="str">
        <f t="shared" si="22"/>
        <v/>
      </c>
      <c r="J201" s="256" t="str">
        <f t="shared" si="23"/>
        <v/>
      </c>
      <c r="K201" s="256" t="str">
        <f>IF(B201="","Pending",IF(M201="","⚠️ Enter Code",IF(IFERROR(VLOOKUP(L201,DB_Agents!$B:$I,8,0),"")=M201,"Pending","🔒 BLOCKED — Wrong Code")))</f>
        <v>Pending</v>
      </c>
      <c r="L201" s="256" t="s">
        <v>134</v>
      </c>
      <c r="M201" s="252"/>
      <c r="N201" s="257"/>
    </row>
    <row r="202" spans="1:14" ht="18" customHeight="1" x14ac:dyDescent="0.25">
      <c r="A202" s="253" t="str">
        <f t="shared" si="20"/>
        <v/>
      </c>
      <c r="B202" s="254"/>
      <c r="C202" s="254" t="str">
        <f>IF(B202="","",IFERROR(VLOOKUP(B202,DB_Customers!$A:$D,4,0),"❌ Account Not Found"))</f>
        <v/>
      </c>
      <c r="D202" s="253" t="str">
        <f t="shared" ca="1" si="21"/>
        <v/>
      </c>
      <c r="E202" s="254"/>
      <c r="F202" s="254"/>
      <c r="G202" s="253"/>
      <c r="H202" s="253">
        <v>2.5</v>
      </c>
      <c r="I202" s="253" t="str">
        <f t="shared" si="22"/>
        <v/>
      </c>
      <c r="J202" s="253" t="str">
        <f t="shared" si="23"/>
        <v/>
      </c>
      <c r="K202" s="253" t="str">
        <f>IF(B202="","Pending",IF(M202="","⚠️ Enter Code",IF(IFERROR(VLOOKUP(L202,DB_Agents!$B:$I,8,0),"")=M202,"Pending","🔒 BLOCKED — Wrong Code")))</f>
        <v>Pending</v>
      </c>
      <c r="L202" s="253" t="s">
        <v>134</v>
      </c>
      <c r="M202" s="240"/>
      <c r="N202" s="254"/>
    </row>
    <row r="203" spans="1:14" ht="18" customHeight="1" x14ac:dyDescent="0.25">
      <c r="A203" s="256" t="str">
        <f t="shared" si="20"/>
        <v/>
      </c>
      <c r="B203" s="257"/>
      <c r="C203" s="257" t="str">
        <f>IF(B203="","",IFERROR(VLOOKUP(B203,DB_Customers!$A:$D,4,0),"❌ Account Not Found"))</f>
        <v/>
      </c>
      <c r="D203" s="256" t="str">
        <f t="shared" ca="1" si="21"/>
        <v/>
      </c>
      <c r="E203" s="257"/>
      <c r="F203" s="257"/>
      <c r="G203" s="256"/>
      <c r="H203" s="256">
        <v>2.5</v>
      </c>
      <c r="I203" s="256" t="str">
        <f t="shared" si="22"/>
        <v/>
      </c>
      <c r="J203" s="256" t="str">
        <f t="shared" si="23"/>
        <v/>
      </c>
      <c r="K203" s="256" t="str">
        <f>IF(B203="","Pending",IF(M203="","⚠️ Enter Code",IF(IFERROR(VLOOKUP(L203,DB_Agents!$B:$I,8,0),"")=M203,"Pending","🔒 BLOCKED — Wrong Code")))</f>
        <v>Pending</v>
      </c>
      <c r="L203" s="256" t="s">
        <v>134</v>
      </c>
      <c r="M203" s="252"/>
      <c r="N203" s="257"/>
    </row>
    <row r="204" spans="1:14" ht="18" customHeight="1" x14ac:dyDescent="0.25">
      <c r="A204" s="253" t="str">
        <f t="shared" si="20"/>
        <v/>
      </c>
      <c r="B204" s="254"/>
      <c r="C204" s="254" t="str">
        <f>IF(B204="","",IFERROR(VLOOKUP(B204,DB_Customers!$A:$D,4,0),"❌ Account Not Found"))</f>
        <v/>
      </c>
      <c r="D204" s="253" t="str">
        <f t="shared" ca="1" si="21"/>
        <v/>
      </c>
      <c r="E204" s="254"/>
      <c r="F204" s="254"/>
      <c r="G204" s="253"/>
      <c r="H204" s="253">
        <v>2.5</v>
      </c>
      <c r="I204" s="253" t="str">
        <f t="shared" si="22"/>
        <v/>
      </c>
      <c r="J204" s="253" t="str">
        <f t="shared" si="23"/>
        <v/>
      </c>
      <c r="K204" s="253" t="str">
        <f>IF(B204="","Pending",IF(M204="","⚠️ Enter Code",IF(IFERROR(VLOOKUP(L204,DB_Agents!$B:$I,8,0),"")=M204,"Pending","🔒 BLOCKED — Wrong Code")))</f>
        <v>Pending</v>
      </c>
      <c r="L204" s="253" t="s">
        <v>134</v>
      </c>
      <c r="M204" s="240"/>
      <c r="N204" s="254"/>
    </row>
    <row r="205" spans="1:14" ht="18" customHeight="1" x14ac:dyDescent="0.25">
      <c r="A205" s="256" t="str">
        <f t="shared" si="20"/>
        <v/>
      </c>
      <c r="B205" s="257"/>
      <c r="C205" s="257" t="str">
        <f>IF(B205="","",IFERROR(VLOOKUP(B205,DB_Customers!$A:$D,4,0),"❌ Account Not Found"))</f>
        <v/>
      </c>
      <c r="D205" s="256" t="str">
        <f t="shared" ca="1" si="21"/>
        <v/>
      </c>
      <c r="E205" s="257"/>
      <c r="F205" s="257"/>
      <c r="G205" s="256"/>
      <c r="H205" s="256">
        <v>2.5</v>
      </c>
      <c r="I205" s="256" t="str">
        <f t="shared" si="22"/>
        <v/>
      </c>
      <c r="J205" s="256" t="str">
        <f t="shared" si="23"/>
        <v/>
      </c>
      <c r="K205" s="256" t="str">
        <f>IF(B205="","Pending",IF(M205="","⚠️ Enter Code",IF(IFERROR(VLOOKUP(L205,DB_Agents!$B:$I,8,0),"")=M205,"Pending","🔒 BLOCKED — Wrong Code")))</f>
        <v>Pending</v>
      </c>
      <c r="L205" s="256" t="s">
        <v>134</v>
      </c>
      <c r="M205" s="252"/>
      <c r="N205" s="257"/>
    </row>
    <row r="206" spans="1:14" ht="18" customHeight="1" x14ac:dyDescent="0.25">
      <c r="A206" s="253" t="str">
        <f t="shared" ref="A206:A213" si="24">IF(B206="","",IF(C206="❌ Account Not Found","INVALID","LN"&amp;TEXT(D206,"YYYYMMDD")&amp;TEXT(ROW()-13,"0000")))</f>
        <v/>
      </c>
      <c r="B206" s="254"/>
      <c r="C206" s="254" t="str">
        <f>IF(B206="","",IFERROR(VLOOKUP(B206,DB_Customers!$A:$D,4,0),"❌ Account Not Found"))</f>
        <v/>
      </c>
      <c r="D206" s="253" t="str">
        <f t="shared" ref="D206:D213" ca="1" si="25">IF(B206="","",TODAY())</f>
        <v/>
      </c>
      <c r="E206" s="254"/>
      <c r="F206" s="254"/>
      <c r="G206" s="253"/>
      <c r="H206" s="253">
        <v>2.5</v>
      </c>
      <c r="I206" s="253" t="str">
        <f t="shared" ref="I206:I213" si="26">IF(E206="","",E206+(E206*H206/100*G206))</f>
        <v/>
      </c>
      <c r="J206" s="253" t="str">
        <f t="shared" ref="J206:J213" si="27">IFERROR(I206/G206,"")</f>
        <v/>
      </c>
      <c r="K206" s="253" t="str">
        <f>IF(B206="","Pending",IF(M206="","⚠️ Enter Code",IF(IFERROR(VLOOKUP(L206,DB_Agents!$B:$I,8,0),"")=M206,"Pending","🔒 BLOCKED — Wrong Code")))</f>
        <v>Pending</v>
      </c>
      <c r="L206" s="253" t="s">
        <v>134</v>
      </c>
      <c r="M206" s="240"/>
      <c r="N206" s="254"/>
    </row>
    <row r="207" spans="1:14" ht="18" customHeight="1" x14ac:dyDescent="0.25">
      <c r="A207" s="256" t="str">
        <f t="shared" si="24"/>
        <v/>
      </c>
      <c r="B207" s="257"/>
      <c r="C207" s="257" t="str">
        <f>IF(B207="","",IFERROR(VLOOKUP(B207,DB_Customers!$A:$D,4,0),"❌ Account Not Found"))</f>
        <v/>
      </c>
      <c r="D207" s="256" t="str">
        <f t="shared" ca="1" si="25"/>
        <v/>
      </c>
      <c r="E207" s="257"/>
      <c r="F207" s="257"/>
      <c r="G207" s="256"/>
      <c r="H207" s="256">
        <v>2.5</v>
      </c>
      <c r="I207" s="256" t="str">
        <f t="shared" si="26"/>
        <v/>
      </c>
      <c r="J207" s="256" t="str">
        <f t="shared" si="27"/>
        <v/>
      </c>
      <c r="K207" s="256" t="str">
        <f>IF(B207="","Pending",IF(M207="","⚠️ Enter Code",IF(IFERROR(VLOOKUP(L207,DB_Agents!$B:$I,8,0),"")=M207,"Pending","🔒 BLOCKED — Wrong Code")))</f>
        <v>Pending</v>
      </c>
      <c r="L207" s="256" t="s">
        <v>134</v>
      </c>
      <c r="M207" s="252"/>
      <c r="N207" s="257"/>
    </row>
    <row r="208" spans="1:14" ht="18" customHeight="1" x14ac:dyDescent="0.25">
      <c r="A208" s="253" t="str">
        <f t="shared" si="24"/>
        <v/>
      </c>
      <c r="B208" s="254"/>
      <c r="C208" s="254" t="str">
        <f>IF(B208="","",IFERROR(VLOOKUP(B208,DB_Customers!$A:$D,4,0),"❌ Account Not Found"))</f>
        <v/>
      </c>
      <c r="D208" s="253" t="str">
        <f t="shared" ca="1" si="25"/>
        <v/>
      </c>
      <c r="E208" s="254"/>
      <c r="F208" s="254"/>
      <c r="G208" s="253"/>
      <c r="H208" s="253">
        <v>2.5</v>
      </c>
      <c r="I208" s="253" t="str">
        <f t="shared" si="26"/>
        <v/>
      </c>
      <c r="J208" s="253" t="str">
        <f t="shared" si="27"/>
        <v/>
      </c>
      <c r="K208" s="253" t="str">
        <f>IF(B208="","Pending",IF(M208="","⚠️ Enter Code",IF(IFERROR(VLOOKUP(L208,DB_Agents!$B:$I,8,0),"")=M208,"Pending","🔒 BLOCKED — Wrong Code")))</f>
        <v>Pending</v>
      </c>
      <c r="L208" s="253" t="s">
        <v>134</v>
      </c>
      <c r="M208" s="240"/>
      <c r="N208" s="254"/>
    </row>
    <row r="209" spans="1:14" ht="18" customHeight="1" x14ac:dyDescent="0.25">
      <c r="A209" s="256" t="str">
        <f t="shared" si="24"/>
        <v/>
      </c>
      <c r="B209" s="257"/>
      <c r="C209" s="257" t="str">
        <f>IF(B209="","",IFERROR(VLOOKUP(B209,DB_Customers!$A:$D,4,0),"❌ Account Not Found"))</f>
        <v/>
      </c>
      <c r="D209" s="256" t="str">
        <f t="shared" ca="1" si="25"/>
        <v/>
      </c>
      <c r="E209" s="257"/>
      <c r="F209" s="257"/>
      <c r="G209" s="256"/>
      <c r="H209" s="256">
        <v>2.5</v>
      </c>
      <c r="I209" s="256" t="str">
        <f t="shared" si="26"/>
        <v/>
      </c>
      <c r="J209" s="256" t="str">
        <f t="shared" si="27"/>
        <v/>
      </c>
      <c r="K209" s="256" t="str">
        <f>IF(B209="","Pending",IF(M209="","⚠️ Enter Code",IF(IFERROR(VLOOKUP(L209,DB_Agents!$B:$I,8,0),"")=M209,"Pending","🔒 BLOCKED — Wrong Code")))</f>
        <v>Pending</v>
      </c>
      <c r="L209" s="256" t="s">
        <v>134</v>
      </c>
      <c r="M209" s="252"/>
      <c r="N209" s="257"/>
    </row>
    <row r="210" spans="1:14" ht="18" customHeight="1" x14ac:dyDescent="0.25">
      <c r="A210" s="253" t="str">
        <f t="shared" si="24"/>
        <v/>
      </c>
      <c r="B210" s="254"/>
      <c r="C210" s="254" t="str">
        <f>IF(B210="","",IFERROR(VLOOKUP(B210,DB_Customers!$A:$D,4,0),"❌ Account Not Found"))</f>
        <v/>
      </c>
      <c r="D210" s="253" t="str">
        <f t="shared" ca="1" si="25"/>
        <v/>
      </c>
      <c r="E210" s="254"/>
      <c r="F210" s="254"/>
      <c r="G210" s="253"/>
      <c r="H210" s="253">
        <v>2.5</v>
      </c>
      <c r="I210" s="253" t="str">
        <f t="shared" si="26"/>
        <v/>
      </c>
      <c r="J210" s="253" t="str">
        <f t="shared" si="27"/>
        <v/>
      </c>
      <c r="K210" s="253" t="str">
        <f>IF(B210="","Pending",IF(M210="","⚠️ Enter Code",IF(IFERROR(VLOOKUP(L210,DB_Agents!$B:$I,8,0),"")=M210,"Pending","🔒 BLOCKED — Wrong Code")))</f>
        <v>Pending</v>
      </c>
      <c r="L210" s="253" t="s">
        <v>134</v>
      </c>
      <c r="M210" s="240"/>
      <c r="N210" s="254"/>
    </row>
    <row r="211" spans="1:14" ht="18" customHeight="1" x14ac:dyDescent="0.25">
      <c r="A211" s="256" t="str">
        <f t="shared" si="24"/>
        <v/>
      </c>
      <c r="B211" s="257"/>
      <c r="C211" s="257" t="str">
        <f>IF(B211="","",IFERROR(VLOOKUP(B211,DB_Customers!$A:$D,4,0),"❌ Account Not Found"))</f>
        <v/>
      </c>
      <c r="D211" s="256" t="str">
        <f t="shared" ca="1" si="25"/>
        <v/>
      </c>
      <c r="E211" s="257"/>
      <c r="F211" s="257"/>
      <c r="G211" s="256"/>
      <c r="H211" s="256">
        <v>2.5</v>
      </c>
      <c r="I211" s="256" t="str">
        <f t="shared" si="26"/>
        <v/>
      </c>
      <c r="J211" s="256" t="str">
        <f t="shared" si="27"/>
        <v/>
      </c>
      <c r="K211" s="256" t="str">
        <f>IF(B211="","Pending",IF(M211="","⚠️ Enter Code",IF(IFERROR(VLOOKUP(L211,DB_Agents!$B:$I,8,0),"")=M211,"Pending","🔒 BLOCKED — Wrong Code")))</f>
        <v>Pending</v>
      </c>
      <c r="L211" s="256" t="s">
        <v>134</v>
      </c>
      <c r="M211" s="252"/>
      <c r="N211" s="257"/>
    </row>
    <row r="212" spans="1:14" ht="18" customHeight="1" x14ac:dyDescent="0.25">
      <c r="A212" s="253" t="str">
        <f t="shared" si="24"/>
        <v/>
      </c>
      <c r="B212" s="254"/>
      <c r="C212" s="254" t="str">
        <f>IF(B212="","",IFERROR(VLOOKUP(B212,DB_Customers!$A:$D,4,0),"❌ Account Not Found"))</f>
        <v/>
      </c>
      <c r="D212" s="253" t="str">
        <f t="shared" ca="1" si="25"/>
        <v/>
      </c>
      <c r="E212" s="254"/>
      <c r="F212" s="254"/>
      <c r="G212" s="253"/>
      <c r="H212" s="253">
        <v>2.5</v>
      </c>
      <c r="I212" s="253" t="str">
        <f t="shared" si="26"/>
        <v/>
      </c>
      <c r="J212" s="253" t="str">
        <f t="shared" si="27"/>
        <v/>
      </c>
      <c r="K212" s="253" t="str">
        <f>IF(B212="","Pending",IF(M212="","⚠️ Enter Code",IF(IFERROR(VLOOKUP(L212,DB_Agents!$B:$I,8,0),"")=M212,"Pending","🔒 BLOCKED — Wrong Code")))</f>
        <v>Pending</v>
      </c>
      <c r="L212" s="253" t="s">
        <v>134</v>
      </c>
      <c r="M212" s="240"/>
      <c r="N212" s="254"/>
    </row>
    <row r="213" spans="1:14" ht="18" customHeight="1" x14ac:dyDescent="0.25">
      <c r="A213" s="256" t="str">
        <f t="shared" si="24"/>
        <v/>
      </c>
      <c r="B213" s="257"/>
      <c r="C213" s="257" t="str">
        <f>IF(B213="","",IFERROR(VLOOKUP(B213,DB_Customers!$A:$D,4,0),"❌ Account Not Found"))</f>
        <v/>
      </c>
      <c r="D213" s="256" t="str">
        <f t="shared" ca="1" si="25"/>
        <v/>
      </c>
      <c r="E213" s="257"/>
      <c r="F213" s="257"/>
      <c r="G213" s="256"/>
      <c r="H213" s="256">
        <v>2.5</v>
      </c>
      <c r="I213" s="256" t="str">
        <f t="shared" si="26"/>
        <v/>
      </c>
      <c r="J213" s="256" t="str">
        <f t="shared" si="27"/>
        <v/>
      </c>
      <c r="K213" s="256" t="str">
        <f>IF(B213="","Pending",IF(M213="","⚠️ Enter Code",IF(IFERROR(VLOOKUP(L213,DB_Agents!$B:$I,8,0),"")=M213,"Pending","🔒 BLOCKED — Wrong Code")))</f>
        <v>Pending</v>
      </c>
      <c r="L213" s="256" t="s">
        <v>134</v>
      </c>
      <c r="M213" s="252"/>
      <c r="N213" s="257"/>
    </row>
  </sheetData>
  <conditionalFormatting sqref="K14:K113">
    <cfRule type="cellIs" dxfId="85" priority="2" operator="equal">
      <formula>"Approved"</formula>
    </cfRule>
    <cfRule type="cellIs" dxfId="84" priority="3" operator="equal">
      <formula>"Pending"</formula>
    </cfRule>
    <cfRule type="cellIs" dxfId="83" priority="4" operator="equal">
      <formula>"Rejected"</formula>
    </cfRule>
  </conditionalFormatting>
  <dataValidations count="2">
    <dataValidation type="whole" showErrorMessage="1" error="Enter 1-36 months" sqref="G14:G113" xr:uid="{00000000-0002-0000-0E00-000000000000}">
      <formula1>1</formula1>
      <formula2>36</formula2>
    </dataValidation>
    <dataValidation type="list" sqref="L14:L113" xr:uid="{00000000-0002-0000-0E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359" t="s">
        <v>348</v>
      </c>
      <c r="B1" s="265"/>
      <c r="C1" s="265"/>
      <c r="D1" s="265"/>
      <c r="E1" s="265"/>
      <c r="F1" s="265"/>
      <c r="G1" s="265"/>
      <c r="H1" s="265"/>
      <c r="I1" s="265"/>
      <c r="J1" s="265"/>
      <c r="K1" s="265"/>
      <c r="L1" s="265"/>
    </row>
    <row r="2" spans="1:12" ht="19.5" customHeight="1" x14ac:dyDescent="0.25">
      <c r="A2" s="357" t="s">
        <v>349</v>
      </c>
      <c r="B2" s="265"/>
      <c r="C2" s="265"/>
      <c r="D2" s="265"/>
      <c r="E2" s="265"/>
      <c r="F2" s="265"/>
      <c r="G2" s="265"/>
      <c r="H2" s="265"/>
      <c r="I2" s="265"/>
      <c r="J2" s="265"/>
      <c r="K2" s="265"/>
      <c r="L2" s="265"/>
    </row>
    <row r="3" spans="1:12" ht="18" customHeight="1" x14ac:dyDescent="0.25">
      <c r="A3" s="323" t="s">
        <v>311</v>
      </c>
      <c r="B3" s="265"/>
      <c r="C3" s="265"/>
      <c r="D3" s="324" t="s">
        <v>312</v>
      </c>
      <c r="E3" s="265"/>
      <c r="F3" s="265"/>
      <c r="G3" s="351" t="s">
        <v>313</v>
      </c>
      <c r="H3" s="265"/>
      <c r="I3" s="265"/>
      <c r="J3" s="265"/>
      <c r="K3" s="265"/>
      <c r="L3" s="265"/>
    </row>
    <row r="4" spans="1:12" ht="27.75" customHeight="1" x14ac:dyDescent="0.25">
      <c r="A4" s="363">
        <f ca="1">SUMIFS(DB_Savings!$F:$F,DB_Savings!$G:$G,"Agent 03",DB_Savings!$E:$E,TODAY())</f>
        <v>0</v>
      </c>
      <c r="B4" s="265"/>
      <c r="C4" s="265"/>
      <c r="D4" s="361">
        <f ca="1">COUNTIFS(DB_Savings!$G:$G,"Agent 03",DB_Savings!$E:$E,TODAY())</f>
        <v>0</v>
      </c>
      <c r="E4" s="265"/>
      <c r="F4" s="265"/>
      <c r="G4" s="362" t="str">
        <f ca="1">TEXT(TODAY(),"DDDD, DD MMMM YYYY")</f>
        <v>Friday, 24 April 2026</v>
      </c>
      <c r="H4" s="265"/>
      <c r="I4" s="265"/>
      <c r="J4" s="265"/>
      <c r="K4" s="265"/>
      <c r="L4" s="265"/>
    </row>
    <row r="5" spans="1:12" ht="21.75" customHeight="1" x14ac:dyDescent="0.25">
      <c r="A5" s="360" t="str">
        <f ca="1">IF(SUMIFS(DB_Savings!$F:$F,DB_Savings!$G:$G,"Agent 03",DB_Savings!$E:$E,TODAY())&gt;=J4,"✅ DAILY TARGET ACHIEVED! Well done Agent 03!","⏳ Collection in progress — Keep going! Remaining: GHC "&amp;TEXT(J4-SUMIFS(DB_Savings!$F:$F,DB_Savings!$G:$G,"Agent 03",DB_Savings!$E:$E,TODAY()),"#,##0.00"))</f>
        <v>✅ DAILY TARGET ACHIEVED! Well done Agent 03!</v>
      </c>
      <c r="B5" s="265"/>
      <c r="C5" s="265"/>
      <c r="D5" s="265"/>
      <c r="E5" s="265"/>
      <c r="F5" s="265"/>
      <c r="G5" s="265"/>
      <c r="H5" s="265"/>
      <c r="I5" s="265"/>
      <c r="J5" s="265"/>
      <c r="K5" s="265"/>
      <c r="L5" s="265"/>
    </row>
    <row r="6" spans="1:12" ht="7.5" customHeight="1" x14ac:dyDescent="0.25"/>
    <row r="7" spans="1:12" ht="19.5" customHeight="1" x14ac:dyDescent="0.25">
      <c r="A7" s="358" t="s">
        <v>314</v>
      </c>
      <c r="B7" s="265"/>
      <c r="C7" s="265"/>
      <c r="D7" s="265"/>
      <c r="E7" s="265"/>
      <c r="F7" s="265"/>
      <c r="G7" s="265"/>
      <c r="H7" s="265"/>
      <c r="I7" s="265"/>
      <c r="J7" s="265"/>
      <c r="K7" s="265"/>
      <c r="L7" s="265"/>
    </row>
    <row r="8" spans="1:12" ht="19.5" customHeight="1" x14ac:dyDescent="0.25">
      <c r="A8" s="36" t="s">
        <v>315</v>
      </c>
      <c r="B8" s="36" t="s">
        <v>77</v>
      </c>
      <c r="C8" s="36" t="s">
        <v>316</v>
      </c>
      <c r="D8" s="36" t="s">
        <v>78</v>
      </c>
      <c r="E8" s="36" t="s">
        <v>317</v>
      </c>
      <c r="F8" s="36" t="s">
        <v>318</v>
      </c>
      <c r="G8" s="36" t="s">
        <v>14</v>
      </c>
      <c r="H8" s="75" t="s">
        <v>319</v>
      </c>
      <c r="I8" s="36" t="s">
        <v>13</v>
      </c>
      <c r="J8" s="36" t="s">
        <v>320</v>
      </c>
      <c r="K8" s="36" t="s">
        <v>321</v>
      </c>
    </row>
    <row r="9" spans="1:12" ht="15" customHeight="1" x14ac:dyDescent="0.25">
      <c r="A9" s="76"/>
      <c r="B9" s="37" t="str">
        <f>IF(A9="","",IFERROR(VLOOKUP(A9,DB_Customers!$A:$D,4,0),"❌ Account Not Found"))</f>
        <v/>
      </c>
      <c r="C9" s="77" t="str">
        <f>IF(A9="","",IFERROR(IF(SUMIF(DB_Savings!$C:$C,A9,DB_Savings!$F:$F)=0,VLOOKUP(A9,DB_Customers!$A:$I,9,0),VLOOKUP(A9,DB_Customers!$A:$N,14,0)),"❌ Acct Not Found"))</f>
        <v/>
      </c>
      <c r="D9" s="78" t="str">
        <f t="shared" ref="D9:D40" ca="1" si="0">IF(A9="","",TODAY())</f>
        <v/>
      </c>
      <c r="E9" s="79"/>
      <c r="F9" s="80" t="str">
        <f t="shared" ref="F9:F40" si="1">IF(OR(A9="",E9=""),"",IF(C9="","",C9+E9))</f>
        <v/>
      </c>
      <c r="G9" s="39" t="s">
        <v>135</v>
      </c>
      <c r="H9" s="81"/>
      <c r="I9" s="82" t="str">
        <f>IF(A9="","Pending",IF(H9="","⚠️ Enter Agent Code",IF(IFERROR(VLOOKUP(G9,DB_Agents!$B:$I,8,0),"")=H9,IF(AND(A9&lt;&gt;"",E9&lt;&gt;""),"Saved","Pending"),"🔒 BLOCKED — Wrong Code")))</f>
        <v>Pending</v>
      </c>
      <c r="J9" s="83" t="str">
        <f t="shared" ref="J9:J40" ca="1" si="2">IF(I9="Saved",TEXT(TODAY(),"YYYY-MM-DD")&amp;" Auto","—")</f>
        <v>—</v>
      </c>
      <c r="K9" s="84"/>
    </row>
    <row r="10" spans="1:12" ht="15" customHeight="1" x14ac:dyDescent="0.25">
      <c r="A10" s="85"/>
      <c r="B10" s="41" t="str">
        <f>IF(A10="","",IFERROR(VLOOKUP(A10,DB_Customers!$A:$D,4,0),"❌ Account Not Found"))</f>
        <v/>
      </c>
      <c r="C10" s="86" t="str">
        <f>IF(A10="","",IFERROR(IF(SUMIF(DB_Savings!$C:$C,A10,DB_Savings!$F:$F)=0,VLOOKUP(A10,DB_Customers!$A:$I,9,0),VLOOKUP(A10,DB_Customers!$A:$N,14,0)),"❌ Acct Not Found"))</f>
        <v/>
      </c>
      <c r="D10" s="87" t="str">
        <f t="shared" ca="1" si="0"/>
        <v/>
      </c>
      <c r="E10" s="79"/>
      <c r="F10" s="88" t="str">
        <f t="shared" si="1"/>
        <v/>
      </c>
      <c r="G10" s="43" t="s">
        <v>135</v>
      </c>
      <c r="H10" s="81"/>
      <c r="I10" s="89" t="str">
        <f>IF(A10="","Pending",IF(H10="","⚠️ Enter Agent Code",IF(IFERROR(VLOOKUP(G10,DB_Agents!$B:$I,8,0),"")=H10,IF(AND(A10&lt;&gt;"",E10&lt;&gt;""),"Saved","Pending"),"🔒 BLOCKED — Wrong Code")))</f>
        <v>Pending</v>
      </c>
      <c r="J10" s="90" t="str">
        <f t="shared" ca="1" si="2"/>
        <v>—</v>
      </c>
      <c r="K10" s="91"/>
    </row>
    <row r="11" spans="1:12" ht="15" customHeight="1" x14ac:dyDescent="0.25">
      <c r="A11" s="76"/>
      <c r="B11" s="37" t="str">
        <f>IF(A11="","",IFERROR(VLOOKUP(A11,DB_Customers!$A:$D,4,0),"❌ Account Not Found"))</f>
        <v/>
      </c>
      <c r="C11" s="77" t="str">
        <f>IF(A11="","",IFERROR(IF(SUMIF(DB_Savings!$C:$C,A11,DB_Savings!$F:$F)=0,VLOOKUP(A11,DB_Customers!$A:$I,9,0),VLOOKUP(A11,DB_Customers!$A:$N,14,0)),"❌ Acct Not Found"))</f>
        <v/>
      </c>
      <c r="D11" s="78" t="str">
        <f t="shared" ca="1" si="0"/>
        <v/>
      </c>
      <c r="E11" s="79"/>
      <c r="F11" s="80" t="str">
        <f t="shared" si="1"/>
        <v/>
      </c>
      <c r="G11" s="39" t="s">
        <v>135</v>
      </c>
      <c r="H11" s="81"/>
      <c r="I11" s="82" t="str">
        <f>IF(A11="","Pending",IF(H11="","⚠️ Enter Agent Code",IF(IFERROR(VLOOKUP(G11,DB_Agents!$B:$I,8,0),"")=H11,IF(AND(A11&lt;&gt;"",E11&lt;&gt;""),"Saved","Pending"),"🔒 BLOCKED — Wrong Code")))</f>
        <v>Pending</v>
      </c>
      <c r="J11" s="83" t="str">
        <f t="shared" ca="1" si="2"/>
        <v>—</v>
      </c>
      <c r="K11" s="84"/>
    </row>
    <row r="12" spans="1:12" ht="15" customHeight="1" x14ac:dyDescent="0.25">
      <c r="A12" s="85"/>
      <c r="B12" s="41" t="str">
        <f>IF(A12="","",IFERROR(VLOOKUP(A12,DB_Customers!$A:$D,4,0),"❌ Account Not Found"))</f>
        <v/>
      </c>
      <c r="C12" s="86" t="str">
        <f>IF(A12="","",IFERROR(IF(SUMIF(DB_Savings!$C:$C,A12,DB_Savings!$F:$F)=0,VLOOKUP(A12,DB_Customers!$A:$I,9,0),VLOOKUP(A12,DB_Customers!$A:$N,14,0)),"❌ Acct Not Found"))</f>
        <v/>
      </c>
      <c r="D12" s="87" t="str">
        <f t="shared" ca="1" si="0"/>
        <v/>
      </c>
      <c r="E12" s="79"/>
      <c r="F12" s="88" t="str">
        <f t="shared" si="1"/>
        <v/>
      </c>
      <c r="G12" s="43" t="s">
        <v>135</v>
      </c>
      <c r="H12" s="81"/>
      <c r="I12" s="89" t="str">
        <f>IF(A12="","Pending",IF(H12="","⚠️ Enter Agent Code",IF(IFERROR(VLOOKUP(G12,DB_Agents!$B:$I,8,0),"")=H12,IF(AND(A12&lt;&gt;"",E12&lt;&gt;""),"Saved","Pending"),"🔒 BLOCKED — Wrong Code")))</f>
        <v>Pending</v>
      </c>
      <c r="J12" s="90" t="str">
        <f t="shared" ca="1" si="2"/>
        <v>—</v>
      </c>
      <c r="K12" s="91"/>
    </row>
    <row r="13" spans="1:12" ht="15" customHeight="1" x14ac:dyDescent="0.25">
      <c r="A13" s="76"/>
      <c r="B13" s="37" t="str">
        <f>IF(A13="","",IFERROR(VLOOKUP(A13,DB_Customers!$A:$D,4,0),"❌ Account Not Found"))</f>
        <v/>
      </c>
      <c r="C13" s="77" t="str">
        <f>IF(A13="","",IFERROR(IF(SUMIF(DB_Savings!$C:$C,A13,DB_Savings!$F:$F)=0,VLOOKUP(A13,DB_Customers!$A:$I,9,0),VLOOKUP(A13,DB_Customers!$A:$N,14,0)),"❌ Acct Not Found"))</f>
        <v/>
      </c>
      <c r="D13" s="78" t="str">
        <f t="shared" ca="1" si="0"/>
        <v/>
      </c>
      <c r="E13" s="79"/>
      <c r="F13" s="80" t="str">
        <f t="shared" si="1"/>
        <v/>
      </c>
      <c r="G13" s="39" t="s">
        <v>135</v>
      </c>
      <c r="H13" s="81"/>
      <c r="I13" s="82" t="str">
        <f>IF(A13="","Pending",IF(H13="","⚠️ Enter Agent Code",IF(IFERROR(VLOOKUP(G13,DB_Agents!$B:$I,8,0),"")=H13,IF(AND(A13&lt;&gt;"",E13&lt;&gt;""),"Saved","Pending"),"🔒 BLOCKED — Wrong Code")))</f>
        <v>Pending</v>
      </c>
      <c r="J13" s="83" t="str">
        <f t="shared" ca="1" si="2"/>
        <v>—</v>
      </c>
      <c r="K13" s="84"/>
    </row>
    <row r="14" spans="1:12" ht="15" customHeight="1" x14ac:dyDescent="0.25">
      <c r="A14" s="85"/>
      <c r="B14" s="41" t="str">
        <f>IF(A14="","",IFERROR(VLOOKUP(A14,DB_Customers!$A:$D,4,0),"❌ Account Not Found"))</f>
        <v/>
      </c>
      <c r="C14" s="86" t="str">
        <f>IF(A14="","",IFERROR(IF(SUMIF(DB_Savings!$C:$C,A14,DB_Savings!$F:$F)=0,VLOOKUP(A14,DB_Customers!$A:$I,9,0),VLOOKUP(A14,DB_Customers!$A:$N,14,0)),"❌ Acct Not Found"))</f>
        <v/>
      </c>
      <c r="D14" s="87" t="str">
        <f t="shared" ca="1" si="0"/>
        <v/>
      </c>
      <c r="E14" s="79"/>
      <c r="F14" s="88" t="str">
        <f t="shared" si="1"/>
        <v/>
      </c>
      <c r="G14" s="43" t="s">
        <v>135</v>
      </c>
      <c r="H14" s="81"/>
      <c r="I14" s="89" t="str">
        <f>IF(A14="","Pending",IF(H14="","⚠️ Enter Agent Code",IF(IFERROR(VLOOKUP(G14,DB_Agents!$B:$I,8,0),"")=H14,IF(AND(A14&lt;&gt;"",E14&lt;&gt;""),"Saved","Pending"),"🔒 BLOCKED — Wrong Code")))</f>
        <v>Pending</v>
      </c>
      <c r="J14" s="90" t="str">
        <f t="shared" ca="1" si="2"/>
        <v>—</v>
      </c>
      <c r="K14" s="91"/>
    </row>
    <row r="15" spans="1:12" ht="15" customHeight="1" x14ac:dyDescent="0.25">
      <c r="A15" s="76"/>
      <c r="B15" s="37" t="str">
        <f>IF(A15="","",IFERROR(VLOOKUP(A15,DB_Customers!$A:$D,4,0),"❌ Account Not Found"))</f>
        <v/>
      </c>
      <c r="C15" s="77" t="str">
        <f>IF(A15="","",IFERROR(IF(SUMIF(DB_Savings!$C:$C,A15,DB_Savings!$F:$F)=0,VLOOKUP(A15,DB_Customers!$A:$I,9,0),VLOOKUP(A15,DB_Customers!$A:$N,14,0)),"❌ Acct Not Found"))</f>
        <v/>
      </c>
      <c r="D15" s="78" t="str">
        <f t="shared" ca="1" si="0"/>
        <v/>
      </c>
      <c r="E15" s="79"/>
      <c r="F15" s="80" t="str">
        <f t="shared" si="1"/>
        <v/>
      </c>
      <c r="G15" s="39" t="s">
        <v>135</v>
      </c>
      <c r="H15" s="81"/>
      <c r="I15" s="82" t="str">
        <f>IF(A15="","Pending",IF(H15="","⚠️ Enter Agent Code",IF(IFERROR(VLOOKUP(G15,DB_Agents!$B:$I,8,0),"")=H15,IF(AND(A15&lt;&gt;"",E15&lt;&gt;""),"Saved","Pending"),"🔒 BLOCKED — Wrong Code")))</f>
        <v>Pending</v>
      </c>
      <c r="J15" s="83" t="str">
        <f t="shared" ca="1" si="2"/>
        <v>—</v>
      </c>
      <c r="K15" s="84"/>
    </row>
    <row r="16" spans="1:12" ht="15" customHeight="1" x14ac:dyDescent="0.25">
      <c r="A16" s="85"/>
      <c r="B16" s="41" t="str">
        <f>IF(A16="","",IFERROR(VLOOKUP(A16,DB_Customers!$A:$D,4,0),"❌ Account Not Found"))</f>
        <v/>
      </c>
      <c r="C16" s="86" t="str">
        <f>IF(A16="","",IFERROR(IF(SUMIF(DB_Savings!$C:$C,A16,DB_Savings!$F:$F)=0,VLOOKUP(A16,DB_Customers!$A:$I,9,0),VLOOKUP(A16,DB_Customers!$A:$N,14,0)),"❌ Acct Not Found"))</f>
        <v/>
      </c>
      <c r="D16" s="87" t="str">
        <f t="shared" ca="1" si="0"/>
        <v/>
      </c>
      <c r="E16" s="79"/>
      <c r="F16" s="88" t="str">
        <f t="shared" si="1"/>
        <v/>
      </c>
      <c r="G16" s="43" t="s">
        <v>135</v>
      </c>
      <c r="H16" s="81"/>
      <c r="I16" s="89" t="str">
        <f>IF(A16="","Pending",IF(H16="","⚠️ Enter Agent Code",IF(IFERROR(VLOOKUP(G16,DB_Agents!$B:$I,8,0),"")=H16,IF(AND(A16&lt;&gt;"",E16&lt;&gt;""),"Saved","Pending"),"🔒 BLOCKED — Wrong Code")))</f>
        <v>Pending</v>
      </c>
      <c r="J16" s="90" t="str">
        <f t="shared" ca="1" si="2"/>
        <v>—</v>
      </c>
      <c r="K16" s="91"/>
    </row>
    <row r="17" spans="1:11" ht="15" customHeight="1" x14ac:dyDescent="0.25">
      <c r="A17" s="76"/>
      <c r="B17" s="37" t="str">
        <f>IF(A17="","",IFERROR(VLOOKUP(A17,DB_Customers!$A:$D,4,0),"❌ Account Not Found"))</f>
        <v/>
      </c>
      <c r="C17" s="77" t="str">
        <f>IF(A17="","",IFERROR(IF(SUMIF(DB_Savings!$C:$C,A17,DB_Savings!$F:$F)=0,VLOOKUP(A17,DB_Customers!$A:$I,9,0),VLOOKUP(A17,DB_Customers!$A:$N,14,0)),"❌ Acct Not Found"))</f>
        <v/>
      </c>
      <c r="D17" s="78" t="str">
        <f t="shared" ca="1" si="0"/>
        <v/>
      </c>
      <c r="E17" s="79"/>
      <c r="F17" s="80" t="str">
        <f t="shared" si="1"/>
        <v/>
      </c>
      <c r="G17" s="39" t="s">
        <v>135</v>
      </c>
      <c r="H17" s="81"/>
      <c r="I17" s="82" t="str">
        <f>IF(A17="","Pending",IF(H17="","⚠️ Enter Agent Code",IF(IFERROR(VLOOKUP(G17,DB_Agents!$B:$I,8,0),"")=H17,IF(AND(A17&lt;&gt;"",E17&lt;&gt;""),"Saved","Pending"),"🔒 BLOCKED — Wrong Code")))</f>
        <v>Pending</v>
      </c>
      <c r="J17" s="83" t="str">
        <f t="shared" ca="1" si="2"/>
        <v>—</v>
      </c>
      <c r="K17" s="84"/>
    </row>
    <row r="18" spans="1:11" ht="15" customHeight="1" x14ac:dyDescent="0.25">
      <c r="A18" s="85"/>
      <c r="B18" s="41" t="str">
        <f>IF(A18="","",IFERROR(VLOOKUP(A18,DB_Customers!$A:$D,4,0),"❌ Account Not Found"))</f>
        <v/>
      </c>
      <c r="C18" s="86" t="str">
        <f>IF(A18="","",IFERROR(IF(SUMIF(DB_Savings!$C:$C,A18,DB_Savings!$F:$F)=0,VLOOKUP(A18,DB_Customers!$A:$I,9,0),VLOOKUP(A18,DB_Customers!$A:$N,14,0)),"❌ Acct Not Found"))</f>
        <v/>
      </c>
      <c r="D18" s="87" t="str">
        <f t="shared" ca="1" si="0"/>
        <v/>
      </c>
      <c r="E18" s="79"/>
      <c r="F18" s="88" t="str">
        <f t="shared" si="1"/>
        <v/>
      </c>
      <c r="G18" s="43" t="s">
        <v>135</v>
      </c>
      <c r="H18" s="81"/>
      <c r="I18" s="89" t="str">
        <f>IF(A18="","Pending",IF(H18="","⚠️ Enter Agent Code",IF(IFERROR(VLOOKUP(G18,DB_Agents!$B:$I,8,0),"")=H18,IF(AND(A18&lt;&gt;"",E18&lt;&gt;""),"Saved","Pending"),"🔒 BLOCKED — Wrong Code")))</f>
        <v>Pending</v>
      </c>
      <c r="J18" s="90" t="str">
        <f t="shared" ca="1" si="2"/>
        <v>—</v>
      </c>
      <c r="K18" s="91"/>
    </row>
    <row r="19" spans="1:11" ht="15" customHeight="1" x14ac:dyDescent="0.25">
      <c r="A19" s="76"/>
      <c r="B19" s="37" t="str">
        <f>IF(A19="","",IFERROR(VLOOKUP(A19,DB_Customers!$A:$D,4,0),"❌ Account Not Found"))</f>
        <v/>
      </c>
      <c r="C19" s="77" t="str">
        <f>IF(A19="","",IFERROR(IF(SUMIF(DB_Savings!$C:$C,A19,DB_Savings!$F:$F)=0,VLOOKUP(A19,DB_Customers!$A:$I,9,0),VLOOKUP(A19,DB_Customers!$A:$N,14,0)),"❌ Acct Not Found"))</f>
        <v/>
      </c>
      <c r="D19" s="78" t="str">
        <f t="shared" ca="1" si="0"/>
        <v/>
      </c>
      <c r="E19" s="79"/>
      <c r="F19" s="80" t="str">
        <f t="shared" si="1"/>
        <v/>
      </c>
      <c r="G19" s="39" t="s">
        <v>135</v>
      </c>
      <c r="H19" s="81"/>
      <c r="I19" s="82" t="str">
        <f>IF(A19="","Pending",IF(H19="","⚠️ Enter Agent Code",IF(IFERROR(VLOOKUP(G19,DB_Agents!$B:$I,8,0),"")=H19,IF(AND(A19&lt;&gt;"",E19&lt;&gt;""),"Saved","Pending"),"🔒 BLOCKED — Wrong Code")))</f>
        <v>Pending</v>
      </c>
      <c r="J19" s="83" t="str">
        <f t="shared" ca="1" si="2"/>
        <v>—</v>
      </c>
      <c r="K19" s="84"/>
    </row>
    <row r="20" spans="1:11" ht="15" customHeight="1" x14ac:dyDescent="0.25">
      <c r="A20" s="85"/>
      <c r="B20" s="41" t="str">
        <f>IF(A20="","",IFERROR(VLOOKUP(A20,DB_Customers!$A:$D,4,0),"❌ Account Not Found"))</f>
        <v/>
      </c>
      <c r="C20" s="86" t="str">
        <f>IF(A20="","",IFERROR(IF(SUMIF(DB_Savings!$C:$C,A20,DB_Savings!$F:$F)=0,VLOOKUP(A20,DB_Customers!$A:$I,9,0),VLOOKUP(A20,DB_Customers!$A:$N,14,0)),"❌ Acct Not Found"))</f>
        <v/>
      </c>
      <c r="D20" s="87" t="str">
        <f t="shared" ca="1" si="0"/>
        <v/>
      </c>
      <c r="E20" s="79"/>
      <c r="F20" s="88" t="str">
        <f t="shared" si="1"/>
        <v/>
      </c>
      <c r="G20" s="43" t="s">
        <v>135</v>
      </c>
      <c r="H20" s="81"/>
      <c r="I20" s="89" t="str">
        <f>IF(A20="","Pending",IF(H20="","⚠️ Enter Agent Code",IF(IFERROR(VLOOKUP(G20,DB_Agents!$B:$I,8,0),"")=H20,IF(AND(A20&lt;&gt;"",E20&lt;&gt;""),"Saved","Pending"),"🔒 BLOCKED — Wrong Code")))</f>
        <v>Pending</v>
      </c>
      <c r="J20" s="90" t="str">
        <f t="shared" ca="1" si="2"/>
        <v>—</v>
      </c>
      <c r="K20" s="91"/>
    </row>
    <row r="21" spans="1:11" ht="15" customHeight="1" x14ac:dyDescent="0.25">
      <c r="A21" s="76"/>
      <c r="B21" s="37" t="str">
        <f>IF(A21="","",IFERROR(VLOOKUP(A21,DB_Customers!$A:$D,4,0),"❌ Account Not Found"))</f>
        <v/>
      </c>
      <c r="C21" s="77" t="str">
        <f>IF(A21="","",IFERROR(IF(SUMIF(DB_Savings!$C:$C,A21,DB_Savings!$F:$F)=0,VLOOKUP(A21,DB_Customers!$A:$I,9,0),VLOOKUP(A21,DB_Customers!$A:$N,14,0)),"❌ Acct Not Found"))</f>
        <v/>
      </c>
      <c r="D21" s="78" t="str">
        <f t="shared" ca="1" si="0"/>
        <v/>
      </c>
      <c r="E21" s="79"/>
      <c r="F21" s="80" t="str">
        <f t="shared" si="1"/>
        <v/>
      </c>
      <c r="G21" s="39" t="s">
        <v>135</v>
      </c>
      <c r="H21" s="81"/>
      <c r="I21" s="82" t="str">
        <f>IF(A21="","Pending",IF(H21="","⚠️ Enter Agent Code",IF(IFERROR(VLOOKUP(G21,DB_Agents!$B:$I,8,0),"")=H21,IF(AND(A21&lt;&gt;"",E21&lt;&gt;""),"Saved","Pending"),"🔒 BLOCKED — Wrong Code")))</f>
        <v>Pending</v>
      </c>
      <c r="J21" s="83" t="str">
        <f t="shared" ca="1" si="2"/>
        <v>—</v>
      </c>
      <c r="K21" s="84"/>
    </row>
    <row r="22" spans="1:11" ht="15" customHeight="1" x14ac:dyDescent="0.25">
      <c r="A22" s="85"/>
      <c r="B22" s="41" t="str">
        <f>IF(A22="","",IFERROR(VLOOKUP(A22,DB_Customers!$A:$D,4,0),"❌ Account Not Found"))</f>
        <v/>
      </c>
      <c r="C22" s="86" t="str">
        <f>IF(A22="","",IFERROR(IF(SUMIF(DB_Savings!$C:$C,A22,DB_Savings!$F:$F)=0,VLOOKUP(A22,DB_Customers!$A:$I,9,0),VLOOKUP(A22,DB_Customers!$A:$N,14,0)),"❌ Acct Not Found"))</f>
        <v/>
      </c>
      <c r="D22" s="87" t="str">
        <f t="shared" ca="1" si="0"/>
        <v/>
      </c>
      <c r="E22" s="79"/>
      <c r="F22" s="88" t="str">
        <f t="shared" si="1"/>
        <v/>
      </c>
      <c r="G22" s="43" t="s">
        <v>135</v>
      </c>
      <c r="H22" s="81"/>
      <c r="I22" s="89" t="str">
        <f>IF(A22="","Pending",IF(H22="","⚠️ Enter Agent Code",IF(IFERROR(VLOOKUP(G22,DB_Agents!$B:$I,8,0),"")=H22,IF(AND(A22&lt;&gt;"",E22&lt;&gt;""),"Saved","Pending"),"🔒 BLOCKED — Wrong Code")))</f>
        <v>Pending</v>
      </c>
      <c r="J22" s="90" t="str">
        <f t="shared" ca="1" si="2"/>
        <v>—</v>
      </c>
      <c r="K22" s="91"/>
    </row>
    <row r="23" spans="1:11" ht="15" customHeight="1" x14ac:dyDescent="0.25">
      <c r="A23" s="76"/>
      <c r="B23" s="37" t="str">
        <f>IF(A23="","",IFERROR(VLOOKUP(A23,DB_Customers!$A:$D,4,0),"❌ Account Not Found"))</f>
        <v/>
      </c>
      <c r="C23" s="77" t="str">
        <f>IF(A23="","",IFERROR(IF(SUMIF(DB_Savings!$C:$C,A23,DB_Savings!$F:$F)=0,VLOOKUP(A23,DB_Customers!$A:$I,9,0),VLOOKUP(A23,DB_Customers!$A:$N,14,0)),"❌ Acct Not Found"))</f>
        <v/>
      </c>
      <c r="D23" s="78" t="str">
        <f t="shared" ca="1" si="0"/>
        <v/>
      </c>
      <c r="E23" s="79"/>
      <c r="F23" s="80" t="str">
        <f t="shared" si="1"/>
        <v/>
      </c>
      <c r="G23" s="39" t="s">
        <v>135</v>
      </c>
      <c r="H23" s="81"/>
      <c r="I23" s="82" t="str">
        <f>IF(A23="","Pending",IF(H23="","⚠️ Enter Agent Code",IF(IFERROR(VLOOKUP(G23,DB_Agents!$B:$I,8,0),"")=H23,IF(AND(A23&lt;&gt;"",E23&lt;&gt;""),"Saved","Pending"),"🔒 BLOCKED — Wrong Code")))</f>
        <v>Pending</v>
      </c>
      <c r="J23" s="83" t="str">
        <f t="shared" ca="1" si="2"/>
        <v>—</v>
      </c>
      <c r="K23" s="84"/>
    </row>
    <row r="24" spans="1:11" ht="15" customHeight="1" x14ac:dyDescent="0.25">
      <c r="A24" s="85"/>
      <c r="B24" s="41" t="str">
        <f>IF(A24="","",IFERROR(VLOOKUP(A24,DB_Customers!$A:$D,4,0),"❌ Account Not Found"))</f>
        <v/>
      </c>
      <c r="C24" s="86" t="str">
        <f>IF(A24="","",IFERROR(IF(SUMIF(DB_Savings!$C:$C,A24,DB_Savings!$F:$F)=0,VLOOKUP(A24,DB_Customers!$A:$I,9,0),VLOOKUP(A24,DB_Customers!$A:$N,14,0)),"❌ Acct Not Found"))</f>
        <v/>
      </c>
      <c r="D24" s="87" t="str">
        <f t="shared" ca="1" si="0"/>
        <v/>
      </c>
      <c r="E24" s="79"/>
      <c r="F24" s="88" t="str">
        <f t="shared" si="1"/>
        <v/>
      </c>
      <c r="G24" s="43" t="s">
        <v>135</v>
      </c>
      <c r="H24" s="81"/>
      <c r="I24" s="89" t="str">
        <f>IF(A24="","Pending",IF(H24="","⚠️ Enter Agent Code",IF(IFERROR(VLOOKUP(G24,DB_Agents!$B:$I,8,0),"")=H24,IF(AND(A24&lt;&gt;"",E24&lt;&gt;""),"Saved","Pending"),"🔒 BLOCKED — Wrong Code")))</f>
        <v>Pending</v>
      </c>
      <c r="J24" s="90" t="str">
        <f t="shared" ca="1" si="2"/>
        <v>—</v>
      </c>
      <c r="K24" s="91"/>
    </row>
    <row r="25" spans="1:11" ht="15" customHeight="1" x14ac:dyDescent="0.25">
      <c r="A25" s="76"/>
      <c r="B25" s="37" t="str">
        <f>IF(A25="","",IFERROR(VLOOKUP(A25,DB_Customers!$A:$D,4,0),"❌ Account Not Found"))</f>
        <v/>
      </c>
      <c r="C25" s="77" t="str">
        <f>IF(A25="","",IFERROR(IF(SUMIF(DB_Savings!$C:$C,A25,DB_Savings!$F:$F)=0,VLOOKUP(A25,DB_Customers!$A:$I,9,0),VLOOKUP(A25,DB_Customers!$A:$N,14,0)),"❌ Acct Not Found"))</f>
        <v/>
      </c>
      <c r="D25" s="78" t="str">
        <f t="shared" ca="1" si="0"/>
        <v/>
      </c>
      <c r="E25" s="79"/>
      <c r="F25" s="80" t="str">
        <f t="shared" si="1"/>
        <v/>
      </c>
      <c r="G25" s="39" t="s">
        <v>135</v>
      </c>
      <c r="H25" s="81"/>
      <c r="I25" s="82" t="str">
        <f>IF(A25="","Pending",IF(H25="","⚠️ Enter Agent Code",IF(IFERROR(VLOOKUP(G25,DB_Agents!$B:$I,8,0),"")=H25,IF(AND(A25&lt;&gt;"",E25&lt;&gt;""),"Saved","Pending"),"🔒 BLOCKED — Wrong Code")))</f>
        <v>Pending</v>
      </c>
      <c r="J25" s="83" t="str">
        <f t="shared" ca="1" si="2"/>
        <v>—</v>
      </c>
      <c r="K25" s="84"/>
    </row>
    <row r="26" spans="1:11" ht="15" customHeight="1" x14ac:dyDescent="0.25">
      <c r="A26" s="85"/>
      <c r="B26" s="41" t="str">
        <f>IF(A26="","",IFERROR(VLOOKUP(A26,DB_Customers!$A:$D,4,0),"❌ Account Not Found"))</f>
        <v/>
      </c>
      <c r="C26" s="86" t="str">
        <f>IF(A26="","",IFERROR(IF(SUMIF(DB_Savings!$C:$C,A26,DB_Savings!$F:$F)=0,VLOOKUP(A26,DB_Customers!$A:$I,9,0),VLOOKUP(A26,DB_Customers!$A:$N,14,0)),"❌ Acct Not Found"))</f>
        <v/>
      </c>
      <c r="D26" s="87" t="str">
        <f t="shared" ca="1" si="0"/>
        <v/>
      </c>
      <c r="E26" s="79"/>
      <c r="F26" s="88" t="str">
        <f t="shared" si="1"/>
        <v/>
      </c>
      <c r="G26" s="43" t="s">
        <v>135</v>
      </c>
      <c r="H26" s="81"/>
      <c r="I26" s="89" t="str">
        <f>IF(A26="","Pending",IF(H26="","⚠️ Enter Agent Code",IF(IFERROR(VLOOKUP(G26,DB_Agents!$B:$I,8,0),"")=H26,IF(AND(A26&lt;&gt;"",E26&lt;&gt;""),"Saved","Pending"),"🔒 BLOCKED — Wrong Code")))</f>
        <v>Pending</v>
      </c>
      <c r="J26" s="90" t="str">
        <f t="shared" ca="1" si="2"/>
        <v>—</v>
      </c>
      <c r="K26" s="91"/>
    </row>
    <row r="27" spans="1:11" ht="15" customHeight="1" x14ac:dyDescent="0.25">
      <c r="A27" s="76"/>
      <c r="B27" s="37" t="str">
        <f>IF(A27="","",IFERROR(VLOOKUP(A27,DB_Customers!$A:$D,4,0),"❌ Account Not Found"))</f>
        <v/>
      </c>
      <c r="C27" s="77" t="str">
        <f>IF(A27="","",IFERROR(IF(SUMIF(DB_Savings!$C:$C,A27,DB_Savings!$F:$F)=0,VLOOKUP(A27,DB_Customers!$A:$I,9,0),VLOOKUP(A27,DB_Customers!$A:$N,14,0)),"❌ Acct Not Found"))</f>
        <v/>
      </c>
      <c r="D27" s="78" t="str">
        <f t="shared" ca="1" si="0"/>
        <v/>
      </c>
      <c r="E27" s="79"/>
      <c r="F27" s="80" t="str">
        <f t="shared" si="1"/>
        <v/>
      </c>
      <c r="G27" s="39" t="s">
        <v>135</v>
      </c>
      <c r="H27" s="81"/>
      <c r="I27" s="82" t="str">
        <f>IF(A27="","Pending",IF(H27="","⚠️ Enter Agent Code",IF(IFERROR(VLOOKUP(G27,DB_Agents!$B:$I,8,0),"")=H27,IF(AND(A27&lt;&gt;"",E27&lt;&gt;""),"Saved","Pending"),"🔒 BLOCKED — Wrong Code")))</f>
        <v>Pending</v>
      </c>
      <c r="J27" s="83" t="str">
        <f t="shared" ca="1" si="2"/>
        <v>—</v>
      </c>
      <c r="K27" s="84"/>
    </row>
    <row r="28" spans="1:11" ht="15" customHeight="1" x14ac:dyDescent="0.25">
      <c r="A28" s="85"/>
      <c r="B28" s="41" t="str">
        <f>IF(A28="","",IFERROR(VLOOKUP(A28,DB_Customers!$A:$D,4,0),"❌ Account Not Found"))</f>
        <v/>
      </c>
      <c r="C28" s="86" t="str">
        <f>IF(A28="","",IFERROR(IF(SUMIF(DB_Savings!$C:$C,A28,DB_Savings!$F:$F)=0,VLOOKUP(A28,DB_Customers!$A:$I,9,0),VLOOKUP(A28,DB_Customers!$A:$N,14,0)),"❌ Acct Not Found"))</f>
        <v/>
      </c>
      <c r="D28" s="87" t="str">
        <f t="shared" ca="1" si="0"/>
        <v/>
      </c>
      <c r="E28" s="79"/>
      <c r="F28" s="88" t="str">
        <f t="shared" si="1"/>
        <v/>
      </c>
      <c r="G28" s="43" t="s">
        <v>135</v>
      </c>
      <c r="H28" s="81"/>
      <c r="I28" s="89" t="str">
        <f>IF(A28="","Pending",IF(H28="","⚠️ Enter Agent Code",IF(IFERROR(VLOOKUP(G28,DB_Agents!$B:$I,8,0),"")=H28,IF(AND(A28&lt;&gt;"",E28&lt;&gt;""),"Saved","Pending"),"🔒 BLOCKED — Wrong Code")))</f>
        <v>Pending</v>
      </c>
      <c r="J28" s="90" t="str">
        <f t="shared" ca="1" si="2"/>
        <v>—</v>
      </c>
      <c r="K28" s="91"/>
    </row>
    <row r="29" spans="1:11" ht="15" customHeight="1" x14ac:dyDescent="0.25">
      <c r="A29" s="76"/>
      <c r="B29" s="37" t="str">
        <f>IF(A29="","",IFERROR(VLOOKUP(A29,DB_Customers!$A:$D,4,0),"❌ Account Not Found"))</f>
        <v/>
      </c>
      <c r="C29" s="77" t="str">
        <f>IF(A29="","",IFERROR(IF(SUMIF(DB_Savings!$C:$C,A29,DB_Savings!$F:$F)=0,VLOOKUP(A29,DB_Customers!$A:$I,9,0),VLOOKUP(A29,DB_Customers!$A:$N,14,0)),"❌ Acct Not Found"))</f>
        <v/>
      </c>
      <c r="D29" s="78" t="str">
        <f t="shared" ca="1" si="0"/>
        <v/>
      </c>
      <c r="E29" s="79"/>
      <c r="F29" s="80" t="str">
        <f t="shared" si="1"/>
        <v/>
      </c>
      <c r="G29" s="39" t="s">
        <v>135</v>
      </c>
      <c r="H29" s="81"/>
      <c r="I29" s="82" t="str">
        <f>IF(A29="","Pending",IF(H29="","⚠️ Enter Agent Code",IF(IFERROR(VLOOKUP(G29,DB_Agents!$B:$I,8,0),"")=H29,IF(AND(A29&lt;&gt;"",E29&lt;&gt;""),"Saved","Pending"),"🔒 BLOCKED — Wrong Code")))</f>
        <v>Pending</v>
      </c>
      <c r="J29" s="83" t="str">
        <f t="shared" ca="1" si="2"/>
        <v>—</v>
      </c>
      <c r="K29" s="84"/>
    </row>
    <row r="30" spans="1:11" ht="15" customHeight="1" x14ac:dyDescent="0.25">
      <c r="A30" s="85"/>
      <c r="B30" s="41" t="str">
        <f>IF(A30="","",IFERROR(VLOOKUP(A30,DB_Customers!$A:$D,4,0),"❌ Account Not Found"))</f>
        <v/>
      </c>
      <c r="C30" s="86" t="str">
        <f>IF(A30="","",IFERROR(IF(SUMIF(DB_Savings!$C:$C,A30,DB_Savings!$F:$F)=0,VLOOKUP(A30,DB_Customers!$A:$I,9,0),VLOOKUP(A30,DB_Customers!$A:$N,14,0)),"❌ Acct Not Found"))</f>
        <v/>
      </c>
      <c r="D30" s="87" t="str">
        <f t="shared" ca="1" si="0"/>
        <v/>
      </c>
      <c r="E30" s="79"/>
      <c r="F30" s="88" t="str">
        <f t="shared" si="1"/>
        <v/>
      </c>
      <c r="G30" s="43" t="s">
        <v>135</v>
      </c>
      <c r="H30" s="81"/>
      <c r="I30" s="89" t="str">
        <f>IF(A30="","Pending",IF(H30="","⚠️ Enter Agent Code",IF(IFERROR(VLOOKUP(G30,DB_Agents!$B:$I,8,0),"")=H30,IF(AND(A30&lt;&gt;"",E30&lt;&gt;""),"Saved","Pending"),"🔒 BLOCKED — Wrong Code")))</f>
        <v>Pending</v>
      </c>
      <c r="J30" s="90" t="str">
        <f t="shared" ca="1" si="2"/>
        <v>—</v>
      </c>
      <c r="K30" s="91"/>
    </row>
    <row r="31" spans="1:11" ht="15" customHeight="1" x14ac:dyDescent="0.25">
      <c r="A31" s="76"/>
      <c r="B31" s="37" t="str">
        <f>IF(A31="","",IFERROR(VLOOKUP(A31,DB_Customers!$A:$D,4,0),"❌ Account Not Found"))</f>
        <v/>
      </c>
      <c r="C31" s="77" t="str">
        <f>IF(A31="","",IFERROR(IF(SUMIF(DB_Savings!$C:$C,A31,DB_Savings!$F:$F)=0,VLOOKUP(A31,DB_Customers!$A:$I,9,0),VLOOKUP(A31,DB_Customers!$A:$N,14,0)),"❌ Acct Not Found"))</f>
        <v/>
      </c>
      <c r="D31" s="78" t="str">
        <f t="shared" ca="1" si="0"/>
        <v/>
      </c>
      <c r="E31" s="79"/>
      <c r="F31" s="80" t="str">
        <f t="shared" si="1"/>
        <v/>
      </c>
      <c r="G31" s="39" t="s">
        <v>135</v>
      </c>
      <c r="H31" s="81"/>
      <c r="I31" s="82" t="str">
        <f>IF(A31="","Pending",IF(H31="","⚠️ Enter Agent Code",IF(IFERROR(VLOOKUP(G31,DB_Agents!$B:$I,8,0),"")=H31,IF(AND(A31&lt;&gt;"",E31&lt;&gt;""),"Saved","Pending"),"🔒 BLOCKED — Wrong Code")))</f>
        <v>Pending</v>
      </c>
      <c r="J31" s="83" t="str">
        <f t="shared" ca="1" si="2"/>
        <v>—</v>
      </c>
      <c r="K31" s="84"/>
    </row>
    <row r="32" spans="1:11" ht="15" customHeight="1" x14ac:dyDescent="0.25">
      <c r="A32" s="85"/>
      <c r="B32" s="41" t="str">
        <f>IF(A32="","",IFERROR(VLOOKUP(A32,DB_Customers!$A:$D,4,0),"❌ Account Not Found"))</f>
        <v/>
      </c>
      <c r="C32" s="86" t="str">
        <f>IF(A32="","",IFERROR(IF(SUMIF(DB_Savings!$C:$C,A32,DB_Savings!$F:$F)=0,VLOOKUP(A32,DB_Customers!$A:$I,9,0),VLOOKUP(A32,DB_Customers!$A:$N,14,0)),"❌ Acct Not Found"))</f>
        <v/>
      </c>
      <c r="D32" s="87" t="str">
        <f t="shared" ca="1" si="0"/>
        <v/>
      </c>
      <c r="E32" s="79"/>
      <c r="F32" s="88" t="str">
        <f t="shared" si="1"/>
        <v/>
      </c>
      <c r="G32" s="43" t="s">
        <v>135</v>
      </c>
      <c r="H32" s="81"/>
      <c r="I32" s="89" t="str">
        <f>IF(A32="","Pending",IF(H32="","⚠️ Enter Agent Code",IF(IFERROR(VLOOKUP(G32,DB_Agents!$B:$I,8,0),"")=H32,IF(AND(A32&lt;&gt;"",E32&lt;&gt;""),"Saved","Pending"),"🔒 BLOCKED — Wrong Code")))</f>
        <v>Pending</v>
      </c>
      <c r="J32" s="90" t="str">
        <f t="shared" ca="1" si="2"/>
        <v>—</v>
      </c>
      <c r="K32" s="91"/>
    </row>
    <row r="33" spans="1:11" ht="15" customHeight="1" x14ac:dyDescent="0.25">
      <c r="A33" s="76"/>
      <c r="B33" s="37" t="str">
        <f>IF(A33="","",IFERROR(VLOOKUP(A33,DB_Customers!$A:$D,4,0),"❌ Account Not Found"))</f>
        <v/>
      </c>
      <c r="C33" s="77" t="str">
        <f>IF(A33="","",IFERROR(IF(SUMIF(DB_Savings!$C:$C,A33,DB_Savings!$F:$F)=0,VLOOKUP(A33,DB_Customers!$A:$I,9,0),VLOOKUP(A33,DB_Customers!$A:$N,14,0)),"❌ Acct Not Found"))</f>
        <v/>
      </c>
      <c r="D33" s="78" t="str">
        <f t="shared" ca="1" si="0"/>
        <v/>
      </c>
      <c r="E33" s="79"/>
      <c r="F33" s="80" t="str">
        <f t="shared" si="1"/>
        <v/>
      </c>
      <c r="G33" s="39" t="s">
        <v>135</v>
      </c>
      <c r="H33" s="81"/>
      <c r="I33" s="82" t="str">
        <f>IF(A33="","Pending",IF(H33="","⚠️ Enter Agent Code",IF(IFERROR(VLOOKUP(G33,DB_Agents!$B:$I,8,0),"")=H33,IF(AND(A33&lt;&gt;"",E33&lt;&gt;""),"Saved","Pending"),"🔒 BLOCKED — Wrong Code")))</f>
        <v>Pending</v>
      </c>
      <c r="J33" s="83" t="str">
        <f t="shared" ca="1" si="2"/>
        <v>—</v>
      </c>
      <c r="K33" s="84"/>
    </row>
    <row r="34" spans="1:11" ht="15" customHeight="1" x14ac:dyDescent="0.25">
      <c r="A34" s="85"/>
      <c r="B34" s="41" t="str">
        <f>IF(A34="","",IFERROR(VLOOKUP(A34,DB_Customers!$A:$D,4,0),"❌ Account Not Found"))</f>
        <v/>
      </c>
      <c r="C34" s="86" t="str">
        <f>IF(A34="","",IFERROR(IF(SUMIF(DB_Savings!$C:$C,A34,DB_Savings!$F:$F)=0,VLOOKUP(A34,DB_Customers!$A:$I,9,0),VLOOKUP(A34,DB_Customers!$A:$N,14,0)),"❌ Acct Not Found"))</f>
        <v/>
      </c>
      <c r="D34" s="87" t="str">
        <f t="shared" ca="1" si="0"/>
        <v/>
      </c>
      <c r="E34" s="79"/>
      <c r="F34" s="88" t="str">
        <f t="shared" si="1"/>
        <v/>
      </c>
      <c r="G34" s="43" t="s">
        <v>135</v>
      </c>
      <c r="H34" s="81"/>
      <c r="I34" s="89" t="str">
        <f>IF(A34="","Pending",IF(H34="","⚠️ Enter Agent Code",IF(IFERROR(VLOOKUP(G34,DB_Agents!$B:$I,8,0),"")=H34,IF(AND(A34&lt;&gt;"",E34&lt;&gt;""),"Saved","Pending"),"🔒 BLOCKED — Wrong Code")))</f>
        <v>Pending</v>
      </c>
      <c r="J34" s="90" t="str">
        <f t="shared" ca="1" si="2"/>
        <v>—</v>
      </c>
      <c r="K34" s="91"/>
    </row>
    <row r="35" spans="1:11" ht="15" customHeight="1" x14ac:dyDescent="0.25">
      <c r="A35" s="76"/>
      <c r="B35" s="37" t="str">
        <f>IF(A35="","",IFERROR(VLOOKUP(A35,DB_Customers!$A:$D,4,0),"❌ Account Not Found"))</f>
        <v/>
      </c>
      <c r="C35" s="77" t="str">
        <f>IF(A35="","",IFERROR(IF(SUMIF(DB_Savings!$C:$C,A35,DB_Savings!$F:$F)=0,VLOOKUP(A35,DB_Customers!$A:$I,9,0),VLOOKUP(A35,DB_Customers!$A:$N,14,0)),"❌ Acct Not Found"))</f>
        <v/>
      </c>
      <c r="D35" s="78" t="str">
        <f t="shared" ca="1" si="0"/>
        <v/>
      </c>
      <c r="E35" s="79"/>
      <c r="F35" s="80" t="str">
        <f t="shared" si="1"/>
        <v/>
      </c>
      <c r="G35" s="39" t="s">
        <v>135</v>
      </c>
      <c r="H35" s="81"/>
      <c r="I35" s="82" t="str">
        <f>IF(A35="","Pending",IF(H35="","⚠️ Enter Agent Code",IF(IFERROR(VLOOKUP(G35,DB_Agents!$B:$I,8,0),"")=H35,IF(AND(A35&lt;&gt;"",E35&lt;&gt;""),"Saved","Pending"),"🔒 BLOCKED — Wrong Code")))</f>
        <v>Pending</v>
      </c>
      <c r="J35" s="83" t="str">
        <f t="shared" ca="1" si="2"/>
        <v>—</v>
      </c>
      <c r="K35" s="84"/>
    </row>
    <row r="36" spans="1:11" ht="15" customHeight="1" x14ac:dyDescent="0.25">
      <c r="A36" s="85"/>
      <c r="B36" s="41" t="str">
        <f>IF(A36="","",IFERROR(VLOOKUP(A36,DB_Customers!$A:$D,4,0),"❌ Account Not Found"))</f>
        <v/>
      </c>
      <c r="C36" s="86" t="str">
        <f>IF(A36="","",IFERROR(IF(SUMIF(DB_Savings!$C:$C,A36,DB_Savings!$F:$F)=0,VLOOKUP(A36,DB_Customers!$A:$I,9,0),VLOOKUP(A36,DB_Customers!$A:$N,14,0)),"❌ Acct Not Found"))</f>
        <v/>
      </c>
      <c r="D36" s="87" t="str">
        <f t="shared" ca="1" si="0"/>
        <v/>
      </c>
      <c r="E36" s="79"/>
      <c r="F36" s="88" t="str">
        <f t="shared" si="1"/>
        <v/>
      </c>
      <c r="G36" s="43" t="s">
        <v>135</v>
      </c>
      <c r="H36" s="81"/>
      <c r="I36" s="89" t="str">
        <f>IF(A36="","Pending",IF(H36="","⚠️ Enter Agent Code",IF(IFERROR(VLOOKUP(G36,DB_Agents!$B:$I,8,0),"")=H36,IF(AND(A36&lt;&gt;"",E36&lt;&gt;""),"Saved","Pending"),"🔒 BLOCKED — Wrong Code")))</f>
        <v>Pending</v>
      </c>
      <c r="J36" s="90" t="str">
        <f t="shared" ca="1" si="2"/>
        <v>—</v>
      </c>
      <c r="K36" s="91"/>
    </row>
    <row r="37" spans="1:11" ht="15" customHeight="1" x14ac:dyDescent="0.25">
      <c r="A37" s="76"/>
      <c r="B37" s="37" t="str">
        <f>IF(A37="","",IFERROR(VLOOKUP(A37,DB_Customers!$A:$D,4,0),"❌ Account Not Found"))</f>
        <v/>
      </c>
      <c r="C37" s="77" t="str">
        <f>IF(A37="","",IFERROR(IF(SUMIF(DB_Savings!$C:$C,A37,DB_Savings!$F:$F)=0,VLOOKUP(A37,DB_Customers!$A:$I,9,0),VLOOKUP(A37,DB_Customers!$A:$N,14,0)),"❌ Acct Not Found"))</f>
        <v/>
      </c>
      <c r="D37" s="78" t="str">
        <f t="shared" ca="1" si="0"/>
        <v/>
      </c>
      <c r="E37" s="79"/>
      <c r="F37" s="80" t="str">
        <f t="shared" si="1"/>
        <v/>
      </c>
      <c r="G37" s="39" t="s">
        <v>135</v>
      </c>
      <c r="H37" s="81"/>
      <c r="I37" s="82" t="str">
        <f>IF(A37="","Pending",IF(H37="","⚠️ Enter Agent Code",IF(IFERROR(VLOOKUP(G37,DB_Agents!$B:$I,8,0),"")=H37,IF(AND(A37&lt;&gt;"",E37&lt;&gt;""),"Saved","Pending"),"🔒 BLOCKED — Wrong Code")))</f>
        <v>Pending</v>
      </c>
      <c r="J37" s="83" t="str">
        <f t="shared" ca="1" si="2"/>
        <v>—</v>
      </c>
      <c r="K37" s="84"/>
    </row>
    <row r="38" spans="1:11" ht="15" customHeight="1" x14ac:dyDescent="0.25">
      <c r="A38" s="85"/>
      <c r="B38" s="41" t="str">
        <f>IF(A38="","",IFERROR(VLOOKUP(A38,DB_Customers!$A:$D,4,0),"❌ Account Not Found"))</f>
        <v/>
      </c>
      <c r="C38" s="86" t="str">
        <f>IF(A38="","",IFERROR(IF(SUMIF(DB_Savings!$C:$C,A38,DB_Savings!$F:$F)=0,VLOOKUP(A38,DB_Customers!$A:$I,9,0),VLOOKUP(A38,DB_Customers!$A:$N,14,0)),"❌ Acct Not Found"))</f>
        <v/>
      </c>
      <c r="D38" s="87" t="str">
        <f t="shared" ca="1" si="0"/>
        <v/>
      </c>
      <c r="E38" s="79"/>
      <c r="F38" s="88" t="str">
        <f t="shared" si="1"/>
        <v/>
      </c>
      <c r="G38" s="43" t="s">
        <v>135</v>
      </c>
      <c r="H38" s="81"/>
      <c r="I38" s="89" t="str">
        <f>IF(A38="","Pending",IF(H38="","⚠️ Enter Agent Code",IF(IFERROR(VLOOKUP(G38,DB_Agents!$B:$I,8,0),"")=H38,IF(AND(A38&lt;&gt;"",E38&lt;&gt;""),"Saved","Pending"),"🔒 BLOCKED — Wrong Code")))</f>
        <v>Pending</v>
      </c>
      <c r="J38" s="90" t="str">
        <f t="shared" ca="1" si="2"/>
        <v>—</v>
      </c>
      <c r="K38" s="91"/>
    </row>
    <row r="39" spans="1:11" ht="15" customHeight="1" x14ac:dyDescent="0.25">
      <c r="A39" s="76"/>
      <c r="B39" s="37" t="str">
        <f>IF(A39="","",IFERROR(VLOOKUP(A39,DB_Customers!$A:$D,4,0),"❌ Account Not Found"))</f>
        <v/>
      </c>
      <c r="C39" s="77" t="str">
        <f>IF(A39="","",IFERROR(IF(SUMIF(DB_Savings!$C:$C,A39,DB_Savings!$F:$F)=0,VLOOKUP(A39,DB_Customers!$A:$I,9,0),VLOOKUP(A39,DB_Customers!$A:$N,14,0)),"❌ Acct Not Found"))</f>
        <v/>
      </c>
      <c r="D39" s="78" t="str">
        <f t="shared" ca="1" si="0"/>
        <v/>
      </c>
      <c r="E39" s="79"/>
      <c r="F39" s="80" t="str">
        <f t="shared" si="1"/>
        <v/>
      </c>
      <c r="G39" s="39" t="s">
        <v>135</v>
      </c>
      <c r="H39" s="81"/>
      <c r="I39" s="82" t="str">
        <f>IF(A39="","Pending",IF(H39="","⚠️ Enter Agent Code",IF(IFERROR(VLOOKUP(G39,DB_Agents!$B:$I,8,0),"")=H39,IF(AND(A39&lt;&gt;"",E39&lt;&gt;""),"Saved","Pending"),"🔒 BLOCKED — Wrong Code")))</f>
        <v>Pending</v>
      </c>
      <c r="J39" s="83" t="str">
        <f t="shared" ca="1" si="2"/>
        <v>—</v>
      </c>
      <c r="K39" s="84"/>
    </row>
    <row r="40" spans="1:11" ht="15" customHeight="1" x14ac:dyDescent="0.25">
      <c r="A40" s="85"/>
      <c r="B40" s="41" t="str">
        <f>IF(A40="","",IFERROR(VLOOKUP(A40,DB_Customers!$A:$D,4,0),"❌ Account Not Found"))</f>
        <v/>
      </c>
      <c r="C40" s="86" t="str">
        <f>IF(A40="","",IFERROR(IF(SUMIF(DB_Savings!$C:$C,A40,DB_Savings!$F:$F)=0,VLOOKUP(A40,DB_Customers!$A:$I,9,0),VLOOKUP(A40,DB_Customers!$A:$N,14,0)),"❌ Acct Not Found"))</f>
        <v/>
      </c>
      <c r="D40" s="87" t="str">
        <f t="shared" ca="1" si="0"/>
        <v/>
      </c>
      <c r="E40" s="79"/>
      <c r="F40" s="88" t="str">
        <f t="shared" si="1"/>
        <v/>
      </c>
      <c r="G40" s="43" t="s">
        <v>135</v>
      </c>
      <c r="H40" s="81"/>
      <c r="I40" s="89" t="str">
        <f>IF(A40="","Pending",IF(H40="","⚠️ Enter Agent Code",IF(IFERROR(VLOOKUP(G40,DB_Agents!$B:$I,8,0),"")=H40,IF(AND(A40&lt;&gt;"",E40&lt;&gt;""),"Saved","Pending"),"🔒 BLOCKED — Wrong Code")))</f>
        <v>Pending</v>
      </c>
      <c r="J40" s="90" t="str">
        <f t="shared" ca="1" si="2"/>
        <v>—</v>
      </c>
      <c r="K40" s="91"/>
    </row>
    <row r="41" spans="1:11" ht="15" customHeight="1" x14ac:dyDescent="0.25">
      <c r="A41" s="76"/>
      <c r="B41" s="37" t="str">
        <f>IF(A41="","",IFERROR(VLOOKUP(A41,DB_Customers!$A:$D,4,0),"❌ Account Not Found"))</f>
        <v/>
      </c>
      <c r="C41" s="77" t="str">
        <f>IF(A41="","",IFERROR(IF(SUMIF(DB_Savings!$C:$C,A41,DB_Savings!$F:$F)=0,VLOOKUP(A41,DB_Customers!$A:$I,9,0),VLOOKUP(A41,DB_Customers!$A:$N,14,0)),"❌ Acct Not Found"))</f>
        <v/>
      </c>
      <c r="D41" s="78" t="str">
        <f t="shared" ref="D41:D72" ca="1" si="3">IF(A41="","",TODAY())</f>
        <v/>
      </c>
      <c r="E41" s="79"/>
      <c r="F41" s="80" t="str">
        <f t="shared" ref="F41:F72" si="4">IF(OR(A41="",E41=""),"",IF(C41="","",C41+E41))</f>
        <v/>
      </c>
      <c r="G41" s="39" t="s">
        <v>135</v>
      </c>
      <c r="H41" s="81"/>
      <c r="I41" s="82" t="str">
        <f>IF(A41="","Pending",IF(H41="","⚠️ Enter Agent Code",IF(IFERROR(VLOOKUP(G41,DB_Agents!$B:$I,8,0),"")=H41,IF(AND(A41&lt;&gt;"",E41&lt;&gt;""),"Saved","Pending"),"🔒 BLOCKED — Wrong Code")))</f>
        <v>Pending</v>
      </c>
      <c r="J41" s="83" t="str">
        <f t="shared" ref="J41:J72" ca="1" si="5">IF(I41="Saved",TEXT(TODAY(),"YYYY-MM-DD")&amp;" Auto","—")</f>
        <v>—</v>
      </c>
      <c r="K41" s="84"/>
    </row>
    <row r="42" spans="1:11" ht="15" customHeight="1" x14ac:dyDescent="0.25">
      <c r="A42" s="85"/>
      <c r="B42" s="41" t="str">
        <f>IF(A42="","",IFERROR(VLOOKUP(A42,DB_Customers!$A:$D,4,0),"❌ Account Not Found"))</f>
        <v/>
      </c>
      <c r="C42" s="86" t="str">
        <f>IF(A42="","",IFERROR(IF(SUMIF(DB_Savings!$C:$C,A42,DB_Savings!$F:$F)=0,VLOOKUP(A42,DB_Customers!$A:$I,9,0),VLOOKUP(A42,DB_Customers!$A:$N,14,0)),"❌ Acct Not Found"))</f>
        <v/>
      </c>
      <c r="D42" s="87" t="str">
        <f t="shared" ca="1" si="3"/>
        <v/>
      </c>
      <c r="E42" s="79"/>
      <c r="F42" s="88" t="str">
        <f t="shared" si="4"/>
        <v/>
      </c>
      <c r="G42" s="43" t="s">
        <v>135</v>
      </c>
      <c r="H42" s="81"/>
      <c r="I42" s="89" t="str">
        <f>IF(A42="","Pending",IF(H42="","⚠️ Enter Agent Code",IF(IFERROR(VLOOKUP(G42,DB_Agents!$B:$I,8,0),"")=H42,IF(AND(A42&lt;&gt;"",E42&lt;&gt;""),"Saved","Pending"),"🔒 BLOCKED — Wrong Code")))</f>
        <v>Pending</v>
      </c>
      <c r="J42" s="90" t="str">
        <f t="shared" ca="1" si="5"/>
        <v>—</v>
      </c>
      <c r="K42" s="91"/>
    </row>
    <row r="43" spans="1:11" ht="15" customHeight="1" x14ac:dyDescent="0.25">
      <c r="A43" s="76"/>
      <c r="B43" s="37" t="str">
        <f>IF(A43="","",IFERROR(VLOOKUP(A43,DB_Customers!$A:$D,4,0),"❌ Account Not Found"))</f>
        <v/>
      </c>
      <c r="C43" s="77" t="str">
        <f>IF(A43="","",IFERROR(IF(SUMIF(DB_Savings!$C:$C,A43,DB_Savings!$F:$F)=0,VLOOKUP(A43,DB_Customers!$A:$I,9,0),VLOOKUP(A43,DB_Customers!$A:$N,14,0)),"❌ Acct Not Found"))</f>
        <v/>
      </c>
      <c r="D43" s="78" t="str">
        <f t="shared" ca="1" si="3"/>
        <v/>
      </c>
      <c r="E43" s="79"/>
      <c r="F43" s="80" t="str">
        <f t="shared" si="4"/>
        <v/>
      </c>
      <c r="G43" s="39" t="s">
        <v>135</v>
      </c>
      <c r="H43" s="81"/>
      <c r="I43" s="82" t="str">
        <f>IF(A43="","Pending",IF(H43="","⚠️ Enter Agent Code",IF(IFERROR(VLOOKUP(G43,DB_Agents!$B:$I,8,0),"")=H43,IF(AND(A43&lt;&gt;"",E43&lt;&gt;""),"Saved","Pending"),"🔒 BLOCKED — Wrong Code")))</f>
        <v>Pending</v>
      </c>
      <c r="J43" s="83" t="str">
        <f t="shared" ca="1" si="5"/>
        <v>—</v>
      </c>
      <c r="K43" s="84"/>
    </row>
    <row r="44" spans="1:11" ht="15" customHeight="1" x14ac:dyDescent="0.25">
      <c r="A44" s="85"/>
      <c r="B44" s="41" t="str">
        <f>IF(A44="","",IFERROR(VLOOKUP(A44,DB_Customers!$A:$D,4,0),"❌ Account Not Found"))</f>
        <v/>
      </c>
      <c r="C44" s="86" t="str">
        <f>IF(A44="","",IFERROR(IF(SUMIF(DB_Savings!$C:$C,A44,DB_Savings!$F:$F)=0,VLOOKUP(A44,DB_Customers!$A:$I,9,0),VLOOKUP(A44,DB_Customers!$A:$N,14,0)),"❌ Acct Not Found"))</f>
        <v/>
      </c>
      <c r="D44" s="87" t="str">
        <f t="shared" ca="1" si="3"/>
        <v/>
      </c>
      <c r="E44" s="79"/>
      <c r="F44" s="88" t="str">
        <f t="shared" si="4"/>
        <v/>
      </c>
      <c r="G44" s="43" t="s">
        <v>135</v>
      </c>
      <c r="H44" s="81"/>
      <c r="I44" s="89" t="str">
        <f>IF(A44="","Pending",IF(H44="","⚠️ Enter Agent Code",IF(IFERROR(VLOOKUP(G44,DB_Agents!$B:$I,8,0),"")=H44,IF(AND(A44&lt;&gt;"",E44&lt;&gt;""),"Saved","Pending"),"🔒 BLOCKED — Wrong Code")))</f>
        <v>Pending</v>
      </c>
      <c r="J44" s="90" t="str">
        <f t="shared" ca="1" si="5"/>
        <v>—</v>
      </c>
      <c r="K44" s="91"/>
    </row>
    <row r="45" spans="1:11" ht="15" customHeight="1" x14ac:dyDescent="0.25">
      <c r="A45" s="76"/>
      <c r="B45" s="37" t="str">
        <f>IF(A45="","",IFERROR(VLOOKUP(A45,DB_Customers!$A:$D,4,0),"❌ Account Not Found"))</f>
        <v/>
      </c>
      <c r="C45" s="77" t="str">
        <f>IF(A45="","",IFERROR(IF(SUMIF(DB_Savings!$C:$C,A45,DB_Savings!$F:$F)=0,VLOOKUP(A45,DB_Customers!$A:$I,9,0),VLOOKUP(A45,DB_Customers!$A:$N,14,0)),"❌ Acct Not Found"))</f>
        <v/>
      </c>
      <c r="D45" s="78" t="str">
        <f t="shared" ca="1" si="3"/>
        <v/>
      </c>
      <c r="E45" s="79"/>
      <c r="F45" s="80" t="str">
        <f t="shared" si="4"/>
        <v/>
      </c>
      <c r="G45" s="39" t="s">
        <v>135</v>
      </c>
      <c r="H45" s="81"/>
      <c r="I45" s="82" t="str">
        <f>IF(A45="","Pending",IF(H45="","⚠️ Enter Agent Code",IF(IFERROR(VLOOKUP(G45,DB_Agents!$B:$I,8,0),"")=H45,IF(AND(A45&lt;&gt;"",E45&lt;&gt;""),"Saved","Pending"),"🔒 BLOCKED — Wrong Code")))</f>
        <v>Pending</v>
      </c>
      <c r="J45" s="83" t="str">
        <f t="shared" ca="1" si="5"/>
        <v>—</v>
      </c>
      <c r="K45" s="84"/>
    </row>
    <row r="46" spans="1:11" ht="15" customHeight="1" x14ac:dyDescent="0.25">
      <c r="A46" s="85"/>
      <c r="B46" s="41" t="str">
        <f>IF(A46="","",IFERROR(VLOOKUP(A46,DB_Customers!$A:$D,4,0),"❌ Account Not Found"))</f>
        <v/>
      </c>
      <c r="C46" s="86" t="str">
        <f>IF(A46="","",IFERROR(IF(SUMIF(DB_Savings!$C:$C,A46,DB_Savings!$F:$F)=0,VLOOKUP(A46,DB_Customers!$A:$I,9,0),VLOOKUP(A46,DB_Customers!$A:$N,14,0)),"❌ Acct Not Found"))</f>
        <v/>
      </c>
      <c r="D46" s="87" t="str">
        <f t="shared" ca="1" si="3"/>
        <v/>
      </c>
      <c r="E46" s="79"/>
      <c r="F46" s="88" t="str">
        <f t="shared" si="4"/>
        <v/>
      </c>
      <c r="G46" s="43" t="s">
        <v>135</v>
      </c>
      <c r="H46" s="81"/>
      <c r="I46" s="89" t="str">
        <f>IF(A46="","Pending",IF(H46="","⚠️ Enter Agent Code",IF(IFERROR(VLOOKUP(G46,DB_Agents!$B:$I,8,0),"")=H46,IF(AND(A46&lt;&gt;"",E46&lt;&gt;""),"Saved","Pending"),"🔒 BLOCKED — Wrong Code")))</f>
        <v>Pending</v>
      </c>
      <c r="J46" s="90" t="str">
        <f t="shared" ca="1" si="5"/>
        <v>—</v>
      </c>
      <c r="K46" s="91"/>
    </row>
    <row r="47" spans="1:11" ht="15" customHeight="1" x14ac:dyDescent="0.25">
      <c r="A47" s="76"/>
      <c r="B47" s="37" t="str">
        <f>IF(A47="","",IFERROR(VLOOKUP(A47,DB_Customers!$A:$D,4,0),"❌ Account Not Found"))</f>
        <v/>
      </c>
      <c r="C47" s="77" t="str">
        <f>IF(A47="","",IFERROR(IF(SUMIF(DB_Savings!$C:$C,A47,DB_Savings!$F:$F)=0,VLOOKUP(A47,DB_Customers!$A:$I,9,0),VLOOKUP(A47,DB_Customers!$A:$N,14,0)),"❌ Acct Not Found"))</f>
        <v/>
      </c>
      <c r="D47" s="78" t="str">
        <f t="shared" ca="1" si="3"/>
        <v/>
      </c>
      <c r="E47" s="79"/>
      <c r="F47" s="80" t="str">
        <f t="shared" si="4"/>
        <v/>
      </c>
      <c r="G47" s="39" t="s">
        <v>135</v>
      </c>
      <c r="H47" s="81"/>
      <c r="I47" s="82" t="str">
        <f>IF(A47="","Pending",IF(H47="","⚠️ Enter Agent Code",IF(IFERROR(VLOOKUP(G47,DB_Agents!$B:$I,8,0),"")=H47,IF(AND(A47&lt;&gt;"",E47&lt;&gt;""),"Saved","Pending"),"🔒 BLOCKED — Wrong Code")))</f>
        <v>Pending</v>
      </c>
      <c r="J47" s="83" t="str">
        <f t="shared" ca="1" si="5"/>
        <v>—</v>
      </c>
      <c r="K47" s="84"/>
    </row>
    <row r="48" spans="1:11" ht="15" customHeight="1" x14ac:dyDescent="0.25">
      <c r="A48" s="85"/>
      <c r="B48" s="41" t="str">
        <f>IF(A48="","",IFERROR(VLOOKUP(A48,DB_Customers!$A:$D,4,0),"❌ Account Not Found"))</f>
        <v/>
      </c>
      <c r="C48" s="86" t="str">
        <f>IF(A48="","",IFERROR(IF(SUMIF(DB_Savings!$C:$C,A48,DB_Savings!$F:$F)=0,VLOOKUP(A48,DB_Customers!$A:$I,9,0),VLOOKUP(A48,DB_Customers!$A:$N,14,0)),"❌ Acct Not Found"))</f>
        <v/>
      </c>
      <c r="D48" s="87" t="str">
        <f t="shared" ca="1" si="3"/>
        <v/>
      </c>
      <c r="E48" s="79"/>
      <c r="F48" s="88" t="str">
        <f t="shared" si="4"/>
        <v/>
      </c>
      <c r="G48" s="43" t="s">
        <v>135</v>
      </c>
      <c r="H48" s="81"/>
      <c r="I48" s="89" t="str">
        <f>IF(A48="","Pending",IF(H48="","⚠️ Enter Agent Code",IF(IFERROR(VLOOKUP(G48,DB_Agents!$B:$I,8,0),"")=H48,IF(AND(A48&lt;&gt;"",E48&lt;&gt;""),"Saved","Pending"),"🔒 BLOCKED — Wrong Code")))</f>
        <v>Pending</v>
      </c>
      <c r="J48" s="90" t="str">
        <f t="shared" ca="1" si="5"/>
        <v>—</v>
      </c>
      <c r="K48" s="91"/>
    </row>
    <row r="49" spans="1:11" ht="15" customHeight="1" x14ac:dyDescent="0.25">
      <c r="A49" s="76"/>
      <c r="B49" s="37" t="str">
        <f>IF(A49="","",IFERROR(VLOOKUP(A49,DB_Customers!$A:$D,4,0),"❌ Account Not Found"))</f>
        <v/>
      </c>
      <c r="C49" s="77" t="str">
        <f>IF(A49="","",IFERROR(IF(SUMIF(DB_Savings!$C:$C,A49,DB_Savings!$F:$F)=0,VLOOKUP(A49,DB_Customers!$A:$I,9,0),VLOOKUP(A49,DB_Customers!$A:$N,14,0)),"❌ Acct Not Found"))</f>
        <v/>
      </c>
      <c r="D49" s="78" t="str">
        <f t="shared" ca="1" si="3"/>
        <v/>
      </c>
      <c r="E49" s="79"/>
      <c r="F49" s="80" t="str">
        <f t="shared" si="4"/>
        <v/>
      </c>
      <c r="G49" s="39" t="s">
        <v>135</v>
      </c>
      <c r="H49" s="81"/>
      <c r="I49" s="82" t="str">
        <f>IF(A49="","Pending",IF(H49="","⚠️ Enter Agent Code",IF(IFERROR(VLOOKUP(G49,DB_Agents!$B:$I,8,0),"")=H49,IF(AND(A49&lt;&gt;"",E49&lt;&gt;""),"Saved","Pending"),"🔒 BLOCKED — Wrong Code")))</f>
        <v>Pending</v>
      </c>
      <c r="J49" s="83" t="str">
        <f t="shared" ca="1" si="5"/>
        <v>—</v>
      </c>
      <c r="K49" s="84"/>
    </row>
    <row r="50" spans="1:11" ht="15" customHeight="1" x14ac:dyDescent="0.25">
      <c r="A50" s="85"/>
      <c r="B50" s="41" t="str">
        <f>IF(A50="","",IFERROR(VLOOKUP(A50,DB_Customers!$A:$D,4,0),"❌ Account Not Found"))</f>
        <v/>
      </c>
      <c r="C50" s="86" t="str">
        <f>IF(A50="","",IFERROR(IF(SUMIF(DB_Savings!$C:$C,A50,DB_Savings!$F:$F)=0,VLOOKUP(A50,DB_Customers!$A:$I,9,0),VLOOKUP(A50,DB_Customers!$A:$N,14,0)),"❌ Acct Not Found"))</f>
        <v/>
      </c>
      <c r="D50" s="87" t="str">
        <f t="shared" ca="1" si="3"/>
        <v/>
      </c>
      <c r="E50" s="79"/>
      <c r="F50" s="88" t="str">
        <f t="shared" si="4"/>
        <v/>
      </c>
      <c r="G50" s="43" t="s">
        <v>135</v>
      </c>
      <c r="H50" s="81"/>
      <c r="I50" s="89" t="str">
        <f>IF(A50="","Pending",IF(H50="","⚠️ Enter Agent Code",IF(IFERROR(VLOOKUP(G50,DB_Agents!$B:$I,8,0),"")=H50,IF(AND(A50&lt;&gt;"",E50&lt;&gt;""),"Saved","Pending"),"🔒 BLOCKED — Wrong Code")))</f>
        <v>Pending</v>
      </c>
      <c r="J50" s="90" t="str">
        <f t="shared" ca="1" si="5"/>
        <v>—</v>
      </c>
      <c r="K50" s="91"/>
    </row>
    <row r="51" spans="1:11" ht="15" customHeight="1" x14ac:dyDescent="0.25">
      <c r="A51" s="76"/>
      <c r="B51" s="37" t="str">
        <f>IF(A51="","",IFERROR(VLOOKUP(A51,DB_Customers!$A:$D,4,0),"❌ Account Not Found"))</f>
        <v/>
      </c>
      <c r="C51" s="77" t="str">
        <f>IF(A51="","",IFERROR(IF(SUMIF(DB_Savings!$C:$C,A51,DB_Savings!$F:$F)=0,VLOOKUP(A51,DB_Customers!$A:$I,9,0),VLOOKUP(A51,DB_Customers!$A:$N,14,0)),"❌ Acct Not Found"))</f>
        <v/>
      </c>
      <c r="D51" s="78" t="str">
        <f t="shared" ca="1" si="3"/>
        <v/>
      </c>
      <c r="E51" s="79"/>
      <c r="F51" s="80" t="str">
        <f t="shared" si="4"/>
        <v/>
      </c>
      <c r="G51" s="39" t="s">
        <v>135</v>
      </c>
      <c r="H51" s="81"/>
      <c r="I51" s="82" t="str">
        <f>IF(A51="","Pending",IF(H51="","⚠️ Enter Agent Code",IF(IFERROR(VLOOKUP(G51,DB_Agents!$B:$I,8,0),"")=H51,IF(AND(A51&lt;&gt;"",E51&lt;&gt;""),"Saved","Pending"),"🔒 BLOCKED — Wrong Code")))</f>
        <v>Pending</v>
      </c>
      <c r="J51" s="83" t="str">
        <f t="shared" ca="1" si="5"/>
        <v>—</v>
      </c>
      <c r="K51" s="84"/>
    </row>
    <row r="52" spans="1:11" ht="15" customHeight="1" x14ac:dyDescent="0.25">
      <c r="A52" s="85"/>
      <c r="B52" s="41" t="str">
        <f>IF(A52="","",IFERROR(VLOOKUP(A52,DB_Customers!$A:$D,4,0),"❌ Account Not Found"))</f>
        <v/>
      </c>
      <c r="C52" s="86" t="str">
        <f>IF(A52="","",IFERROR(IF(SUMIF(DB_Savings!$C:$C,A52,DB_Savings!$F:$F)=0,VLOOKUP(A52,DB_Customers!$A:$I,9,0),VLOOKUP(A52,DB_Customers!$A:$N,14,0)),"❌ Acct Not Found"))</f>
        <v/>
      </c>
      <c r="D52" s="87" t="str">
        <f t="shared" ca="1" si="3"/>
        <v/>
      </c>
      <c r="E52" s="79"/>
      <c r="F52" s="88" t="str">
        <f t="shared" si="4"/>
        <v/>
      </c>
      <c r="G52" s="43" t="s">
        <v>135</v>
      </c>
      <c r="H52" s="81"/>
      <c r="I52" s="89" t="str">
        <f>IF(A52="","Pending",IF(H52="","⚠️ Enter Agent Code",IF(IFERROR(VLOOKUP(G52,DB_Agents!$B:$I,8,0),"")=H52,IF(AND(A52&lt;&gt;"",E52&lt;&gt;""),"Saved","Pending"),"🔒 BLOCKED — Wrong Code")))</f>
        <v>Pending</v>
      </c>
      <c r="J52" s="90" t="str">
        <f t="shared" ca="1" si="5"/>
        <v>—</v>
      </c>
      <c r="K52" s="91"/>
    </row>
    <row r="53" spans="1:11" ht="15" customHeight="1" x14ac:dyDescent="0.25">
      <c r="A53" s="76"/>
      <c r="B53" s="37" t="str">
        <f>IF(A53="","",IFERROR(VLOOKUP(A53,DB_Customers!$A:$D,4,0),"❌ Account Not Found"))</f>
        <v/>
      </c>
      <c r="C53" s="77" t="str">
        <f>IF(A53="","",IFERROR(IF(SUMIF(DB_Savings!$C:$C,A53,DB_Savings!$F:$F)=0,VLOOKUP(A53,DB_Customers!$A:$I,9,0),VLOOKUP(A53,DB_Customers!$A:$N,14,0)),"❌ Acct Not Found"))</f>
        <v/>
      </c>
      <c r="D53" s="78" t="str">
        <f t="shared" ca="1" si="3"/>
        <v/>
      </c>
      <c r="E53" s="79"/>
      <c r="F53" s="80" t="str">
        <f t="shared" si="4"/>
        <v/>
      </c>
      <c r="G53" s="39" t="s">
        <v>135</v>
      </c>
      <c r="H53" s="81"/>
      <c r="I53" s="82" t="str">
        <f>IF(A53="","Pending",IF(H53="","⚠️ Enter Agent Code",IF(IFERROR(VLOOKUP(G53,DB_Agents!$B:$I,8,0),"")=H53,IF(AND(A53&lt;&gt;"",E53&lt;&gt;""),"Saved","Pending"),"🔒 BLOCKED — Wrong Code")))</f>
        <v>Pending</v>
      </c>
      <c r="J53" s="83" t="str">
        <f t="shared" ca="1" si="5"/>
        <v>—</v>
      </c>
      <c r="K53" s="84"/>
    </row>
    <row r="54" spans="1:11" ht="15" customHeight="1" x14ac:dyDescent="0.25">
      <c r="A54" s="85"/>
      <c r="B54" s="41" t="str">
        <f>IF(A54="","",IFERROR(VLOOKUP(A54,DB_Customers!$A:$D,4,0),"❌ Account Not Found"))</f>
        <v/>
      </c>
      <c r="C54" s="86" t="str">
        <f>IF(A54="","",IFERROR(IF(SUMIF(DB_Savings!$C:$C,A54,DB_Savings!$F:$F)=0,VLOOKUP(A54,DB_Customers!$A:$I,9,0),VLOOKUP(A54,DB_Customers!$A:$N,14,0)),"❌ Acct Not Found"))</f>
        <v/>
      </c>
      <c r="D54" s="87" t="str">
        <f t="shared" ca="1" si="3"/>
        <v/>
      </c>
      <c r="E54" s="79"/>
      <c r="F54" s="88" t="str">
        <f t="shared" si="4"/>
        <v/>
      </c>
      <c r="G54" s="43" t="s">
        <v>135</v>
      </c>
      <c r="H54" s="81"/>
      <c r="I54" s="89" t="str">
        <f>IF(A54="","Pending",IF(H54="","⚠️ Enter Agent Code",IF(IFERROR(VLOOKUP(G54,DB_Agents!$B:$I,8,0),"")=H54,IF(AND(A54&lt;&gt;"",E54&lt;&gt;""),"Saved","Pending"),"🔒 BLOCKED — Wrong Code")))</f>
        <v>Pending</v>
      </c>
      <c r="J54" s="90" t="str">
        <f t="shared" ca="1" si="5"/>
        <v>—</v>
      </c>
      <c r="K54" s="91"/>
    </row>
    <row r="55" spans="1:11" ht="15" customHeight="1" x14ac:dyDescent="0.25">
      <c r="A55" s="76"/>
      <c r="B55" s="37" t="str">
        <f>IF(A55="","",IFERROR(VLOOKUP(A55,DB_Customers!$A:$D,4,0),"❌ Account Not Found"))</f>
        <v/>
      </c>
      <c r="C55" s="77" t="str">
        <f>IF(A55="","",IFERROR(IF(SUMIF(DB_Savings!$C:$C,A55,DB_Savings!$F:$F)=0,VLOOKUP(A55,DB_Customers!$A:$I,9,0),VLOOKUP(A55,DB_Customers!$A:$N,14,0)),"❌ Acct Not Found"))</f>
        <v/>
      </c>
      <c r="D55" s="78" t="str">
        <f t="shared" ca="1" si="3"/>
        <v/>
      </c>
      <c r="E55" s="79"/>
      <c r="F55" s="80" t="str">
        <f t="shared" si="4"/>
        <v/>
      </c>
      <c r="G55" s="39" t="s">
        <v>135</v>
      </c>
      <c r="H55" s="81"/>
      <c r="I55" s="82" t="str">
        <f>IF(A55="","Pending",IF(H55="","⚠️ Enter Agent Code",IF(IFERROR(VLOOKUP(G55,DB_Agents!$B:$I,8,0),"")=H55,IF(AND(A55&lt;&gt;"",E55&lt;&gt;""),"Saved","Pending"),"🔒 BLOCKED — Wrong Code")))</f>
        <v>Pending</v>
      </c>
      <c r="J55" s="83" t="str">
        <f t="shared" ca="1" si="5"/>
        <v>—</v>
      </c>
      <c r="K55" s="84"/>
    </row>
    <row r="56" spans="1:11" ht="15" customHeight="1" x14ac:dyDescent="0.25">
      <c r="A56" s="85"/>
      <c r="B56" s="41" t="str">
        <f>IF(A56="","",IFERROR(VLOOKUP(A56,DB_Customers!$A:$D,4,0),"❌ Account Not Found"))</f>
        <v/>
      </c>
      <c r="C56" s="86" t="str">
        <f>IF(A56="","",IFERROR(IF(SUMIF(DB_Savings!$C:$C,A56,DB_Savings!$F:$F)=0,VLOOKUP(A56,DB_Customers!$A:$I,9,0),VLOOKUP(A56,DB_Customers!$A:$N,14,0)),"❌ Acct Not Found"))</f>
        <v/>
      </c>
      <c r="D56" s="87" t="str">
        <f t="shared" ca="1" si="3"/>
        <v/>
      </c>
      <c r="E56" s="79"/>
      <c r="F56" s="88" t="str">
        <f t="shared" si="4"/>
        <v/>
      </c>
      <c r="G56" s="43" t="s">
        <v>135</v>
      </c>
      <c r="H56" s="81"/>
      <c r="I56" s="89" t="str">
        <f>IF(A56="","Pending",IF(H56="","⚠️ Enter Agent Code",IF(IFERROR(VLOOKUP(G56,DB_Agents!$B:$I,8,0),"")=H56,IF(AND(A56&lt;&gt;"",E56&lt;&gt;""),"Saved","Pending"),"🔒 BLOCKED — Wrong Code")))</f>
        <v>Pending</v>
      </c>
      <c r="J56" s="90" t="str">
        <f t="shared" ca="1" si="5"/>
        <v>—</v>
      </c>
      <c r="K56" s="91"/>
    </row>
    <row r="57" spans="1:11" ht="15" customHeight="1" x14ac:dyDescent="0.25">
      <c r="A57" s="76"/>
      <c r="B57" s="37" t="str">
        <f>IF(A57="","",IFERROR(VLOOKUP(A57,DB_Customers!$A:$D,4,0),"❌ Account Not Found"))</f>
        <v/>
      </c>
      <c r="C57" s="77" t="str">
        <f>IF(A57="","",IFERROR(IF(SUMIF(DB_Savings!$C:$C,A57,DB_Savings!$F:$F)=0,VLOOKUP(A57,DB_Customers!$A:$I,9,0),VLOOKUP(A57,DB_Customers!$A:$N,14,0)),"❌ Acct Not Found"))</f>
        <v/>
      </c>
      <c r="D57" s="78" t="str">
        <f t="shared" ca="1" si="3"/>
        <v/>
      </c>
      <c r="E57" s="79"/>
      <c r="F57" s="80" t="str">
        <f t="shared" si="4"/>
        <v/>
      </c>
      <c r="G57" s="39" t="s">
        <v>135</v>
      </c>
      <c r="H57" s="81"/>
      <c r="I57" s="82" t="str">
        <f>IF(A57="","Pending",IF(H57="","⚠️ Enter Agent Code",IF(IFERROR(VLOOKUP(G57,DB_Agents!$B:$I,8,0),"")=H57,IF(AND(A57&lt;&gt;"",E57&lt;&gt;""),"Saved","Pending"),"🔒 BLOCKED — Wrong Code")))</f>
        <v>Pending</v>
      </c>
      <c r="J57" s="83" t="str">
        <f t="shared" ca="1" si="5"/>
        <v>—</v>
      </c>
      <c r="K57" s="84"/>
    </row>
    <row r="58" spans="1:11" ht="15" customHeight="1" x14ac:dyDescent="0.25">
      <c r="A58" s="85"/>
      <c r="B58" s="41" t="str">
        <f>IF(A58="","",IFERROR(VLOOKUP(A58,DB_Customers!$A:$D,4,0),"❌ Account Not Found"))</f>
        <v/>
      </c>
      <c r="C58" s="86" t="str">
        <f>IF(A58="","",IFERROR(IF(SUMIF(DB_Savings!$C:$C,A58,DB_Savings!$F:$F)=0,VLOOKUP(A58,DB_Customers!$A:$I,9,0),VLOOKUP(A58,DB_Customers!$A:$N,14,0)),"❌ Acct Not Found"))</f>
        <v/>
      </c>
      <c r="D58" s="87" t="str">
        <f t="shared" ca="1" si="3"/>
        <v/>
      </c>
      <c r="E58" s="79"/>
      <c r="F58" s="88" t="str">
        <f t="shared" si="4"/>
        <v/>
      </c>
      <c r="G58" s="43" t="s">
        <v>135</v>
      </c>
      <c r="H58" s="81"/>
      <c r="I58" s="89" t="str">
        <f>IF(A58="","Pending",IF(H58="","⚠️ Enter Agent Code",IF(IFERROR(VLOOKUP(G58,DB_Agents!$B:$I,8,0),"")=H58,IF(AND(A58&lt;&gt;"",E58&lt;&gt;""),"Saved","Pending"),"🔒 BLOCKED — Wrong Code")))</f>
        <v>Pending</v>
      </c>
      <c r="J58" s="90" t="str">
        <f t="shared" ca="1" si="5"/>
        <v>—</v>
      </c>
      <c r="K58" s="91"/>
    </row>
    <row r="59" spans="1:11" ht="15" customHeight="1" x14ac:dyDescent="0.25">
      <c r="A59" s="76"/>
      <c r="B59" s="37" t="str">
        <f>IF(A59="","",IFERROR(VLOOKUP(A59,DB_Customers!$A:$D,4,0),"❌ Account Not Found"))</f>
        <v/>
      </c>
      <c r="C59" s="77" t="str">
        <f>IF(A59="","",IFERROR(IF(SUMIF(DB_Savings!$C:$C,A59,DB_Savings!$F:$F)=0,VLOOKUP(A59,DB_Customers!$A:$I,9,0),VLOOKUP(A59,DB_Customers!$A:$N,14,0)),"❌ Acct Not Found"))</f>
        <v/>
      </c>
      <c r="D59" s="78" t="str">
        <f t="shared" ca="1" si="3"/>
        <v/>
      </c>
      <c r="E59" s="79"/>
      <c r="F59" s="80" t="str">
        <f t="shared" si="4"/>
        <v/>
      </c>
      <c r="G59" s="39" t="s">
        <v>135</v>
      </c>
      <c r="H59" s="81"/>
      <c r="I59" s="82" t="str">
        <f>IF(A59="","Pending",IF(H59="","⚠️ Enter Agent Code",IF(IFERROR(VLOOKUP(G59,DB_Agents!$B:$I,8,0),"")=H59,IF(AND(A59&lt;&gt;"",E59&lt;&gt;""),"Saved","Pending"),"🔒 BLOCKED — Wrong Code")))</f>
        <v>Pending</v>
      </c>
      <c r="J59" s="83" t="str">
        <f t="shared" ca="1" si="5"/>
        <v>—</v>
      </c>
      <c r="K59" s="84"/>
    </row>
    <row r="60" spans="1:11" ht="15" customHeight="1" x14ac:dyDescent="0.25">
      <c r="A60" s="85"/>
      <c r="B60" s="41" t="str">
        <f>IF(A60="","",IFERROR(VLOOKUP(A60,DB_Customers!$A:$D,4,0),"❌ Account Not Found"))</f>
        <v/>
      </c>
      <c r="C60" s="86" t="str">
        <f>IF(A60="","",IFERROR(IF(SUMIF(DB_Savings!$C:$C,A60,DB_Savings!$F:$F)=0,VLOOKUP(A60,DB_Customers!$A:$I,9,0),VLOOKUP(A60,DB_Customers!$A:$N,14,0)),"❌ Acct Not Found"))</f>
        <v/>
      </c>
      <c r="D60" s="87" t="str">
        <f t="shared" ca="1" si="3"/>
        <v/>
      </c>
      <c r="E60" s="79"/>
      <c r="F60" s="88" t="str">
        <f t="shared" si="4"/>
        <v/>
      </c>
      <c r="G60" s="43" t="s">
        <v>135</v>
      </c>
      <c r="H60" s="81"/>
      <c r="I60" s="89" t="str">
        <f>IF(A60="","Pending",IF(H60="","⚠️ Enter Agent Code",IF(IFERROR(VLOOKUP(G60,DB_Agents!$B:$I,8,0),"")=H60,IF(AND(A60&lt;&gt;"",E60&lt;&gt;""),"Saved","Pending"),"🔒 BLOCKED — Wrong Code")))</f>
        <v>Pending</v>
      </c>
      <c r="J60" s="90" t="str">
        <f t="shared" ca="1" si="5"/>
        <v>—</v>
      </c>
      <c r="K60" s="91"/>
    </row>
    <row r="61" spans="1:11" ht="15" customHeight="1" x14ac:dyDescent="0.25">
      <c r="A61" s="76"/>
      <c r="B61" s="37" t="str">
        <f>IF(A61="","",IFERROR(VLOOKUP(A61,DB_Customers!$A:$D,4,0),"❌ Account Not Found"))</f>
        <v/>
      </c>
      <c r="C61" s="77" t="str">
        <f>IF(A61="","",IFERROR(IF(SUMIF(DB_Savings!$C:$C,A61,DB_Savings!$F:$F)=0,VLOOKUP(A61,DB_Customers!$A:$I,9,0),VLOOKUP(A61,DB_Customers!$A:$N,14,0)),"❌ Acct Not Found"))</f>
        <v/>
      </c>
      <c r="D61" s="78" t="str">
        <f t="shared" ca="1" si="3"/>
        <v/>
      </c>
      <c r="E61" s="79"/>
      <c r="F61" s="80" t="str">
        <f t="shared" si="4"/>
        <v/>
      </c>
      <c r="G61" s="39" t="s">
        <v>135</v>
      </c>
      <c r="H61" s="81"/>
      <c r="I61" s="82" t="str">
        <f>IF(A61="","Pending",IF(H61="","⚠️ Enter Agent Code",IF(IFERROR(VLOOKUP(G61,DB_Agents!$B:$I,8,0),"")=H61,IF(AND(A61&lt;&gt;"",E61&lt;&gt;""),"Saved","Pending"),"🔒 BLOCKED — Wrong Code")))</f>
        <v>Pending</v>
      </c>
      <c r="J61" s="83" t="str">
        <f t="shared" ca="1" si="5"/>
        <v>—</v>
      </c>
      <c r="K61" s="84"/>
    </row>
    <row r="62" spans="1:11" ht="15" customHeight="1" x14ac:dyDescent="0.25">
      <c r="A62" s="85"/>
      <c r="B62" s="41" t="str">
        <f>IF(A62="","",IFERROR(VLOOKUP(A62,DB_Customers!$A:$D,4,0),"❌ Account Not Found"))</f>
        <v/>
      </c>
      <c r="C62" s="86" t="str">
        <f>IF(A62="","",IFERROR(IF(SUMIF(DB_Savings!$C:$C,A62,DB_Savings!$F:$F)=0,VLOOKUP(A62,DB_Customers!$A:$I,9,0),VLOOKUP(A62,DB_Customers!$A:$N,14,0)),"❌ Acct Not Found"))</f>
        <v/>
      </c>
      <c r="D62" s="87" t="str">
        <f t="shared" ca="1" si="3"/>
        <v/>
      </c>
      <c r="E62" s="79"/>
      <c r="F62" s="88" t="str">
        <f t="shared" si="4"/>
        <v/>
      </c>
      <c r="G62" s="43" t="s">
        <v>135</v>
      </c>
      <c r="H62" s="81"/>
      <c r="I62" s="89" t="str">
        <f>IF(A62="","Pending",IF(H62="","⚠️ Enter Agent Code",IF(IFERROR(VLOOKUP(G62,DB_Agents!$B:$I,8,0),"")=H62,IF(AND(A62&lt;&gt;"",E62&lt;&gt;""),"Saved","Pending"),"🔒 BLOCKED — Wrong Code")))</f>
        <v>Pending</v>
      </c>
      <c r="J62" s="90" t="str">
        <f t="shared" ca="1" si="5"/>
        <v>—</v>
      </c>
      <c r="K62" s="91"/>
    </row>
    <row r="63" spans="1:11" ht="15" customHeight="1" x14ac:dyDescent="0.25">
      <c r="A63" s="76"/>
      <c r="B63" s="37" t="str">
        <f>IF(A63="","",IFERROR(VLOOKUP(A63,DB_Customers!$A:$D,4,0),"❌ Account Not Found"))</f>
        <v/>
      </c>
      <c r="C63" s="77" t="str">
        <f>IF(A63="","",IFERROR(IF(SUMIF(DB_Savings!$C:$C,A63,DB_Savings!$F:$F)=0,VLOOKUP(A63,DB_Customers!$A:$I,9,0),VLOOKUP(A63,DB_Customers!$A:$N,14,0)),"❌ Acct Not Found"))</f>
        <v/>
      </c>
      <c r="D63" s="78" t="str">
        <f t="shared" ca="1" si="3"/>
        <v/>
      </c>
      <c r="E63" s="79"/>
      <c r="F63" s="80" t="str">
        <f t="shared" si="4"/>
        <v/>
      </c>
      <c r="G63" s="39" t="s">
        <v>135</v>
      </c>
      <c r="H63" s="81"/>
      <c r="I63" s="82" t="str">
        <f>IF(A63="","Pending",IF(H63="","⚠️ Enter Agent Code",IF(IFERROR(VLOOKUP(G63,DB_Agents!$B:$I,8,0),"")=H63,IF(AND(A63&lt;&gt;"",E63&lt;&gt;""),"Saved","Pending"),"🔒 BLOCKED — Wrong Code")))</f>
        <v>Pending</v>
      </c>
      <c r="J63" s="83" t="str">
        <f t="shared" ca="1" si="5"/>
        <v>—</v>
      </c>
      <c r="K63" s="84"/>
    </row>
    <row r="64" spans="1:11" ht="15" customHeight="1" x14ac:dyDescent="0.25">
      <c r="A64" s="85"/>
      <c r="B64" s="41" t="str">
        <f>IF(A64="","",IFERROR(VLOOKUP(A64,DB_Customers!$A:$D,4,0),"❌ Account Not Found"))</f>
        <v/>
      </c>
      <c r="C64" s="86" t="str">
        <f>IF(A64="","",IFERROR(IF(SUMIF(DB_Savings!$C:$C,A64,DB_Savings!$F:$F)=0,VLOOKUP(A64,DB_Customers!$A:$I,9,0),VLOOKUP(A64,DB_Customers!$A:$N,14,0)),"❌ Acct Not Found"))</f>
        <v/>
      </c>
      <c r="D64" s="87" t="str">
        <f t="shared" ca="1" si="3"/>
        <v/>
      </c>
      <c r="E64" s="79"/>
      <c r="F64" s="88" t="str">
        <f t="shared" si="4"/>
        <v/>
      </c>
      <c r="G64" s="43" t="s">
        <v>135</v>
      </c>
      <c r="H64" s="81"/>
      <c r="I64" s="89" t="str">
        <f>IF(A64="","Pending",IF(H64="","⚠️ Enter Agent Code",IF(IFERROR(VLOOKUP(G64,DB_Agents!$B:$I,8,0),"")=H64,IF(AND(A64&lt;&gt;"",E64&lt;&gt;""),"Saved","Pending"),"🔒 BLOCKED — Wrong Code")))</f>
        <v>Pending</v>
      </c>
      <c r="J64" s="90" t="str">
        <f t="shared" ca="1" si="5"/>
        <v>—</v>
      </c>
      <c r="K64" s="91"/>
    </row>
    <row r="65" spans="1:11" ht="15" customHeight="1" x14ac:dyDescent="0.25">
      <c r="A65" s="76"/>
      <c r="B65" s="37" t="str">
        <f>IF(A65="","",IFERROR(VLOOKUP(A65,DB_Customers!$A:$D,4,0),"❌ Account Not Found"))</f>
        <v/>
      </c>
      <c r="C65" s="77" t="str">
        <f>IF(A65="","",IFERROR(IF(SUMIF(DB_Savings!$C:$C,A65,DB_Savings!$F:$F)=0,VLOOKUP(A65,DB_Customers!$A:$I,9,0),VLOOKUP(A65,DB_Customers!$A:$N,14,0)),"❌ Acct Not Found"))</f>
        <v/>
      </c>
      <c r="D65" s="78" t="str">
        <f t="shared" ca="1" si="3"/>
        <v/>
      </c>
      <c r="E65" s="79"/>
      <c r="F65" s="80" t="str">
        <f t="shared" si="4"/>
        <v/>
      </c>
      <c r="G65" s="39" t="s">
        <v>135</v>
      </c>
      <c r="H65" s="81"/>
      <c r="I65" s="82" t="str">
        <f>IF(A65="","Pending",IF(H65="","⚠️ Enter Agent Code",IF(IFERROR(VLOOKUP(G65,DB_Agents!$B:$I,8,0),"")=H65,IF(AND(A65&lt;&gt;"",E65&lt;&gt;""),"Saved","Pending"),"🔒 BLOCKED — Wrong Code")))</f>
        <v>Pending</v>
      </c>
      <c r="J65" s="83" t="str">
        <f t="shared" ca="1" si="5"/>
        <v>—</v>
      </c>
      <c r="K65" s="84"/>
    </row>
    <row r="66" spans="1:11" ht="15" customHeight="1" x14ac:dyDescent="0.25">
      <c r="A66" s="85"/>
      <c r="B66" s="41" t="str">
        <f>IF(A66="","",IFERROR(VLOOKUP(A66,DB_Customers!$A:$D,4,0),"❌ Account Not Found"))</f>
        <v/>
      </c>
      <c r="C66" s="86" t="str">
        <f>IF(A66="","",IFERROR(IF(SUMIF(DB_Savings!$C:$C,A66,DB_Savings!$F:$F)=0,VLOOKUP(A66,DB_Customers!$A:$I,9,0),VLOOKUP(A66,DB_Customers!$A:$N,14,0)),"❌ Acct Not Found"))</f>
        <v/>
      </c>
      <c r="D66" s="87" t="str">
        <f t="shared" ca="1" si="3"/>
        <v/>
      </c>
      <c r="E66" s="79"/>
      <c r="F66" s="88" t="str">
        <f t="shared" si="4"/>
        <v/>
      </c>
      <c r="G66" s="43" t="s">
        <v>135</v>
      </c>
      <c r="H66" s="81"/>
      <c r="I66" s="89" t="str">
        <f>IF(A66="","Pending",IF(H66="","⚠️ Enter Agent Code",IF(IFERROR(VLOOKUP(G66,DB_Agents!$B:$I,8,0),"")=H66,IF(AND(A66&lt;&gt;"",E66&lt;&gt;""),"Saved","Pending"),"🔒 BLOCKED — Wrong Code")))</f>
        <v>Pending</v>
      </c>
      <c r="J66" s="90" t="str">
        <f t="shared" ca="1" si="5"/>
        <v>—</v>
      </c>
      <c r="K66" s="91"/>
    </row>
    <row r="67" spans="1:11" ht="15" customHeight="1" x14ac:dyDescent="0.25">
      <c r="A67" s="76"/>
      <c r="B67" s="37" t="str">
        <f>IF(A67="","",IFERROR(VLOOKUP(A67,DB_Customers!$A:$D,4,0),"❌ Account Not Found"))</f>
        <v/>
      </c>
      <c r="C67" s="77" t="str">
        <f>IF(A67="","",IFERROR(IF(SUMIF(DB_Savings!$C:$C,A67,DB_Savings!$F:$F)=0,VLOOKUP(A67,DB_Customers!$A:$I,9,0),VLOOKUP(A67,DB_Customers!$A:$N,14,0)),"❌ Acct Not Found"))</f>
        <v/>
      </c>
      <c r="D67" s="78" t="str">
        <f t="shared" ca="1" si="3"/>
        <v/>
      </c>
      <c r="E67" s="79"/>
      <c r="F67" s="80" t="str">
        <f t="shared" si="4"/>
        <v/>
      </c>
      <c r="G67" s="39" t="s">
        <v>135</v>
      </c>
      <c r="H67" s="81"/>
      <c r="I67" s="82" t="str">
        <f>IF(A67="","Pending",IF(H67="","⚠️ Enter Agent Code",IF(IFERROR(VLOOKUP(G67,DB_Agents!$B:$I,8,0),"")=H67,IF(AND(A67&lt;&gt;"",E67&lt;&gt;""),"Saved","Pending"),"🔒 BLOCKED — Wrong Code")))</f>
        <v>Pending</v>
      </c>
      <c r="J67" s="83" t="str">
        <f t="shared" ca="1" si="5"/>
        <v>—</v>
      </c>
      <c r="K67" s="84"/>
    </row>
    <row r="68" spans="1:11" ht="15" customHeight="1" x14ac:dyDescent="0.25">
      <c r="A68" s="85"/>
      <c r="B68" s="41" t="str">
        <f>IF(A68="","",IFERROR(VLOOKUP(A68,DB_Customers!$A:$D,4,0),"❌ Account Not Found"))</f>
        <v/>
      </c>
      <c r="C68" s="86" t="str">
        <f>IF(A68="","",IFERROR(IF(SUMIF(DB_Savings!$C:$C,A68,DB_Savings!$F:$F)=0,VLOOKUP(A68,DB_Customers!$A:$I,9,0),VLOOKUP(A68,DB_Customers!$A:$N,14,0)),"❌ Acct Not Found"))</f>
        <v/>
      </c>
      <c r="D68" s="87" t="str">
        <f t="shared" ca="1" si="3"/>
        <v/>
      </c>
      <c r="E68" s="79"/>
      <c r="F68" s="88" t="str">
        <f t="shared" si="4"/>
        <v/>
      </c>
      <c r="G68" s="43" t="s">
        <v>135</v>
      </c>
      <c r="H68" s="81"/>
      <c r="I68" s="89" t="str">
        <f>IF(A68="","Pending",IF(H68="","⚠️ Enter Agent Code",IF(IFERROR(VLOOKUP(G68,DB_Agents!$B:$I,8,0),"")=H68,IF(AND(A68&lt;&gt;"",E68&lt;&gt;""),"Saved","Pending"),"🔒 BLOCKED — Wrong Code")))</f>
        <v>Pending</v>
      </c>
      <c r="J68" s="90" t="str">
        <f t="shared" ca="1" si="5"/>
        <v>—</v>
      </c>
      <c r="K68" s="91"/>
    </row>
    <row r="69" spans="1:11" ht="15" customHeight="1" x14ac:dyDescent="0.25">
      <c r="A69" s="76"/>
      <c r="B69" s="37" t="str">
        <f>IF(A69="","",IFERROR(VLOOKUP(A69,DB_Customers!$A:$D,4,0),"❌ Account Not Found"))</f>
        <v/>
      </c>
      <c r="C69" s="77" t="str">
        <f>IF(A69="","",IFERROR(IF(SUMIF(DB_Savings!$C:$C,A69,DB_Savings!$F:$F)=0,VLOOKUP(A69,DB_Customers!$A:$I,9,0),VLOOKUP(A69,DB_Customers!$A:$N,14,0)),"❌ Acct Not Found"))</f>
        <v/>
      </c>
      <c r="D69" s="78" t="str">
        <f t="shared" ca="1" si="3"/>
        <v/>
      </c>
      <c r="E69" s="79"/>
      <c r="F69" s="80" t="str">
        <f t="shared" si="4"/>
        <v/>
      </c>
      <c r="G69" s="39" t="s">
        <v>135</v>
      </c>
      <c r="H69" s="81"/>
      <c r="I69" s="82" t="str">
        <f>IF(A69="","Pending",IF(H69="","⚠️ Enter Agent Code",IF(IFERROR(VLOOKUP(G69,DB_Agents!$B:$I,8,0),"")=H69,IF(AND(A69&lt;&gt;"",E69&lt;&gt;""),"Saved","Pending"),"🔒 BLOCKED — Wrong Code")))</f>
        <v>Pending</v>
      </c>
      <c r="J69" s="83" t="str">
        <f t="shared" ca="1" si="5"/>
        <v>—</v>
      </c>
      <c r="K69" s="84"/>
    </row>
    <row r="70" spans="1:11" ht="15" customHeight="1" x14ac:dyDescent="0.25">
      <c r="A70" s="85"/>
      <c r="B70" s="41" t="str">
        <f>IF(A70="","",IFERROR(VLOOKUP(A70,DB_Customers!$A:$D,4,0),"❌ Account Not Found"))</f>
        <v/>
      </c>
      <c r="C70" s="86" t="str">
        <f>IF(A70="","",IFERROR(IF(SUMIF(DB_Savings!$C:$C,A70,DB_Savings!$F:$F)=0,VLOOKUP(A70,DB_Customers!$A:$I,9,0),VLOOKUP(A70,DB_Customers!$A:$N,14,0)),"❌ Acct Not Found"))</f>
        <v/>
      </c>
      <c r="D70" s="87" t="str">
        <f t="shared" ca="1" si="3"/>
        <v/>
      </c>
      <c r="E70" s="79"/>
      <c r="F70" s="88" t="str">
        <f t="shared" si="4"/>
        <v/>
      </c>
      <c r="G70" s="43" t="s">
        <v>135</v>
      </c>
      <c r="H70" s="81"/>
      <c r="I70" s="89" t="str">
        <f>IF(A70="","Pending",IF(H70="","⚠️ Enter Agent Code",IF(IFERROR(VLOOKUP(G70,DB_Agents!$B:$I,8,0),"")=H70,IF(AND(A70&lt;&gt;"",E70&lt;&gt;""),"Saved","Pending"),"🔒 BLOCKED — Wrong Code")))</f>
        <v>Pending</v>
      </c>
      <c r="J70" s="90" t="str">
        <f t="shared" ca="1" si="5"/>
        <v>—</v>
      </c>
      <c r="K70" s="91"/>
    </row>
    <row r="71" spans="1:11" ht="15" customHeight="1" x14ac:dyDescent="0.25">
      <c r="A71" s="76"/>
      <c r="B71" s="37" t="str">
        <f>IF(A71="","",IFERROR(VLOOKUP(A71,DB_Customers!$A:$D,4,0),"❌ Account Not Found"))</f>
        <v/>
      </c>
      <c r="C71" s="77" t="str">
        <f>IF(A71="","",IFERROR(IF(SUMIF(DB_Savings!$C:$C,A71,DB_Savings!$F:$F)=0,VLOOKUP(A71,DB_Customers!$A:$I,9,0),VLOOKUP(A71,DB_Customers!$A:$N,14,0)),"❌ Acct Not Found"))</f>
        <v/>
      </c>
      <c r="D71" s="78" t="str">
        <f t="shared" ca="1" si="3"/>
        <v/>
      </c>
      <c r="E71" s="79"/>
      <c r="F71" s="80" t="str">
        <f t="shared" si="4"/>
        <v/>
      </c>
      <c r="G71" s="39" t="s">
        <v>135</v>
      </c>
      <c r="H71" s="81"/>
      <c r="I71" s="82" t="str">
        <f>IF(A71="","Pending",IF(H71="","⚠️ Enter Agent Code",IF(IFERROR(VLOOKUP(G71,DB_Agents!$B:$I,8,0),"")=H71,IF(AND(A71&lt;&gt;"",E71&lt;&gt;""),"Saved","Pending"),"🔒 BLOCKED — Wrong Code")))</f>
        <v>Pending</v>
      </c>
      <c r="J71" s="83" t="str">
        <f t="shared" ca="1" si="5"/>
        <v>—</v>
      </c>
      <c r="K71" s="84"/>
    </row>
    <row r="72" spans="1:11" ht="15" customHeight="1" x14ac:dyDescent="0.25">
      <c r="A72" s="85"/>
      <c r="B72" s="41" t="str">
        <f>IF(A72="","",IFERROR(VLOOKUP(A72,DB_Customers!$A:$D,4,0),"❌ Account Not Found"))</f>
        <v/>
      </c>
      <c r="C72" s="86" t="str">
        <f>IF(A72="","",IFERROR(IF(SUMIF(DB_Savings!$C:$C,A72,DB_Savings!$F:$F)=0,VLOOKUP(A72,DB_Customers!$A:$I,9,0),VLOOKUP(A72,DB_Customers!$A:$N,14,0)),"❌ Acct Not Found"))</f>
        <v/>
      </c>
      <c r="D72" s="87" t="str">
        <f t="shared" ca="1" si="3"/>
        <v/>
      </c>
      <c r="E72" s="79"/>
      <c r="F72" s="88" t="str">
        <f t="shared" si="4"/>
        <v/>
      </c>
      <c r="G72" s="43" t="s">
        <v>135</v>
      </c>
      <c r="H72" s="81"/>
      <c r="I72" s="89" t="str">
        <f>IF(A72="","Pending",IF(H72="","⚠️ Enter Agent Code",IF(IFERROR(VLOOKUP(G72,DB_Agents!$B:$I,8,0),"")=H72,IF(AND(A72&lt;&gt;"",E72&lt;&gt;""),"Saved","Pending"),"🔒 BLOCKED — Wrong Code")))</f>
        <v>Pending</v>
      </c>
      <c r="J72" s="90" t="str">
        <f t="shared" ca="1" si="5"/>
        <v>—</v>
      </c>
      <c r="K72" s="91"/>
    </row>
    <row r="73" spans="1:11" ht="15" customHeight="1" x14ac:dyDescent="0.25">
      <c r="A73" s="76"/>
      <c r="B73" s="37" t="str">
        <f>IF(A73="","",IFERROR(VLOOKUP(A73,DB_Customers!$A:$D,4,0),"❌ Account Not Found"))</f>
        <v/>
      </c>
      <c r="C73" s="77" t="str">
        <f>IF(A73="","",IFERROR(IF(SUMIF(DB_Savings!$C:$C,A73,DB_Savings!$F:$F)=0,VLOOKUP(A73,DB_Customers!$A:$I,9,0),VLOOKUP(A73,DB_Customers!$A:$N,14,0)),"❌ Acct Not Found"))</f>
        <v/>
      </c>
      <c r="D73" s="78" t="str">
        <f t="shared" ref="D73:D104" ca="1" si="6">IF(A73="","",TODAY())</f>
        <v/>
      </c>
      <c r="E73" s="79"/>
      <c r="F73" s="80" t="str">
        <f t="shared" ref="F73:F104" si="7">IF(OR(A73="",E73=""),"",IF(C73="","",C73+E73))</f>
        <v/>
      </c>
      <c r="G73" s="39" t="s">
        <v>135</v>
      </c>
      <c r="H73" s="81"/>
      <c r="I73" s="82" t="str">
        <f>IF(A73="","Pending",IF(H73="","⚠️ Enter Agent Code",IF(IFERROR(VLOOKUP(G73,DB_Agents!$B:$I,8,0),"")=H73,IF(AND(A73&lt;&gt;"",E73&lt;&gt;""),"Saved","Pending"),"🔒 BLOCKED — Wrong Code")))</f>
        <v>Pending</v>
      </c>
      <c r="J73" s="83" t="str">
        <f t="shared" ref="J73:J104" ca="1" si="8">IF(I73="Saved",TEXT(TODAY(),"YYYY-MM-DD")&amp;" Auto","—")</f>
        <v>—</v>
      </c>
      <c r="K73" s="84"/>
    </row>
    <row r="74" spans="1:11" ht="15" customHeight="1" x14ac:dyDescent="0.25">
      <c r="A74" s="85"/>
      <c r="B74" s="41" t="str">
        <f>IF(A74="","",IFERROR(VLOOKUP(A74,DB_Customers!$A:$D,4,0),"❌ Account Not Found"))</f>
        <v/>
      </c>
      <c r="C74" s="86" t="str">
        <f>IF(A74="","",IFERROR(IF(SUMIF(DB_Savings!$C:$C,A74,DB_Savings!$F:$F)=0,VLOOKUP(A74,DB_Customers!$A:$I,9,0),VLOOKUP(A74,DB_Customers!$A:$N,14,0)),"❌ Acct Not Found"))</f>
        <v/>
      </c>
      <c r="D74" s="87" t="str">
        <f t="shared" ca="1" si="6"/>
        <v/>
      </c>
      <c r="E74" s="79"/>
      <c r="F74" s="88" t="str">
        <f t="shared" si="7"/>
        <v/>
      </c>
      <c r="G74" s="43" t="s">
        <v>135</v>
      </c>
      <c r="H74" s="81"/>
      <c r="I74" s="89" t="str">
        <f>IF(A74="","Pending",IF(H74="","⚠️ Enter Agent Code",IF(IFERROR(VLOOKUP(G74,DB_Agents!$B:$I,8,0),"")=H74,IF(AND(A74&lt;&gt;"",E74&lt;&gt;""),"Saved","Pending"),"🔒 BLOCKED — Wrong Code")))</f>
        <v>Pending</v>
      </c>
      <c r="J74" s="90" t="str">
        <f t="shared" ca="1" si="8"/>
        <v>—</v>
      </c>
      <c r="K74" s="91"/>
    </row>
    <row r="75" spans="1:11" ht="15" customHeight="1" x14ac:dyDescent="0.25">
      <c r="A75" s="76"/>
      <c r="B75" s="37" t="str">
        <f>IF(A75="","",IFERROR(VLOOKUP(A75,DB_Customers!$A:$D,4,0),"❌ Account Not Found"))</f>
        <v/>
      </c>
      <c r="C75" s="77" t="str">
        <f>IF(A75="","",IFERROR(IF(SUMIF(DB_Savings!$C:$C,A75,DB_Savings!$F:$F)=0,VLOOKUP(A75,DB_Customers!$A:$I,9,0),VLOOKUP(A75,DB_Customers!$A:$N,14,0)),"❌ Acct Not Found"))</f>
        <v/>
      </c>
      <c r="D75" s="78" t="str">
        <f t="shared" ca="1" si="6"/>
        <v/>
      </c>
      <c r="E75" s="79"/>
      <c r="F75" s="80" t="str">
        <f t="shared" si="7"/>
        <v/>
      </c>
      <c r="G75" s="39" t="s">
        <v>135</v>
      </c>
      <c r="H75" s="81"/>
      <c r="I75" s="82" t="str">
        <f>IF(A75="","Pending",IF(H75="","⚠️ Enter Agent Code",IF(IFERROR(VLOOKUP(G75,DB_Agents!$B:$I,8,0),"")=H75,IF(AND(A75&lt;&gt;"",E75&lt;&gt;""),"Saved","Pending"),"🔒 BLOCKED — Wrong Code")))</f>
        <v>Pending</v>
      </c>
      <c r="J75" s="83" t="str">
        <f t="shared" ca="1" si="8"/>
        <v>—</v>
      </c>
      <c r="K75" s="84"/>
    </row>
    <row r="76" spans="1:11" ht="15" customHeight="1" x14ac:dyDescent="0.25">
      <c r="A76" s="85"/>
      <c r="B76" s="41" t="str">
        <f>IF(A76="","",IFERROR(VLOOKUP(A76,DB_Customers!$A:$D,4,0),"❌ Account Not Found"))</f>
        <v/>
      </c>
      <c r="C76" s="86" t="str">
        <f>IF(A76="","",IFERROR(IF(SUMIF(DB_Savings!$C:$C,A76,DB_Savings!$F:$F)=0,VLOOKUP(A76,DB_Customers!$A:$I,9,0),VLOOKUP(A76,DB_Customers!$A:$N,14,0)),"❌ Acct Not Found"))</f>
        <v/>
      </c>
      <c r="D76" s="87" t="str">
        <f t="shared" ca="1" si="6"/>
        <v/>
      </c>
      <c r="E76" s="79"/>
      <c r="F76" s="88" t="str">
        <f t="shared" si="7"/>
        <v/>
      </c>
      <c r="G76" s="43" t="s">
        <v>135</v>
      </c>
      <c r="H76" s="81"/>
      <c r="I76" s="89" t="str">
        <f>IF(A76="","Pending",IF(H76="","⚠️ Enter Agent Code",IF(IFERROR(VLOOKUP(G76,DB_Agents!$B:$I,8,0),"")=H76,IF(AND(A76&lt;&gt;"",E76&lt;&gt;""),"Saved","Pending"),"🔒 BLOCKED — Wrong Code")))</f>
        <v>Pending</v>
      </c>
      <c r="J76" s="90" t="str">
        <f t="shared" ca="1" si="8"/>
        <v>—</v>
      </c>
      <c r="K76" s="91"/>
    </row>
    <row r="77" spans="1:11" ht="15" customHeight="1" x14ac:dyDescent="0.25">
      <c r="A77" s="76"/>
      <c r="B77" s="37" t="str">
        <f>IF(A77="","",IFERROR(VLOOKUP(A77,DB_Customers!$A:$D,4,0),"❌ Account Not Found"))</f>
        <v/>
      </c>
      <c r="C77" s="77" t="str">
        <f>IF(A77="","",IFERROR(IF(SUMIF(DB_Savings!$C:$C,A77,DB_Savings!$F:$F)=0,VLOOKUP(A77,DB_Customers!$A:$I,9,0),VLOOKUP(A77,DB_Customers!$A:$N,14,0)),"❌ Acct Not Found"))</f>
        <v/>
      </c>
      <c r="D77" s="78" t="str">
        <f t="shared" ca="1" si="6"/>
        <v/>
      </c>
      <c r="E77" s="79"/>
      <c r="F77" s="80" t="str">
        <f t="shared" si="7"/>
        <v/>
      </c>
      <c r="G77" s="39" t="s">
        <v>135</v>
      </c>
      <c r="H77" s="81"/>
      <c r="I77" s="82" t="str">
        <f>IF(A77="","Pending",IF(H77="","⚠️ Enter Agent Code",IF(IFERROR(VLOOKUP(G77,DB_Agents!$B:$I,8,0),"")=H77,IF(AND(A77&lt;&gt;"",E77&lt;&gt;""),"Saved","Pending"),"🔒 BLOCKED — Wrong Code")))</f>
        <v>Pending</v>
      </c>
      <c r="J77" s="83" t="str">
        <f t="shared" ca="1" si="8"/>
        <v>—</v>
      </c>
      <c r="K77" s="84"/>
    </row>
    <row r="78" spans="1:11" ht="15" customHeight="1" x14ac:dyDescent="0.25">
      <c r="A78" s="85"/>
      <c r="B78" s="41" t="str">
        <f>IF(A78="","",IFERROR(VLOOKUP(A78,DB_Customers!$A:$D,4,0),"❌ Account Not Found"))</f>
        <v/>
      </c>
      <c r="C78" s="86" t="str">
        <f>IF(A78="","",IFERROR(IF(SUMIF(DB_Savings!$C:$C,A78,DB_Savings!$F:$F)=0,VLOOKUP(A78,DB_Customers!$A:$I,9,0),VLOOKUP(A78,DB_Customers!$A:$N,14,0)),"❌ Acct Not Found"))</f>
        <v/>
      </c>
      <c r="D78" s="87" t="str">
        <f t="shared" ca="1" si="6"/>
        <v/>
      </c>
      <c r="E78" s="79"/>
      <c r="F78" s="88" t="str">
        <f t="shared" si="7"/>
        <v/>
      </c>
      <c r="G78" s="43" t="s">
        <v>135</v>
      </c>
      <c r="H78" s="81"/>
      <c r="I78" s="89" t="str">
        <f>IF(A78="","Pending",IF(H78="","⚠️ Enter Agent Code",IF(IFERROR(VLOOKUP(G78,DB_Agents!$B:$I,8,0),"")=H78,IF(AND(A78&lt;&gt;"",E78&lt;&gt;""),"Saved","Pending"),"🔒 BLOCKED — Wrong Code")))</f>
        <v>Pending</v>
      </c>
      <c r="J78" s="90" t="str">
        <f t="shared" ca="1" si="8"/>
        <v>—</v>
      </c>
      <c r="K78" s="91"/>
    </row>
    <row r="79" spans="1:11" ht="15" customHeight="1" x14ac:dyDescent="0.25">
      <c r="A79" s="76"/>
      <c r="B79" s="37" t="str">
        <f>IF(A79="","",IFERROR(VLOOKUP(A79,DB_Customers!$A:$D,4,0),"❌ Account Not Found"))</f>
        <v/>
      </c>
      <c r="C79" s="77" t="str">
        <f>IF(A79="","",IFERROR(IF(SUMIF(DB_Savings!$C:$C,A79,DB_Savings!$F:$F)=0,VLOOKUP(A79,DB_Customers!$A:$I,9,0),VLOOKUP(A79,DB_Customers!$A:$N,14,0)),"❌ Acct Not Found"))</f>
        <v/>
      </c>
      <c r="D79" s="78" t="str">
        <f t="shared" ca="1" si="6"/>
        <v/>
      </c>
      <c r="E79" s="79"/>
      <c r="F79" s="80" t="str">
        <f t="shared" si="7"/>
        <v/>
      </c>
      <c r="G79" s="39" t="s">
        <v>135</v>
      </c>
      <c r="H79" s="81"/>
      <c r="I79" s="82" t="str">
        <f>IF(A79="","Pending",IF(H79="","⚠️ Enter Agent Code",IF(IFERROR(VLOOKUP(G79,DB_Agents!$B:$I,8,0),"")=H79,IF(AND(A79&lt;&gt;"",E79&lt;&gt;""),"Saved","Pending"),"🔒 BLOCKED — Wrong Code")))</f>
        <v>Pending</v>
      </c>
      <c r="J79" s="83" t="str">
        <f t="shared" ca="1" si="8"/>
        <v>—</v>
      </c>
      <c r="K79" s="84"/>
    </row>
    <row r="80" spans="1:11" ht="15" customHeight="1" x14ac:dyDescent="0.25">
      <c r="A80" s="85"/>
      <c r="B80" s="41" t="str">
        <f>IF(A80="","",IFERROR(VLOOKUP(A80,DB_Customers!$A:$D,4,0),"❌ Account Not Found"))</f>
        <v/>
      </c>
      <c r="C80" s="86" t="str">
        <f>IF(A80="","",IFERROR(IF(SUMIF(DB_Savings!$C:$C,A80,DB_Savings!$F:$F)=0,VLOOKUP(A80,DB_Customers!$A:$I,9,0),VLOOKUP(A80,DB_Customers!$A:$N,14,0)),"❌ Acct Not Found"))</f>
        <v/>
      </c>
      <c r="D80" s="87" t="str">
        <f t="shared" ca="1" si="6"/>
        <v/>
      </c>
      <c r="E80" s="79"/>
      <c r="F80" s="88" t="str">
        <f t="shared" si="7"/>
        <v/>
      </c>
      <c r="G80" s="43" t="s">
        <v>135</v>
      </c>
      <c r="H80" s="81"/>
      <c r="I80" s="89" t="str">
        <f>IF(A80="","Pending",IF(H80="","⚠️ Enter Agent Code",IF(IFERROR(VLOOKUP(G80,DB_Agents!$B:$I,8,0),"")=H80,IF(AND(A80&lt;&gt;"",E80&lt;&gt;""),"Saved","Pending"),"🔒 BLOCKED — Wrong Code")))</f>
        <v>Pending</v>
      </c>
      <c r="J80" s="90" t="str">
        <f t="shared" ca="1" si="8"/>
        <v>—</v>
      </c>
      <c r="K80" s="91"/>
    </row>
    <row r="81" spans="1:11" ht="15" customHeight="1" x14ac:dyDescent="0.25">
      <c r="A81" s="76"/>
      <c r="B81" s="37" t="str">
        <f>IF(A81="","",IFERROR(VLOOKUP(A81,DB_Customers!$A:$D,4,0),"❌ Account Not Found"))</f>
        <v/>
      </c>
      <c r="C81" s="77" t="str">
        <f>IF(A81="","",IFERROR(IF(SUMIF(DB_Savings!$C:$C,A81,DB_Savings!$F:$F)=0,VLOOKUP(A81,DB_Customers!$A:$I,9,0),VLOOKUP(A81,DB_Customers!$A:$N,14,0)),"❌ Acct Not Found"))</f>
        <v/>
      </c>
      <c r="D81" s="78" t="str">
        <f t="shared" ca="1" si="6"/>
        <v/>
      </c>
      <c r="E81" s="79"/>
      <c r="F81" s="80" t="str">
        <f t="shared" si="7"/>
        <v/>
      </c>
      <c r="G81" s="39" t="s">
        <v>135</v>
      </c>
      <c r="H81" s="81"/>
      <c r="I81" s="82" t="str">
        <f>IF(A81="","Pending",IF(H81="","⚠️ Enter Agent Code",IF(IFERROR(VLOOKUP(G81,DB_Agents!$B:$I,8,0),"")=H81,IF(AND(A81&lt;&gt;"",E81&lt;&gt;""),"Saved","Pending"),"🔒 BLOCKED — Wrong Code")))</f>
        <v>Pending</v>
      </c>
      <c r="J81" s="83" t="str">
        <f t="shared" ca="1" si="8"/>
        <v>—</v>
      </c>
      <c r="K81" s="84"/>
    </row>
    <row r="82" spans="1:11" ht="15" customHeight="1" x14ac:dyDescent="0.25">
      <c r="A82" s="85"/>
      <c r="B82" s="41" t="str">
        <f>IF(A82="","",IFERROR(VLOOKUP(A82,DB_Customers!$A:$D,4,0),"❌ Account Not Found"))</f>
        <v/>
      </c>
      <c r="C82" s="86" t="str">
        <f>IF(A82="","",IFERROR(IF(SUMIF(DB_Savings!$C:$C,A82,DB_Savings!$F:$F)=0,VLOOKUP(A82,DB_Customers!$A:$I,9,0),VLOOKUP(A82,DB_Customers!$A:$N,14,0)),"❌ Acct Not Found"))</f>
        <v/>
      </c>
      <c r="D82" s="87" t="str">
        <f t="shared" ca="1" si="6"/>
        <v/>
      </c>
      <c r="E82" s="79"/>
      <c r="F82" s="88" t="str">
        <f t="shared" si="7"/>
        <v/>
      </c>
      <c r="G82" s="43" t="s">
        <v>135</v>
      </c>
      <c r="H82" s="81"/>
      <c r="I82" s="89" t="str">
        <f>IF(A82="","Pending",IF(H82="","⚠️ Enter Agent Code",IF(IFERROR(VLOOKUP(G82,DB_Agents!$B:$I,8,0),"")=H82,IF(AND(A82&lt;&gt;"",E82&lt;&gt;""),"Saved","Pending"),"🔒 BLOCKED — Wrong Code")))</f>
        <v>Pending</v>
      </c>
      <c r="J82" s="90" t="str">
        <f t="shared" ca="1" si="8"/>
        <v>—</v>
      </c>
      <c r="K82" s="91"/>
    </row>
    <row r="83" spans="1:11" ht="15" customHeight="1" x14ac:dyDescent="0.25">
      <c r="A83" s="76"/>
      <c r="B83" s="37" t="str">
        <f>IF(A83="","",IFERROR(VLOOKUP(A83,DB_Customers!$A:$D,4,0),"❌ Account Not Found"))</f>
        <v/>
      </c>
      <c r="C83" s="77" t="str">
        <f>IF(A83="","",IFERROR(IF(SUMIF(DB_Savings!$C:$C,A83,DB_Savings!$F:$F)=0,VLOOKUP(A83,DB_Customers!$A:$I,9,0),VLOOKUP(A83,DB_Customers!$A:$N,14,0)),"❌ Acct Not Found"))</f>
        <v/>
      </c>
      <c r="D83" s="78" t="str">
        <f t="shared" ca="1" si="6"/>
        <v/>
      </c>
      <c r="E83" s="79"/>
      <c r="F83" s="80" t="str">
        <f t="shared" si="7"/>
        <v/>
      </c>
      <c r="G83" s="39" t="s">
        <v>135</v>
      </c>
      <c r="H83" s="81"/>
      <c r="I83" s="82" t="str">
        <f>IF(A83="","Pending",IF(H83="","⚠️ Enter Agent Code",IF(IFERROR(VLOOKUP(G83,DB_Agents!$B:$I,8,0),"")=H83,IF(AND(A83&lt;&gt;"",E83&lt;&gt;""),"Saved","Pending"),"🔒 BLOCKED — Wrong Code")))</f>
        <v>Pending</v>
      </c>
      <c r="J83" s="83" t="str">
        <f t="shared" ca="1" si="8"/>
        <v>—</v>
      </c>
      <c r="K83" s="84"/>
    </row>
    <row r="84" spans="1:11" ht="15" customHeight="1" x14ac:dyDescent="0.25">
      <c r="A84" s="85"/>
      <c r="B84" s="41" t="str">
        <f>IF(A84="","",IFERROR(VLOOKUP(A84,DB_Customers!$A:$D,4,0),"❌ Account Not Found"))</f>
        <v/>
      </c>
      <c r="C84" s="86" t="str">
        <f>IF(A84="","",IFERROR(IF(SUMIF(DB_Savings!$C:$C,A84,DB_Savings!$F:$F)=0,VLOOKUP(A84,DB_Customers!$A:$I,9,0),VLOOKUP(A84,DB_Customers!$A:$N,14,0)),"❌ Acct Not Found"))</f>
        <v/>
      </c>
      <c r="D84" s="87" t="str">
        <f t="shared" ca="1" si="6"/>
        <v/>
      </c>
      <c r="E84" s="79"/>
      <c r="F84" s="88" t="str">
        <f t="shared" si="7"/>
        <v/>
      </c>
      <c r="G84" s="43" t="s">
        <v>135</v>
      </c>
      <c r="H84" s="81"/>
      <c r="I84" s="89" t="str">
        <f>IF(A84="","Pending",IF(H84="","⚠️ Enter Agent Code",IF(IFERROR(VLOOKUP(G84,DB_Agents!$B:$I,8,0),"")=H84,IF(AND(A84&lt;&gt;"",E84&lt;&gt;""),"Saved","Pending"),"🔒 BLOCKED — Wrong Code")))</f>
        <v>Pending</v>
      </c>
      <c r="J84" s="90" t="str">
        <f t="shared" ca="1" si="8"/>
        <v>—</v>
      </c>
      <c r="K84" s="91"/>
    </row>
    <row r="85" spans="1:11" ht="15" customHeight="1" x14ac:dyDescent="0.25">
      <c r="A85" s="76"/>
      <c r="B85" s="37" t="str">
        <f>IF(A85="","",IFERROR(VLOOKUP(A85,DB_Customers!$A:$D,4,0),"❌ Account Not Found"))</f>
        <v/>
      </c>
      <c r="C85" s="77" t="str">
        <f>IF(A85="","",IFERROR(IF(SUMIF(DB_Savings!$C:$C,A85,DB_Savings!$F:$F)=0,VLOOKUP(A85,DB_Customers!$A:$I,9,0),VLOOKUP(A85,DB_Customers!$A:$N,14,0)),"❌ Acct Not Found"))</f>
        <v/>
      </c>
      <c r="D85" s="78" t="str">
        <f t="shared" ca="1" si="6"/>
        <v/>
      </c>
      <c r="E85" s="79"/>
      <c r="F85" s="80" t="str">
        <f t="shared" si="7"/>
        <v/>
      </c>
      <c r="G85" s="39" t="s">
        <v>135</v>
      </c>
      <c r="H85" s="81"/>
      <c r="I85" s="82" t="str">
        <f>IF(A85="","Pending",IF(H85="","⚠️ Enter Agent Code",IF(IFERROR(VLOOKUP(G85,DB_Agents!$B:$I,8,0),"")=H85,IF(AND(A85&lt;&gt;"",E85&lt;&gt;""),"Saved","Pending"),"🔒 BLOCKED — Wrong Code")))</f>
        <v>Pending</v>
      </c>
      <c r="J85" s="83" t="str">
        <f t="shared" ca="1" si="8"/>
        <v>—</v>
      </c>
      <c r="K85" s="84"/>
    </row>
    <row r="86" spans="1:11" ht="15" customHeight="1" x14ac:dyDescent="0.25">
      <c r="A86" s="85"/>
      <c r="B86" s="41" t="str">
        <f>IF(A86="","",IFERROR(VLOOKUP(A86,DB_Customers!$A:$D,4,0),"❌ Account Not Found"))</f>
        <v/>
      </c>
      <c r="C86" s="86" t="str">
        <f>IF(A86="","",IFERROR(IF(SUMIF(DB_Savings!$C:$C,A86,DB_Savings!$F:$F)=0,VLOOKUP(A86,DB_Customers!$A:$I,9,0),VLOOKUP(A86,DB_Customers!$A:$N,14,0)),"❌ Acct Not Found"))</f>
        <v/>
      </c>
      <c r="D86" s="87" t="str">
        <f t="shared" ca="1" si="6"/>
        <v/>
      </c>
      <c r="E86" s="79"/>
      <c r="F86" s="88" t="str">
        <f t="shared" si="7"/>
        <v/>
      </c>
      <c r="G86" s="43" t="s">
        <v>135</v>
      </c>
      <c r="H86" s="81"/>
      <c r="I86" s="89" t="str">
        <f>IF(A86="","Pending",IF(H86="","⚠️ Enter Agent Code",IF(IFERROR(VLOOKUP(G86,DB_Agents!$B:$I,8,0),"")=H86,IF(AND(A86&lt;&gt;"",E86&lt;&gt;""),"Saved","Pending"),"🔒 BLOCKED — Wrong Code")))</f>
        <v>Pending</v>
      </c>
      <c r="J86" s="90" t="str">
        <f t="shared" ca="1" si="8"/>
        <v>—</v>
      </c>
      <c r="K86" s="91"/>
    </row>
    <row r="87" spans="1:11" ht="15" customHeight="1" x14ac:dyDescent="0.25">
      <c r="A87" s="76"/>
      <c r="B87" s="37" t="str">
        <f>IF(A87="","",IFERROR(VLOOKUP(A87,DB_Customers!$A:$D,4,0),"❌ Account Not Found"))</f>
        <v/>
      </c>
      <c r="C87" s="77" t="str">
        <f>IF(A87="","",IFERROR(IF(SUMIF(DB_Savings!$C:$C,A87,DB_Savings!$F:$F)=0,VLOOKUP(A87,DB_Customers!$A:$I,9,0),VLOOKUP(A87,DB_Customers!$A:$N,14,0)),"❌ Acct Not Found"))</f>
        <v/>
      </c>
      <c r="D87" s="78" t="str">
        <f t="shared" ca="1" si="6"/>
        <v/>
      </c>
      <c r="E87" s="79"/>
      <c r="F87" s="80" t="str">
        <f t="shared" si="7"/>
        <v/>
      </c>
      <c r="G87" s="39" t="s">
        <v>135</v>
      </c>
      <c r="H87" s="81"/>
      <c r="I87" s="82" t="str">
        <f>IF(A87="","Pending",IF(H87="","⚠️ Enter Agent Code",IF(IFERROR(VLOOKUP(G87,DB_Agents!$B:$I,8,0),"")=H87,IF(AND(A87&lt;&gt;"",E87&lt;&gt;""),"Saved","Pending"),"🔒 BLOCKED — Wrong Code")))</f>
        <v>Pending</v>
      </c>
      <c r="J87" s="83" t="str">
        <f t="shared" ca="1" si="8"/>
        <v>—</v>
      </c>
      <c r="K87" s="84"/>
    </row>
    <row r="88" spans="1:11" ht="15" customHeight="1" x14ac:dyDescent="0.25">
      <c r="A88" s="85"/>
      <c r="B88" s="41" t="str">
        <f>IF(A88="","",IFERROR(VLOOKUP(A88,DB_Customers!$A:$D,4,0),"❌ Account Not Found"))</f>
        <v/>
      </c>
      <c r="C88" s="86" t="str">
        <f>IF(A88="","",IFERROR(IF(SUMIF(DB_Savings!$C:$C,A88,DB_Savings!$F:$F)=0,VLOOKUP(A88,DB_Customers!$A:$I,9,0),VLOOKUP(A88,DB_Customers!$A:$N,14,0)),"❌ Acct Not Found"))</f>
        <v/>
      </c>
      <c r="D88" s="87" t="str">
        <f t="shared" ca="1" si="6"/>
        <v/>
      </c>
      <c r="E88" s="79"/>
      <c r="F88" s="88" t="str">
        <f t="shared" si="7"/>
        <v/>
      </c>
      <c r="G88" s="43" t="s">
        <v>135</v>
      </c>
      <c r="H88" s="81"/>
      <c r="I88" s="89" t="str">
        <f>IF(A88="","Pending",IF(H88="","⚠️ Enter Agent Code",IF(IFERROR(VLOOKUP(G88,DB_Agents!$B:$I,8,0),"")=H88,IF(AND(A88&lt;&gt;"",E88&lt;&gt;""),"Saved","Pending"),"🔒 BLOCKED — Wrong Code")))</f>
        <v>Pending</v>
      </c>
      <c r="J88" s="90" t="str">
        <f t="shared" ca="1" si="8"/>
        <v>—</v>
      </c>
      <c r="K88" s="91"/>
    </row>
    <row r="89" spans="1:11" ht="15" customHeight="1" x14ac:dyDescent="0.25">
      <c r="A89" s="76"/>
      <c r="B89" s="37" t="str">
        <f>IF(A89="","",IFERROR(VLOOKUP(A89,DB_Customers!$A:$D,4,0),"❌ Account Not Found"))</f>
        <v/>
      </c>
      <c r="C89" s="77" t="str">
        <f>IF(A89="","",IFERROR(IF(SUMIF(DB_Savings!$C:$C,A89,DB_Savings!$F:$F)=0,VLOOKUP(A89,DB_Customers!$A:$I,9,0),VLOOKUP(A89,DB_Customers!$A:$N,14,0)),"❌ Acct Not Found"))</f>
        <v/>
      </c>
      <c r="D89" s="78" t="str">
        <f t="shared" ca="1" si="6"/>
        <v/>
      </c>
      <c r="E89" s="79"/>
      <c r="F89" s="80" t="str">
        <f t="shared" si="7"/>
        <v/>
      </c>
      <c r="G89" s="39" t="s">
        <v>135</v>
      </c>
      <c r="H89" s="81"/>
      <c r="I89" s="82" t="str">
        <f>IF(A89="","Pending",IF(H89="","⚠️ Enter Agent Code",IF(IFERROR(VLOOKUP(G89,DB_Agents!$B:$I,8,0),"")=H89,IF(AND(A89&lt;&gt;"",E89&lt;&gt;""),"Saved","Pending"),"🔒 BLOCKED — Wrong Code")))</f>
        <v>Pending</v>
      </c>
      <c r="J89" s="83" t="str">
        <f t="shared" ca="1" si="8"/>
        <v>—</v>
      </c>
      <c r="K89" s="84"/>
    </row>
    <row r="90" spans="1:11" ht="15" customHeight="1" x14ac:dyDescent="0.25">
      <c r="A90" s="85"/>
      <c r="B90" s="41" t="str">
        <f>IF(A90="","",IFERROR(VLOOKUP(A90,DB_Customers!$A:$D,4,0),"❌ Account Not Found"))</f>
        <v/>
      </c>
      <c r="C90" s="86" t="str">
        <f>IF(A90="","",IFERROR(IF(SUMIF(DB_Savings!$C:$C,A90,DB_Savings!$F:$F)=0,VLOOKUP(A90,DB_Customers!$A:$I,9,0),VLOOKUP(A90,DB_Customers!$A:$N,14,0)),"❌ Acct Not Found"))</f>
        <v/>
      </c>
      <c r="D90" s="87" t="str">
        <f t="shared" ca="1" si="6"/>
        <v/>
      </c>
      <c r="E90" s="79"/>
      <c r="F90" s="88" t="str">
        <f t="shared" si="7"/>
        <v/>
      </c>
      <c r="G90" s="43" t="s">
        <v>135</v>
      </c>
      <c r="H90" s="81"/>
      <c r="I90" s="89" t="str">
        <f>IF(A90="","Pending",IF(H90="","⚠️ Enter Agent Code",IF(IFERROR(VLOOKUP(G90,DB_Agents!$B:$I,8,0),"")=H90,IF(AND(A90&lt;&gt;"",E90&lt;&gt;""),"Saved","Pending"),"🔒 BLOCKED — Wrong Code")))</f>
        <v>Pending</v>
      </c>
      <c r="J90" s="90" t="str">
        <f t="shared" ca="1" si="8"/>
        <v>—</v>
      </c>
      <c r="K90" s="91"/>
    </row>
    <row r="91" spans="1:11" ht="15" customHeight="1" x14ac:dyDescent="0.25">
      <c r="A91" s="76"/>
      <c r="B91" s="37" t="str">
        <f>IF(A91="","",IFERROR(VLOOKUP(A91,DB_Customers!$A:$D,4,0),"❌ Account Not Found"))</f>
        <v/>
      </c>
      <c r="C91" s="77" t="str">
        <f>IF(A91="","",IFERROR(IF(SUMIF(DB_Savings!$C:$C,A91,DB_Savings!$F:$F)=0,VLOOKUP(A91,DB_Customers!$A:$I,9,0),VLOOKUP(A91,DB_Customers!$A:$N,14,0)),"❌ Acct Not Found"))</f>
        <v/>
      </c>
      <c r="D91" s="78" t="str">
        <f t="shared" ca="1" si="6"/>
        <v/>
      </c>
      <c r="E91" s="79"/>
      <c r="F91" s="80" t="str">
        <f t="shared" si="7"/>
        <v/>
      </c>
      <c r="G91" s="39" t="s">
        <v>135</v>
      </c>
      <c r="H91" s="81"/>
      <c r="I91" s="82" t="str">
        <f>IF(A91="","Pending",IF(H91="","⚠️ Enter Agent Code",IF(IFERROR(VLOOKUP(G91,DB_Agents!$B:$I,8,0),"")=H91,IF(AND(A91&lt;&gt;"",E91&lt;&gt;""),"Saved","Pending"),"🔒 BLOCKED — Wrong Code")))</f>
        <v>Pending</v>
      </c>
      <c r="J91" s="83" t="str">
        <f t="shared" ca="1" si="8"/>
        <v>—</v>
      </c>
      <c r="K91" s="84"/>
    </row>
    <row r="92" spans="1:11" ht="15" customHeight="1" x14ac:dyDescent="0.25">
      <c r="A92" s="85"/>
      <c r="B92" s="41" t="str">
        <f>IF(A92="","",IFERROR(VLOOKUP(A92,DB_Customers!$A:$D,4,0),"❌ Account Not Found"))</f>
        <v/>
      </c>
      <c r="C92" s="86" t="str">
        <f>IF(A92="","",IFERROR(IF(SUMIF(DB_Savings!$C:$C,A92,DB_Savings!$F:$F)=0,VLOOKUP(A92,DB_Customers!$A:$I,9,0),VLOOKUP(A92,DB_Customers!$A:$N,14,0)),"❌ Acct Not Found"))</f>
        <v/>
      </c>
      <c r="D92" s="87" t="str">
        <f t="shared" ca="1" si="6"/>
        <v/>
      </c>
      <c r="E92" s="79"/>
      <c r="F92" s="88" t="str">
        <f t="shared" si="7"/>
        <v/>
      </c>
      <c r="G92" s="43" t="s">
        <v>135</v>
      </c>
      <c r="H92" s="81"/>
      <c r="I92" s="89" t="str">
        <f>IF(A92="","Pending",IF(H92="","⚠️ Enter Agent Code",IF(IFERROR(VLOOKUP(G92,DB_Agents!$B:$I,8,0),"")=H92,IF(AND(A92&lt;&gt;"",E92&lt;&gt;""),"Saved","Pending"),"🔒 BLOCKED — Wrong Code")))</f>
        <v>Pending</v>
      </c>
      <c r="J92" s="90" t="str">
        <f t="shared" ca="1" si="8"/>
        <v>—</v>
      </c>
      <c r="K92" s="91"/>
    </row>
    <row r="93" spans="1:11" ht="15" customHeight="1" x14ac:dyDescent="0.25">
      <c r="A93" s="76"/>
      <c r="B93" s="37" t="str">
        <f>IF(A93="","",IFERROR(VLOOKUP(A93,DB_Customers!$A:$D,4,0),"❌ Account Not Found"))</f>
        <v/>
      </c>
      <c r="C93" s="77" t="str">
        <f>IF(A93="","",IFERROR(IF(SUMIF(DB_Savings!$C:$C,A93,DB_Savings!$F:$F)=0,VLOOKUP(A93,DB_Customers!$A:$I,9,0),VLOOKUP(A93,DB_Customers!$A:$N,14,0)),"❌ Acct Not Found"))</f>
        <v/>
      </c>
      <c r="D93" s="78" t="str">
        <f t="shared" ca="1" si="6"/>
        <v/>
      </c>
      <c r="E93" s="79"/>
      <c r="F93" s="80" t="str">
        <f t="shared" si="7"/>
        <v/>
      </c>
      <c r="G93" s="39" t="s">
        <v>135</v>
      </c>
      <c r="H93" s="81"/>
      <c r="I93" s="82" t="str">
        <f>IF(A93="","Pending",IF(H93="","⚠️ Enter Agent Code",IF(IFERROR(VLOOKUP(G93,DB_Agents!$B:$I,8,0),"")=H93,IF(AND(A93&lt;&gt;"",E93&lt;&gt;""),"Saved","Pending"),"🔒 BLOCKED — Wrong Code")))</f>
        <v>Pending</v>
      </c>
      <c r="J93" s="83" t="str">
        <f t="shared" ca="1" si="8"/>
        <v>—</v>
      </c>
      <c r="K93" s="84"/>
    </row>
    <row r="94" spans="1:11" ht="15" customHeight="1" x14ac:dyDescent="0.25">
      <c r="A94" s="85"/>
      <c r="B94" s="41" t="str">
        <f>IF(A94="","",IFERROR(VLOOKUP(A94,DB_Customers!$A:$D,4,0),"❌ Account Not Found"))</f>
        <v/>
      </c>
      <c r="C94" s="86" t="str">
        <f>IF(A94="","",IFERROR(IF(SUMIF(DB_Savings!$C:$C,A94,DB_Savings!$F:$F)=0,VLOOKUP(A94,DB_Customers!$A:$I,9,0),VLOOKUP(A94,DB_Customers!$A:$N,14,0)),"❌ Acct Not Found"))</f>
        <v/>
      </c>
      <c r="D94" s="87" t="str">
        <f t="shared" ca="1" si="6"/>
        <v/>
      </c>
      <c r="E94" s="79"/>
      <c r="F94" s="88" t="str">
        <f t="shared" si="7"/>
        <v/>
      </c>
      <c r="G94" s="43" t="s">
        <v>135</v>
      </c>
      <c r="H94" s="81"/>
      <c r="I94" s="89" t="str">
        <f>IF(A94="","Pending",IF(H94="","⚠️ Enter Agent Code",IF(IFERROR(VLOOKUP(G94,DB_Agents!$B:$I,8,0),"")=H94,IF(AND(A94&lt;&gt;"",E94&lt;&gt;""),"Saved","Pending"),"🔒 BLOCKED — Wrong Code")))</f>
        <v>Pending</v>
      </c>
      <c r="J94" s="90" t="str">
        <f t="shared" ca="1" si="8"/>
        <v>—</v>
      </c>
      <c r="K94" s="91"/>
    </row>
    <row r="95" spans="1:11" ht="15" customHeight="1" x14ac:dyDescent="0.25">
      <c r="A95" s="76"/>
      <c r="B95" s="37" t="str">
        <f>IF(A95="","",IFERROR(VLOOKUP(A95,DB_Customers!$A:$D,4,0),"❌ Account Not Found"))</f>
        <v/>
      </c>
      <c r="C95" s="77" t="str">
        <f>IF(A95="","",IFERROR(IF(SUMIF(DB_Savings!$C:$C,A95,DB_Savings!$F:$F)=0,VLOOKUP(A95,DB_Customers!$A:$I,9,0),VLOOKUP(A95,DB_Customers!$A:$N,14,0)),"❌ Acct Not Found"))</f>
        <v/>
      </c>
      <c r="D95" s="78" t="str">
        <f t="shared" ca="1" si="6"/>
        <v/>
      </c>
      <c r="E95" s="79"/>
      <c r="F95" s="80" t="str">
        <f t="shared" si="7"/>
        <v/>
      </c>
      <c r="G95" s="39" t="s">
        <v>135</v>
      </c>
      <c r="H95" s="81"/>
      <c r="I95" s="82" t="str">
        <f>IF(A95="","Pending",IF(H95="","⚠️ Enter Agent Code",IF(IFERROR(VLOOKUP(G95,DB_Agents!$B:$I,8,0),"")=H95,IF(AND(A95&lt;&gt;"",E95&lt;&gt;""),"Saved","Pending"),"🔒 BLOCKED — Wrong Code")))</f>
        <v>Pending</v>
      </c>
      <c r="J95" s="83" t="str">
        <f t="shared" ca="1" si="8"/>
        <v>—</v>
      </c>
      <c r="K95" s="84"/>
    </row>
    <row r="96" spans="1:11" ht="15" customHeight="1" x14ac:dyDescent="0.25">
      <c r="A96" s="85"/>
      <c r="B96" s="41" t="str">
        <f>IF(A96="","",IFERROR(VLOOKUP(A96,DB_Customers!$A:$D,4,0),"❌ Account Not Found"))</f>
        <v/>
      </c>
      <c r="C96" s="86" t="str">
        <f>IF(A96="","",IFERROR(IF(SUMIF(DB_Savings!$C:$C,A96,DB_Savings!$F:$F)=0,VLOOKUP(A96,DB_Customers!$A:$I,9,0),VLOOKUP(A96,DB_Customers!$A:$N,14,0)),"❌ Acct Not Found"))</f>
        <v/>
      </c>
      <c r="D96" s="87" t="str">
        <f t="shared" ca="1" si="6"/>
        <v/>
      </c>
      <c r="E96" s="79"/>
      <c r="F96" s="88" t="str">
        <f t="shared" si="7"/>
        <v/>
      </c>
      <c r="G96" s="43" t="s">
        <v>135</v>
      </c>
      <c r="H96" s="81"/>
      <c r="I96" s="89" t="str">
        <f>IF(A96="","Pending",IF(H96="","⚠️ Enter Agent Code",IF(IFERROR(VLOOKUP(G96,DB_Agents!$B:$I,8,0),"")=H96,IF(AND(A96&lt;&gt;"",E96&lt;&gt;""),"Saved","Pending"),"🔒 BLOCKED — Wrong Code")))</f>
        <v>Pending</v>
      </c>
      <c r="J96" s="90" t="str">
        <f t="shared" ca="1" si="8"/>
        <v>—</v>
      </c>
      <c r="K96" s="91"/>
    </row>
    <row r="97" spans="1:11" ht="15" customHeight="1" x14ac:dyDescent="0.25">
      <c r="A97" s="76"/>
      <c r="B97" s="37" t="str">
        <f>IF(A97="","",IFERROR(VLOOKUP(A97,DB_Customers!$A:$D,4,0),"❌ Account Not Found"))</f>
        <v/>
      </c>
      <c r="C97" s="77" t="str">
        <f>IF(A97="","",IFERROR(IF(SUMIF(DB_Savings!$C:$C,A97,DB_Savings!$F:$F)=0,VLOOKUP(A97,DB_Customers!$A:$I,9,0),VLOOKUP(A97,DB_Customers!$A:$N,14,0)),"❌ Acct Not Found"))</f>
        <v/>
      </c>
      <c r="D97" s="78" t="str">
        <f t="shared" ca="1" si="6"/>
        <v/>
      </c>
      <c r="E97" s="79"/>
      <c r="F97" s="80" t="str">
        <f t="shared" si="7"/>
        <v/>
      </c>
      <c r="G97" s="39" t="s">
        <v>135</v>
      </c>
      <c r="H97" s="81"/>
      <c r="I97" s="82" t="str">
        <f>IF(A97="","Pending",IF(H97="","⚠️ Enter Agent Code",IF(IFERROR(VLOOKUP(G97,DB_Agents!$B:$I,8,0),"")=H97,IF(AND(A97&lt;&gt;"",E97&lt;&gt;""),"Saved","Pending"),"🔒 BLOCKED — Wrong Code")))</f>
        <v>Pending</v>
      </c>
      <c r="J97" s="83" t="str">
        <f t="shared" ca="1" si="8"/>
        <v>—</v>
      </c>
      <c r="K97" s="84"/>
    </row>
    <row r="98" spans="1:11" ht="15" customHeight="1" x14ac:dyDescent="0.25">
      <c r="A98" s="85"/>
      <c r="B98" s="41" t="str">
        <f>IF(A98="","",IFERROR(VLOOKUP(A98,DB_Customers!$A:$D,4,0),"❌ Account Not Found"))</f>
        <v/>
      </c>
      <c r="C98" s="86" t="str">
        <f>IF(A98="","",IFERROR(IF(SUMIF(DB_Savings!$C:$C,A98,DB_Savings!$F:$F)=0,VLOOKUP(A98,DB_Customers!$A:$I,9,0),VLOOKUP(A98,DB_Customers!$A:$N,14,0)),"❌ Acct Not Found"))</f>
        <v/>
      </c>
      <c r="D98" s="87" t="str">
        <f t="shared" ca="1" si="6"/>
        <v/>
      </c>
      <c r="E98" s="79"/>
      <c r="F98" s="88" t="str">
        <f t="shared" si="7"/>
        <v/>
      </c>
      <c r="G98" s="43" t="s">
        <v>135</v>
      </c>
      <c r="H98" s="81"/>
      <c r="I98" s="89" t="str">
        <f>IF(A98="","Pending",IF(H98="","⚠️ Enter Agent Code",IF(IFERROR(VLOOKUP(G98,DB_Agents!$B:$I,8,0),"")=H98,IF(AND(A98&lt;&gt;"",E98&lt;&gt;""),"Saved","Pending"),"🔒 BLOCKED — Wrong Code")))</f>
        <v>Pending</v>
      </c>
      <c r="J98" s="90" t="str">
        <f t="shared" ca="1" si="8"/>
        <v>—</v>
      </c>
      <c r="K98" s="91"/>
    </row>
    <row r="99" spans="1:11" ht="15" customHeight="1" x14ac:dyDescent="0.25">
      <c r="A99" s="76"/>
      <c r="B99" s="37" t="str">
        <f>IF(A99="","",IFERROR(VLOOKUP(A99,DB_Customers!$A:$D,4,0),"❌ Account Not Found"))</f>
        <v/>
      </c>
      <c r="C99" s="77" t="str">
        <f>IF(A99="","",IFERROR(IF(SUMIF(DB_Savings!$C:$C,A99,DB_Savings!$F:$F)=0,VLOOKUP(A99,DB_Customers!$A:$I,9,0),VLOOKUP(A99,DB_Customers!$A:$N,14,0)),"❌ Acct Not Found"))</f>
        <v/>
      </c>
      <c r="D99" s="78" t="str">
        <f t="shared" ca="1" si="6"/>
        <v/>
      </c>
      <c r="E99" s="79"/>
      <c r="F99" s="80" t="str">
        <f t="shared" si="7"/>
        <v/>
      </c>
      <c r="G99" s="39" t="s">
        <v>135</v>
      </c>
      <c r="H99" s="81"/>
      <c r="I99" s="82" t="str">
        <f>IF(A99="","Pending",IF(H99="","⚠️ Enter Agent Code",IF(IFERROR(VLOOKUP(G99,DB_Agents!$B:$I,8,0),"")=H99,IF(AND(A99&lt;&gt;"",E99&lt;&gt;""),"Saved","Pending"),"🔒 BLOCKED — Wrong Code")))</f>
        <v>Pending</v>
      </c>
      <c r="J99" s="83" t="str">
        <f t="shared" ca="1" si="8"/>
        <v>—</v>
      </c>
      <c r="K99" s="84"/>
    </row>
    <row r="100" spans="1:11" ht="15" customHeight="1" x14ac:dyDescent="0.25">
      <c r="A100" s="85"/>
      <c r="B100" s="41" t="str">
        <f>IF(A100="","",IFERROR(VLOOKUP(A100,DB_Customers!$A:$D,4,0),"❌ Account Not Found"))</f>
        <v/>
      </c>
      <c r="C100" s="86" t="str">
        <f>IF(A100="","",IFERROR(IF(SUMIF(DB_Savings!$C:$C,A100,DB_Savings!$F:$F)=0,VLOOKUP(A100,DB_Customers!$A:$I,9,0),VLOOKUP(A100,DB_Customers!$A:$N,14,0)),"❌ Acct Not Found"))</f>
        <v/>
      </c>
      <c r="D100" s="87" t="str">
        <f t="shared" ca="1" si="6"/>
        <v/>
      </c>
      <c r="E100" s="79"/>
      <c r="F100" s="88" t="str">
        <f t="shared" si="7"/>
        <v/>
      </c>
      <c r="G100" s="43" t="s">
        <v>135</v>
      </c>
      <c r="H100" s="81"/>
      <c r="I100" s="89" t="str">
        <f>IF(A100="","Pending",IF(H100="","⚠️ Enter Agent Code",IF(IFERROR(VLOOKUP(G100,DB_Agents!$B:$I,8,0),"")=H100,IF(AND(A100&lt;&gt;"",E100&lt;&gt;""),"Saved","Pending"),"🔒 BLOCKED — Wrong Code")))</f>
        <v>Pending</v>
      </c>
      <c r="J100" s="90" t="str">
        <f t="shared" ca="1" si="8"/>
        <v>—</v>
      </c>
      <c r="K100" s="91"/>
    </row>
    <row r="101" spans="1:11" ht="15" customHeight="1" x14ac:dyDescent="0.25">
      <c r="A101" s="76"/>
      <c r="B101" s="37" t="str">
        <f>IF(A101="","",IFERROR(VLOOKUP(A101,DB_Customers!$A:$D,4,0),"❌ Account Not Found"))</f>
        <v/>
      </c>
      <c r="C101" s="77" t="str">
        <f>IF(A101="","",IFERROR(IF(SUMIF(DB_Savings!$C:$C,A101,DB_Savings!$F:$F)=0,VLOOKUP(A101,DB_Customers!$A:$I,9,0),VLOOKUP(A101,DB_Customers!$A:$N,14,0)),"❌ Acct Not Found"))</f>
        <v/>
      </c>
      <c r="D101" s="78" t="str">
        <f t="shared" ca="1" si="6"/>
        <v/>
      </c>
      <c r="E101" s="79"/>
      <c r="F101" s="80" t="str">
        <f t="shared" si="7"/>
        <v/>
      </c>
      <c r="G101" s="39" t="s">
        <v>135</v>
      </c>
      <c r="H101" s="81"/>
      <c r="I101" s="82" t="str">
        <f>IF(A101="","Pending",IF(H101="","⚠️ Enter Agent Code",IF(IFERROR(VLOOKUP(G101,DB_Agents!$B:$I,8,0),"")=H101,IF(AND(A101&lt;&gt;"",E101&lt;&gt;""),"Saved","Pending"),"🔒 BLOCKED — Wrong Code")))</f>
        <v>Pending</v>
      </c>
      <c r="J101" s="83" t="str">
        <f t="shared" ca="1" si="8"/>
        <v>—</v>
      </c>
      <c r="K101" s="84"/>
    </row>
    <row r="102" spans="1:11" ht="15" customHeight="1" x14ac:dyDescent="0.25">
      <c r="A102" s="85"/>
      <c r="B102" s="41" t="str">
        <f>IF(A102="","",IFERROR(VLOOKUP(A102,DB_Customers!$A:$D,4,0),"❌ Account Not Found"))</f>
        <v/>
      </c>
      <c r="C102" s="86" t="str">
        <f>IF(A102="","",IFERROR(IF(SUMIF(DB_Savings!$C:$C,A102,DB_Savings!$F:$F)=0,VLOOKUP(A102,DB_Customers!$A:$I,9,0),VLOOKUP(A102,DB_Customers!$A:$N,14,0)),"❌ Acct Not Found"))</f>
        <v/>
      </c>
      <c r="D102" s="87" t="str">
        <f t="shared" ca="1" si="6"/>
        <v/>
      </c>
      <c r="E102" s="79"/>
      <c r="F102" s="88" t="str">
        <f t="shared" si="7"/>
        <v/>
      </c>
      <c r="G102" s="43" t="s">
        <v>135</v>
      </c>
      <c r="H102" s="81"/>
      <c r="I102" s="89" t="str">
        <f>IF(A102="","Pending",IF(H102="","⚠️ Enter Agent Code",IF(IFERROR(VLOOKUP(G102,DB_Agents!$B:$I,8,0),"")=H102,IF(AND(A102&lt;&gt;"",E102&lt;&gt;""),"Saved","Pending"),"🔒 BLOCKED — Wrong Code")))</f>
        <v>Pending</v>
      </c>
      <c r="J102" s="90" t="str">
        <f t="shared" ca="1" si="8"/>
        <v>—</v>
      </c>
      <c r="K102" s="91"/>
    </row>
    <row r="103" spans="1:11" ht="15" customHeight="1" x14ac:dyDescent="0.25">
      <c r="A103" s="76"/>
      <c r="B103" s="37" t="str">
        <f>IF(A103="","",IFERROR(VLOOKUP(A103,DB_Customers!$A:$D,4,0),"❌ Account Not Found"))</f>
        <v/>
      </c>
      <c r="C103" s="77" t="str">
        <f>IF(A103="","",IFERROR(IF(SUMIF(DB_Savings!$C:$C,A103,DB_Savings!$F:$F)=0,VLOOKUP(A103,DB_Customers!$A:$I,9,0),VLOOKUP(A103,DB_Customers!$A:$N,14,0)),"❌ Acct Not Found"))</f>
        <v/>
      </c>
      <c r="D103" s="78" t="str">
        <f t="shared" ca="1" si="6"/>
        <v/>
      </c>
      <c r="E103" s="79"/>
      <c r="F103" s="80" t="str">
        <f t="shared" si="7"/>
        <v/>
      </c>
      <c r="G103" s="39" t="s">
        <v>135</v>
      </c>
      <c r="H103" s="81"/>
      <c r="I103" s="82" t="str">
        <f>IF(A103="","Pending",IF(H103="","⚠️ Enter Agent Code",IF(IFERROR(VLOOKUP(G103,DB_Agents!$B:$I,8,0),"")=H103,IF(AND(A103&lt;&gt;"",E103&lt;&gt;""),"Saved","Pending"),"🔒 BLOCKED — Wrong Code")))</f>
        <v>Pending</v>
      </c>
      <c r="J103" s="83" t="str">
        <f t="shared" ca="1" si="8"/>
        <v>—</v>
      </c>
      <c r="K103" s="84"/>
    </row>
    <row r="104" spans="1:11" ht="15" customHeight="1" x14ac:dyDescent="0.25">
      <c r="A104" s="85"/>
      <c r="B104" s="41" t="str">
        <f>IF(A104="","",IFERROR(VLOOKUP(A104,DB_Customers!$A:$D,4,0),"❌ Account Not Found"))</f>
        <v/>
      </c>
      <c r="C104" s="86" t="str">
        <f>IF(A104="","",IFERROR(IF(SUMIF(DB_Savings!$C:$C,A104,DB_Savings!$F:$F)=0,VLOOKUP(A104,DB_Customers!$A:$I,9,0),VLOOKUP(A104,DB_Customers!$A:$N,14,0)),"❌ Acct Not Found"))</f>
        <v/>
      </c>
      <c r="D104" s="87" t="str">
        <f t="shared" ca="1" si="6"/>
        <v/>
      </c>
      <c r="E104" s="79"/>
      <c r="F104" s="88" t="str">
        <f t="shared" si="7"/>
        <v/>
      </c>
      <c r="G104" s="43" t="s">
        <v>135</v>
      </c>
      <c r="H104" s="81"/>
      <c r="I104" s="89" t="str">
        <f>IF(A104="","Pending",IF(H104="","⚠️ Enter Agent Code",IF(IFERROR(VLOOKUP(G104,DB_Agents!$B:$I,8,0),"")=H104,IF(AND(A104&lt;&gt;"",E104&lt;&gt;""),"Saved","Pending"),"🔒 BLOCKED — Wrong Code")))</f>
        <v>Pending</v>
      </c>
      <c r="J104" s="90" t="str">
        <f t="shared" ca="1" si="8"/>
        <v>—</v>
      </c>
      <c r="K104" s="91"/>
    </row>
    <row r="105" spans="1:11" ht="15" customHeight="1" x14ac:dyDescent="0.25">
      <c r="A105" s="76"/>
      <c r="B105" s="37" t="str">
        <f>IF(A105="","",IFERROR(VLOOKUP(A105,DB_Customers!$A:$D,4,0),"❌ Account Not Found"))</f>
        <v/>
      </c>
      <c r="C105" s="77" t="str">
        <f>IF(A105="","",IFERROR(IF(SUMIF(DB_Savings!$C:$C,A105,DB_Savings!$F:$F)=0,VLOOKUP(A105,DB_Customers!$A:$I,9,0),VLOOKUP(A105,DB_Customers!$A:$N,14,0)),"❌ Acct Not Found"))</f>
        <v/>
      </c>
      <c r="D105" s="78" t="str">
        <f t="shared" ref="D105:D136" ca="1" si="9">IF(A105="","",TODAY())</f>
        <v/>
      </c>
      <c r="E105" s="79"/>
      <c r="F105" s="80" t="str">
        <f t="shared" ref="F105:F136" si="10">IF(OR(A105="",E105=""),"",IF(C105="","",C105+E105))</f>
        <v/>
      </c>
      <c r="G105" s="39" t="s">
        <v>135</v>
      </c>
      <c r="H105" s="81"/>
      <c r="I105" s="82" t="str">
        <f>IF(A105="","Pending",IF(H105="","⚠️ Enter Agent Code",IF(IFERROR(VLOOKUP(G105,DB_Agents!$B:$I,8,0),"")=H105,IF(AND(A105&lt;&gt;"",E105&lt;&gt;""),"Saved","Pending"),"🔒 BLOCKED — Wrong Code")))</f>
        <v>Pending</v>
      </c>
      <c r="J105" s="83" t="str">
        <f t="shared" ref="J105:J136" ca="1" si="11">IF(I105="Saved",TEXT(TODAY(),"YYYY-MM-DD")&amp;" Auto","—")</f>
        <v>—</v>
      </c>
      <c r="K105" s="84"/>
    </row>
    <row r="106" spans="1:11" ht="15" customHeight="1" x14ac:dyDescent="0.25">
      <c r="A106" s="85"/>
      <c r="B106" s="41" t="str">
        <f>IF(A106="","",IFERROR(VLOOKUP(A106,DB_Customers!$A:$D,4,0),"❌ Account Not Found"))</f>
        <v/>
      </c>
      <c r="C106" s="86" t="str">
        <f>IF(A106="","",IFERROR(IF(SUMIF(DB_Savings!$C:$C,A106,DB_Savings!$F:$F)=0,VLOOKUP(A106,DB_Customers!$A:$I,9,0),VLOOKUP(A106,DB_Customers!$A:$N,14,0)),"❌ Acct Not Found"))</f>
        <v/>
      </c>
      <c r="D106" s="87" t="str">
        <f t="shared" ca="1" si="9"/>
        <v/>
      </c>
      <c r="E106" s="79"/>
      <c r="F106" s="88" t="str">
        <f t="shared" si="10"/>
        <v/>
      </c>
      <c r="G106" s="43" t="s">
        <v>135</v>
      </c>
      <c r="H106" s="81"/>
      <c r="I106" s="89" t="str">
        <f>IF(A106="","Pending",IF(H106="","⚠️ Enter Agent Code",IF(IFERROR(VLOOKUP(G106,DB_Agents!$B:$I,8,0),"")=H106,IF(AND(A106&lt;&gt;"",E106&lt;&gt;""),"Saved","Pending"),"🔒 BLOCKED — Wrong Code")))</f>
        <v>Pending</v>
      </c>
      <c r="J106" s="90" t="str">
        <f t="shared" ca="1" si="11"/>
        <v>—</v>
      </c>
      <c r="K106" s="91"/>
    </row>
    <row r="107" spans="1:11" ht="15" customHeight="1" x14ac:dyDescent="0.25">
      <c r="A107" s="76"/>
      <c r="B107" s="37" t="str">
        <f>IF(A107="","",IFERROR(VLOOKUP(A107,DB_Customers!$A:$D,4,0),"❌ Account Not Found"))</f>
        <v/>
      </c>
      <c r="C107" s="77" t="str">
        <f>IF(A107="","",IFERROR(IF(SUMIF(DB_Savings!$C:$C,A107,DB_Savings!$F:$F)=0,VLOOKUP(A107,DB_Customers!$A:$I,9,0),VLOOKUP(A107,DB_Customers!$A:$N,14,0)),"❌ Acct Not Found"))</f>
        <v/>
      </c>
      <c r="D107" s="78" t="str">
        <f t="shared" ca="1" si="9"/>
        <v/>
      </c>
      <c r="E107" s="79"/>
      <c r="F107" s="80" t="str">
        <f t="shared" si="10"/>
        <v/>
      </c>
      <c r="G107" s="39" t="s">
        <v>135</v>
      </c>
      <c r="H107" s="81"/>
      <c r="I107" s="82" t="str">
        <f>IF(A107="","Pending",IF(H107="","⚠️ Enter Agent Code",IF(IFERROR(VLOOKUP(G107,DB_Agents!$B:$I,8,0),"")=H107,IF(AND(A107&lt;&gt;"",E107&lt;&gt;""),"Saved","Pending"),"🔒 BLOCKED — Wrong Code")))</f>
        <v>Pending</v>
      </c>
      <c r="J107" s="83" t="str">
        <f t="shared" ca="1" si="11"/>
        <v>—</v>
      </c>
      <c r="K107" s="84"/>
    </row>
    <row r="108" spans="1:11" ht="15" customHeight="1" x14ac:dyDescent="0.25">
      <c r="A108" s="85"/>
      <c r="B108" s="41" t="str">
        <f>IF(A108="","",IFERROR(VLOOKUP(A108,DB_Customers!$A:$D,4,0),"❌ Account Not Found"))</f>
        <v/>
      </c>
      <c r="C108" s="86" t="str">
        <f>IF(A108="","",IFERROR(IF(SUMIF(DB_Savings!$C:$C,A108,DB_Savings!$F:$F)=0,VLOOKUP(A108,DB_Customers!$A:$I,9,0),VLOOKUP(A108,DB_Customers!$A:$N,14,0)),"❌ Acct Not Found"))</f>
        <v/>
      </c>
      <c r="D108" s="87" t="str">
        <f t="shared" ca="1" si="9"/>
        <v/>
      </c>
      <c r="E108" s="79"/>
      <c r="F108" s="88" t="str">
        <f t="shared" si="10"/>
        <v/>
      </c>
      <c r="G108" s="43" t="s">
        <v>135</v>
      </c>
      <c r="H108" s="81"/>
      <c r="I108" s="89" t="str">
        <f>IF(A108="","Pending",IF(H108="","⚠️ Enter Agent Code",IF(IFERROR(VLOOKUP(G108,DB_Agents!$B:$I,8,0),"")=H108,IF(AND(A108&lt;&gt;"",E108&lt;&gt;""),"Saved","Pending"),"🔒 BLOCKED — Wrong Code")))</f>
        <v>Pending</v>
      </c>
      <c r="J108" s="90" t="str">
        <f t="shared" ca="1" si="11"/>
        <v>—</v>
      </c>
      <c r="K108" s="91"/>
    </row>
    <row r="109" spans="1:11" ht="15" customHeight="1" x14ac:dyDescent="0.25">
      <c r="A109" s="76"/>
      <c r="B109" s="37" t="str">
        <f>IF(A109="","",IFERROR(VLOOKUP(A109,DB_Customers!$A:$D,4,0),"❌ Account Not Found"))</f>
        <v/>
      </c>
      <c r="C109" s="77" t="str">
        <f>IF(A109="","",IFERROR(IF(SUMIF(DB_Savings!$C:$C,A109,DB_Savings!$F:$F)=0,VLOOKUP(A109,DB_Customers!$A:$I,9,0),VLOOKUP(A109,DB_Customers!$A:$N,14,0)),"❌ Acct Not Found"))</f>
        <v/>
      </c>
      <c r="D109" s="78" t="str">
        <f t="shared" ca="1" si="9"/>
        <v/>
      </c>
      <c r="E109" s="79"/>
      <c r="F109" s="80" t="str">
        <f t="shared" si="10"/>
        <v/>
      </c>
      <c r="G109" s="39" t="s">
        <v>135</v>
      </c>
      <c r="H109" s="81"/>
      <c r="I109" s="82" t="str">
        <f>IF(A109="","Pending",IF(H109="","⚠️ Enter Agent Code",IF(IFERROR(VLOOKUP(G109,DB_Agents!$B:$I,8,0),"")=H109,IF(AND(A109&lt;&gt;"",E109&lt;&gt;""),"Saved","Pending"),"🔒 BLOCKED — Wrong Code")))</f>
        <v>Pending</v>
      </c>
      <c r="J109" s="83" t="str">
        <f t="shared" ca="1" si="11"/>
        <v>—</v>
      </c>
      <c r="K109" s="84"/>
    </row>
    <row r="110" spans="1:11" ht="15" customHeight="1" x14ac:dyDescent="0.25">
      <c r="A110" s="85"/>
      <c r="B110" s="41" t="str">
        <f>IF(A110="","",IFERROR(VLOOKUP(A110,DB_Customers!$A:$D,4,0),"❌ Account Not Found"))</f>
        <v/>
      </c>
      <c r="C110" s="86" t="str">
        <f>IF(A110="","",IFERROR(IF(SUMIF(DB_Savings!$C:$C,A110,DB_Savings!$F:$F)=0,VLOOKUP(A110,DB_Customers!$A:$I,9,0),VLOOKUP(A110,DB_Customers!$A:$N,14,0)),"❌ Acct Not Found"))</f>
        <v/>
      </c>
      <c r="D110" s="87" t="str">
        <f t="shared" ca="1" si="9"/>
        <v/>
      </c>
      <c r="E110" s="79"/>
      <c r="F110" s="88" t="str">
        <f t="shared" si="10"/>
        <v/>
      </c>
      <c r="G110" s="43" t="s">
        <v>135</v>
      </c>
      <c r="H110" s="81"/>
      <c r="I110" s="89" t="str">
        <f>IF(A110="","Pending",IF(H110="","⚠️ Enter Agent Code",IF(IFERROR(VLOOKUP(G110,DB_Agents!$B:$I,8,0),"")=H110,IF(AND(A110&lt;&gt;"",E110&lt;&gt;""),"Saved","Pending"),"🔒 BLOCKED — Wrong Code")))</f>
        <v>Pending</v>
      </c>
      <c r="J110" s="90" t="str">
        <f t="shared" ca="1" si="11"/>
        <v>—</v>
      </c>
      <c r="K110" s="91"/>
    </row>
    <row r="111" spans="1:11" ht="15" customHeight="1" x14ac:dyDescent="0.25">
      <c r="A111" s="76"/>
      <c r="B111" s="37" t="str">
        <f>IF(A111="","",IFERROR(VLOOKUP(A111,DB_Customers!$A:$D,4,0),"❌ Account Not Found"))</f>
        <v/>
      </c>
      <c r="C111" s="77" t="str">
        <f>IF(A111="","",IFERROR(IF(SUMIF(DB_Savings!$C:$C,A111,DB_Savings!$F:$F)=0,VLOOKUP(A111,DB_Customers!$A:$I,9,0),VLOOKUP(A111,DB_Customers!$A:$N,14,0)),"❌ Acct Not Found"))</f>
        <v/>
      </c>
      <c r="D111" s="78" t="str">
        <f t="shared" ca="1" si="9"/>
        <v/>
      </c>
      <c r="E111" s="79"/>
      <c r="F111" s="80" t="str">
        <f t="shared" si="10"/>
        <v/>
      </c>
      <c r="G111" s="39" t="s">
        <v>135</v>
      </c>
      <c r="H111" s="81"/>
      <c r="I111" s="82" t="str">
        <f>IF(A111="","Pending",IF(H111="","⚠️ Enter Agent Code",IF(IFERROR(VLOOKUP(G111,DB_Agents!$B:$I,8,0),"")=H111,IF(AND(A111&lt;&gt;"",E111&lt;&gt;""),"Saved","Pending"),"🔒 BLOCKED — Wrong Code")))</f>
        <v>Pending</v>
      </c>
      <c r="J111" s="83" t="str">
        <f t="shared" ca="1" si="11"/>
        <v>—</v>
      </c>
      <c r="K111" s="84"/>
    </row>
    <row r="112" spans="1:11" ht="15" customHeight="1" x14ac:dyDescent="0.25">
      <c r="A112" s="85"/>
      <c r="B112" s="41" t="str">
        <f>IF(A112="","",IFERROR(VLOOKUP(A112,DB_Customers!$A:$D,4,0),"❌ Account Not Found"))</f>
        <v/>
      </c>
      <c r="C112" s="86" t="str">
        <f>IF(A112="","",IFERROR(IF(SUMIF(DB_Savings!$C:$C,A112,DB_Savings!$F:$F)=0,VLOOKUP(A112,DB_Customers!$A:$I,9,0),VLOOKUP(A112,DB_Customers!$A:$N,14,0)),"❌ Acct Not Found"))</f>
        <v/>
      </c>
      <c r="D112" s="87" t="str">
        <f t="shared" ca="1" si="9"/>
        <v/>
      </c>
      <c r="E112" s="79"/>
      <c r="F112" s="88" t="str">
        <f t="shared" si="10"/>
        <v/>
      </c>
      <c r="G112" s="43" t="s">
        <v>135</v>
      </c>
      <c r="H112" s="81"/>
      <c r="I112" s="89" t="str">
        <f>IF(A112="","Pending",IF(H112="","⚠️ Enter Agent Code",IF(IFERROR(VLOOKUP(G112,DB_Agents!$B:$I,8,0),"")=H112,IF(AND(A112&lt;&gt;"",E112&lt;&gt;""),"Saved","Pending"),"🔒 BLOCKED — Wrong Code")))</f>
        <v>Pending</v>
      </c>
      <c r="J112" s="90" t="str">
        <f t="shared" ca="1" si="11"/>
        <v>—</v>
      </c>
      <c r="K112" s="91"/>
    </row>
    <row r="113" spans="1:11" ht="15" customHeight="1" x14ac:dyDescent="0.25">
      <c r="A113" s="76"/>
      <c r="B113" s="37" t="str">
        <f>IF(A113="","",IFERROR(VLOOKUP(A113,DB_Customers!$A:$D,4,0),"❌ Account Not Found"))</f>
        <v/>
      </c>
      <c r="C113" s="77" t="str">
        <f>IF(A113="","",IFERROR(IF(SUMIF(DB_Savings!$C:$C,A113,DB_Savings!$F:$F)=0,VLOOKUP(A113,DB_Customers!$A:$I,9,0),VLOOKUP(A113,DB_Customers!$A:$N,14,0)),"❌ Acct Not Found"))</f>
        <v/>
      </c>
      <c r="D113" s="78" t="str">
        <f t="shared" ca="1" si="9"/>
        <v/>
      </c>
      <c r="E113" s="79"/>
      <c r="F113" s="80" t="str">
        <f t="shared" si="10"/>
        <v/>
      </c>
      <c r="G113" s="39" t="s">
        <v>135</v>
      </c>
      <c r="H113" s="81"/>
      <c r="I113" s="82" t="str">
        <f>IF(A113="","Pending",IF(H113="","⚠️ Enter Agent Code",IF(IFERROR(VLOOKUP(G113,DB_Agents!$B:$I,8,0),"")=H113,IF(AND(A113&lt;&gt;"",E113&lt;&gt;""),"Saved","Pending"),"🔒 BLOCKED — Wrong Code")))</f>
        <v>Pending</v>
      </c>
      <c r="J113" s="83" t="str">
        <f t="shared" ca="1" si="11"/>
        <v>—</v>
      </c>
      <c r="K113" s="84"/>
    </row>
    <row r="114" spans="1:11" ht="15" customHeight="1" x14ac:dyDescent="0.25">
      <c r="A114" s="85"/>
      <c r="B114" s="41" t="str">
        <f>IF(A114="","",IFERROR(VLOOKUP(A114,DB_Customers!$A:$D,4,0),"❌ Account Not Found"))</f>
        <v/>
      </c>
      <c r="C114" s="86" t="str">
        <f>IF(A114="","",IFERROR(IF(SUMIF(DB_Savings!$C:$C,A114,DB_Savings!$F:$F)=0,VLOOKUP(A114,DB_Customers!$A:$I,9,0),VLOOKUP(A114,DB_Customers!$A:$N,14,0)),"❌ Acct Not Found"))</f>
        <v/>
      </c>
      <c r="D114" s="87" t="str">
        <f t="shared" ca="1" si="9"/>
        <v/>
      </c>
      <c r="E114" s="79"/>
      <c r="F114" s="88" t="str">
        <f t="shared" si="10"/>
        <v/>
      </c>
      <c r="G114" s="43" t="s">
        <v>135</v>
      </c>
      <c r="H114" s="81"/>
      <c r="I114" s="89" t="str">
        <f>IF(A114="","Pending",IF(H114="","⚠️ Enter Agent Code",IF(IFERROR(VLOOKUP(G114,DB_Agents!$B:$I,8,0),"")=H114,IF(AND(A114&lt;&gt;"",E114&lt;&gt;""),"Saved","Pending"),"🔒 BLOCKED — Wrong Code")))</f>
        <v>Pending</v>
      </c>
      <c r="J114" s="90" t="str">
        <f t="shared" ca="1" si="11"/>
        <v>—</v>
      </c>
      <c r="K114" s="91"/>
    </row>
    <row r="115" spans="1:11" ht="15" customHeight="1" x14ac:dyDescent="0.25">
      <c r="A115" s="76"/>
      <c r="B115" s="37" t="str">
        <f>IF(A115="","",IFERROR(VLOOKUP(A115,DB_Customers!$A:$D,4,0),"❌ Account Not Found"))</f>
        <v/>
      </c>
      <c r="C115" s="77" t="str">
        <f>IF(A115="","",IFERROR(IF(SUMIF(DB_Savings!$C:$C,A115,DB_Savings!$F:$F)=0,VLOOKUP(A115,DB_Customers!$A:$I,9,0),VLOOKUP(A115,DB_Customers!$A:$N,14,0)),"❌ Acct Not Found"))</f>
        <v/>
      </c>
      <c r="D115" s="78" t="str">
        <f t="shared" ca="1" si="9"/>
        <v/>
      </c>
      <c r="E115" s="79"/>
      <c r="F115" s="80" t="str">
        <f t="shared" si="10"/>
        <v/>
      </c>
      <c r="G115" s="39" t="s">
        <v>135</v>
      </c>
      <c r="H115" s="81"/>
      <c r="I115" s="82" t="str">
        <f>IF(A115="","Pending",IF(H115="","⚠️ Enter Agent Code",IF(IFERROR(VLOOKUP(G115,DB_Agents!$B:$I,8,0),"")=H115,IF(AND(A115&lt;&gt;"",E115&lt;&gt;""),"Saved","Pending"),"🔒 BLOCKED — Wrong Code")))</f>
        <v>Pending</v>
      </c>
      <c r="J115" s="83" t="str">
        <f t="shared" ca="1" si="11"/>
        <v>—</v>
      </c>
      <c r="K115" s="84"/>
    </row>
    <row r="116" spans="1:11" ht="15" customHeight="1" x14ac:dyDescent="0.25">
      <c r="A116" s="85"/>
      <c r="B116" s="41" t="str">
        <f>IF(A116="","",IFERROR(VLOOKUP(A116,DB_Customers!$A:$D,4,0),"❌ Account Not Found"))</f>
        <v/>
      </c>
      <c r="C116" s="86" t="str">
        <f>IF(A116="","",IFERROR(IF(SUMIF(DB_Savings!$C:$C,A116,DB_Savings!$F:$F)=0,VLOOKUP(A116,DB_Customers!$A:$I,9,0),VLOOKUP(A116,DB_Customers!$A:$N,14,0)),"❌ Acct Not Found"))</f>
        <v/>
      </c>
      <c r="D116" s="87" t="str">
        <f t="shared" ca="1" si="9"/>
        <v/>
      </c>
      <c r="E116" s="79"/>
      <c r="F116" s="88" t="str">
        <f t="shared" si="10"/>
        <v/>
      </c>
      <c r="G116" s="43" t="s">
        <v>135</v>
      </c>
      <c r="H116" s="81"/>
      <c r="I116" s="89" t="str">
        <f>IF(A116="","Pending",IF(H116="","⚠️ Enter Agent Code",IF(IFERROR(VLOOKUP(G116,DB_Agents!$B:$I,8,0),"")=H116,IF(AND(A116&lt;&gt;"",E116&lt;&gt;""),"Saved","Pending"),"🔒 BLOCKED — Wrong Code")))</f>
        <v>Pending</v>
      </c>
      <c r="J116" s="90" t="str">
        <f t="shared" ca="1" si="11"/>
        <v>—</v>
      </c>
      <c r="K116" s="91"/>
    </row>
    <row r="117" spans="1:11" ht="15" customHeight="1" x14ac:dyDescent="0.25">
      <c r="A117" s="76"/>
      <c r="B117" s="37" t="str">
        <f>IF(A117="","",IFERROR(VLOOKUP(A117,DB_Customers!$A:$D,4,0),"❌ Account Not Found"))</f>
        <v/>
      </c>
      <c r="C117" s="77" t="str">
        <f>IF(A117="","",IFERROR(IF(SUMIF(DB_Savings!$C:$C,A117,DB_Savings!$F:$F)=0,VLOOKUP(A117,DB_Customers!$A:$I,9,0),VLOOKUP(A117,DB_Customers!$A:$N,14,0)),"❌ Acct Not Found"))</f>
        <v/>
      </c>
      <c r="D117" s="78" t="str">
        <f t="shared" ca="1" si="9"/>
        <v/>
      </c>
      <c r="E117" s="79"/>
      <c r="F117" s="80" t="str">
        <f t="shared" si="10"/>
        <v/>
      </c>
      <c r="G117" s="39" t="s">
        <v>135</v>
      </c>
      <c r="H117" s="81"/>
      <c r="I117" s="82" t="str">
        <f>IF(A117="","Pending",IF(H117="","⚠️ Enter Agent Code",IF(IFERROR(VLOOKUP(G117,DB_Agents!$B:$I,8,0),"")=H117,IF(AND(A117&lt;&gt;"",E117&lt;&gt;""),"Saved","Pending"),"🔒 BLOCKED — Wrong Code")))</f>
        <v>Pending</v>
      </c>
      <c r="J117" s="83" t="str">
        <f t="shared" ca="1" si="11"/>
        <v>—</v>
      </c>
      <c r="K117" s="84"/>
    </row>
    <row r="118" spans="1:11" ht="15" customHeight="1" x14ac:dyDescent="0.25">
      <c r="A118" s="85"/>
      <c r="B118" s="41" t="str">
        <f>IF(A118="","",IFERROR(VLOOKUP(A118,DB_Customers!$A:$D,4,0),"❌ Account Not Found"))</f>
        <v/>
      </c>
      <c r="C118" s="86" t="str">
        <f>IF(A118="","",IFERROR(IF(SUMIF(DB_Savings!$C:$C,A118,DB_Savings!$F:$F)=0,VLOOKUP(A118,DB_Customers!$A:$I,9,0),VLOOKUP(A118,DB_Customers!$A:$N,14,0)),"❌ Acct Not Found"))</f>
        <v/>
      </c>
      <c r="D118" s="87" t="str">
        <f t="shared" ca="1" si="9"/>
        <v/>
      </c>
      <c r="E118" s="79"/>
      <c r="F118" s="88" t="str">
        <f t="shared" si="10"/>
        <v/>
      </c>
      <c r="G118" s="43" t="s">
        <v>135</v>
      </c>
      <c r="H118" s="81"/>
      <c r="I118" s="89" t="str">
        <f>IF(A118="","Pending",IF(H118="","⚠️ Enter Agent Code",IF(IFERROR(VLOOKUP(G118,DB_Agents!$B:$I,8,0),"")=H118,IF(AND(A118&lt;&gt;"",E118&lt;&gt;""),"Saved","Pending"),"🔒 BLOCKED — Wrong Code")))</f>
        <v>Pending</v>
      </c>
      <c r="J118" s="90" t="str">
        <f t="shared" ca="1" si="11"/>
        <v>—</v>
      </c>
      <c r="K118" s="91"/>
    </row>
    <row r="119" spans="1:11" ht="15" customHeight="1" x14ac:dyDescent="0.25">
      <c r="A119" s="76"/>
      <c r="B119" s="37" t="str">
        <f>IF(A119="","",IFERROR(VLOOKUP(A119,DB_Customers!$A:$D,4,0),"❌ Account Not Found"))</f>
        <v/>
      </c>
      <c r="C119" s="77" t="str">
        <f>IF(A119="","",IFERROR(IF(SUMIF(DB_Savings!$C:$C,A119,DB_Savings!$F:$F)=0,VLOOKUP(A119,DB_Customers!$A:$I,9,0),VLOOKUP(A119,DB_Customers!$A:$N,14,0)),"❌ Acct Not Found"))</f>
        <v/>
      </c>
      <c r="D119" s="78" t="str">
        <f t="shared" ca="1" si="9"/>
        <v/>
      </c>
      <c r="E119" s="79"/>
      <c r="F119" s="80" t="str">
        <f t="shared" si="10"/>
        <v/>
      </c>
      <c r="G119" s="39" t="s">
        <v>135</v>
      </c>
      <c r="H119" s="81"/>
      <c r="I119" s="82" t="str">
        <f>IF(A119="","Pending",IF(H119="","⚠️ Enter Agent Code",IF(IFERROR(VLOOKUP(G119,DB_Agents!$B:$I,8,0),"")=H119,IF(AND(A119&lt;&gt;"",E119&lt;&gt;""),"Saved","Pending"),"🔒 BLOCKED — Wrong Code")))</f>
        <v>Pending</v>
      </c>
      <c r="J119" s="83" t="str">
        <f t="shared" ca="1" si="11"/>
        <v>—</v>
      </c>
      <c r="K119" s="84"/>
    </row>
    <row r="120" spans="1:11" ht="15" customHeight="1" x14ac:dyDescent="0.25">
      <c r="A120" s="85"/>
      <c r="B120" s="41" t="str">
        <f>IF(A120="","",IFERROR(VLOOKUP(A120,DB_Customers!$A:$D,4,0),"❌ Account Not Found"))</f>
        <v/>
      </c>
      <c r="C120" s="86" t="str">
        <f>IF(A120="","",IFERROR(IF(SUMIF(DB_Savings!$C:$C,A120,DB_Savings!$F:$F)=0,VLOOKUP(A120,DB_Customers!$A:$I,9,0),VLOOKUP(A120,DB_Customers!$A:$N,14,0)),"❌ Acct Not Found"))</f>
        <v/>
      </c>
      <c r="D120" s="87" t="str">
        <f t="shared" ca="1" si="9"/>
        <v/>
      </c>
      <c r="E120" s="79"/>
      <c r="F120" s="88" t="str">
        <f t="shared" si="10"/>
        <v/>
      </c>
      <c r="G120" s="43" t="s">
        <v>135</v>
      </c>
      <c r="H120" s="81"/>
      <c r="I120" s="89" t="str">
        <f>IF(A120="","Pending",IF(H120="","⚠️ Enter Agent Code",IF(IFERROR(VLOOKUP(G120,DB_Agents!$B:$I,8,0),"")=H120,IF(AND(A120&lt;&gt;"",E120&lt;&gt;""),"Saved","Pending"),"🔒 BLOCKED — Wrong Code")))</f>
        <v>Pending</v>
      </c>
      <c r="J120" s="90" t="str">
        <f t="shared" ca="1" si="11"/>
        <v>—</v>
      </c>
      <c r="K120" s="91"/>
    </row>
    <row r="121" spans="1:11" ht="15" customHeight="1" x14ac:dyDescent="0.25">
      <c r="A121" s="76"/>
      <c r="B121" s="37" t="str">
        <f>IF(A121="","",IFERROR(VLOOKUP(A121,DB_Customers!$A:$D,4,0),"❌ Account Not Found"))</f>
        <v/>
      </c>
      <c r="C121" s="77" t="str">
        <f>IF(A121="","",IFERROR(IF(SUMIF(DB_Savings!$C:$C,A121,DB_Savings!$F:$F)=0,VLOOKUP(A121,DB_Customers!$A:$I,9,0),VLOOKUP(A121,DB_Customers!$A:$N,14,0)),"❌ Acct Not Found"))</f>
        <v/>
      </c>
      <c r="D121" s="78" t="str">
        <f t="shared" ca="1" si="9"/>
        <v/>
      </c>
      <c r="E121" s="79"/>
      <c r="F121" s="80" t="str">
        <f t="shared" si="10"/>
        <v/>
      </c>
      <c r="G121" s="39" t="s">
        <v>135</v>
      </c>
      <c r="H121" s="81"/>
      <c r="I121" s="82" t="str">
        <f>IF(A121="","Pending",IF(H121="","⚠️ Enter Agent Code",IF(IFERROR(VLOOKUP(G121,DB_Agents!$B:$I,8,0),"")=H121,IF(AND(A121&lt;&gt;"",E121&lt;&gt;""),"Saved","Pending"),"🔒 BLOCKED — Wrong Code")))</f>
        <v>Pending</v>
      </c>
      <c r="J121" s="83" t="str">
        <f t="shared" ca="1" si="11"/>
        <v>—</v>
      </c>
      <c r="K121" s="84"/>
    </row>
    <row r="122" spans="1:11" ht="15" customHeight="1" x14ac:dyDescent="0.25">
      <c r="A122" s="85"/>
      <c r="B122" s="41" t="str">
        <f>IF(A122="","",IFERROR(VLOOKUP(A122,DB_Customers!$A:$D,4,0),"❌ Account Not Found"))</f>
        <v/>
      </c>
      <c r="C122" s="86" t="str">
        <f>IF(A122="","",IFERROR(IF(SUMIF(DB_Savings!$C:$C,A122,DB_Savings!$F:$F)=0,VLOOKUP(A122,DB_Customers!$A:$I,9,0),VLOOKUP(A122,DB_Customers!$A:$N,14,0)),"❌ Acct Not Found"))</f>
        <v/>
      </c>
      <c r="D122" s="87" t="str">
        <f t="shared" ca="1" si="9"/>
        <v/>
      </c>
      <c r="E122" s="79"/>
      <c r="F122" s="88" t="str">
        <f t="shared" si="10"/>
        <v/>
      </c>
      <c r="G122" s="43" t="s">
        <v>135</v>
      </c>
      <c r="H122" s="81"/>
      <c r="I122" s="89" t="str">
        <f>IF(A122="","Pending",IF(H122="","⚠️ Enter Agent Code",IF(IFERROR(VLOOKUP(G122,DB_Agents!$B:$I,8,0),"")=H122,IF(AND(A122&lt;&gt;"",E122&lt;&gt;""),"Saved","Pending"),"🔒 BLOCKED — Wrong Code")))</f>
        <v>Pending</v>
      </c>
      <c r="J122" s="90" t="str">
        <f t="shared" ca="1" si="11"/>
        <v>—</v>
      </c>
      <c r="K122" s="91"/>
    </row>
    <row r="123" spans="1:11" ht="15" customHeight="1" x14ac:dyDescent="0.25">
      <c r="A123" s="76"/>
      <c r="B123" s="37" t="str">
        <f>IF(A123="","",IFERROR(VLOOKUP(A123,DB_Customers!$A:$D,4,0),"❌ Account Not Found"))</f>
        <v/>
      </c>
      <c r="C123" s="77" t="str">
        <f>IF(A123="","",IFERROR(IF(SUMIF(DB_Savings!$C:$C,A123,DB_Savings!$F:$F)=0,VLOOKUP(A123,DB_Customers!$A:$I,9,0),VLOOKUP(A123,DB_Customers!$A:$N,14,0)),"❌ Acct Not Found"))</f>
        <v/>
      </c>
      <c r="D123" s="78" t="str">
        <f t="shared" ca="1" si="9"/>
        <v/>
      </c>
      <c r="E123" s="79"/>
      <c r="F123" s="80" t="str">
        <f t="shared" si="10"/>
        <v/>
      </c>
      <c r="G123" s="39" t="s">
        <v>135</v>
      </c>
      <c r="H123" s="81"/>
      <c r="I123" s="82" t="str">
        <f>IF(A123="","Pending",IF(H123="","⚠️ Enter Agent Code",IF(IFERROR(VLOOKUP(G123,DB_Agents!$B:$I,8,0),"")=H123,IF(AND(A123&lt;&gt;"",E123&lt;&gt;""),"Saved","Pending"),"🔒 BLOCKED — Wrong Code")))</f>
        <v>Pending</v>
      </c>
      <c r="J123" s="83" t="str">
        <f t="shared" ca="1" si="11"/>
        <v>—</v>
      </c>
      <c r="K123" s="84"/>
    </row>
    <row r="124" spans="1:11" ht="15" customHeight="1" x14ac:dyDescent="0.25">
      <c r="A124" s="85"/>
      <c r="B124" s="41" t="str">
        <f>IF(A124="","",IFERROR(VLOOKUP(A124,DB_Customers!$A:$D,4,0),"❌ Account Not Found"))</f>
        <v/>
      </c>
      <c r="C124" s="86" t="str">
        <f>IF(A124="","",IFERROR(IF(SUMIF(DB_Savings!$C:$C,A124,DB_Savings!$F:$F)=0,VLOOKUP(A124,DB_Customers!$A:$I,9,0),VLOOKUP(A124,DB_Customers!$A:$N,14,0)),"❌ Acct Not Found"))</f>
        <v/>
      </c>
      <c r="D124" s="87" t="str">
        <f t="shared" ca="1" si="9"/>
        <v/>
      </c>
      <c r="E124" s="79"/>
      <c r="F124" s="88" t="str">
        <f t="shared" si="10"/>
        <v/>
      </c>
      <c r="G124" s="43" t="s">
        <v>135</v>
      </c>
      <c r="H124" s="81"/>
      <c r="I124" s="89" t="str">
        <f>IF(A124="","Pending",IF(H124="","⚠️ Enter Agent Code",IF(IFERROR(VLOOKUP(G124,DB_Agents!$B:$I,8,0),"")=H124,IF(AND(A124&lt;&gt;"",E124&lt;&gt;""),"Saved","Pending"),"🔒 BLOCKED — Wrong Code")))</f>
        <v>Pending</v>
      </c>
      <c r="J124" s="90" t="str">
        <f t="shared" ca="1" si="11"/>
        <v>—</v>
      </c>
      <c r="K124" s="91"/>
    </row>
    <row r="125" spans="1:11" ht="15" customHeight="1" x14ac:dyDescent="0.25">
      <c r="A125" s="76"/>
      <c r="B125" s="37" t="str">
        <f>IF(A125="","",IFERROR(VLOOKUP(A125,DB_Customers!$A:$D,4,0),"❌ Account Not Found"))</f>
        <v/>
      </c>
      <c r="C125" s="77" t="str">
        <f>IF(A125="","",IFERROR(IF(SUMIF(DB_Savings!$C:$C,A125,DB_Savings!$F:$F)=0,VLOOKUP(A125,DB_Customers!$A:$I,9,0),VLOOKUP(A125,DB_Customers!$A:$N,14,0)),"❌ Acct Not Found"))</f>
        <v/>
      </c>
      <c r="D125" s="78" t="str">
        <f t="shared" ca="1" si="9"/>
        <v/>
      </c>
      <c r="E125" s="79"/>
      <c r="F125" s="80" t="str">
        <f t="shared" si="10"/>
        <v/>
      </c>
      <c r="G125" s="39" t="s">
        <v>135</v>
      </c>
      <c r="H125" s="81"/>
      <c r="I125" s="82" t="str">
        <f>IF(A125="","Pending",IF(H125="","⚠️ Enter Agent Code",IF(IFERROR(VLOOKUP(G125,DB_Agents!$B:$I,8,0),"")=H125,IF(AND(A125&lt;&gt;"",E125&lt;&gt;""),"Saved","Pending"),"🔒 BLOCKED — Wrong Code")))</f>
        <v>Pending</v>
      </c>
      <c r="J125" s="83" t="str">
        <f t="shared" ca="1" si="11"/>
        <v>—</v>
      </c>
      <c r="K125" s="84"/>
    </row>
    <row r="126" spans="1:11" ht="15" customHeight="1" x14ac:dyDescent="0.25">
      <c r="A126" s="85"/>
      <c r="B126" s="41" t="str">
        <f>IF(A126="","",IFERROR(VLOOKUP(A126,DB_Customers!$A:$D,4,0),"❌ Account Not Found"))</f>
        <v/>
      </c>
      <c r="C126" s="86" t="str">
        <f>IF(A126="","",IFERROR(IF(SUMIF(DB_Savings!$C:$C,A126,DB_Savings!$F:$F)=0,VLOOKUP(A126,DB_Customers!$A:$I,9,0),VLOOKUP(A126,DB_Customers!$A:$N,14,0)),"❌ Acct Not Found"))</f>
        <v/>
      </c>
      <c r="D126" s="87" t="str">
        <f t="shared" ca="1" si="9"/>
        <v/>
      </c>
      <c r="E126" s="79"/>
      <c r="F126" s="88" t="str">
        <f t="shared" si="10"/>
        <v/>
      </c>
      <c r="G126" s="43" t="s">
        <v>135</v>
      </c>
      <c r="H126" s="81"/>
      <c r="I126" s="89" t="str">
        <f>IF(A126="","Pending",IF(H126="","⚠️ Enter Agent Code",IF(IFERROR(VLOOKUP(G126,DB_Agents!$B:$I,8,0),"")=H126,IF(AND(A126&lt;&gt;"",E126&lt;&gt;""),"Saved","Pending"),"🔒 BLOCKED — Wrong Code")))</f>
        <v>Pending</v>
      </c>
      <c r="J126" s="90" t="str">
        <f t="shared" ca="1" si="11"/>
        <v>—</v>
      </c>
      <c r="K126" s="91"/>
    </row>
    <row r="127" spans="1:11" ht="15" customHeight="1" x14ac:dyDescent="0.25">
      <c r="A127" s="76"/>
      <c r="B127" s="37" t="str">
        <f>IF(A127="","",IFERROR(VLOOKUP(A127,DB_Customers!$A:$D,4,0),"❌ Account Not Found"))</f>
        <v/>
      </c>
      <c r="C127" s="77" t="str">
        <f>IF(A127="","",IFERROR(IF(SUMIF(DB_Savings!$C:$C,A127,DB_Savings!$F:$F)=0,VLOOKUP(A127,DB_Customers!$A:$I,9,0),VLOOKUP(A127,DB_Customers!$A:$N,14,0)),"❌ Acct Not Found"))</f>
        <v/>
      </c>
      <c r="D127" s="78" t="str">
        <f t="shared" ca="1" si="9"/>
        <v/>
      </c>
      <c r="E127" s="79"/>
      <c r="F127" s="80" t="str">
        <f t="shared" si="10"/>
        <v/>
      </c>
      <c r="G127" s="39" t="s">
        <v>135</v>
      </c>
      <c r="H127" s="81"/>
      <c r="I127" s="82" t="str">
        <f>IF(A127="","Pending",IF(H127="","⚠️ Enter Agent Code",IF(IFERROR(VLOOKUP(G127,DB_Agents!$B:$I,8,0),"")=H127,IF(AND(A127&lt;&gt;"",E127&lt;&gt;""),"Saved","Pending"),"🔒 BLOCKED — Wrong Code")))</f>
        <v>Pending</v>
      </c>
      <c r="J127" s="83" t="str">
        <f t="shared" ca="1" si="11"/>
        <v>—</v>
      </c>
      <c r="K127" s="84"/>
    </row>
    <row r="128" spans="1:11" ht="15" customHeight="1" x14ac:dyDescent="0.25">
      <c r="A128" s="85"/>
      <c r="B128" s="41" t="str">
        <f>IF(A128="","",IFERROR(VLOOKUP(A128,DB_Customers!$A:$D,4,0),"❌ Account Not Found"))</f>
        <v/>
      </c>
      <c r="C128" s="86" t="str">
        <f>IF(A128="","",IFERROR(IF(SUMIF(DB_Savings!$C:$C,A128,DB_Savings!$F:$F)=0,VLOOKUP(A128,DB_Customers!$A:$I,9,0),VLOOKUP(A128,DB_Customers!$A:$N,14,0)),"❌ Acct Not Found"))</f>
        <v/>
      </c>
      <c r="D128" s="87" t="str">
        <f t="shared" ca="1" si="9"/>
        <v/>
      </c>
      <c r="E128" s="79"/>
      <c r="F128" s="88" t="str">
        <f t="shared" si="10"/>
        <v/>
      </c>
      <c r="G128" s="43" t="s">
        <v>135</v>
      </c>
      <c r="H128" s="81"/>
      <c r="I128" s="89" t="str">
        <f>IF(A128="","Pending",IF(H128="","⚠️ Enter Agent Code",IF(IFERROR(VLOOKUP(G128,DB_Agents!$B:$I,8,0),"")=H128,IF(AND(A128&lt;&gt;"",E128&lt;&gt;""),"Saved","Pending"),"🔒 BLOCKED — Wrong Code")))</f>
        <v>Pending</v>
      </c>
      <c r="J128" s="90" t="str">
        <f t="shared" ca="1" si="11"/>
        <v>—</v>
      </c>
      <c r="K128" s="91"/>
    </row>
    <row r="129" spans="1:11" ht="15" customHeight="1" x14ac:dyDescent="0.25">
      <c r="A129" s="76"/>
      <c r="B129" s="37" t="str">
        <f>IF(A129="","",IFERROR(VLOOKUP(A129,DB_Customers!$A:$D,4,0),"❌ Account Not Found"))</f>
        <v/>
      </c>
      <c r="C129" s="77" t="str">
        <f>IF(A129="","",IFERROR(IF(SUMIF(DB_Savings!$C:$C,A129,DB_Savings!$F:$F)=0,VLOOKUP(A129,DB_Customers!$A:$I,9,0),VLOOKUP(A129,DB_Customers!$A:$N,14,0)),"❌ Acct Not Found"))</f>
        <v/>
      </c>
      <c r="D129" s="78" t="str">
        <f t="shared" ca="1" si="9"/>
        <v/>
      </c>
      <c r="E129" s="79"/>
      <c r="F129" s="80" t="str">
        <f t="shared" si="10"/>
        <v/>
      </c>
      <c r="G129" s="39" t="s">
        <v>135</v>
      </c>
      <c r="H129" s="81"/>
      <c r="I129" s="82" t="str">
        <f>IF(A129="","Pending",IF(H129="","⚠️ Enter Agent Code",IF(IFERROR(VLOOKUP(G129,DB_Agents!$B:$I,8,0),"")=H129,IF(AND(A129&lt;&gt;"",E129&lt;&gt;""),"Saved","Pending"),"🔒 BLOCKED — Wrong Code")))</f>
        <v>Pending</v>
      </c>
      <c r="J129" s="83" t="str">
        <f t="shared" ca="1" si="11"/>
        <v>—</v>
      </c>
      <c r="K129" s="84"/>
    </row>
    <row r="130" spans="1:11" ht="15" customHeight="1" x14ac:dyDescent="0.25">
      <c r="A130" s="85"/>
      <c r="B130" s="41" t="str">
        <f>IF(A130="","",IFERROR(VLOOKUP(A130,DB_Customers!$A:$D,4,0),"❌ Account Not Found"))</f>
        <v/>
      </c>
      <c r="C130" s="86" t="str">
        <f>IF(A130="","",IFERROR(IF(SUMIF(DB_Savings!$C:$C,A130,DB_Savings!$F:$F)=0,VLOOKUP(A130,DB_Customers!$A:$I,9,0),VLOOKUP(A130,DB_Customers!$A:$N,14,0)),"❌ Acct Not Found"))</f>
        <v/>
      </c>
      <c r="D130" s="87" t="str">
        <f t="shared" ca="1" si="9"/>
        <v/>
      </c>
      <c r="E130" s="79"/>
      <c r="F130" s="88" t="str">
        <f t="shared" si="10"/>
        <v/>
      </c>
      <c r="G130" s="43" t="s">
        <v>135</v>
      </c>
      <c r="H130" s="81"/>
      <c r="I130" s="89" t="str">
        <f>IF(A130="","Pending",IF(H130="","⚠️ Enter Agent Code",IF(IFERROR(VLOOKUP(G130,DB_Agents!$B:$I,8,0),"")=H130,IF(AND(A130&lt;&gt;"",E130&lt;&gt;""),"Saved","Pending"),"🔒 BLOCKED — Wrong Code")))</f>
        <v>Pending</v>
      </c>
      <c r="J130" s="90" t="str">
        <f t="shared" ca="1" si="11"/>
        <v>—</v>
      </c>
      <c r="K130" s="91"/>
    </row>
    <row r="131" spans="1:11" ht="15" customHeight="1" x14ac:dyDescent="0.25">
      <c r="A131" s="76"/>
      <c r="B131" s="37" t="str">
        <f>IF(A131="","",IFERROR(VLOOKUP(A131,DB_Customers!$A:$D,4,0),"❌ Account Not Found"))</f>
        <v/>
      </c>
      <c r="C131" s="77" t="str">
        <f>IF(A131="","",IFERROR(IF(SUMIF(DB_Savings!$C:$C,A131,DB_Savings!$F:$F)=0,VLOOKUP(A131,DB_Customers!$A:$I,9,0),VLOOKUP(A131,DB_Customers!$A:$N,14,0)),"❌ Acct Not Found"))</f>
        <v/>
      </c>
      <c r="D131" s="78" t="str">
        <f t="shared" ca="1" si="9"/>
        <v/>
      </c>
      <c r="E131" s="79"/>
      <c r="F131" s="80" t="str">
        <f t="shared" si="10"/>
        <v/>
      </c>
      <c r="G131" s="39" t="s">
        <v>135</v>
      </c>
      <c r="H131" s="81"/>
      <c r="I131" s="82" t="str">
        <f>IF(A131="","Pending",IF(H131="","⚠️ Enter Agent Code",IF(IFERROR(VLOOKUP(G131,DB_Agents!$B:$I,8,0),"")=H131,IF(AND(A131&lt;&gt;"",E131&lt;&gt;""),"Saved","Pending"),"🔒 BLOCKED — Wrong Code")))</f>
        <v>Pending</v>
      </c>
      <c r="J131" s="83" t="str">
        <f t="shared" ca="1" si="11"/>
        <v>—</v>
      </c>
      <c r="K131" s="84"/>
    </row>
    <row r="132" spans="1:11" ht="15" customHeight="1" x14ac:dyDescent="0.25">
      <c r="A132" s="85"/>
      <c r="B132" s="41" t="str">
        <f>IF(A132="","",IFERROR(VLOOKUP(A132,DB_Customers!$A:$D,4,0),"❌ Account Not Found"))</f>
        <v/>
      </c>
      <c r="C132" s="86" t="str">
        <f>IF(A132="","",IFERROR(IF(SUMIF(DB_Savings!$C:$C,A132,DB_Savings!$F:$F)=0,VLOOKUP(A132,DB_Customers!$A:$I,9,0),VLOOKUP(A132,DB_Customers!$A:$N,14,0)),"❌ Acct Not Found"))</f>
        <v/>
      </c>
      <c r="D132" s="87" t="str">
        <f t="shared" ca="1" si="9"/>
        <v/>
      </c>
      <c r="E132" s="79"/>
      <c r="F132" s="88" t="str">
        <f t="shared" si="10"/>
        <v/>
      </c>
      <c r="G132" s="43" t="s">
        <v>135</v>
      </c>
      <c r="H132" s="81"/>
      <c r="I132" s="89" t="str">
        <f>IF(A132="","Pending",IF(H132="","⚠️ Enter Agent Code",IF(IFERROR(VLOOKUP(G132,DB_Agents!$B:$I,8,0),"")=H132,IF(AND(A132&lt;&gt;"",E132&lt;&gt;""),"Saved","Pending"),"🔒 BLOCKED — Wrong Code")))</f>
        <v>Pending</v>
      </c>
      <c r="J132" s="90" t="str">
        <f t="shared" ca="1" si="11"/>
        <v>—</v>
      </c>
      <c r="K132" s="91"/>
    </row>
    <row r="133" spans="1:11" ht="15" customHeight="1" x14ac:dyDescent="0.25">
      <c r="A133" s="76"/>
      <c r="B133" s="37" t="str">
        <f>IF(A133="","",IFERROR(VLOOKUP(A133,DB_Customers!$A:$D,4,0),"❌ Account Not Found"))</f>
        <v/>
      </c>
      <c r="C133" s="77" t="str">
        <f>IF(A133="","",IFERROR(IF(SUMIF(DB_Savings!$C:$C,A133,DB_Savings!$F:$F)=0,VLOOKUP(A133,DB_Customers!$A:$I,9,0),VLOOKUP(A133,DB_Customers!$A:$N,14,0)),"❌ Acct Not Found"))</f>
        <v/>
      </c>
      <c r="D133" s="78" t="str">
        <f t="shared" ca="1" si="9"/>
        <v/>
      </c>
      <c r="E133" s="79"/>
      <c r="F133" s="80" t="str">
        <f t="shared" si="10"/>
        <v/>
      </c>
      <c r="G133" s="39" t="s">
        <v>135</v>
      </c>
      <c r="H133" s="81"/>
      <c r="I133" s="82" t="str">
        <f>IF(A133="","Pending",IF(H133="","⚠️ Enter Agent Code",IF(IFERROR(VLOOKUP(G133,DB_Agents!$B:$I,8,0),"")=H133,IF(AND(A133&lt;&gt;"",E133&lt;&gt;""),"Saved","Pending"),"🔒 BLOCKED — Wrong Code")))</f>
        <v>Pending</v>
      </c>
      <c r="J133" s="83" t="str">
        <f t="shared" ca="1" si="11"/>
        <v>—</v>
      </c>
      <c r="K133" s="84"/>
    </row>
    <row r="134" spans="1:11" ht="15" customHeight="1" x14ac:dyDescent="0.25">
      <c r="A134" s="85"/>
      <c r="B134" s="41" t="str">
        <f>IF(A134="","",IFERROR(VLOOKUP(A134,DB_Customers!$A:$D,4,0),"❌ Account Not Found"))</f>
        <v/>
      </c>
      <c r="C134" s="86" t="str">
        <f>IF(A134="","",IFERROR(IF(SUMIF(DB_Savings!$C:$C,A134,DB_Savings!$F:$F)=0,VLOOKUP(A134,DB_Customers!$A:$I,9,0),VLOOKUP(A134,DB_Customers!$A:$N,14,0)),"❌ Acct Not Found"))</f>
        <v/>
      </c>
      <c r="D134" s="87" t="str">
        <f t="shared" ca="1" si="9"/>
        <v/>
      </c>
      <c r="E134" s="79"/>
      <c r="F134" s="88" t="str">
        <f t="shared" si="10"/>
        <v/>
      </c>
      <c r="G134" s="43" t="s">
        <v>135</v>
      </c>
      <c r="H134" s="81"/>
      <c r="I134" s="89" t="str">
        <f>IF(A134="","Pending",IF(H134="","⚠️ Enter Agent Code",IF(IFERROR(VLOOKUP(G134,DB_Agents!$B:$I,8,0),"")=H134,IF(AND(A134&lt;&gt;"",E134&lt;&gt;""),"Saved","Pending"),"🔒 BLOCKED — Wrong Code")))</f>
        <v>Pending</v>
      </c>
      <c r="J134" s="90" t="str">
        <f t="shared" ca="1" si="11"/>
        <v>—</v>
      </c>
      <c r="K134" s="91"/>
    </row>
    <row r="135" spans="1:11" ht="15" customHeight="1" x14ac:dyDescent="0.25">
      <c r="A135" s="76"/>
      <c r="B135" s="37" t="str">
        <f>IF(A135="","",IFERROR(VLOOKUP(A135,DB_Customers!$A:$D,4,0),"❌ Account Not Found"))</f>
        <v/>
      </c>
      <c r="C135" s="77" t="str">
        <f>IF(A135="","",IFERROR(IF(SUMIF(DB_Savings!$C:$C,A135,DB_Savings!$F:$F)=0,VLOOKUP(A135,DB_Customers!$A:$I,9,0),VLOOKUP(A135,DB_Customers!$A:$N,14,0)),"❌ Acct Not Found"))</f>
        <v/>
      </c>
      <c r="D135" s="78" t="str">
        <f t="shared" ca="1" si="9"/>
        <v/>
      </c>
      <c r="E135" s="79"/>
      <c r="F135" s="80" t="str">
        <f t="shared" si="10"/>
        <v/>
      </c>
      <c r="G135" s="39" t="s">
        <v>135</v>
      </c>
      <c r="H135" s="81"/>
      <c r="I135" s="82" t="str">
        <f>IF(A135="","Pending",IF(H135="","⚠️ Enter Agent Code",IF(IFERROR(VLOOKUP(G135,DB_Agents!$B:$I,8,0),"")=H135,IF(AND(A135&lt;&gt;"",E135&lt;&gt;""),"Saved","Pending"),"🔒 BLOCKED — Wrong Code")))</f>
        <v>Pending</v>
      </c>
      <c r="J135" s="83" t="str">
        <f t="shared" ca="1" si="11"/>
        <v>—</v>
      </c>
      <c r="K135" s="84"/>
    </row>
    <row r="136" spans="1:11" ht="15" customHeight="1" x14ac:dyDescent="0.25">
      <c r="A136" s="85"/>
      <c r="B136" s="41" t="str">
        <f>IF(A136="","",IFERROR(VLOOKUP(A136,DB_Customers!$A:$D,4,0),"❌ Account Not Found"))</f>
        <v/>
      </c>
      <c r="C136" s="86" t="str">
        <f>IF(A136="","",IFERROR(IF(SUMIF(DB_Savings!$C:$C,A136,DB_Savings!$F:$F)=0,VLOOKUP(A136,DB_Customers!$A:$I,9,0),VLOOKUP(A136,DB_Customers!$A:$N,14,0)),"❌ Acct Not Found"))</f>
        <v/>
      </c>
      <c r="D136" s="87" t="str">
        <f t="shared" ca="1" si="9"/>
        <v/>
      </c>
      <c r="E136" s="79"/>
      <c r="F136" s="88" t="str">
        <f t="shared" si="10"/>
        <v/>
      </c>
      <c r="G136" s="43" t="s">
        <v>135</v>
      </c>
      <c r="H136" s="81"/>
      <c r="I136" s="89" t="str">
        <f>IF(A136="","Pending",IF(H136="","⚠️ Enter Agent Code",IF(IFERROR(VLOOKUP(G136,DB_Agents!$B:$I,8,0),"")=H136,IF(AND(A136&lt;&gt;"",E136&lt;&gt;""),"Saved","Pending"),"🔒 BLOCKED — Wrong Code")))</f>
        <v>Pending</v>
      </c>
      <c r="J136" s="90" t="str">
        <f t="shared" ca="1" si="11"/>
        <v>—</v>
      </c>
      <c r="K136" s="91"/>
    </row>
    <row r="137" spans="1:11" ht="15" customHeight="1" x14ac:dyDescent="0.25">
      <c r="A137" s="76"/>
      <c r="B137" s="37" t="str">
        <f>IF(A137="","",IFERROR(VLOOKUP(A137,DB_Customers!$A:$D,4,0),"❌ Account Not Found"))</f>
        <v/>
      </c>
      <c r="C137" s="77" t="str">
        <f>IF(A137="","",IFERROR(IF(SUMIF(DB_Savings!$C:$C,A137,DB_Savings!$F:$F)=0,VLOOKUP(A137,DB_Customers!$A:$I,9,0),VLOOKUP(A137,DB_Customers!$A:$N,14,0)),"❌ Acct Not Found"))</f>
        <v/>
      </c>
      <c r="D137" s="78" t="str">
        <f t="shared" ref="D137:D168" ca="1" si="12">IF(A137="","",TODAY())</f>
        <v/>
      </c>
      <c r="E137" s="79"/>
      <c r="F137" s="80" t="str">
        <f t="shared" ref="F137:F168" si="13">IF(OR(A137="",E137=""),"",IF(C137="","",C137+E137))</f>
        <v/>
      </c>
      <c r="G137" s="39" t="s">
        <v>135</v>
      </c>
      <c r="H137" s="81"/>
      <c r="I137" s="82" t="str">
        <f>IF(A137="","Pending",IF(H137="","⚠️ Enter Agent Code",IF(IFERROR(VLOOKUP(G137,DB_Agents!$B:$I,8,0),"")=H137,IF(AND(A137&lt;&gt;"",E137&lt;&gt;""),"Saved","Pending"),"🔒 BLOCKED — Wrong Code")))</f>
        <v>Pending</v>
      </c>
      <c r="J137" s="83" t="str">
        <f t="shared" ref="J137:J168" ca="1" si="14">IF(I137="Saved",TEXT(TODAY(),"YYYY-MM-DD")&amp;" Auto","—")</f>
        <v>—</v>
      </c>
      <c r="K137" s="84"/>
    </row>
    <row r="138" spans="1:11" ht="15" customHeight="1" x14ac:dyDescent="0.25">
      <c r="A138" s="85"/>
      <c r="B138" s="41" t="str">
        <f>IF(A138="","",IFERROR(VLOOKUP(A138,DB_Customers!$A:$D,4,0),"❌ Account Not Found"))</f>
        <v/>
      </c>
      <c r="C138" s="86" t="str">
        <f>IF(A138="","",IFERROR(IF(SUMIF(DB_Savings!$C:$C,A138,DB_Savings!$F:$F)=0,VLOOKUP(A138,DB_Customers!$A:$I,9,0),VLOOKUP(A138,DB_Customers!$A:$N,14,0)),"❌ Acct Not Found"))</f>
        <v/>
      </c>
      <c r="D138" s="87" t="str">
        <f t="shared" ca="1" si="12"/>
        <v/>
      </c>
      <c r="E138" s="79"/>
      <c r="F138" s="88" t="str">
        <f t="shared" si="13"/>
        <v/>
      </c>
      <c r="G138" s="43" t="s">
        <v>135</v>
      </c>
      <c r="H138" s="81"/>
      <c r="I138" s="89" t="str">
        <f>IF(A138="","Pending",IF(H138="","⚠️ Enter Agent Code",IF(IFERROR(VLOOKUP(G138,DB_Agents!$B:$I,8,0),"")=H138,IF(AND(A138&lt;&gt;"",E138&lt;&gt;""),"Saved","Pending"),"🔒 BLOCKED — Wrong Code")))</f>
        <v>Pending</v>
      </c>
      <c r="J138" s="90" t="str">
        <f t="shared" ca="1" si="14"/>
        <v>—</v>
      </c>
      <c r="K138" s="91"/>
    </row>
    <row r="139" spans="1:11" ht="15" customHeight="1" x14ac:dyDescent="0.25">
      <c r="A139" s="76"/>
      <c r="B139" s="37" t="str">
        <f>IF(A139="","",IFERROR(VLOOKUP(A139,DB_Customers!$A:$D,4,0),"❌ Account Not Found"))</f>
        <v/>
      </c>
      <c r="C139" s="77" t="str">
        <f>IF(A139="","",IFERROR(IF(SUMIF(DB_Savings!$C:$C,A139,DB_Savings!$F:$F)=0,VLOOKUP(A139,DB_Customers!$A:$I,9,0),VLOOKUP(A139,DB_Customers!$A:$N,14,0)),"❌ Acct Not Found"))</f>
        <v/>
      </c>
      <c r="D139" s="78" t="str">
        <f t="shared" ca="1" si="12"/>
        <v/>
      </c>
      <c r="E139" s="79"/>
      <c r="F139" s="80" t="str">
        <f t="shared" si="13"/>
        <v/>
      </c>
      <c r="G139" s="39" t="s">
        <v>135</v>
      </c>
      <c r="H139" s="81"/>
      <c r="I139" s="82" t="str">
        <f>IF(A139="","Pending",IF(H139="","⚠️ Enter Agent Code",IF(IFERROR(VLOOKUP(G139,DB_Agents!$B:$I,8,0),"")=H139,IF(AND(A139&lt;&gt;"",E139&lt;&gt;""),"Saved","Pending"),"🔒 BLOCKED — Wrong Code")))</f>
        <v>Pending</v>
      </c>
      <c r="J139" s="83" t="str">
        <f t="shared" ca="1" si="14"/>
        <v>—</v>
      </c>
      <c r="K139" s="84"/>
    </row>
    <row r="140" spans="1:11" ht="15" customHeight="1" x14ac:dyDescent="0.25">
      <c r="A140" s="85"/>
      <c r="B140" s="41" t="str">
        <f>IF(A140="","",IFERROR(VLOOKUP(A140,DB_Customers!$A:$D,4,0),"❌ Account Not Found"))</f>
        <v/>
      </c>
      <c r="C140" s="86" t="str">
        <f>IF(A140="","",IFERROR(IF(SUMIF(DB_Savings!$C:$C,A140,DB_Savings!$F:$F)=0,VLOOKUP(A140,DB_Customers!$A:$I,9,0),VLOOKUP(A140,DB_Customers!$A:$N,14,0)),"❌ Acct Not Found"))</f>
        <v/>
      </c>
      <c r="D140" s="87" t="str">
        <f t="shared" ca="1" si="12"/>
        <v/>
      </c>
      <c r="E140" s="79"/>
      <c r="F140" s="88" t="str">
        <f t="shared" si="13"/>
        <v/>
      </c>
      <c r="G140" s="43" t="s">
        <v>135</v>
      </c>
      <c r="H140" s="81"/>
      <c r="I140" s="89" t="str">
        <f>IF(A140="","Pending",IF(H140="","⚠️ Enter Agent Code",IF(IFERROR(VLOOKUP(G140,DB_Agents!$B:$I,8,0),"")=H140,IF(AND(A140&lt;&gt;"",E140&lt;&gt;""),"Saved","Pending"),"🔒 BLOCKED — Wrong Code")))</f>
        <v>Pending</v>
      </c>
      <c r="J140" s="90" t="str">
        <f t="shared" ca="1" si="14"/>
        <v>—</v>
      </c>
      <c r="K140" s="91"/>
    </row>
    <row r="141" spans="1:11" ht="15" customHeight="1" x14ac:dyDescent="0.25">
      <c r="A141" s="76"/>
      <c r="B141" s="37" t="str">
        <f>IF(A141="","",IFERROR(VLOOKUP(A141,DB_Customers!$A:$D,4,0),"❌ Account Not Found"))</f>
        <v/>
      </c>
      <c r="C141" s="77" t="str">
        <f>IF(A141="","",IFERROR(IF(SUMIF(DB_Savings!$C:$C,A141,DB_Savings!$F:$F)=0,VLOOKUP(A141,DB_Customers!$A:$I,9,0),VLOOKUP(A141,DB_Customers!$A:$N,14,0)),"❌ Acct Not Found"))</f>
        <v/>
      </c>
      <c r="D141" s="78" t="str">
        <f t="shared" ca="1" si="12"/>
        <v/>
      </c>
      <c r="E141" s="79"/>
      <c r="F141" s="80" t="str">
        <f t="shared" si="13"/>
        <v/>
      </c>
      <c r="G141" s="39" t="s">
        <v>135</v>
      </c>
      <c r="H141" s="81"/>
      <c r="I141" s="82" t="str">
        <f>IF(A141="","Pending",IF(H141="","⚠️ Enter Agent Code",IF(IFERROR(VLOOKUP(G141,DB_Agents!$B:$I,8,0),"")=H141,IF(AND(A141&lt;&gt;"",E141&lt;&gt;""),"Saved","Pending"),"🔒 BLOCKED — Wrong Code")))</f>
        <v>Pending</v>
      </c>
      <c r="J141" s="83" t="str">
        <f t="shared" ca="1" si="14"/>
        <v>—</v>
      </c>
      <c r="K141" s="84"/>
    </row>
    <row r="142" spans="1:11" ht="15" customHeight="1" x14ac:dyDescent="0.25">
      <c r="A142" s="85"/>
      <c r="B142" s="41" t="str">
        <f>IF(A142="","",IFERROR(VLOOKUP(A142,DB_Customers!$A:$D,4,0),"❌ Account Not Found"))</f>
        <v/>
      </c>
      <c r="C142" s="86" t="str">
        <f>IF(A142="","",IFERROR(IF(SUMIF(DB_Savings!$C:$C,A142,DB_Savings!$F:$F)=0,VLOOKUP(A142,DB_Customers!$A:$I,9,0),VLOOKUP(A142,DB_Customers!$A:$N,14,0)),"❌ Acct Not Found"))</f>
        <v/>
      </c>
      <c r="D142" s="87" t="str">
        <f t="shared" ca="1" si="12"/>
        <v/>
      </c>
      <c r="E142" s="79"/>
      <c r="F142" s="88" t="str">
        <f t="shared" si="13"/>
        <v/>
      </c>
      <c r="G142" s="43" t="s">
        <v>135</v>
      </c>
      <c r="H142" s="81"/>
      <c r="I142" s="89" t="str">
        <f>IF(A142="","Pending",IF(H142="","⚠️ Enter Agent Code",IF(IFERROR(VLOOKUP(G142,DB_Agents!$B:$I,8,0),"")=H142,IF(AND(A142&lt;&gt;"",E142&lt;&gt;""),"Saved","Pending"),"🔒 BLOCKED — Wrong Code")))</f>
        <v>Pending</v>
      </c>
      <c r="J142" s="90" t="str">
        <f t="shared" ca="1" si="14"/>
        <v>—</v>
      </c>
      <c r="K142" s="91"/>
    </row>
    <row r="143" spans="1:11" ht="15" customHeight="1" x14ac:dyDescent="0.25">
      <c r="A143" s="76"/>
      <c r="B143" s="37" t="str">
        <f>IF(A143="","",IFERROR(VLOOKUP(A143,DB_Customers!$A:$D,4,0),"❌ Account Not Found"))</f>
        <v/>
      </c>
      <c r="C143" s="77" t="str">
        <f>IF(A143="","",IFERROR(IF(SUMIF(DB_Savings!$C:$C,A143,DB_Savings!$F:$F)=0,VLOOKUP(A143,DB_Customers!$A:$I,9,0),VLOOKUP(A143,DB_Customers!$A:$N,14,0)),"❌ Acct Not Found"))</f>
        <v/>
      </c>
      <c r="D143" s="78" t="str">
        <f t="shared" ca="1" si="12"/>
        <v/>
      </c>
      <c r="E143" s="79"/>
      <c r="F143" s="80" t="str">
        <f t="shared" si="13"/>
        <v/>
      </c>
      <c r="G143" s="39" t="s">
        <v>135</v>
      </c>
      <c r="H143" s="81"/>
      <c r="I143" s="82" t="str">
        <f>IF(A143="","Pending",IF(H143="","⚠️ Enter Agent Code",IF(IFERROR(VLOOKUP(G143,DB_Agents!$B:$I,8,0),"")=H143,IF(AND(A143&lt;&gt;"",E143&lt;&gt;""),"Saved","Pending"),"🔒 BLOCKED — Wrong Code")))</f>
        <v>Pending</v>
      </c>
      <c r="J143" s="83" t="str">
        <f t="shared" ca="1" si="14"/>
        <v>—</v>
      </c>
      <c r="K143" s="84"/>
    </row>
    <row r="144" spans="1:11" ht="15" customHeight="1" x14ac:dyDescent="0.25">
      <c r="A144" s="85"/>
      <c r="B144" s="41" t="str">
        <f>IF(A144="","",IFERROR(VLOOKUP(A144,DB_Customers!$A:$D,4,0),"❌ Account Not Found"))</f>
        <v/>
      </c>
      <c r="C144" s="86" t="str">
        <f>IF(A144="","",IFERROR(IF(SUMIF(DB_Savings!$C:$C,A144,DB_Savings!$F:$F)=0,VLOOKUP(A144,DB_Customers!$A:$I,9,0),VLOOKUP(A144,DB_Customers!$A:$N,14,0)),"❌ Acct Not Found"))</f>
        <v/>
      </c>
      <c r="D144" s="87" t="str">
        <f t="shared" ca="1" si="12"/>
        <v/>
      </c>
      <c r="E144" s="79"/>
      <c r="F144" s="88" t="str">
        <f t="shared" si="13"/>
        <v/>
      </c>
      <c r="G144" s="43" t="s">
        <v>135</v>
      </c>
      <c r="H144" s="81"/>
      <c r="I144" s="89" t="str">
        <f>IF(A144="","Pending",IF(H144="","⚠️ Enter Agent Code",IF(IFERROR(VLOOKUP(G144,DB_Agents!$B:$I,8,0),"")=H144,IF(AND(A144&lt;&gt;"",E144&lt;&gt;""),"Saved","Pending"),"🔒 BLOCKED — Wrong Code")))</f>
        <v>Pending</v>
      </c>
      <c r="J144" s="90" t="str">
        <f t="shared" ca="1" si="14"/>
        <v>—</v>
      </c>
      <c r="K144" s="91"/>
    </row>
    <row r="145" spans="1:11" ht="15" customHeight="1" x14ac:dyDescent="0.25">
      <c r="A145" s="76"/>
      <c r="B145" s="37" t="str">
        <f>IF(A145="","",IFERROR(VLOOKUP(A145,DB_Customers!$A:$D,4,0),"❌ Account Not Found"))</f>
        <v/>
      </c>
      <c r="C145" s="77" t="str">
        <f>IF(A145="","",IFERROR(IF(SUMIF(DB_Savings!$C:$C,A145,DB_Savings!$F:$F)=0,VLOOKUP(A145,DB_Customers!$A:$I,9,0),VLOOKUP(A145,DB_Customers!$A:$N,14,0)),"❌ Acct Not Found"))</f>
        <v/>
      </c>
      <c r="D145" s="78" t="str">
        <f t="shared" ca="1" si="12"/>
        <v/>
      </c>
      <c r="E145" s="79"/>
      <c r="F145" s="80" t="str">
        <f t="shared" si="13"/>
        <v/>
      </c>
      <c r="G145" s="39" t="s">
        <v>135</v>
      </c>
      <c r="H145" s="81"/>
      <c r="I145" s="82" t="str">
        <f>IF(A145="","Pending",IF(H145="","⚠️ Enter Agent Code",IF(IFERROR(VLOOKUP(G145,DB_Agents!$B:$I,8,0),"")=H145,IF(AND(A145&lt;&gt;"",E145&lt;&gt;""),"Saved","Pending"),"🔒 BLOCKED — Wrong Code")))</f>
        <v>Pending</v>
      </c>
      <c r="J145" s="83" t="str">
        <f t="shared" ca="1" si="14"/>
        <v>—</v>
      </c>
      <c r="K145" s="84"/>
    </row>
    <row r="146" spans="1:11" ht="15" customHeight="1" x14ac:dyDescent="0.25">
      <c r="A146" s="85"/>
      <c r="B146" s="41" t="str">
        <f>IF(A146="","",IFERROR(VLOOKUP(A146,DB_Customers!$A:$D,4,0),"❌ Account Not Found"))</f>
        <v/>
      </c>
      <c r="C146" s="86" t="str">
        <f>IF(A146="","",IFERROR(IF(SUMIF(DB_Savings!$C:$C,A146,DB_Savings!$F:$F)=0,VLOOKUP(A146,DB_Customers!$A:$I,9,0),VLOOKUP(A146,DB_Customers!$A:$N,14,0)),"❌ Acct Not Found"))</f>
        <v/>
      </c>
      <c r="D146" s="87" t="str">
        <f t="shared" ca="1" si="12"/>
        <v/>
      </c>
      <c r="E146" s="79"/>
      <c r="F146" s="88" t="str">
        <f t="shared" si="13"/>
        <v/>
      </c>
      <c r="G146" s="43" t="s">
        <v>135</v>
      </c>
      <c r="H146" s="81"/>
      <c r="I146" s="89" t="str">
        <f>IF(A146="","Pending",IF(H146="","⚠️ Enter Agent Code",IF(IFERROR(VLOOKUP(G146,DB_Agents!$B:$I,8,0),"")=H146,IF(AND(A146&lt;&gt;"",E146&lt;&gt;""),"Saved","Pending"),"🔒 BLOCKED — Wrong Code")))</f>
        <v>Pending</v>
      </c>
      <c r="J146" s="90" t="str">
        <f t="shared" ca="1" si="14"/>
        <v>—</v>
      </c>
      <c r="K146" s="91"/>
    </row>
    <row r="147" spans="1:11" ht="15" customHeight="1" x14ac:dyDescent="0.25">
      <c r="A147" s="76"/>
      <c r="B147" s="37" t="str">
        <f>IF(A147="","",IFERROR(VLOOKUP(A147,DB_Customers!$A:$D,4,0),"❌ Account Not Found"))</f>
        <v/>
      </c>
      <c r="C147" s="77" t="str">
        <f>IF(A147="","",IFERROR(IF(SUMIF(DB_Savings!$C:$C,A147,DB_Savings!$F:$F)=0,VLOOKUP(A147,DB_Customers!$A:$I,9,0),VLOOKUP(A147,DB_Customers!$A:$N,14,0)),"❌ Acct Not Found"))</f>
        <v/>
      </c>
      <c r="D147" s="78" t="str">
        <f t="shared" ca="1" si="12"/>
        <v/>
      </c>
      <c r="E147" s="79"/>
      <c r="F147" s="80" t="str">
        <f t="shared" si="13"/>
        <v/>
      </c>
      <c r="G147" s="39" t="s">
        <v>135</v>
      </c>
      <c r="H147" s="81"/>
      <c r="I147" s="82" t="str">
        <f>IF(A147="","Pending",IF(H147="","⚠️ Enter Agent Code",IF(IFERROR(VLOOKUP(G147,DB_Agents!$B:$I,8,0),"")=H147,IF(AND(A147&lt;&gt;"",E147&lt;&gt;""),"Saved","Pending"),"🔒 BLOCKED — Wrong Code")))</f>
        <v>Pending</v>
      </c>
      <c r="J147" s="83" t="str">
        <f t="shared" ca="1" si="14"/>
        <v>—</v>
      </c>
      <c r="K147" s="84"/>
    </row>
    <row r="148" spans="1:11" ht="15" customHeight="1" x14ac:dyDescent="0.25">
      <c r="A148" s="85"/>
      <c r="B148" s="41" t="str">
        <f>IF(A148="","",IFERROR(VLOOKUP(A148,DB_Customers!$A:$D,4,0),"❌ Account Not Found"))</f>
        <v/>
      </c>
      <c r="C148" s="86" t="str">
        <f>IF(A148="","",IFERROR(IF(SUMIF(DB_Savings!$C:$C,A148,DB_Savings!$F:$F)=0,VLOOKUP(A148,DB_Customers!$A:$I,9,0),VLOOKUP(A148,DB_Customers!$A:$N,14,0)),"❌ Acct Not Found"))</f>
        <v/>
      </c>
      <c r="D148" s="87" t="str">
        <f t="shared" ca="1" si="12"/>
        <v/>
      </c>
      <c r="E148" s="79"/>
      <c r="F148" s="88" t="str">
        <f t="shared" si="13"/>
        <v/>
      </c>
      <c r="G148" s="43" t="s">
        <v>135</v>
      </c>
      <c r="H148" s="81"/>
      <c r="I148" s="89" t="str">
        <f>IF(A148="","Pending",IF(H148="","⚠️ Enter Agent Code",IF(IFERROR(VLOOKUP(G148,DB_Agents!$B:$I,8,0),"")=H148,IF(AND(A148&lt;&gt;"",E148&lt;&gt;""),"Saved","Pending"),"🔒 BLOCKED — Wrong Code")))</f>
        <v>Pending</v>
      </c>
      <c r="J148" s="90" t="str">
        <f t="shared" ca="1" si="14"/>
        <v>—</v>
      </c>
      <c r="K148" s="91"/>
    </row>
    <row r="149" spans="1:11" ht="15" customHeight="1" x14ac:dyDescent="0.25">
      <c r="A149" s="76"/>
      <c r="B149" s="37" t="str">
        <f>IF(A149="","",IFERROR(VLOOKUP(A149,DB_Customers!$A:$D,4,0),"❌ Account Not Found"))</f>
        <v/>
      </c>
      <c r="C149" s="77" t="str">
        <f>IF(A149="","",IFERROR(IF(SUMIF(DB_Savings!$C:$C,A149,DB_Savings!$F:$F)=0,VLOOKUP(A149,DB_Customers!$A:$I,9,0),VLOOKUP(A149,DB_Customers!$A:$N,14,0)),"❌ Acct Not Found"))</f>
        <v/>
      </c>
      <c r="D149" s="78" t="str">
        <f t="shared" ca="1" si="12"/>
        <v/>
      </c>
      <c r="E149" s="79"/>
      <c r="F149" s="80" t="str">
        <f t="shared" si="13"/>
        <v/>
      </c>
      <c r="G149" s="39" t="s">
        <v>135</v>
      </c>
      <c r="H149" s="81"/>
      <c r="I149" s="82" t="str">
        <f>IF(A149="","Pending",IF(H149="","⚠️ Enter Agent Code",IF(IFERROR(VLOOKUP(G149,DB_Agents!$B:$I,8,0),"")=H149,IF(AND(A149&lt;&gt;"",E149&lt;&gt;""),"Saved","Pending"),"🔒 BLOCKED — Wrong Code")))</f>
        <v>Pending</v>
      </c>
      <c r="J149" s="83" t="str">
        <f t="shared" ca="1" si="14"/>
        <v>—</v>
      </c>
      <c r="K149" s="84"/>
    </row>
    <row r="150" spans="1:11" ht="15" customHeight="1" x14ac:dyDescent="0.25">
      <c r="A150" s="85"/>
      <c r="B150" s="41" t="str">
        <f>IF(A150="","",IFERROR(VLOOKUP(A150,DB_Customers!$A:$D,4,0),"❌ Account Not Found"))</f>
        <v/>
      </c>
      <c r="C150" s="86" t="str">
        <f>IF(A150="","",IFERROR(IF(SUMIF(DB_Savings!$C:$C,A150,DB_Savings!$F:$F)=0,VLOOKUP(A150,DB_Customers!$A:$I,9,0),VLOOKUP(A150,DB_Customers!$A:$N,14,0)),"❌ Acct Not Found"))</f>
        <v/>
      </c>
      <c r="D150" s="87" t="str">
        <f t="shared" ca="1" si="12"/>
        <v/>
      </c>
      <c r="E150" s="79"/>
      <c r="F150" s="88" t="str">
        <f t="shared" si="13"/>
        <v/>
      </c>
      <c r="G150" s="43" t="s">
        <v>135</v>
      </c>
      <c r="H150" s="81"/>
      <c r="I150" s="89" t="str">
        <f>IF(A150="","Pending",IF(H150="","⚠️ Enter Agent Code",IF(IFERROR(VLOOKUP(G150,DB_Agents!$B:$I,8,0),"")=H150,IF(AND(A150&lt;&gt;"",E150&lt;&gt;""),"Saved","Pending"),"🔒 BLOCKED — Wrong Code")))</f>
        <v>Pending</v>
      </c>
      <c r="J150" s="90" t="str">
        <f t="shared" ca="1" si="14"/>
        <v>—</v>
      </c>
      <c r="K150" s="91"/>
    </row>
    <row r="151" spans="1:11" ht="15" customHeight="1" x14ac:dyDescent="0.25">
      <c r="A151" s="76"/>
      <c r="B151" s="37" t="str">
        <f>IF(A151="","",IFERROR(VLOOKUP(A151,DB_Customers!$A:$D,4,0),"❌ Account Not Found"))</f>
        <v/>
      </c>
      <c r="C151" s="77" t="str">
        <f>IF(A151="","",IFERROR(IF(SUMIF(DB_Savings!$C:$C,A151,DB_Savings!$F:$F)=0,VLOOKUP(A151,DB_Customers!$A:$I,9,0),VLOOKUP(A151,DB_Customers!$A:$N,14,0)),"❌ Acct Not Found"))</f>
        <v/>
      </c>
      <c r="D151" s="78" t="str">
        <f t="shared" ca="1" si="12"/>
        <v/>
      </c>
      <c r="E151" s="79"/>
      <c r="F151" s="80" t="str">
        <f t="shared" si="13"/>
        <v/>
      </c>
      <c r="G151" s="39" t="s">
        <v>135</v>
      </c>
      <c r="H151" s="81"/>
      <c r="I151" s="82" t="str">
        <f>IF(A151="","Pending",IF(H151="","⚠️ Enter Agent Code",IF(IFERROR(VLOOKUP(G151,DB_Agents!$B:$I,8,0),"")=H151,IF(AND(A151&lt;&gt;"",E151&lt;&gt;""),"Saved","Pending"),"🔒 BLOCKED — Wrong Code")))</f>
        <v>Pending</v>
      </c>
      <c r="J151" s="83" t="str">
        <f t="shared" ca="1" si="14"/>
        <v>—</v>
      </c>
      <c r="K151" s="84"/>
    </row>
    <row r="152" spans="1:11" ht="15" customHeight="1" x14ac:dyDescent="0.25">
      <c r="A152" s="85"/>
      <c r="B152" s="41" t="str">
        <f>IF(A152="","",IFERROR(VLOOKUP(A152,DB_Customers!$A:$D,4,0),"❌ Account Not Found"))</f>
        <v/>
      </c>
      <c r="C152" s="86" t="str">
        <f>IF(A152="","",IFERROR(IF(SUMIF(DB_Savings!$C:$C,A152,DB_Savings!$F:$F)=0,VLOOKUP(A152,DB_Customers!$A:$I,9,0),VLOOKUP(A152,DB_Customers!$A:$N,14,0)),"❌ Acct Not Found"))</f>
        <v/>
      </c>
      <c r="D152" s="87" t="str">
        <f t="shared" ca="1" si="12"/>
        <v/>
      </c>
      <c r="E152" s="79"/>
      <c r="F152" s="88" t="str">
        <f t="shared" si="13"/>
        <v/>
      </c>
      <c r="G152" s="43" t="s">
        <v>135</v>
      </c>
      <c r="H152" s="81"/>
      <c r="I152" s="89" t="str">
        <f>IF(A152="","Pending",IF(H152="","⚠️ Enter Agent Code",IF(IFERROR(VLOOKUP(G152,DB_Agents!$B:$I,8,0),"")=H152,IF(AND(A152&lt;&gt;"",E152&lt;&gt;""),"Saved","Pending"),"🔒 BLOCKED — Wrong Code")))</f>
        <v>Pending</v>
      </c>
      <c r="J152" s="90" t="str">
        <f t="shared" ca="1" si="14"/>
        <v>—</v>
      </c>
      <c r="K152" s="91"/>
    </row>
    <row r="153" spans="1:11" ht="15" customHeight="1" x14ac:dyDescent="0.25">
      <c r="A153" s="76"/>
      <c r="B153" s="37" t="str">
        <f>IF(A153="","",IFERROR(VLOOKUP(A153,DB_Customers!$A:$D,4,0),"❌ Account Not Found"))</f>
        <v/>
      </c>
      <c r="C153" s="77" t="str">
        <f>IF(A153="","",IFERROR(IF(SUMIF(DB_Savings!$C:$C,A153,DB_Savings!$F:$F)=0,VLOOKUP(A153,DB_Customers!$A:$I,9,0),VLOOKUP(A153,DB_Customers!$A:$N,14,0)),"❌ Acct Not Found"))</f>
        <v/>
      </c>
      <c r="D153" s="78" t="str">
        <f t="shared" ca="1" si="12"/>
        <v/>
      </c>
      <c r="E153" s="79"/>
      <c r="F153" s="80" t="str">
        <f t="shared" si="13"/>
        <v/>
      </c>
      <c r="G153" s="39" t="s">
        <v>135</v>
      </c>
      <c r="H153" s="81"/>
      <c r="I153" s="82" t="str">
        <f>IF(A153="","Pending",IF(H153="","⚠️ Enter Agent Code",IF(IFERROR(VLOOKUP(G153,DB_Agents!$B:$I,8,0),"")=H153,IF(AND(A153&lt;&gt;"",E153&lt;&gt;""),"Saved","Pending"),"🔒 BLOCKED — Wrong Code")))</f>
        <v>Pending</v>
      </c>
      <c r="J153" s="83" t="str">
        <f t="shared" ca="1" si="14"/>
        <v>—</v>
      </c>
      <c r="K153" s="84"/>
    </row>
    <row r="154" spans="1:11" ht="15" customHeight="1" x14ac:dyDescent="0.25">
      <c r="A154" s="85"/>
      <c r="B154" s="41" t="str">
        <f>IF(A154="","",IFERROR(VLOOKUP(A154,DB_Customers!$A:$D,4,0),"❌ Account Not Found"))</f>
        <v/>
      </c>
      <c r="C154" s="86" t="str">
        <f>IF(A154="","",IFERROR(IF(SUMIF(DB_Savings!$C:$C,A154,DB_Savings!$F:$F)=0,VLOOKUP(A154,DB_Customers!$A:$I,9,0),VLOOKUP(A154,DB_Customers!$A:$N,14,0)),"❌ Acct Not Found"))</f>
        <v/>
      </c>
      <c r="D154" s="87" t="str">
        <f t="shared" ca="1" si="12"/>
        <v/>
      </c>
      <c r="E154" s="79"/>
      <c r="F154" s="88" t="str">
        <f t="shared" si="13"/>
        <v/>
      </c>
      <c r="G154" s="43" t="s">
        <v>135</v>
      </c>
      <c r="H154" s="81"/>
      <c r="I154" s="89" t="str">
        <f>IF(A154="","Pending",IF(H154="","⚠️ Enter Agent Code",IF(IFERROR(VLOOKUP(G154,DB_Agents!$B:$I,8,0),"")=H154,IF(AND(A154&lt;&gt;"",E154&lt;&gt;""),"Saved","Pending"),"🔒 BLOCKED — Wrong Code")))</f>
        <v>Pending</v>
      </c>
      <c r="J154" s="90" t="str">
        <f t="shared" ca="1" si="14"/>
        <v>—</v>
      </c>
      <c r="K154" s="91"/>
    </row>
    <row r="155" spans="1:11" ht="15" customHeight="1" x14ac:dyDescent="0.25">
      <c r="A155" s="76"/>
      <c r="B155" s="37" t="str">
        <f>IF(A155="","",IFERROR(VLOOKUP(A155,DB_Customers!$A:$D,4,0),"❌ Account Not Found"))</f>
        <v/>
      </c>
      <c r="C155" s="77" t="str">
        <f>IF(A155="","",IFERROR(IF(SUMIF(DB_Savings!$C:$C,A155,DB_Savings!$F:$F)=0,VLOOKUP(A155,DB_Customers!$A:$I,9,0),VLOOKUP(A155,DB_Customers!$A:$N,14,0)),"❌ Acct Not Found"))</f>
        <v/>
      </c>
      <c r="D155" s="78" t="str">
        <f t="shared" ca="1" si="12"/>
        <v/>
      </c>
      <c r="E155" s="79"/>
      <c r="F155" s="80" t="str">
        <f t="shared" si="13"/>
        <v/>
      </c>
      <c r="G155" s="39" t="s">
        <v>135</v>
      </c>
      <c r="H155" s="81"/>
      <c r="I155" s="82" t="str">
        <f>IF(A155="","Pending",IF(H155="","⚠️ Enter Agent Code",IF(IFERROR(VLOOKUP(G155,DB_Agents!$B:$I,8,0),"")=H155,IF(AND(A155&lt;&gt;"",E155&lt;&gt;""),"Saved","Pending"),"🔒 BLOCKED — Wrong Code")))</f>
        <v>Pending</v>
      </c>
      <c r="J155" s="83" t="str">
        <f t="shared" ca="1" si="14"/>
        <v>—</v>
      </c>
      <c r="K155" s="84"/>
    </row>
    <row r="156" spans="1:11" ht="15" customHeight="1" x14ac:dyDescent="0.25">
      <c r="A156" s="85"/>
      <c r="B156" s="41" t="str">
        <f>IF(A156="","",IFERROR(VLOOKUP(A156,DB_Customers!$A:$D,4,0),"❌ Account Not Found"))</f>
        <v/>
      </c>
      <c r="C156" s="86" t="str">
        <f>IF(A156="","",IFERROR(IF(SUMIF(DB_Savings!$C:$C,A156,DB_Savings!$F:$F)=0,VLOOKUP(A156,DB_Customers!$A:$I,9,0),VLOOKUP(A156,DB_Customers!$A:$N,14,0)),"❌ Acct Not Found"))</f>
        <v/>
      </c>
      <c r="D156" s="87" t="str">
        <f t="shared" ca="1" si="12"/>
        <v/>
      </c>
      <c r="E156" s="79"/>
      <c r="F156" s="88" t="str">
        <f t="shared" si="13"/>
        <v/>
      </c>
      <c r="G156" s="43" t="s">
        <v>135</v>
      </c>
      <c r="H156" s="81"/>
      <c r="I156" s="89" t="str">
        <f>IF(A156="","Pending",IF(H156="","⚠️ Enter Agent Code",IF(IFERROR(VLOOKUP(G156,DB_Agents!$B:$I,8,0),"")=H156,IF(AND(A156&lt;&gt;"",E156&lt;&gt;""),"Saved","Pending"),"🔒 BLOCKED — Wrong Code")))</f>
        <v>Pending</v>
      </c>
      <c r="J156" s="90" t="str">
        <f t="shared" ca="1" si="14"/>
        <v>—</v>
      </c>
      <c r="K156" s="91"/>
    </row>
    <row r="157" spans="1:11" ht="15" customHeight="1" x14ac:dyDescent="0.25">
      <c r="A157" s="76"/>
      <c r="B157" s="37" t="str">
        <f>IF(A157="","",IFERROR(VLOOKUP(A157,DB_Customers!$A:$D,4,0),"❌ Account Not Found"))</f>
        <v/>
      </c>
      <c r="C157" s="77" t="str">
        <f>IF(A157="","",IFERROR(IF(SUMIF(DB_Savings!$C:$C,A157,DB_Savings!$F:$F)=0,VLOOKUP(A157,DB_Customers!$A:$I,9,0),VLOOKUP(A157,DB_Customers!$A:$N,14,0)),"❌ Acct Not Found"))</f>
        <v/>
      </c>
      <c r="D157" s="78" t="str">
        <f t="shared" ca="1" si="12"/>
        <v/>
      </c>
      <c r="E157" s="79"/>
      <c r="F157" s="80" t="str">
        <f t="shared" si="13"/>
        <v/>
      </c>
      <c r="G157" s="39" t="s">
        <v>135</v>
      </c>
      <c r="H157" s="81"/>
      <c r="I157" s="82" t="str">
        <f>IF(A157="","Pending",IF(H157="","⚠️ Enter Agent Code",IF(IFERROR(VLOOKUP(G157,DB_Agents!$B:$I,8,0),"")=H157,IF(AND(A157&lt;&gt;"",E157&lt;&gt;""),"Saved","Pending"),"🔒 BLOCKED — Wrong Code")))</f>
        <v>Pending</v>
      </c>
      <c r="J157" s="83" t="str">
        <f t="shared" ca="1" si="14"/>
        <v>—</v>
      </c>
      <c r="K157" s="84"/>
    </row>
    <row r="158" spans="1:11" ht="15" customHeight="1" x14ac:dyDescent="0.25">
      <c r="A158" s="85"/>
      <c r="B158" s="41" t="str">
        <f>IF(A158="","",IFERROR(VLOOKUP(A158,DB_Customers!$A:$D,4,0),"❌ Account Not Found"))</f>
        <v/>
      </c>
      <c r="C158" s="86" t="str">
        <f>IF(A158="","",IFERROR(IF(SUMIF(DB_Savings!$C:$C,A158,DB_Savings!$F:$F)=0,VLOOKUP(A158,DB_Customers!$A:$I,9,0),VLOOKUP(A158,DB_Customers!$A:$N,14,0)),"❌ Acct Not Found"))</f>
        <v/>
      </c>
      <c r="D158" s="87" t="str">
        <f t="shared" ca="1" si="12"/>
        <v/>
      </c>
      <c r="E158" s="79"/>
      <c r="F158" s="88" t="str">
        <f t="shared" si="13"/>
        <v/>
      </c>
      <c r="G158" s="43" t="s">
        <v>135</v>
      </c>
      <c r="H158" s="81"/>
      <c r="I158" s="89" t="str">
        <f>IF(A158="","Pending",IF(H158="","⚠️ Enter Agent Code",IF(IFERROR(VLOOKUP(G158,DB_Agents!$B:$I,8,0),"")=H158,IF(AND(A158&lt;&gt;"",E158&lt;&gt;""),"Saved","Pending"),"🔒 BLOCKED — Wrong Code")))</f>
        <v>Pending</v>
      </c>
      <c r="J158" s="90" t="str">
        <f t="shared" ca="1" si="14"/>
        <v>—</v>
      </c>
      <c r="K158" s="91"/>
    </row>
    <row r="159" spans="1:11" ht="15" customHeight="1" x14ac:dyDescent="0.25">
      <c r="A159" s="76"/>
      <c r="B159" s="37" t="str">
        <f>IF(A159="","",IFERROR(VLOOKUP(A159,DB_Customers!$A:$D,4,0),"❌ Account Not Found"))</f>
        <v/>
      </c>
      <c r="C159" s="77" t="str">
        <f>IF(A159="","",IFERROR(IF(SUMIF(DB_Savings!$C:$C,A159,DB_Savings!$F:$F)=0,VLOOKUP(A159,DB_Customers!$A:$I,9,0),VLOOKUP(A159,DB_Customers!$A:$N,14,0)),"❌ Acct Not Found"))</f>
        <v/>
      </c>
      <c r="D159" s="78" t="str">
        <f t="shared" ca="1" si="12"/>
        <v/>
      </c>
      <c r="E159" s="79"/>
      <c r="F159" s="80" t="str">
        <f t="shared" si="13"/>
        <v/>
      </c>
      <c r="G159" s="39" t="s">
        <v>135</v>
      </c>
      <c r="H159" s="81"/>
      <c r="I159" s="82" t="str">
        <f>IF(A159="","Pending",IF(H159="","⚠️ Enter Agent Code",IF(IFERROR(VLOOKUP(G159,DB_Agents!$B:$I,8,0),"")=H159,IF(AND(A159&lt;&gt;"",E159&lt;&gt;""),"Saved","Pending"),"🔒 BLOCKED — Wrong Code")))</f>
        <v>Pending</v>
      </c>
      <c r="J159" s="83" t="str">
        <f t="shared" ca="1" si="14"/>
        <v>—</v>
      </c>
      <c r="K159" s="84"/>
    </row>
    <row r="160" spans="1:11" ht="15" customHeight="1" x14ac:dyDescent="0.25">
      <c r="A160" s="85"/>
      <c r="B160" s="41" t="str">
        <f>IF(A160="","",IFERROR(VLOOKUP(A160,DB_Customers!$A:$D,4,0),"❌ Account Not Found"))</f>
        <v/>
      </c>
      <c r="C160" s="86" t="str">
        <f>IF(A160="","",IFERROR(IF(SUMIF(DB_Savings!$C:$C,A160,DB_Savings!$F:$F)=0,VLOOKUP(A160,DB_Customers!$A:$I,9,0),VLOOKUP(A160,DB_Customers!$A:$N,14,0)),"❌ Acct Not Found"))</f>
        <v/>
      </c>
      <c r="D160" s="87" t="str">
        <f t="shared" ca="1" si="12"/>
        <v/>
      </c>
      <c r="E160" s="79"/>
      <c r="F160" s="88" t="str">
        <f t="shared" si="13"/>
        <v/>
      </c>
      <c r="G160" s="43" t="s">
        <v>135</v>
      </c>
      <c r="H160" s="81"/>
      <c r="I160" s="89" t="str">
        <f>IF(A160="","Pending",IF(H160="","⚠️ Enter Agent Code",IF(IFERROR(VLOOKUP(G160,DB_Agents!$B:$I,8,0),"")=H160,IF(AND(A160&lt;&gt;"",E160&lt;&gt;""),"Saved","Pending"),"🔒 BLOCKED — Wrong Code")))</f>
        <v>Pending</v>
      </c>
      <c r="J160" s="90" t="str">
        <f t="shared" ca="1" si="14"/>
        <v>—</v>
      </c>
      <c r="K160" s="91"/>
    </row>
    <row r="161" spans="1:11" ht="15" customHeight="1" x14ac:dyDescent="0.25">
      <c r="A161" s="76"/>
      <c r="B161" s="37" t="str">
        <f>IF(A161="","",IFERROR(VLOOKUP(A161,DB_Customers!$A:$D,4,0),"❌ Account Not Found"))</f>
        <v/>
      </c>
      <c r="C161" s="77" t="str">
        <f>IF(A161="","",IFERROR(IF(SUMIF(DB_Savings!$C:$C,A161,DB_Savings!$F:$F)=0,VLOOKUP(A161,DB_Customers!$A:$I,9,0),VLOOKUP(A161,DB_Customers!$A:$N,14,0)),"❌ Acct Not Found"))</f>
        <v/>
      </c>
      <c r="D161" s="78" t="str">
        <f t="shared" ca="1" si="12"/>
        <v/>
      </c>
      <c r="E161" s="79"/>
      <c r="F161" s="80" t="str">
        <f t="shared" si="13"/>
        <v/>
      </c>
      <c r="G161" s="39" t="s">
        <v>135</v>
      </c>
      <c r="H161" s="81"/>
      <c r="I161" s="82" t="str">
        <f>IF(A161="","Pending",IF(H161="","⚠️ Enter Agent Code",IF(IFERROR(VLOOKUP(G161,DB_Agents!$B:$I,8,0),"")=H161,IF(AND(A161&lt;&gt;"",E161&lt;&gt;""),"Saved","Pending"),"🔒 BLOCKED — Wrong Code")))</f>
        <v>Pending</v>
      </c>
      <c r="J161" s="83" t="str">
        <f t="shared" ca="1" si="14"/>
        <v>—</v>
      </c>
      <c r="K161" s="84"/>
    </row>
    <row r="162" spans="1:11" ht="15" customHeight="1" x14ac:dyDescent="0.25">
      <c r="A162" s="85"/>
      <c r="B162" s="41" t="str">
        <f>IF(A162="","",IFERROR(VLOOKUP(A162,DB_Customers!$A:$D,4,0),"❌ Account Not Found"))</f>
        <v/>
      </c>
      <c r="C162" s="86" t="str">
        <f>IF(A162="","",IFERROR(IF(SUMIF(DB_Savings!$C:$C,A162,DB_Savings!$F:$F)=0,VLOOKUP(A162,DB_Customers!$A:$I,9,0),VLOOKUP(A162,DB_Customers!$A:$N,14,0)),"❌ Acct Not Found"))</f>
        <v/>
      </c>
      <c r="D162" s="87" t="str">
        <f t="shared" ca="1" si="12"/>
        <v/>
      </c>
      <c r="E162" s="79"/>
      <c r="F162" s="88" t="str">
        <f t="shared" si="13"/>
        <v/>
      </c>
      <c r="G162" s="43" t="s">
        <v>135</v>
      </c>
      <c r="H162" s="81"/>
      <c r="I162" s="89" t="str">
        <f>IF(A162="","Pending",IF(H162="","⚠️ Enter Agent Code",IF(IFERROR(VLOOKUP(G162,DB_Agents!$B:$I,8,0),"")=H162,IF(AND(A162&lt;&gt;"",E162&lt;&gt;""),"Saved","Pending"),"🔒 BLOCKED — Wrong Code")))</f>
        <v>Pending</v>
      </c>
      <c r="J162" s="90" t="str">
        <f t="shared" ca="1" si="14"/>
        <v>—</v>
      </c>
      <c r="K162" s="91"/>
    </row>
    <row r="163" spans="1:11" ht="15" customHeight="1" x14ac:dyDescent="0.25">
      <c r="A163" s="76"/>
      <c r="B163" s="37" t="str">
        <f>IF(A163="","",IFERROR(VLOOKUP(A163,DB_Customers!$A:$D,4,0),"❌ Account Not Found"))</f>
        <v/>
      </c>
      <c r="C163" s="77" t="str">
        <f>IF(A163="","",IFERROR(IF(SUMIF(DB_Savings!$C:$C,A163,DB_Savings!$F:$F)=0,VLOOKUP(A163,DB_Customers!$A:$I,9,0),VLOOKUP(A163,DB_Customers!$A:$N,14,0)),"❌ Acct Not Found"))</f>
        <v/>
      </c>
      <c r="D163" s="78" t="str">
        <f t="shared" ca="1" si="12"/>
        <v/>
      </c>
      <c r="E163" s="79"/>
      <c r="F163" s="80" t="str">
        <f t="shared" si="13"/>
        <v/>
      </c>
      <c r="G163" s="39" t="s">
        <v>135</v>
      </c>
      <c r="H163" s="81"/>
      <c r="I163" s="82" t="str">
        <f>IF(A163="","Pending",IF(H163="","⚠️ Enter Agent Code",IF(IFERROR(VLOOKUP(G163,DB_Agents!$B:$I,8,0),"")=H163,IF(AND(A163&lt;&gt;"",E163&lt;&gt;""),"Saved","Pending"),"🔒 BLOCKED — Wrong Code")))</f>
        <v>Pending</v>
      </c>
      <c r="J163" s="83" t="str">
        <f t="shared" ca="1" si="14"/>
        <v>—</v>
      </c>
      <c r="K163" s="84"/>
    </row>
    <row r="164" spans="1:11" ht="15" customHeight="1" x14ac:dyDescent="0.25">
      <c r="A164" s="85"/>
      <c r="B164" s="41" t="str">
        <f>IF(A164="","",IFERROR(VLOOKUP(A164,DB_Customers!$A:$D,4,0),"❌ Account Not Found"))</f>
        <v/>
      </c>
      <c r="C164" s="86" t="str">
        <f>IF(A164="","",IFERROR(IF(SUMIF(DB_Savings!$C:$C,A164,DB_Savings!$F:$F)=0,VLOOKUP(A164,DB_Customers!$A:$I,9,0),VLOOKUP(A164,DB_Customers!$A:$N,14,0)),"❌ Acct Not Found"))</f>
        <v/>
      </c>
      <c r="D164" s="87" t="str">
        <f t="shared" ca="1" si="12"/>
        <v/>
      </c>
      <c r="E164" s="79"/>
      <c r="F164" s="88" t="str">
        <f t="shared" si="13"/>
        <v/>
      </c>
      <c r="G164" s="43" t="s">
        <v>135</v>
      </c>
      <c r="H164" s="81"/>
      <c r="I164" s="89" t="str">
        <f>IF(A164="","Pending",IF(H164="","⚠️ Enter Agent Code",IF(IFERROR(VLOOKUP(G164,DB_Agents!$B:$I,8,0),"")=H164,IF(AND(A164&lt;&gt;"",E164&lt;&gt;""),"Saved","Pending"),"🔒 BLOCKED — Wrong Code")))</f>
        <v>Pending</v>
      </c>
      <c r="J164" s="90" t="str">
        <f t="shared" ca="1" si="14"/>
        <v>—</v>
      </c>
      <c r="K164" s="91"/>
    </row>
    <row r="165" spans="1:11" ht="15" customHeight="1" x14ac:dyDescent="0.25">
      <c r="A165" s="76"/>
      <c r="B165" s="37" t="str">
        <f>IF(A165="","",IFERROR(VLOOKUP(A165,DB_Customers!$A:$D,4,0),"❌ Account Not Found"))</f>
        <v/>
      </c>
      <c r="C165" s="77" t="str">
        <f>IF(A165="","",IFERROR(IF(SUMIF(DB_Savings!$C:$C,A165,DB_Savings!$F:$F)=0,VLOOKUP(A165,DB_Customers!$A:$I,9,0),VLOOKUP(A165,DB_Customers!$A:$N,14,0)),"❌ Acct Not Found"))</f>
        <v/>
      </c>
      <c r="D165" s="78" t="str">
        <f t="shared" ca="1" si="12"/>
        <v/>
      </c>
      <c r="E165" s="79"/>
      <c r="F165" s="80" t="str">
        <f t="shared" si="13"/>
        <v/>
      </c>
      <c r="G165" s="39" t="s">
        <v>135</v>
      </c>
      <c r="H165" s="81"/>
      <c r="I165" s="82" t="str">
        <f>IF(A165="","Pending",IF(H165="","⚠️ Enter Agent Code",IF(IFERROR(VLOOKUP(G165,DB_Agents!$B:$I,8,0),"")=H165,IF(AND(A165&lt;&gt;"",E165&lt;&gt;""),"Saved","Pending"),"🔒 BLOCKED — Wrong Code")))</f>
        <v>Pending</v>
      </c>
      <c r="J165" s="83" t="str">
        <f t="shared" ca="1" si="14"/>
        <v>—</v>
      </c>
      <c r="K165" s="84"/>
    </row>
    <row r="166" spans="1:11" ht="15" customHeight="1" x14ac:dyDescent="0.25">
      <c r="A166" s="85"/>
      <c r="B166" s="41" t="str">
        <f>IF(A166="","",IFERROR(VLOOKUP(A166,DB_Customers!$A:$D,4,0),"❌ Account Not Found"))</f>
        <v/>
      </c>
      <c r="C166" s="86" t="str">
        <f>IF(A166="","",IFERROR(IF(SUMIF(DB_Savings!$C:$C,A166,DB_Savings!$F:$F)=0,VLOOKUP(A166,DB_Customers!$A:$I,9,0),VLOOKUP(A166,DB_Customers!$A:$N,14,0)),"❌ Acct Not Found"))</f>
        <v/>
      </c>
      <c r="D166" s="87" t="str">
        <f t="shared" ca="1" si="12"/>
        <v/>
      </c>
      <c r="E166" s="79"/>
      <c r="F166" s="88" t="str">
        <f t="shared" si="13"/>
        <v/>
      </c>
      <c r="G166" s="43" t="s">
        <v>135</v>
      </c>
      <c r="H166" s="81"/>
      <c r="I166" s="89" t="str">
        <f>IF(A166="","Pending",IF(H166="","⚠️ Enter Agent Code",IF(IFERROR(VLOOKUP(G166,DB_Agents!$B:$I,8,0),"")=H166,IF(AND(A166&lt;&gt;"",E166&lt;&gt;""),"Saved","Pending"),"🔒 BLOCKED — Wrong Code")))</f>
        <v>Pending</v>
      </c>
      <c r="J166" s="90" t="str">
        <f t="shared" ca="1" si="14"/>
        <v>—</v>
      </c>
      <c r="K166" s="91"/>
    </row>
    <row r="167" spans="1:11" ht="15" customHeight="1" x14ac:dyDescent="0.25">
      <c r="A167" s="76"/>
      <c r="B167" s="37" t="str">
        <f>IF(A167="","",IFERROR(VLOOKUP(A167,DB_Customers!$A:$D,4,0),"❌ Account Not Found"))</f>
        <v/>
      </c>
      <c r="C167" s="77" t="str">
        <f>IF(A167="","",IFERROR(IF(SUMIF(DB_Savings!$C:$C,A167,DB_Savings!$F:$F)=0,VLOOKUP(A167,DB_Customers!$A:$I,9,0),VLOOKUP(A167,DB_Customers!$A:$N,14,0)),"❌ Acct Not Found"))</f>
        <v/>
      </c>
      <c r="D167" s="78" t="str">
        <f t="shared" ca="1" si="12"/>
        <v/>
      </c>
      <c r="E167" s="79"/>
      <c r="F167" s="80" t="str">
        <f t="shared" si="13"/>
        <v/>
      </c>
      <c r="G167" s="39" t="s">
        <v>135</v>
      </c>
      <c r="H167" s="81"/>
      <c r="I167" s="82" t="str">
        <f>IF(A167="","Pending",IF(H167="","⚠️ Enter Agent Code",IF(IFERROR(VLOOKUP(G167,DB_Agents!$B:$I,8,0),"")=H167,IF(AND(A167&lt;&gt;"",E167&lt;&gt;""),"Saved","Pending"),"🔒 BLOCKED — Wrong Code")))</f>
        <v>Pending</v>
      </c>
      <c r="J167" s="83" t="str">
        <f t="shared" ca="1" si="14"/>
        <v>—</v>
      </c>
      <c r="K167" s="84"/>
    </row>
    <row r="168" spans="1:11" ht="15" customHeight="1" x14ac:dyDescent="0.25">
      <c r="A168" s="85"/>
      <c r="B168" s="41" t="str">
        <f>IF(A168="","",IFERROR(VLOOKUP(A168,DB_Customers!$A:$D,4,0),"❌ Account Not Found"))</f>
        <v/>
      </c>
      <c r="C168" s="86" t="str">
        <f>IF(A168="","",IFERROR(IF(SUMIF(DB_Savings!$C:$C,A168,DB_Savings!$F:$F)=0,VLOOKUP(A168,DB_Customers!$A:$I,9,0),VLOOKUP(A168,DB_Customers!$A:$N,14,0)),"❌ Acct Not Found"))</f>
        <v/>
      </c>
      <c r="D168" s="87" t="str">
        <f t="shared" ca="1" si="12"/>
        <v/>
      </c>
      <c r="E168" s="79"/>
      <c r="F168" s="88" t="str">
        <f t="shared" si="13"/>
        <v/>
      </c>
      <c r="G168" s="43" t="s">
        <v>135</v>
      </c>
      <c r="H168" s="81"/>
      <c r="I168" s="89" t="str">
        <f>IF(A168="","Pending",IF(H168="","⚠️ Enter Agent Code",IF(IFERROR(VLOOKUP(G168,DB_Agents!$B:$I,8,0),"")=H168,IF(AND(A168&lt;&gt;"",E168&lt;&gt;""),"Saved","Pending"),"🔒 BLOCKED — Wrong Code")))</f>
        <v>Pending</v>
      </c>
      <c r="J168" s="90" t="str">
        <f t="shared" ca="1" si="14"/>
        <v>—</v>
      </c>
      <c r="K168" s="91"/>
    </row>
    <row r="169" spans="1:11" ht="15" customHeight="1" x14ac:dyDescent="0.25">
      <c r="A169" s="76"/>
      <c r="B169" s="37" t="str">
        <f>IF(A169="","",IFERROR(VLOOKUP(A169,DB_Customers!$A:$D,4,0),"❌ Account Not Found"))</f>
        <v/>
      </c>
      <c r="C169" s="77" t="str">
        <f>IF(A169="","",IFERROR(IF(SUMIF(DB_Savings!$C:$C,A169,DB_Savings!$F:$F)=0,VLOOKUP(A169,DB_Customers!$A:$I,9,0),VLOOKUP(A169,DB_Customers!$A:$N,14,0)),"❌ Acct Not Found"))</f>
        <v/>
      </c>
      <c r="D169" s="78" t="str">
        <f t="shared" ref="D169:D200" ca="1" si="15">IF(A169="","",TODAY())</f>
        <v/>
      </c>
      <c r="E169" s="79"/>
      <c r="F169" s="80" t="str">
        <f t="shared" ref="F169:F200" si="16">IF(OR(A169="",E169=""),"",IF(C169="","",C169+E169))</f>
        <v/>
      </c>
      <c r="G169" s="39" t="s">
        <v>135</v>
      </c>
      <c r="H169" s="81"/>
      <c r="I169" s="82" t="str">
        <f>IF(A169="","Pending",IF(H169="","⚠️ Enter Agent Code",IF(IFERROR(VLOOKUP(G169,DB_Agents!$B:$I,8,0),"")=H169,IF(AND(A169&lt;&gt;"",E169&lt;&gt;""),"Saved","Pending"),"🔒 BLOCKED — Wrong Code")))</f>
        <v>Pending</v>
      </c>
      <c r="J169" s="83" t="str">
        <f t="shared" ref="J169:J200" ca="1" si="17">IF(I169="Saved",TEXT(TODAY(),"YYYY-MM-DD")&amp;" Auto","—")</f>
        <v>—</v>
      </c>
      <c r="K169" s="84"/>
    </row>
    <row r="170" spans="1:11" ht="15" customHeight="1" x14ac:dyDescent="0.25">
      <c r="A170" s="85"/>
      <c r="B170" s="41" t="str">
        <f>IF(A170="","",IFERROR(VLOOKUP(A170,DB_Customers!$A:$D,4,0),"❌ Account Not Found"))</f>
        <v/>
      </c>
      <c r="C170" s="86" t="str">
        <f>IF(A170="","",IFERROR(IF(SUMIF(DB_Savings!$C:$C,A170,DB_Savings!$F:$F)=0,VLOOKUP(A170,DB_Customers!$A:$I,9,0),VLOOKUP(A170,DB_Customers!$A:$N,14,0)),"❌ Acct Not Found"))</f>
        <v/>
      </c>
      <c r="D170" s="87" t="str">
        <f t="shared" ca="1" si="15"/>
        <v/>
      </c>
      <c r="E170" s="79"/>
      <c r="F170" s="88" t="str">
        <f t="shared" si="16"/>
        <v/>
      </c>
      <c r="G170" s="43" t="s">
        <v>135</v>
      </c>
      <c r="H170" s="81"/>
      <c r="I170" s="89" t="str">
        <f>IF(A170="","Pending",IF(H170="","⚠️ Enter Agent Code",IF(IFERROR(VLOOKUP(G170,DB_Agents!$B:$I,8,0),"")=H170,IF(AND(A170&lt;&gt;"",E170&lt;&gt;""),"Saved","Pending"),"🔒 BLOCKED — Wrong Code")))</f>
        <v>Pending</v>
      </c>
      <c r="J170" s="90" t="str">
        <f t="shared" ca="1" si="17"/>
        <v>—</v>
      </c>
      <c r="K170" s="91"/>
    </row>
    <row r="171" spans="1:11" ht="15" customHeight="1" x14ac:dyDescent="0.25">
      <c r="A171" s="76"/>
      <c r="B171" s="37" t="str">
        <f>IF(A171="","",IFERROR(VLOOKUP(A171,DB_Customers!$A:$D,4,0),"❌ Account Not Found"))</f>
        <v/>
      </c>
      <c r="C171" s="77" t="str">
        <f>IF(A171="","",IFERROR(IF(SUMIF(DB_Savings!$C:$C,A171,DB_Savings!$F:$F)=0,VLOOKUP(A171,DB_Customers!$A:$I,9,0),VLOOKUP(A171,DB_Customers!$A:$N,14,0)),"❌ Acct Not Found"))</f>
        <v/>
      </c>
      <c r="D171" s="78" t="str">
        <f t="shared" ca="1" si="15"/>
        <v/>
      </c>
      <c r="E171" s="79"/>
      <c r="F171" s="80" t="str">
        <f t="shared" si="16"/>
        <v/>
      </c>
      <c r="G171" s="39" t="s">
        <v>135</v>
      </c>
      <c r="H171" s="81"/>
      <c r="I171" s="82" t="str">
        <f>IF(A171="","Pending",IF(H171="","⚠️ Enter Agent Code",IF(IFERROR(VLOOKUP(G171,DB_Agents!$B:$I,8,0),"")=H171,IF(AND(A171&lt;&gt;"",E171&lt;&gt;""),"Saved","Pending"),"🔒 BLOCKED — Wrong Code")))</f>
        <v>Pending</v>
      </c>
      <c r="J171" s="83" t="str">
        <f t="shared" ca="1" si="17"/>
        <v>—</v>
      </c>
      <c r="K171" s="84"/>
    </row>
    <row r="172" spans="1:11" ht="15" customHeight="1" x14ac:dyDescent="0.25">
      <c r="A172" s="85"/>
      <c r="B172" s="41" t="str">
        <f>IF(A172="","",IFERROR(VLOOKUP(A172,DB_Customers!$A:$D,4,0),"❌ Account Not Found"))</f>
        <v/>
      </c>
      <c r="C172" s="86" t="str">
        <f>IF(A172="","",IFERROR(IF(SUMIF(DB_Savings!$C:$C,A172,DB_Savings!$F:$F)=0,VLOOKUP(A172,DB_Customers!$A:$I,9,0),VLOOKUP(A172,DB_Customers!$A:$N,14,0)),"❌ Acct Not Found"))</f>
        <v/>
      </c>
      <c r="D172" s="87" t="str">
        <f t="shared" ca="1" si="15"/>
        <v/>
      </c>
      <c r="E172" s="79"/>
      <c r="F172" s="88" t="str">
        <f t="shared" si="16"/>
        <v/>
      </c>
      <c r="G172" s="43" t="s">
        <v>135</v>
      </c>
      <c r="H172" s="81"/>
      <c r="I172" s="89" t="str">
        <f>IF(A172="","Pending",IF(H172="","⚠️ Enter Agent Code",IF(IFERROR(VLOOKUP(G172,DB_Agents!$B:$I,8,0),"")=H172,IF(AND(A172&lt;&gt;"",E172&lt;&gt;""),"Saved","Pending"),"🔒 BLOCKED — Wrong Code")))</f>
        <v>Pending</v>
      </c>
      <c r="J172" s="90" t="str">
        <f t="shared" ca="1" si="17"/>
        <v>—</v>
      </c>
      <c r="K172" s="91"/>
    </row>
    <row r="173" spans="1:11" ht="15" customHeight="1" x14ac:dyDescent="0.25">
      <c r="A173" s="76"/>
      <c r="B173" s="37" t="str">
        <f>IF(A173="","",IFERROR(VLOOKUP(A173,DB_Customers!$A:$D,4,0),"❌ Account Not Found"))</f>
        <v/>
      </c>
      <c r="C173" s="77" t="str">
        <f>IF(A173="","",IFERROR(IF(SUMIF(DB_Savings!$C:$C,A173,DB_Savings!$F:$F)=0,VLOOKUP(A173,DB_Customers!$A:$I,9,0),VLOOKUP(A173,DB_Customers!$A:$N,14,0)),"❌ Acct Not Found"))</f>
        <v/>
      </c>
      <c r="D173" s="78" t="str">
        <f t="shared" ca="1" si="15"/>
        <v/>
      </c>
      <c r="E173" s="79"/>
      <c r="F173" s="80" t="str">
        <f t="shared" si="16"/>
        <v/>
      </c>
      <c r="G173" s="39" t="s">
        <v>135</v>
      </c>
      <c r="H173" s="81"/>
      <c r="I173" s="82" t="str">
        <f>IF(A173="","Pending",IF(H173="","⚠️ Enter Agent Code",IF(IFERROR(VLOOKUP(G173,DB_Agents!$B:$I,8,0),"")=H173,IF(AND(A173&lt;&gt;"",E173&lt;&gt;""),"Saved","Pending"),"🔒 BLOCKED — Wrong Code")))</f>
        <v>Pending</v>
      </c>
      <c r="J173" s="83" t="str">
        <f t="shared" ca="1" si="17"/>
        <v>—</v>
      </c>
      <c r="K173" s="84"/>
    </row>
    <row r="174" spans="1:11" ht="15" customHeight="1" x14ac:dyDescent="0.25">
      <c r="A174" s="85"/>
      <c r="B174" s="41" t="str">
        <f>IF(A174="","",IFERROR(VLOOKUP(A174,DB_Customers!$A:$D,4,0),"❌ Account Not Found"))</f>
        <v/>
      </c>
      <c r="C174" s="86" t="str">
        <f>IF(A174="","",IFERROR(IF(SUMIF(DB_Savings!$C:$C,A174,DB_Savings!$F:$F)=0,VLOOKUP(A174,DB_Customers!$A:$I,9,0),VLOOKUP(A174,DB_Customers!$A:$N,14,0)),"❌ Acct Not Found"))</f>
        <v/>
      </c>
      <c r="D174" s="87" t="str">
        <f t="shared" ca="1" si="15"/>
        <v/>
      </c>
      <c r="E174" s="79"/>
      <c r="F174" s="88" t="str">
        <f t="shared" si="16"/>
        <v/>
      </c>
      <c r="G174" s="43" t="s">
        <v>135</v>
      </c>
      <c r="H174" s="81"/>
      <c r="I174" s="89" t="str">
        <f>IF(A174="","Pending",IF(H174="","⚠️ Enter Agent Code",IF(IFERROR(VLOOKUP(G174,DB_Agents!$B:$I,8,0),"")=H174,IF(AND(A174&lt;&gt;"",E174&lt;&gt;""),"Saved","Pending"),"🔒 BLOCKED — Wrong Code")))</f>
        <v>Pending</v>
      </c>
      <c r="J174" s="90" t="str">
        <f t="shared" ca="1" si="17"/>
        <v>—</v>
      </c>
      <c r="K174" s="91"/>
    </row>
    <row r="175" spans="1:11" ht="15" customHeight="1" x14ac:dyDescent="0.25">
      <c r="A175" s="76"/>
      <c r="B175" s="37" t="str">
        <f>IF(A175="","",IFERROR(VLOOKUP(A175,DB_Customers!$A:$D,4,0),"❌ Account Not Found"))</f>
        <v/>
      </c>
      <c r="C175" s="77" t="str">
        <f>IF(A175="","",IFERROR(IF(SUMIF(DB_Savings!$C:$C,A175,DB_Savings!$F:$F)=0,VLOOKUP(A175,DB_Customers!$A:$I,9,0),VLOOKUP(A175,DB_Customers!$A:$N,14,0)),"❌ Acct Not Found"))</f>
        <v/>
      </c>
      <c r="D175" s="78" t="str">
        <f t="shared" ca="1" si="15"/>
        <v/>
      </c>
      <c r="E175" s="79"/>
      <c r="F175" s="80" t="str">
        <f t="shared" si="16"/>
        <v/>
      </c>
      <c r="G175" s="39" t="s">
        <v>135</v>
      </c>
      <c r="H175" s="81"/>
      <c r="I175" s="82" t="str">
        <f>IF(A175="","Pending",IF(H175="","⚠️ Enter Agent Code",IF(IFERROR(VLOOKUP(G175,DB_Agents!$B:$I,8,0),"")=H175,IF(AND(A175&lt;&gt;"",E175&lt;&gt;""),"Saved","Pending"),"🔒 BLOCKED — Wrong Code")))</f>
        <v>Pending</v>
      </c>
      <c r="J175" s="83" t="str">
        <f t="shared" ca="1" si="17"/>
        <v>—</v>
      </c>
      <c r="K175" s="84"/>
    </row>
    <row r="176" spans="1:11" ht="15" customHeight="1" x14ac:dyDescent="0.25">
      <c r="A176" s="85"/>
      <c r="B176" s="41" t="str">
        <f>IF(A176="","",IFERROR(VLOOKUP(A176,DB_Customers!$A:$D,4,0),"❌ Account Not Found"))</f>
        <v/>
      </c>
      <c r="C176" s="86" t="str">
        <f>IF(A176="","",IFERROR(IF(SUMIF(DB_Savings!$C:$C,A176,DB_Savings!$F:$F)=0,VLOOKUP(A176,DB_Customers!$A:$I,9,0),VLOOKUP(A176,DB_Customers!$A:$N,14,0)),"❌ Acct Not Found"))</f>
        <v/>
      </c>
      <c r="D176" s="87" t="str">
        <f t="shared" ca="1" si="15"/>
        <v/>
      </c>
      <c r="E176" s="79"/>
      <c r="F176" s="88" t="str">
        <f t="shared" si="16"/>
        <v/>
      </c>
      <c r="G176" s="43" t="s">
        <v>135</v>
      </c>
      <c r="H176" s="81"/>
      <c r="I176" s="89" t="str">
        <f>IF(A176="","Pending",IF(H176="","⚠️ Enter Agent Code",IF(IFERROR(VLOOKUP(G176,DB_Agents!$B:$I,8,0),"")=H176,IF(AND(A176&lt;&gt;"",E176&lt;&gt;""),"Saved","Pending"),"🔒 BLOCKED — Wrong Code")))</f>
        <v>Pending</v>
      </c>
      <c r="J176" s="90" t="str">
        <f t="shared" ca="1" si="17"/>
        <v>—</v>
      </c>
      <c r="K176" s="91"/>
    </row>
    <row r="177" spans="1:11" ht="15" customHeight="1" x14ac:dyDescent="0.25">
      <c r="A177" s="76"/>
      <c r="B177" s="37" t="str">
        <f>IF(A177="","",IFERROR(VLOOKUP(A177,DB_Customers!$A:$D,4,0),"❌ Account Not Found"))</f>
        <v/>
      </c>
      <c r="C177" s="77" t="str">
        <f>IF(A177="","",IFERROR(IF(SUMIF(DB_Savings!$C:$C,A177,DB_Savings!$F:$F)=0,VLOOKUP(A177,DB_Customers!$A:$I,9,0),VLOOKUP(A177,DB_Customers!$A:$N,14,0)),"❌ Acct Not Found"))</f>
        <v/>
      </c>
      <c r="D177" s="78" t="str">
        <f t="shared" ca="1" si="15"/>
        <v/>
      </c>
      <c r="E177" s="79"/>
      <c r="F177" s="80" t="str">
        <f t="shared" si="16"/>
        <v/>
      </c>
      <c r="G177" s="39" t="s">
        <v>135</v>
      </c>
      <c r="H177" s="81"/>
      <c r="I177" s="82" t="str">
        <f>IF(A177="","Pending",IF(H177="","⚠️ Enter Agent Code",IF(IFERROR(VLOOKUP(G177,DB_Agents!$B:$I,8,0),"")=H177,IF(AND(A177&lt;&gt;"",E177&lt;&gt;""),"Saved","Pending"),"🔒 BLOCKED — Wrong Code")))</f>
        <v>Pending</v>
      </c>
      <c r="J177" s="83" t="str">
        <f t="shared" ca="1" si="17"/>
        <v>—</v>
      </c>
      <c r="K177" s="84"/>
    </row>
    <row r="178" spans="1:11" ht="15" customHeight="1" x14ac:dyDescent="0.25">
      <c r="A178" s="85"/>
      <c r="B178" s="41" t="str">
        <f>IF(A178="","",IFERROR(VLOOKUP(A178,DB_Customers!$A:$D,4,0),"❌ Account Not Found"))</f>
        <v/>
      </c>
      <c r="C178" s="86" t="str">
        <f>IF(A178="","",IFERROR(IF(SUMIF(DB_Savings!$C:$C,A178,DB_Savings!$F:$F)=0,VLOOKUP(A178,DB_Customers!$A:$I,9,0),VLOOKUP(A178,DB_Customers!$A:$N,14,0)),"❌ Acct Not Found"))</f>
        <v/>
      </c>
      <c r="D178" s="87" t="str">
        <f t="shared" ca="1" si="15"/>
        <v/>
      </c>
      <c r="E178" s="79"/>
      <c r="F178" s="88" t="str">
        <f t="shared" si="16"/>
        <v/>
      </c>
      <c r="G178" s="43" t="s">
        <v>135</v>
      </c>
      <c r="H178" s="81"/>
      <c r="I178" s="89" t="str">
        <f>IF(A178="","Pending",IF(H178="","⚠️ Enter Agent Code",IF(IFERROR(VLOOKUP(G178,DB_Agents!$B:$I,8,0),"")=H178,IF(AND(A178&lt;&gt;"",E178&lt;&gt;""),"Saved","Pending"),"🔒 BLOCKED — Wrong Code")))</f>
        <v>Pending</v>
      </c>
      <c r="J178" s="90" t="str">
        <f t="shared" ca="1" si="17"/>
        <v>—</v>
      </c>
      <c r="K178" s="91"/>
    </row>
    <row r="179" spans="1:11" ht="15" customHeight="1" x14ac:dyDescent="0.25">
      <c r="A179" s="76"/>
      <c r="B179" s="37" t="str">
        <f>IF(A179="","",IFERROR(VLOOKUP(A179,DB_Customers!$A:$D,4,0),"❌ Account Not Found"))</f>
        <v/>
      </c>
      <c r="C179" s="77" t="str">
        <f>IF(A179="","",IFERROR(IF(SUMIF(DB_Savings!$C:$C,A179,DB_Savings!$F:$F)=0,VLOOKUP(A179,DB_Customers!$A:$I,9,0),VLOOKUP(A179,DB_Customers!$A:$N,14,0)),"❌ Acct Not Found"))</f>
        <v/>
      </c>
      <c r="D179" s="78" t="str">
        <f t="shared" ca="1" si="15"/>
        <v/>
      </c>
      <c r="E179" s="79"/>
      <c r="F179" s="80" t="str">
        <f t="shared" si="16"/>
        <v/>
      </c>
      <c r="G179" s="39" t="s">
        <v>135</v>
      </c>
      <c r="H179" s="81"/>
      <c r="I179" s="82" t="str">
        <f>IF(A179="","Pending",IF(H179="","⚠️ Enter Agent Code",IF(IFERROR(VLOOKUP(G179,DB_Agents!$B:$I,8,0),"")=H179,IF(AND(A179&lt;&gt;"",E179&lt;&gt;""),"Saved","Pending"),"🔒 BLOCKED — Wrong Code")))</f>
        <v>Pending</v>
      </c>
      <c r="J179" s="83" t="str">
        <f t="shared" ca="1" si="17"/>
        <v>—</v>
      </c>
      <c r="K179" s="84"/>
    </row>
    <row r="180" spans="1:11" ht="15" customHeight="1" x14ac:dyDescent="0.25">
      <c r="A180" s="85"/>
      <c r="B180" s="41" t="str">
        <f>IF(A180="","",IFERROR(VLOOKUP(A180,DB_Customers!$A:$D,4,0),"❌ Account Not Found"))</f>
        <v/>
      </c>
      <c r="C180" s="86" t="str">
        <f>IF(A180="","",IFERROR(IF(SUMIF(DB_Savings!$C:$C,A180,DB_Savings!$F:$F)=0,VLOOKUP(A180,DB_Customers!$A:$I,9,0),VLOOKUP(A180,DB_Customers!$A:$N,14,0)),"❌ Acct Not Found"))</f>
        <v/>
      </c>
      <c r="D180" s="87" t="str">
        <f t="shared" ca="1" si="15"/>
        <v/>
      </c>
      <c r="E180" s="79"/>
      <c r="F180" s="88" t="str">
        <f t="shared" si="16"/>
        <v/>
      </c>
      <c r="G180" s="43" t="s">
        <v>135</v>
      </c>
      <c r="H180" s="81"/>
      <c r="I180" s="89" t="str">
        <f>IF(A180="","Pending",IF(H180="","⚠️ Enter Agent Code",IF(IFERROR(VLOOKUP(G180,DB_Agents!$B:$I,8,0),"")=H180,IF(AND(A180&lt;&gt;"",E180&lt;&gt;""),"Saved","Pending"),"🔒 BLOCKED — Wrong Code")))</f>
        <v>Pending</v>
      </c>
      <c r="J180" s="90" t="str">
        <f t="shared" ca="1" si="17"/>
        <v>—</v>
      </c>
      <c r="K180" s="91"/>
    </row>
    <row r="181" spans="1:11" ht="15" customHeight="1" x14ac:dyDescent="0.25">
      <c r="A181" s="76"/>
      <c r="B181" s="37" t="str">
        <f>IF(A181="","",IFERROR(VLOOKUP(A181,DB_Customers!$A:$D,4,0),"❌ Account Not Found"))</f>
        <v/>
      </c>
      <c r="C181" s="77" t="str">
        <f>IF(A181="","",IFERROR(IF(SUMIF(DB_Savings!$C:$C,A181,DB_Savings!$F:$F)=0,VLOOKUP(A181,DB_Customers!$A:$I,9,0),VLOOKUP(A181,DB_Customers!$A:$N,14,0)),"❌ Acct Not Found"))</f>
        <v/>
      </c>
      <c r="D181" s="78" t="str">
        <f t="shared" ca="1" si="15"/>
        <v/>
      </c>
      <c r="E181" s="79"/>
      <c r="F181" s="80" t="str">
        <f t="shared" si="16"/>
        <v/>
      </c>
      <c r="G181" s="39" t="s">
        <v>135</v>
      </c>
      <c r="H181" s="81"/>
      <c r="I181" s="82" t="str">
        <f>IF(A181="","Pending",IF(H181="","⚠️ Enter Agent Code",IF(IFERROR(VLOOKUP(G181,DB_Agents!$B:$I,8,0),"")=H181,IF(AND(A181&lt;&gt;"",E181&lt;&gt;""),"Saved","Pending"),"🔒 BLOCKED — Wrong Code")))</f>
        <v>Pending</v>
      </c>
      <c r="J181" s="83" t="str">
        <f t="shared" ca="1" si="17"/>
        <v>—</v>
      </c>
      <c r="K181" s="84"/>
    </row>
    <row r="182" spans="1:11" ht="15" customHeight="1" x14ac:dyDescent="0.25">
      <c r="A182" s="85"/>
      <c r="B182" s="41" t="str">
        <f>IF(A182="","",IFERROR(VLOOKUP(A182,DB_Customers!$A:$D,4,0),"❌ Account Not Found"))</f>
        <v/>
      </c>
      <c r="C182" s="86" t="str">
        <f>IF(A182="","",IFERROR(IF(SUMIF(DB_Savings!$C:$C,A182,DB_Savings!$F:$F)=0,VLOOKUP(A182,DB_Customers!$A:$I,9,0),VLOOKUP(A182,DB_Customers!$A:$N,14,0)),"❌ Acct Not Found"))</f>
        <v/>
      </c>
      <c r="D182" s="87" t="str">
        <f t="shared" ca="1" si="15"/>
        <v/>
      </c>
      <c r="E182" s="79"/>
      <c r="F182" s="88" t="str">
        <f t="shared" si="16"/>
        <v/>
      </c>
      <c r="G182" s="43" t="s">
        <v>135</v>
      </c>
      <c r="H182" s="81"/>
      <c r="I182" s="89" t="str">
        <f>IF(A182="","Pending",IF(H182="","⚠️ Enter Agent Code",IF(IFERROR(VLOOKUP(G182,DB_Agents!$B:$I,8,0),"")=H182,IF(AND(A182&lt;&gt;"",E182&lt;&gt;""),"Saved","Pending"),"🔒 BLOCKED — Wrong Code")))</f>
        <v>Pending</v>
      </c>
      <c r="J182" s="90" t="str">
        <f t="shared" ca="1" si="17"/>
        <v>—</v>
      </c>
      <c r="K182" s="91"/>
    </row>
    <row r="183" spans="1:11" ht="15" customHeight="1" x14ac:dyDescent="0.25">
      <c r="A183" s="76"/>
      <c r="B183" s="37" t="str">
        <f>IF(A183="","",IFERROR(VLOOKUP(A183,DB_Customers!$A:$D,4,0),"❌ Account Not Found"))</f>
        <v/>
      </c>
      <c r="C183" s="77" t="str">
        <f>IF(A183="","",IFERROR(IF(SUMIF(DB_Savings!$C:$C,A183,DB_Savings!$F:$F)=0,VLOOKUP(A183,DB_Customers!$A:$I,9,0),VLOOKUP(A183,DB_Customers!$A:$N,14,0)),"❌ Acct Not Found"))</f>
        <v/>
      </c>
      <c r="D183" s="78" t="str">
        <f t="shared" ca="1" si="15"/>
        <v/>
      </c>
      <c r="E183" s="79"/>
      <c r="F183" s="80" t="str">
        <f t="shared" si="16"/>
        <v/>
      </c>
      <c r="G183" s="39" t="s">
        <v>135</v>
      </c>
      <c r="H183" s="81"/>
      <c r="I183" s="82" t="str">
        <f>IF(A183="","Pending",IF(H183="","⚠️ Enter Agent Code",IF(IFERROR(VLOOKUP(G183,DB_Agents!$B:$I,8,0),"")=H183,IF(AND(A183&lt;&gt;"",E183&lt;&gt;""),"Saved","Pending"),"🔒 BLOCKED — Wrong Code")))</f>
        <v>Pending</v>
      </c>
      <c r="J183" s="83" t="str">
        <f t="shared" ca="1" si="17"/>
        <v>—</v>
      </c>
      <c r="K183" s="84"/>
    </row>
    <row r="184" spans="1:11" ht="15" customHeight="1" x14ac:dyDescent="0.25">
      <c r="A184" s="85"/>
      <c r="B184" s="41" t="str">
        <f>IF(A184="","",IFERROR(VLOOKUP(A184,DB_Customers!$A:$D,4,0),"❌ Account Not Found"))</f>
        <v/>
      </c>
      <c r="C184" s="86" t="str">
        <f>IF(A184="","",IFERROR(IF(SUMIF(DB_Savings!$C:$C,A184,DB_Savings!$F:$F)=0,VLOOKUP(A184,DB_Customers!$A:$I,9,0),VLOOKUP(A184,DB_Customers!$A:$N,14,0)),"❌ Acct Not Found"))</f>
        <v/>
      </c>
      <c r="D184" s="87" t="str">
        <f t="shared" ca="1" si="15"/>
        <v/>
      </c>
      <c r="E184" s="79"/>
      <c r="F184" s="88" t="str">
        <f t="shared" si="16"/>
        <v/>
      </c>
      <c r="G184" s="43" t="s">
        <v>135</v>
      </c>
      <c r="H184" s="81"/>
      <c r="I184" s="89" t="str">
        <f>IF(A184="","Pending",IF(H184="","⚠️ Enter Agent Code",IF(IFERROR(VLOOKUP(G184,DB_Agents!$B:$I,8,0),"")=H184,IF(AND(A184&lt;&gt;"",E184&lt;&gt;""),"Saved","Pending"),"🔒 BLOCKED — Wrong Code")))</f>
        <v>Pending</v>
      </c>
      <c r="J184" s="90" t="str">
        <f t="shared" ca="1" si="17"/>
        <v>—</v>
      </c>
      <c r="K184" s="91"/>
    </row>
    <row r="185" spans="1:11" ht="15" customHeight="1" x14ac:dyDescent="0.25">
      <c r="A185" s="76"/>
      <c r="B185" s="37" t="str">
        <f>IF(A185="","",IFERROR(VLOOKUP(A185,DB_Customers!$A:$D,4,0),"❌ Account Not Found"))</f>
        <v/>
      </c>
      <c r="C185" s="77" t="str">
        <f>IF(A185="","",IFERROR(IF(SUMIF(DB_Savings!$C:$C,A185,DB_Savings!$F:$F)=0,VLOOKUP(A185,DB_Customers!$A:$I,9,0),VLOOKUP(A185,DB_Customers!$A:$N,14,0)),"❌ Acct Not Found"))</f>
        <v/>
      </c>
      <c r="D185" s="78" t="str">
        <f t="shared" ca="1" si="15"/>
        <v/>
      </c>
      <c r="E185" s="79"/>
      <c r="F185" s="80" t="str">
        <f t="shared" si="16"/>
        <v/>
      </c>
      <c r="G185" s="39" t="s">
        <v>135</v>
      </c>
      <c r="H185" s="81"/>
      <c r="I185" s="82" t="str">
        <f>IF(A185="","Pending",IF(H185="","⚠️ Enter Agent Code",IF(IFERROR(VLOOKUP(G185,DB_Agents!$B:$I,8,0),"")=H185,IF(AND(A185&lt;&gt;"",E185&lt;&gt;""),"Saved","Pending"),"🔒 BLOCKED — Wrong Code")))</f>
        <v>Pending</v>
      </c>
      <c r="J185" s="83" t="str">
        <f t="shared" ca="1" si="17"/>
        <v>—</v>
      </c>
      <c r="K185" s="84"/>
    </row>
    <row r="186" spans="1:11" ht="15" customHeight="1" x14ac:dyDescent="0.25">
      <c r="A186" s="85"/>
      <c r="B186" s="41" t="str">
        <f>IF(A186="","",IFERROR(VLOOKUP(A186,DB_Customers!$A:$D,4,0),"❌ Account Not Found"))</f>
        <v/>
      </c>
      <c r="C186" s="86" t="str">
        <f>IF(A186="","",IFERROR(IF(SUMIF(DB_Savings!$C:$C,A186,DB_Savings!$F:$F)=0,VLOOKUP(A186,DB_Customers!$A:$I,9,0),VLOOKUP(A186,DB_Customers!$A:$N,14,0)),"❌ Acct Not Found"))</f>
        <v/>
      </c>
      <c r="D186" s="87" t="str">
        <f t="shared" ca="1" si="15"/>
        <v/>
      </c>
      <c r="E186" s="79"/>
      <c r="F186" s="88" t="str">
        <f t="shared" si="16"/>
        <v/>
      </c>
      <c r="G186" s="43" t="s">
        <v>135</v>
      </c>
      <c r="H186" s="81"/>
      <c r="I186" s="89" t="str">
        <f>IF(A186="","Pending",IF(H186="","⚠️ Enter Agent Code",IF(IFERROR(VLOOKUP(G186,DB_Agents!$B:$I,8,0),"")=H186,IF(AND(A186&lt;&gt;"",E186&lt;&gt;""),"Saved","Pending"),"🔒 BLOCKED — Wrong Code")))</f>
        <v>Pending</v>
      </c>
      <c r="J186" s="90" t="str">
        <f t="shared" ca="1" si="17"/>
        <v>—</v>
      </c>
      <c r="K186" s="91"/>
    </row>
    <row r="187" spans="1:11" ht="15" customHeight="1" x14ac:dyDescent="0.25">
      <c r="A187" s="76"/>
      <c r="B187" s="37" t="str">
        <f>IF(A187="","",IFERROR(VLOOKUP(A187,DB_Customers!$A:$D,4,0),"❌ Account Not Found"))</f>
        <v/>
      </c>
      <c r="C187" s="77" t="str">
        <f>IF(A187="","",IFERROR(IF(SUMIF(DB_Savings!$C:$C,A187,DB_Savings!$F:$F)=0,VLOOKUP(A187,DB_Customers!$A:$I,9,0),VLOOKUP(A187,DB_Customers!$A:$N,14,0)),"❌ Acct Not Found"))</f>
        <v/>
      </c>
      <c r="D187" s="78" t="str">
        <f t="shared" ca="1" si="15"/>
        <v/>
      </c>
      <c r="E187" s="79"/>
      <c r="F187" s="80" t="str">
        <f t="shared" si="16"/>
        <v/>
      </c>
      <c r="G187" s="39" t="s">
        <v>135</v>
      </c>
      <c r="H187" s="81"/>
      <c r="I187" s="82" t="str">
        <f>IF(A187="","Pending",IF(H187="","⚠️ Enter Agent Code",IF(IFERROR(VLOOKUP(G187,DB_Agents!$B:$I,8,0),"")=H187,IF(AND(A187&lt;&gt;"",E187&lt;&gt;""),"Saved","Pending"),"🔒 BLOCKED — Wrong Code")))</f>
        <v>Pending</v>
      </c>
      <c r="J187" s="83" t="str">
        <f t="shared" ca="1" si="17"/>
        <v>—</v>
      </c>
      <c r="K187" s="84"/>
    </row>
    <row r="188" spans="1:11" ht="15" customHeight="1" x14ac:dyDescent="0.25">
      <c r="A188" s="85"/>
      <c r="B188" s="41" t="str">
        <f>IF(A188="","",IFERROR(VLOOKUP(A188,DB_Customers!$A:$D,4,0),"❌ Account Not Found"))</f>
        <v/>
      </c>
      <c r="C188" s="86" t="str">
        <f>IF(A188="","",IFERROR(IF(SUMIF(DB_Savings!$C:$C,A188,DB_Savings!$F:$F)=0,VLOOKUP(A188,DB_Customers!$A:$I,9,0),VLOOKUP(A188,DB_Customers!$A:$N,14,0)),"❌ Acct Not Found"))</f>
        <v/>
      </c>
      <c r="D188" s="87" t="str">
        <f t="shared" ca="1" si="15"/>
        <v/>
      </c>
      <c r="E188" s="79"/>
      <c r="F188" s="88" t="str">
        <f t="shared" si="16"/>
        <v/>
      </c>
      <c r="G188" s="43" t="s">
        <v>135</v>
      </c>
      <c r="H188" s="81"/>
      <c r="I188" s="89" t="str">
        <f>IF(A188="","Pending",IF(H188="","⚠️ Enter Agent Code",IF(IFERROR(VLOOKUP(G188,DB_Agents!$B:$I,8,0),"")=H188,IF(AND(A188&lt;&gt;"",E188&lt;&gt;""),"Saved","Pending"),"🔒 BLOCKED — Wrong Code")))</f>
        <v>Pending</v>
      </c>
      <c r="J188" s="90" t="str">
        <f t="shared" ca="1" si="17"/>
        <v>—</v>
      </c>
      <c r="K188" s="91"/>
    </row>
    <row r="189" spans="1:11" ht="15" customHeight="1" x14ac:dyDescent="0.25">
      <c r="A189" s="76"/>
      <c r="B189" s="37" t="str">
        <f>IF(A189="","",IFERROR(VLOOKUP(A189,DB_Customers!$A:$D,4,0),"❌ Account Not Found"))</f>
        <v/>
      </c>
      <c r="C189" s="77" t="str">
        <f>IF(A189="","",IFERROR(IF(SUMIF(DB_Savings!$C:$C,A189,DB_Savings!$F:$F)=0,VLOOKUP(A189,DB_Customers!$A:$I,9,0),VLOOKUP(A189,DB_Customers!$A:$N,14,0)),"❌ Acct Not Found"))</f>
        <v/>
      </c>
      <c r="D189" s="78" t="str">
        <f t="shared" ca="1" si="15"/>
        <v/>
      </c>
      <c r="E189" s="79"/>
      <c r="F189" s="80" t="str">
        <f t="shared" si="16"/>
        <v/>
      </c>
      <c r="G189" s="39" t="s">
        <v>135</v>
      </c>
      <c r="H189" s="81"/>
      <c r="I189" s="82" t="str">
        <f>IF(A189="","Pending",IF(H189="","⚠️ Enter Agent Code",IF(IFERROR(VLOOKUP(G189,DB_Agents!$B:$I,8,0),"")=H189,IF(AND(A189&lt;&gt;"",E189&lt;&gt;""),"Saved","Pending"),"🔒 BLOCKED — Wrong Code")))</f>
        <v>Pending</v>
      </c>
      <c r="J189" s="83" t="str">
        <f t="shared" ca="1" si="17"/>
        <v>—</v>
      </c>
      <c r="K189" s="84"/>
    </row>
    <row r="190" spans="1:11" ht="15" customHeight="1" x14ac:dyDescent="0.25">
      <c r="A190" s="85"/>
      <c r="B190" s="41" t="str">
        <f>IF(A190="","",IFERROR(VLOOKUP(A190,DB_Customers!$A:$D,4,0),"❌ Account Not Found"))</f>
        <v/>
      </c>
      <c r="C190" s="86" t="str">
        <f>IF(A190="","",IFERROR(IF(SUMIF(DB_Savings!$C:$C,A190,DB_Savings!$F:$F)=0,VLOOKUP(A190,DB_Customers!$A:$I,9,0),VLOOKUP(A190,DB_Customers!$A:$N,14,0)),"❌ Acct Not Found"))</f>
        <v/>
      </c>
      <c r="D190" s="87" t="str">
        <f t="shared" ca="1" si="15"/>
        <v/>
      </c>
      <c r="E190" s="79"/>
      <c r="F190" s="88" t="str">
        <f t="shared" si="16"/>
        <v/>
      </c>
      <c r="G190" s="43" t="s">
        <v>135</v>
      </c>
      <c r="H190" s="81"/>
      <c r="I190" s="89" t="str">
        <f>IF(A190="","Pending",IF(H190="","⚠️ Enter Agent Code",IF(IFERROR(VLOOKUP(G190,DB_Agents!$B:$I,8,0),"")=H190,IF(AND(A190&lt;&gt;"",E190&lt;&gt;""),"Saved","Pending"),"🔒 BLOCKED — Wrong Code")))</f>
        <v>Pending</v>
      </c>
      <c r="J190" s="90" t="str">
        <f t="shared" ca="1" si="17"/>
        <v>—</v>
      </c>
      <c r="K190" s="91"/>
    </row>
    <row r="191" spans="1:11" ht="15" customHeight="1" x14ac:dyDescent="0.25">
      <c r="A191" s="76"/>
      <c r="B191" s="37" t="str">
        <f>IF(A191="","",IFERROR(VLOOKUP(A191,DB_Customers!$A:$D,4,0),"❌ Account Not Found"))</f>
        <v/>
      </c>
      <c r="C191" s="77" t="str">
        <f>IF(A191="","",IFERROR(IF(SUMIF(DB_Savings!$C:$C,A191,DB_Savings!$F:$F)=0,VLOOKUP(A191,DB_Customers!$A:$I,9,0),VLOOKUP(A191,DB_Customers!$A:$N,14,0)),"❌ Acct Not Found"))</f>
        <v/>
      </c>
      <c r="D191" s="78" t="str">
        <f t="shared" ca="1" si="15"/>
        <v/>
      </c>
      <c r="E191" s="79"/>
      <c r="F191" s="80" t="str">
        <f t="shared" si="16"/>
        <v/>
      </c>
      <c r="G191" s="39" t="s">
        <v>135</v>
      </c>
      <c r="H191" s="81"/>
      <c r="I191" s="82" t="str">
        <f>IF(A191="","Pending",IF(H191="","⚠️ Enter Agent Code",IF(IFERROR(VLOOKUP(G191,DB_Agents!$B:$I,8,0),"")=H191,IF(AND(A191&lt;&gt;"",E191&lt;&gt;""),"Saved","Pending"),"🔒 BLOCKED — Wrong Code")))</f>
        <v>Pending</v>
      </c>
      <c r="J191" s="83" t="str">
        <f t="shared" ca="1" si="17"/>
        <v>—</v>
      </c>
      <c r="K191" s="84"/>
    </row>
    <row r="192" spans="1:11" ht="15" customHeight="1" x14ac:dyDescent="0.25">
      <c r="A192" s="85"/>
      <c r="B192" s="41" t="str">
        <f>IF(A192="","",IFERROR(VLOOKUP(A192,DB_Customers!$A:$D,4,0),"❌ Account Not Found"))</f>
        <v/>
      </c>
      <c r="C192" s="86" t="str">
        <f>IF(A192="","",IFERROR(IF(SUMIF(DB_Savings!$C:$C,A192,DB_Savings!$F:$F)=0,VLOOKUP(A192,DB_Customers!$A:$I,9,0),VLOOKUP(A192,DB_Customers!$A:$N,14,0)),"❌ Acct Not Found"))</f>
        <v/>
      </c>
      <c r="D192" s="87" t="str">
        <f t="shared" ca="1" si="15"/>
        <v/>
      </c>
      <c r="E192" s="79"/>
      <c r="F192" s="88" t="str">
        <f t="shared" si="16"/>
        <v/>
      </c>
      <c r="G192" s="43" t="s">
        <v>135</v>
      </c>
      <c r="H192" s="81"/>
      <c r="I192" s="89" t="str">
        <f>IF(A192="","Pending",IF(H192="","⚠️ Enter Agent Code",IF(IFERROR(VLOOKUP(G192,DB_Agents!$B:$I,8,0),"")=H192,IF(AND(A192&lt;&gt;"",E192&lt;&gt;""),"Saved","Pending"),"🔒 BLOCKED — Wrong Code")))</f>
        <v>Pending</v>
      </c>
      <c r="J192" s="90" t="str">
        <f t="shared" ca="1" si="17"/>
        <v>—</v>
      </c>
      <c r="K192" s="91"/>
    </row>
    <row r="193" spans="1:11" ht="15" customHeight="1" x14ac:dyDescent="0.25">
      <c r="A193" s="76"/>
      <c r="B193" s="37" t="str">
        <f>IF(A193="","",IFERROR(VLOOKUP(A193,DB_Customers!$A:$D,4,0),"❌ Account Not Found"))</f>
        <v/>
      </c>
      <c r="C193" s="77" t="str">
        <f>IF(A193="","",IFERROR(IF(SUMIF(DB_Savings!$C:$C,A193,DB_Savings!$F:$F)=0,VLOOKUP(A193,DB_Customers!$A:$I,9,0),VLOOKUP(A193,DB_Customers!$A:$N,14,0)),"❌ Acct Not Found"))</f>
        <v/>
      </c>
      <c r="D193" s="78" t="str">
        <f t="shared" ca="1" si="15"/>
        <v/>
      </c>
      <c r="E193" s="79"/>
      <c r="F193" s="80" t="str">
        <f t="shared" si="16"/>
        <v/>
      </c>
      <c r="G193" s="39" t="s">
        <v>135</v>
      </c>
      <c r="H193" s="81"/>
      <c r="I193" s="82" t="str">
        <f>IF(A193="","Pending",IF(H193="","⚠️ Enter Agent Code",IF(IFERROR(VLOOKUP(G193,DB_Agents!$B:$I,8,0),"")=H193,IF(AND(A193&lt;&gt;"",E193&lt;&gt;""),"Saved","Pending"),"🔒 BLOCKED — Wrong Code")))</f>
        <v>Pending</v>
      </c>
      <c r="J193" s="83" t="str">
        <f t="shared" ca="1" si="17"/>
        <v>—</v>
      </c>
      <c r="K193" s="84"/>
    </row>
    <row r="194" spans="1:11" ht="15" customHeight="1" x14ac:dyDescent="0.25">
      <c r="A194" s="85"/>
      <c r="B194" s="41" t="str">
        <f>IF(A194="","",IFERROR(VLOOKUP(A194,DB_Customers!$A:$D,4,0),"❌ Account Not Found"))</f>
        <v/>
      </c>
      <c r="C194" s="86" t="str">
        <f>IF(A194="","",IFERROR(IF(SUMIF(DB_Savings!$C:$C,A194,DB_Savings!$F:$F)=0,VLOOKUP(A194,DB_Customers!$A:$I,9,0),VLOOKUP(A194,DB_Customers!$A:$N,14,0)),"❌ Acct Not Found"))</f>
        <v/>
      </c>
      <c r="D194" s="87" t="str">
        <f t="shared" ca="1" si="15"/>
        <v/>
      </c>
      <c r="E194" s="79"/>
      <c r="F194" s="88" t="str">
        <f t="shared" si="16"/>
        <v/>
      </c>
      <c r="G194" s="43" t="s">
        <v>135</v>
      </c>
      <c r="H194" s="81"/>
      <c r="I194" s="89" t="str">
        <f>IF(A194="","Pending",IF(H194="","⚠️ Enter Agent Code",IF(IFERROR(VLOOKUP(G194,DB_Agents!$B:$I,8,0),"")=H194,IF(AND(A194&lt;&gt;"",E194&lt;&gt;""),"Saved","Pending"),"🔒 BLOCKED — Wrong Code")))</f>
        <v>Pending</v>
      </c>
      <c r="J194" s="90" t="str">
        <f t="shared" ca="1" si="17"/>
        <v>—</v>
      </c>
      <c r="K194" s="91"/>
    </row>
    <row r="195" spans="1:11" ht="15" customHeight="1" x14ac:dyDescent="0.25">
      <c r="A195" s="76"/>
      <c r="B195" s="37" t="str">
        <f>IF(A195="","",IFERROR(VLOOKUP(A195,DB_Customers!$A:$D,4,0),"❌ Account Not Found"))</f>
        <v/>
      </c>
      <c r="C195" s="77" t="str">
        <f>IF(A195="","",IFERROR(IF(SUMIF(DB_Savings!$C:$C,A195,DB_Savings!$F:$F)=0,VLOOKUP(A195,DB_Customers!$A:$I,9,0),VLOOKUP(A195,DB_Customers!$A:$N,14,0)),"❌ Acct Not Found"))</f>
        <v/>
      </c>
      <c r="D195" s="78" t="str">
        <f t="shared" ca="1" si="15"/>
        <v/>
      </c>
      <c r="E195" s="79"/>
      <c r="F195" s="80" t="str">
        <f t="shared" si="16"/>
        <v/>
      </c>
      <c r="G195" s="39" t="s">
        <v>135</v>
      </c>
      <c r="H195" s="81"/>
      <c r="I195" s="82" t="str">
        <f>IF(A195="","Pending",IF(H195="","⚠️ Enter Agent Code",IF(IFERROR(VLOOKUP(G195,DB_Agents!$B:$I,8,0),"")=H195,IF(AND(A195&lt;&gt;"",E195&lt;&gt;""),"Saved","Pending"),"🔒 BLOCKED — Wrong Code")))</f>
        <v>Pending</v>
      </c>
      <c r="J195" s="83" t="str">
        <f t="shared" ca="1" si="17"/>
        <v>—</v>
      </c>
      <c r="K195" s="84"/>
    </row>
    <row r="196" spans="1:11" ht="15" customHeight="1" x14ac:dyDescent="0.25">
      <c r="A196" s="85"/>
      <c r="B196" s="41" t="str">
        <f>IF(A196="","",IFERROR(VLOOKUP(A196,DB_Customers!$A:$D,4,0),"❌ Account Not Found"))</f>
        <v/>
      </c>
      <c r="C196" s="86" t="str">
        <f>IF(A196="","",IFERROR(IF(SUMIF(DB_Savings!$C:$C,A196,DB_Savings!$F:$F)=0,VLOOKUP(A196,DB_Customers!$A:$I,9,0),VLOOKUP(A196,DB_Customers!$A:$N,14,0)),"❌ Acct Not Found"))</f>
        <v/>
      </c>
      <c r="D196" s="87" t="str">
        <f t="shared" ca="1" si="15"/>
        <v/>
      </c>
      <c r="E196" s="79"/>
      <c r="F196" s="88" t="str">
        <f t="shared" si="16"/>
        <v/>
      </c>
      <c r="G196" s="43" t="s">
        <v>135</v>
      </c>
      <c r="H196" s="81"/>
      <c r="I196" s="89" t="str">
        <f>IF(A196="","Pending",IF(H196="","⚠️ Enter Agent Code",IF(IFERROR(VLOOKUP(G196,DB_Agents!$B:$I,8,0),"")=H196,IF(AND(A196&lt;&gt;"",E196&lt;&gt;""),"Saved","Pending"),"🔒 BLOCKED — Wrong Code")))</f>
        <v>Pending</v>
      </c>
      <c r="J196" s="90" t="str">
        <f t="shared" ca="1" si="17"/>
        <v>—</v>
      </c>
      <c r="K196" s="91"/>
    </row>
    <row r="197" spans="1:11" ht="15" customHeight="1" x14ac:dyDescent="0.25">
      <c r="A197" s="76"/>
      <c r="B197" s="37" t="str">
        <f>IF(A197="","",IFERROR(VLOOKUP(A197,DB_Customers!$A:$D,4,0),"❌ Account Not Found"))</f>
        <v/>
      </c>
      <c r="C197" s="77" t="str">
        <f>IF(A197="","",IFERROR(IF(SUMIF(DB_Savings!$C:$C,A197,DB_Savings!$F:$F)=0,VLOOKUP(A197,DB_Customers!$A:$I,9,0),VLOOKUP(A197,DB_Customers!$A:$N,14,0)),"❌ Acct Not Found"))</f>
        <v/>
      </c>
      <c r="D197" s="78" t="str">
        <f t="shared" ca="1" si="15"/>
        <v/>
      </c>
      <c r="E197" s="79"/>
      <c r="F197" s="80" t="str">
        <f t="shared" si="16"/>
        <v/>
      </c>
      <c r="G197" s="39" t="s">
        <v>135</v>
      </c>
      <c r="H197" s="81"/>
      <c r="I197" s="82" t="str">
        <f>IF(A197="","Pending",IF(H197="","⚠️ Enter Agent Code",IF(IFERROR(VLOOKUP(G197,DB_Agents!$B:$I,8,0),"")=H197,IF(AND(A197&lt;&gt;"",E197&lt;&gt;""),"Saved","Pending"),"🔒 BLOCKED — Wrong Code")))</f>
        <v>Pending</v>
      </c>
      <c r="J197" s="83" t="str">
        <f t="shared" ca="1" si="17"/>
        <v>—</v>
      </c>
      <c r="K197" s="84"/>
    </row>
    <row r="198" spans="1:11" ht="15" customHeight="1" x14ac:dyDescent="0.25">
      <c r="A198" s="85"/>
      <c r="B198" s="41" t="str">
        <f>IF(A198="","",IFERROR(VLOOKUP(A198,DB_Customers!$A:$D,4,0),"❌ Account Not Found"))</f>
        <v/>
      </c>
      <c r="C198" s="86" t="str">
        <f>IF(A198="","",IFERROR(IF(SUMIF(DB_Savings!$C:$C,A198,DB_Savings!$F:$F)=0,VLOOKUP(A198,DB_Customers!$A:$I,9,0),VLOOKUP(A198,DB_Customers!$A:$N,14,0)),"❌ Acct Not Found"))</f>
        <v/>
      </c>
      <c r="D198" s="87" t="str">
        <f t="shared" ca="1" si="15"/>
        <v/>
      </c>
      <c r="E198" s="79"/>
      <c r="F198" s="88" t="str">
        <f t="shared" si="16"/>
        <v/>
      </c>
      <c r="G198" s="43" t="s">
        <v>135</v>
      </c>
      <c r="H198" s="81"/>
      <c r="I198" s="89" t="str">
        <f>IF(A198="","Pending",IF(H198="","⚠️ Enter Agent Code",IF(IFERROR(VLOOKUP(G198,DB_Agents!$B:$I,8,0),"")=H198,IF(AND(A198&lt;&gt;"",E198&lt;&gt;""),"Saved","Pending"),"🔒 BLOCKED — Wrong Code")))</f>
        <v>Pending</v>
      </c>
      <c r="J198" s="90" t="str">
        <f t="shared" ca="1" si="17"/>
        <v>—</v>
      </c>
      <c r="K198" s="91"/>
    </row>
    <row r="199" spans="1:11" ht="15" customHeight="1" x14ac:dyDescent="0.25">
      <c r="A199" s="76"/>
      <c r="B199" s="37" t="str">
        <f>IF(A199="","",IFERROR(VLOOKUP(A199,DB_Customers!$A:$D,4,0),"❌ Account Not Found"))</f>
        <v/>
      </c>
      <c r="C199" s="77" t="str">
        <f>IF(A199="","",IFERROR(IF(SUMIF(DB_Savings!$C:$C,A199,DB_Savings!$F:$F)=0,VLOOKUP(A199,DB_Customers!$A:$I,9,0),VLOOKUP(A199,DB_Customers!$A:$N,14,0)),"❌ Acct Not Found"))</f>
        <v/>
      </c>
      <c r="D199" s="78" t="str">
        <f t="shared" ca="1" si="15"/>
        <v/>
      </c>
      <c r="E199" s="79"/>
      <c r="F199" s="80" t="str">
        <f t="shared" si="16"/>
        <v/>
      </c>
      <c r="G199" s="39" t="s">
        <v>135</v>
      </c>
      <c r="H199" s="81"/>
      <c r="I199" s="82" t="str">
        <f>IF(A199="","Pending",IF(H199="","⚠️ Enter Agent Code",IF(IFERROR(VLOOKUP(G199,DB_Agents!$B:$I,8,0),"")=H199,IF(AND(A199&lt;&gt;"",E199&lt;&gt;""),"Saved","Pending"),"🔒 BLOCKED — Wrong Code")))</f>
        <v>Pending</v>
      </c>
      <c r="J199" s="83" t="str">
        <f t="shared" ca="1" si="17"/>
        <v>—</v>
      </c>
      <c r="K199" s="84"/>
    </row>
    <row r="200" spans="1:11" ht="15" customHeight="1" x14ac:dyDescent="0.25">
      <c r="A200" s="85"/>
      <c r="B200" s="41" t="str">
        <f>IF(A200="","",IFERROR(VLOOKUP(A200,DB_Customers!$A:$D,4,0),"❌ Account Not Found"))</f>
        <v/>
      </c>
      <c r="C200" s="86" t="str">
        <f>IF(A200="","",IFERROR(IF(SUMIF(DB_Savings!$C:$C,A200,DB_Savings!$F:$F)=0,VLOOKUP(A200,DB_Customers!$A:$I,9,0),VLOOKUP(A200,DB_Customers!$A:$N,14,0)),"❌ Acct Not Found"))</f>
        <v/>
      </c>
      <c r="D200" s="87" t="str">
        <f t="shared" ca="1" si="15"/>
        <v/>
      </c>
      <c r="E200" s="79"/>
      <c r="F200" s="88" t="str">
        <f t="shared" si="16"/>
        <v/>
      </c>
      <c r="G200" s="43" t="s">
        <v>135</v>
      </c>
      <c r="H200" s="81"/>
      <c r="I200" s="89" t="str">
        <f>IF(A200="","Pending",IF(H200="","⚠️ Enter Agent Code",IF(IFERROR(VLOOKUP(G200,DB_Agents!$B:$I,8,0),"")=H200,IF(AND(A200&lt;&gt;"",E200&lt;&gt;""),"Saved","Pending"),"🔒 BLOCKED — Wrong Code")))</f>
        <v>Pending</v>
      </c>
      <c r="J200" s="90" t="str">
        <f t="shared" ca="1" si="17"/>
        <v>—</v>
      </c>
      <c r="K200" s="91"/>
    </row>
    <row r="201" spans="1:11" ht="15" customHeight="1" x14ac:dyDescent="0.25">
      <c r="A201" s="76"/>
      <c r="B201" s="37" t="str">
        <f>IF(A201="","",IFERROR(VLOOKUP(A201,DB_Customers!$A:$D,4,0),"❌ Account Not Found"))</f>
        <v/>
      </c>
      <c r="C201" s="77" t="str">
        <f>IF(A201="","",IFERROR(IF(SUMIF(DB_Savings!$C:$C,A201,DB_Savings!$F:$F)=0,VLOOKUP(A201,DB_Customers!$A:$I,9,0),VLOOKUP(A201,DB_Customers!$A:$N,14,0)),"❌ Acct Not Found"))</f>
        <v/>
      </c>
      <c r="D201" s="78" t="str">
        <f t="shared" ref="D201:D208" ca="1" si="18">IF(A201="","",TODAY())</f>
        <v/>
      </c>
      <c r="E201" s="79"/>
      <c r="F201" s="80" t="str">
        <f t="shared" ref="F201:F208" si="19">IF(OR(A201="",E201=""),"",IF(C201="","",C201+E201))</f>
        <v/>
      </c>
      <c r="G201" s="39" t="s">
        <v>135</v>
      </c>
      <c r="H201" s="81"/>
      <c r="I201" s="82" t="str">
        <f>IF(A201="","Pending",IF(H201="","⚠️ Enter Agent Code",IF(IFERROR(VLOOKUP(G201,DB_Agents!$B:$I,8,0),"")=H201,IF(AND(A201&lt;&gt;"",E201&lt;&gt;""),"Saved","Pending"),"🔒 BLOCKED — Wrong Code")))</f>
        <v>Pending</v>
      </c>
      <c r="J201" s="83" t="str">
        <f t="shared" ref="J201:J208" ca="1" si="20">IF(I201="Saved",TEXT(TODAY(),"YYYY-MM-DD")&amp;" Auto","—")</f>
        <v>—</v>
      </c>
      <c r="K201" s="84"/>
    </row>
    <row r="202" spans="1:11" ht="15" customHeight="1" x14ac:dyDescent="0.25">
      <c r="A202" s="85"/>
      <c r="B202" s="41" t="str">
        <f>IF(A202="","",IFERROR(VLOOKUP(A202,DB_Customers!$A:$D,4,0),"❌ Account Not Found"))</f>
        <v/>
      </c>
      <c r="C202" s="86" t="str">
        <f>IF(A202="","",IFERROR(IF(SUMIF(DB_Savings!$C:$C,A202,DB_Savings!$F:$F)=0,VLOOKUP(A202,DB_Customers!$A:$I,9,0),VLOOKUP(A202,DB_Customers!$A:$N,14,0)),"❌ Acct Not Found"))</f>
        <v/>
      </c>
      <c r="D202" s="87" t="str">
        <f t="shared" ca="1" si="18"/>
        <v/>
      </c>
      <c r="E202" s="79"/>
      <c r="F202" s="88" t="str">
        <f t="shared" si="19"/>
        <v/>
      </c>
      <c r="G202" s="43" t="s">
        <v>135</v>
      </c>
      <c r="H202" s="81"/>
      <c r="I202" s="89" t="str">
        <f>IF(A202="","Pending",IF(H202="","⚠️ Enter Agent Code",IF(IFERROR(VLOOKUP(G202,DB_Agents!$B:$I,8,0),"")=H202,IF(AND(A202&lt;&gt;"",E202&lt;&gt;""),"Saved","Pending"),"🔒 BLOCKED — Wrong Code")))</f>
        <v>Pending</v>
      </c>
      <c r="J202" s="90" t="str">
        <f t="shared" ca="1" si="20"/>
        <v>—</v>
      </c>
      <c r="K202" s="91"/>
    </row>
    <row r="203" spans="1:11" ht="15" customHeight="1" x14ac:dyDescent="0.25">
      <c r="A203" s="76"/>
      <c r="B203" s="37" t="str">
        <f>IF(A203="","",IFERROR(VLOOKUP(A203,DB_Customers!$A:$D,4,0),"❌ Account Not Found"))</f>
        <v/>
      </c>
      <c r="C203" s="77" t="str">
        <f>IF(A203="","",IFERROR(IF(SUMIF(DB_Savings!$C:$C,A203,DB_Savings!$F:$F)=0,VLOOKUP(A203,DB_Customers!$A:$I,9,0),VLOOKUP(A203,DB_Customers!$A:$N,14,0)),"❌ Acct Not Found"))</f>
        <v/>
      </c>
      <c r="D203" s="78" t="str">
        <f t="shared" ca="1" si="18"/>
        <v/>
      </c>
      <c r="E203" s="79"/>
      <c r="F203" s="80" t="str">
        <f t="shared" si="19"/>
        <v/>
      </c>
      <c r="G203" s="39" t="s">
        <v>135</v>
      </c>
      <c r="H203" s="81"/>
      <c r="I203" s="82" t="str">
        <f>IF(A203="","Pending",IF(H203="","⚠️ Enter Agent Code",IF(IFERROR(VLOOKUP(G203,DB_Agents!$B:$I,8,0),"")=H203,IF(AND(A203&lt;&gt;"",E203&lt;&gt;""),"Saved","Pending"),"🔒 BLOCKED — Wrong Code")))</f>
        <v>Pending</v>
      </c>
      <c r="J203" s="83" t="str">
        <f t="shared" ca="1" si="20"/>
        <v>—</v>
      </c>
      <c r="K203" s="84"/>
    </row>
    <row r="204" spans="1:11" ht="15" customHeight="1" x14ac:dyDescent="0.25">
      <c r="A204" s="85"/>
      <c r="B204" s="41" t="str">
        <f>IF(A204="","",IFERROR(VLOOKUP(A204,DB_Customers!$A:$D,4,0),"❌ Account Not Found"))</f>
        <v/>
      </c>
      <c r="C204" s="86" t="str">
        <f>IF(A204="","",IFERROR(IF(SUMIF(DB_Savings!$C:$C,A204,DB_Savings!$F:$F)=0,VLOOKUP(A204,DB_Customers!$A:$I,9,0),VLOOKUP(A204,DB_Customers!$A:$N,14,0)),"❌ Acct Not Found"))</f>
        <v/>
      </c>
      <c r="D204" s="87" t="str">
        <f t="shared" ca="1" si="18"/>
        <v/>
      </c>
      <c r="E204" s="79"/>
      <c r="F204" s="88" t="str">
        <f t="shared" si="19"/>
        <v/>
      </c>
      <c r="G204" s="43" t="s">
        <v>135</v>
      </c>
      <c r="H204" s="81"/>
      <c r="I204" s="89" t="str">
        <f>IF(A204="","Pending",IF(H204="","⚠️ Enter Agent Code",IF(IFERROR(VLOOKUP(G204,DB_Agents!$B:$I,8,0),"")=H204,IF(AND(A204&lt;&gt;"",E204&lt;&gt;""),"Saved","Pending"),"🔒 BLOCKED — Wrong Code")))</f>
        <v>Pending</v>
      </c>
      <c r="J204" s="90" t="str">
        <f t="shared" ca="1" si="20"/>
        <v>—</v>
      </c>
      <c r="K204" s="91"/>
    </row>
    <row r="205" spans="1:11" ht="15" customHeight="1" x14ac:dyDescent="0.25">
      <c r="A205" s="76"/>
      <c r="B205" s="37" t="str">
        <f>IF(A205="","",IFERROR(VLOOKUP(A205,DB_Customers!$A:$D,4,0),"❌ Account Not Found"))</f>
        <v/>
      </c>
      <c r="C205" s="77" t="str">
        <f>IF(A205="","",IFERROR(IF(SUMIF(DB_Savings!$C:$C,A205,DB_Savings!$F:$F)=0,VLOOKUP(A205,DB_Customers!$A:$I,9,0),VLOOKUP(A205,DB_Customers!$A:$N,14,0)),"❌ Acct Not Found"))</f>
        <v/>
      </c>
      <c r="D205" s="78" t="str">
        <f t="shared" ca="1" si="18"/>
        <v/>
      </c>
      <c r="E205" s="79"/>
      <c r="F205" s="80" t="str">
        <f t="shared" si="19"/>
        <v/>
      </c>
      <c r="G205" s="39" t="s">
        <v>135</v>
      </c>
      <c r="H205" s="81"/>
      <c r="I205" s="82" t="str">
        <f>IF(A205="","Pending",IF(H205="","⚠️ Enter Agent Code",IF(IFERROR(VLOOKUP(G205,DB_Agents!$B:$I,8,0),"")=H205,IF(AND(A205&lt;&gt;"",E205&lt;&gt;""),"Saved","Pending"),"🔒 BLOCKED — Wrong Code")))</f>
        <v>Pending</v>
      </c>
      <c r="J205" s="83" t="str">
        <f t="shared" ca="1" si="20"/>
        <v>—</v>
      </c>
      <c r="K205" s="84"/>
    </row>
    <row r="206" spans="1:11" ht="15" customHeight="1" x14ac:dyDescent="0.25">
      <c r="A206" s="85"/>
      <c r="B206" s="41" t="str">
        <f>IF(A206="","",IFERROR(VLOOKUP(A206,DB_Customers!$A:$D,4,0),"❌ Account Not Found"))</f>
        <v/>
      </c>
      <c r="C206" s="86" t="str">
        <f>IF(A206="","",IFERROR(IF(SUMIF(DB_Savings!$C:$C,A206,DB_Savings!$F:$F)=0,VLOOKUP(A206,DB_Customers!$A:$I,9,0),VLOOKUP(A206,DB_Customers!$A:$N,14,0)),"❌ Acct Not Found"))</f>
        <v/>
      </c>
      <c r="D206" s="87" t="str">
        <f t="shared" ca="1" si="18"/>
        <v/>
      </c>
      <c r="E206" s="79"/>
      <c r="F206" s="88" t="str">
        <f t="shared" si="19"/>
        <v/>
      </c>
      <c r="G206" s="43" t="s">
        <v>135</v>
      </c>
      <c r="H206" s="81"/>
      <c r="I206" s="89" t="str">
        <f>IF(A206="","Pending",IF(H206="","⚠️ Enter Agent Code",IF(IFERROR(VLOOKUP(G206,DB_Agents!$B:$I,8,0),"")=H206,IF(AND(A206&lt;&gt;"",E206&lt;&gt;""),"Saved","Pending"),"🔒 BLOCKED — Wrong Code")))</f>
        <v>Pending</v>
      </c>
      <c r="J206" s="90" t="str">
        <f t="shared" ca="1" si="20"/>
        <v>—</v>
      </c>
      <c r="K206" s="91"/>
    </row>
    <row r="207" spans="1:11" ht="15" customHeight="1" x14ac:dyDescent="0.25">
      <c r="A207" s="76"/>
      <c r="B207" s="37" t="str">
        <f>IF(A207="","",IFERROR(VLOOKUP(A207,DB_Customers!$A:$D,4,0),"❌ Account Not Found"))</f>
        <v/>
      </c>
      <c r="C207" s="77" t="str">
        <f>IF(A207="","",IFERROR(IF(SUMIF(DB_Savings!$C:$C,A207,DB_Savings!$F:$F)=0,VLOOKUP(A207,DB_Customers!$A:$I,9,0),VLOOKUP(A207,DB_Customers!$A:$N,14,0)),"❌ Acct Not Found"))</f>
        <v/>
      </c>
      <c r="D207" s="78" t="str">
        <f t="shared" ca="1" si="18"/>
        <v/>
      </c>
      <c r="E207" s="79"/>
      <c r="F207" s="80" t="str">
        <f t="shared" si="19"/>
        <v/>
      </c>
      <c r="G207" s="39" t="s">
        <v>135</v>
      </c>
      <c r="H207" s="81"/>
      <c r="I207" s="82" t="str">
        <f>IF(A207="","Pending",IF(H207="","⚠️ Enter Agent Code",IF(IFERROR(VLOOKUP(G207,DB_Agents!$B:$I,8,0),"")=H207,IF(AND(A207&lt;&gt;"",E207&lt;&gt;""),"Saved","Pending"),"🔒 BLOCKED — Wrong Code")))</f>
        <v>Pending</v>
      </c>
      <c r="J207" s="83" t="str">
        <f t="shared" ca="1" si="20"/>
        <v>—</v>
      </c>
      <c r="K207" s="84"/>
    </row>
    <row r="208" spans="1:11" ht="15" customHeight="1" x14ac:dyDescent="0.25">
      <c r="A208" s="85"/>
      <c r="B208" s="41" t="str">
        <f>IF(A208="","",IFERROR(VLOOKUP(A208,DB_Customers!$A:$D,4,0),"❌ Account Not Found"))</f>
        <v/>
      </c>
      <c r="C208" s="86" t="str">
        <f>IF(A208="","",IFERROR(IF(SUMIF(DB_Savings!$C:$C,A208,DB_Savings!$F:$F)=0,VLOOKUP(A208,DB_Customers!$A:$I,9,0),VLOOKUP(A208,DB_Customers!$A:$N,14,0)),"❌ Acct Not Found"))</f>
        <v/>
      </c>
      <c r="D208" s="87" t="str">
        <f t="shared" ca="1" si="18"/>
        <v/>
      </c>
      <c r="E208" s="79"/>
      <c r="F208" s="88" t="str">
        <f t="shared" si="19"/>
        <v/>
      </c>
      <c r="G208" s="43" t="s">
        <v>135</v>
      </c>
      <c r="H208" s="81"/>
      <c r="I208" s="89" t="str">
        <f>IF(A208="","Pending",IF(H208="","⚠️ Enter Agent Code",IF(IFERROR(VLOOKUP(G208,DB_Agents!$B:$I,8,0),"")=H208,IF(AND(A208&lt;&gt;"",E208&lt;&gt;""),"Saved","Pending"),"🔒 BLOCKED — Wrong Code")))</f>
        <v>Pending</v>
      </c>
      <c r="J208" s="90" t="str">
        <f t="shared" ca="1" si="20"/>
        <v>—</v>
      </c>
      <c r="K208" s="91"/>
    </row>
  </sheetData>
  <mergeCells count="12">
    <mergeCell ref="A2:L2"/>
    <mergeCell ref="A7:L7"/>
    <mergeCell ref="A1:L1"/>
    <mergeCell ref="A5:L5"/>
    <mergeCell ref="D4:F4"/>
    <mergeCell ref="G4:I4"/>
    <mergeCell ref="A3:C3"/>
    <mergeCell ref="J4:L4"/>
    <mergeCell ref="D3:F3"/>
    <mergeCell ref="G3:I3"/>
    <mergeCell ref="A4:C4"/>
    <mergeCell ref="J3:L3"/>
  </mergeCells>
  <conditionalFormatting sqref="H9:H208">
    <cfRule type="cellIs" dxfId="82" priority="2" operator="equal">
      <formula>"Saved"</formula>
    </cfRule>
    <cfRule type="cellIs" dxfId="81" priority="3" operator="equal">
      <formula>"Pending"</formula>
    </cfRule>
  </conditionalFormatting>
  <conditionalFormatting sqref="A9:J208">
    <cfRule type="expression" dxfId="80" priority="4">
      <formula>$H9="Saved"</formula>
    </cfRule>
  </conditionalFormatting>
  <dataValidations count="2">
    <dataValidation type="decimal" operator="greaterThan" showErrorMessage="1" error="Must be &gt; 0" sqref="E9:E208" xr:uid="{00000000-0002-0000-0F00-000000000000}">
      <formula1>0</formula1>
      <formula2>0</formula2>
    </dataValidation>
    <dataValidation type="list" sqref="G9:G208" xr:uid="{00000000-0002-0000-0F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67" t="s">
        <v>350</v>
      </c>
      <c r="B1" s="265"/>
      <c r="C1" s="265"/>
      <c r="D1" s="265"/>
      <c r="E1" s="265"/>
      <c r="F1" s="265"/>
      <c r="G1" s="265"/>
      <c r="H1" s="265"/>
      <c r="I1" s="265"/>
      <c r="J1" s="265"/>
      <c r="K1" s="265"/>
      <c r="L1" s="265"/>
      <c r="M1" s="265"/>
    </row>
    <row r="2" spans="1:13" ht="19.5" customHeight="1" x14ac:dyDescent="0.25">
      <c r="A2" s="366" t="s">
        <v>351</v>
      </c>
      <c r="B2" s="265"/>
      <c r="C2" s="265"/>
      <c r="D2" s="265"/>
      <c r="E2" s="265"/>
      <c r="F2" s="265"/>
      <c r="G2" s="265"/>
      <c r="H2" s="265"/>
      <c r="I2" s="265"/>
      <c r="J2" s="265"/>
      <c r="K2" s="265"/>
      <c r="L2" s="265"/>
      <c r="M2" s="265"/>
    </row>
    <row r="3" spans="1:13" ht="18" customHeight="1" x14ac:dyDescent="0.25">
      <c r="A3" s="328" t="s">
        <v>324</v>
      </c>
      <c r="B3" s="265"/>
      <c r="C3" s="265"/>
      <c r="D3" s="323" t="s">
        <v>325</v>
      </c>
      <c r="E3" s="265"/>
      <c r="F3" s="265"/>
      <c r="G3" s="35" t="s">
        <v>326</v>
      </c>
      <c r="K3" s="66" t="s">
        <v>313</v>
      </c>
    </row>
    <row r="4" spans="1:13" ht="27.75" customHeight="1" x14ac:dyDescent="0.25">
      <c r="A4" s="365">
        <f ca="1">SUMIFS(DB_Withdrawals!$G:$G,DB_Withdrawals!$J:$J,"Agent 03",DB_Withdrawals!$F:$F,TODAY())</f>
        <v>0</v>
      </c>
      <c r="B4" s="265"/>
      <c r="C4" s="265"/>
      <c r="D4" s="369">
        <f ca="1">COUNTIFS(DB_Withdrawals!$J:$J,"Agent 03",DB_Withdrawals!$K:$K,"Successful",DB_Withdrawals!$F:$F,TODAY())</f>
        <v>0</v>
      </c>
      <c r="E4" s="265"/>
      <c r="F4" s="265"/>
      <c r="G4" s="92">
        <f ca="1">COUNTIFS(DB_Withdrawals!$J:$J,"Agent 03",DB_Withdrawals!$K:$K,"Unsuccessful",DB_Withdrawals!$F:$F,TODAY())</f>
        <v>0</v>
      </c>
      <c r="K4" s="74" t="str">
        <f ca="1">TEXT(TODAY(),"DD MMM YYYY")</f>
        <v>24 Apr 2026</v>
      </c>
    </row>
    <row r="5" spans="1:13" ht="19.5" customHeight="1" x14ac:dyDescent="0.25">
      <c r="A5" s="368" t="s">
        <v>327</v>
      </c>
      <c r="B5" s="265"/>
      <c r="C5" s="265"/>
      <c r="D5" s="265"/>
      <c r="E5" s="265"/>
      <c r="F5" s="265"/>
      <c r="G5" s="265"/>
      <c r="H5" s="265"/>
      <c r="I5" s="265"/>
      <c r="J5" s="265"/>
      <c r="K5" s="265"/>
      <c r="L5" s="265"/>
      <c r="M5" s="265"/>
    </row>
    <row r="6" spans="1:13" ht="7.5" customHeight="1" x14ac:dyDescent="0.25"/>
    <row r="7" spans="1:13" ht="19.5" customHeight="1" x14ac:dyDescent="0.25">
      <c r="A7" s="364" t="s">
        <v>328</v>
      </c>
      <c r="B7" s="265"/>
      <c r="C7" s="265"/>
      <c r="D7" s="265"/>
      <c r="E7" s="265"/>
      <c r="F7" s="265"/>
      <c r="G7" s="265"/>
      <c r="H7" s="265"/>
      <c r="I7" s="265"/>
      <c r="J7" s="265"/>
      <c r="K7" s="265"/>
      <c r="L7" s="265"/>
      <c r="M7" s="265"/>
    </row>
    <row r="8" spans="1:13" ht="19.5" customHeight="1" x14ac:dyDescent="0.25">
      <c r="A8" s="93" t="s">
        <v>315</v>
      </c>
      <c r="B8" s="93" t="s">
        <v>77</v>
      </c>
      <c r="C8" s="93" t="s">
        <v>329</v>
      </c>
      <c r="D8" s="93" t="s">
        <v>78</v>
      </c>
      <c r="E8" s="93" t="s">
        <v>330</v>
      </c>
      <c r="F8" s="93" t="s">
        <v>331</v>
      </c>
      <c r="G8" s="93" t="s">
        <v>318</v>
      </c>
      <c r="H8" s="93" t="s">
        <v>14</v>
      </c>
      <c r="I8" s="75" t="s">
        <v>319</v>
      </c>
      <c r="J8" s="93" t="s">
        <v>13</v>
      </c>
      <c r="K8" s="93" t="s">
        <v>320</v>
      </c>
      <c r="L8" s="93" t="s">
        <v>321</v>
      </c>
    </row>
    <row r="9" spans="1:13" ht="15" customHeight="1" x14ac:dyDescent="0.25">
      <c r="A9" s="76"/>
      <c r="B9" s="37" t="str">
        <f>IF(A9="","",IFERROR(VLOOKUP(A9,DB_Customers!$A:$D,4,0),"❌ Account Not Found"))</f>
        <v/>
      </c>
      <c r="C9" s="77" t="str">
        <f>IF(A9="","",IFERROR(VLOOKUP(A9,DB_Customers!$A:$N,14,0),"❌ Acct Not Found"))</f>
        <v/>
      </c>
      <c r="D9" s="78" t="str">
        <f t="shared" ref="D9:D40" ca="1" si="0">IF(A9="","",TODAY())</f>
        <v/>
      </c>
      <c r="E9" s="94"/>
      <c r="F9" s="37"/>
      <c r="G9" s="95" t="str">
        <f t="shared" ref="G9:G40" si="1">IF(OR(A9="",E9=""),"",IF(C9="","",C9-E9))</f>
        <v/>
      </c>
      <c r="H9" s="39" t="s">
        <v>135</v>
      </c>
      <c r="I9" s="81"/>
      <c r="J9" s="82" t="str">
        <f>IF(AND(A9&lt;&gt;"",E9&lt;&gt;""),IF(I9="","⚠️ Enter Code",IF(IFERROR(VLOOKUP(H9,DB_Agents!$B:$I,8,0),"")=I9,IF(C9&gt;=E9,"Successful","Unsuccessful"),"🔒 BLOCKED — Wrong Code")),"Pending")</f>
        <v>Pending</v>
      </c>
      <c r="K9" s="83" t="str">
        <f t="shared" ref="K9:K40" ca="1" si="2">IF(J9="Successful",TEXT(TODAY(),"YYYY-MM-DD")&amp;" Auto","—")</f>
        <v>—</v>
      </c>
      <c r="L9" s="84"/>
    </row>
    <row r="10" spans="1:13" ht="15" customHeight="1" x14ac:dyDescent="0.25">
      <c r="A10" s="85"/>
      <c r="B10" s="41" t="str">
        <f>IF(A10="","",IFERROR(VLOOKUP(A10,DB_Customers!$A:$D,4,0),"❌ Account Not Found"))</f>
        <v/>
      </c>
      <c r="C10" s="86" t="str">
        <f>IF(A10="","",IFERROR(VLOOKUP(A10,DB_Customers!$A:$N,14,0),"❌ Acct Not Found"))</f>
        <v/>
      </c>
      <c r="D10" s="87" t="str">
        <f t="shared" ca="1" si="0"/>
        <v/>
      </c>
      <c r="E10" s="94"/>
      <c r="F10" s="41"/>
      <c r="G10" s="96" t="str">
        <f t="shared" si="1"/>
        <v/>
      </c>
      <c r="H10" s="43" t="s">
        <v>135</v>
      </c>
      <c r="I10" s="81"/>
      <c r="J10" s="89" t="str">
        <f>IF(AND(A10&lt;&gt;"",E10&lt;&gt;""),IF(I10="","⚠️ Enter Code",IF(IFERROR(VLOOKUP(H10,DB_Agents!$B:$I,8,0),"")=I10,IF(C10&gt;=E10,"Successful","Unsuccessful"),"🔒 BLOCKED — Wrong Code")),"Pending")</f>
        <v>Pending</v>
      </c>
      <c r="K10" s="90" t="str">
        <f t="shared" ca="1" si="2"/>
        <v>—</v>
      </c>
      <c r="L10" s="91"/>
    </row>
    <row r="11" spans="1:13" ht="15" customHeight="1" x14ac:dyDescent="0.25">
      <c r="A11" s="76"/>
      <c r="B11" s="37" t="str">
        <f>IF(A11="","",IFERROR(VLOOKUP(A11,DB_Customers!$A:$D,4,0),"❌ Account Not Found"))</f>
        <v/>
      </c>
      <c r="C11" s="77" t="str">
        <f>IF(A11="","",IFERROR(VLOOKUP(A11,DB_Customers!$A:$N,14,0),"❌ Acct Not Found"))</f>
        <v/>
      </c>
      <c r="D11" s="78" t="str">
        <f t="shared" ca="1" si="0"/>
        <v/>
      </c>
      <c r="E11" s="94"/>
      <c r="F11" s="37"/>
      <c r="G11" s="95" t="str">
        <f t="shared" si="1"/>
        <v/>
      </c>
      <c r="H11" s="39" t="s">
        <v>135</v>
      </c>
      <c r="I11" s="81"/>
      <c r="J11" s="82" t="str">
        <f>IF(AND(A11&lt;&gt;"",E11&lt;&gt;""),IF(I11="","⚠️ Enter Code",IF(IFERROR(VLOOKUP(H11,DB_Agents!$B:$I,8,0),"")=I11,IF(C11&gt;=E11,"Successful","Unsuccessful"),"🔒 BLOCKED — Wrong Code")),"Pending")</f>
        <v>Pending</v>
      </c>
      <c r="K11" s="83" t="str">
        <f t="shared" ca="1" si="2"/>
        <v>—</v>
      </c>
      <c r="L11" s="84"/>
    </row>
    <row r="12" spans="1:13" ht="15" customHeight="1" x14ac:dyDescent="0.25">
      <c r="A12" s="85"/>
      <c r="B12" s="41" t="str">
        <f>IF(A12="","",IFERROR(VLOOKUP(A12,DB_Customers!$A:$D,4,0),"❌ Account Not Found"))</f>
        <v/>
      </c>
      <c r="C12" s="86" t="str">
        <f>IF(A12="","",IFERROR(VLOOKUP(A12,DB_Customers!$A:$N,14,0),"❌ Acct Not Found"))</f>
        <v/>
      </c>
      <c r="D12" s="87" t="str">
        <f t="shared" ca="1" si="0"/>
        <v/>
      </c>
      <c r="E12" s="94"/>
      <c r="F12" s="41"/>
      <c r="G12" s="96" t="str">
        <f t="shared" si="1"/>
        <v/>
      </c>
      <c r="H12" s="43" t="s">
        <v>135</v>
      </c>
      <c r="I12" s="81"/>
      <c r="J12" s="89" t="str">
        <f>IF(AND(A12&lt;&gt;"",E12&lt;&gt;""),IF(I12="","⚠️ Enter Code",IF(IFERROR(VLOOKUP(H12,DB_Agents!$B:$I,8,0),"")=I12,IF(C12&gt;=E12,"Successful","Unsuccessful"),"🔒 BLOCKED — Wrong Code")),"Pending")</f>
        <v>Pending</v>
      </c>
      <c r="K12" s="90" t="str">
        <f t="shared" ca="1" si="2"/>
        <v>—</v>
      </c>
      <c r="L12" s="91"/>
    </row>
    <row r="13" spans="1:13" ht="15" customHeight="1" x14ac:dyDescent="0.25">
      <c r="A13" s="76"/>
      <c r="B13" s="37" t="str">
        <f>IF(A13="","",IFERROR(VLOOKUP(A13,DB_Customers!$A:$D,4,0),"❌ Account Not Found"))</f>
        <v/>
      </c>
      <c r="C13" s="77" t="str">
        <f>IF(A13="","",IFERROR(VLOOKUP(A13,DB_Customers!$A:$N,14,0),"❌ Acct Not Found"))</f>
        <v/>
      </c>
      <c r="D13" s="78" t="str">
        <f t="shared" ca="1" si="0"/>
        <v/>
      </c>
      <c r="E13" s="94"/>
      <c r="F13" s="37"/>
      <c r="G13" s="95" t="str">
        <f t="shared" si="1"/>
        <v/>
      </c>
      <c r="H13" s="39" t="s">
        <v>135</v>
      </c>
      <c r="I13" s="81"/>
      <c r="J13" s="82" t="str">
        <f>IF(AND(A13&lt;&gt;"",E13&lt;&gt;""),IF(I13="","⚠️ Enter Code",IF(IFERROR(VLOOKUP(H13,DB_Agents!$B:$I,8,0),"")=I13,IF(C13&gt;=E13,"Successful","Unsuccessful"),"🔒 BLOCKED — Wrong Code")),"Pending")</f>
        <v>Pending</v>
      </c>
      <c r="K13" s="83" t="str">
        <f t="shared" ca="1" si="2"/>
        <v>—</v>
      </c>
      <c r="L13" s="84"/>
    </row>
    <row r="14" spans="1:13" ht="15" customHeight="1" x14ac:dyDescent="0.25">
      <c r="A14" s="85"/>
      <c r="B14" s="41" t="str">
        <f>IF(A14="","",IFERROR(VLOOKUP(A14,DB_Customers!$A:$D,4,0),"❌ Account Not Found"))</f>
        <v/>
      </c>
      <c r="C14" s="86" t="str">
        <f>IF(A14="","",IFERROR(VLOOKUP(A14,DB_Customers!$A:$N,14,0),"❌ Acct Not Found"))</f>
        <v/>
      </c>
      <c r="D14" s="87" t="str">
        <f t="shared" ca="1" si="0"/>
        <v/>
      </c>
      <c r="E14" s="94"/>
      <c r="F14" s="41"/>
      <c r="G14" s="96" t="str">
        <f t="shared" si="1"/>
        <v/>
      </c>
      <c r="H14" s="43" t="s">
        <v>135</v>
      </c>
      <c r="I14" s="81"/>
      <c r="J14" s="89" t="str">
        <f>IF(AND(A14&lt;&gt;"",E14&lt;&gt;""),IF(I14="","⚠️ Enter Code",IF(IFERROR(VLOOKUP(H14,DB_Agents!$B:$I,8,0),"")=I14,IF(C14&gt;=E14,"Successful","Unsuccessful"),"🔒 BLOCKED — Wrong Code")),"Pending")</f>
        <v>Pending</v>
      </c>
      <c r="K14" s="90" t="str">
        <f t="shared" ca="1" si="2"/>
        <v>—</v>
      </c>
      <c r="L14" s="91"/>
    </row>
    <row r="15" spans="1:13" ht="15" customHeight="1" x14ac:dyDescent="0.25">
      <c r="A15" s="76"/>
      <c r="B15" s="37" t="str">
        <f>IF(A15="","",IFERROR(VLOOKUP(A15,DB_Customers!$A:$D,4,0),"❌ Account Not Found"))</f>
        <v/>
      </c>
      <c r="C15" s="77" t="str">
        <f>IF(A15="","",IFERROR(VLOOKUP(A15,DB_Customers!$A:$N,14,0),"❌ Acct Not Found"))</f>
        <v/>
      </c>
      <c r="D15" s="78" t="str">
        <f t="shared" ca="1" si="0"/>
        <v/>
      </c>
      <c r="E15" s="94"/>
      <c r="F15" s="37"/>
      <c r="G15" s="95" t="str">
        <f t="shared" si="1"/>
        <v/>
      </c>
      <c r="H15" s="39" t="s">
        <v>135</v>
      </c>
      <c r="I15" s="81"/>
      <c r="J15" s="82" t="str">
        <f>IF(AND(A15&lt;&gt;"",E15&lt;&gt;""),IF(I15="","⚠️ Enter Code",IF(IFERROR(VLOOKUP(H15,DB_Agents!$B:$I,8,0),"")=I15,IF(C15&gt;=E15,"Successful","Unsuccessful"),"🔒 BLOCKED — Wrong Code")),"Pending")</f>
        <v>Pending</v>
      </c>
      <c r="K15" s="83" t="str">
        <f t="shared" ca="1" si="2"/>
        <v>—</v>
      </c>
      <c r="L15" s="84"/>
    </row>
    <row r="16" spans="1:13" ht="15" customHeight="1" x14ac:dyDescent="0.25">
      <c r="A16" s="85"/>
      <c r="B16" s="41" t="str">
        <f>IF(A16="","",IFERROR(VLOOKUP(A16,DB_Customers!$A:$D,4,0),"❌ Account Not Found"))</f>
        <v/>
      </c>
      <c r="C16" s="86" t="str">
        <f>IF(A16="","",IFERROR(VLOOKUP(A16,DB_Customers!$A:$N,14,0),"❌ Acct Not Found"))</f>
        <v/>
      </c>
      <c r="D16" s="87" t="str">
        <f t="shared" ca="1" si="0"/>
        <v/>
      </c>
      <c r="E16" s="94"/>
      <c r="F16" s="41"/>
      <c r="G16" s="96" t="str">
        <f t="shared" si="1"/>
        <v/>
      </c>
      <c r="H16" s="43" t="s">
        <v>135</v>
      </c>
      <c r="I16" s="81"/>
      <c r="J16" s="89" t="str">
        <f>IF(AND(A16&lt;&gt;"",E16&lt;&gt;""),IF(I16="","⚠️ Enter Code",IF(IFERROR(VLOOKUP(H16,DB_Agents!$B:$I,8,0),"")=I16,IF(C16&gt;=E16,"Successful","Unsuccessful"),"🔒 BLOCKED — Wrong Code")),"Pending")</f>
        <v>Pending</v>
      </c>
      <c r="K16" s="90" t="str">
        <f t="shared" ca="1" si="2"/>
        <v>—</v>
      </c>
      <c r="L16" s="91"/>
    </row>
    <row r="17" spans="1:12" ht="15" customHeight="1" x14ac:dyDescent="0.25">
      <c r="A17" s="76"/>
      <c r="B17" s="37" t="str">
        <f>IF(A17="","",IFERROR(VLOOKUP(A17,DB_Customers!$A:$D,4,0),"❌ Account Not Found"))</f>
        <v/>
      </c>
      <c r="C17" s="77" t="str">
        <f>IF(A17="","",IFERROR(VLOOKUP(A17,DB_Customers!$A:$N,14,0),"❌ Acct Not Found"))</f>
        <v/>
      </c>
      <c r="D17" s="78" t="str">
        <f t="shared" ca="1" si="0"/>
        <v/>
      </c>
      <c r="E17" s="94"/>
      <c r="F17" s="37"/>
      <c r="G17" s="95" t="str">
        <f t="shared" si="1"/>
        <v/>
      </c>
      <c r="H17" s="39" t="s">
        <v>135</v>
      </c>
      <c r="I17" s="81"/>
      <c r="J17" s="82" t="str">
        <f>IF(AND(A17&lt;&gt;"",E17&lt;&gt;""),IF(I17="","⚠️ Enter Code",IF(IFERROR(VLOOKUP(H17,DB_Agents!$B:$I,8,0),"")=I17,IF(C17&gt;=E17,"Successful","Unsuccessful"),"🔒 BLOCKED — Wrong Code")),"Pending")</f>
        <v>Pending</v>
      </c>
      <c r="K17" s="83" t="str">
        <f t="shared" ca="1" si="2"/>
        <v>—</v>
      </c>
      <c r="L17" s="84"/>
    </row>
    <row r="18" spans="1:12" ht="15" customHeight="1" x14ac:dyDescent="0.25">
      <c r="A18" s="85"/>
      <c r="B18" s="41" t="str">
        <f>IF(A18="","",IFERROR(VLOOKUP(A18,DB_Customers!$A:$D,4,0),"❌ Account Not Found"))</f>
        <v/>
      </c>
      <c r="C18" s="86" t="str">
        <f>IF(A18="","",IFERROR(VLOOKUP(A18,DB_Customers!$A:$N,14,0),"❌ Acct Not Found"))</f>
        <v/>
      </c>
      <c r="D18" s="87" t="str">
        <f t="shared" ca="1" si="0"/>
        <v/>
      </c>
      <c r="E18" s="94"/>
      <c r="F18" s="41"/>
      <c r="G18" s="96" t="str">
        <f t="shared" si="1"/>
        <v/>
      </c>
      <c r="H18" s="43" t="s">
        <v>135</v>
      </c>
      <c r="I18" s="81"/>
      <c r="J18" s="89" t="str">
        <f>IF(AND(A18&lt;&gt;"",E18&lt;&gt;""),IF(I18="","⚠️ Enter Code",IF(IFERROR(VLOOKUP(H18,DB_Agents!$B:$I,8,0),"")=I18,IF(C18&gt;=E18,"Successful","Unsuccessful"),"🔒 BLOCKED — Wrong Code")),"Pending")</f>
        <v>Pending</v>
      </c>
      <c r="K18" s="90" t="str">
        <f t="shared" ca="1" si="2"/>
        <v>—</v>
      </c>
      <c r="L18" s="91"/>
    </row>
    <row r="19" spans="1:12" ht="15" customHeight="1" x14ac:dyDescent="0.25">
      <c r="A19" s="76"/>
      <c r="B19" s="37" t="str">
        <f>IF(A19="","",IFERROR(VLOOKUP(A19,DB_Customers!$A:$D,4,0),"❌ Account Not Found"))</f>
        <v/>
      </c>
      <c r="C19" s="77" t="str">
        <f>IF(A19="","",IFERROR(VLOOKUP(A19,DB_Customers!$A:$N,14,0),"❌ Acct Not Found"))</f>
        <v/>
      </c>
      <c r="D19" s="78" t="str">
        <f t="shared" ca="1" si="0"/>
        <v/>
      </c>
      <c r="E19" s="94"/>
      <c r="F19" s="37"/>
      <c r="G19" s="95" t="str">
        <f t="shared" si="1"/>
        <v/>
      </c>
      <c r="H19" s="39" t="s">
        <v>135</v>
      </c>
      <c r="I19" s="81"/>
      <c r="J19" s="82" t="str">
        <f>IF(AND(A19&lt;&gt;"",E19&lt;&gt;""),IF(I19="","⚠️ Enter Code",IF(IFERROR(VLOOKUP(H19,DB_Agents!$B:$I,8,0),"")=I19,IF(C19&gt;=E19,"Successful","Unsuccessful"),"🔒 BLOCKED — Wrong Code")),"Pending")</f>
        <v>Pending</v>
      </c>
      <c r="K19" s="83" t="str">
        <f t="shared" ca="1" si="2"/>
        <v>—</v>
      </c>
      <c r="L19" s="84"/>
    </row>
    <row r="20" spans="1:12" ht="15" customHeight="1" x14ac:dyDescent="0.25">
      <c r="A20" s="85"/>
      <c r="B20" s="41" t="str">
        <f>IF(A20="","",IFERROR(VLOOKUP(A20,DB_Customers!$A:$D,4,0),"❌ Account Not Found"))</f>
        <v/>
      </c>
      <c r="C20" s="86" t="str">
        <f>IF(A20="","",IFERROR(VLOOKUP(A20,DB_Customers!$A:$N,14,0),"❌ Acct Not Found"))</f>
        <v/>
      </c>
      <c r="D20" s="87" t="str">
        <f t="shared" ca="1" si="0"/>
        <v/>
      </c>
      <c r="E20" s="94"/>
      <c r="F20" s="41"/>
      <c r="G20" s="96" t="str">
        <f t="shared" si="1"/>
        <v/>
      </c>
      <c r="H20" s="43" t="s">
        <v>135</v>
      </c>
      <c r="I20" s="81"/>
      <c r="J20" s="89" t="str">
        <f>IF(AND(A20&lt;&gt;"",E20&lt;&gt;""),IF(I20="","⚠️ Enter Code",IF(IFERROR(VLOOKUP(H20,DB_Agents!$B:$I,8,0),"")=I20,IF(C20&gt;=E20,"Successful","Unsuccessful"),"🔒 BLOCKED — Wrong Code")),"Pending")</f>
        <v>Pending</v>
      </c>
      <c r="K20" s="90" t="str">
        <f t="shared" ca="1" si="2"/>
        <v>—</v>
      </c>
      <c r="L20" s="91"/>
    </row>
    <row r="21" spans="1:12" ht="15" customHeight="1" x14ac:dyDescent="0.25">
      <c r="A21" s="76"/>
      <c r="B21" s="37" t="str">
        <f>IF(A21="","",IFERROR(VLOOKUP(A21,DB_Customers!$A:$D,4,0),"❌ Account Not Found"))</f>
        <v/>
      </c>
      <c r="C21" s="77" t="str">
        <f>IF(A21="","",IFERROR(VLOOKUP(A21,DB_Customers!$A:$N,14,0),"❌ Acct Not Found"))</f>
        <v/>
      </c>
      <c r="D21" s="78" t="str">
        <f t="shared" ca="1" si="0"/>
        <v/>
      </c>
      <c r="E21" s="94"/>
      <c r="F21" s="37"/>
      <c r="G21" s="95" t="str">
        <f t="shared" si="1"/>
        <v/>
      </c>
      <c r="H21" s="39" t="s">
        <v>135</v>
      </c>
      <c r="I21" s="81"/>
      <c r="J21" s="82" t="str">
        <f>IF(AND(A21&lt;&gt;"",E21&lt;&gt;""),IF(I21="","⚠️ Enter Code",IF(IFERROR(VLOOKUP(H21,DB_Agents!$B:$I,8,0),"")=I21,IF(C21&gt;=E21,"Successful","Unsuccessful"),"🔒 BLOCKED — Wrong Code")),"Pending")</f>
        <v>Pending</v>
      </c>
      <c r="K21" s="83" t="str">
        <f t="shared" ca="1" si="2"/>
        <v>—</v>
      </c>
      <c r="L21" s="84"/>
    </row>
    <row r="22" spans="1:12" ht="15" customHeight="1" x14ac:dyDescent="0.25">
      <c r="A22" s="85"/>
      <c r="B22" s="41" t="str">
        <f>IF(A22="","",IFERROR(VLOOKUP(A22,DB_Customers!$A:$D,4,0),"❌ Account Not Found"))</f>
        <v/>
      </c>
      <c r="C22" s="86" t="str">
        <f>IF(A22="","",IFERROR(VLOOKUP(A22,DB_Customers!$A:$N,14,0),"❌ Acct Not Found"))</f>
        <v/>
      </c>
      <c r="D22" s="87" t="str">
        <f t="shared" ca="1" si="0"/>
        <v/>
      </c>
      <c r="E22" s="94"/>
      <c r="F22" s="41"/>
      <c r="G22" s="96" t="str">
        <f t="shared" si="1"/>
        <v/>
      </c>
      <c r="H22" s="43" t="s">
        <v>135</v>
      </c>
      <c r="I22" s="81"/>
      <c r="J22" s="89" t="str">
        <f>IF(AND(A22&lt;&gt;"",E22&lt;&gt;""),IF(I22="","⚠️ Enter Code",IF(IFERROR(VLOOKUP(H22,DB_Agents!$B:$I,8,0),"")=I22,IF(C22&gt;=E22,"Successful","Unsuccessful"),"🔒 BLOCKED — Wrong Code")),"Pending")</f>
        <v>Pending</v>
      </c>
      <c r="K22" s="90" t="str">
        <f t="shared" ca="1" si="2"/>
        <v>—</v>
      </c>
      <c r="L22" s="91"/>
    </row>
    <row r="23" spans="1:12" ht="15" customHeight="1" x14ac:dyDescent="0.25">
      <c r="A23" s="76"/>
      <c r="B23" s="37" t="str">
        <f>IF(A23="","",IFERROR(VLOOKUP(A23,DB_Customers!$A:$D,4,0),"❌ Account Not Found"))</f>
        <v/>
      </c>
      <c r="C23" s="77" t="str">
        <f>IF(A23="","",IFERROR(VLOOKUP(A23,DB_Customers!$A:$N,14,0),"❌ Acct Not Found"))</f>
        <v/>
      </c>
      <c r="D23" s="78" t="str">
        <f t="shared" ca="1" si="0"/>
        <v/>
      </c>
      <c r="E23" s="94"/>
      <c r="F23" s="37"/>
      <c r="G23" s="95" t="str">
        <f t="shared" si="1"/>
        <v/>
      </c>
      <c r="H23" s="39" t="s">
        <v>135</v>
      </c>
      <c r="I23" s="81"/>
      <c r="J23" s="82" t="str">
        <f>IF(AND(A23&lt;&gt;"",E23&lt;&gt;""),IF(I23="","⚠️ Enter Code",IF(IFERROR(VLOOKUP(H23,DB_Agents!$B:$I,8,0),"")=I23,IF(C23&gt;=E23,"Successful","Unsuccessful"),"🔒 BLOCKED — Wrong Code")),"Pending")</f>
        <v>Pending</v>
      </c>
      <c r="K23" s="83" t="str">
        <f t="shared" ca="1" si="2"/>
        <v>—</v>
      </c>
      <c r="L23" s="84"/>
    </row>
    <row r="24" spans="1:12" ht="15" customHeight="1" x14ac:dyDescent="0.25">
      <c r="A24" s="85"/>
      <c r="B24" s="41" t="str">
        <f>IF(A24="","",IFERROR(VLOOKUP(A24,DB_Customers!$A:$D,4,0),"❌ Account Not Found"))</f>
        <v/>
      </c>
      <c r="C24" s="86" t="str">
        <f>IF(A24="","",IFERROR(VLOOKUP(A24,DB_Customers!$A:$N,14,0),"❌ Acct Not Found"))</f>
        <v/>
      </c>
      <c r="D24" s="87" t="str">
        <f t="shared" ca="1" si="0"/>
        <v/>
      </c>
      <c r="E24" s="94"/>
      <c r="F24" s="41"/>
      <c r="G24" s="96" t="str">
        <f t="shared" si="1"/>
        <v/>
      </c>
      <c r="H24" s="43" t="s">
        <v>135</v>
      </c>
      <c r="I24" s="81"/>
      <c r="J24" s="89" t="str">
        <f>IF(AND(A24&lt;&gt;"",E24&lt;&gt;""),IF(I24="","⚠️ Enter Code",IF(IFERROR(VLOOKUP(H24,DB_Agents!$B:$I,8,0),"")=I24,IF(C24&gt;=E24,"Successful","Unsuccessful"),"🔒 BLOCKED — Wrong Code")),"Pending")</f>
        <v>Pending</v>
      </c>
      <c r="K24" s="90" t="str">
        <f t="shared" ca="1" si="2"/>
        <v>—</v>
      </c>
      <c r="L24" s="91"/>
    </row>
    <row r="25" spans="1:12" ht="15" customHeight="1" x14ac:dyDescent="0.25">
      <c r="A25" s="76"/>
      <c r="B25" s="37" t="str">
        <f>IF(A25="","",IFERROR(VLOOKUP(A25,DB_Customers!$A:$D,4,0),"❌ Account Not Found"))</f>
        <v/>
      </c>
      <c r="C25" s="77" t="str">
        <f>IF(A25="","",IFERROR(VLOOKUP(A25,DB_Customers!$A:$N,14,0),"❌ Acct Not Found"))</f>
        <v/>
      </c>
      <c r="D25" s="78" t="str">
        <f t="shared" ca="1" si="0"/>
        <v/>
      </c>
      <c r="E25" s="94"/>
      <c r="F25" s="37"/>
      <c r="G25" s="95" t="str">
        <f t="shared" si="1"/>
        <v/>
      </c>
      <c r="H25" s="39" t="s">
        <v>135</v>
      </c>
      <c r="I25" s="81"/>
      <c r="J25" s="82" t="str">
        <f>IF(AND(A25&lt;&gt;"",E25&lt;&gt;""),IF(I25="","⚠️ Enter Code",IF(IFERROR(VLOOKUP(H25,DB_Agents!$B:$I,8,0),"")=I25,IF(C25&gt;=E25,"Successful","Unsuccessful"),"🔒 BLOCKED — Wrong Code")),"Pending")</f>
        <v>Pending</v>
      </c>
      <c r="K25" s="83" t="str">
        <f t="shared" ca="1" si="2"/>
        <v>—</v>
      </c>
      <c r="L25" s="84"/>
    </row>
    <row r="26" spans="1:12" ht="15" customHeight="1" x14ac:dyDescent="0.25">
      <c r="A26" s="85"/>
      <c r="B26" s="41" t="str">
        <f>IF(A26="","",IFERROR(VLOOKUP(A26,DB_Customers!$A:$D,4,0),"❌ Account Not Found"))</f>
        <v/>
      </c>
      <c r="C26" s="86" t="str">
        <f>IF(A26="","",IFERROR(VLOOKUP(A26,DB_Customers!$A:$N,14,0),"❌ Acct Not Found"))</f>
        <v/>
      </c>
      <c r="D26" s="87" t="str">
        <f t="shared" ca="1" si="0"/>
        <v/>
      </c>
      <c r="E26" s="94"/>
      <c r="F26" s="41"/>
      <c r="G26" s="96" t="str">
        <f t="shared" si="1"/>
        <v/>
      </c>
      <c r="H26" s="43" t="s">
        <v>135</v>
      </c>
      <c r="I26" s="81"/>
      <c r="J26" s="89" t="str">
        <f>IF(AND(A26&lt;&gt;"",E26&lt;&gt;""),IF(I26="","⚠️ Enter Code",IF(IFERROR(VLOOKUP(H26,DB_Agents!$B:$I,8,0),"")=I26,IF(C26&gt;=E26,"Successful","Unsuccessful"),"🔒 BLOCKED — Wrong Code")),"Pending")</f>
        <v>Pending</v>
      </c>
      <c r="K26" s="90" t="str">
        <f t="shared" ca="1" si="2"/>
        <v>—</v>
      </c>
      <c r="L26" s="91"/>
    </row>
    <row r="27" spans="1:12" ht="15" customHeight="1" x14ac:dyDescent="0.25">
      <c r="A27" s="76"/>
      <c r="B27" s="37" t="str">
        <f>IF(A27="","",IFERROR(VLOOKUP(A27,DB_Customers!$A:$D,4,0),"❌ Account Not Found"))</f>
        <v/>
      </c>
      <c r="C27" s="77" t="str">
        <f>IF(A27="","",IFERROR(VLOOKUP(A27,DB_Customers!$A:$N,14,0),"❌ Acct Not Found"))</f>
        <v/>
      </c>
      <c r="D27" s="78" t="str">
        <f t="shared" ca="1" si="0"/>
        <v/>
      </c>
      <c r="E27" s="94"/>
      <c r="F27" s="37"/>
      <c r="G27" s="95" t="str">
        <f t="shared" si="1"/>
        <v/>
      </c>
      <c r="H27" s="39" t="s">
        <v>135</v>
      </c>
      <c r="I27" s="81"/>
      <c r="J27" s="82" t="str">
        <f>IF(AND(A27&lt;&gt;"",E27&lt;&gt;""),IF(I27="","⚠️ Enter Code",IF(IFERROR(VLOOKUP(H27,DB_Agents!$B:$I,8,0),"")=I27,IF(C27&gt;=E27,"Successful","Unsuccessful"),"🔒 BLOCKED — Wrong Code")),"Pending")</f>
        <v>Pending</v>
      </c>
      <c r="K27" s="83" t="str">
        <f t="shared" ca="1" si="2"/>
        <v>—</v>
      </c>
      <c r="L27" s="84"/>
    </row>
    <row r="28" spans="1:12" ht="15" customHeight="1" x14ac:dyDescent="0.25">
      <c r="A28" s="85"/>
      <c r="B28" s="41" t="str">
        <f>IF(A28="","",IFERROR(VLOOKUP(A28,DB_Customers!$A:$D,4,0),"❌ Account Not Found"))</f>
        <v/>
      </c>
      <c r="C28" s="86" t="str">
        <f>IF(A28="","",IFERROR(VLOOKUP(A28,DB_Customers!$A:$N,14,0),"❌ Acct Not Found"))</f>
        <v/>
      </c>
      <c r="D28" s="87" t="str">
        <f t="shared" ca="1" si="0"/>
        <v/>
      </c>
      <c r="E28" s="94"/>
      <c r="F28" s="41"/>
      <c r="G28" s="96" t="str">
        <f t="shared" si="1"/>
        <v/>
      </c>
      <c r="H28" s="43" t="s">
        <v>135</v>
      </c>
      <c r="I28" s="81"/>
      <c r="J28" s="89" t="str">
        <f>IF(AND(A28&lt;&gt;"",E28&lt;&gt;""),IF(I28="","⚠️ Enter Code",IF(IFERROR(VLOOKUP(H28,DB_Agents!$B:$I,8,0),"")=I28,IF(C28&gt;=E28,"Successful","Unsuccessful"),"🔒 BLOCKED — Wrong Code")),"Pending")</f>
        <v>Pending</v>
      </c>
      <c r="K28" s="90" t="str">
        <f t="shared" ca="1" si="2"/>
        <v>—</v>
      </c>
      <c r="L28" s="91"/>
    </row>
    <row r="29" spans="1:12" ht="15" customHeight="1" x14ac:dyDescent="0.25">
      <c r="A29" s="76"/>
      <c r="B29" s="37" t="str">
        <f>IF(A29="","",IFERROR(VLOOKUP(A29,DB_Customers!$A:$D,4,0),"❌ Account Not Found"))</f>
        <v/>
      </c>
      <c r="C29" s="77" t="str">
        <f>IF(A29="","",IFERROR(VLOOKUP(A29,DB_Customers!$A:$N,14,0),"❌ Acct Not Found"))</f>
        <v/>
      </c>
      <c r="D29" s="78" t="str">
        <f t="shared" ca="1" si="0"/>
        <v/>
      </c>
      <c r="E29" s="94"/>
      <c r="F29" s="37"/>
      <c r="G29" s="95" t="str">
        <f t="shared" si="1"/>
        <v/>
      </c>
      <c r="H29" s="39" t="s">
        <v>135</v>
      </c>
      <c r="I29" s="81"/>
      <c r="J29" s="82" t="str">
        <f>IF(AND(A29&lt;&gt;"",E29&lt;&gt;""),IF(I29="","⚠️ Enter Code",IF(IFERROR(VLOOKUP(H29,DB_Agents!$B:$I,8,0),"")=I29,IF(C29&gt;=E29,"Successful","Unsuccessful"),"🔒 BLOCKED — Wrong Code")),"Pending")</f>
        <v>Pending</v>
      </c>
      <c r="K29" s="83" t="str">
        <f t="shared" ca="1" si="2"/>
        <v>—</v>
      </c>
      <c r="L29" s="84"/>
    </row>
    <row r="30" spans="1:12" ht="15" customHeight="1" x14ac:dyDescent="0.25">
      <c r="A30" s="85"/>
      <c r="B30" s="41" t="str">
        <f>IF(A30="","",IFERROR(VLOOKUP(A30,DB_Customers!$A:$D,4,0),"❌ Account Not Found"))</f>
        <v/>
      </c>
      <c r="C30" s="86" t="str">
        <f>IF(A30="","",IFERROR(VLOOKUP(A30,DB_Customers!$A:$N,14,0),"❌ Acct Not Found"))</f>
        <v/>
      </c>
      <c r="D30" s="87" t="str">
        <f t="shared" ca="1" si="0"/>
        <v/>
      </c>
      <c r="E30" s="94"/>
      <c r="F30" s="41"/>
      <c r="G30" s="96" t="str">
        <f t="shared" si="1"/>
        <v/>
      </c>
      <c r="H30" s="43" t="s">
        <v>135</v>
      </c>
      <c r="I30" s="81"/>
      <c r="J30" s="89" t="str">
        <f>IF(AND(A30&lt;&gt;"",E30&lt;&gt;""),IF(I30="","⚠️ Enter Code",IF(IFERROR(VLOOKUP(H30,DB_Agents!$B:$I,8,0),"")=I30,IF(C30&gt;=E30,"Successful","Unsuccessful"),"🔒 BLOCKED — Wrong Code")),"Pending")</f>
        <v>Pending</v>
      </c>
      <c r="K30" s="90" t="str">
        <f t="shared" ca="1" si="2"/>
        <v>—</v>
      </c>
      <c r="L30" s="91"/>
    </row>
    <row r="31" spans="1:12" ht="15" customHeight="1" x14ac:dyDescent="0.25">
      <c r="A31" s="76"/>
      <c r="B31" s="37" t="str">
        <f>IF(A31="","",IFERROR(VLOOKUP(A31,DB_Customers!$A:$D,4,0),"❌ Account Not Found"))</f>
        <v/>
      </c>
      <c r="C31" s="77" t="str">
        <f>IF(A31="","",IFERROR(VLOOKUP(A31,DB_Customers!$A:$N,14,0),"❌ Acct Not Found"))</f>
        <v/>
      </c>
      <c r="D31" s="78" t="str">
        <f t="shared" ca="1" si="0"/>
        <v/>
      </c>
      <c r="E31" s="94"/>
      <c r="F31" s="37"/>
      <c r="G31" s="95" t="str">
        <f t="shared" si="1"/>
        <v/>
      </c>
      <c r="H31" s="39" t="s">
        <v>135</v>
      </c>
      <c r="I31" s="81"/>
      <c r="J31" s="82" t="str">
        <f>IF(AND(A31&lt;&gt;"",E31&lt;&gt;""),IF(I31="","⚠️ Enter Code",IF(IFERROR(VLOOKUP(H31,DB_Agents!$B:$I,8,0),"")=I31,IF(C31&gt;=E31,"Successful","Unsuccessful"),"🔒 BLOCKED — Wrong Code")),"Pending")</f>
        <v>Pending</v>
      </c>
      <c r="K31" s="83" t="str">
        <f t="shared" ca="1" si="2"/>
        <v>—</v>
      </c>
      <c r="L31" s="84"/>
    </row>
    <row r="32" spans="1:12" ht="15" customHeight="1" x14ac:dyDescent="0.25">
      <c r="A32" s="85"/>
      <c r="B32" s="41" t="str">
        <f>IF(A32="","",IFERROR(VLOOKUP(A32,DB_Customers!$A:$D,4,0),"❌ Account Not Found"))</f>
        <v/>
      </c>
      <c r="C32" s="86" t="str">
        <f>IF(A32="","",IFERROR(VLOOKUP(A32,DB_Customers!$A:$N,14,0),"❌ Acct Not Found"))</f>
        <v/>
      </c>
      <c r="D32" s="87" t="str">
        <f t="shared" ca="1" si="0"/>
        <v/>
      </c>
      <c r="E32" s="94"/>
      <c r="F32" s="41"/>
      <c r="G32" s="96" t="str">
        <f t="shared" si="1"/>
        <v/>
      </c>
      <c r="H32" s="43" t="s">
        <v>135</v>
      </c>
      <c r="I32" s="81"/>
      <c r="J32" s="89" t="str">
        <f>IF(AND(A32&lt;&gt;"",E32&lt;&gt;""),IF(I32="","⚠️ Enter Code",IF(IFERROR(VLOOKUP(H32,DB_Agents!$B:$I,8,0),"")=I32,IF(C32&gt;=E32,"Successful","Unsuccessful"),"🔒 BLOCKED — Wrong Code")),"Pending")</f>
        <v>Pending</v>
      </c>
      <c r="K32" s="90" t="str">
        <f t="shared" ca="1" si="2"/>
        <v>—</v>
      </c>
      <c r="L32" s="91"/>
    </row>
    <row r="33" spans="1:12" ht="15" customHeight="1" x14ac:dyDescent="0.25">
      <c r="A33" s="76"/>
      <c r="B33" s="37" t="str">
        <f>IF(A33="","",IFERROR(VLOOKUP(A33,DB_Customers!$A:$D,4,0),"❌ Account Not Found"))</f>
        <v/>
      </c>
      <c r="C33" s="77" t="str">
        <f>IF(A33="","",IFERROR(VLOOKUP(A33,DB_Customers!$A:$N,14,0),"❌ Acct Not Found"))</f>
        <v/>
      </c>
      <c r="D33" s="78" t="str">
        <f t="shared" ca="1" si="0"/>
        <v/>
      </c>
      <c r="E33" s="94"/>
      <c r="F33" s="37"/>
      <c r="G33" s="95" t="str">
        <f t="shared" si="1"/>
        <v/>
      </c>
      <c r="H33" s="39" t="s">
        <v>135</v>
      </c>
      <c r="I33" s="81"/>
      <c r="J33" s="82" t="str">
        <f>IF(AND(A33&lt;&gt;"",E33&lt;&gt;""),IF(I33="","⚠️ Enter Code",IF(IFERROR(VLOOKUP(H33,DB_Agents!$B:$I,8,0),"")=I33,IF(C33&gt;=E33,"Successful","Unsuccessful"),"🔒 BLOCKED — Wrong Code")),"Pending")</f>
        <v>Pending</v>
      </c>
      <c r="K33" s="83" t="str">
        <f t="shared" ca="1" si="2"/>
        <v>—</v>
      </c>
      <c r="L33" s="84"/>
    </row>
    <row r="34" spans="1:12" ht="15" customHeight="1" x14ac:dyDescent="0.25">
      <c r="A34" s="85"/>
      <c r="B34" s="41" t="str">
        <f>IF(A34="","",IFERROR(VLOOKUP(A34,DB_Customers!$A:$D,4,0),"❌ Account Not Found"))</f>
        <v/>
      </c>
      <c r="C34" s="86" t="str">
        <f>IF(A34="","",IFERROR(VLOOKUP(A34,DB_Customers!$A:$N,14,0),"❌ Acct Not Found"))</f>
        <v/>
      </c>
      <c r="D34" s="87" t="str">
        <f t="shared" ca="1" si="0"/>
        <v/>
      </c>
      <c r="E34" s="94"/>
      <c r="F34" s="41"/>
      <c r="G34" s="96" t="str">
        <f t="shared" si="1"/>
        <v/>
      </c>
      <c r="H34" s="43" t="s">
        <v>135</v>
      </c>
      <c r="I34" s="81"/>
      <c r="J34" s="89" t="str">
        <f>IF(AND(A34&lt;&gt;"",E34&lt;&gt;""),IF(I34="","⚠️ Enter Code",IF(IFERROR(VLOOKUP(H34,DB_Agents!$B:$I,8,0),"")=I34,IF(C34&gt;=E34,"Successful","Unsuccessful"),"🔒 BLOCKED — Wrong Code")),"Pending")</f>
        <v>Pending</v>
      </c>
      <c r="K34" s="90" t="str">
        <f t="shared" ca="1" si="2"/>
        <v>—</v>
      </c>
      <c r="L34" s="91"/>
    </row>
    <row r="35" spans="1:12" ht="15" customHeight="1" x14ac:dyDescent="0.25">
      <c r="A35" s="76"/>
      <c r="B35" s="37" t="str">
        <f>IF(A35="","",IFERROR(VLOOKUP(A35,DB_Customers!$A:$D,4,0),"❌ Account Not Found"))</f>
        <v/>
      </c>
      <c r="C35" s="77" t="str">
        <f>IF(A35="","",IFERROR(VLOOKUP(A35,DB_Customers!$A:$N,14,0),"❌ Acct Not Found"))</f>
        <v/>
      </c>
      <c r="D35" s="78" t="str">
        <f t="shared" ca="1" si="0"/>
        <v/>
      </c>
      <c r="E35" s="94"/>
      <c r="F35" s="37"/>
      <c r="G35" s="95" t="str">
        <f t="shared" si="1"/>
        <v/>
      </c>
      <c r="H35" s="39" t="s">
        <v>135</v>
      </c>
      <c r="I35" s="81"/>
      <c r="J35" s="82" t="str">
        <f>IF(AND(A35&lt;&gt;"",E35&lt;&gt;""),IF(I35="","⚠️ Enter Code",IF(IFERROR(VLOOKUP(H35,DB_Agents!$B:$I,8,0),"")=I35,IF(C35&gt;=E35,"Successful","Unsuccessful"),"🔒 BLOCKED — Wrong Code")),"Pending")</f>
        <v>Pending</v>
      </c>
      <c r="K35" s="83" t="str">
        <f t="shared" ca="1" si="2"/>
        <v>—</v>
      </c>
      <c r="L35" s="84"/>
    </row>
    <row r="36" spans="1:12" ht="15" customHeight="1" x14ac:dyDescent="0.25">
      <c r="A36" s="85"/>
      <c r="B36" s="41" t="str">
        <f>IF(A36="","",IFERROR(VLOOKUP(A36,DB_Customers!$A:$D,4,0),"❌ Account Not Found"))</f>
        <v/>
      </c>
      <c r="C36" s="86" t="str">
        <f>IF(A36="","",IFERROR(VLOOKUP(A36,DB_Customers!$A:$N,14,0),"❌ Acct Not Found"))</f>
        <v/>
      </c>
      <c r="D36" s="87" t="str">
        <f t="shared" ca="1" si="0"/>
        <v/>
      </c>
      <c r="E36" s="94"/>
      <c r="F36" s="41"/>
      <c r="G36" s="96" t="str">
        <f t="shared" si="1"/>
        <v/>
      </c>
      <c r="H36" s="43" t="s">
        <v>135</v>
      </c>
      <c r="I36" s="81"/>
      <c r="J36" s="89" t="str">
        <f>IF(AND(A36&lt;&gt;"",E36&lt;&gt;""),IF(I36="","⚠️ Enter Code",IF(IFERROR(VLOOKUP(H36,DB_Agents!$B:$I,8,0),"")=I36,IF(C36&gt;=E36,"Successful","Unsuccessful"),"🔒 BLOCKED — Wrong Code")),"Pending")</f>
        <v>Pending</v>
      </c>
      <c r="K36" s="90" t="str">
        <f t="shared" ca="1" si="2"/>
        <v>—</v>
      </c>
      <c r="L36" s="91"/>
    </row>
    <row r="37" spans="1:12" ht="15" customHeight="1" x14ac:dyDescent="0.25">
      <c r="A37" s="76"/>
      <c r="B37" s="37" t="str">
        <f>IF(A37="","",IFERROR(VLOOKUP(A37,DB_Customers!$A:$D,4,0),"❌ Account Not Found"))</f>
        <v/>
      </c>
      <c r="C37" s="77" t="str">
        <f>IF(A37="","",IFERROR(VLOOKUP(A37,DB_Customers!$A:$N,14,0),"❌ Acct Not Found"))</f>
        <v/>
      </c>
      <c r="D37" s="78" t="str">
        <f t="shared" ca="1" si="0"/>
        <v/>
      </c>
      <c r="E37" s="94"/>
      <c r="F37" s="37"/>
      <c r="G37" s="95" t="str">
        <f t="shared" si="1"/>
        <v/>
      </c>
      <c r="H37" s="39" t="s">
        <v>135</v>
      </c>
      <c r="I37" s="81"/>
      <c r="J37" s="82" t="str">
        <f>IF(AND(A37&lt;&gt;"",E37&lt;&gt;""),IF(I37="","⚠️ Enter Code",IF(IFERROR(VLOOKUP(H37,DB_Agents!$B:$I,8,0),"")=I37,IF(C37&gt;=E37,"Successful","Unsuccessful"),"🔒 BLOCKED — Wrong Code")),"Pending")</f>
        <v>Pending</v>
      </c>
      <c r="K37" s="83" t="str">
        <f t="shared" ca="1" si="2"/>
        <v>—</v>
      </c>
      <c r="L37" s="84"/>
    </row>
    <row r="38" spans="1:12" ht="15" customHeight="1" x14ac:dyDescent="0.25">
      <c r="A38" s="85"/>
      <c r="B38" s="41" t="str">
        <f>IF(A38="","",IFERROR(VLOOKUP(A38,DB_Customers!$A:$D,4,0),"❌ Account Not Found"))</f>
        <v/>
      </c>
      <c r="C38" s="86" t="str">
        <f>IF(A38="","",IFERROR(VLOOKUP(A38,DB_Customers!$A:$N,14,0),"❌ Acct Not Found"))</f>
        <v/>
      </c>
      <c r="D38" s="87" t="str">
        <f t="shared" ca="1" si="0"/>
        <v/>
      </c>
      <c r="E38" s="94"/>
      <c r="F38" s="41"/>
      <c r="G38" s="96" t="str">
        <f t="shared" si="1"/>
        <v/>
      </c>
      <c r="H38" s="43" t="s">
        <v>135</v>
      </c>
      <c r="I38" s="81"/>
      <c r="J38" s="89" t="str">
        <f>IF(AND(A38&lt;&gt;"",E38&lt;&gt;""),IF(I38="","⚠️ Enter Code",IF(IFERROR(VLOOKUP(H38,DB_Agents!$B:$I,8,0),"")=I38,IF(C38&gt;=E38,"Successful","Unsuccessful"),"🔒 BLOCKED — Wrong Code")),"Pending")</f>
        <v>Pending</v>
      </c>
      <c r="K38" s="90" t="str">
        <f t="shared" ca="1" si="2"/>
        <v>—</v>
      </c>
      <c r="L38" s="91"/>
    </row>
    <row r="39" spans="1:12" ht="15" customHeight="1" x14ac:dyDescent="0.25">
      <c r="A39" s="76"/>
      <c r="B39" s="37" t="str">
        <f>IF(A39="","",IFERROR(VLOOKUP(A39,DB_Customers!$A:$D,4,0),"❌ Account Not Found"))</f>
        <v/>
      </c>
      <c r="C39" s="77" t="str">
        <f>IF(A39="","",IFERROR(VLOOKUP(A39,DB_Customers!$A:$N,14,0),"❌ Acct Not Found"))</f>
        <v/>
      </c>
      <c r="D39" s="78" t="str">
        <f t="shared" ca="1" si="0"/>
        <v/>
      </c>
      <c r="E39" s="94"/>
      <c r="F39" s="37"/>
      <c r="G39" s="95" t="str">
        <f t="shared" si="1"/>
        <v/>
      </c>
      <c r="H39" s="39" t="s">
        <v>135</v>
      </c>
      <c r="I39" s="81"/>
      <c r="J39" s="82" t="str">
        <f>IF(AND(A39&lt;&gt;"",E39&lt;&gt;""),IF(I39="","⚠️ Enter Code",IF(IFERROR(VLOOKUP(H39,DB_Agents!$B:$I,8,0),"")=I39,IF(C39&gt;=E39,"Successful","Unsuccessful"),"🔒 BLOCKED — Wrong Code")),"Pending")</f>
        <v>Pending</v>
      </c>
      <c r="K39" s="83" t="str">
        <f t="shared" ca="1" si="2"/>
        <v>—</v>
      </c>
      <c r="L39" s="84"/>
    </row>
    <row r="40" spans="1:12" ht="15" customHeight="1" x14ac:dyDescent="0.25">
      <c r="A40" s="85"/>
      <c r="B40" s="41" t="str">
        <f>IF(A40="","",IFERROR(VLOOKUP(A40,DB_Customers!$A:$D,4,0),"❌ Account Not Found"))</f>
        <v/>
      </c>
      <c r="C40" s="86" t="str">
        <f>IF(A40="","",IFERROR(VLOOKUP(A40,DB_Customers!$A:$N,14,0),"❌ Acct Not Found"))</f>
        <v/>
      </c>
      <c r="D40" s="87" t="str">
        <f t="shared" ca="1" si="0"/>
        <v/>
      </c>
      <c r="E40" s="94"/>
      <c r="F40" s="41"/>
      <c r="G40" s="96" t="str">
        <f t="shared" si="1"/>
        <v/>
      </c>
      <c r="H40" s="43" t="s">
        <v>135</v>
      </c>
      <c r="I40" s="81"/>
      <c r="J40" s="89" t="str">
        <f>IF(AND(A40&lt;&gt;"",E40&lt;&gt;""),IF(I40="","⚠️ Enter Code",IF(IFERROR(VLOOKUP(H40,DB_Agents!$B:$I,8,0),"")=I40,IF(C40&gt;=E40,"Successful","Unsuccessful"),"🔒 BLOCKED — Wrong Code")),"Pending")</f>
        <v>Pending</v>
      </c>
      <c r="K40" s="90" t="str">
        <f t="shared" ca="1" si="2"/>
        <v>—</v>
      </c>
      <c r="L40" s="91"/>
    </row>
    <row r="41" spans="1:12" ht="15" customHeight="1" x14ac:dyDescent="0.25">
      <c r="A41" s="76"/>
      <c r="B41" s="37" t="str">
        <f>IF(A41="","",IFERROR(VLOOKUP(A41,DB_Customers!$A:$D,4,0),"❌ Account Not Found"))</f>
        <v/>
      </c>
      <c r="C41" s="77" t="str">
        <f>IF(A41="","",IFERROR(VLOOKUP(A41,DB_Customers!$A:$N,14,0),"❌ Acct Not Found"))</f>
        <v/>
      </c>
      <c r="D41" s="78" t="str">
        <f t="shared" ref="D41:D72" ca="1" si="3">IF(A41="","",TODAY())</f>
        <v/>
      </c>
      <c r="E41" s="94"/>
      <c r="F41" s="37"/>
      <c r="G41" s="95" t="str">
        <f t="shared" ref="G41:G72" si="4">IF(OR(A41="",E41=""),"",IF(C41="","",C41-E41))</f>
        <v/>
      </c>
      <c r="H41" s="39" t="s">
        <v>135</v>
      </c>
      <c r="I41" s="81"/>
      <c r="J41" s="82" t="str">
        <f>IF(AND(A41&lt;&gt;"",E41&lt;&gt;""),IF(I41="","⚠️ Enter Code",IF(IFERROR(VLOOKUP(H41,DB_Agents!$B:$I,8,0),"")=I41,IF(C41&gt;=E41,"Successful","Unsuccessful"),"🔒 BLOCKED — Wrong Code")),"Pending")</f>
        <v>Pending</v>
      </c>
      <c r="K41" s="83" t="str">
        <f t="shared" ref="K41:K72" ca="1" si="5">IF(J41="Successful",TEXT(TODAY(),"YYYY-MM-DD")&amp;" Auto","—")</f>
        <v>—</v>
      </c>
      <c r="L41" s="84"/>
    </row>
    <row r="42" spans="1:12" ht="15" customHeight="1" x14ac:dyDescent="0.25">
      <c r="A42" s="85"/>
      <c r="B42" s="41" t="str">
        <f>IF(A42="","",IFERROR(VLOOKUP(A42,DB_Customers!$A:$D,4,0),"❌ Account Not Found"))</f>
        <v/>
      </c>
      <c r="C42" s="86" t="str">
        <f>IF(A42="","",IFERROR(VLOOKUP(A42,DB_Customers!$A:$N,14,0),"❌ Acct Not Found"))</f>
        <v/>
      </c>
      <c r="D42" s="87" t="str">
        <f t="shared" ca="1" si="3"/>
        <v/>
      </c>
      <c r="E42" s="94"/>
      <c r="F42" s="41"/>
      <c r="G42" s="96" t="str">
        <f t="shared" si="4"/>
        <v/>
      </c>
      <c r="H42" s="43" t="s">
        <v>135</v>
      </c>
      <c r="I42" s="81"/>
      <c r="J42" s="89" t="str">
        <f>IF(AND(A42&lt;&gt;"",E42&lt;&gt;""),IF(I42="","⚠️ Enter Code",IF(IFERROR(VLOOKUP(H42,DB_Agents!$B:$I,8,0),"")=I42,IF(C42&gt;=E42,"Successful","Unsuccessful"),"🔒 BLOCKED — Wrong Code")),"Pending")</f>
        <v>Pending</v>
      </c>
      <c r="K42" s="90" t="str">
        <f t="shared" ca="1" si="5"/>
        <v>—</v>
      </c>
      <c r="L42" s="91"/>
    </row>
    <row r="43" spans="1:12" ht="15" customHeight="1" x14ac:dyDescent="0.25">
      <c r="A43" s="76"/>
      <c r="B43" s="37" t="str">
        <f>IF(A43="","",IFERROR(VLOOKUP(A43,DB_Customers!$A:$D,4,0),"❌ Account Not Found"))</f>
        <v/>
      </c>
      <c r="C43" s="77" t="str">
        <f>IF(A43="","",IFERROR(VLOOKUP(A43,DB_Customers!$A:$N,14,0),"❌ Acct Not Found"))</f>
        <v/>
      </c>
      <c r="D43" s="78" t="str">
        <f t="shared" ca="1" si="3"/>
        <v/>
      </c>
      <c r="E43" s="94"/>
      <c r="F43" s="37"/>
      <c r="G43" s="95" t="str">
        <f t="shared" si="4"/>
        <v/>
      </c>
      <c r="H43" s="39" t="s">
        <v>135</v>
      </c>
      <c r="I43" s="81"/>
      <c r="J43" s="82" t="str">
        <f>IF(AND(A43&lt;&gt;"",E43&lt;&gt;""),IF(I43="","⚠️ Enter Code",IF(IFERROR(VLOOKUP(H43,DB_Agents!$B:$I,8,0),"")=I43,IF(C43&gt;=E43,"Successful","Unsuccessful"),"🔒 BLOCKED — Wrong Code")),"Pending")</f>
        <v>Pending</v>
      </c>
      <c r="K43" s="83" t="str">
        <f t="shared" ca="1" si="5"/>
        <v>—</v>
      </c>
      <c r="L43" s="84"/>
    </row>
    <row r="44" spans="1:12" ht="15" customHeight="1" x14ac:dyDescent="0.25">
      <c r="A44" s="85"/>
      <c r="B44" s="41" t="str">
        <f>IF(A44="","",IFERROR(VLOOKUP(A44,DB_Customers!$A:$D,4,0),"❌ Account Not Found"))</f>
        <v/>
      </c>
      <c r="C44" s="86" t="str">
        <f>IF(A44="","",IFERROR(VLOOKUP(A44,DB_Customers!$A:$N,14,0),"❌ Acct Not Found"))</f>
        <v/>
      </c>
      <c r="D44" s="87" t="str">
        <f t="shared" ca="1" si="3"/>
        <v/>
      </c>
      <c r="E44" s="94"/>
      <c r="F44" s="41"/>
      <c r="G44" s="96" t="str">
        <f t="shared" si="4"/>
        <v/>
      </c>
      <c r="H44" s="43" t="s">
        <v>135</v>
      </c>
      <c r="I44" s="81"/>
      <c r="J44" s="89" t="str">
        <f>IF(AND(A44&lt;&gt;"",E44&lt;&gt;""),IF(I44="","⚠️ Enter Code",IF(IFERROR(VLOOKUP(H44,DB_Agents!$B:$I,8,0),"")=I44,IF(C44&gt;=E44,"Successful","Unsuccessful"),"🔒 BLOCKED — Wrong Code")),"Pending")</f>
        <v>Pending</v>
      </c>
      <c r="K44" s="90" t="str">
        <f t="shared" ca="1" si="5"/>
        <v>—</v>
      </c>
      <c r="L44" s="91"/>
    </row>
    <row r="45" spans="1:12" ht="15" customHeight="1" x14ac:dyDescent="0.25">
      <c r="A45" s="76"/>
      <c r="B45" s="37" t="str">
        <f>IF(A45="","",IFERROR(VLOOKUP(A45,DB_Customers!$A:$D,4,0),"❌ Account Not Found"))</f>
        <v/>
      </c>
      <c r="C45" s="77" t="str">
        <f>IF(A45="","",IFERROR(VLOOKUP(A45,DB_Customers!$A:$N,14,0),"❌ Acct Not Found"))</f>
        <v/>
      </c>
      <c r="D45" s="78" t="str">
        <f t="shared" ca="1" si="3"/>
        <v/>
      </c>
      <c r="E45" s="94"/>
      <c r="F45" s="37"/>
      <c r="G45" s="95" t="str">
        <f t="shared" si="4"/>
        <v/>
      </c>
      <c r="H45" s="39" t="s">
        <v>135</v>
      </c>
      <c r="I45" s="81"/>
      <c r="J45" s="82" t="str">
        <f>IF(AND(A45&lt;&gt;"",E45&lt;&gt;""),IF(I45="","⚠️ Enter Code",IF(IFERROR(VLOOKUP(H45,DB_Agents!$B:$I,8,0),"")=I45,IF(C45&gt;=E45,"Successful","Unsuccessful"),"🔒 BLOCKED — Wrong Code")),"Pending")</f>
        <v>Pending</v>
      </c>
      <c r="K45" s="83" t="str">
        <f t="shared" ca="1" si="5"/>
        <v>—</v>
      </c>
      <c r="L45" s="84"/>
    </row>
    <row r="46" spans="1:12" ht="15" customHeight="1" x14ac:dyDescent="0.25">
      <c r="A46" s="85"/>
      <c r="B46" s="41" t="str">
        <f>IF(A46="","",IFERROR(VLOOKUP(A46,DB_Customers!$A:$D,4,0),"❌ Account Not Found"))</f>
        <v/>
      </c>
      <c r="C46" s="86" t="str">
        <f>IF(A46="","",IFERROR(VLOOKUP(A46,DB_Customers!$A:$N,14,0),"❌ Acct Not Found"))</f>
        <v/>
      </c>
      <c r="D46" s="87" t="str">
        <f t="shared" ca="1" si="3"/>
        <v/>
      </c>
      <c r="E46" s="94"/>
      <c r="F46" s="41"/>
      <c r="G46" s="96" t="str">
        <f t="shared" si="4"/>
        <v/>
      </c>
      <c r="H46" s="43" t="s">
        <v>135</v>
      </c>
      <c r="I46" s="81"/>
      <c r="J46" s="89" t="str">
        <f>IF(AND(A46&lt;&gt;"",E46&lt;&gt;""),IF(I46="","⚠️ Enter Code",IF(IFERROR(VLOOKUP(H46,DB_Agents!$B:$I,8,0),"")=I46,IF(C46&gt;=E46,"Successful","Unsuccessful"),"🔒 BLOCKED — Wrong Code")),"Pending")</f>
        <v>Pending</v>
      </c>
      <c r="K46" s="90" t="str">
        <f t="shared" ca="1" si="5"/>
        <v>—</v>
      </c>
      <c r="L46" s="91"/>
    </row>
    <row r="47" spans="1:12" ht="15" customHeight="1" x14ac:dyDescent="0.25">
      <c r="A47" s="76"/>
      <c r="B47" s="37" t="str">
        <f>IF(A47="","",IFERROR(VLOOKUP(A47,DB_Customers!$A:$D,4,0),"❌ Account Not Found"))</f>
        <v/>
      </c>
      <c r="C47" s="77" t="str">
        <f>IF(A47="","",IFERROR(VLOOKUP(A47,DB_Customers!$A:$N,14,0),"❌ Acct Not Found"))</f>
        <v/>
      </c>
      <c r="D47" s="78" t="str">
        <f t="shared" ca="1" si="3"/>
        <v/>
      </c>
      <c r="E47" s="94"/>
      <c r="F47" s="37"/>
      <c r="G47" s="95" t="str">
        <f t="shared" si="4"/>
        <v/>
      </c>
      <c r="H47" s="39" t="s">
        <v>135</v>
      </c>
      <c r="I47" s="81"/>
      <c r="J47" s="82" t="str">
        <f>IF(AND(A47&lt;&gt;"",E47&lt;&gt;""),IF(I47="","⚠️ Enter Code",IF(IFERROR(VLOOKUP(H47,DB_Agents!$B:$I,8,0),"")=I47,IF(C47&gt;=E47,"Successful","Unsuccessful"),"🔒 BLOCKED — Wrong Code")),"Pending")</f>
        <v>Pending</v>
      </c>
      <c r="K47" s="83" t="str">
        <f t="shared" ca="1" si="5"/>
        <v>—</v>
      </c>
      <c r="L47" s="84"/>
    </row>
    <row r="48" spans="1:12" ht="15" customHeight="1" x14ac:dyDescent="0.25">
      <c r="A48" s="85"/>
      <c r="B48" s="41" t="str">
        <f>IF(A48="","",IFERROR(VLOOKUP(A48,DB_Customers!$A:$D,4,0),"❌ Account Not Found"))</f>
        <v/>
      </c>
      <c r="C48" s="86" t="str">
        <f>IF(A48="","",IFERROR(VLOOKUP(A48,DB_Customers!$A:$N,14,0),"❌ Acct Not Found"))</f>
        <v/>
      </c>
      <c r="D48" s="87" t="str">
        <f t="shared" ca="1" si="3"/>
        <v/>
      </c>
      <c r="E48" s="94"/>
      <c r="F48" s="41"/>
      <c r="G48" s="96" t="str">
        <f t="shared" si="4"/>
        <v/>
      </c>
      <c r="H48" s="43" t="s">
        <v>135</v>
      </c>
      <c r="I48" s="81"/>
      <c r="J48" s="89" t="str">
        <f>IF(AND(A48&lt;&gt;"",E48&lt;&gt;""),IF(I48="","⚠️ Enter Code",IF(IFERROR(VLOOKUP(H48,DB_Agents!$B:$I,8,0),"")=I48,IF(C48&gt;=E48,"Successful","Unsuccessful"),"🔒 BLOCKED — Wrong Code")),"Pending")</f>
        <v>Pending</v>
      </c>
      <c r="K48" s="90" t="str">
        <f t="shared" ca="1" si="5"/>
        <v>—</v>
      </c>
      <c r="L48" s="91"/>
    </row>
    <row r="49" spans="1:12" ht="15" customHeight="1" x14ac:dyDescent="0.25">
      <c r="A49" s="76"/>
      <c r="B49" s="37" t="str">
        <f>IF(A49="","",IFERROR(VLOOKUP(A49,DB_Customers!$A:$D,4,0),"❌ Account Not Found"))</f>
        <v/>
      </c>
      <c r="C49" s="77" t="str">
        <f>IF(A49="","",IFERROR(VLOOKUP(A49,DB_Customers!$A:$N,14,0),"❌ Acct Not Found"))</f>
        <v/>
      </c>
      <c r="D49" s="78" t="str">
        <f t="shared" ca="1" si="3"/>
        <v/>
      </c>
      <c r="E49" s="94"/>
      <c r="F49" s="37"/>
      <c r="G49" s="95" t="str">
        <f t="shared" si="4"/>
        <v/>
      </c>
      <c r="H49" s="39" t="s">
        <v>135</v>
      </c>
      <c r="I49" s="81"/>
      <c r="J49" s="82" t="str">
        <f>IF(AND(A49&lt;&gt;"",E49&lt;&gt;""),IF(I49="","⚠️ Enter Code",IF(IFERROR(VLOOKUP(H49,DB_Agents!$B:$I,8,0),"")=I49,IF(C49&gt;=E49,"Successful","Unsuccessful"),"🔒 BLOCKED — Wrong Code")),"Pending")</f>
        <v>Pending</v>
      </c>
      <c r="K49" s="83" t="str">
        <f t="shared" ca="1" si="5"/>
        <v>—</v>
      </c>
      <c r="L49" s="84"/>
    </row>
    <row r="50" spans="1:12" ht="15" customHeight="1" x14ac:dyDescent="0.25">
      <c r="A50" s="85"/>
      <c r="B50" s="41" t="str">
        <f>IF(A50="","",IFERROR(VLOOKUP(A50,DB_Customers!$A:$D,4,0),"❌ Account Not Found"))</f>
        <v/>
      </c>
      <c r="C50" s="86" t="str">
        <f>IF(A50="","",IFERROR(VLOOKUP(A50,DB_Customers!$A:$N,14,0),"❌ Acct Not Found"))</f>
        <v/>
      </c>
      <c r="D50" s="87" t="str">
        <f t="shared" ca="1" si="3"/>
        <v/>
      </c>
      <c r="E50" s="94"/>
      <c r="F50" s="41"/>
      <c r="G50" s="96" t="str">
        <f t="shared" si="4"/>
        <v/>
      </c>
      <c r="H50" s="43" t="s">
        <v>135</v>
      </c>
      <c r="I50" s="81"/>
      <c r="J50" s="89" t="str">
        <f>IF(AND(A50&lt;&gt;"",E50&lt;&gt;""),IF(I50="","⚠️ Enter Code",IF(IFERROR(VLOOKUP(H50,DB_Agents!$B:$I,8,0),"")=I50,IF(C50&gt;=E50,"Successful","Unsuccessful"),"🔒 BLOCKED — Wrong Code")),"Pending")</f>
        <v>Pending</v>
      </c>
      <c r="K50" s="90" t="str">
        <f t="shared" ca="1" si="5"/>
        <v>—</v>
      </c>
      <c r="L50" s="91"/>
    </row>
    <row r="51" spans="1:12" ht="15" customHeight="1" x14ac:dyDescent="0.25">
      <c r="A51" s="76"/>
      <c r="B51" s="37" t="str">
        <f>IF(A51="","",IFERROR(VLOOKUP(A51,DB_Customers!$A:$D,4,0),"❌ Account Not Found"))</f>
        <v/>
      </c>
      <c r="C51" s="77" t="str">
        <f>IF(A51="","",IFERROR(VLOOKUP(A51,DB_Customers!$A:$N,14,0),"❌ Acct Not Found"))</f>
        <v/>
      </c>
      <c r="D51" s="78" t="str">
        <f t="shared" ca="1" si="3"/>
        <v/>
      </c>
      <c r="E51" s="94"/>
      <c r="F51" s="37"/>
      <c r="G51" s="95" t="str">
        <f t="shared" si="4"/>
        <v/>
      </c>
      <c r="H51" s="39" t="s">
        <v>135</v>
      </c>
      <c r="I51" s="81"/>
      <c r="J51" s="82" t="str">
        <f>IF(AND(A51&lt;&gt;"",E51&lt;&gt;""),IF(I51="","⚠️ Enter Code",IF(IFERROR(VLOOKUP(H51,DB_Agents!$B:$I,8,0),"")=I51,IF(C51&gt;=E51,"Successful","Unsuccessful"),"🔒 BLOCKED — Wrong Code")),"Pending")</f>
        <v>Pending</v>
      </c>
      <c r="K51" s="83" t="str">
        <f t="shared" ca="1" si="5"/>
        <v>—</v>
      </c>
      <c r="L51" s="84"/>
    </row>
    <row r="52" spans="1:12" ht="15" customHeight="1" x14ac:dyDescent="0.25">
      <c r="A52" s="85"/>
      <c r="B52" s="41" t="str">
        <f>IF(A52="","",IFERROR(VLOOKUP(A52,DB_Customers!$A:$D,4,0),"❌ Account Not Found"))</f>
        <v/>
      </c>
      <c r="C52" s="86" t="str">
        <f>IF(A52="","",IFERROR(VLOOKUP(A52,DB_Customers!$A:$N,14,0),"❌ Acct Not Found"))</f>
        <v/>
      </c>
      <c r="D52" s="87" t="str">
        <f t="shared" ca="1" si="3"/>
        <v/>
      </c>
      <c r="E52" s="94"/>
      <c r="F52" s="41"/>
      <c r="G52" s="96" t="str">
        <f t="shared" si="4"/>
        <v/>
      </c>
      <c r="H52" s="43" t="s">
        <v>135</v>
      </c>
      <c r="I52" s="81"/>
      <c r="J52" s="89" t="str">
        <f>IF(AND(A52&lt;&gt;"",E52&lt;&gt;""),IF(I52="","⚠️ Enter Code",IF(IFERROR(VLOOKUP(H52,DB_Agents!$B:$I,8,0),"")=I52,IF(C52&gt;=E52,"Successful","Unsuccessful"),"🔒 BLOCKED — Wrong Code")),"Pending")</f>
        <v>Pending</v>
      </c>
      <c r="K52" s="90" t="str">
        <f t="shared" ca="1" si="5"/>
        <v>—</v>
      </c>
      <c r="L52" s="91"/>
    </row>
    <row r="53" spans="1:12" ht="15" customHeight="1" x14ac:dyDescent="0.25">
      <c r="A53" s="76"/>
      <c r="B53" s="37" t="str">
        <f>IF(A53="","",IFERROR(VLOOKUP(A53,DB_Customers!$A:$D,4,0),"❌ Account Not Found"))</f>
        <v/>
      </c>
      <c r="C53" s="77" t="str">
        <f>IF(A53="","",IFERROR(VLOOKUP(A53,DB_Customers!$A:$N,14,0),"❌ Acct Not Found"))</f>
        <v/>
      </c>
      <c r="D53" s="78" t="str">
        <f t="shared" ca="1" si="3"/>
        <v/>
      </c>
      <c r="E53" s="94"/>
      <c r="F53" s="37"/>
      <c r="G53" s="95" t="str">
        <f t="shared" si="4"/>
        <v/>
      </c>
      <c r="H53" s="39" t="s">
        <v>135</v>
      </c>
      <c r="I53" s="81"/>
      <c r="J53" s="82" t="str">
        <f>IF(AND(A53&lt;&gt;"",E53&lt;&gt;""),IF(I53="","⚠️ Enter Code",IF(IFERROR(VLOOKUP(H53,DB_Agents!$B:$I,8,0),"")=I53,IF(C53&gt;=E53,"Successful","Unsuccessful"),"🔒 BLOCKED — Wrong Code")),"Pending")</f>
        <v>Pending</v>
      </c>
      <c r="K53" s="83" t="str">
        <f t="shared" ca="1" si="5"/>
        <v>—</v>
      </c>
      <c r="L53" s="84"/>
    </row>
    <row r="54" spans="1:12" ht="15" customHeight="1" x14ac:dyDescent="0.25">
      <c r="A54" s="85"/>
      <c r="B54" s="41" t="str">
        <f>IF(A54="","",IFERROR(VLOOKUP(A54,DB_Customers!$A:$D,4,0),"❌ Account Not Found"))</f>
        <v/>
      </c>
      <c r="C54" s="86" t="str">
        <f>IF(A54="","",IFERROR(VLOOKUP(A54,DB_Customers!$A:$N,14,0),"❌ Acct Not Found"))</f>
        <v/>
      </c>
      <c r="D54" s="87" t="str">
        <f t="shared" ca="1" si="3"/>
        <v/>
      </c>
      <c r="E54" s="94"/>
      <c r="F54" s="41"/>
      <c r="G54" s="96" t="str">
        <f t="shared" si="4"/>
        <v/>
      </c>
      <c r="H54" s="43" t="s">
        <v>135</v>
      </c>
      <c r="I54" s="81"/>
      <c r="J54" s="89" t="str">
        <f>IF(AND(A54&lt;&gt;"",E54&lt;&gt;""),IF(I54="","⚠️ Enter Code",IF(IFERROR(VLOOKUP(H54,DB_Agents!$B:$I,8,0),"")=I54,IF(C54&gt;=E54,"Successful","Unsuccessful"),"🔒 BLOCKED — Wrong Code")),"Pending")</f>
        <v>Pending</v>
      </c>
      <c r="K54" s="90" t="str">
        <f t="shared" ca="1" si="5"/>
        <v>—</v>
      </c>
      <c r="L54" s="91"/>
    </row>
    <row r="55" spans="1:12" ht="15" customHeight="1" x14ac:dyDescent="0.25">
      <c r="A55" s="76"/>
      <c r="B55" s="37" t="str">
        <f>IF(A55="","",IFERROR(VLOOKUP(A55,DB_Customers!$A:$D,4,0),"❌ Account Not Found"))</f>
        <v/>
      </c>
      <c r="C55" s="77" t="str">
        <f>IF(A55="","",IFERROR(VLOOKUP(A55,DB_Customers!$A:$N,14,0),"❌ Acct Not Found"))</f>
        <v/>
      </c>
      <c r="D55" s="78" t="str">
        <f t="shared" ca="1" si="3"/>
        <v/>
      </c>
      <c r="E55" s="94"/>
      <c r="F55" s="37"/>
      <c r="G55" s="95" t="str">
        <f t="shared" si="4"/>
        <v/>
      </c>
      <c r="H55" s="39" t="s">
        <v>135</v>
      </c>
      <c r="I55" s="81"/>
      <c r="J55" s="82" t="str">
        <f>IF(AND(A55&lt;&gt;"",E55&lt;&gt;""),IF(I55="","⚠️ Enter Code",IF(IFERROR(VLOOKUP(H55,DB_Agents!$B:$I,8,0),"")=I55,IF(C55&gt;=E55,"Successful","Unsuccessful"),"🔒 BLOCKED — Wrong Code")),"Pending")</f>
        <v>Pending</v>
      </c>
      <c r="K55" s="83" t="str">
        <f t="shared" ca="1" si="5"/>
        <v>—</v>
      </c>
      <c r="L55" s="84"/>
    </row>
    <row r="56" spans="1:12" ht="15" customHeight="1" x14ac:dyDescent="0.25">
      <c r="A56" s="85"/>
      <c r="B56" s="41" t="str">
        <f>IF(A56="","",IFERROR(VLOOKUP(A56,DB_Customers!$A:$D,4,0),"❌ Account Not Found"))</f>
        <v/>
      </c>
      <c r="C56" s="86" t="str">
        <f>IF(A56="","",IFERROR(VLOOKUP(A56,DB_Customers!$A:$N,14,0),"❌ Acct Not Found"))</f>
        <v/>
      </c>
      <c r="D56" s="87" t="str">
        <f t="shared" ca="1" si="3"/>
        <v/>
      </c>
      <c r="E56" s="94"/>
      <c r="F56" s="41"/>
      <c r="G56" s="96" t="str">
        <f t="shared" si="4"/>
        <v/>
      </c>
      <c r="H56" s="43" t="s">
        <v>135</v>
      </c>
      <c r="I56" s="81"/>
      <c r="J56" s="89" t="str">
        <f>IF(AND(A56&lt;&gt;"",E56&lt;&gt;""),IF(I56="","⚠️ Enter Code",IF(IFERROR(VLOOKUP(H56,DB_Agents!$B:$I,8,0),"")=I56,IF(C56&gt;=E56,"Successful","Unsuccessful"),"🔒 BLOCKED — Wrong Code")),"Pending")</f>
        <v>Pending</v>
      </c>
      <c r="K56" s="90" t="str">
        <f t="shared" ca="1" si="5"/>
        <v>—</v>
      </c>
      <c r="L56" s="91"/>
    </row>
    <row r="57" spans="1:12" ht="15" customHeight="1" x14ac:dyDescent="0.25">
      <c r="A57" s="76"/>
      <c r="B57" s="37" t="str">
        <f>IF(A57="","",IFERROR(VLOOKUP(A57,DB_Customers!$A:$D,4,0),"❌ Account Not Found"))</f>
        <v/>
      </c>
      <c r="C57" s="77" t="str">
        <f>IF(A57="","",IFERROR(VLOOKUP(A57,DB_Customers!$A:$N,14,0),"❌ Acct Not Found"))</f>
        <v/>
      </c>
      <c r="D57" s="78" t="str">
        <f t="shared" ca="1" si="3"/>
        <v/>
      </c>
      <c r="E57" s="94"/>
      <c r="F57" s="37"/>
      <c r="G57" s="95" t="str">
        <f t="shared" si="4"/>
        <v/>
      </c>
      <c r="H57" s="39" t="s">
        <v>135</v>
      </c>
      <c r="I57" s="81"/>
      <c r="J57" s="82" t="str">
        <f>IF(AND(A57&lt;&gt;"",E57&lt;&gt;""),IF(I57="","⚠️ Enter Code",IF(IFERROR(VLOOKUP(H57,DB_Agents!$B:$I,8,0),"")=I57,IF(C57&gt;=E57,"Successful","Unsuccessful"),"🔒 BLOCKED — Wrong Code")),"Pending")</f>
        <v>Pending</v>
      </c>
      <c r="K57" s="83" t="str">
        <f t="shared" ca="1" si="5"/>
        <v>—</v>
      </c>
      <c r="L57" s="84"/>
    </row>
    <row r="58" spans="1:12" ht="15" customHeight="1" x14ac:dyDescent="0.25">
      <c r="A58" s="85"/>
      <c r="B58" s="41" t="str">
        <f>IF(A58="","",IFERROR(VLOOKUP(A58,DB_Customers!$A:$D,4,0),"❌ Account Not Found"))</f>
        <v/>
      </c>
      <c r="C58" s="86" t="str">
        <f>IF(A58="","",IFERROR(VLOOKUP(A58,DB_Customers!$A:$N,14,0),"❌ Acct Not Found"))</f>
        <v/>
      </c>
      <c r="D58" s="87" t="str">
        <f t="shared" ca="1" si="3"/>
        <v/>
      </c>
      <c r="E58" s="94"/>
      <c r="F58" s="41"/>
      <c r="G58" s="96" t="str">
        <f t="shared" si="4"/>
        <v/>
      </c>
      <c r="H58" s="43" t="s">
        <v>135</v>
      </c>
      <c r="I58" s="81"/>
      <c r="J58" s="89" t="str">
        <f>IF(AND(A58&lt;&gt;"",E58&lt;&gt;""),IF(I58="","⚠️ Enter Code",IF(IFERROR(VLOOKUP(H58,DB_Agents!$B:$I,8,0),"")=I58,IF(C58&gt;=E58,"Successful","Unsuccessful"),"🔒 BLOCKED — Wrong Code")),"Pending")</f>
        <v>Pending</v>
      </c>
      <c r="K58" s="90" t="str">
        <f t="shared" ca="1" si="5"/>
        <v>—</v>
      </c>
      <c r="L58" s="91"/>
    </row>
    <row r="59" spans="1:12" ht="15" customHeight="1" x14ac:dyDescent="0.25">
      <c r="A59" s="76"/>
      <c r="B59" s="37" t="str">
        <f>IF(A59="","",IFERROR(VLOOKUP(A59,DB_Customers!$A:$D,4,0),"❌ Account Not Found"))</f>
        <v/>
      </c>
      <c r="C59" s="77" t="str">
        <f>IF(A59="","",IFERROR(VLOOKUP(A59,DB_Customers!$A:$N,14,0),"❌ Acct Not Found"))</f>
        <v/>
      </c>
      <c r="D59" s="78" t="str">
        <f t="shared" ca="1" si="3"/>
        <v/>
      </c>
      <c r="E59" s="94"/>
      <c r="F59" s="37"/>
      <c r="G59" s="95" t="str">
        <f t="shared" si="4"/>
        <v/>
      </c>
      <c r="H59" s="39" t="s">
        <v>135</v>
      </c>
      <c r="I59" s="81"/>
      <c r="J59" s="82" t="str">
        <f>IF(AND(A59&lt;&gt;"",E59&lt;&gt;""),IF(I59="","⚠️ Enter Code",IF(IFERROR(VLOOKUP(H59,DB_Agents!$B:$I,8,0),"")=I59,IF(C59&gt;=E59,"Successful","Unsuccessful"),"🔒 BLOCKED — Wrong Code")),"Pending")</f>
        <v>Pending</v>
      </c>
      <c r="K59" s="83" t="str">
        <f t="shared" ca="1" si="5"/>
        <v>—</v>
      </c>
      <c r="L59" s="84"/>
    </row>
    <row r="60" spans="1:12" ht="15" customHeight="1" x14ac:dyDescent="0.25">
      <c r="A60" s="85"/>
      <c r="B60" s="41" t="str">
        <f>IF(A60="","",IFERROR(VLOOKUP(A60,DB_Customers!$A:$D,4,0),"❌ Account Not Found"))</f>
        <v/>
      </c>
      <c r="C60" s="86" t="str">
        <f>IF(A60="","",IFERROR(VLOOKUP(A60,DB_Customers!$A:$N,14,0),"❌ Acct Not Found"))</f>
        <v/>
      </c>
      <c r="D60" s="87" t="str">
        <f t="shared" ca="1" si="3"/>
        <v/>
      </c>
      <c r="E60" s="94"/>
      <c r="F60" s="41"/>
      <c r="G60" s="96" t="str">
        <f t="shared" si="4"/>
        <v/>
      </c>
      <c r="H60" s="43" t="s">
        <v>135</v>
      </c>
      <c r="I60" s="81"/>
      <c r="J60" s="89" t="str">
        <f>IF(AND(A60&lt;&gt;"",E60&lt;&gt;""),IF(I60="","⚠️ Enter Code",IF(IFERROR(VLOOKUP(H60,DB_Agents!$B:$I,8,0),"")=I60,IF(C60&gt;=E60,"Successful","Unsuccessful"),"🔒 BLOCKED — Wrong Code")),"Pending")</f>
        <v>Pending</v>
      </c>
      <c r="K60" s="90" t="str">
        <f t="shared" ca="1" si="5"/>
        <v>—</v>
      </c>
      <c r="L60" s="91"/>
    </row>
    <row r="61" spans="1:12" ht="15" customHeight="1" x14ac:dyDescent="0.25">
      <c r="A61" s="76"/>
      <c r="B61" s="37" t="str">
        <f>IF(A61="","",IFERROR(VLOOKUP(A61,DB_Customers!$A:$D,4,0),"❌ Account Not Found"))</f>
        <v/>
      </c>
      <c r="C61" s="77" t="str">
        <f>IF(A61="","",IFERROR(VLOOKUP(A61,DB_Customers!$A:$N,14,0),"❌ Acct Not Found"))</f>
        <v/>
      </c>
      <c r="D61" s="78" t="str">
        <f t="shared" ca="1" si="3"/>
        <v/>
      </c>
      <c r="E61" s="94"/>
      <c r="F61" s="37"/>
      <c r="G61" s="95" t="str">
        <f t="shared" si="4"/>
        <v/>
      </c>
      <c r="H61" s="39" t="s">
        <v>135</v>
      </c>
      <c r="I61" s="81"/>
      <c r="J61" s="82" t="str">
        <f>IF(AND(A61&lt;&gt;"",E61&lt;&gt;""),IF(I61="","⚠️ Enter Code",IF(IFERROR(VLOOKUP(H61,DB_Agents!$B:$I,8,0),"")=I61,IF(C61&gt;=E61,"Successful","Unsuccessful"),"🔒 BLOCKED — Wrong Code")),"Pending")</f>
        <v>Pending</v>
      </c>
      <c r="K61" s="83" t="str">
        <f t="shared" ca="1" si="5"/>
        <v>—</v>
      </c>
      <c r="L61" s="84"/>
    </row>
    <row r="62" spans="1:12" ht="15" customHeight="1" x14ac:dyDescent="0.25">
      <c r="A62" s="85"/>
      <c r="B62" s="41" t="str">
        <f>IF(A62="","",IFERROR(VLOOKUP(A62,DB_Customers!$A:$D,4,0),"❌ Account Not Found"))</f>
        <v/>
      </c>
      <c r="C62" s="86" t="str">
        <f>IF(A62="","",IFERROR(VLOOKUP(A62,DB_Customers!$A:$N,14,0),"❌ Acct Not Found"))</f>
        <v/>
      </c>
      <c r="D62" s="87" t="str">
        <f t="shared" ca="1" si="3"/>
        <v/>
      </c>
      <c r="E62" s="94"/>
      <c r="F62" s="41"/>
      <c r="G62" s="96" t="str">
        <f t="shared" si="4"/>
        <v/>
      </c>
      <c r="H62" s="43" t="s">
        <v>135</v>
      </c>
      <c r="I62" s="81"/>
      <c r="J62" s="89" t="str">
        <f>IF(AND(A62&lt;&gt;"",E62&lt;&gt;""),IF(I62="","⚠️ Enter Code",IF(IFERROR(VLOOKUP(H62,DB_Agents!$B:$I,8,0),"")=I62,IF(C62&gt;=E62,"Successful","Unsuccessful"),"🔒 BLOCKED — Wrong Code")),"Pending")</f>
        <v>Pending</v>
      </c>
      <c r="K62" s="90" t="str">
        <f t="shared" ca="1" si="5"/>
        <v>—</v>
      </c>
      <c r="L62" s="91"/>
    </row>
    <row r="63" spans="1:12" ht="15" customHeight="1" x14ac:dyDescent="0.25">
      <c r="A63" s="76"/>
      <c r="B63" s="37" t="str">
        <f>IF(A63="","",IFERROR(VLOOKUP(A63,DB_Customers!$A:$D,4,0),"❌ Account Not Found"))</f>
        <v/>
      </c>
      <c r="C63" s="77" t="str">
        <f>IF(A63="","",IFERROR(VLOOKUP(A63,DB_Customers!$A:$N,14,0),"❌ Acct Not Found"))</f>
        <v/>
      </c>
      <c r="D63" s="78" t="str">
        <f t="shared" ca="1" si="3"/>
        <v/>
      </c>
      <c r="E63" s="94"/>
      <c r="F63" s="37"/>
      <c r="G63" s="95" t="str">
        <f t="shared" si="4"/>
        <v/>
      </c>
      <c r="H63" s="39" t="s">
        <v>135</v>
      </c>
      <c r="I63" s="81"/>
      <c r="J63" s="82" t="str">
        <f>IF(AND(A63&lt;&gt;"",E63&lt;&gt;""),IF(I63="","⚠️ Enter Code",IF(IFERROR(VLOOKUP(H63,DB_Agents!$B:$I,8,0),"")=I63,IF(C63&gt;=E63,"Successful","Unsuccessful"),"🔒 BLOCKED — Wrong Code")),"Pending")</f>
        <v>Pending</v>
      </c>
      <c r="K63" s="83" t="str">
        <f t="shared" ca="1" si="5"/>
        <v>—</v>
      </c>
      <c r="L63" s="84"/>
    </row>
    <row r="64" spans="1:12" ht="15" customHeight="1" x14ac:dyDescent="0.25">
      <c r="A64" s="85"/>
      <c r="B64" s="41" t="str">
        <f>IF(A64="","",IFERROR(VLOOKUP(A64,DB_Customers!$A:$D,4,0),"❌ Account Not Found"))</f>
        <v/>
      </c>
      <c r="C64" s="86" t="str">
        <f>IF(A64="","",IFERROR(VLOOKUP(A64,DB_Customers!$A:$N,14,0),"❌ Acct Not Found"))</f>
        <v/>
      </c>
      <c r="D64" s="87" t="str">
        <f t="shared" ca="1" si="3"/>
        <v/>
      </c>
      <c r="E64" s="94"/>
      <c r="F64" s="41"/>
      <c r="G64" s="96" t="str">
        <f t="shared" si="4"/>
        <v/>
      </c>
      <c r="H64" s="43" t="s">
        <v>135</v>
      </c>
      <c r="I64" s="81"/>
      <c r="J64" s="89" t="str">
        <f>IF(AND(A64&lt;&gt;"",E64&lt;&gt;""),IF(I64="","⚠️ Enter Code",IF(IFERROR(VLOOKUP(H64,DB_Agents!$B:$I,8,0),"")=I64,IF(C64&gt;=E64,"Successful","Unsuccessful"),"🔒 BLOCKED — Wrong Code")),"Pending")</f>
        <v>Pending</v>
      </c>
      <c r="K64" s="90" t="str">
        <f t="shared" ca="1" si="5"/>
        <v>—</v>
      </c>
      <c r="L64" s="91"/>
    </row>
    <row r="65" spans="1:12" ht="15" customHeight="1" x14ac:dyDescent="0.25">
      <c r="A65" s="76"/>
      <c r="B65" s="37" t="str">
        <f>IF(A65="","",IFERROR(VLOOKUP(A65,DB_Customers!$A:$D,4,0),"❌ Account Not Found"))</f>
        <v/>
      </c>
      <c r="C65" s="77" t="str">
        <f>IF(A65="","",IFERROR(VLOOKUP(A65,DB_Customers!$A:$N,14,0),"❌ Acct Not Found"))</f>
        <v/>
      </c>
      <c r="D65" s="78" t="str">
        <f t="shared" ca="1" si="3"/>
        <v/>
      </c>
      <c r="E65" s="94"/>
      <c r="F65" s="37"/>
      <c r="G65" s="95" t="str">
        <f t="shared" si="4"/>
        <v/>
      </c>
      <c r="H65" s="39" t="s">
        <v>135</v>
      </c>
      <c r="I65" s="81"/>
      <c r="J65" s="82" t="str">
        <f>IF(AND(A65&lt;&gt;"",E65&lt;&gt;""),IF(I65="","⚠️ Enter Code",IF(IFERROR(VLOOKUP(H65,DB_Agents!$B:$I,8,0),"")=I65,IF(C65&gt;=E65,"Successful","Unsuccessful"),"🔒 BLOCKED — Wrong Code")),"Pending")</f>
        <v>Pending</v>
      </c>
      <c r="K65" s="83" t="str">
        <f t="shared" ca="1" si="5"/>
        <v>—</v>
      </c>
      <c r="L65" s="84"/>
    </row>
    <row r="66" spans="1:12" ht="15" customHeight="1" x14ac:dyDescent="0.25">
      <c r="A66" s="85"/>
      <c r="B66" s="41" t="str">
        <f>IF(A66="","",IFERROR(VLOOKUP(A66,DB_Customers!$A:$D,4,0),"❌ Account Not Found"))</f>
        <v/>
      </c>
      <c r="C66" s="86" t="str">
        <f>IF(A66="","",IFERROR(VLOOKUP(A66,DB_Customers!$A:$N,14,0),"❌ Acct Not Found"))</f>
        <v/>
      </c>
      <c r="D66" s="87" t="str">
        <f t="shared" ca="1" si="3"/>
        <v/>
      </c>
      <c r="E66" s="94"/>
      <c r="F66" s="41"/>
      <c r="G66" s="96" t="str">
        <f t="shared" si="4"/>
        <v/>
      </c>
      <c r="H66" s="43" t="s">
        <v>135</v>
      </c>
      <c r="I66" s="81"/>
      <c r="J66" s="89" t="str">
        <f>IF(AND(A66&lt;&gt;"",E66&lt;&gt;""),IF(I66="","⚠️ Enter Code",IF(IFERROR(VLOOKUP(H66,DB_Agents!$B:$I,8,0),"")=I66,IF(C66&gt;=E66,"Successful","Unsuccessful"),"🔒 BLOCKED — Wrong Code")),"Pending")</f>
        <v>Pending</v>
      </c>
      <c r="K66" s="90" t="str">
        <f t="shared" ca="1" si="5"/>
        <v>—</v>
      </c>
      <c r="L66" s="91"/>
    </row>
    <row r="67" spans="1:12" ht="15" customHeight="1" x14ac:dyDescent="0.25">
      <c r="A67" s="76"/>
      <c r="B67" s="37" t="str">
        <f>IF(A67="","",IFERROR(VLOOKUP(A67,DB_Customers!$A:$D,4,0),"❌ Account Not Found"))</f>
        <v/>
      </c>
      <c r="C67" s="77" t="str">
        <f>IF(A67="","",IFERROR(VLOOKUP(A67,DB_Customers!$A:$N,14,0),"❌ Acct Not Found"))</f>
        <v/>
      </c>
      <c r="D67" s="78" t="str">
        <f t="shared" ca="1" si="3"/>
        <v/>
      </c>
      <c r="E67" s="94"/>
      <c r="F67" s="37"/>
      <c r="G67" s="95" t="str">
        <f t="shared" si="4"/>
        <v/>
      </c>
      <c r="H67" s="39" t="s">
        <v>135</v>
      </c>
      <c r="I67" s="81"/>
      <c r="J67" s="82" t="str">
        <f>IF(AND(A67&lt;&gt;"",E67&lt;&gt;""),IF(I67="","⚠️ Enter Code",IF(IFERROR(VLOOKUP(H67,DB_Agents!$B:$I,8,0),"")=I67,IF(C67&gt;=E67,"Successful","Unsuccessful"),"🔒 BLOCKED — Wrong Code")),"Pending")</f>
        <v>Pending</v>
      </c>
      <c r="K67" s="83" t="str">
        <f t="shared" ca="1" si="5"/>
        <v>—</v>
      </c>
      <c r="L67" s="84"/>
    </row>
    <row r="68" spans="1:12" ht="15" customHeight="1" x14ac:dyDescent="0.25">
      <c r="A68" s="85"/>
      <c r="B68" s="41" t="str">
        <f>IF(A68="","",IFERROR(VLOOKUP(A68,DB_Customers!$A:$D,4,0),"❌ Account Not Found"))</f>
        <v/>
      </c>
      <c r="C68" s="86" t="str">
        <f>IF(A68="","",IFERROR(VLOOKUP(A68,DB_Customers!$A:$N,14,0),"❌ Acct Not Found"))</f>
        <v/>
      </c>
      <c r="D68" s="87" t="str">
        <f t="shared" ca="1" si="3"/>
        <v/>
      </c>
      <c r="E68" s="94"/>
      <c r="F68" s="41"/>
      <c r="G68" s="96" t="str">
        <f t="shared" si="4"/>
        <v/>
      </c>
      <c r="H68" s="43" t="s">
        <v>135</v>
      </c>
      <c r="I68" s="81"/>
      <c r="J68" s="89" t="str">
        <f>IF(AND(A68&lt;&gt;"",E68&lt;&gt;""),IF(I68="","⚠️ Enter Code",IF(IFERROR(VLOOKUP(H68,DB_Agents!$B:$I,8,0),"")=I68,IF(C68&gt;=E68,"Successful","Unsuccessful"),"🔒 BLOCKED — Wrong Code")),"Pending")</f>
        <v>Pending</v>
      </c>
      <c r="K68" s="90" t="str">
        <f t="shared" ca="1" si="5"/>
        <v>—</v>
      </c>
      <c r="L68" s="91"/>
    </row>
    <row r="69" spans="1:12" ht="15" customHeight="1" x14ac:dyDescent="0.25">
      <c r="A69" s="76"/>
      <c r="B69" s="37" t="str">
        <f>IF(A69="","",IFERROR(VLOOKUP(A69,DB_Customers!$A:$D,4,0),"❌ Account Not Found"))</f>
        <v/>
      </c>
      <c r="C69" s="77" t="str">
        <f>IF(A69="","",IFERROR(VLOOKUP(A69,DB_Customers!$A:$N,14,0),"❌ Acct Not Found"))</f>
        <v/>
      </c>
      <c r="D69" s="78" t="str">
        <f t="shared" ca="1" si="3"/>
        <v/>
      </c>
      <c r="E69" s="94"/>
      <c r="F69" s="37"/>
      <c r="G69" s="95" t="str">
        <f t="shared" si="4"/>
        <v/>
      </c>
      <c r="H69" s="39" t="s">
        <v>135</v>
      </c>
      <c r="I69" s="81"/>
      <c r="J69" s="82" t="str">
        <f>IF(AND(A69&lt;&gt;"",E69&lt;&gt;""),IF(I69="","⚠️ Enter Code",IF(IFERROR(VLOOKUP(H69,DB_Agents!$B:$I,8,0),"")=I69,IF(C69&gt;=E69,"Successful","Unsuccessful"),"🔒 BLOCKED — Wrong Code")),"Pending")</f>
        <v>Pending</v>
      </c>
      <c r="K69" s="83" t="str">
        <f t="shared" ca="1" si="5"/>
        <v>—</v>
      </c>
      <c r="L69" s="84"/>
    </row>
    <row r="70" spans="1:12" ht="15" customHeight="1" x14ac:dyDescent="0.25">
      <c r="A70" s="85"/>
      <c r="B70" s="41" t="str">
        <f>IF(A70="","",IFERROR(VLOOKUP(A70,DB_Customers!$A:$D,4,0),"❌ Account Not Found"))</f>
        <v/>
      </c>
      <c r="C70" s="86" t="str">
        <f>IF(A70="","",IFERROR(VLOOKUP(A70,DB_Customers!$A:$N,14,0),"❌ Acct Not Found"))</f>
        <v/>
      </c>
      <c r="D70" s="87" t="str">
        <f t="shared" ca="1" si="3"/>
        <v/>
      </c>
      <c r="E70" s="94"/>
      <c r="F70" s="41"/>
      <c r="G70" s="96" t="str">
        <f t="shared" si="4"/>
        <v/>
      </c>
      <c r="H70" s="43" t="s">
        <v>135</v>
      </c>
      <c r="I70" s="81"/>
      <c r="J70" s="89" t="str">
        <f>IF(AND(A70&lt;&gt;"",E70&lt;&gt;""),IF(I70="","⚠️ Enter Code",IF(IFERROR(VLOOKUP(H70,DB_Agents!$B:$I,8,0),"")=I70,IF(C70&gt;=E70,"Successful","Unsuccessful"),"🔒 BLOCKED — Wrong Code")),"Pending")</f>
        <v>Pending</v>
      </c>
      <c r="K70" s="90" t="str">
        <f t="shared" ca="1" si="5"/>
        <v>—</v>
      </c>
      <c r="L70" s="91"/>
    </row>
    <row r="71" spans="1:12" ht="15" customHeight="1" x14ac:dyDescent="0.25">
      <c r="A71" s="76"/>
      <c r="B71" s="37" t="str">
        <f>IF(A71="","",IFERROR(VLOOKUP(A71,DB_Customers!$A:$D,4,0),"❌ Account Not Found"))</f>
        <v/>
      </c>
      <c r="C71" s="77" t="str">
        <f>IF(A71="","",IFERROR(VLOOKUP(A71,DB_Customers!$A:$N,14,0),"❌ Acct Not Found"))</f>
        <v/>
      </c>
      <c r="D71" s="78" t="str">
        <f t="shared" ca="1" si="3"/>
        <v/>
      </c>
      <c r="E71" s="94"/>
      <c r="F71" s="37"/>
      <c r="G71" s="95" t="str">
        <f t="shared" si="4"/>
        <v/>
      </c>
      <c r="H71" s="39" t="s">
        <v>135</v>
      </c>
      <c r="I71" s="81"/>
      <c r="J71" s="82" t="str">
        <f>IF(AND(A71&lt;&gt;"",E71&lt;&gt;""),IF(I71="","⚠️ Enter Code",IF(IFERROR(VLOOKUP(H71,DB_Agents!$B:$I,8,0),"")=I71,IF(C71&gt;=E71,"Successful","Unsuccessful"),"🔒 BLOCKED — Wrong Code")),"Pending")</f>
        <v>Pending</v>
      </c>
      <c r="K71" s="83" t="str">
        <f t="shared" ca="1" si="5"/>
        <v>—</v>
      </c>
      <c r="L71" s="84"/>
    </row>
    <row r="72" spans="1:12" ht="15" customHeight="1" x14ac:dyDescent="0.25">
      <c r="A72" s="85"/>
      <c r="B72" s="41" t="str">
        <f>IF(A72="","",IFERROR(VLOOKUP(A72,DB_Customers!$A:$D,4,0),"❌ Account Not Found"))</f>
        <v/>
      </c>
      <c r="C72" s="86" t="str">
        <f>IF(A72="","",IFERROR(VLOOKUP(A72,DB_Customers!$A:$N,14,0),"❌ Acct Not Found"))</f>
        <v/>
      </c>
      <c r="D72" s="87" t="str">
        <f t="shared" ca="1" si="3"/>
        <v/>
      </c>
      <c r="E72" s="94"/>
      <c r="F72" s="41"/>
      <c r="G72" s="96" t="str">
        <f t="shared" si="4"/>
        <v/>
      </c>
      <c r="H72" s="43" t="s">
        <v>135</v>
      </c>
      <c r="I72" s="81"/>
      <c r="J72" s="89" t="str">
        <f>IF(AND(A72&lt;&gt;"",E72&lt;&gt;""),IF(I72="","⚠️ Enter Code",IF(IFERROR(VLOOKUP(H72,DB_Agents!$B:$I,8,0),"")=I72,IF(C72&gt;=E72,"Successful","Unsuccessful"),"🔒 BLOCKED — Wrong Code")),"Pending")</f>
        <v>Pending</v>
      </c>
      <c r="K72" s="90" t="str">
        <f t="shared" ca="1" si="5"/>
        <v>—</v>
      </c>
      <c r="L72" s="91"/>
    </row>
    <row r="73" spans="1:12" ht="15" customHeight="1" x14ac:dyDescent="0.25">
      <c r="A73" s="76"/>
      <c r="B73" s="37" t="str">
        <f>IF(A73="","",IFERROR(VLOOKUP(A73,DB_Customers!$A:$D,4,0),"❌ Account Not Found"))</f>
        <v/>
      </c>
      <c r="C73" s="77" t="str">
        <f>IF(A73="","",IFERROR(VLOOKUP(A73,DB_Customers!$A:$N,14,0),"❌ Acct Not Found"))</f>
        <v/>
      </c>
      <c r="D73" s="78" t="str">
        <f t="shared" ref="D73:D104" ca="1" si="6">IF(A73="","",TODAY())</f>
        <v/>
      </c>
      <c r="E73" s="94"/>
      <c r="F73" s="37"/>
      <c r="G73" s="95" t="str">
        <f t="shared" ref="G73:G104" si="7">IF(OR(A73="",E73=""),"",IF(C73="","",C73-E73))</f>
        <v/>
      </c>
      <c r="H73" s="39" t="s">
        <v>135</v>
      </c>
      <c r="I73" s="81"/>
      <c r="J73" s="82" t="str">
        <f>IF(AND(A73&lt;&gt;"",E73&lt;&gt;""),IF(I73="","⚠️ Enter Code",IF(IFERROR(VLOOKUP(H73,DB_Agents!$B:$I,8,0),"")=I73,IF(C73&gt;=E73,"Successful","Unsuccessful"),"🔒 BLOCKED — Wrong Code")),"Pending")</f>
        <v>Pending</v>
      </c>
      <c r="K73" s="83" t="str">
        <f t="shared" ref="K73:K104" ca="1" si="8">IF(J73="Successful",TEXT(TODAY(),"YYYY-MM-DD")&amp;" Auto","—")</f>
        <v>—</v>
      </c>
      <c r="L73" s="84"/>
    </row>
    <row r="74" spans="1:12" ht="15" customHeight="1" x14ac:dyDescent="0.25">
      <c r="A74" s="85"/>
      <c r="B74" s="41" t="str">
        <f>IF(A74="","",IFERROR(VLOOKUP(A74,DB_Customers!$A:$D,4,0),"❌ Account Not Found"))</f>
        <v/>
      </c>
      <c r="C74" s="86" t="str">
        <f>IF(A74="","",IFERROR(VLOOKUP(A74,DB_Customers!$A:$N,14,0),"❌ Acct Not Found"))</f>
        <v/>
      </c>
      <c r="D74" s="87" t="str">
        <f t="shared" ca="1" si="6"/>
        <v/>
      </c>
      <c r="E74" s="94"/>
      <c r="F74" s="41"/>
      <c r="G74" s="96" t="str">
        <f t="shared" si="7"/>
        <v/>
      </c>
      <c r="H74" s="43" t="s">
        <v>135</v>
      </c>
      <c r="I74" s="81"/>
      <c r="J74" s="89" t="str">
        <f>IF(AND(A74&lt;&gt;"",E74&lt;&gt;""),IF(I74="","⚠️ Enter Code",IF(IFERROR(VLOOKUP(H74,DB_Agents!$B:$I,8,0),"")=I74,IF(C74&gt;=E74,"Successful","Unsuccessful"),"🔒 BLOCKED — Wrong Code")),"Pending")</f>
        <v>Pending</v>
      </c>
      <c r="K74" s="90" t="str">
        <f t="shared" ca="1" si="8"/>
        <v>—</v>
      </c>
      <c r="L74" s="91"/>
    </row>
    <row r="75" spans="1:12" ht="15" customHeight="1" x14ac:dyDescent="0.25">
      <c r="A75" s="76"/>
      <c r="B75" s="37" t="str">
        <f>IF(A75="","",IFERROR(VLOOKUP(A75,DB_Customers!$A:$D,4,0),"❌ Account Not Found"))</f>
        <v/>
      </c>
      <c r="C75" s="77" t="str">
        <f>IF(A75="","",IFERROR(VLOOKUP(A75,DB_Customers!$A:$N,14,0),"❌ Acct Not Found"))</f>
        <v/>
      </c>
      <c r="D75" s="78" t="str">
        <f t="shared" ca="1" si="6"/>
        <v/>
      </c>
      <c r="E75" s="94"/>
      <c r="F75" s="37"/>
      <c r="G75" s="95" t="str">
        <f t="shared" si="7"/>
        <v/>
      </c>
      <c r="H75" s="39" t="s">
        <v>135</v>
      </c>
      <c r="I75" s="81"/>
      <c r="J75" s="82" t="str">
        <f>IF(AND(A75&lt;&gt;"",E75&lt;&gt;""),IF(I75="","⚠️ Enter Code",IF(IFERROR(VLOOKUP(H75,DB_Agents!$B:$I,8,0),"")=I75,IF(C75&gt;=E75,"Successful","Unsuccessful"),"🔒 BLOCKED — Wrong Code")),"Pending")</f>
        <v>Pending</v>
      </c>
      <c r="K75" s="83" t="str">
        <f t="shared" ca="1" si="8"/>
        <v>—</v>
      </c>
      <c r="L75" s="84"/>
    </row>
    <row r="76" spans="1:12" ht="15" customHeight="1" x14ac:dyDescent="0.25">
      <c r="A76" s="85"/>
      <c r="B76" s="41" t="str">
        <f>IF(A76="","",IFERROR(VLOOKUP(A76,DB_Customers!$A:$D,4,0),"❌ Account Not Found"))</f>
        <v/>
      </c>
      <c r="C76" s="86" t="str">
        <f>IF(A76="","",IFERROR(VLOOKUP(A76,DB_Customers!$A:$N,14,0),"❌ Acct Not Found"))</f>
        <v/>
      </c>
      <c r="D76" s="87" t="str">
        <f t="shared" ca="1" si="6"/>
        <v/>
      </c>
      <c r="E76" s="94"/>
      <c r="F76" s="41"/>
      <c r="G76" s="96" t="str">
        <f t="shared" si="7"/>
        <v/>
      </c>
      <c r="H76" s="43" t="s">
        <v>135</v>
      </c>
      <c r="I76" s="81"/>
      <c r="J76" s="89" t="str">
        <f>IF(AND(A76&lt;&gt;"",E76&lt;&gt;""),IF(I76="","⚠️ Enter Code",IF(IFERROR(VLOOKUP(H76,DB_Agents!$B:$I,8,0),"")=I76,IF(C76&gt;=E76,"Successful","Unsuccessful"),"🔒 BLOCKED — Wrong Code")),"Pending")</f>
        <v>Pending</v>
      </c>
      <c r="K76" s="90" t="str">
        <f t="shared" ca="1" si="8"/>
        <v>—</v>
      </c>
      <c r="L76" s="91"/>
    </row>
    <row r="77" spans="1:12" ht="15" customHeight="1" x14ac:dyDescent="0.25">
      <c r="A77" s="76"/>
      <c r="B77" s="37" t="str">
        <f>IF(A77="","",IFERROR(VLOOKUP(A77,DB_Customers!$A:$D,4,0),"❌ Account Not Found"))</f>
        <v/>
      </c>
      <c r="C77" s="77" t="str">
        <f>IF(A77="","",IFERROR(VLOOKUP(A77,DB_Customers!$A:$N,14,0),"❌ Acct Not Found"))</f>
        <v/>
      </c>
      <c r="D77" s="78" t="str">
        <f t="shared" ca="1" si="6"/>
        <v/>
      </c>
      <c r="E77" s="94"/>
      <c r="F77" s="37"/>
      <c r="G77" s="95" t="str">
        <f t="shared" si="7"/>
        <v/>
      </c>
      <c r="H77" s="39" t="s">
        <v>135</v>
      </c>
      <c r="I77" s="81"/>
      <c r="J77" s="82" t="str">
        <f>IF(AND(A77&lt;&gt;"",E77&lt;&gt;""),IF(I77="","⚠️ Enter Code",IF(IFERROR(VLOOKUP(H77,DB_Agents!$B:$I,8,0),"")=I77,IF(C77&gt;=E77,"Successful","Unsuccessful"),"🔒 BLOCKED — Wrong Code")),"Pending")</f>
        <v>Pending</v>
      </c>
      <c r="K77" s="83" t="str">
        <f t="shared" ca="1" si="8"/>
        <v>—</v>
      </c>
      <c r="L77" s="84"/>
    </row>
    <row r="78" spans="1:12" ht="15" customHeight="1" x14ac:dyDescent="0.25">
      <c r="A78" s="85"/>
      <c r="B78" s="41" t="str">
        <f>IF(A78="","",IFERROR(VLOOKUP(A78,DB_Customers!$A:$D,4,0),"❌ Account Not Found"))</f>
        <v/>
      </c>
      <c r="C78" s="86" t="str">
        <f>IF(A78="","",IFERROR(VLOOKUP(A78,DB_Customers!$A:$N,14,0),"❌ Acct Not Found"))</f>
        <v/>
      </c>
      <c r="D78" s="87" t="str">
        <f t="shared" ca="1" si="6"/>
        <v/>
      </c>
      <c r="E78" s="94"/>
      <c r="F78" s="41"/>
      <c r="G78" s="96" t="str">
        <f t="shared" si="7"/>
        <v/>
      </c>
      <c r="H78" s="43" t="s">
        <v>135</v>
      </c>
      <c r="I78" s="81"/>
      <c r="J78" s="89" t="str">
        <f>IF(AND(A78&lt;&gt;"",E78&lt;&gt;""),IF(I78="","⚠️ Enter Code",IF(IFERROR(VLOOKUP(H78,DB_Agents!$B:$I,8,0),"")=I78,IF(C78&gt;=E78,"Successful","Unsuccessful"),"🔒 BLOCKED — Wrong Code")),"Pending")</f>
        <v>Pending</v>
      </c>
      <c r="K78" s="90" t="str">
        <f t="shared" ca="1" si="8"/>
        <v>—</v>
      </c>
      <c r="L78" s="91"/>
    </row>
    <row r="79" spans="1:12" ht="15" customHeight="1" x14ac:dyDescent="0.25">
      <c r="A79" s="76"/>
      <c r="B79" s="37" t="str">
        <f>IF(A79="","",IFERROR(VLOOKUP(A79,DB_Customers!$A:$D,4,0),"❌ Account Not Found"))</f>
        <v/>
      </c>
      <c r="C79" s="77" t="str">
        <f>IF(A79="","",IFERROR(VLOOKUP(A79,DB_Customers!$A:$N,14,0),"❌ Acct Not Found"))</f>
        <v/>
      </c>
      <c r="D79" s="78" t="str">
        <f t="shared" ca="1" si="6"/>
        <v/>
      </c>
      <c r="E79" s="94"/>
      <c r="F79" s="37"/>
      <c r="G79" s="95" t="str">
        <f t="shared" si="7"/>
        <v/>
      </c>
      <c r="H79" s="39" t="s">
        <v>135</v>
      </c>
      <c r="I79" s="81"/>
      <c r="J79" s="82" t="str">
        <f>IF(AND(A79&lt;&gt;"",E79&lt;&gt;""),IF(I79="","⚠️ Enter Code",IF(IFERROR(VLOOKUP(H79,DB_Agents!$B:$I,8,0),"")=I79,IF(C79&gt;=E79,"Successful","Unsuccessful"),"🔒 BLOCKED — Wrong Code")),"Pending")</f>
        <v>Pending</v>
      </c>
      <c r="K79" s="83" t="str">
        <f t="shared" ca="1" si="8"/>
        <v>—</v>
      </c>
      <c r="L79" s="84"/>
    </row>
    <row r="80" spans="1:12" ht="15" customHeight="1" x14ac:dyDescent="0.25">
      <c r="A80" s="85"/>
      <c r="B80" s="41" t="str">
        <f>IF(A80="","",IFERROR(VLOOKUP(A80,DB_Customers!$A:$D,4,0),"❌ Account Not Found"))</f>
        <v/>
      </c>
      <c r="C80" s="86" t="str">
        <f>IF(A80="","",IFERROR(VLOOKUP(A80,DB_Customers!$A:$N,14,0),"❌ Acct Not Found"))</f>
        <v/>
      </c>
      <c r="D80" s="87" t="str">
        <f t="shared" ca="1" si="6"/>
        <v/>
      </c>
      <c r="E80" s="94"/>
      <c r="F80" s="41"/>
      <c r="G80" s="96" t="str">
        <f t="shared" si="7"/>
        <v/>
      </c>
      <c r="H80" s="43" t="s">
        <v>135</v>
      </c>
      <c r="I80" s="81"/>
      <c r="J80" s="89" t="str">
        <f>IF(AND(A80&lt;&gt;"",E80&lt;&gt;""),IF(I80="","⚠️ Enter Code",IF(IFERROR(VLOOKUP(H80,DB_Agents!$B:$I,8,0),"")=I80,IF(C80&gt;=E80,"Successful","Unsuccessful"),"🔒 BLOCKED — Wrong Code")),"Pending")</f>
        <v>Pending</v>
      </c>
      <c r="K80" s="90" t="str">
        <f t="shared" ca="1" si="8"/>
        <v>—</v>
      </c>
      <c r="L80" s="91"/>
    </row>
    <row r="81" spans="1:12" ht="15" customHeight="1" x14ac:dyDescent="0.25">
      <c r="A81" s="76"/>
      <c r="B81" s="37" t="str">
        <f>IF(A81="","",IFERROR(VLOOKUP(A81,DB_Customers!$A:$D,4,0),"❌ Account Not Found"))</f>
        <v/>
      </c>
      <c r="C81" s="77" t="str">
        <f>IF(A81="","",IFERROR(VLOOKUP(A81,DB_Customers!$A:$N,14,0),"❌ Acct Not Found"))</f>
        <v/>
      </c>
      <c r="D81" s="78" t="str">
        <f t="shared" ca="1" si="6"/>
        <v/>
      </c>
      <c r="E81" s="94"/>
      <c r="F81" s="37"/>
      <c r="G81" s="95" t="str">
        <f t="shared" si="7"/>
        <v/>
      </c>
      <c r="H81" s="39" t="s">
        <v>135</v>
      </c>
      <c r="I81" s="81"/>
      <c r="J81" s="82" t="str">
        <f>IF(AND(A81&lt;&gt;"",E81&lt;&gt;""),IF(I81="","⚠️ Enter Code",IF(IFERROR(VLOOKUP(H81,DB_Agents!$B:$I,8,0),"")=I81,IF(C81&gt;=E81,"Successful","Unsuccessful"),"🔒 BLOCKED — Wrong Code")),"Pending")</f>
        <v>Pending</v>
      </c>
      <c r="K81" s="83" t="str">
        <f t="shared" ca="1" si="8"/>
        <v>—</v>
      </c>
      <c r="L81" s="84"/>
    </row>
    <row r="82" spans="1:12" ht="15" customHeight="1" x14ac:dyDescent="0.25">
      <c r="A82" s="85"/>
      <c r="B82" s="41" t="str">
        <f>IF(A82="","",IFERROR(VLOOKUP(A82,DB_Customers!$A:$D,4,0),"❌ Account Not Found"))</f>
        <v/>
      </c>
      <c r="C82" s="86" t="str">
        <f>IF(A82="","",IFERROR(VLOOKUP(A82,DB_Customers!$A:$N,14,0),"❌ Acct Not Found"))</f>
        <v/>
      </c>
      <c r="D82" s="87" t="str">
        <f t="shared" ca="1" si="6"/>
        <v/>
      </c>
      <c r="E82" s="94"/>
      <c r="F82" s="41"/>
      <c r="G82" s="96" t="str">
        <f t="shared" si="7"/>
        <v/>
      </c>
      <c r="H82" s="43" t="s">
        <v>135</v>
      </c>
      <c r="I82" s="81"/>
      <c r="J82" s="89" t="str">
        <f>IF(AND(A82&lt;&gt;"",E82&lt;&gt;""),IF(I82="","⚠️ Enter Code",IF(IFERROR(VLOOKUP(H82,DB_Agents!$B:$I,8,0),"")=I82,IF(C82&gt;=E82,"Successful","Unsuccessful"),"🔒 BLOCKED — Wrong Code")),"Pending")</f>
        <v>Pending</v>
      </c>
      <c r="K82" s="90" t="str">
        <f t="shared" ca="1" si="8"/>
        <v>—</v>
      </c>
      <c r="L82" s="91"/>
    </row>
    <row r="83" spans="1:12" ht="15" customHeight="1" x14ac:dyDescent="0.25">
      <c r="A83" s="76"/>
      <c r="B83" s="37" t="str">
        <f>IF(A83="","",IFERROR(VLOOKUP(A83,DB_Customers!$A:$D,4,0),"❌ Account Not Found"))</f>
        <v/>
      </c>
      <c r="C83" s="77" t="str">
        <f>IF(A83="","",IFERROR(VLOOKUP(A83,DB_Customers!$A:$N,14,0),"❌ Acct Not Found"))</f>
        <v/>
      </c>
      <c r="D83" s="78" t="str">
        <f t="shared" ca="1" si="6"/>
        <v/>
      </c>
      <c r="E83" s="94"/>
      <c r="F83" s="37"/>
      <c r="G83" s="95" t="str">
        <f t="shared" si="7"/>
        <v/>
      </c>
      <c r="H83" s="39" t="s">
        <v>135</v>
      </c>
      <c r="I83" s="81"/>
      <c r="J83" s="82" t="str">
        <f>IF(AND(A83&lt;&gt;"",E83&lt;&gt;""),IF(I83="","⚠️ Enter Code",IF(IFERROR(VLOOKUP(H83,DB_Agents!$B:$I,8,0),"")=I83,IF(C83&gt;=E83,"Successful","Unsuccessful"),"🔒 BLOCKED — Wrong Code")),"Pending")</f>
        <v>Pending</v>
      </c>
      <c r="K83" s="83" t="str">
        <f t="shared" ca="1" si="8"/>
        <v>—</v>
      </c>
      <c r="L83" s="84"/>
    </row>
    <row r="84" spans="1:12" ht="15" customHeight="1" x14ac:dyDescent="0.25">
      <c r="A84" s="85"/>
      <c r="B84" s="41" t="str">
        <f>IF(A84="","",IFERROR(VLOOKUP(A84,DB_Customers!$A:$D,4,0),"❌ Account Not Found"))</f>
        <v/>
      </c>
      <c r="C84" s="86" t="str">
        <f>IF(A84="","",IFERROR(VLOOKUP(A84,DB_Customers!$A:$N,14,0),"❌ Acct Not Found"))</f>
        <v/>
      </c>
      <c r="D84" s="87" t="str">
        <f t="shared" ca="1" si="6"/>
        <v/>
      </c>
      <c r="E84" s="94"/>
      <c r="F84" s="41"/>
      <c r="G84" s="96" t="str">
        <f t="shared" si="7"/>
        <v/>
      </c>
      <c r="H84" s="43" t="s">
        <v>135</v>
      </c>
      <c r="I84" s="81"/>
      <c r="J84" s="89" t="str">
        <f>IF(AND(A84&lt;&gt;"",E84&lt;&gt;""),IF(I84="","⚠️ Enter Code",IF(IFERROR(VLOOKUP(H84,DB_Agents!$B:$I,8,0),"")=I84,IF(C84&gt;=E84,"Successful","Unsuccessful"),"🔒 BLOCKED — Wrong Code")),"Pending")</f>
        <v>Pending</v>
      </c>
      <c r="K84" s="90" t="str">
        <f t="shared" ca="1" si="8"/>
        <v>—</v>
      </c>
      <c r="L84" s="91"/>
    </row>
    <row r="85" spans="1:12" ht="15" customHeight="1" x14ac:dyDescent="0.25">
      <c r="A85" s="76"/>
      <c r="B85" s="37" t="str">
        <f>IF(A85="","",IFERROR(VLOOKUP(A85,DB_Customers!$A:$D,4,0),"❌ Account Not Found"))</f>
        <v/>
      </c>
      <c r="C85" s="77" t="str">
        <f>IF(A85="","",IFERROR(VLOOKUP(A85,DB_Customers!$A:$N,14,0),"❌ Acct Not Found"))</f>
        <v/>
      </c>
      <c r="D85" s="78" t="str">
        <f t="shared" ca="1" si="6"/>
        <v/>
      </c>
      <c r="E85" s="94"/>
      <c r="F85" s="37"/>
      <c r="G85" s="95" t="str">
        <f t="shared" si="7"/>
        <v/>
      </c>
      <c r="H85" s="39" t="s">
        <v>135</v>
      </c>
      <c r="I85" s="81"/>
      <c r="J85" s="82" t="str">
        <f>IF(AND(A85&lt;&gt;"",E85&lt;&gt;""),IF(I85="","⚠️ Enter Code",IF(IFERROR(VLOOKUP(H85,DB_Agents!$B:$I,8,0),"")=I85,IF(C85&gt;=E85,"Successful","Unsuccessful"),"🔒 BLOCKED — Wrong Code")),"Pending")</f>
        <v>Pending</v>
      </c>
      <c r="K85" s="83" t="str">
        <f t="shared" ca="1" si="8"/>
        <v>—</v>
      </c>
      <c r="L85" s="84"/>
    </row>
    <row r="86" spans="1:12" ht="15" customHeight="1" x14ac:dyDescent="0.25">
      <c r="A86" s="85"/>
      <c r="B86" s="41" t="str">
        <f>IF(A86="","",IFERROR(VLOOKUP(A86,DB_Customers!$A:$D,4,0),"❌ Account Not Found"))</f>
        <v/>
      </c>
      <c r="C86" s="86" t="str">
        <f>IF(A86="","",IFERROR(VLOOKUP(A86,DB_Customers!$A:$N,14,0),"❌ Acct Not Found"))</f>
        <v/>
      </c>
      <c r="D86" s="87" t="str">
        <f t="shared" ca="1" si="6"/>
        <v/>
      </c>
      <c r="E86" s="94"/>
      <c r="F86" s="41"/>
      <c r="G86" s="96" t="str">
        <f t="shared" si="7"/>
        <v/>
      </c>
      <c r="H86" s="43" t="s">
        <v>135</v>
      </c>
      <c r="I86" s="81"/>
      <c r="J86" s="89" t="str">
        <f>IF(AND(A86&lt;&gt;"",E86&lt;&gt;""),IF(I86="","⚠️ Enter Code",IF(IFERROR(VLOOKUP(H86,DB_Agents!$B:$I,8,0),"")=I86,IF(C86&gt;=E86,"Successful","Unsuccessful"),"🔒 BLOCKED — Wrong Code")),"Pending")</f>
        <v>Pending</v>
      </c>
      <c r="K86" s="90" t="str">
        <f t="shared" ca="1" si="8"/>
        <v>—</v>
      </c>
      <c r="L86" s="91"/>
    </row>
    <row r="87" spans="1:12" ht="15" customHeight="1" x14ac:dyDescent="0.25">
      <c r="A87" s="76"/>
      <c r="B87" s="37" t="str">
        <f>IF(A87="","",IFERROR(VLOOKUP(A87,DB_Customers!$A:$D,4,0),"❌ Account Not Found"))</f>
        <v/>
      </c>
      <c r="C87" s="77" t="str">
        <f>IF(A87="","",IFERROR(VLOOKUP(A87,DB_Customers!$A:$N,14,0),"❌ Acct Not Found"))</f>
        <v/>
      </c>
      <c r="D87" s="78" t="str">
        <f t="shared" ca="1" si="6"/>
        <v/>
      </c>
      <c r="E87" s="94"/>
      <c r="F87" s="37"/>
      <c r="G87" s="95" t="str">
        <f t="shared" si="7"/>
        <v/>
      </c>
      <c r="H87" s="39" t="s">
        <v>135</v>
      </c>
      <c r="I87" s="81"/>
      <c r="J87" s="82" t="str">
        <f>IF(AND(A87&lt;&gt;"",E87&lt;&gt;""),IF(I87="","⚠️ Enter Code",IF(IFERROR(VLOOKUP(H87,DB_Agents!$B:$I,8,0),"")=I87,IF(C87&gt;=E87,"Successful","Unsuccessful"),"🔒 BLOCKED — Wrong Code")),"Pending")</f>
        <v>Pending</v>
      </c>
      <c r="K87" s="83" t="str">
        <f t="shared" ca="1" si="8"/>
        <v>—</v>
      </c>
      <c r="L87" s="84"/>
    </row>
    <row r="88" spans="1:12" ht="15" customHeight="1" x14ac:dyDescent="0.25">
      <c r="A88" s="85"/>
      <c r="B88" s="41" t="str">
        <f>IF(A88="","",IFERROR(VLOOKUP(A88,DB_Customers!$A:$D,4,0),"❌ Account Not Found"))</f>
        <v/>
      </c>
      <c r="C88" s="86" t="str">
        <f>IF(A88="","",IFERROR(VLOOKUP(A88,DB_Customers!$A:$N,14,0),"❌ Acct Not Found"))</f>
        <v/>
      </c>
      <c r="D88" s="87" t="str">
        <f t="shared" ca="1" si="6"/>
        <v/>
      </c>
      <c r="E88" s="94"/>
      <c r="F88" s="41"/>
      <c r="G88" s="96" t="str">
        <f t="shared" si="7"/>
        <v/>
      </c>
      <c r="H88" s="43" t="s">
        <v>135</v>
      </c>
      <c r="I88" s="81"/>
      <c r="J88" s="89" t="str">
        <f>IF(AND(A88&lt;&gt;"",E88&lt;&gt;""),IF(I88="","⚠️ Enter Code",IF(IFERROR(VLOOKUP(H88,DB_Agents!$B:$I,8,0),"")=I88,IF(C88&gt;=E88,"Successful","Unsuccessful"),"🔒 BLOCKED — Wrong Code")),"Pending")</f>
        <v>Pending</v>
      </c>
      <c r="K88" s="90" t="str">
        <f t="shared" ca="1" si="8"/>
        <v>—</v>
      </c>
      <c r="L88" s="91"/>
    </row>
    <row r="89" spans="1:12" ht="15" customHeight="1" x14ac:dyDescent="0.25">
      <c r="A89" s="76"/>
      <c r="B89" s="37" t="str">
        <f>IF(A89="","",IFERROR(VLOOKUP(A89,DB_Customers!$A:$D,4,0),"❌ Account Not Found"))</f>
        <v/>
      </c>
      <c r="C89" s="77" t="str">
        <f>IF(A89="","",IFERROR(VLOOKUP(A89,DB_Customers!$A:$N,14,0),"❌ Acct Not Found"))</f>
        <v/>
      </c>
      <c r="D89" s="78" t="str">
        <f t="shared" ca="1" si="6"/>
        <v/>
      </c>
      <c r="E89" s="94"/>
      <c r="F89" s="37"/>
      <c r="G89" s="95" t="str">
        <f t="shared" si="7"/>
        <v/>
      </c>
      <c r="H89" s="39" t="s">
        <v>135</v>
      </c>
      <c r="I89" s="81"/>
      <c r="J89" s="82" t="str">
        <f>IF(AND(A89&lt;&gt;"",E89&lt;&gt;""),IF(I89="","⚠️ Enter Code",IF(IFERROR(VLOOKUP(H89,DB_Agents!$B:$I,8,0),"")=I89,IF(C89&gt;=E89,"Successful","Unsuccessful"),"🔒 BLOCKED — Wrong Code")),"Pending")</f>
        <v>Pending</v>
      </c>
      <c r="K89" s="83" t="str">
        <f t="shared" ca="1" si="8"/>
        <v>—</v>
      </c>
      <c r="L89" s="84"/>
    </row>
    <row r="90" spans="1:12" ht="15" customHeight="1" x14ac:dyDescent="0.25">
      <c r="A90" s="85"/>
      <c r="B90" s="41" t="str">
        <f>IF(A90="","",IFERROR(VLOOKUP(A90,DB_Customers!$A:$D,4,0),"❌ Account Not Found"))</f>
        <v/>
      </c>
      <c r="C90" s="86" t="str">
        <f>IF(A90="","",IFERROR(VLOOKUP(A90,DB_Customers!$A:$N,14,0),"❌ Acct Not Found"))</f>
        <v/>
      </c>
      <c r="D90" s="87" t="str">
        <f t="shared" ca="1" si="6"/>
        <v/>
      </c>
      <c r="E90" s="94"/>
      <c r="F90" s="41"/>
      <c r="G90" s="96" t="str">
        <f t="shared" si="7"/>
        <v/>
      </c>
      <c r="H90" s="43" t="s">
        <v>135</v>
      </c>
      <c r="I90" s="81"/>
      <c r="J90" s="89" t="str">
        <f>IF(AND(A90&lt;&gt;"",E90&lt;&gt;""),IF(I90="","⚠️ Enter Code",IF(IFERROR(VLOOKUP(H90,DB_Agents!$B:$I,8,0),"")=I90,IF(C90&gt;=E90,"Successful","Unsuccessful"),"🔒 BLOCKED — Wrong Code")),"Pending")</f>
        <v>Pending</v>
      </c>
      <c r="K90" s="90" t="str">
        <f t="shared" ca="1" si="8"/>
        <v>—</v>
      </c>
      <c r="L90" s="91"/>
    </row>
    <row r="91" spans="1:12" ht="15" customHeight="1" x14ac:dyDescent="0.25">
      <c r="A91" s="76"/>
      <c r="B91" s="37" t="str">
        <f>IF(A91="","",IFERROR(VLOOKUP(A91,DB_Customers!$A:$D,4,0),"❌ Account Not Found"))</f>
        <v/>
      </c>
      <c r="C91" s="77" t="str">
        <f>IF(A91="","",IFERROR(VLOOKUP(A91,DB_Customers!$A:$N,14,0),"❌ Acct Not Found"))</f>
        <v/>
      </c>
      <c r="D91" s="78" t="str">
        <f t="shared" ca="1" si="6"/>
        <v/>
      </c>
      <c r="E91" s="94"/>
      <c r="F91" s="37"/>
      <c r="G91" s="95" t="str">
        <f t="shared" si="7"/>
        <v/>
      </c>
      <c r="H91" s="39" t="s">
        <v>135</v>
      </c>
      <c r="I91" s="81"/>
      <c r="J91" s="82" t="str">
        <f>IF(AND(A91&lt;&gt;"",E91&lt;&gt;""),IF(I91="","⚠️ Enter Code",IF(IFERROR(VLOOKUP(H91,DB_Agents!$B:$I,8,0),"")=I91,IF(C91&gt;=E91,"Successful","Unsuccessful"),"🔒 BLOCKED — Wrong Code")),"Pending")</f>
        <v>Pending</v>
      </c>
      <c r="K91" s="83" t="str">
        <f t="shared" ca="1" si="8"/>
        <v>—</v>
      </c>
      <c r="L91" s="84"/>
    </row>
    <row r="92" spans="1:12" ht="15" customHeight="1" x14ac:dyDescent="0.25">
      <c r="A92" s="85"/>
      <c r="B92" s="41" t="str">
        <f>IF(A92="","",IFERROR(VLOOKUP(A92,DB_Customers!$A:$D,4,0),"❌ Account Not Found"))</f>
        <v/>
      </c>
      <c r="C92" s="86" t="str">
        <f>IF(A92="","",IFERROR(VLOOKUP(A92,DB_Customers!$A:$N,14,0),"❌ Acct Not Found"))</f>
        <v/>
      </c>
      <c r="D92" s="87" t="str">
        <f t="shared" ca="1" si="6"/>
        <v/>
      </c>
      <c r="E92" s="94"/>
      <c r="F92" s="41"/>
      <c r="G92" s="96" t="str">
        <f t="shared" si="7"/>
        <v/>
      </c>
      <c r="H92" s="43" t="s">
        <v>135</v>
      </c>
      <c r="I92" s="81"/>
      <c r="J92" s="89" t="str">
        <f>IF(AND(A92&lt;&gt;"",E92&lt;&gt;""),IF(I92="","⚠️ Enter Code",IF(IFERROR(VLOOKUP(H92,DB_Agents!$B:$I,8,0),"")=I92,IF(C92&gt;=E92,"Successful","Unsuccessful"),"🔒 BLOCKED — Wrong Code")),"Pending")</f>
        <v>Pending</v>
      </c>
      <c r="K92" s="90" t="str">
        <f t="shared" ca="1" si="8"/>
        <v>—</v>
      </c>
      <c r="L92" s="91"/>
    </row>
    <row r="93" spans="1:12" ht="15" customHeight="1" x14ac:dyDescent="0.25">
      <c r="A93" s="76"/>
      <c r="B93" s="37" t="str">
        <f>IF(A93="","",IFERROR(VLOOKUP(A93,DB_Customers!$A:$D,4,0),"❌ Account Not Found"))</f>
        <v/>
      </c>
      <c r="C93" s="77" t="str">
        <f>IF(A93="","",IFERROR(VLOOKUP(A93,DB_Customers!$A:$N,14,0),"❌ Acct Not Found"))</f>
        <v/>
      </c>
      <c r="D93" s="78" t="str">
        <f t="shared" ca="1" si="6"/>
        <v/>
      </c>
      <c r="E93" s="94"/>
      <c r="F93" s="37"/>
      <c r="G93" s="95" t="str">
        <f t="shared" si="7"/>
        <v/>
      </c>
      <c r="H93" s="39" t="s">
        <v>135</v>
      </c>
      <c r="I93" s="81"/>
      <c r="J93" s="82" t="str">
        <f>IF(AND(A93&lt;&gt;"",E93&lt;&gt;""),IF(I93="","⚠️ Enter Code",IF(IFERROR(VLOOKUP(H93,DB_Agents!$B:$I,8,0),"")=I93,IF(C93&gt;=E93,"Successful","Unsuccessful"),"🔒 BLOCKED — Wrong Code")),"Pending")</f>
        <v>Pending</v>
      </c>
      <c r="K93" s="83" t="str">
        <f t="shared" ca="1" si="8"/>
        <v>—</v>
      </c>
      <c r="L93" s="84"/>
    </row>
    <row r="94" spans="1:12" ht="15" customHeight="1" x14ac:dyDescent="0.25">
      <c r="A94" s="85"/>
      <c r="B94" s="41" t="str">
        <f>IF(A94="","",IFERROR(VLOOKUP(A94,DB_Customers!$A:$D,4,0),"❌ Account Not Found"))</f>
        <v/>
      </c>
      <c r="C94" s="86" t="str">
        <f>IF(A94="","",IFERROR(VLOOKUP(A94,DB_Customers!$A:$N,14,0),"❌ Acct Not Found"))</f>
        <v/>
      </c>
      <c r="D94" s="87" t="str">
        <f t="shared" ca="1" si="6"/>
        <v/>
      </c>
      <c r="E94" s="94"/>
      <c r="F94" s="41"/>
      <c r="G94" s="96" t="str">
        <f t="shared" si="7"/>
        <v/>
      </c>
      <c r="H94" s="43" t="s">
        <v>135</v>
      </c>
      <c r="I94" s="81"/>
      <c r="J94" s="89" t="str">
        <f>IF(AND(A94&lt;&gt;"",E94&lt;&gt;""),IF(I94="","⚠️ Enter Code",IF(IFERROR(VLOOKUP(H94,DB_Agents!$B:$I,8,0),"")=I94,IF(C94&gt;=E94,"Successful","Unsuccessful"),"🔒 BLOCKED — Wrong Code")),"Pending")</f>
        <v>Pending</v>
      </c>
      <c r="K94" s="90" t="str">
        <f t="shared" ca="1" si="8"/>
        <v>—</v>
      </c>
      <c r="L94" s="91"/>
    </row>
    <row r="95" spans="1:12" ht="15" customHeight="1" x14ac:dyDescent="0.25">
      <c r="A95" s="76"/>
      <c r="B95" s="37" t="str">
        <f>IF(A95="","",IFERROR(VLOOKUP(A95,DB_Customers!$A:$D,4,0),"❌ Account Not Found"))</f>
        <v/>
      </c>
      <c r="C95" s="77" t="str">
        <f>IF(A95="","",IFERROR(VLOOKUP(A95,DB_Customers!$A:$N,14,0),"❌ Acct Not Found"))</f>
        <v/>
      </c>
      <c r="D95" s="78" t="str">
        <f t="shared" ca="1" si="6"/>
        <v/>
      </c>
      <c r="E95" s="94"/>
      <c r="F95" s="37"/>
      <c r="G95" s="95" t="str">
        <f t="shared" si="7"/>
        <v/>
      </c>
      <c r="H95" s="39" t="s">
        <v>135</v>
      </c>
      <c r="I95" s="81"/>
      <c r="J95" s="82" t="str">
        <f>IF(AND(A95&lt;&gt;"",E95&lt;&gt;""),IF(I95="","⚠️ Enter Code",IF(IFERROR(VLOOKUP(H95,DB_Agents!$B:$I,8,0),"")=I95,IF(C95&gt;=E95,"Successful","Unsuccessful"),"🔒 BLOCKED — Wrong Code")),"Pending")</f>
        <v>Pending</v>
      </c>
      <c r="K95" s="83" t="str">
        <f t="shared" ca="1" si="8"/>
        <v>—</v>
      </c>
      <c r="L95" s="84"/>
    </row>
    <row r="96" spans="1:12" ht="15" customHeight="1" x14ac:dyDescent="0.25">
      <c r="A96" s="85"/>
      <c r="B96" s="41" t="str">
        <f>IF(A96="","",IFERROR(VLOOKUP(A96,DB_Customers!$A:$D,4,0),"❌ Account Not Found"))</f>
        <v/>
      </c>
      <c r="C96" s="86" t="str">
        <f>IF(A96="","",IFERROR(VLOOKUP(A96,DB_Customers!$A:$N,14,0),"❌ Acct Not Found"))</f>
        <v/>
      </c>
      <c r="D96" s="87" t="str">
        <f t="shared" ca="1" si="6"/>
        <v/>
      </c>
      <c r="E96" s="94"/>
      <c r="F96" s="41"/>
      <c r="G96" s="96" t="str">
        <f t="shared" si="7"/>
        <v/>
      </c>
      <c r="H96" s="43" t="s">
        <v>135</v>
      </c>
      <c r="I96" s="81"/>
      <c r="J96" s="89" t="str">
        <f>IF(AND(A96&lt;&gt;"",E96&lt;&gt;""),IF(I96="","⚠️ Enter Code",IF(IFERROR(VLOOKUP(H96,DB_Agents!$B:$I,8,0),"")=I96,IF(C96&gt;=E96,"Successful","Unsuccessful"),"🔒 BLOCKED — Wrong Code")),"Pending")</f>
        <v>Pending</v>
      </c>
      <c r="K96" s="90" t="str">
        <f t="shared" ca="1" si="8"/>
        <v>—</v>
      </c>
      <c r="L96" s="91"/>
    </row>
    <row r="97" spans="1:12" ht="15" customHeight="1" x14ac:dyDescent="0.25">
      <c r="A97" s="76"/>
      <c r="B97" s="37" t="str">
        <f>IF(A97="","",IFERROR(VLOOKUP(A97,DB_Customers!$A:$D,4,0),"❌ Account Not Found"))</f>
        <v/>
      </c>
      <c r="C97" s="77" t="str">
        <f>IF(A97="","",IFERROR(VLOOKUP(A97,DB_Customers!$A:$N,14,0),"❌ Acct Not Found"))</f>
        <v/>
      </c>
      <c r="D97" s="78" t="str">
        <f t="shared" ca="1" si="6"/>
        <v/>
      </c>
      <c r="E97" s="94"/>
      <c r="F97" s="37"/>
      <c r="G97" s="95" t="str">
        <f t="shared" si="7"/>
        <v/>
      </c>
      <c r="H97" s="39" t="s">
        <v>135</v>
      </c>
      <c r="I97" s="81"/>
      <c r="J97" s="82" t="str">
        <f>IF(AND(A97&lt;&gt;"",E97&lt;&gt;""),IF(I97="","⚠️ Enter Code",IF(IFERROR(VLOOKUP(H97,DB_Agents!$B:$I,8,0),"")=I97,IF(C97&gt;=E97,"Successful","Unsuccessful"),"🔒 BLOCKED — Wrong Code")),"Pending")</f>
        <v>Pending</v>
      </c>
      <c r="K97" s="83" t="str">
        <f t="shared" ca="1" si="8"/>
        <v>—</v>
      </c>
      <c r="L97" s="84"/>
    </row>
    <row r="98" spans="1:12" ht="15" customHeight="1" x14ac:dyDescent="0.25">
      <c r="A98" s="85"/>
      <c r="B98" s="41" t="str">
        <f>IF(A98="","",IFERROR(VLOOKUP(A98,DB_Customers!$A:$D,4,0),"❌ Account Not Found"))</f>
        <v/>
      </c>
      <c r="C98" s="86" t="str">
        <f>IF(A98="","",IFERROR(VLOOKUP(A98,DB_Customers!$A:$N,14,0),"❌ Acct Not Found"))</f>
        <v/>
      </c>
      <c r="D98" s="87" t="str">
        <f t="shared" ca="1" si="6"/>
        <v/>
      </c>
      <c r="E98" s="94"/>
      <c r="F98" s="41"/>
      <c r="G98" s="96" t="str">
        <f t="shared" si="7"/>
        <v/>
      </c>
      <c r="H98" s="43" t="s">
        <v>135</v>
      </c>
      <c r="I98" s="81"/>
      <c r="J98" s="89" t="str">
        <f>IF(AND(A98&lt;&gt;"",E98&lt;&gt;""),IF(I98="","⚠️ Enter Code",IF(IFERROR(VLOOKUP(H98,DB_Agents!$B:$I,8,0),"")=I98,IF(C98&gt;=E98,"Successful","Unsuccessful"),"🔒 BLOCKED — Wrong Code")),"Pending")</f>
        <v>Pending</v>
      </c>
      <c r="K98" s="90" t="str">
        <f t="shared" ca="1" si="8"/>
        <v>—</v>
      </c>
      <c r="L98" s="91"/>
    </row>
    <row r="99" spans="1:12" ht="15" customHeight="1" x14ac:dyDescent="0.25">
      <c r="A99" s="76"/>
      <c r="B99" s="37" t="str">
        <f>IF(A99="","",IFERROR(VLOOKUP(A99,DB_Customers!$A:$D,4,0),"❌ Account Not Found"))</f>
        <v/>
      </c>
      <c r="C99" s="77" t="str">
        <f>IF(A99="","",IFERROR(VLOOKUP(A99,DB_Customers!$A:$N,14,0),"❌ Acct Not Found"))</f>
        <v/>
      </c>
      <c r="D99" s="78" t="str">
        <f t="shared" ca="1" si="6"/>
        <v/>
      </c>
      <c r="E99" s="94"/>
      <c r="F99" s="37"/>
      <c r="G99" s="95" t="str">
        <f t="shared" si="7"/>
        <v/>
      </c>
      <c r="H99" s="39" t="s">
        <v>135</v>
      </c>
      <c r="I99" s="81"/>
      <c r="J99" s="82" t="str">
        <f>IF(AND(A99&lt;&gt;"",E99&lt;&gt;""),IF(I99="","⚠️ Enter Code",IF(IFERROR(VLOOKUP(H99,DB_Agents!$B:$I,8,0),"")=I99,IF(C99&gt;=E99,"Successful","Unsuccessful"),"🔒 BLOCKED — Wrong Code")),"Pending")</f>
        <v>Pending</v>
      </c>
      <c r="K99" s="83" t="str">
        <f t="shared" ca="1" si="8"/>
        <v>—</v>
      </c>
      <c r="L99" s="84"/>
    </row>
    <row r="100" spans="1:12" ht="15" customHeight="1" x14ac:dyDescent="0.25">
      <c r="A100" s="85"/>
      <c r="B100" s="41" t="str">
        <f>IF(A100="","",IFERROR(VLOOKUP(A100,DB_Customers!$A:$D,4,0),"❌ Account Not Found"))</f>
        <v/>
      </c>
      <c r="C100" s="86" t="str">
        <f>IF(A100="","",IFERROR(VLOOKUP(A100,DB_Customers!$A:$N,14,0),"❌ Acct Not Found"))</f>
        <v/>
      </c>
      <c r="D100" s="87" t="str">
        <f t="shared" ca="1" si="6"/>
        <v/>
      </c>
      <c r="E100" s="94"/>
      <c r="F100" s="41"/>
      <c r="G100" s="96" t="str">
        <f t="shared" si="7"/>
        <v/>
      </c>
      <c r="H100" s="43" t="s">
        <v>135</v>
      </c>
      <c r="I100" s="81"/>
      <c r="J100" s="89" t="str">
        <f>IF(AND(A100&lt;&gt;"",E100&lt;&gt;""),IF(I100="","⚠️ Enter Code",IF(IFERROR(VLOOKUP(H100,DB_Agents!$B:$I,8,0),"")=I100,IF(C100&gt;=E100,"Successful","Unsuccessful"),"🔒 BLOCKED — Wrong Code")),"Pending")</f>
        <v>Pending</v>
      </c>
      <c r="K100" s="90" t="str">
        <f t="shared" ca="1" si="8"/>
        <v>—</v>
      </c>
      <c r="L100" s="91"/>
    </row>
    <row r="101" spans="1:12" ht="15" customHeight="1" x14ac:dyDescent="0.25">
      <c r="A101" s="76"/>
      <c r="B101" s="37" t="str">
        <f>IF(A101="","",IFERROR(VLOOKUP(A101,DB_Customers!$A:$D,4,0),"❌ Account Not Found"))</f>
        <v/>
      </c>
      <c r="C101" s="77" t="str">
        <f>IF(A101="","",IFERROR(VLOOKUP(A101,DB_Customers!$A:$N,14,0),"❌ Acct Not Found"))</f>
        <v/>
      </c>
      <c r="D101" s="78" t="str">
        <f t="shared" ca="1" si="6"/>
        <v/>
      </c>
      <c r="E101" s="94"/>
      <c r="F101" s="37"/>
      <c r="G101" s="95" t="str">
        <f t="shared" si="7"/>
        <v/>
      </c>
      <c r="H101" s="39" t="s">
        <v>135</v>
      </c>
      <c r="I101" s="81"/>
      <c r="J101" s="82" t="str">
        <f>IF(AND(A101&lt;&gt;"",E101&lt;&gt;""),IF(I101="","⚠️ Enter Code",IF(IFERROR(VLOOKUP(H101,DB_Agents!$B:$I,8,0),"")=I101,IF(C101&gt;=E101,"Successful","Unsuccessful"),"🔒 BLOCKED — Wrong Code")),"Pending")</f>
        <v>Pending</v>
      </c>
      <c r="K101" s="83" t="str">
        <f t="shared" ca="1" si="8"/>
        <v>—</v>
      </c>
      <c r="L101" s="84"/>
    </row>
    <row r="102" spans="1:12" ht="15" customHeight="1" x14ac:dyDescent="0.25">
      <c r="A102" s="85"/>
      <c r="B102" s="41" t="str">
        <f>IF(A102="","",IFERROR(VLOOKUP(A102,DB_Customers!$A:$D,4,0),"❌ Account Not Found"))</f>
        <v/>
      </c>
      <c r="C102" s="86" t="str">
        <f>IF(A102="","",IFERROR(VLOOKUP(A102,DB_Customers!$A:$N,14,0),"❌ Acct Not Found"))</f>
        <v/>
      </c>
      <c r="D102" s="87" t="str">
        <f t="shared" ca="1" si="6"/>
        <v/>
      </c>
      <c r="E102" s="94"/>
      <c r="F102" s="41"/>
      <c r="G102" s="96" t="str">
        <f t="shared" si="7"/>
        <v/>
      </c>
      <c r="H102" s="43" t="s">
        <v>135</v>
      </c>
      <c r="I102" s="81"/>
      <c r="J102" s="89" t="str">
        <f>IF(AND(A102&lt;&gt;"",E102&lt;&gt;""),IF(I102="","⚠️ Enter Code",IF(IFERROR(VLOOKUP(H102,DB_Agents!$B:$I,8,0),"")=I102,IF(C102&gt;=E102,"Successful","Unsuccessful"),"🔒 BLOCKED — Wrong Code")),"Pending")</f>
        <v>Pending</v>
      </c>
      <c r="K102" s="90" t="str">
        <f t="shared" ca="1" si="8"/>
        <v>—</v>
      </c>
      <c r="L102" s="91"/>
    </row>
    <row r="103" spans="1:12" ht="15" customHeight="1" x14ac:dyDescent="0.25">
      <c r="A103" s="76"/>
      <c r="B103" s="37" t="str">
        <f>IF(A103="","",IFERROR(VLOOKUP(A103,DB_Customers!$A:$D,4,0),"❌ Account Not Found"))</f>
        <v/>
      </c>
      <c r="C103" s="77" t="str">
        <f>IF(A103="","",IFERROR(VLOOKUP(A103,DB_Customers!$A:$N,14,0),"❌ Acct Not Found"))</f>
        <v/>
      </c>
      <c r="D103" s="78" t="str">
        <f t="shared" ca="1" si="6"/>
        <v/>
      </c>
      <c r="E103" s="94"/>
      <c r="F103" s="37"/>
      <c r="G103" s="95" t="str">
        <f t="shared" si="7"/>
        <v/>
      </c>
      <c r="H103" s="39" t="s">
        <v>135</v>
      </c>
      <c r="I103" s="81"/>
      <c r="J103" s="82" t="str">
        <f>IF(AND(A103&lt;&gt;"",E103&lt;&gt;""),IF(I103="","⚠️ Enter Code",IF(IFERROR(VLOOKUP(H103,DB_Agents!$B:$I,8,0),"")=I103,IF(C103&gt;=E103,"Successful","Unsuccessful"),"🔒 BLOCKED — Wrong Code")),"Pending")</f>
        <v>Pending</v>
      </c>
      <c r="K103" s="83" t="str">
        <f t="shared" ca="1" si="8"/>
        <v>—</v>
      </c>
      <c r="L103" s="84"/>
    </row>
    <row r="104" spans="1:12" ht="15" customHeight="1" x14ac:dyDescent="0.25">
      <c r="A104" s="85"/>
      <c r="B104" s="41" t="str">
        <f>IF(A104="","",IFERROR(VLOOKUP(A104,DB_Customers!$A:$D,4,0),"❌ Account Not Found"))</f>
        <v/>
      </c>
      <c r="C104" s="86" t="str">
        <f>IF(A104="","",IFERROR(VLOOKUP(A104,DB_Customers!$A:$N,14,0),"❌ Acct Not Found"))</f>
        <v/>
      </c>
      <c r="D104" s="87" t="str">
        <f t="shared" ca="1" si="6"/>
        <v/>
      </c>
      <c r="E104" s="94"/>
      <c r="F104" s="41"/>
      <c r="G104" s="96" t="str">
        <f t="shared" si="7"/>
        <v/>
      </c>
      <c r="H104" s="43" t="s">
        <v>135</v>
      </c>
      <c r="I104" s="81"/>
      <c r="J104" s="89" t="str">
        <f>IF(AND(A104&lt;&gt;"",E104&lt;&gt;""),IF(I104="","⚠️ Enter Code",IF(IFERROR(VLOOKUP(H104,DB_Agents!$B:$I,8,0),"")=I104,IF(C104&gt;=E104,"Successful","Unsuccessful"),"🔒 BLOCKED — Wrong Code")),"Pending")</f>
        <v>Pending</v>
      </c>
      <c r="K104" s="90" t="str">
        <f t="shared" ca="1" si="8"/>
        <v>—</v>
      </c>
      <c r="L104" s="91"/>
    </row>
    <row r="105" spans="1:12" ht="15" customHeight="1" x14ac:dyDescent="0.25">
      <c r="A105" s="76"/>
      <c r="B105" s="37" t="str">
        <f>IF(A105="","",IFERROR(VLOOKUP(A105,DB_Customers!$A:$D,4,0),"❌ Account Not Found"))</f>
        <v/>
      </c>
      <c r="C105" s="77" t="str">
        <f>IF(A105="","",IFERROR(VLOOKUP(A105,DB_Customers!$A:$N,14,0),"❌ Acct Not Found"))</f>
        <v/>
      </c>
      <c r="D105" s="78" t="str">
        <f t="shared" ref="D105:D136" ca="1" si="9">IF(A105="","",TODAY())</f>
        <v/>
      </c>
      <c r="E105" s="94"/>
      <c r="F105" s="37"/>
      <c r="G105" s="95" t="str">
        <f t="shared" ref="G105:G136" si="10">IF(OR(A105="",E105=""),"",IF(C105="","",C105-E105))</f>
        <v/>
      </c>
      <c r="H105" s="39" t="s">
        <v>135</v>
      </c>
      <c r="I105" s="81"/>
      <c r="J105" s="82" t="str">
        <f>IF(AND(A105&lt;&gt;"",E105&lt;&gt;""),IF(I105="","⚠️ Enter Code",IF(IFERROR(VLOOKUP(H105,DB_Agents!$B:$I,8,0),"")=I105,IF(C105&gt;=E105,"Successful","Unsuccessful"),"🔒 BLOCKED — Wrong Code")),"Pending")</f>
        <v>Pending</v>
      </c>
      <c r="K105" s="83" t="str">
        <f t="shared" ref="K105:K136" ca="1" si="11">IF(J105="Successful",TEXT(TODAY(),"YYYY-MM-DD")&amp;" Auto","—")</f>
        <v>—</v>
      </c>
      <c r="L105" s="84"/>
    </row>
    <row r="106" spans="1:12" ht="15" customHeight="1" x14ac:dyDescent="0.25">
      <c r="A106" s="85"/>
      <c r="B106" s="41" t="str">
        <f>IF(A106="","",IFERROR(VLOOKUP(A106,DB_Customers!$A:$D,4,0),"❌ Account Not Found"))</f>
        <v/>
      </c>
      <c r="C106" s="86" t="str">
        <f>IF(A106="","",IFERROR(VLOOKUP(A106,DB_Customers!$A:$N,14,0),"❌ Acct Not Found"))</f>
        <v/>
      </c>
      <c r="D106" s="87" t="str">
        <f t="shared" ca="1" si="9"/>
        <v/>
      </c>
      <c r="E106" s="94"/>
      <c r="F106" s="41"/>
      <c r="G106" s="96" t="str">
        <f t="shared" si="10"/>
        <v/>
      </c>
      <c r="H106" s="43" t="s">
        <v>135</v>
      </c>
      <c r="I106" s="81"/>
      <c r="J106" s="89" t="str">
        <f>IF(AND(A106&lt;&gt;"",E106&lt;&gt;""),IF(I106="","⚠️ Enter Code",IF(IFERROR(VLOOKUP(H106,DB_Agents!$B:$I,8,0),"")=I106,IF(C106&gt;=E106,"Successful","Unsuccessful"),"🔒 BLOCKED — Wrong Code")),"Pending")</f>
        <v>Pending</v>
      </c>
      <c r="K106" s="90" t="str">
        <f t="shared" ca="1" si="11"/>
        <v>—</v>
      </c>
      <c r="L106" s="91"/>
    </row>
    <row r="107" spans="1:12" ht="15" customHeight="1" x14ac:dyDescent="0.25">
      <c r="A107" s="76"/>
      <c r="B107" s="37" t="str">
        <f>IF(A107="","",IFERROR(VLOOKUP(A107,DB_Customers!$A:$D,4,0),"❌ Account Not Found"))</f>
        <v/>
      </c>
      <c r="C107" s="77" t="str">
        <f>IF(A107="","",IFERROR(VLOOKUP(A107,DB_Customers!$A:$N,14,0),"❌ Acct Not Found"))</f>
        <v/>
      </c>
      <c r="D107" s="78" t="str">
        <f t="shared" ca="1" si="9"/>
        <v/>
      </c>
      <c r="E107" s="94"/>
      <c r="F107" s="37"/>
      <c r="G107" s="95" t="str">
        <f t="shared" si="10"/>
        <v/>
      </c>
      <c r="H107" s="39" t="s">
        <v>135</v>
      </c>
      <c r="I107" s="81"/>
      <c r="J107" s="82" t="str">
        <f>IF(AND(A107&lt;&gt;"",E107&lt;&gt;""),IF(I107="","⚠️ Enter Code",IF(IFERROR(VLOOKUP(H107,DB_Agents!$B:$I,8,0),"")=I107,IF(C107&gt;=E107,"Successful","Unsuccessful"),"🔒 BLOCKED — Wrong Code")),"Pending")</f>
        <v>Pending</v>
      </c>
      <c r="K107" s="83" t="str">
        <f t="shared" ca="1" si="11"/>
        <v>—</v>
      </c>
      <c r="L107" s="84"/>
    </row>
    <row r="108" spans="1:12" ht="15" customHeight="1" x14ac:dyDescent="0.25">
      <c r="A108" s="85"/>
      <c r="B108" s="41" t="str">
        <f>IF(A108="","",IFERROR(VLOOKUP(A108,DB_Customers!$A:$D,4,0),"❌ Account Not Found"))</f>
        <v/>
      </c>
      <c r="C108" s="86" t="str">
        <f>IF(A108="","",IFERROR(VLOOKUP(A108,DB_Customers!$A:$N,14,0),"❌ Acct Not Found"))</f>
        <v/>
      </c>
      <c r="D108" s="87" t="str">
        <f t="shared" ca="1" si="9"/>
        <v/>
      </c>
      <c r="E108" s="94"/>
      <c r="F108" s="41"/>
      <c r="G108" s="96" t="str">
        <f t="shared" si="10"/>
        <v/>
      </c>
      <c r="H108" s="43" t="s">
        <v>135</v>
      </c>
      <c r="I108" s="81"/>
      <c r="J108" s="89" t="str">
        <f>IF(AND(A108&lt;&gt;"",E108&lt;&gt;""),IF(I108="","⚠️ Enter Code",IF(IFERROR(VLOOKUP(H108,DB_Agents!$B:$I,8,0),"")=I108,IF(C108&gt;=E108,"Successful","Unsuccessful"),"🔒 BLOCKED — Wrong Code")),"Pending")</f>
        <v>Pending</v>
      </c>
      <c r="K108" s="90" t="str">
        <f t="shared" ca="1" si="11"/>
        <v>—</v>
      </c>
      <c r="L108" s="91"/>
    </row>
    <row r="109" spans="1:12" ht="15" customHeight="1" x14ac:dyDescent="0.25">
      <c r="A109" s="76"/>
      <c r="B109" s="37" t="str">
        <f>IF(A109="","",IFERROR(VLOOKUP(A109,DB_Customers!$A:$D,4,0),"❌ Account Not Found"))</f>
        <v/>
      </c>
      <c r="C109" s="77" t="str">
        <f>IF(A109="","",IFERROR(VLOOKUP(A109,DB_Customers!$A:$N,14,0),"❌ Acct Not Found"))</f>
        <v/>
      </c>
      <c r="D109" s="78" t="str">
        <f t="shared" ca="1" si="9"/>
        <v/>
      </c>
      <c r="E109" s="94"/>
      <c r="F109" s="37"/>
      <c r="G109" s="95" t="str">
        <f t="shared" si="10"/>
        <v/>
      </c>
      <c r="H109" s="39" t="s">
        <v>135</v>
      </c>
      <c r="I109" s="81"/>
      <c r="J109" s="82" t="str">
        <f>IF(AND(A109&lt;&gt;"",E109&lt;&gt;""),IF(I109="","⚠️ Enter Code",IF(IFERROR(VLOOKUP(H109,DB_Agents!$B:$I,8,0),"")=I109,IF(C109&gt;=E109,"Successful","Unsuccessful"),"🔒 BLOCKED — Wrong Code")),"Pending")</f>
        <v>Pending</v>
      </c>
      <c r="K109" s="83" t="str">
        <f t="shared" ca="1" si="11"/>
        <v>—</v>
      </c>
      <c r="L109" s="84"/>
    </row>
    <row r="110" spans="1:12" ht="15" customHeight="1" x14ac:dyDescent="0.25">
      <c r="A110" s="85"/>
      <c r="B110" s="41" t="str">
        <f>IF(A110="","",IFERROR(VLOOKUP(A110,DB_Customers!$A:$D,4,0),"❌ Account Not Found"))</f>
        <v/>
      </c>
      <c r="C110" s="86" t="str">
        <f>IF(A110="","",IFERROR(VLOOKUP(A110,DB_Customers!$A:$N,14,0),"❌ Acct Not Found"))</f>
        <v/>
      </c>
      <c r="D110" s="87" t="str">
        <f t="shared" ca="1" si="9"/>
        <v/>
      </c>
      <c r="E110" s="94"/>
      <c r="F110" s="41"/>
      <c r="G110" s="96" t="str">
        <f t="shared" si="10"/>
        <v/>
      </c>
      <c r="H110" s="43" t="s">
        <v>135</v>
      </c>
      <c r="I110" s="81"/>
      <c r="J110" s="89" t="str">
        <f>IF(AND(A110&lt;&gt;"",E110&lt;&gt;""),IF(I110="","⚠️ Enter Code",IF(IFERROR(VLOOKUP(H110,DB_Agents!$B:$I,8,0),"")=I110,IF(C110&gt;=E110,"Successful","Unsuccessful"),"🔒 BLOCKED — Wrong Code")),"Pending")</f>
        <v>Pending</v>
      </c>
      <c r="K110" s="90" t="str">
        <f t="shared" ca="1" si="11"/>
        <v>—</v>
      </c>
      <c r="L110" s="91"/>
    </row>
    <row r="111" spans="1:12" ht="15" customHeight="1" x14ac:dyDescent="0.25">
      <c r="A111" s="76"/>
      <c r="B111" s="37" t="str">
        <f>IF(A111="","",IFERROR(VLOOKUP(A111,DB_Customers!$A:$D,4,0),"❌ Account Not Found"))</f>
        <v/>
      </c>
      <c r="C111" s="77" t="str">
        <f>IF(A111="","",IFERROR(VLOOKUP(A111,DB_Customers!$A:$N,14,0),"❌ Acct Not Found"))</f>
        <v/>
      </c>
      <c r="D111" s="78" t="str">
        <f t="shared" ca="1" si="9"/>
        <v/>
      </c>
      <c r="E111" s="94"/>
      <c r="F111" s="37"/>
      <c r="G111" s="95" t="str">
        <f t="shared" si="10"/>
        <v/>
      </c>
      <c r="H111" s="39" t="s">
        <v>135</v>
      </c>
      <c r="I111" s="81"/>
      <c r="J111" s="82" t="str">
        <f>IF(AND(A111&lt;&gt;"",E111&lt;&gt;""),IF(I111="","⚠️ Enter Code",IF(IFERROR(VLOOKUP(H111,DB_Agents!$B:$I,8,0),"")=I111,IF(C111&gt;=E111,"Successful","Unsuccessful"),"🔒 BLOCKED — Wrong Code")),"Pending")</f>
        <v>Pending</v>
      </c>
      <c r="K111" s="83" t="str">
        <f t="shared" ca="1" si="11"/>
        <v>—</v>
      </c>
      <c r="L111" s="84"/>
    </row>
    <row r="112" spans="1:12" ht="15" customHeight="1" x14ac:dyDescent="0.25">
      <c r="A112" s="85"/>
      <c r="B112" s="41" t="str">
        <f>IF(A112="","",IFERROR(VLOOKUP(A112,DB_Customers!$A:$D,4,0),"❌ Account Not Found"))</f>
        <v/>
      </c>
      <c r="C112" s="86" t="str">
        <f>IF(A112="","",IFERROR(VLOOKUP(A112,DB_Customers!$A:$N,14,0),"❌ Acct Not Found"))</f>
        <v/>
      </c>
      <c r="D112" s="87" t="str">
        <f t="shared" ca="1" si="9"/>
        <v/>
      </c>
      <c r="E112" s="94"/>
      <c r="F112" s="41"/>
      <c r="G112" s="96" t="str">
        <f t="shared" si="10"/>
        <v/>
      </c>
      <c r="H112" s="43" t="s">
        <v>135</v>
      </c>
      <c r="I112" s="81"/>
      <c r="J112" s="89" t="str">
        <f>IF(AND(A112&lt;&gt;"",E112&lt;&gt;""),IF(I112="","⚠️ Enter Code",IF(IFERROR(VLOOKUP(H112,DB_Agents!$B:$I,8,0),"")=I112,IF(C112&gt;=E112,"Successful","Unsuccessful"),"🔒 BLOCKED — Wrong Code")),"Pending")</f>
        <v>Pending</v>
      </c>
      <c r="K112" s="90" t="str">
        <f t="shared" ca="1" si="11"/>
        <v>—</v>
      </c>
      <c r="L112" s="91"/>
    </row>
    <row r="113" spans="1:12" ht="15" customHeight="1" x14ac:dyDescent="0.25">
      <c r="A113" s="76"/>
      <c r="B113" s="37" t="str">
        <f>IF(A113="","",IFERROR(VLOOKUP(A113,DB_Customers!$A:$D,4,0),"❌ Account Not Found"))</f>
        <v/>
      </c>
      <c r="C113" s="77" t="str">
        <f>IF(A113="","",IFERROR(VLOOKUP(A113,DB_Customers!$A:$N,14,0),"❌ Acct Not Found"))</f>
        <v/>
      </c>
      <c r="D113" s="78" t="str">
        <f t="shared" ca="1" si="9"/>
        <v/>
      </c>
      <c r="E113" s="94"/>
      <c r="F113" s="37"/>
      <c r="G113" s="95" t="str">
        <f t="shared" si="10"/>
        <v/>
      </c>
      <c r="H113" s="39" t="s">
        <v>135</v>
      </c>
      <c r="I113" s="81"/>
      <c r="J113" s="82" t="str">
        <f>IF(AND(A113&lt;&gt;"",E113&lt;&gt;""),IF(I113="","⚠️ Enter Code",IF(IFERROR(VLOOKUP(H113,DB_Agents!$B:$I,8,0),"")=I113,IF(C113&gt;=E113,"Successful","Unsuccessful"),"🔒 BLOCKED — Wrong Code")),"Pending")</f>
        <v>Pending</v>
      </c>
      <c r="K113" s="83" t="str">
        <f t="shared" ca="1" si="11"/>
        <v>—</v>
      </c>
      <c r="L113" s="84"/>
    </row>
    <row r="114" spans="1:12" ht="15" customHeight="1" x14ac:dyDescent="0.25">
      <c r="A114" s="85"/>
      <c r="B114" s="41" t="str">
        <f>IF(A114="","",IFERROR(VLOOKUP(A114,DB_Customers!$A:$D,4,0),"❌ Account Not Found"))</f>
        <v/>
      </c>
      <c r="C114" s="86" t="str">
        <f>IF(A114="","",IFERROR(VLOOKUP(A114,DB_Customers!$A:$N,14,0),"❌ Acct Not Found"))</f>
        <v/>
      </c>
      <c r="D114" s="87" t="str">
        <f t="shared" ca="1" si="9"/>
        <v/>
      </c>
      <c r="E114" s="94"/>
      <c r="F114" s="41"/>
      <c r="G114" s="96" t="str">
        <f t="shared" si="10"/>
        <v/>
      </c>
      <c r="H114" s="43" t="s">
        <v>135</v>
      </c>
      <c r="I114" s="81"/>
      <c r="J114" s="89" t="str">
        <f>IF(AND(A114&lt;&gt;"",E114&lt;&gt;""),IF(I114="","⚠️ Enter Code",IF(IFERROR(VLOOKUP(H114,DB_Agents!$B:$I,8,0),"")=I114,IF(C114&gt;=E114,"Successful","Unsuccessful"),"🔒 BLOCKED — Wrong Code")),"Pending")</f>
        <v>Pending</v>
      </c>
      <c r="K114" s="90" t="str">
        <f t="shared" ca="1" si="11"/>
        <v>—</v>
      </c>
      <c r="L114" s="91"/>
    </row>
    <row r="115" spans="1:12" ht="15" customHeight="1" x14ac:dyDescent="0.25">
      <c r="A115" s="76"/>
      <c r="B115" s="37" t="str">
        <f>IF(A115="","",IFERROR(VLOOKUP(A115,DB_Customers!$A:$D,4,0),"❌ Account Not Found"))</f>
        <v/>
      </c>
      <c r="C115" s="77" t="str">
        <f>IF(A115="","",IFERROR(VLOOKUP(A115,DB_Customers!$A:$N,14,0),"❌ Acct Not Found"))</f>
        <v/>
      </c>
      <c r="D115" s="78" t="str">
        <f t="shared" ca="1" si="9"/>
        <v/>
      </c>
      <c r="E115" s="94"/>
      <c r="F115" s="37"/>
      <c r="G115" s="95" t="str">
        <f t="shared" si="10"/>
        <v/>
      </c>
      <c r="H115" s="39" t="s">
        <v>135</v>
      </c>
      <c r="I115" s="81"/>
      <c r="J115" s="82" t="str">
        <f>IF(AND(A115&lt;&gt;"",E115&lt;&gt;""),IF(I115="","⚠️ Enter Code",IF(IFERROR(VLOOKUP(H115,DB_Agents!$B:$I,8,0),"")=I115,IF(C115&gt;=E115,"Successful","Unsuccessful"),"🔒 BLOCKED — Wrong Code")),"Pending")</f>
        <v>Pending</v>
      </c>
      <c r="K115" s="83" t="str">
        <f t="shared" ca="1" si="11"/>
        <v>—</v>
      </c>
      <c r="L115" s="84"/>
    </row>
    <row r="116" spans="1:12" ht="15" customHeight="1" x14ac:dyDescent="0.25">
      <c r="A116" s="85"/>
      <c r="B116" s="41" t="str">
        <f>IF(A116="","",IFERROR(VLOOKUP(A116,DB_Customers!$A:$D,4,0),"❌ Account Not Found"))</f>
        <v/>
      </c>
      <c r="C116" s="86" t="str">
        <f>IF(A116="","",IFERROR(VLOOKUP(A116,DB_Customers!$A:$N,14,0),"❌ Acct Not Found"))</f>
        <v/>
      </c>
      <c r="D116" s="87" t="str">
        <f t="shared" ca="1" si="9"/>
        <v/>
      </c>
      <c r="E116" s="94"/>
      <c r="F116" s="41"/>
      <c r="G116" s="96" t="str">
        <f t="shared" si="10"/>
        <v/>
      </c>
      <c r="H116" s="43" t="s">
        <v>135</v>
      </c>
      <c r="I116" s="81"/>
      <c r="J116" s="89" t="str">
        <f>IF(AND(A116&lt;&gt;"",E116&lt;&gt;""),IF(I116="","⚠️ Enter Code",IF(IFERROR(VLOOKUP(H116,DB_Agents!$B:$I,8,0),"")=I116,IF(C116&gt;=E116,"Successful","Unsuccessful"),"🔒 BLOCKED — Wrong Code")),"Pending")</f>
        <v>Pending</v>
      </c>
      <c r="K116" s="90" t="str">
        <f t="shared" ca="1" si="11"/>
        <v>—</v>
      </c>
      <c r="L116" s="91"/>
    </row>
    <row r="117" spans="1:12" ht="15" customHeight="1" x14ac:dyDescent="0.25">
      <c r="A117" s="76"/>
      <c r="B117" s="37" t="str">
        <f>IF(A117="","",IFERROR(VLOOKUP(A117,DB_Customers!$A:$D,4,0),"❌ Account Not Found"))</f>
        <v/>
      </c>
      <c r="C117" s="77" t="str">
        <f>IF(A117="","",IFERROR(VLOOKUP(A117,DB_Customers!$A:$N,14,0),"❌ Acct Not Found"))</f>
        <v/>
      </c>
      <c r="D117" s="78" t="str">
        <f t="shared" ca="1" si="9"/>
        <v/>
      </c>
      <c r="E117" s="94"/>
      <c r="F117" s="37"/>
      <c r="G117" s="95" t="str">
        <f t="shared" si="10"/>
        <v/>
      </c>
      <c r="H117" s="39" t="s">
        <v>135</v>
      </c>
      <c r="I117" s="81"/>
      <c r="J117" s="82" t="str">
        <f>IF(AND(A117&lt;&gt;"",E117&lt;&gt;""),IF(I117="","⚠️ Enter Code",IF(IFERROR(VLOOKUP(H117,DB_Agents!$B:$I,8,0),"")=I117,IF(C117&gt;=E117,"Successful","Unsuccessful"),"🔒 BLOCKED — Wrong Code")),"Pending")</f>
        <v>Pending</v>
      </c>
      <c r="K117" s="83" t="str">
        <f t="shared" ca="1" si="11"/>
        <v>—</v>
      </c>
      <c r="L117" s="84"/>
    </row>
    <row r="118" spans="1:12" ht="15" customHeight="1" x14ac:dyDescent="0.25">
      <c r="A118" s="85"/>
      <c r="B118" s="41" t="str">
        <f>IF(A118="","",IFERROR(VLOOKUP(A118,DB_Customers!$A:$D,4,0),"❌ Account Not Found"))</f>
        <v/>
      </c>
      <c r="C118" s="86" t="str">
        <f>IF(A118="","",IFERROR(VLOOKUP(A118,DB_Customers!$A:$N,14,0),"❌ Acct Not Found"))</f>
        <v/>
      </c>
      <c r="D118" s="87" t="str">
        <f t="shared" ca="1" si="9"/>
        <v/>
      </c>
      <c r="E118" s="94"/>
      <c r="F118" s="41"/>
      <c r="G118" s="96" t="str">
        <f t="shared" si="10"/>
        <v/>
      </c>
      <c r="H118" s="43" t="s">
        <v>135</v>
      </c>
      <c r="I118" s="81"/>
      <c r="J118" s="89" t="str">
        <f>IF(AND(A118&lt;&gt;"",E118&lt;&gt;""),IF(I118="","⚠️ Enter Code",IF(IFERROR(VLOOKUP(H118,DB_Agents!$B:$I,8,0),"")=I118,IF(C118&gt;=E118,"Successful","Unsuccessful"),"🔒 BLOCKED — Wrong Code")),"Pending")</f>
        <v>Pending</v>
      </c>
      <c r="K118" s="90" t="str">
        <f t="shared" ca="1" si="11"/>
        <v>—</v>
      </c>
      <c r="L118" s="91"/>
    </row>
    <row r="119" spans="1:12" ht="15" customHeight="1" x14ac:dyDescent="0.25">
      <c r="A119" s="76"/>
      <c r="B119" s="37" t="str">
        <f>IF(A119="","",IFERROR(VLOOKUP(A119,DB_Customers!$A:$D,4,0),"❌ Account Not Found"))</f>
        <v/>
      </c>
      <c r="C119" s="77" t="str">
        <f>IF(A119="","",IFERROR(VLOOKUP(A119,DB_Customers!$A:$N,14,0),"❌ Acct Not Found"))</f>
        <v/>
      </c>
      <c r="D119" s="78" t="str">
        <f t="shared" ca="1" si="9"/>
        <v/>
      </c>
      <c r="E119" s="94"/>
      <c r="F119" s="37"/>
      <c r="G119" s="95" t="str">
        <f t="shared" si="10"/>
        <v/>
      </c>
      <c r="H119" s="39" t="s">
        <v>135</v>
      </c>
      <c r="I119" s="81"/>
      <c r="J119" s="82" t="str">
        <f>IF(AND(A119&lt;&gt;"",E119&lt;&gt;""),IF(I119="","⚠️ Enter Code",IF(IFERROR(VLOOKUP(H119,DB_Agents!$B:$I,8,0),"")=I119,IF(C119&gt;=E119,"Successful","Unsuccessful"),"🔒 BLOCKED — Wrong Code")),"Pending")</f>
        <v>Pending</v>
      </c>
      <c r="K119" s="83" t="str">
        <f t="shared" ca="1" si="11"/>
        <v>—</v>
      </c>
      <c r="L119" s="84"/>
    </row>
    <row r="120" spans="1:12" ht="15" customHeight="1" x14ac:dyDescent="0.25">
      <c r="A120" s="85"/>
      <c r="B120" s="41" t="str">
        <f>IF(A120="","",IFERROR(VLOOKUP(A120,DB_Customers!$A:$D,4,0),"❌ Account Not Found"))</f>
        <v/>
      </c>
      <c r="C120" s="86" t="str">
        <f>IF(A120="","",IFERROR(VLOOKUP(A120,DB_Customers!$A:$N,14,0),"❌ Acct Not Found"))</f>
        <v/>
      </c>
      <c r="D120" s="87" t="str">
        <f t="shared" ca="1" si="9"/>
        <v/>
      </c>
      <c r="E120" s="94"/>
      <c r="F120" s="41"/>
      <c r="G120" s="96" t="str">
        <f t="shared" si="10"/>
        <v/>
      </c>
      <c r="H120" s="43" t="s">
        <v>135</v>
      </c>
      <c r="I120" s="81"/>
      <c r="J120" s="89" t="str">
        <f>IF(AND(A120&lt;&gt;"",E120&lt;&gt;""),IF(I120="","⚠️ Enter Code",IF(IFERROR(VLOOKUP(H120,DB_Agents!$B:$I,8,0),"")=I120,IF(C120&gt;=E120,"Successful","Unsuccessful"),"🔒 BLOCKED — Wrong Code")),"Pending")</f>
        <v>Pending</v>
      </c>
      <c r="K120" s="90" t="str">
        <f t="shared" ca="1" si="11"/>
        <v>—</v>
      </c>
      <c r="L120" s="91"/>
    </row>
    <row r="121" spans="1:12" ht="15" customHeight="1" x14ac:dyDescent="0.25">
      <c r="A121" s="76"/>
      <c r="B121" s="37" t="str">
        <f>IF(A121="","",IFERROR(VLOOKUP(A121,DB_Customers!$A:$D,4,0),"❌ Account Not Found"))</f>
        <v/>
      </c>
      <c r="C121" s="77" t="str">
        <f>IF(A121="","",IFERROR(VLOOKUP(A121,DB_Customers!$A:$N,14,0),"❌ Acct Not Found"))</f>
        <v/>
      </c>
      <c r="D121" s="78" t="str">
        <f t="shared" ca="1" si="9"/>
        <v/>
      </c>
      <c r="E121" s="94"/>
      <c r="F121" s="37"/>
      <c r="G121" s="95" t="str">
        <f t="shared" si="10"/>
        <v/>
      </c>
      <c r="H121" s="39" t="s">
        <v>135</v>
      </c>
      <c r="I121" s="81"/>
      <c r="J121" s="82" t="str">
        <f>IF(AND(A121&lt;&gt;"",E121&lt;&gt;""),IF(I121="","⚠️ Enter Code",IF(IFERROR(VLOOKUP(H121,DB_Agents!$B:$I,8,0),"")=I121,IF(C121&gt;=E121,"Successful","Unsuccessful"),"🔒 BLOCKED — Wrong Code")),"Pending")</f>
        <v>Pending</v>
      </c>
      <c r="K121" s="83" t="str">
        <f t="shared" ca="1" si="11"/>
        <v>—</v>
      </c>
      <c r="L121" s="84"/>
    </row>
    <row r="122" spans="1:12" ht="15" customHeight="1" x14ac:dyDescent="0.25">
      <c r="A122" s="85"/>
      <c r="B122" s="41" t="str">
        <f>IF(A122="","",IFERROR(VLOOKUP(A122,DB_Customers!$A:$D,4,0),"❌ Account Not Found"))</f>
        <v/>
      </c>
      <c r="C122" s="86" t="str">
        <f>IF(A122="","",IFERROR(VLOOKUP(A122,DB_Customers!$A:$N,14,0),"❌ Acct Not Found"))</f>
        <v/>
      </c>
      <c r="D122" s="87" t="str">
        <f t="shared" ca="1" si="9"/>
        <v/>
      </c>
      <c r="E122" s="94"/>
      <c r="F122" s="41"/>
      <c r="G122" s="96" t="str">
        <f t="shared" si="10"/>
        <v/>
      </c>
      <c r="H122" s="43" t="s">
        <v>135</v>
      </c>
      <c r="I122" s="81"/>
      <c r="J122" s="89" t="str">
        <f>IF(AND(A122&lt;&gt;"",E122&lt;&gt;""),IF(I122="","⚠️ Enter Code",IF(IFERROR(VLOOKUP(H122,DB_Agents!$B:$I,8,0),"")=I122,IF(C122&gt;=E122,"Successful","Unsuccessful"),"🔒 BLOCKED — Wrong Code")),"Pending")</f>
        <v>Pending</v>
      </c>
      <c r="K122" s="90" t="str">
        <f t="shared" ca="1" si="11"/>
        <v>—</v>
      </c>
      <c r="L122" s="91"/>
    </row>
    <row r="123" spans="1:12" ht="15" customHeight="1" x14ac:dyDescent="0.25">
      <c r="A123" s="76"/>
      <c r="B123" s="37" t="str">
        <f>IF(A123="","",IFERROR(VLOOKUP(A123,DB_Customers!$A:$D,4,0),"❌ Account Not Found"))</f>
        <v/>
      </c>
      <c r="C123" s="77" t="str">
        <f>IF(A123="","",IFERROR(VLOOKUP(A123,DB_Customers!$A:$N,14,0),"❌ Acct Not Found"))</f>
        <v/>
      </c>
      <c r="D123" s="78" t="str">
        <f t="shared" ca="1" si="9"/>
        <v/>
      </c>
      <c r="E123" s="94"/>
      <c r="F123" s="37"/>
      <c r="G123" s="95" t="str">
        <f t="shared" si="10"/>
        <v/>
      </c>
      <c r="H123" s="39" t="s">
        <v>135</v>
      </c>
      <c r="I123" s="81"/>
      <c r="J123" s="82" t="str">
        <f>IF(AND(A123&lt;&gt;"",E123&lt;&gt;""),IF(I123="","⚠️ Enter Code",IF(IFERROR(VLOOKUP(H123,DB_Agents!$B:$I,8,0),"")=I123,IF(C123&gt;=E123,"Successful","Unsuccessful"),"🔒 BLOCKED — Wrong Code")),"Pending")</f>
        <v>Pending</v>
      </c>
      <c r="K123" s="83" t="str">
        <f t="shared" ca="1" si="11"/>
        <v>—</v>
      </c>
      <c r="L123" s="84"/>
    </row>
    <row r="124" spans="1:12" ht="15" customHeight="1" x14ac:dyDescent="0.25">
      <c r="A124" s="85"/>
      <c r="B124" s="41" t="str">
        <f>IF(A124="","",IFERROR(VLOOKUP(A124,DB_Customers!$A:$D,4,0),"❌ Account Not Found"))</f>
        <v/>
      </c>
      <c r="C124" s="86" t="str">
        <f>IF(A124="","",IFERROR(VLOOKUP(A124,DB_Customers!$A:$N,14,0),"❌ Acct Not Found"))</f>
        <v/>
      </c>
      <c r="D124" s="87" t="str">
        <f t="shared" ca="1" si="9"/>
        <v/>
      </c>
      <c r="E124" s="94"/>
      <c r="F124" s="41"/>
      <c r="G124" s="96" t="str">
        <f t="shared" si="10"/>
        <v/>
      </c>
      <c r="H124" s="43" t="s">
        <v>135</v>
      </c>
      <c r="I124" s="81"/>
      <c r="J124" s="89" t="str">
        <f>IF(AND(A124&lt;&gt;"",E124&lt;&gt;""),IF(I124="","⚠️ Enter Code",IF(IFERROR(VLOOKUP(H124,DB_Agents!$B:$I,8,0),"")=I124,IF(C124&gt;=E124,"Successful","Unsuccessful"),"🔒 BLOCKED — Wrong Code")),"Pending")</f>
        <v>Pending</v>
      </c>
      <c r="K124" s="90" t="str">
        <f t="shared" ca="1" si="11"/>
        <v>—</v>
      </c>
      <c r="L124" s="91"/>
    </row>
    <row r="125" spans="1:12" ht="15" customHeight="1" x14ac:dyDescent="0.25">
      <c r="A125" s="76"/>
      <c r="B125" s="37" t="str">
        <f>IF(A125="","",IFERROR(VLOOKUP(A125,DB_Customers!$A:$D,4,0),"❌ Account Not Found"))</f>
        <v/>
      </c>
      <c r="C125" s="77" t="str">
        <f>IF(A125="","",IFERROR(VLOOKUP(A125,DB_Customers!$A:$N,14,0),"❌ Acct Not Found"))</f>
        <v/>
      </c>
      <c r="D125" s="78" t="str">
        <f t="shared" ca="1" si="9"/>
        <v/>
      </c>
      <c r="E125" s="94"/>
      <c r="F125" s="37"/>
      <c r="G125" s="95" t="str">
        <f t="shared" si="10"/>
        <v/>
      </c>
      <c r="H125" s="39" t="s">
        <v>135</v>
      </c>
      <c r="I125" s="81"/>
      <c r="J125" s="82" t="str">
        <f>IF(AND(A125&lt;&gt;"",E125&lt;&gt;""),IF(I125="","⚠️ Enter Code",IF(IFERROR(VLOOKUP(H125,DB_Agents!$B:$I,8,0),"")=I125,IF(C125&gt;=E125,"Successful","Unsuccessful"),"🔒 BLOCKED — Wrong Code")),"Pending")</f>
        <v>Pending</v>
      </c>
      <c r="K125" s="83" t="str">
        <f t="shared" ca="1" si="11"/>
        <v>—</v>
      </c>
      <c r="L125" s="84"/>
    </row>
    <row r="126" spans="1:12" ht="15" customHeight="1" x14ac:dyDescent="0.25">
      <c r="A126" s="85"/>
      <c r="B126" s="41" t="str">
        <f>IF(A126="","",IFERROR(VLOOKUP(A126,DB_Customers!$A:$D,4,0),"❌ Account Not Found"))</f>
        <v/>
      </c>
      <c r="C126" s="86" t="str">
        <f>IF(A126="","",IFERROR(VLOOKUP(A126,DB_Customers!$A:$N,14,0),"❌ Acct Not Found"))</f>
        <v/>
      </c>
      <c r="D126" s="87" t="str">
        <f t="shared" ca="1" si="9"/>
        <v/>
      </c>
      <c r="E126" s="94"/>
      <c r="F126" s="41"/>
      <c r="G126" s="96" t="str">
        <f t="shared" si="10"/>
        <v/>
      </c>
      <c r="H126" s="43" t="s">
        <v>135</v>
      </c>
      <c r="I126" s="81"/>
      <c r="J126" s="89" t="str">
        <f>IF(AND(A126&lt;&gt;"",E126&lt;&gt;""),IF(I126="","⚠️ Enter Code",IF(IFERROR(VLOOKUP(H126,DB_Agents!$B:$I,8,0),"")=I126,IF(C126&gt;=E126,"Successful","Unsuccessful"),"🔒 BLOCKED — Wrong Code")),"Pending")</f>
        <v>Pending</v>
      </c>
      <c r="K126" s="90" t="str">
        <f t="shared" ca="1" si="11"/>
        <v>—</v>
      </c>
      <c r="L126" s="91"/>
    </row>
    <row r="127" spans="1:12" ht="15" customHeight="1" x14ac:dyDescent="0.25">
      <c r="A127" s="76"/>
      <c r="B127" s="37" t="str">
        <f>IF(A127="","",IFERROR(VLOOKUP(A127,DB_Customers!$A:$D,4,0),"❌ Account Not Found"))</f>
        <v/>
      </c>
      <c r="C127" s="77" t="str">
        <f>IF(A127="","",IFERROR(VLOOKUP(A127,DB_Customers!$A:$N,14,0),"❌ Acct Not Found"))</f>
        <v/>
      </c>
      <c r="D127" s="78" t="str">
        <f t="shared" ca="1" si="9"/>
        <v/>
      </c>
      <c r="E127" s="94"/>
      <c r="F127" s="37"/>
      <c r="G127" s="95" t="str">
        <f t="shared" si="10"/>
        <v/>
      </c>
      <c r="H127" s="39" t="s">
        <v>135</v>
      </c>
      <c r="I127" s="81"/>
      <c r="J127" s="82" t="str">
        <f>IF(AND(A127&lt;&gt;"",E127&lt;&gt;""),IF(I127="","⚠️ Enter Code",IF(IFERROR(VLOOKUP(H127,DB_Agents!$B:$I,8,0),"")=I127,IF(C127&gt;=E127,"Successful","Unsuccessful"),"🔒 BLOCKED — Wrong Code")),"Pending")</f>
        <v>Pending</v>
      </c>
      <c r="K127" s="83" t="str">
        <f t="shared" ca="1" si="11"/>
        <v>—</v>
      </c>
      <c r="L127" s="84"/>
    </row>
    <row r="128" spans="1:12" ht="15" customHeight="1" x14ac:dyDescent="0.25">
      <c r="A128" s="85"/>
      <c r="B128" s="41" t="str">
        <f>IF(A128="","",IFERROR(VLOOKUP(A128,DB_Customers!$A:$D,4,0),"❌ Account Not Found"))</f>
        <v/>
      </c>
      <c r="C128" s="86" t="str">
        <f>IF(A128="","",IFERROR(VLOOKUP(A128,DB_Customers!$A:$N,14,0),"❌ Acct Not Found"))</f>
        <v/>
      </c>
      <c r="D128" s="87" t="str">
        <f t="shared" ca="1" si="9"/>
        <v/>
      </c>
      <c r="E128" s="94"/>
      <c r="F128" s="41"/>
      <c r="G128" s="96" t="str">
        <f t="shared" si="10"/>
        <v/>
      </c>
      <c r="H128" s="43" t="s">
        <v>135</v>
      </c>
      <c r="I128" s="81"/>
      <c r="J128" s="89" t="str">
        <f>IF(AND(A128&lt;&gt;"",E128&lt;&gt;""),IF(I128="","⚠️ Enter Code",IF(IFERROR(VLOOKUP(H128,DB_Agents!$B:$I,8,0),"")=I128,IF(C128&gt;=E128,"Successful","Unsuccessful"),"🔒 BLOCKED — Wrong Code")),"Pending")</f>
        <v>Pending</v>
      </c>
      <c r="K128" s="90" t="str">
        <f t="shared" ca="1" si="11"/>
        <v>—</v>
      </c>
      <c r="L128" s="91"/>
    </row>
    <row r="129" spans="1:12" ht="15" customHeight="1" x14ac:dyDescent="0.25">
      <c r="A129" s="76"/>
      <c r="B129" s="37" t="str">
        <f>IF(A129="","",IFERROR(VLOOKUP(A129,DB_Customers!$A:$D,4,0),"❌ Account Not Found"))</f>
        <v/>
      </c>
      <c r="C129" s="77" t="str">
        <f>IF(A129="","",IFERROR(VLOOKUP(A129,DB_Customers!$A:$N,14,0),"❌ Acct Not Found"))</f>
        <v/>
      </c>
      <c r="D129" s="78" t="str">
        <f t="shared" ca="1" si="9"/>
        <v/>
      </c>
      <c r="E129" s="94"/>
      <c r="F129" s="37"/>
      <c r="G129" s="95" t="str">
        <f t="shared" si="10"/>
        <v/>
      </c>
      <c r="H129" s="39" t="s">
        <v>135</v>
      </c>
      <c r="I129" s="81"/>
      <c r="J129" s="82" t="str">
        <f>IF(AND(A129&lt;&gt;"",E129&lt;&gt;""),IF(I129="","⚠️ Enter Code",IF(IFERROR(VLOOKUP(H129,DB_Agents!$B:$I,8,0),"")=I129,IF(C129&gt;=E129,"Successful","Unsuccessful"),"🔒 BLOCKED — Wrong Code")),"Pending")</f>
        <v>Pending</v>
      </c>
      <c r="K129" s="83" t="str">
        <f t="shared" ca="1" si="11"/>
        <v>—</v>
      </c>
      <c r="L129" s="84"/>
    </row>
    <row r="130" spans="1:12" ht="15" customHeight="1" x14ac:dyDescent="0.25">
      <c r="A130" s="85"/>
      <c r="B130" s="41" t="str">
        <f>IF(A130="","",IFERROR(VLOOKUP(A130,DB_Customers!$A:$D,4,0),"❌ Account Not Found"))</f>
        <v/>
      </c>
      <c r="C130" s="86" t="str">
        <f>IF(A130="","",IFERROR(VLOOKUP(A130,DB_Customers!$A:$N,14,0),"❌ Acct Not Found"))</f>
        <v/>
      </c>
      <c r="D130" s="87" t="str">
        <f t="shared" ca="1" si="9"/>
        <v/>
      </c>
      <c r="E130" s="94"/>
      <c r="F130" s="41"/>
      <c r="G130" s="96" t="str">
        <f t="shared" si="10"/>
        <v/>
      </c>
      <c r="H130" s="43" t="s">
        <v>135</v>
      </c>
      <c r="I130" s="81"/>
      <c r="J130" s="89" t="str">
        <f>IF(AND(A130&lt;&gt;"",E130&lt;&gt;""),IF(I130="","⚠️ Enter Code",IF(IFERROR(VLOOKUP(H130,DB_Agents!$B:$I,8,0),"")=I130,IF(C130&gt;=E130,"Successful","Unsuccessful"),"🔒 BLOCKED — Wrong Code")),"Pending")</f>
        <v>Pending</v>
      </c>
      <c r="K130" s="90" t="str">
        <f t="shared" ca="1" si="11"/>
        <v>—</v>
      </c>
      <c r="L130" s="91"/>
    </row>
    <row r="131" spans="1:12" ht="15" customHeight="1" x14ac:dyDescent="0.25">
      <c r="A131" s="76"/>
      <c r="B131" s="37" t="str">
        <f>IF(A131="","",IFERROR(VLOOKUP(A131,DB_Customers!$A:$D,4,0),"❌ Account Not Found"))</f>
        <v/>
      </c>
      <c r="C131" s="77" t="str">
        <f>IF(A131="","",IFERROR(VLOOKUP(A131,DB_Customers!$A:$N,14,0),"❌ Acct Not Found"))</f>
        <v/>
      </c>
      <c r="D131" s="78" t="str">
        <f t="shared" ca="1" si="9"/>
        <v/>
      </c>
      <c r="E131" s="94"/>
      <c r="F131" s="37"/>
      <c r="G131" s="95" t="str">
        <f t="shared" si="10"/>
        <v/>
      </c>
      <c r="H131" s="39" t="s">
        <v>135</v>
      </c>
      <c r="I131" s="81"/>
      <c r="J131" s="82" t="str">
        <f>IF(AND(A131&lt;&gt;"",E131&lt;&gt;""),IF(I131="","⚠️ Enter Code",IF(IFERROR(VLOOKUP(H131,DB_Agents!$B:$I,8,0),"")=I131,IF(C131&gt;=E131,"Successful","Unsuccessful"),"🔒 BLOCKED — Wrong Code")),"Pending")</f>
        <v>Pending</v>
      </c>
      <c r="K131" s="83" t="str">
        <f t="shared" ca="1" si="11"/>
        <v>—</v>
      </c>
      <c r="L131" s="84"/>
    </row>
    <row r="132" spans="1:12" ht="15" customHeight="1" x14ac:dyDescent="0.25">
      <c r="A132" s="85"/>
      <c r="B132" s="41" t="str">
        <f>IF(A132="","",IFERROR(VLOOKUP(A132,DB_Customers!$A:$D,4,0),"❌ Account Not Found"))</f>
        <v/>
      </c>
      <c r="C132" s="86" t="str">
        <f>IF(A132="","",IFERROR(VLOOKUP(A132,DB_Customers!$A:$N,14,0),"❌ Acct Not Found"))</f>
        <v/>
      </c>
      <c r="D132" s="87" t="str">
        <f t="shared" ca="1" si="9"/>
        <v/>
      </c>
      <c r="E132" s="94"/>
      <c r="F132" s="41"/>
      <c r="G132" s="96" t="str">
        <f t="shared" si="10"/>
        <v/>
      </c>
      <c r="H132" s="43" t="s">
        <v>135</v>
      </c>
      <c r="I132" s="81"/>
      <c r="J132" s="89" t="str">
        <f>IF(AND(A132&lt;&gt;"",E132&lt;&gt;""),IF(I132="","⚠️ Enter Code",IF(IFERROR(VLOOKUP(H132,DB_Agents!$B:$I,8,0),"")=I132,IF(C132&gt;=E132,"Successful","Unsuccessful"),"🔒 BLOCKED — Wrong Code")),"Pending")</f>
        <v>Pending</v>
      </c>
      <c r="K132" s="90" t="str">
        <f t="shared" ca="1" si="11"/>
        <v>—</v>
      </c>
      <c r="L132" s="91"/>
    </row>
    <row r="133" spans="1:12" ht="15" customHeight="1" x14ac:dyDescent="0.25">
      <c r="A133" s="76"/>
      <c r="B133" s="37" t="str">
        <f>IF(A133="","",IFERROR(VLOOKUP(A133,DB_Customers!$A:$D,4,0),"❌ Account Not Found"))</f>
        <v/>
      </c>
      <c r="C133" s="77" t="str">
        <f>IF(A133="","",IFERROR(VLOOKUP(A133,DB_Customers!$A:$N,14,0),"❌ Acct Not Found"))</f>
        <v/>
      </c>
      <c r="D133" s="78" t="str">
        <f t="shared" ca="1" si="9"/>
        <v/>
      </c>
      <c r="E133" s="94"/>
      <c r="F133" s="37"/>
      <c r="G133" s="95" t="str">
        <f t="shared" si="10"/>
        <v/>
      </c>
      <c r="H133" s="39" t="s">
        <v>135</v>
      </c>
      <c r="I133" s="81"/>
      <c r="J133" s="82" t="str">
        <f>IF(AND(A133&lt;&gt;"",E133&lt;&gt;""),IF(I133="","⚠️ Enter Code",IF(IFERROR(VLOOKUP(H133,DB_Agents!$B:$I,8,0),"")=I133,IF(C133&gt;=E133,"Successful","Unsuccessful"),"🔒 BLOCKED — Wrong Code")),"Pending")</f>
        <v>Pending</v>
      </c>
      <c r="K133" s="83" t="str">
        <f t="shared" ca="1" si="11"/>
        <v>—</v>
      </c>
      <c r="L133" s="84"/>
    </row>
    <row r="134" spans="1:12" ht="15" customHeight="1" x14ac:dyDescent="0.25">
      <c r="A134" s="85"/>
      <c r="B134" s="41" t="str">
        <f>IF(A134="","",IFERROR(VLOOKUP(A134,DB_Customers!$A:$D,4,0),"❌ Account Not Found"))</f>
        <v/>
      </c>
      <c r="C134" s="86" t="str">
        <f>IF(A134="","",IFERROR(VLOOKUP(A134,DB_Customers!$A:$N,14,0),"❌ Acct Not Found"))</f>
        <v/>
      </c>
      <c r="D134" s="87" t="str">
        <f t="shared" ca="1" si="9"/>
        <v/>
      </c>
      <c r="E134" s="94"/>
      <c r="F134" s="41"/>
      <c r="G134" s="96" t="str">
        <f t="shared" si="10"/>
        <v/>
      </c>
      <c r="H134" s="43" t="s">
        <v>135</v>
      </c>
      <c r="I134" s="81"/>
      <c r="J134" s="89" t="str">
        <f>IF(AND(A134&lt;&gt;"",E134&lt;&gt;""),IF(I134="","⚠️ Enter Code",IF(IFERROR(VLOOKUP(H134,DB_Agents!$B:$I,8,0),"")=I134,IF(C134&gt;=E134,"Successful","Unsuccessful"),"🔒 BLOCKED — Wrong Code")),"Pending")</f>
        <v>Pending</v>
      </c>
      <c r="K134" s="90" t="str">
        <f t="shared" ca="1" si="11"/>
        <v>—</v>
      </c>
      <c r="L134" s="91"/>
    </row>
    <row r="135" spans="1:12" ht="15" customHeight="1" x14ac:dyDescent="0.25">
      <c r="A135" s="76"/>
      <c r="B135" s="37" t="str">
        <f>IF(A135="","",IFERROR(VLOOKUP(A135,DB_Customers!$A:$D,4,0),"❌ Account Not Found"))</f>
        <v/>
      </c>
      <c r="C135" s="77" t="str">
        <f>IF(A135="","",IFERROR(VLOOKUP(A135,DB_Customers!$A:$N,14,0),"❌ Acct Not Found"))</f>
        <v/>
      </c>
      <c r="D135" s="78" t="str">
        <f t="shared" ca="1" si="9"/>
        <v/>
      </c>
      <c r="E135" s="94"/>
      <c r="F135" s="37"/>
      <c r="G135" s="95" t="str">
        <f t="shared" si="10"/>
        <v/>
      </c>
      <c r="H135" s="39" t="s">
        <v>135</v>
      </c>
      <c r="I135" s="81"/>
      <c r="J135" s="82" t="str">
        <f>IF(AND(A135&lt;&gt;"",E135&lt;&gt;""),IF(I135="","⚠️ Enter Code",IF(IFERROR(VLOOKUP(H135,DB_Agents!$B:$I,8,0),"")=I135,IF(C135&gt;=E135,"Successful","Unsuccessful"),"🔒 BLOCKED — Wrong Code")),"Pending")</f>
        <v>Pending</v>
      </c>
      <c r="K135" s="83" t="str">
        <f t="shared" ca="1" si="11"/>
        <v>—</v>
      </c>
      <c r="L135" s="84"/>
    </row>
    <row r="136" spans="1:12" ht="15" customHeight="1" x14ac:dyDescent="0.25">
      <c r="A136" s="85"/>
      <c r="B136" s="41" t="str">
        <f>IF(A136="","",IFERROR(VLOOKUP(A136,DB_Customers!$A:$D,4,0),"❌ Account Not Found"))</f>
        <v/>
      </c>
      <c r="C136" s="86" t="str">
        <f>IF(A136="","",IFERROR(VLOOKUP(A136,DB_Customers!$A:$N,14,0),"❌ Acct Not Found"))</f>
        <v/>
      </c>
      <c r="D136" s="87" t="str">
        <f t="shared" ca="1" si="9"/>
        <v/>
      </c>
      <c r="E136" s="94"/>
      <c r="F136" s="41"/>
      <c r="G136" s="96" t="str">
        <f t="shared" si="10"/>
        <v/>
      </c>
      <c r="H136" s="43" t="s">
        <v>135</v>
      </c>
      <c r="I136" s="81"/>
      <c r="J136" s="89" t="str">
        <f>IF(AND(A136&lt;&gt;"",E136&lt;&gt;""),IF(I136="","⚠️ Enter Code",IF(IFERROR(VLOOKUP(H136,DB_Agents!$B:$I,8,0),"")=I136,IF(C136&gt;=E136,"Successful","Unsuccessful"),"🔒 BLOCKED — Wrong Code")),"Pending")</f>
        <v>Pending</v>
      </c>
      <c r="K136" s="90" t="str">
        <f t="shared" ca="1" si="11"/>
        <v>—</v>
      </c>
      <c r="L136" s="91"/>
    </row>
    <row r="137" spans="1:12" ht="15" customHeight="1" x14ac:dyDescent="0.25">
      <c r="A137" s="76"/>
      <c r="B137" s="37" t="str">
        <f>IF(A137="","",IFERROR(VLOOKUP(A137,DB_Customers!$A:$D,4,0),"❌ Account Not Found"))</f>
        <v/>
      </c>
      <c r="C137" s="77" t="str">
        <f>IF(A137="","",IFERROR(VLOOKUP(A137,DB_Customers!$A:$N,14,0),"❌ Acct Not Found"))</f>
        <v/>
      </c>
      <c r="D137" s="78" t="str">
        <f t="shared" ref="D137:D168" ca="1" si="12">IF(A137="","",TODAY())</f>
        <v/>
      </c>
      <c r="E137" s="94"/>
      <c r="F137" s="37"/>
      <c r="G137" s="95" t="str">
        <f t="shared" ref="G137:G168" si="13">IF(OR(A137="",E137=""),"",IF(C137="","",C137-E137))</f>
        <v/>
      </c>
      <c r="H137" s="39" t="s">
        <v>135</v>
      </c>
      <c r="I137" s="81"/>
      <c r="J137" s="82" t="str">
        <f>IF(AND(A137&lt;&gt;"",E137&lt;&gt;""),IF(I137="","⚠️ Enter Code",IF(IFERROR(VLOOKUP(H137,DB_Agents!$B:$I,8,0),"")=I137,IF(C137&gt;=E137,"Successful","Unsuccessful"),"🔒 BLOCKED — Wrong Code")),"Pending")</f>
        <v>Pending</v>
      </c>
      <c r="K137" s="83" t="str">
        <f t="shared" ref="K137:K168" ca="1" si="14">IF(J137="Successful",TEXT(TODAY(),"YYYY-MM-DD")&amp;" Auto","—")</f>
        <v>—</v>
      </c>
      <c r="L137" s="84"/>
    </row>
    <row r="138" spans="1:12" ht="15" customHeight="1" x14ac:dyDescent="0.25">
      <c r="A138" s="85"/>
      <c r="B138" s="41" t="str">
        <f>IF(A138="","",IFERROR(VLOOKUP(A138,DB_Customers!$A:$D,4,0),"❌ Account Not Found"))</f>
        <v/>
      </c>
      <c r="C138" s="86" t="str">
        <f>IF(A138="","",IFERROR(VLOOKUP(A138,DB_Customers!$A:$N,14,0),"❌ Acct Not Found"))</f>
        <v/>
      </c>
      <c r="D138" s="87" t="str">
        <f t="shared" ca="1" si="12"/>
        <v/>
      </c>
      <c r="E138" s="94"/>
      <c r="F138" s="41"/>
      <c r="G138" s="96" t="str">
        <f t="shared" si="13"/>
        <v/>
      </c>
      <c r="H138" s="43" t="s">
        <v>135</v>
      </c>
      <c r="I138" s="81"/>
      <c r="J138" s="89" t="str">
        <f>IF(AND(A138&lt;&gt;"",E138&lt;&gt;""),IF(I138="","⚠️ Enter Code",IF(IFERROR(VLOOKUP(H138,DB_Agents!$B:$I,8,0),"")=I138,IF(C138&gt;=E138,"Successful","Unsuccessful"),"🔒 BLOCKED — Wrong Code")),"Pending")</f>
        <v>Pending</v>
      </c>
      <c r="K138" s="90" t="str">
        <f t="shared" ca="1" si="14"/>
        <v>—</v>
      </c>
      <c r="L138" s="91"/>
    </row>
    <row r="139" spans="1:12" ht="15" customHeight="1" x14ac:dyDescent="0.25">
      <c r="A139" s="76"/>
      <c r="B139" s="37" t="str">
        <f>IF(A139="","",IFERROR(VLOOKUP(A139,DB_Customers!$A:$D,4,0),"❌ Account Not Found"))</f>
        <v/>
      </c>
      <c r="C139" s="77" t="str">
        <f>IF(A139="","",IFERROR(VLOOKUP(A139,DB_Customers!$A:$N,14,0),"❌ Acct Not Found"))</f>
        <v/>
      </c>
      <c r="D139" s="78" t="str">
        <f t="shared" ca="1" si="12"/>
        <v/>
      </c>
      <c r="E139" s="94"/>
      <c r="F139" s="37"/>
      <c r="G139" s="95" t="str">
        <f t="shared" si="13"/>
        <v/>
      </c>
      <c r="H139" s="39" t="s">
        <v>135</v>
      </c>
      <c r="I139" s="81"/>
      <c r="J139" s="82" t="str">
        <f>IF(AND(A139&lt;&gt;"",E139&lt;&gt;""),IF(I139="","⚠️ Enter Code",IF(IFERROR(VLOOKUP(H139,DB_Agents!$B:$I,8,0),"")=I139,IF(C139&gt;=E139,"Successful","Unsuccessful"),"🔒 BLOCKED — Wrong Code")),"Pending")</f>
        <v>Pending</v>
      </c>
      <c r="K139" s="83" t="str">
        <f t="shared" ca="1" si="14"/>
        <v>—</v>
      </c>
      <c r="L139" s="84"/>
    </row>
    <row r="140" spans="1:12" ht="15" customHeight="1" x14ac:dyDescent="0.25">
      <c r="A140" s="85"/>
      <c r="B140" s="41" t="str">
        <f>IF(A140="","",IFERROR(VLOOKUP(A140,DB_Customers!$A:$D,4,0),"❌ Account Not Found"))</f>
        <v/>
      </c>
      <c r="C140" s="86" t="str">
        <f>IF(A140="","",IFERROR(VLOOKUP(A140,DB_Customers!$A:$N,14,0),"❌ Acct Not Found"))</f>
        <v/>
      </c>
      <c r="D140" s="87" t="str">
        <f t="shared" ca="1" si="12"/>
        <v/>
      </c>
      <c r="E140" s="94"/>
      <c r="F140" s="41"/>
      <c r="G140" s="96" t="str">
        <f t="shared" si="13"/>
        <v/>
      </c>
      <c r="H140" s="43" t="s">
        <v>135</v>
      </c>
      <c r="I140" s="81"/>
      <c r="J140" s="89" t="str">
        <f>IF(AND(A140&lt;&gt;"",E140&lt;&gt;""),IF(I140="","⚠️ Enter Code",IF(IFERROR(VLOOKUP(H140,DB_Agents!$B:$I,8,0),"")=I140,IF(C140&gt;=E140,"Successful","Unsuccessful"),"🔒 BLOCKED — Wrong Code")),"Pending")</f>
        <v>Pending</v>
      </c>
      <c r="K140" s="90" t="str">
        <f t="shared" ca="1" si="14"/>
        <v>—</v>
      </c>
      <c r="L140" s="91"/>
    </row>
    <row r="141" spans="1:12" ht="15" customHeight="1" x14ac:dyDescent="0.25">
      <c r="A141" s="76"/>
      <c r="B141" s="37" t="str">
        <f>IF(A141="","",IFERROR(VLOOKUP(A141,DB_Customers!$A:$D,4,0),"❌ Account Not Found"))</f>
        <v/>
      </c>
      <c r="C141" s="77" t="str">
        <f>IF(A141="","",IFERROR(VLOOKUP(A141,DB_Customers!$A:$N,14,0),"❌ Acct Not Found"))</f>
        <v/>
      </c>
      <c r="D141" s="78" t="str">
        <f t="shared" ca="1" si="12"/>
        <v/>
      </c>
      <c r="E141" s="94"/>
      <c r="F141" s="37"/>
      <c r="G141" s="95" t="str">
        <f t="shared" si="13"/>
        <v/>
      </c>
      <c r="H141" s="39" t="s">
        <v>135</v>
      </c>
      <c r="I141" s="81"/>
      <c r="J141" s="82" t="str">
        <f>IF(AND(A141&lt;&gt;"",E141&lt;&gt;""),IF(I141="","⚠️ Enter Code",IF(IFERROR(VLOOKUP(H141,DB_Agents!$B:$I,8,0),"")=I141,IF(C141&gt;=E141,"Successful","Unsuccessful"),"🔒 BLOCKED — Wrong Code")),"Pending")</f>
        <v>Pending</v>
      </c>
      <c r="K141" s="83" t="str">
        <f t="shared" ca="1" si="14"/>
        <v>—</v>
      </c>
      <c r="L141" s="84"/>
    </row>
    <row r="142" spans="1:12" ht="15" customHeight="1" x14ac:dyDescent="0.25">
      <c r="A142" s="85"/>
      <c r="B142" s="41" t="str">
        <f>IF(A142="","",IFERROR(VLOOKUP(A142,DB_Customers!$A:$D,4,0),"❌ Account Not Found"))</f>
        <v/>
      </c>
      <c r="C142" s="86" t="str">
        <f>IF(A142="","",IFERROR(VLOOKUP(A142,DB_Customers!$A:$N,14,0),"❌ Acct Not Found"))</f>
        <v/>
      </c>
      <c r="D142" s="87" t="str">
        <f t="shared" ca="1" si="12"/>
        <v/>
      </c>
      <c r="E142" s="94"/>
      <c r="F142" s="41"/>
      <c r="G142" s="96" t="str">
        <f t="shared" si="13"/>
        <v/>
      </c>
      <c r="H142" s="43" t="s">
        <v>135</v>
      </c>
      <c r="I142" s="81"/>
      <c r="J142" s="89" t="str">
        <f>IF(AND(A142&lt;&gt;"",E142&lt;&gt;""),IF(I142="","⚠️ Enter Code",IF(IFERROR(VLOOKUP(H142,DB_Agents!$B:$I,8,0),"")=I142,IF(C142&gt;=E142,"Successful","Unsuccessful"),"🔒 BLOCKED — Wrong Code")),"Pending")</f>
        <v>Pending</v>
      </c>
      <c r="K142" s="90" t="str">
        <f t="shared" ca="1" si="14"/>
        <v>—</v>
      </c>
      <c r="L142" s="91"/>
    </row>
    <row r="143" spans="1:12" ht="15" customHeight="1" x14ac:dyDescent="0.25">
      <c r="A143" s="76"/>
      <c r="B143" s="37" t="str">
        <f>IF(A143="","",IFERROR(VLOOKUP(A143,DB_Customers!$A:$D,4,0),"❌ Account Not Found"))</f>
        <v/>
      </c>
      <c r="C143" s="77" t="str">
        <f>IF(A143="","",IFERROR(VLOOKUP(A143,DB_Customers!$A:$N,14,0),"❌ Acct Not Found"))</f>
        <v/>
      </c>
      <c r="D143" s="78" t="str">
        <f t="shared" ca="1" si="12"/>
        <v/>
      </c>
      <c r="E143" s="94"/>
      <c r="F143" s="37"/>
      <c r="G143" s="95" t="str">
        <f t="shared" si="13"/>
        <v/>
      </c>
      <c r="H143" s="39" t="s">
        <v>135</v>
      </c>
      <c r="I143" s="81"/>
      <c r="J143" s="82" t="str">
        <f>IF(AND(A143&lt;&gt;"",E143&lt;&gt;""),IF(I143="","⚠️ Enter Code",IF(IFERROR(VLOOKUP(H143,DB_Agents!$B:$I,8,0),"")=I143,IF(C143&gt;=E143,"Successful","Unsuccessful"),"🔒 BLOCKED — Wrong Code")),"Pending")</f>
        <v>Pending</v>
      </c>
      <c r="K143" s="83" t="str">
        <f t="shared" ca="1" si="14"/>
        <v>—</v>
      </c>
      <c r="L143" s="84"/>
    </row>
    <row r="144" spans="1:12" ht="15" customHeight="1" x14ac:dyDescent="0.25">
      <c r="A144" s="85"/>
      <c r="B144" s="41" t="str">
        <f>IF(A144="","",IFERROR(VLOOKUP(A144,DB_Customers!$A:$D,4,0),"❌ Account Not Found"))</f>
        <v/>
      </c>
      <c r="C144" s="86" t="str">
        <f>IF(A144="","",IFERROR(VLOOKUP(A144,DB_Customers!$A:$N,14,0),"❌ Acct Not Found"))</f>
        <v/>
      </c>
      <c r="D144" s="87" t="str">
        <f t="shared" ca="1" si="12"/>
        <v/>
      </c>
      <c r="E144" s="94"/>
      <c r="F144" s="41"/>
      <c r="G144" s="96" t="str">
        <f t="shared" si="13"/>
        <v/>
      </c>
      <c r="H144" s="43" t="s">
        <v>135</v>
      </c>
      <c r="I144" s="81"/>
      <c r="J144" s="89" t="str">
        <f>IF(AND(A144&lt;&gt;"",E144&lt;&gt;""),IF(I144="","⚠️ Enter Code",IF(IFERROR(VLOOKUP(H144,DB_Agents!$B:$I,8,0),"")=I144,IF(C144&gt;=E144,"Successful","Unsuccessful"),"🔒 BLOCKED — Wrong Code")),"Pending")</f>
        <v>Pending</v>
      </c>
      <c r="K144" s="90" t="str">
        <f t="shared" ca="1" si="14"/>
        <v>—</v>
      </c>
      <c r="L144" s="91"/>
    </row>
    <row r="145" spans="1:12" ht="15" customHeight="1" x14ac:dyDescent="0.25">
      <c r="A145" s="76"/>
      <c r="B145" s="37" t="str">
        <f>IF(A145="","",IFERROR(VLOOKUP(A145,DB_Customers!$A:$D,4,0),"❌ Account Not Found"))</f>
        <v/>
      </c>
      <c r="C145" s="77" t="str">
        <f>IF(A145="","",IFERROR(VLOOKUP(A145,DB_Customers!$A:$N,14,0),"❌ Acct Not Found"))</f>
        <v/>
      </c>
      <c r="D145" s="78" t="str">
        <f t="shared" ca="1" si="12"/>
        <v/>
      </c>
      <c r="E145" s="94"/>
      <c r="F145" s="37"/>
      <c r="G145" s="95" t="str">
        <f t="shared" si="13"/>
        <v/>
      </c>
      <c r="H145" s="39" t="s">
        <v>135</v>
      </c>
      <c r="I145" s="81"/>
      <c r="J145" s="82" t="str">
        <f>IF(AND(A145&lt;&gt;"",E145&lt;&gt;""),IF(I145="","⚠️ Enter Code",IF(IFERROR(VLOOKUP(H145,DB_Agents!$B:$I,8,0),"")=I145,IF(C145&gt;=E145,"Successful","Unsuccessful"),"🔒 BLOCKED — Wrong Code")),"Pending")</f>
        <v>Pending</v>
      </c>
      <c r="K145" s="83" t="str">
        <f t="shared" ca="1" si="14"/>
        <v>—</v>
      </c>
      <c r="L145" s="84"/>
    </row>
    <row r="146" spans="1:12" ht="15" customHeight="1" x14ac:dyDescent="0.25">
      <c r="A146" s="85"/>
      <c r="B146" s="41" t="str">
        <f>IF(A146="","",IFERROR(VLOOKUP(A146,DB_Customers!$A:$D,4,0),"❌ Account Not Found"))</f>
        <v/>
      </c>
      <c r="C146" s="86" t="str">
        <f>IF(A146="","",IFERROR(VLOOKUP(A146,DB_Customers!$A:$N,14,0),"❌ Acct Not Found"))</f>
        <v/>
      </c>
      <c r="D146" s="87" t="str">
        <f t="shared" ca="1" si="12"/>
        <v/>
      </c>
      <c r="E146" s="94"/>
      <c r="F146" s="41"/>
      <c r="G146" s="96" t="str">
        <f t="shared" si="13"/>
        <v/>
      </c>
      <c r="H146" s="43" t="s">
        <v>135</v>
      </c>
      <c r="I146" s="81"/>
      <c r="J146" s="89" t="str">
        <f>IF(AND(A146&lt;&gt;"",E146&lt;&gt;""),IF(I146="","⚠️ Enter Code",IF(IFERROR(VLOOKUP(H146,DB_Agents!$B:$I,8,0),"")=I146,IF(C146&gt;=E146,"Successful","Unsuccessful"),"🔒 BLOCKED — Wrong Code")),"Pending")</f>
        <v>Pending</v>
      </c>
      <c r="K146" s="90" t="str">
        <f t="shared" ca="1" si="14"/>
        <v>—</v>
      </c>
      <c r="L146" s="91"/>
    </row>
    <row r="147" spans="1:12" ht="15" customHeight="1" x14ac:dyDescent="0.25">
      <c r="A147" s="76"/>
      <c r="B147" s="37" t="str">
        <f>IF(A147="","",IFERROR(VLOOKUP(A147,DB_Customers!$A:$D,4,0),"❌ Account Not Found"))</f>
        <v/>
      </c>
      <c r="C147" s="77" t="str">
        <f>IF(A147="","",IFERROR(VLOOKUP(A147,DB_Customers!$A:$N,14,0),"❌ Acct Not Found"))</f>
        <v/>
      </c>
      <c r="D147" s="78" t="str">
        <f t="shared" ca="1" si="12"/>
        <v/>
      </c>
      <c r="E147" s="94"/>
      <c r="F147" s="37"/>
      <c r="G147" s="95" t="str">
        <f t="shared" si="13"/>
        <v/>
      </c>
      <c r="H147" s="39" t="s">
        <v>135</v>
      </c>
      <c r="I147" s="81"/>
      <c r="J147" s="82" t="str">
        <f>IF(AND(A147&lt;&gt;"",E147&lt;&gt;""),IF(I147="","⚠️ Enter Code",IF(IFERROR(VLOOKUP(H147,DB_Agents!$B:$I,8,0),"")=I147,IF(C147&gt;=E147,"Successful","Unsuccessful"),"🔒 BLOCKED — Wrong Code")),"Pending")</f>
        <v>Pending</v>
      </c>
      <c r="K147" s="83" t="str">
        <f t="shared" ca="1" si="14"/>
        <v>—</v>
      </c>
      <c r="L147" s="84"/>
    </row>
    <row r="148" spans="1:12" ht="15" customHeight="1" x14ac:dyDescent="0.25">
      <c r="A148" s="85"/>
      <c r="B148" s="41" t="str">
        <f>IF(A148="","",IFERROR(VLOOKUP(A148,DB_Customers!$A:$D,4,0),"❌ Account Not Found"))</f>
        <v/>
      </c>
      <c r="C148" s="86" t="str">
        <f>IF(A148="","",IFERROR(VLOOKUP(A148,DB_Customers!$A:$N,14,0),"❌ Acct Not Found"))</f>
        <v/>
      </c>
      <c r="D148" s="87" t="str">
        <f t="shared" ca="1" si="12"/>
        <v/>
      </c>
      <c r="E148" s="94"/>
      <c r="F148" s="41"/>
      <c r="G148" s="96" t="str">
        <f t="shared" si="13"/>
        <v/>
      </c>
      <c r="H148" s="43" t="s">
        <v>135</v>
      </c>
      <c r="I148" s="81"/>
      <c r="J148" s="89" t="str">
        <f>IF(AND(A148&lt;&gt;"",E148&lt;&gt;""),IF(I148="","⚠️ Enter Code",IF(IFERROR(VLOOKUP(H148,DB_Agents!$B:$I,8,0),"")=I148,IF(C148&gt;=E148,"Successful","Unsuccessful"),"🔒 BLOCKED — Wrong Code")),"Pending")</f>
        <v>Pending</v>
      </c>
      <c r="K148" s="90" t="str">
        <f t="shared" ca="1" si="14"/>
        <v>—</v>
      </c>
      <c r="L148" s="91"/>
    </row>
    <row r="149" spans="1:12" ht="15" customHeight="1" x14ac:dyDescent="0.25">
      <c r="A149" s="76"/>
      <c r="B149" s="37" t="str">
        <f>IF(A149="","",IFERROR(VLOOKUP(A149,DB_Customers!$A:$D,4,0),"❌ Account Not Found"))</f>
        <v/>
      </c>
      <c r="C149" s="77" t="str">
        <f>IF(A149="","",IFERROR(VLOOKUP(A149,DB_Customers!$A:$N,14,0),"❌ Acct Not Found"))</f>
        <v/>
      </c>
      <c r="D149" s="78" t="str">
        <f t="shared" ca="1" si="12"/>
        <v/>
      </c>
      <c r="E149" s="94"/>
      <c r="F149" s="37"/>
      <c r="G149" s="95" t="str">
        <f t="shared" si="13"/>
        <v/>
      </c>
      <c r="H149" s="39" t="s">
        <v>135</v>
      </c>
      <c r="I149" s="81"/>
      <c r="J149" s="82" t="str">
        <f>IF(AND(A149&lt;&gt;"",E149&lt;&gt;""),IF(I149="","⚠️ Enter Code",IF(IFERROR(VLOOKUP(H149,DB_Agents!$B:$I,8,0),"")=I149,IF(C149&gt;=E149,"Successful","Unsuccessful"),"🔒 BLOCKED — Wrong Code")),"Pending")</f>
        <v>Pending</v>
      </c>
      <c r="K149" s="83" t="str">
        <f t="shared" ca="1" si="14"/>
        <v>—</v>
      </c>
      <c r="L149" s="84"/>
    </row>
    <row r="150" spans="1:12" ht="15" customHeight="1" x14ac:dyDescent="0.25">
      <c r="A150" s="85"/>
      <c r="B150" s="41" t="str">
        <f>IF(A150="","",IFERROR(VLOOKUP(A150,DB_Customers!$A:$D,4,0),"❌ Account Not Found"))</f>
        <v/>
      </c>
      <c r="C150" s="86" t="str">
        <f>IF(A150="","",IFERROR(VLOOKUP(A150,DB_Customers!$A:$N,14,0),"❌ Acct Not Found"))</f>
        <v/>
      </c>
      <c r="D150" s="87" t="str">
        <f t="shared" ca="1" si="12"/>
        <v/>
      </c>
      <c r="E150" s="94"/>
      <c r="F150" s="41"/>
      <c r="G150" s="96" t="str">
        <f t="shared" si="13"/>
        <v/>
      </c>
      <c r="H150" s="43" t="s">
        <v>135</v>
      </c>
      <c r="I150" s="81"/>
      <c r="J150" s="89" t="str">
        <f>IF(AND(A150&lt;&gt;"",E150&lt;&gt;""),IF(I150="","⚠️ Enter Code",IF(IFERROR(VLOOKUP(H150,DB_Agents!$B:$I,8,0),"")=I150,IF(C150&gt;=E150,"Successful","Unsuccessful"),"🔒 BLOCKED — Wrong Code")),"Pending")</f>
        <v>Pending</v>
      </c>
      <c r="K150" s="90" t="str">
        <f t="shared" ca="1" si="14"/>
        <v>—</v>
      </c>
      <c r="L150" s="91"/>
    </row>
    <row r="151" spans="1:12" ht="15" customHeight="1" x14ac:dyDescent="0.25">
      <c r="A151" s="76"/>
      <c r="B151" s="37" t="str">
        <f>IF(A151="","",IFERROR(VLOOKUP(A151,DB_Customers!$A:$D,4,0),"❌ Account Not Found"))</f>
        <v/>
      </c>
      <c r="C151" s="77" t="str">
        <f>IF(A151="","",IFERROR(VLOOKUP(A151,DB_Customers!$A:$N,14,0),"❌ Acct Not Found"))</f>
        <v/>
      </c>
      <c r="D151" s="78" t="str">
        <f t="shared" ca="1" si="12"/>
        <v/>
      </c>
      <c r="E151" s="94"/>
      <c r="F151" s="37"/>
      <c r="G151" s="95" t="str">
        <f t="shared" si="13"/>
        <v/>
      </c>
      <c r="H151" s="39" t="s">
        <v>135</v>
      </c>
      <c r="I151" s="81"/>
      <c r="J151" s="82" t="str">
        <f>IF(AND(A151&lt;&gt;"",E151&lt;&gt;""),IF(I151="","⚠️ Enter Code",IF(IFERROR(VLOOKUP(H151,DB_Agents!$B:$I,8,0),"")=I151,IF(C151&gt;=E151,"Successful","Unsuccessful"),"🔒 BLOCKED — Wrong Code")),"Pending")</f>
        <v>Pending</v>
      </c>
      <c r="K151" s="83" t="str">
        <f t="shared" ca="1" si="14"/>
        <v>—</v>
      </c>
      <c r="L151" s="84"/>
    </row>
    <row r="152" spans="1:12" ht="15" customHeight="1" x14ac:dyDescent="0.25">
      <c r="A152" s="85"/>
      <c r="B152" s="41" t="str">
        <f>IF(A152="","",IFERROR(VLOOKUP(A152,DB_Customers!$A:$D,4,0),"❌ Account Not Found"))</f>
        <v/>
      </c>
      <c r="C152" s="86" t="str">
        <f>IF(A152="","",IFERROR(VLOOKUP(A152,DB_Customers!$A:$N,14,0),"❌ Acct Not Found"))</f>
        <v/>
      </c>
      <c r="D152" s="87" t="str">
        <f t="shared" ca="1" si="12"/>
        <v/>
      </c>
      <c r="E152" s="94"/>
      <c r="F152" s="41"/>
      <c r="G152" s="96" t="str">
        <f t="shared" si="13"/>
        <v/>
      </c>
      <c r="H152" s="43" t="s">
        <v>135</v>
      </c>
      <c r="I152" s="81"/>
      <c r="J152" s="89" t="str">
        <f>IF(AND(A152&lt;&gt;"",E152&lt;&gt;""),IF(I152="","⚠️ Enter Code",IF(IFERROR(VLOOKUP(H152,DB_Agents!$B:$I,8,0),"")=I152,IF(C152&gt;=E152,"Successful","Unsuccessful"),"🔒 BLOCKED — Wrong Code")),"Pending")</f>
        <v>Pending</v>
      </c>
      <c r="K152" s="90" t="str">
        <f t="shared" ca="1" si="14"/>
        <v>—</v>
      </c>
      <c r="L152" s="91"/>
    </row>
    <row r="153" spans="1:12" ht="15" customHeight="1" x14ac:dyDescent="0.25">
      <c r="A153" s="76"/>
      <c r="B153" s="37" t="str">
        <f>IF(A153="","",IFERROR(VLOOKUP(A153,DB_Customers!$A:$D,4,0),"❌ Account Not Found"))</f>
        <v/>
      </c>
      <c r="C153" s="77" t="str">
        <f>IF(A153="","",IFERROR(VLOOKUP(A153,DB_Customers!$A:$N,14,0),"❌ Acct Not Found"))</f>
        <v/>
      </c>
      <c r="D153" s="78" t="str">
        <f t="shared" ca="1" si="12"/>
        <v/>
      </c>
      <c r="E153" s="94"/>
      <c r="F153" s="37"/>
      <c r="G153" s="95" t="str">
        <f t="shared" si="13"/>
        <v/>
      </c>
      <c r="H153" s="39" t="s">
        <v>135</v>
      </c>
      <c r="I153" s="81"/>
      <c r="J153" s="82" t="str">
        <f>IF(AND(A153&lt;&gt;"",E153&lt;&gt;""),IF(I153="","⚠️ Enter Code",IF(IFERROR(VLOOKUP(H153,DB_Agents!$B:$I,8,0),"")=I153,IF(C153&gt;=E153,"Successful","Unsuccessful"),"🔒 BLOCKED — Wrong Code")),"Pending")</f>
        <v>Pending</v>
      </c>
      <c r="K153" s="83" t="str">
        <f t="shared" ca="1" si="14"/>
        <v>—</v>
      </c>
      <c r="L153" s="84"/>
    </row>
    <row r="154" spans="1:12" ht="15" customHeight="1" x14ac:dyDescent="0.25">
      <c r="A154" s="85"/>
      <c r="B154" s="41" t="str">
        <f>IF(A154="","",IFERROR(VLOOKUP(A154,DB_Customers!$A:$D,4,0),"❌ Account Not Found"))</f>
        <v/>
      </c>
      <c r="C154" s="86" t="str">
        <f>IF(A154="","",IFERROR(VLOOKUP(A154,DB_Customers!$A:$N,14,0),"❌ Acct Not Found"))</f>
        <v/>
      </c>
      <c r="D154" s="87" t="str">
        <f t="shared" ca="1" si="12"/>
        <v/>
      </c>
      <c r="E154" s="94"/>
      <c r="F154" s="41"/>
      <c r="G154" s="96" t="str">
        <f t="shared" si="13"/>
        <v/>
      </c>
      <c r="H154" s="43" t="s">
        <v>135</v>
      </c>
      <c r="I154" s="81"/>
      <c r="J154" s="89" t="str">
        <f>IF(AND(A154&lt;&gt;"",E154&lt;&gt;""),IF(I154="","⚠️ Enter Code",IF(IFERROR(VLOOKUP(H154,DB_Agents!$B:$I,8,0),"")=I154,IF(C154&gt;=E154,"Successful","Unsuccessful"),"🔒 BLOCKED — Wrong Code")),"Pending")</f>
        <v>Pending</v>
      </c>
      <c r="K154" s="90" t="str">
        <f t="shared" ca="1" si="14"/>
        <v>—</v>
      </c>
      <c r="L154" s="91"/>
    </row>
    <row r="155" spans="1:12" ht="15" customHeight="1" x14ac:dyDescent="0.25">
      <c r="A155" s="76"/>
      <c r="B155" s="37" t="str">
        <f>IF(A155="","",IFERROR(VLOOKUP(A155,DB_Customers!$A:$D,4,0),"❌ Account Not Found"))</f>
        <v/>
      </c>
      <c r="C155" s="77" t="str">
        <f>IF(A155="","",IFERROR(VLOOKUP(A155,DB_Customers!$A:$N,14,0),"❌ Acct Not Found"))</f>
        <v/>
      </c>
      <c r="D155" s="78" t="str">
        <f t="shared" ca="1" si="12"/>
        <v/>
      </c>
      <c r="E155" s="94"/>
      <c r="F155" s="37"/>
      <c r="G155" s="95" t="str">
        <f t="shared" si="13"/>
        <v/>
      </c>
      <c r="H155" s="39" t="s">
        <v>135</v>
      </c>
      <c r="I155" s="81"/>
      <c r="J155" s="82" t="str">
        <f>IF(AND(A155&lt;&gt;"",E155&lt;&gt;""),IF(I155="","⚠️ Enter Code",IF(IFERROR(VLOOKUP(H155,DB_Agents!$B:$I,8,0),"")=I155,IF(C155&gt;=E155,"Successful","Unsuccessful"),"🔒 BLOCKED — Wrong Code")),"Pending")</f>
        <v>Pending</v>
      </c>
      <c r="K155" s="83" t="str">
        <f t="shared" ca="1" si="14"/>
        <v>—</v>
      </c>
      <c r="L155" s="84"/>
    </row>
    <row r="156" spans="1:12" ht="15" customHeight="1" x14ac:dyDescent="0.25">
      <c r="A156" s="85"/>
      <c r="B156" s="41" t="str">
        <f>IF(A156="","",IFERROR(VLOOKUP(A156,DB_Customers!$A:$D,4,0),"❌ Account Not Found"))</f>
        <v/>
      </c>
      <c r="C156" s="86" t="str">
        <f>IF(A156="","",IFERROR(VLOOKUP(A156,DB_Customers!$A:$N,14,0),"❌ Acct Not Found"))</f>
        <v/>
      </c>
      <c r="D156" s="87" t="str">
        <f t="shared" ca="1" si="12"/>
        <v/>
      </c>
      <c r="E156" s="94"/>
      <c r="F156" s="41"/>
      <c r="G156" s="96" t="str">
        <f t="shared" si="13"/>
        <v/>
      </c>
      <c r="H156" s="43" t="s">
        <v>135</v>
      </c>
      <c r="I156" s="81"/>
      <c r="J156" s="89" t="str">
        <f>IF(AND(A156&lt;&gt;"",E156&lt;&gt;""),IF(I156="","⚠️ Enter Code",IF(IFERROR(VLOOKUP(H156,DB_Agents!$B:$I,8,0),"")=I156,IF(C156&gt;=E156,"Successful","Unsuccessful"),"🔒 BLOCKED — Wrong Code")),"Pending")</f>
        <v>Pending</v>
      </c>
      <c r="K156" s="90" t="str">
        <f t="shared" ca="1" si="14"/>
        <v>—</v>
      </c>
      <c r="L156" s="91"/>
    </row>
    <row r="157" spans="1:12" ht="15" customHeight="1" x14ac:dyDescent="0.25">
      <c r="A157" s="76"/>
      <c r="B157" s="37" t="str">
        <f>IF(A157="","",IFERROR(VLOOKUP(A157,DB_Customers!$A:$D,4,0),"❌ Account Not Found"))</f>
        <v/>
      </c>
      <c r="C157" s="77" t="str">
        <f>IF(A157="","",IFERROR(VLOOKUP(A157,DB_Customers!$A:$N,14,0),"❌ Acct Not Found"))</f>
        <v/>
      </c>
      <c r="D157" s="78" t="str">
        <f t="shared" ca="1" si="12"/>
        <v/>
      </c>
      <c r="E157" s="94"/>
      <c r="F157" s="37"/>
      <c r="G157" s="95" t="str">
        <f t="shared" si="13"/>
        <v/>
      </c>
      <c r="H157" s="39" t="s">
        <v>135</v>
      </c>
      <c r="I157" s="81"/>
      <c r="J157" s="82" t="str">
        <f>IF(AND(A157&lt;&gt;"",E157&lt;&gt;""),IF(I157="","⚠️ Enter Code",IF(IFERROR(VLOOKUP(H157,DB_Agents!$B:$I,8,0),"")=I157,IF(C157&gt;=E157,"Successful","Unsuccessful"),"🔒 BLOCKED — Wrong Code")),"Pending")</f>
        <v>Pending</v>
      </c>
      <c r="K157" s="83" t="str">
        <f t="shared" ca="1" si="14"/>
        <v>—</v>
      </c>
      <c r="L157" s="84"/>
    </row>
    <row r="158" spans="1:12" ht="15" customHeight="1" x14ac:dyDescent="0.25">
      <c r="A158" s="85"/>
      <c r="B158" s="41" t="str">
        <f>IF(A158="","",IFERROR(VLOOKUP(A158,DB_Customers!$A:$D,4,0),"❌ Account Not Found"))</f>
        <v/>
      </c>
      <c r="C158" s="86" t="str">
        <f>IF(A158="","",IFERROR(VLOOKUP(A158,DB_Customers!$A:$N,14,0),"❌ Acct Not Found"))</f>
        <v/>
      </c>
      <c r="D158" s="87" t="str">
        <f t="shared" ca="1" si="12"/>
        <v/>
      </c>
      <c r="E158" s="94"/>
      <c r="F158" s="41"/>
      <c r="G158" s="96" t="str">
        <f t="shared" si="13"/>
        <v/>
      </c>
      <c r="H158" s="43" t="s">
        <v>135</v>
      </c>
      <c r="I158" s="81"/>
      <c r="J158" s="89" t="str">
        <f>IF(AND(A158&lt;&gt;"",E158&lt;&gt;""),IF(I158="","⚠️ Enter Code",IF(IFERROR(VLOOKUP(H158,DB_Agents!$B:$I,8,0),"")=I158,IF(C158&gt;=E158,"Successful","Unsuccessful"),"🔒 BLOCKED — Wrong Code")),"Pending")</f>
        <v>Pending</v>
      </c>
      <c r="K158" s="90" t="str">
        <f t="shared" ca="1" si="14"/>
        <v>—</v>
      </c>
      <c r="L158" s="91"/>
    </row>
    <row r="159" spans="1:12" ht="15" customHeight="1" x14ac:dyDescent="0.25">
      <c r="A159" s="76"/>
      <c r="B159" s="37" t="str">
        <f>IF(A159="","",IFERROR(VLOOKUP(A159,DB_Customers!$A:$D,4,0),"❌ Account Not Found"))</f>
        <v/>
      </c>
      <c r="C159" s="77" t="str">
        <f>IF(A159="","",IFERROR(VLOOKUP(A159,DB_Customers!$A:$N,14,0),"❌ Acct Not Found"))</f>
        <v/>
      </c>
      <c r="D159" s="78" t="str">
        <f t="shared" ca="1" si="12"/>
        <v/>
      </c>
      <c r="E159" s="94"/>
      <c r="F159" s="37"/>
      <c r="G159" s="95" t="str">
        <f t="shared" si="13"/>
        <v/>
      </c>
      <c r="H159" s="39" t="s">
        <v>135</v>
      </c>
      <c r="I159" s="81"/>
      <c r="J159" s="82" t="str">
        <f>IF(AND(A159&lt;&gt;"",E159&lt;&gt;""),IF(I159="","⚠️ Enter Code",IF(IFERROR(VLOOKUP(H159,DB_Agents!$B:$I,8,0),"")=I159,IF(C159&gt;=E159,"Successful","Unsuccessful"),"🔒 BLOCKED — Wrong Code")),"Pending")</f>
        <v>Pending</v>
      </c>
      <c r="K159" s="83" t="str">
        <f t="shared" ca="1" si="14"/>
        <v>—</v>
      </c>
      <c r="L159" s="84"/>
    </row>
    <row r="160" spans="1:12" ht="15" customHeight="1" x14ac:dyDescent="0.25">
      <c r="A160" s="85"/>
      <c r="B160" s="41" t="str">
        <f>IF(A160="","",IFERROR(VLOOKUP(A160,DB_Customers!$A:$D,4,0),"❌ Account Not Found"))</f>
        <v/>
      </c>
      <c r="C160" s="86" t="str">
        <f>IF(A160="","",IFERROR(VLOOKUP(A160,DB_Customers!$A:$N,14,0),"❌ Acct Not Found"))</f>
        <v/>
      </c>
      <c r="D160" s="87" t="str">
        <f t="shared" ca="1" si="12"/>
        <v/>
      </c>
      <c r="E160" s="94"/>
      <c r="F160" s="41"/>
      <c r="G160" s="96" t="str">
        <f t="shared" si="13"/>
        <v/>
      </c>
      <c r="H160" s="43" t="s">
        <v>135</v>
      </c>
      <c r="I160" s="81"/>
      <c r="J160" s="89" t="str">
        <f>IF(AND(A160&lt;&gt;"",E160&lt;&gt;""),IF(I160="","⚠️ Enter Code",IF(IFERROR(VLOOKUP(H160,DB_Agents!$B:$I,8,0),"")=I160,IF(C160&gt;=E160,"Successful","Unsuccessful"),"🔒 BLOCKED — Wrong Code")),"Pending")</f>
        <v>Pending</v>
      </c>
      <c r="K160" s="90" t="str">
        <f t="shared" ca="1" si="14"/>
        <v>—</v>
      </c>
      <c r="L160" s="91"/>
    </row>
    <row r="161" spans="1:12" ht="15" customHeight="1" x14ac:dyDescent="0.25">
      <c r="A161" s="76"/>
      <c r="B161" s="37" t="str">
        <f>IF(A161="","",IFERROR(VLOOKUP(A161,DB_Customers!$A:$D,4,0),"❌ Account Not Found"))</f>
        <v/>
      </c>
      <c r="C161" s="77" t="str">
        <f>IF(A161="","",IFERROR(VLOOKUP(A161,DB_Customers!$A:$N,14,0),"❌ Acct Not Found"))</f>
        <v/>
      </c>
      <c r="D161" s="78" t="str">
        <f t="shared" ca="1" si="12"/>
        <v/>
      </c>
      <c r="E161" s="94"/>
      <c r="F161" s="37"/>
      <c r="G161" s="95" t="str">
        <f t="shared" si="13"/>
        <v/>
      </c>
      <c r="H161" s="39" t="s">
        <v>135</v>
      </c>
      <c r="I161" s="81"/>
      <c r="J161" s="82" t="str">
        <f>IF(AND(A161&lt;&gt;"",E161&lt;&gt;""),IF(I161="","⚠️ Enter Code",IF(IFERROR(VLOOKUP(H161,DB_Agents!$B:$I,8,0),"")=I161,IF(C161&gt;=E161,"Successful","Unsuccessful"),"🔒 BLOCKED — Wrong Code")),"Pending")</f>
        <v>Pending</v>
      </c>
      <c r="K161" s="83" t="str">
        <f t="shared" ca="1" si="14"/>
        <v>—</v>
      </c>
      <c r="L161" s="84"/>
    </row>
    <row r="162" spans="1:12" ht="15" customHeight="1" x14ac:dyDescent="0.25">
      <c r="A162" s="85"/>
      <c r="B162" s="41" t="str">
        <f>IF(A162="","",IFERROR(VLOOKUP(A162,DB_Customers!$A:$D,4,0),"❌ Account Not Found"))</f>
        <v/>
      </c>
      <c r="C162" s="86" t="str">
        <f>IF(A162="","",IFERROR(VLOOKUP(A162,DB_Customers!$A:$N,14,0),"❌ Acct Not Found"))</f>
        <v/>
      </c>
      <c r="D162" s="87" t="str">
        <f t="shared" ca="1" si="12"/>
        <v/>
      </c>
      <c r="E162" s="94"/>
      <c r="F162" s="41"/>
      <c r="G162" s="96" t="str">
        <f t="shared" si="13"/>
        <v/>
      </c>
      <c r="H162" s="43" t="s">
        <v>135</v>
      </c>
      <c r="I162" s="81"/>
      <c r="J162" s="89" t="str">
        <f>IF(AND(A162&lt;&gt;"",E162&lt;&gt;""),IF(I162="","⚠️ Enter Code",IF(IFERROR(VLOOKUP(H162,DB_Agents!$B:$I,8,0),"")=I162,IF(C162&gt;=E162,"Successful","Unsuccessful"),"🔒 BLOCKED — Wrong Code")),"Pending")</f>
        <v>Pending</v>
      </c>
      <c r="K162" s="90" t="str">
        <f t="shared" ca="1" si="14"/>
        <v>—</v>
      </c>
      <c r="L162" s="91"/>
    </row>
    <row r="163" spans="1:12" ht="15" customHeight="1" x14ac:dyDescent="0.25">
      <c r="A163" s="76"/>
      <c r="B163" s="37" t="str">
        <f>IF(A163="","",IFERROR(VLOOKUP(A163,DB_Customers!$A:$D,4,0),"❌ Account Not Found"))</f>
        <v/>
      </c>
      <c r="C163" s="77" t="str">
        <f>IF(A163="","",IFERROR(VLOOKUP(A163,DB_Customers!$A:$N,14,0),"❌ Acct Not Found"))</f>
        <v/>
      </c>
      <c r="D163" s="78" t="str">
        <f t="shared" ca="1" si="12"/>
        <v/>
      </c>
      <c r="E163" s="94"/>
      <c r="F163" s="37"/>
      <c r="G163" s="95" t="str">
        <f t="shared" si="13"/>
        <v/>
      </c>
      <c r="H163" s="39" t="s">
        <v>135</v>
      </c>
      <c r="I163" s="81"/>
      <c r="J163" s="82" t="str">
        <f>IF(AND(A163&lt;&gt;"",E163&lt;&gt;""),IF(I163="","⚠️ Enter Code",IF(IFERROR(VLOOKUP(H163,DB_Agents!$B:$I,8,0),"")=I163,IF(C163&gt;=E163,"Successful","Unsuccessful"),"🔒 BLOCKED — Wrong Code")),"Pending")</f>
        <v>Pending</v>
      </c>
      <c r="K163" s="83" t="str">
        <f t="shared" ca="1" si="14"/>
        <v>—</v>
      </c>
      <c r="L163" s="84"/>
    </row>
    <row r="164" spans="1:12" ht="15" customHeight="1" x14ac:dyDescent="0.25">
      <c r="A164" s="85"/>
      <c r="B164" s="41" t="str">
        <f>IF(A164="","",IFERROR(VLOOKUP(A164,DB_Customers!$A:$D,4,0),"❌ Account Not Found"))</f>
        <v/>
      </c>
      <c r="C164" s="86" t="str">
        <f>IF(A164="","",IFERROR(VLOOKUP(A164,DB_Customers!$A:$N,14,0),"❌ Acct Not Found"))</f>
        <v/>
      </c>
      <c r="D164" s="87" t="str">
        <f t="shared" ca="1" si="12"/>
        <v/>
      </c>
      <c r="E164" s="94"/>
      <c r="F164" s="41"/>
      <c r="G164" s="96" t="str">
        <f t="shared" si="13"/>
        <v/>
      </c>
      <c r="H164" s="43" t="s">
        <v>135</v>
      </c>
      <c r="I164" s="81"/>
      <c r="J164" s="89" t="str">
        <f>IF(AND(A164&lt;&gt;"",E164&lt;&gt;""),IF(I164="","⚠️ Enter Code",IF(IFERROR(VLOOKUP(H164,DB_Agents!$B:$I,8,0),"")=I164,IF(C164&gt;=E164,"Successful","Unsuccessful"),"🔒 BLOCKED — Wrong Code")),"Pending")</f>
        <v>Pending</v>
      </c>
      <c r="K164" s="90" t="str">
        <f t="shared" ca="1" si="14"/>
        <v>—</v>
      </c>
      <c r="L164" s="91"/>
    </row>
    <row r="165" spans="1:12" ht="15" customHeight="1" x14ac:dyDescent="0.25">
      <c r="A165" s="76"/>
      <c r="B165" s="37" t="str">
        <f>IF(A165="","",IFERROR(VLOOKUP(A165,DB_Customers!$A:$D,4,0),"❌ Account Not Found"))</f>
        <v/>
      </c>
      <c r="C165" s="77" t="str">
        <f>IF(A165="","",IFERROR(VLOOKUP(A165,DB_Customers!$A:$N,14,0),"❌ Acct Not Found"))</f>
        <v/>
      </c>
      <c r="D165" s="78" t="str">
        <f t="shared" ca="1" si="12"/>
        <v/>
      </c>
      <c r="E165" s="94"/>
      <c r="F165" s="37"/>
      <c r="G165" s="95" t="str">
        <f t="shared" si="13"/>
        <v/>
      </c>
      <c r="H165" s="39" t="s">
        <v>135</v>
      </c>
      <c r="I165" s="81"/>
      <c r="J165" s="82" t="str">
        <f>IF(AND(A165&lt;&gt;"",E165&lt;&gt;""),IF(I165="","⚠️ Enter Code",IF(IFERROR(VLOOKUP(H165,DB_Agents!$B:$I,8,0),"")=I165,IF(C165&gt;=E165,"Successful","Unsuccessful"),"🔒 BLOCKED — Wrong Code")),"Pending")</f>
        <v>Pending</v>
      </c>
      <c r="K165" s="83" t="str">
        <f t="shared" ca="1" si="14"/>
        <v>—</v>
      </c>
      <c r="L165" s="84"/>
    </row>
    <row r="166" spans="1:12" ht="15" customHeight="1" x14ac:dyDescent="0.25">
      <c r="A166" s="85"/>
      <c r="B166" s="41" t="str">
        <f>IF(A166="","",IFERROR(VLOOKUP(A166,DB_Customers!$A:$D,4,0),"❌ Account Not Found"))</f>
        <v/>
      </c>
      <c r="C166" s="86" t="str">
        <f>IF(A166="","",IFERROR(VLOOKUP(A166,DB_Customers!$A:$N,14,0),"❌ Acct Not Found"))</f>
        <v/>
      </c>
      <c r="D166" s="87" t="str">
        <f t="shared" ca="1" si="12"/>
        <v/>
      </c>
      <c r="E166" s="94"/>
      <c r="F166" s="41"/>
      <c r="G166" s="96" t="str">
        <f t="shared" si="13"/>
        <v/>
      </c>
      <c r="H166" s="43" t="s">
        <v>135</v>
      </c>
      <c r="I166" s="81"/>
      <c r="J166" s="89" t="str">
        <f>IF(AND(A166&lt;&gt;"",E166&lt;&gt;""),IF(I166="","⚠️ Enter Code",IF(IFERROR(VLOOKUP(H166,DB_Agents!$B:$I,8,0),"")=I166,IF(C166&gt;=E166,"Successful","Unsuccessful"),"🔒 BLOCKED — Wrong Code")),"Pending")</f>
        <v>Pending</v>
      </c>
      <c r="K166" s="90" t="str">
        <f t="shared" ca="1" si="14"/>
        <v>—</v>
      </c>
      <c r="L166" s="91"/>
    </row>
    <row r="167" spans="1:12" ht="15" customHeight="1" x14ac:dyDescent="0.25">
      <c r="A167" s="76"/>
      <c r="B167" s="37" t="str">
        <f>IF(A167="","",IFERROR(VLOOKUP(A167,DB_Customers!$A:$D,4,0),"❌ Account Not Found"))</f>
        <v/>
      </c>
      <c r="C167" s="77" t="str">
        <f>IF(A167="","",IFERROR(VLOOKUP(A167,DB_Customers!$A:$N,14,0),"❌ Acct Not Found"))</f>
        <v/>
      </c>
      <c r="D167" s="78" t="str">
        <f t="shared" ca="1" si="12"/>
        <v/>
      </c>
      <c r="E167" s="94"/>
      <c r="F167" s="37"/>
      <c r="G167" s="95" t="str">
        <f t="shared" si="13"/>
        <v/>
      </c>
      <c r="H167" s="39" t="s">
        <v>135</v>
      </c>
      <c r="I167" s="81"/>
      <c r="J167" s="82" t="str">
        <f>IF(AND(A167&lt;&gt;"",E167&lt;&gt;""),IF(I167="","⚠️ Enter Code",IF(IFERROR(VLOOKUP(H167,DB_Agents!$B:$I,8,0),"")=I167,IF(C167&gt;=E167,"Successful","Unsuccessful"),"🔒 BLOCKED — Wrong Code")),"Pending")</f>
        <v>Pending</v>
      </c>
      <c r="K167" s="83" t="str">
        <f t="shared" ca="1" si="14"/>
        <v>—</v>
      </c>
      <c r="L167" s="84"/>
    </row>
    <row r="168" spans="1:12" ht="15" customHeight="1" x14ac:dyDescent="0.25">
      <c r="A168" s="85"/>
      <c r="B168" s="41" t="str">
        <f>IF(A168="","",IFERROR(VLOOKUP(A168,DB_Customers!$A:$D,4,0),"❌ Account Not Found"))</f>
        <v/>
      </c>
      <c r="C168" s="86" t="str">
        <f>IF(A168="","",IFERROR(VLOOKUP(A168,DB_Customers!$A:$N,14,0),"❌ Acct Not Found"))</f>
        <v/>
      </c>
      <c r="D168" s="87" t="str">
        <f t="shared" ca="1" si="12"/>
        <v/>
      </c>
      <c r="E168" s="94"/>
      <c r="F168" s="41"/>
      <c r="G168" s="96" t="str">
        <f t="shared" si="13"/>
        <v/>
      </c>
      <c r="H168" s="43" t="s">
        <v>135</v>
      </c>
      <c r="I168" s="81"/>
      <c r="J168" s="89" t="str">
        <f>IF(AND(A168&lt;&gt;"",E168&lt;&gt;""),IF(I168="","⚠️ Enter Code",IF(IFERROR(VLOOKUP(H168,DB_Agents!$B:$I,8,0),"")=I168,IF(C168&gt;=E168,"Successful","Unsuccessful"),"🔒 BLOCKED — Wrong Code")),"Pending")</f>
        <v>Pending</v>
      </c>
      <c r="K168" s="90" t="str">
        <f t="shared" ca="1" si="14"/>
        <v>—</v>
      </c>
      <c r="L168" s="91"/>
    </row>
    <row r="169" spans="1:12" ht="15" customHeight="1" x14ac:dyDescent="0.25">
      <c r="A169" s="76"/>
      <c r="B169" s="37" t="str">
        <f>IF(A169="","",IFERROR(VLOOKUP(A169,DB_Customers!$A:$D,4,0),"❌ Account Not Found"))</f>
        <v/>
      </c>
      <c r="C169" s="77" t="str">
        <f>IF(A169="","",IFERROR(VLOOKUP(A169,DB_Customers!$A:$N,14,0),"❌ Acct Not Found"))</f>
        <v/>
      </c>
      <c r="D169" s="78" t="str">
        <f t="shared" ref="D169:D200" ca="1" si="15">IF(A169="","",TODAY())</f>
        <v/>
      </c>
      <c r="E169" s="94"/>
      <c r="F169" s="37"/>
      <c r="G169" s="95" t="str">
        <f t="shared" ref="G169:G200" si="16">IF(OR(A169="",E169=""),"",IF(C169="","",C169-E169))</f>
        <v/>
      </c>
      <c r="H169" s="39" t="s">
        <v>135</v>
      </c>
      <c r="I169" s="81"/>
      <c r="J169" s="82" t="str">
        <f>IF(AND(A169&lt;&gt;"",E169&lt;&gt;""),IF(I169="","⚠️ Enter Code",IF(IFERROR(VLOOKUP(H169,DB_Agents!$B:$I,8,0),"")=I169,IF(C169&gt;=E169,"Successful","Unsuccessful"),"🔒 BLOCKED — Wrong Code")),"Pending")</f>
        <v>Pending</v>
      </c>
      <c r="K169" s="83" t="str">
        <f t="shared" ref="K169:K200" ca="1" si="17">IF(J169="Successful",TEXT(TODAY(),"YYYY-MM-DD")&amp;" Auto","—")</f>
        <v>—</v>
      </c>
      <c r="L169" s="84"/>
    </row>
    <row r="170" spans="1:12" ht="15" customHeight="1" x14ac:dyDescent="0.25">
      <c r="A170" s="85"/>
      <c r="B170" s="41" t="str">
        <f>IF(A170="","",IFERROR(VLOOKUP(A170,DB_Customers!$A:$D,4,0),"❌ Account Not Found"))</f>
        <v/>
      </c>
      <c r="C170" s="86" t="str">
        <f>IF(A170="","",IFERROR(VLOOKUP(A170,DB_Customers!$A:$N,14,0),"❌ Acct Not Found"))</f>
        <v/>
      </c>
      <c r="D170" s="87" t="str">
        <f t="shared" ca="1" si="15"/>
        <v/>
      </c>
      <c r="E170" s="94"/>
      <c r="F170" s="41"/>
      <c r="G170" s="96" t="str">
        <f t="shared" si="16"/>
        <v/>
      </c>
      <c r="H170" s="43" t="s">
        <v>135</v>
      </c>
      <c r="I170" s="81"/>
      <c r="J170" s="89" t="str">
        <f>IF(AND(A170&lt;&gt;"",E170&lt;&gt;""),IF(I170="","⚠️ Enter Code",IF(IFERROR(VLOOKUP(H170,DB_Agents!$B:$I,8,0),"")=I170,IF(C170&gt;=E170,"Successful","Unsuccessful"),"🔒 BLOCKED — Wrong Code")),"Pending")</f>
        <v>Pending</v>
      </c>
      <c r="K170" s="90" t="str">
        <f t="shared" ca="1" si="17"/>
        <v>—</v>
      </c>
      <c r="L170" s="91"/>
    </row>
    <row r="171" spans="1:12" ht="15" customHeight="1" x14ac:dyDescent="0.25">
      <c r="A171" s="76"/>
      <c r="B171" s="37" t="str">
        <f>IF(A171="","",IFERROR(VLOOKUP(A171,DB_Customers!$A:$D,4,0),"❌ Account Not Found"))</f>
        <v/>
      </c>
      <c r="C171" s="77" t="str">
        <f>IF(A171="","",IFERROR(VLOOKUP(A171,DB_Customers!$A:$N,14,0),"❌ Acct Not Found"))</f>
        <v/>
      </c>
      <c r="D171" s="78" t="str">
        <f t="shared" ca="1" si="15"/>
        <v/>
      </c>
      <c r="E171" s="94"/>
      <c r="F171" s="37"/>
      <c r="G171" s="95" t="str">
        <f t="shared" si="16"/>
        <v/>
      </c>
      <c r="H171" s="39" t="s">
        <v>135</v>
      </c>
      <c r="I171" s="81"/>
      <c r="J171" s="82" t="str">
        <f>IF(AND(A171&lt;&gt;"",E171&lt;&gt;""),IF(I171="","⚠️ Enter Code",IF(IFERROR(VLOOKUP(H171,DB_Agents!$B:$I,8,0),"")=I171,IF(C171&gt;=E171,"Successful","Unsuccessful"),"🔒 BLOCKED — Wrong Code")),"Pending")</f>
        <v>Pending</v>
      </c>
      <c r="K171" s="83" t="str">
        <f t="shared" ca="1" si="17"/>
        <v>—</v>
      </c>
      <c r="L171" s="84"/>
    </row>
    <row r="172" spans="1:12" ht="15" customHeight="1" x14ac:dyDescent="0.25">
      <c r="A172" s="85"/>
      <c r="B172" s="41" t="str">
        <f>IF(A172="","",IFERROR(VLOOKUP(A172,DB_Customers!$A:$D,4,0),"❌ Account Not Found"))</f>
        <v/>
      </c>
      <c r="C172" s="86" t="str">
        <f>IF(A172="","",IFERROR(VLOOKUP(A172,DB_Customers!$A:$N,14,0),"❌ Acct Not Found"))</f>
        <v/>
      </c>
      <c r="D172" s="87" t="str">
        <f t="shared" ca="1" si="15"/>
        <v/>
      </c>
      <c r="E172" s="94"/>
      <c r="F172" s="41"/>
      <c r="G172" s="96" t="str">
        <f t="shared" si="16"/>
        <v/>
      </c>
      <c r="H172" s="43" t="s">
        <v>135</v>
      </c>
      <c r="I172" s="81"/>
      <c r="J172" s="89" t="str">
        <f>IF(AND(A172&lt;&gt;"",E172&lt;&gt;""),IF(I172="","⚠️ Enter Code",IF(IFERROR(VLOOKUP(H172,DB_Agents!$B:$I,8,0),"")=I172,IF(C172&gt;=E172,"Successful","Unsuccessful"),"🔒 BLOCKED — Wrong Code")),"Pending")</f>
        <v>Pending</v>
      </c>
      <c r="K172" s="90" t="str">
        <f t="shared" ca="1" si="17"/>
        <v>—</v>
      </c>
      <c r="L172" s="91"/>
    </row>
    <row r="173" spans="1:12" ht="15" customHeight="1" x14ac:dyDescent="0.25">
      <c r="A173" s="76"/>
      <c r="B173" s="37" t="str">
        <f>IF(A173="","",IFERROR(VLOOKUP(A173,DB_Customers!$A:$D,4,0),"❌ Account Not Found"))</f>
        <v/>
      </c>
      <c r="C173" s="77" t="str">
        <f>IF(A173="","",IFERROR(VLOOKUP(A173,DB_Customers!$A:$N,14,0),"❌ Acct Not Found"))</f>
        <v/>
      </c>
      <c r="D173" s="78" t="str">
        <f t="shared" ca="1" si="15"/>
        <v/>
      </c>
      <c r="E173" s="94"/>
      <c r="F173" s="37"/>
      <c r="G173" s="95" t="str">
        <f t="shared" si="16"/>
        <v/>
      </c>
      <c r="H173" s="39" t="s">
        <v>135</v>
      </c>
      <c r="I173" s="81"/>
      <c r="J173" s="82" t="str">
        <f>IF(AND(A173&lt;&gt;"",E173&lt;&gt;""),IF(I173="","⚠️ Enter Code",IF(IFERROR(VLOOKUP(H173,DB_Agents!$B:$I,8,0),"")=I173,IF(C173&gt;=E173,"Successful","Unsuccessful"),"🔒 BLOCKED — Wrong Code")),"Pending")</f>
        <v>Pending</v>
      </c>
      <c r="K173" s="83" t="str">
        <f t="shared" ca="1" si="17"/>
        <v>—</v>
      </c>
      <c r="L173" s="84"/>
    </row>
    <row r="174" spans="1:12" ht="15" customHeight="1" x14ac:dyDescent="0.25">
      <c r="A174" s="85"/>
      <c r="B174" s="41" t="str">
        <f>IF(A174="","",IFERROR(VLOOKUP(A174,DB_Customers!$A:$D,4,0),"❌ Account Not Found"))</f>
        <v/>
      </c>
      <c r="C174" s="86" t="str">
        <f>IF(A174="","",IFERROR(VLOOKUP(A174,DB_Customers!$A:$N,14,0),"❌ Acct Not Found"))</f>
        <v/>
      </c>
      <c r="D174" s="87" t="str">
        <f t="shared" ca="1" si="15"/>
        <v/>
      </c>
      <c r="E174" s="94"/>
      <c r="F174" s="41"/>
      <c r="G174" s="96" t="str">
        <f t="shared" si="16"/>
        <v/>
      </c>
      <c r="H174" s="43" t="s">
        <v>135</v>
      </c>
      <c r="I174" s="81"/>
      <c r="J174" s="89" t="str">
        <f>IF(AND(A174&lt;&gt;"",E174&lt;&gt;""),IF(I174="","⚠️ Enter Code",IF(IFERROR(VLOOKUP(H174,DB_Agents!$B:$I,8,0),"")=I174,IF(C174&gt;=E174,"Successful","Unsuccessful"),"🔒 BLOCKED — Wrong Code")),"Pending")</f>
        <v>Pending</v>
      </c>
      <c r="K174" s="90" t="str">
        <f t="shared" ca="1" si="17"/>
        <v>—</v>
      </c>
      <c r="L174" s="91"/>
    </row>
    <row r="175" spans="1:12" ht="15" customHeight="1" x14ac:dyDescent="0.25">
      <c r="A175" s="76"/>
      <c r="B175" s="37" t="str">
        <f>IF(A175="","",IFERROR(VLOOKUP(A175,DB_Customers!$A:$D,4,0),"❌ Account Not Found"))</f>
        <v/>
      </c>
      <c r="C175" s="77" t="str">
        <f>IF(A175="","",IFERROR(VLOOKUP(A175,DB_Customers!$A:$N,14,0),"❌ Acct Not Found"))</f>
        <v/>
      </c>
      <c r="D175" s="78" t="str">
        <f t="shared" ca="1" si="15"/>
        <v/>
      </c>
      <c r="E175" s="94"/>
      <c r="F175" s="37"/>
      <c r="G175" s="95" t="str">
        <f t="shared" si="16"/>
        <v/>
      </c>
      <c r="H175" s="39" t="s">
        <v>135</v>
      </c>
      <c r="I175" s="81"/>
      <c r="J175" s="82" t="str">
        <f>IF(AND(A175&lt;&gt;"",E175&lt;&gt;""),IF(I175="","⚠️ Enter Code",IF(IFERROR(VLOOKUP(H175,DB_Agents!$B:$I,8,0),"")=I175,IF(C175&gt;=E175,"Successful","Unsuccessful"),"🔒 BLOCKED — Wrong Code")),"Pending")</f>
        <v>Pending</v>
      </c>
      <c r="K175" s="83" t="str">
        <f t="shared" ca="1" si="17"/>
        <v>—</v>
      </c>
      <c r="L175" s="84"/>
    </row>
    <row r="176" spans="1:12" ht="15" customHeight="1" x14ac:dyDescent="0.25">
      <c r="A176" s="85"/>
      <c r="B176" s="41" t="str">
        <f>IF(A176="","",IFERROR(VLOOKUP(A176,DB_Customers!$A:$D,4,0),"❌ Account Not Found"))</f>
        <v/>
      </c>
      <c r="C176" s="86" t="str">
        <f>IF(A176="","",IFERROR(VLOOKUP(A176,DB_Customers!$A:$N,14,0),"❌ Acct Not Found"))</f>
        <v/>
      </c>
      <c r="D176" s="87" t="str">
        <f t="shared" ca="1" si="15"/>
        <v/>
      </c>
      <c r="E176" s="94"/>
      <c r="F176" s="41"/>
      <c r="G176" s="96" t="str">
        <f t="shared" si="16"/>
        <v/>
      </c>
      <c r="H176" s="43" t="s">
        <v>135</v>
      </c>
      <c r="I176" s="81"/>
      <c r="J176" s="89" t="str">
        <f>IF(AND(A176&lt;&gt;"",E176&lt;&gt;""),IF(I176="","⚠️ Enter Code",IF(IFERROR(VLOOKUP(H176,DB_Agents!$B:$I,8,0),"")=I176,IF(C176&gt;=E176,"Successful","Unsuccessful"),"🔒 BLOCKED — Wrong Code")),"Pending")</f>
        <v>Pending</v>
      </c>
      <c r="K176" s="90" t="str">
        <f t="shared" ca="1" si="17"/>
        <v>—</v>
      </c>
      <c r="L176" s="91"/>
    </row>
    <row r="177" spans="1:12" ht="15" customHeight="1" x14ac:dyDescent="0.25">
      <c r="A177" s="76"/>
      <c r="B177" s="37" t="str">
        <f>IF(A177="","",IFERROR(VLOOKUP(A177,DB_Customers!$A:$D,4,0),"❌ Account Not Found"))</f>
        <v/>
      </c>
      <c r="C177" s="77" t="str">
        <f>IF(A177="","",IFERROR(VLOOKUP(A177,DB_Customers!$A:$N,14,0),"❌ Acct Not Found"))</f>
        <v/>
      </c>
      <c r="D177" s="78" t="str">
        <f t="shared" ca="1" si="15"/>
        <v/>
      </c>
      <c r="E177" s="94"/>
      <c r="F177" s="37"/>
      <c r="G177" s="95" t="str">
        <f t="shared" si="16"/>
        <v/>
      </c>
      <c r="H177" s="39" t="s">
        <v>135</v>
      </c>
      <c r="I177" s="81"/>
      <c r="J177" s="82" t="str">
        <f>IF(AND(A177&lt;&gt;"",E177&lt;&gt;""),IF(I177="","⚠️ Enter Code",IF(IFERROR(VLOOKUP(H177,DB_Agents!$B:$I,8,0),"")=I177,IF(C177&gt;=E177,"Successful","Unsuccessful"),"🔒 BLOCKED — Wrong Code")),"Pending")</f>
        <v>Pending</v>
      </c>
      <c r="K177" s="83" t="str">
        <f t="shared" ca="1" si="17"/>
        <v>—</v>
      </c>
      <c r="L177" s="84"/>
    </row>
    <row r="178" spans="1:12" ht="15" customHeight="1" x14ac:dyDescent="0.25">
      <c r="A178" s="85"/>
      <c r="B178" s="41" t="str">
        <f>IF(A178="","",IFERROR(VLOOKUP(A178,DB_Customers!$A:$D,4,0),"❌ Account Not Found"))</f>
        <v/>
      </c>
      <c r="C178" s="86" t="str">
        <f>IF(A178="","",IFERROR(VLOOKUP(A178,DB_Customers!$A:$N,14,0),"❌ Acct Not Found"))</f>
        <v/>
      </c>
      <c r="D178" s="87" t="str">
        <f t="shared" ca="1" si="15"/>
        <v/>
      </c>
      <c r="E178" s="94"/>
      <c r="F178" s="41"/>
      <c r="G178" s="96" t="str">
        <f t="shared" si="16"/>
        <v/>
      </c>
      <c r="H178" s="43" t="s">
        <v>135</v>
      </c>
      <c r="I178" s="81"/>
      <c r="J178" s="89" t="str">
        <f>IF(AND(A178&lt;&gt;"",E178&lt;&gt;""),IF(I178="","⚠️ Enter Code",IF(IFERROR(VLOOKUP(H178,DB_Agents!$B:$I,8,0),"")=I178,IF(C178&gt;=E178,"Successful","Unsuccessful"),"🔒 BLOCKED — Wrong Code")),"Pending")</f>
        <v>Pending</v>
      </c>
      <c r="K178" s="90" t="str">
        <f t="shared" ca="1" si="17"/>
        <v>—</v>
      </c>
      <c r="L178" s="91"/>
    </row>
    <row r="179" spans="1:12" ht="15" customHeight="1" x14ac:dyDescent="0.25">
      <c r="A179" s="76"/>
      <c r="B179" s="37" t="str">
        <f>IF(A179="","",IFERROR(VLOOKUP(A179,DB_Customers!$A:$D,4,0),"❌ Account Not Found"))</f>
        <v/>
      </c>
      <c r="C179" s="77" t="str">
        <f>IF(A179="","",IFERROR(VLOOKUP(A179,DB_Customers!$A:$N,14,0),"❌ Acct Not Found"))</f>
        <v/>
      </c>
      <c r="D179" s="78" t="str">
        <f t="shared" ca="1" si="15"/>
        <v/>
      </c>
      <c r="E179" s="94"/>
      <c r="F179" s="37"/>
      <c r="G179" s="95" t="str">
        <f t="shared" si="16"/>
        <v/>
      </c>
      <c r="H179" s="39" t="s">
        <v>135</v>
      </c>
      <c r="I179" s="81"/>
      <c r="J179" s="82" t="str">
        <f>IF(AND(A179&lt;&gt;"",E179&lt;&gt;""),IF(I179="","⚠️ Enter Code",IF(IFERROR(VLOOKUP(H179,DB_Agents!$B:$I,8,0),"")=I179,IF(C179&gt;=E179,"Successful","Unsuccessful"),"🔒 BLOCKED — Wrong Code")),"Pending")</f>
        <v>Pending</v>
      </c>
      <c r="K179" s="83" t="str">
        <f t="shared" ca="1" si="17"/>
        <v>—</v>
      </c>
      <c r="L179" s="84"/>
    </row>
    <row r="180" spans="1:12" ht="15" customHeight="1" x14ac:dyDescent="0.25">
      <c r="A180" s="85"/>
      <c r="B180" s="41" t="str">
        <f>IF(A180="","",IFERROR(VLOOKUP(A180,DB_Customers!$A:$D,4,0),"❌ Account Not Found"))</f>
        <v/>
      </c>
      <c r="C180" s="86" t="str">
        <f>IF(A180="","",IFERROR(VLOOKUP(A180,DB_Customers!$A:$N,14,0),"❌ Acct Not Found"))</f>
        <v/>
      </c>
      <c r="D180" s="87" t="str">
        <f t="shared" ca="1" si="15"/>
        <v/>
      </c>
      <c r="E180" s="94"/>
      <c r="F180" s="41"/>
      <c r="G180" s="96" t="str">
        <f t="shared" si="16"/>
        <v/>
      </c>
      <c r="H180" s="43" t="s">
        <v>135</v>
      </c>
      <c r="I180" s="81"/>
      <c r="J180" s="89" t="str">
        <f>IF(AND(A180&lt;&gt;"",E180&lt;&gt;""),IF(I180="","⚠️ Enter Code",IF(IFERROR(VLOOKUP(H180,DB_Agents!$B:$I,8,0),"")=I180,IF(C180&gt;=E180,"Successful","Unsuccessful"),"🔒 BLOCKED — Wrong Code")),"Pending")</f>
        <v>Pending</v>
      </c>
      <c r="K180" s="90" t="str">
        <f t="shared" ca="1" si="17"/>
        <v>—</v>
      </c>
      <c r="L180" s="91"/>
    </row>
    <row r="181" spans="1:12" ht="15" customHeight="1" x14ac:dyDescent="0.25">
      <c r="A181" s="76"/>
      <c r="B181" s="37" t="str">
        <f>IF(A181="","",IFERROR(VLOOKUP(A181,DB_Customers!$A:$D,4,0),"❌ Account Not Found"))</f>
        <v/>
      </c>
      <c r="C181" s="77" t="str">
        <f>IF(A181="","",IFERROR(VLOOKUP(A181,DB_Customers!$A:$N,14,0),"❌ Acct Not Found"))</f>
        <v/>
      </c>
      <c r="D181" s="78" t="str">
        <f t="shared" ca="1" si="15"/>
        <v/>
      </c>
      <c r="E181" s="94"/>
      <c r="F181" s="37"/>
      <c r="G181" s="95" t="str">
        <f t="shared" si="16"/>
        <v/>
      </c>
      <c r="H181" s="39" t="s">
        <v>135</v>
      </c>
      <c r="I181" s="81"/>
      <c r="J181" s="82" t="str">
        <f>IF(AND(A181&lt;&gt;"",E181&lt;&gt;""),IF(I181="","⚠️ Enter Code",IF(IFERROR(VLOOKUP(H181,DB_Agents!$B:$I,8,0),"")=I181,IF(C181&gt;=E181,"Successful","Unsuccessful"),"🔒 BLOCKED — Wrong Code")),"Pending")</f>
        <v>Pending</v>
      </c>
      <c r="K181" s="83" t="str">
        <f t="shared" ca="1" si="17"/>
        <v>—</v>
      </c>
      <c r="L181" s="84"/>
    </row>
    <row r="182" spans="1:12" ht="15" customHeight="1" x14ac:dyDescent="0.25">
      <c r="A182" s="85"/>
      <c r="B182" s="41" t="str">
        <f>IF(A182="","",IFERROR(VLOOKUP(A182,DB_Customers!$A:$D,4,0),"❌ Account Not Found"))</f>
        <v/>
      </c>
      <c r="C182" s="86" t="str">
        <f>IF(A182="","",IFERROR(VLOOKUP(A182,DB_Customers!$A:$N,14,0),"❌ Acct Not Found"))</f>
        <v/>
      </c>
      <c r="D182" s="87" t="str">
        <f t="shared" ca="1" si="15"/>
        <v/>
      </c>
      <c r="E182" s="94"/>
      <c r="F182" s="41"/>
      <c r="G182" s="96" t="str">
        <f t="shared" si="16"/>
        <v/>
      </c>
      <c r="H182" s="43" t="s">
        <v>135</v>
      </c>
      <c r="I182" s="81"/>
      <c r="J182" s="89" t="str">
        <f>IF(AND(A182&lt;&gt;"",E182&lt;&gt;""),IF(I182="","⚠️ Enter Code",IF(IFERROR(VLOOKUP(H182,DB_Agents!$B:$I,8,0),"")=I182,IF(C182&gt;=E182,"Successful","Unsuccessful"),"🔒 BLOCKED — Wrong Code")),"Pending")</f>
        <v>Pending</v>
      </c>
      <c r="K182" s="90" t="str">
        <f t="shared" ca="1" si="17"/>
        <v>—</v>
      </c>
      <c r="L182" s="91"/>
    </row>
    <row r="183" spans="1:12" ht="15" customHeight="1" x14ac:dyDescent="0.25">
      <c r="A183" s="76"/>
      <c r="B183" s="37" t="str">
        <f>IF(A183="","",IFERROR(VLOOKUP(A183,DB_Customers!$A:$D,4,0),"❌ Account Not Found"))</f>
        <v/>
      </c>
      <c r="C183" s="77" t="str">
        <f>IF(A183="","",IFERROR(VLOOKUP(A183,DB_Customers!$A:$N,14,0),"❌ Acct Not Found"))</f>
        <v/>
      </c>
      <c r="D183" s="78" t="str">
        <f t="shared" ca="1" si="15"/>
        <v/>
      </c>
      <c r="E183" s="94"/>
      <c r="F183" s="37"/>
      <c r="G183" s="95" t="str">
        <f t="shared" si="16"/>
        <v/>
      </c>
      <c r="H183" s="39" t="s">
        <v>135</v>
      </c>
      <c r="I183" s="81"/>
      <c r="J183" s="82" t="str">
        <f>IF(AND(A183&lt;&gt;"",E183&lt;&gt;""),IF(I183="","⚠️ Enter Code",IF(IFERROR(VLOOKUP(H183,DB_Agents!$B:$I,8,0),"")=I183,IF(C183&gt;=E183,"Successful","Unsuccessful"),"🔒 BLOCKED — Wrong Code")),"Pending")</f>
        <v>Pending</v>
      </c>
      <c r="K183" s="83" t="str">
        <f t="shared" ca="1" si="17"/>
        <v>—</v>
      </c>
      <c r="L183" s="84"/>
    </row>
    <row r="184" spans="1:12" ht="15" customHeight="1" x14ac:dyDescent="0.25">
      <c r="A184" s="85"/>
      <c r="B184" s="41" t="str">
        <f>IF(A184="","",IFERROR(VLOOKUP(A184,DB_Customers!$A:$D,4,0),"❌ Account Not Found"))</f>
        <v/>
      </c>
      <c r="C184" s="86" t="str">
        <f>IF(A184="","",IFERROR(VLOOKUP(A184,DB_Customers!$A:$N,14,0),"❌ Acct Not Found"))</f>
        <v/>
      </c>
      <c r="D184" s="87" t="str">
        <f t="shared" ca="1" si="15"/>
        <v/>
      </c>
      <c r="E184" s="94"/>
      <c r="F184" s="41"/>
      <c r="G184" s="96" t="str">
        <f t="shared" si="16"/>
        <v/>
      </c>
      <c r="H184" s="43" t="s">
        <v>135</v>
      </c>
      <c r="I184" s="81"/>
      <c r="J184" s="89" t="str">
        <f>IF(AND(A184&lt;&gt;"",E184&lt;&gt;""),IF(I184="","⚠️ Enter Code",IF(IFERROR(VLOOKUP(H184,DB_Agents!$B:$I,8,0),"")=I184,IF(C184&gt;=E184,"Successful","Unsuccessful"),"🔒 BLOCKED — Wrong Code")),"Pending")</f>
        <v>Pending</v>
      </c>
      <c r="K184" s="90" t="str">
        <f t="shared" ca="1" si="17"/>
        <v>—</v>
      </c>
      <c r="L184" s="91"/>
    </row>
    <row r="185" spans="1:12" ht="15" customHeight="1" x14ac:dyDescent="0.25">
      <c r="A185" s="76"/>
      <c r="B185" s="37" t="str">
        <f>IF(A185="","",IFERROR(VLOOKUP(A185,DB_Customers!$A:$D,4,0),"❌ Account Not Found"))</f>
        <v/>
      </c>
      <c r="C185" s="77" t="str">
        <f>IF(A185="","",IFERROR(VLOOKUP(A185,DB_Customers!$A:$N,14,0),"❌ Acct Not Found"))</f>
        <v/>
      </c>
      <c r="D185" s="78" t="str">
        <f t="shared" ca="1" si="15"/>
        <v/>
      </c>
      <c r="E185" s="94"/>
      <c r="F185" s="37"/>
      <c r="G185" s="95" t="str">
        <f t="shared" si="16"/>
        <v/>
      </c>
      <c r="H185" s="39" t="s">
        <v>135</v>
      </c>
      <c r="I185" s="81"/>
      <c r="J185" s="82" t="str">
        <f>IF(AND(A185&lt;&gt;"",E185&lt;&gt;""),IF(I185="","⚠️ Enter Code",IF(IFERROR(VLOOKUP(H185,DB_Agents!$B:$I,8,0),"")=I185,IF(C185&gt;=E185,"Successful","Unsuccessful"),"🔒 BLOCKED — Wrong Code")),"Pending")</f>
        <v>Pending</v>
      </c>
      <c r="K185" s="83" t="str">
        <f t="shared" ca="1" si="17"/>
        <v>—</v>
      </c>
      <c r="L185" s="84"/>
    </row>
    <row r="186" spans="1:12" ht="15" customHeight="1" x14ac:dyDescent="0.25">
      <c r="A186" s="85"/>
      <c r="B186" s="41" t="str">
        <f>IF(A186="","",IFERROR(VLOOKUP(A186,DB_Customers!$A:$D,4,0),"❌ Account Not Found"))</f>
        <v/>
      </c>
      <c r="C186" s="86" t="str">
        <f>IF(A186="","",IFERROR(VLOOKUP(A186,DB_Customers!$A:$N,14,0),"❌ Acct Not Found"))</f>
        <v/>
      </c>
      <c r="D186" s="87" t="str">
        <f t="shared" ca="1" si="15"/>
        <v/>
      </c>
      <c r="E186" s="94"/>
      <c r="F186" s="41"/>
      <c r="G186" s="96" t="str">
        <f t="shared" si="16"/>
        <v/>
      </c>
      <c r="H186" s="43" t="s">
        <v>135</v>
      </c>
      <c r="I186" s="81"/>
      <c r="J186" s="89" t="str">
        <f>IF(AND(A186&lt;&gt;"",E186&lt;&gt;""),IF(I186="","⚠️ Enter Code",IF(IFERROR(VLOOKUP(H186,DB_Agents!$B:$I,8,0),"")=I186,IF(C186&gt;=E186,"Successful","Unsuccessful"),"🔒 BLOCKED — Wrong Code")),"Pending")</f>
        <v>Pending</v>
      </c>
      <c r="K186" s="90" t="str">
        <f t="shared" ca="1" si="17"/>
        <v>—</v>
      </c>
      <c r="L186" s="91"/>
    </row>
    <row r="187" spans="1:12" ht="15" customHeight="1" x14ac:dyDescent="0.25">
      <c r="A187" s="76"/>
      <c r="B187" s="37" t="str">
        <f>IF(A187="","",IFERROR(VLOOKUP(A187,DB_Customers!$A:$D,4,0),"❌ Account Not Found"))</f>
        <v/>
      </c>
      <c r="C187" s="77" t="str">
        <f>IF(A187="","",IFERROR(VLOOKUP(A187,DB_Customers!$A:$N,14,0),"❌ Acct Not Found"))</f>
        <v/>
      </c>
      <c r="D187" s="78" t="str">
        <f t="shared" ca="1" si="15"/>
        <v/>
      </c>
      <c r="E187" s="94"/>
      <c r="F187" s="37"/>
      <c r="G187" s="95" t="str">
        <f t="shared" si="16"/>
        <v/>
      </c>
      <c r="H187" s="39" t="s">
        <v>135</v>
      </c>
      <c r="I187" s="81"/>
      <c r="J187" s="82" t="str">
        <f>IF(AND(A187&lt;&gt;"",E187&lt;&gt;""),IF(I187="","⚠️ Enter Code",IF(IFERROR(VLOOKUP(H187,DB_Agents!$B:$I,8,0),"")=I187,IF(C187&gt;=E187,"Successful","Unsuccessful"),"🔒 BLOCKED — Wrong Code")),"Pending")</f>
        <v>Pending</v>
      </c>
      <c r="K187" s="83" t="str">
        <f t="shared" ca="1" si="17"/>
        <v>—</v>
      </c>
      <c r="L187" s="84"/>
    </row>
    <row r="188" spans="1:12" ht="15" customHeight="1" x14ac:dyDescent="0.25">
      <c r="A188" s="85"/>
      <c r="B188" s="41" t="str">
        <f>IF(A188="","",IFERROR(VLOOKUP(A188,DB_Customers!$A:$D,4,0),"❌ Account Not Found"))</f>
        <v/>
      </c>
      <c r="C188" s="86" t="str">
        <f>IF(A188="","",IFERROR(VLOOKUP(A188,DB_Customers!$A:$N,14,0),"❌ Acct Not Found"))</f>
        <v/>
      </c>
      <c r="D188" s="87" t="str">
        <f t="shared" ca="1" si="15"/>
        <v/>
      </c>
      <c r="E188" s="94"/>
      <c r="F188" s="41"/>
      <c r="G188" s="96" t="str">
        <f t="shared" si="16"/>
        <v/>
      </c>
      <c r="H188" s="43" t="s">
        <v>135</v>
      </c>
      <c r="I188" s="81"/>
      <c r="J188" s="89" t="str">
        <f>IF(AND(A188&lt;&gt;"",E188&lt;&gt;""),IF(I188="","⚠️ Enter Code",IF(IFERROR(VLOOKUP(H188,DB_Agents!$B:$I,8,0),"")=I188,IF(C188&gt;=E188,"Successful","Unsuccessful"),"🔒 BLOCKED — Wrong Code")),"Pending")</f>
        <v>Pending</v>
      </c>
      <c r="K188" s="90" t="str">
        <f t="shared" ca="1" si="17"/>
        <v>—</v>
      </c>
      <c r="L188" s="91"/>
    </row>
    <row r="189" spans="1:12" ht="15" customHeight="1" x14ac:dyDescent="0.25">
      <c r="A189" s="76"/>
      <c r="B189" s="37" t="str">
        <f>IF(A189="","",IFERROR(VLOOKUP(A189,DB_Customers!$A:$D,4,0),"❌ Account Not Found"))</f>
        <v/>
      </c>
      <c r="C189" s="77" t="str">
        <f>IF(A189="","",IFERROR(VLOOKUP(A189,DB_Customers!$A:$N,14,0),"❌ Acct Not Found"))</f>
        <v/>
      </c>
      <c r="D189" s="78" t="str">
        <f t="shared" ca="1" si="15"/>
        <v/>
      </c>
      <c r="E189" s="94"/>
      <c r="F189" s="37"/>
      <c r="G189" s="95" t="str">
        <f t="shared" si="16"/>
        <v/>
      </c>
      <c r="H189" s="39" t="s">
        <v>135</v>
      </c>
      <c r="I189" s="81"/>
      <c r="J189" s="82" t="str">
        <f>IF(AND(A189&lt;&gt;"",E189&lt;&gt;""),IF(I189="","⚠️ Enter Code",IF(IFERROR(VLOOKUP(H189,DB_Agents!$B:$I,8,0),"")=I189,IF(C189&gt;=E189,"Successful","Unsuccessful"),"🔒 BLOCKED — Wrong Code")),"Pending")</f>
        <v>Pending</v>
      </c>
      <c r="K189" s="83" t="str">
        <f t="shared" ca="1" si="17"/>
        <v>—</v>
      </c>
      <c r="L189" s="84"/>
    </row>
    <row r="190" spans="1:12" ht="15" customHeight="1" x14ac:dyDescent="0.25">
      <c r="A190" s="85"/>
      <c r="B190" s="41" t="str">
        <f>IF(A190="","",IFERROR(VLOOKUP(A190,DB_Customers!$A:$D,4,0),"❌ Account Not Found"))</f>
        <v/>
      </c>
      <c r="C190" s="86" t="str">
        <f>IF(A190="","",IFERROR(VLOOKUP(A190,DB_Customers!$A:$N,14,0),"❌ Acct Not Found"))</f>
        <v/>
      </c>
      <c r="D190" s="87" t="str">
        <f t="shared" ca="1" si="15"/>
        <v/>
      </c>
      <c r="E190" s="94"/>
      <c r="F190" s="41"/>
      <c r="G190" s="96" t="str">
        <f t="shared" si="16"/>
        <v/>
      </c>
      <c r="H190" s="43" t="s">
        <v>135</v>
      </c>
      <c r="I190" s="81"/>
      <c r="J190" s="89" t="str">
        <f>IF(AND(A190&lt;&gt;"",E190&lt;&gt;""),IF(I190="","⚠️ Enter Code",IF(IFERROR(VLOOKUP(H190,DB_Agents!$B:$I,8,0),"")=I190,IF(C190&gt;=E190,"Successful","Unsuccessful"),"🔒 BLOCKED — Wrong Code")),"Pending")</f>
        <v>Pending</v>
      </c>
      <c r="K190" s="90" t="str">
        <f t="shared" ca="1" si="17"/>
        <v>—</v>
      </c>
      <c r="L190" s="91"/>
    </row>
    <row r="191" spans="1:12" ht="15" customHeight="1" x14ac:dyDescent="0.25">
      <c r="A191" s="76"/>
      <c r="B191" s="37" t="str">
        <f>IF(A191="","",IFERROR(VLOOKUP(A191,DB_Customers!$A:$D,4,0),"❌ Account Not Found"))</f>
        <v/>
      </c>
      <c r="C191" s="77" t="str">
        <f>IF(A191="","",IFERROR(VLOOKUP(A191,DB_Customers!$A:$N,14,0),"❌ Acct Not Found"))</f>
        <v/>
      </c>
      <c r="D191" s="78" t="str">
        <f t="shared" ca="1" si="15"/>
        <v/>
      </c>
      <c r="E191" s="94"/>
      <c r="F191" s="37"/>
      <c r="G191" s="95" t="str">
        <f t="shared" si="16"/>
        <v/>
      </c>
      <c r="H191" s="39" t="s">
        <v>135</v>
      </c>
      <c r="I191" s="81"/>
      <c r="J191" s="82" t="str">
        <f>IF(AND(A191&lt;&gt;"",E191&lt;&gt;""),IF(I191="","⚠️ Enter Code",IF(IFERROR(VLOOKUP(H191,DB_Agents!$B:$I,8,0),"")=I191,IF(C191&gt;=E191,"Successful","Unsuccessful"),"🔒 BLOCKED — Wrong Code")),"Pending")</f>
        <v>Pending</v>
      </c>
      <c r="K191" s="83" t="str">
        <f t="shared" ca="1" si="17"/>
        <v>—</v>
      </c>
      <c r="L191" s="84"/>
    </row>
    <row r="192" spans="1:12" ht="15" customHeight="1" x14ac:dyDescent="0.25">
      <c r="A192" s="85"/>
      <c r="B192" s="41" t="str">
        <f>IF(A192="","",IFERROR(VLOOKUP(A192,DB_Customers!$A:$D,4,0),"❌ Account Not Found"))</f>
        <v/>
      </c>
      <c r="C192" s="86" t="str">
        <f>IF(A192="","",IFERROR(VLOOKUP(A192,DB_Customers!$A:$N,14,0),"❌ Acct Not Found"))</f>
        <v/>
      </c>
      <c r="D192" s="87" t="str">
        <f t="shared" ca="1" si="15"/>
        <v/>
      </c>
      <c r="E192" s="94"/>
      <c r="F192" s="41"/>
      <c r="G192" s="96" t="str">
        <f t="shared" si="16"/>
        <v/>
      </c>
      <c r="H192" s="43" t="s">
        <v>135</v>
      </c>
      <c r="I192" s="81"/>
      <c r="J192" s="89" t="str">
        <f>IF(AND(A192&lt;&gt;"",E192&lt;&gt;""),IF(I192="","⚠️ Enter Code",IF(IFERROR(VLOOKUP(H192,DB_Agents!$B:$I,8,0),"")=I192,IF(C192&gt;=E192,"Successful","Unsuccessful"),"🔒 BLOCKED — Wrong Code")),"Pending")</f>
        <v>Pending</v>
      </c>
      <c r="K192" s="90" t="str">
        <f t="shared" ca="1" si="17"/>
        <v>—</v>
      </c>
      <c r="L192" s="91"/>
    </row>
    <row r="193" spans="1:12" ht="15" customHeight="1" x14ac:dyDescent="0.25">
      <c r="A193" s="76"/>
      <c r="B193" s="37" t="str">
        <f>IF(A193="","",IFERROR(VLOOKUP(A193,DB_Customers!$A:$D,4,0),"❌ Account Not Found"))</f>
        <v/>
      </c>
      <c r="C193" s="77" t="str">
        <f>IF(A193="","",IFERROR(VLOOKUP(A193,DB_Customers!$A:$N,14,0),"❌ Acct Not Found"))</f>
        <v/>
      </c>
      <c r="D193" s="78" t="str">
        <f t="shared" ca="1" si="15"/>
        <v/>
      </c>
      <c r="E193" s="94"/>
      <c r="F193" s="37"/>
      <c r="G193" s="95" t="str">
        <f t="shared" si="16"/>
        <v/>
      </c>
      <c r="H193" s="39" t="s">
        <v>135</v>
      </c>
      <c r="I193" s="81"/>
      <c r="J193" s="82" t="str">
        <f>IF(AND(A193&lt;&gt;"",E193&lt;&gt;""),IF(I193="","⚠️ Enter Code",IF(IFERROR(VLOOKUP(H193,DB_Agents!$B:$I,8,0),"")=I193,IF(C193&gt;=E193,"Successful","Unsuccessful"),"🔒 BLOCKED — Wrong Code")),"Pending")</f>
        <v>Pending</v>
      </c>
      <c r="K193" s="83" t="str">
        <f t="shared" ca="1" si="17"/>
        <v>—</v>
      </c>
      <c r="L193" s="84"/>
    </row>
    <row r="194" spans="1:12" ht="15" customHeight="1" x14ac:dyDescent="0.25">
      <c r="A194" s="85"/>
      <c r="B194" s="41" t="str">
        <f>IF(A194="","",IFERROR(VLOOKUP(A194,DB_Customers!$A:$D,4,0),"❌ Account Not Found"))</f>
        <v/>
      </c>
      <c r="C194" s="86" t="str">
        <f>IF(A194="","",IFERROR(VLOOKUP(A194,DB_Customers!$A:$N,14,0),"❌ Acct Not Found"))</f>
        <v/>
      </c>
      <c r="D194" s="87" t="str">
        <f t="shared" ca="1" si="15"/>
        <v/>
      </c>
      <c r="E194" s="94"/>
      <c r="F194" s="41"/>
      <c r="G194" s="96" t="str">
        <f t="shared" si="16"/>
        <v/>
      </c>
      <c r="H194" s="43" t="s">
        <v>135</v>
      </c>
      <c r="I194" s="81"/>
      <c r="J194" s="89" t="str">
        <f>IF(AND(A194&lt;&gt;"",E194&lt;&gt;""),IF(I194="","⚠️ Enter Code",IF(IFERROR(VLOOKUP(H194,DB_Agents!$B:$I,8,0),"")=I194,IF(C194&gt;=E194,"Successful","Unsuccessful"),"🔒 BLOCKED — Wrong Code")),"Pending")</f>
        <v>Pending</v>
      </c>
      <c r="K194" s="90" t="str">
        <f t="shared" ca="1" si="17"/>
        <v>—</v>
      </c>
      <c r="L194" s="91"/>
    </row>
    <row r="195" spans="1:12" ht="15" customHeight="1" x14ac:dyDescent="0.25">
      <c r="A195" s="76"/>
      <c r="B195" s="37" t="str">
        <f>IF(A195="","",IFERROR(VLOOKUP(A195,DB_Customers!$A:$D,4,0),"❌ Account Not Found"))</f>
        <v/>
      </c>
      <c r="C195" s="77" t="str">
        <f>IF(A195="","",IFERROR(VLOOKUP(A195,DB_Customers!$A:$N,14,0),"❌ Acct Not Found"))</f>
        <v/>
      </c>
      <c r="D195" s="78" t="str">
        <f t="shared" ca="1" si="15"/>
        <v/>
      </c>
      <c r="E195" s="94"/>
      <c r="F195" s="37"/>
      <c r="G195" s="95" t="str">
        <f t="shared" si="16"/>
        <v/>
      </c>
      <c r="H195" s="39" t="s">
        <v>135</v>
      </c>
      <c r="I195" s="81"/>
      <c r="J195" s="82" t="str">
        <f>IF(AND(A195&lt;&gt;"",E195&lt;&gt;""),IF(I195="","⚠️ Enter Code",IF(IFERROR(VLOOKUP(H195,DB_Agents!$B:$I,8,0),"")=I195,IF(C195&gt;=E195,"Successful","Unsuccessful"),"🔒 BLOCKED — Wrong Code")),"Pending")</f>
        <v>Pending</v>
      </c>
      <c r="K195" s="83" t="str">
        <f t="shared" ca="1" si="17"/>
        <v>—</v>
      </c>
      <c r="L195" s="84"/>
    </row>
    <row r="196" spans="1:12" ht="15" customHeight="1" x14ac:dyDescent="0.25">
      <c r="A196" s="85"/>
      <c r="B196" s="41" t="str">
        <f>IF(A196="","",IFERROR(VLOOKUP(A196,DB_Customers!$A:$D,4,0),"❌ Account Not Found"))</f>
        <v/>
      </c>
      <c r="C196" s="86" t="str">
        <f>IF(A196="","",IFERROR(VLOOKUP(A196,DB_Customers!$A:$N,14,0),"❌ Acct Not Found"))</f>
        <v/>
      </c>
      <c r="D196" s="87" t="str">
        <f t="shared" ca="1" si="15"/>
        <v/>
      </c>
      <c r="E196" s="94"/>
      <c r="F196" s="41"/>
      <c r="G196" s="96" t="str">
        <f t="shared" si="16"/>
        <v/>
      </c>
      <c r="H196" s="43" t="s">
        <v>135</v>
      </c>
      <c r="I196" s="81"/>
      <c r="J196" s="89" t="str">
        <f>IF(AND(A196&lt;&gt;"",E196&lt;&gt;""),IF(I196="","⚠️ Enter Code",IF(IFERROR(VLOOKUP(H196,DB_Agents!$B:$I,8,0),"")=I196,IF(C196&gt;=E196,"Successful","Unsuccessful"),"🔒 BLOCKED — Wrong Code")),"Pending")</f>
        <v>Pending</v>
      </c>
      <c r="K196" s="90" t="str">
        <f t="shared" ca="1" si="17"/>
        <v>—</v>
      </c>
      <c r="L196" s="91"/>
    </row>
    <row r="197" spans="1:12" ht="15" customHeight="1" x14ac:dyDescent="0.25">
      <c r="A197" s="76"/>
      <c r="B197" s="37" t="str">
        <f>IF(A197="","",IFERROR(VLOOKUP(A197,DB_Customers!$A:$D,4,0),"❌ Account Not Found"))</f>
        <v/>
      </c>
      <c r="C197" s="77" t="str">
        <f>IF(A197="","",IFERROR(VLOOKUP(A197,DB_Customers!$A:$N,14,0),"❌ Acct Not Found"))</f>
        <v/>
      </c>
      <c r="D197" s="78" t="str">
        <f t="shared" ca="1" si="15"/>
        <v/>
      </c>
      <c r="E197" s="94"/>
      <c r="F197" s="37"/>
      <c r="G197" s="95" t="str">
        <f t="shared" si="16"/>
        <v/>
      </c>
      <c r="H197" s="39" t="s">
        <v>135</v>
      </c>
      <c r="I197" s="81"/>
      <c r="J197" s="82" t="str">
        <f>IF(AND(A197&lt;&gt;"",E197&lt;&gt;""),IF(I197="","⚠️ Enter Code",IF(IFERROR(VLOOKUP(H197,DB_Agents!$B:$I,8,0),"")=I197,IF(C197&gt;=E197,"Successful","Unsuccessful"),"🔒 BLOCKED — Wrong Code")),"Pending")</f>
        <v>Pending</v>
      </c>
      <c r="K197" s="83" t="str">
        <f t="shared" ca="1" si="17"/>
        <v>—</v>
      </c>
      <c r="L197" s="84"/>
    </row>
    <row r="198" spans="1:12" ht="15" customHeight="1" x14ac:dyDescent="0.25">
      <c r="A198" s="85"/>
      <c r="B198" s="41" t="str">
        <f>IF(A198="","",IFERROR(VLOOKUP(A198,DB_Customers!$A:$D,4,0),"❌ Account Not Found"))</f>
        <v/>
      </c>
      <c r="C198" s="86" t="str">
        <f>IF(A198="","",IFERROR(VLOOKUP(A198,DB_Customers!$A:$N,14,0),"❌ Acct Not Found"))</f>
        <v/>
      </c>
      <c r="D198" s="87" t="str">
        <f t="shared" ca="1" si="15"/>
        <v/>
      </c>
      <c r="E198" s="94"/>
      <c r="F198" s="41"/>
      <c r="G198" s="96" t="str">
        <f t="shared" si="16"/>
        <v/>
      </c>
      <c r="H198" s="43" t="s">
        <v>135</v>
      </c>
      <c r="I198" s="81"/>
      <c r="J198" s="89" t="str">
        <f>IF(AND(A198&lt;&gt;"",E198&lt;&gt;""),IF(I198="","⚠️ Enter Code",IF(IFERROR(VLOOKUP(H198,DB_Agents!$B:$I,8,0),"")=I198,IF(C198&gt;=E198,"Successful","Unsuccessful"),"🔒 BLOCKED — Wrong Code")),"Pending")</f>
        <v>Pending</v>
      </c>
      <c r="K198" s="90" t="str">
        <f t="shared" ca="1" si="17"/>
        <v>—</v>
      </c>
      <c r="L198" s="91"/>
    </row>
    <row r="199" spans="1:12" ht="15" customHeight="1" x14ac:dyDescent="0.25">
      <c r="A199" s="76"/>
      <c r="B199" s="37" t="str">
        <f>IF(A199="","",IFERROR(VLOOKUP(A199,DB_Customers!$A:$D,4,0),"❌ Account Not Found"))</f>
        <v/>
      </c>
      <c r="C199" s="77" t="str">
        <f>IF(A199="","",IFERROR(VLOOKUP(A199,DB_Customers!$A:$N,14,0),"❌ Acct Not Found"))</f>
        <v/>
      </c>
      <c r="D199" s="78" t="str">
        <f t="shared" ca="1" si="15"/>
        <v/>
      </c>
      <c r="E199" s="94"/>
      <c r="F199" s="37"/>
      <c r="G199" s="95" t="str">
        <f t="shared" si="16"/>
        <v/>
      </c>
      <c r="H199" s="39" t="s">
        <v>135</v>
      </c>
      <c r="I199" s="81"/>
      <c r="J199" s="82" t="str">
        <f>IF(AND(A199&lt;&gt;"",E199&lt;&gt;""),IF(I199="","⚠️ Enter Code",IF(IFERROR(VLOOKUP(H199,DB_Agents!$B:$I,8,0),"")=I199,IF(C199&gt;=E199,"Successful","Unsuccessful"),"🔒 BLOCKED — Wrong Code")),"Pending")</f>
        <v>Pending</v>
      </c>
      <c r="K199" s="83" t="str">
        <f t="shared" ca="1" si="17"/>
        <v>—</v>
      </c>
      <c r="L199" s="84"/>
    </row>
    <row r="200" spans="1:12" ht="15" customHeight="1" x14ac:dyDescent="0.25">
      <c r="A200" s="85"/>
      <c r="B200" s="41" t="str">
        <f>IF(A200="","",IFERROR(VLOOKUP(A200,DB_Customers!$A:$D,4,0),"❌ Account Not Found"))</f>
        <v/>
      </c>
      <c r="C200" s="86" t="str">
        <f>IF(A200="","",IFERROR(VLOOKUP(A200,DB_Customers!$A:$N,14,0),"❌ Acct Not Found"))</f>
        <v/>
      </c>
      <c r="D200" s="87" t="str">
        <f t="shared" ca="1" si="15"/>
        <v/>
      </c>
      <c r="E200" s="94"/>
      <c r="F200" s="41"/>
      <c r="G200" s="96" t="str">
        <f t="shared" si="16"/>
        <v/>
      </c>
      <c r="H200" s="43" t="s">
        <v>135</v>
      </c>
      <c r="I200" s="81"/>
      <c r="J200" s="89" t="str">
        <f>IF(AND(A200&lt;&gt;"",E200&lt;&gt;""),IF(I200="","⚠️ Enter Code",IF(IFERROR(VLOOKUP(H200,DB_Agents!$B:$I,8,0),"")=I200,IF(C200&gt;=E200,"Successful","Unsuccessful"),"🔒 BLOCKED — Wrong Code")),"Pending")</f>
        <v>Pending</v>
      </c>
      <c r="K200" s="90" t="str">
        <f t="shared" ca="1" si="17"/>
        <v>—</v>
      </c>
      <c r="L200" s="91"/>
    </row>
    <row r="201" spans="1:12" ht="15" customHeight="1" x14ac:dyDescent="0.25">
      <c r="A201" s="76"/>
      <c r="B201" s="37" t="str">
        <f>IF(A201="","",IFERROR(VLOOKUP(A201,DB_Customers!$A:$D,4,0),"❌ Account Not Found"))</f>
        <v/>
      </c>
      <c r="C201" s="77" t="str">
        <f>IF(A201="","",IFERROR(VLOOKUP(A201,DB_Customers!$A:$N,14,0),"❌ Acct Not Found"))</f>
        <v/>
      </c>
      <c r="D201" s="78" t="str">
        <f t="shared" ref="D201:D208" ca="1" si="18">IF(A201="","",TODAY())</f>
        <v/>
      </c>
      <c r="E201" s="94"/>
      <c r="F201" s="37"/>
      <c r="G201" s="95" t="str">
        <f t="shared" ref="G201:G208" si="19">IF(OR(A201="",E201=""),"",IF(C201="","",C201-E201))</f>
        <v/>
      </c>
      <c r="H201" s="39" t="s">
        <v>135</v>
      </c>
      <c r="I201" s="81"/>
      <c r="J201" s="82" t="str">
        <f>IF(AND(A201&lt;&gt;"",E201&lt;&gt;""),IF(I201="","⚠️ Enter Code",IF(IFERROR(VLOOKUP(H201,DB_Agents!$B:$I,8,0),"")=I201,IF(C201&gt;=E201,"Successful","Unsuccessful"),"🔒 BLOCKED — Wrong Code")),"Pending")</f>
        <v>Pending</v>
      </c>
      <c r="K201" s="83" t="str">
        <f t="shared" ref="K201:K208" ca="1" si="20">IF(J201="Successful",TEXT(TODAY(),"YYYY-MM-DD")&amp;" Auto","—")</f>
        <v>—</v>
      </c>
      <c r="L201" s="84"/>
    </row>
    <row r="202" spans="1:12" ht="15" customHeight="1" x14ac:dyDescent="0.25">
      <c r="A202" s="85"/>
      <c r="B202" s="41" t="str">
        <f>IF(A202="","",IFERROR(VLOOKUP(A202,DB_Customers!$A:$D,4,0),"❌ Account Not Found"))</f>
        <v/>
      </c>
      <c r="C202" s="86" t="str">
        <f>IF(A202="","",IFERROR(VLOOKUP(A202,DB_Customers!$A:$N,14,0),"❌ Acct Not Found"))</f>
        <v/>
      </c>
      <c r="D202" s="87" t="str">
        <f t="shared" ca="1" si="18"/>
        <v/>
      </c>
      <c r="E202" s="94"/>
      <c r="F202" s="41"/>
      <c r="G202" s="96" t="str">
        <f t="shared" si="19"/>
        <v/>
      </c>
      <c r="H202" s="43" t="s">
        <v>135</v>
      </c>
      <c r="I202" s="81"/>
      <c r="J202" s="89" t="str">
        <f>IF(AND(A202&lt;&gt;"",E202&lt;&gt;""),IF(I202="","⚠️ Enter Code",IF(IFERROR(VLOOKUP(H202,DB_Agents!$B:$I,8,0),"")=I202,IF(C202&gt;=E202,"Successful","Unsuccessful"),"🔒 BLOCKED — Wrong Code")),"Pending")</f>
        <v>Pending</v>
      </c>
      <c r="K202" s="90" t="str">
        <f t="shared" ca="1" si="20"/>
        <v>—</v>
      </c>
      <c r="L202" s="91"/>
    </row>
    <row r="203" spans="1:12" ht="15" customHeight="1" x14ac:dyDescent="0.25">
      <c r="A203" s="76"/>
      <c r="B203" s="37" t="str">
        <f>IF(A203="","",IFERROR(VLOOKUP(A203,DB_Customers!$A:$D,4,0),"❌ Account Not Found"))</f>
        <v/>
      </c>
      <c r="C203" s="77" t="str">
        <f>IF(A203="","",IFERROR(VLOOKUP(A203,DB_Customers!$A:$N,14,0),"❌ Acct Not Found"))</f>
        <v/>
      </c>
      <c r="D203" s="78" t="str">
        <f t="shared" ca="1" si="18"/>
        <v/>
      </c>
      <c r="E203" s="94"/>
      <c r="F203" s="37"/>
      <c r="G203" s="95" t="str">
        <f t="shared" si="19"/>
        <v/>
      </c>
      <c r="H203" s="39" t="s">
        <v>135</v>
      </c>
      <c r="I203" s="81"/>
      <c r="J203" s="82" t="str">
        <f>IF(AND(A203&lt;&gt;"",E203&lt;&gt;""),IF(I203="","⚠️ Enter Code",IF(IFERROR(VLOOKUP(H203,DB_Agents!$B:$I,8,0),"")=I203,IF(C203&gt;=E203,"Successful","Unsuccessful"),"🔒 BLOCKED — Wrong Code")),"Pending")</f>
        <v>Pending</v>
      </c>
      <c r="K203" s="83" t="str">
        <f t="shared" ca="1" si="20"/>
        <v>—</v>
      </c>
      <c r="L203" s="84"/>
    </row>
    <row r="204" spans="1:12" ht="15" customHeight="1" x14ac:dyDescent="0.25">
      <c r="A204" s="85"/>
      <c r="B204" s="41" t="str">
        <f>IF(A204="","",IFERROR(VLOOKUP(A204,DB_Customers!$A:$D,4,0),"❌ Account Not Found"))</f>
        <v/>
      </c>
      <c r="C204" s="86" t="str">
        <f>IF(A204="","",IFERROR(VLOOKUP(A204,DB_Customers!$A:$N,14,0),"❌ Acct Not Found"))</f>
        <v/>
      </c>
      <c r="D204" s="87" t="str">
        <f t="shared" ca="1" si="18"/>
        <v/>
      </c>
      <c r="E204" s="94"/>
      <c r="F204" s="41"/>
      <c r="G204" s="96" t="str">
        <f t="shared" si="19"/>
        <v/>
      </c>
      <c r="H204" s="43" t="s">
        <v>135</v>
      </c>
      <c r="I204" s="81"/>
      <c r="J204" s="89" t="str">
        <f>IF(AND(A204&lt;&gt;"",E204&lt;&gt;""),IF(I204="","⚠️ Enter Code",IF(IFERROR(VLOOKUP(H204,DB_Agents!$B:$I,8,0),"")=I204,IF(C204&gt;=E204,"Successful","Unsuccessful"),"🔒 BLOCKED — Wrong Code")),"Pending")</f>
        <v>Pending</v>
      </c>
      <c r="K204" s="90" t="str">
        <f t="shared" ca="1" si="20"/>
        <v>—</v>
      </c>
      <c r="L204" s="91"/>
    </row>
    <row r="205" spans="1:12" ht="15" customHeight="1" x14ac:dyDescent="0.25">
      <c r="A205" s="76"/>
      <c r="B205" s="37" t="str">
        <f>IF(A205="","",IFERROR(VLOOKUP(A205,DB_Customers!$A:$D,4,0),"❌ Account Not Found"))</f>
        <v/>
      </c>
      <c r="C205" s="77" t="str">
        <f>IF(A205="","",IFERROR(VLOOKUP(A205,DB_Customers!$A:$N,14,0),"❌ Acct Not Found"))</f>
        <v/>
      </c>
      <c r="D205" s="78" t="str">
        <f t="shared" ca="1" si="18"/>
        <v/>
      </c>
      <c r="E205" s="94"/>
      <c r="F205" s="37"/>
      <c r="G205" s="95" t="str">
        <f t="shared" si="19"/>
        <v/>
      </c>
      <c r="H205" s="39" t="s">
        <v>135</v>
      </c>
      <c r="I205" s="81"/>
      <c r="J205" s="82" t="str">
        <f>IF(AND(A205&lt;&gt;"",E205&lt;&gt;""),IF(I205="","⚠️ Enter Code",IF(IFERROR(VLOOKUP(H205,DB_Agents!$B:$I,8,0),"")=I205,IF(C205&gt;=E205,"Successful","Unsuccessful"),"🔒 BLOCKED — Wrong Code")),"Pending")</f>
        <v>Pending</v>
      </c>
      <c r="K205" s="83" t="str">
        <f t="shared" ca="1" si="20"/>
        <v>—</v>
      </c>
      <c r="L205" s="84"/>
    </row>
    <row r="206" spans="1:12" ht="15" customHeight="1" x14ac:dyDescent="0.25">
      <c r="A206" s="85"/>
      <c r="B206" s="41" t="str">
        <f>IF(A206="","",IFERROR(VLOOKUP(A206,DB_Customers!$A:$D,4,0),"❌ Account Not Found"))</f>
        <v/>
      </c>
      <c r="C206" s="86" t="str">
        <f>IF(A206="","",IFERROR(VLOOKUP(A206,DB_Customers!$A:$N,14,0),"❌ Acct Not Found"))</f>
        <v/>
      </c>
      <c r="D206" s="87" t="str">
        <f t="shared" ca="1" si="18"/>
        <v/>
      </c>
      <c r="E206" s="94"/>
      <c r="F206" s="41"/>
      <c r="G206" s="96" t="str">
        <f t="shared" si="19"/>
        <v/>
      </c>
      <c r="H206" s="43" t="s">
        <v>135</v>
      </c>
      <c r="I206" s="81"/>
      <c r="J206" s="89" t="str">
        <f>IF(AND(A206&lt;&gt;"",E206&lt;&gt;""),IF(I206="","⚠️ Enter Code",IF(IFERROR(VLOOKUP(H206,DB_Agents!$B:$I,8,0),"")=I206,IF(C206&gt;=E206,"Successful","Unsuccessful"),"🔒 BLOCKED — Wrong Code")),"Pending")</f>
        <v>Pending</v>
      </c>
      <c r="K206" s="90" t="str">
        <f t="shared" ca="1" si="20"/>
        <v>—</v>
      </c>
      <c r="L206" s="91"/>
    </row>
    <row r="207" spans="1:12" ht="15" customHeight="1" x14ac:dyDescent="0.25">
      <c r="A207" s="76"/>
      <c r="B207" s="37" t="str">
        <f>IF(A207="","",IFERROR(VLOOKUP(A207,DB_Customers!$A:$D,4,0),"❌ Account Not Found"))</f>
        <v/>
      </c>
      <c r="C207" s="77" t="str">
        <f>IF(A207="","",IFERROR(VLOOKUP(A207,DB_Customers!$A:$N,14,0),"❌ Acct Not Found"))</f>
        <v/>
      </c>
      <c r="D207" s="78" t="str">
        <f t="shared" ca="1" si="18"/>
        <v/>
      </c>
      <c r="E207" s="94"/>
      <c r="F207" s="37"/>
      <c r="G207" s="95" t="str">
        <f t="shared" si="19"/>
        <v/>
      </c>
      <c r="H207" s="39" t="s">
        <v>135</v>
      </c>
      <c r="I207" s="81"/>
      <c r="J207" s="82" t="str">
        <f>IF(AND(A207&lt;&gt;"",E207&lt;&gt;""),IF(I207="","⚠️ Enter Code",IF(IFERROR(VLOOKUP(H207,DB_Agents!$B:$I,8,0),"")=I207,IF(C207&gt;=E207,"Successful","Unsuccessful"),"🔒 BLOCKED — Wrong Code")),"Pending")</f>
        <v>Pending</v>
      </c>
      <c r="K207" s="83" t="str">
        <f t="shared" ca="1" si="20"/>
        <v>—</v>
      </c>
      <c r="L207" s="84"/>
    </row>
    <row r="208" spans="1:12" ht="15" customHeight="1" x14ac:dyDescent="0.25">
      <c r="A208" s="85"/>
      <c r="B208" s="41" t="str">
        <f>IF(A208="","",IFERROR(VLOOKUP(A208,DB_Customers!$A:$D,4,0),"❌ Account Not Found"))</f>
        <v/>
      </c>
      <c r="C208" s="86" t="str">
        <f>IF(A208="","",IFERROR(VLOOKUP(A208,DB_Customers!$A:$N,14,0),"❌ Acct Not Found"))</f>
        <v/>
      </c>
      <c r="D208" s="87" t="str">
        <f t="shared" ca="1" si="18"/>
        <v/>
      </c>
      <c r="E208" s="94"/>
      <c r="F208" s="41"/>
      <c r="G208" s="96" t="str">
        <f t="shared" si="19"/>
        <v/>
      </c>
      <c r="H208" s="43" t="s">
        <v>135</v>
      </c>
      <c r="I208" s="81"/>
      <c r="J208" s="89" t="str">
        <f>IF(AND(A208&lt;&gt;"",E208&lt;&gt;""),IF(I208="","⚠️ Enter Code",IF(IFERROR(VLOOKUP(H208,DB_Agents!$B:$I,8,0),"")=I208,IF(C208&gt;=E208,"Successful","Unsuccessful"),"🔒 BLOCKED — Wrong Code")),"Pending")</f>
        <v>Pending</v>
      </c>
      <c r="K208" s="90" t="str">
        <f t="shared" ca="1" si="20"/>
        <v>—</v>
      </c>
      <c r="L208" s="91"/>
    </row>
  </sheetData>
  <mergeCells count="8">
    <mergeCell ref="A7:M7"/>
    <mergeCell ref="A4:C4"/>
    <mergeCell ref="A2:M2"/>
    <mergeCell ref="A1:M1"/>
    <mergeCell ref="A5:M5"/>
    <mergeCell ref="D4:F4"/>
    <mergeCell ref="D3:F3"/>
    <mergeCell ref="A3:C3"/>
  </mergeCells>
  <conditionalFormatting sqref="I9:I208">
    <cfRule type="cellIs" dxfId="79" priority="2" operator="equal">
      <formula>"Successful"</formula>
    </cfRule>
    <cfRule type="cellIs" dxfId="78" priority="3" operator="equal">
      <formula>"Unsuccessful"</formula>
    </cfRule>
  </conditionalFormatting>
  <conditionalFormatting sqref="A9:K208">
    <cfRule type="expression" dxfId="77" priority="4">
      <formula>$I9="Unsuccessful"</formula>
    </cfRule>
  </conditionalFormatting>
  <conditionalFormatting sqref="G9:G208">
    <cfRule type="cellIs" dxfId="76" priority="5" operator="lessThan">
      <formula>0</formula>
    </cfRule>
  </conditionalFormatting>
  <dataValidations count="1">
    <dataValidation type="list" sqref="H9:H208" xr:uid="{00000000-0002-0000-10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5" width="13" customWidth="1"/>
    <col min="6" max="6" width="20" customWidth="1"/>
    <col min="7" max="7" width="9" customWidth="1"/>
    <col min="8" max="8" width="8" customWidth="1"/>
    <col min="9" max="10" width="14" customWidth="1"/>
    <col min="11" max="11" width="18" customWidth="1"/>
    <col min="12" max="12" width="10" customWidth="1"/>
    <col min="13" max="13" width="12" customWidth="1"/>
    <col min="14" max="14" width="18" customWidth="1"/>
  </cols>
  <sheetData>
    <row r="1" spans="1:14" ht="31.5" customHeight="1" x14ac:dyDescent="0.25">
      <c r="A1" s="226" t="s">
        <v>352</v>
      </c>
    </row>
    <row r="2" spans="1:14" ht="19.5" customHeight="1" x14ac:dyDescent="0.25">
      <c r="A2" s="201" t="s">
        <v>2</v>
      </c>
    </row>
    <row r="4" spans="1:14" ht="21.75" customHeight="1" x14ac:dyDescent="0.25">
      <c r="A4" s="97" t="s">
        <v>333</v>
      </c>
    </row>
    <row r="5" spans="1:14" ht="19.5" customHeight="1" x14ac:dyDescent="0.25">
      <c r="A5" s="227" t="s">
        <v>334</v>
      </c>
      <c r="B5" s="202"/>
    </row>
    <row r="6" spans="1:14" ht="19.5" customHeight="1" x14ac:dyDescent="0.25">
      <c r="A6" s="227" t="s">
        <v>335</v>
      </c>
      <c r="B6" s="202"/>
    </row>
    <row r="7" spans="1:14" ht="19.5" customHeight="1" x14ac:dyDescent="0.25">
      <c r="A7" s="227" t="s">
        <v>336</v>
      </c>
      <c r="B7" s="228">
        <v>2.5</v>
      </c>
    </row>
    <row r="8" spans="1:14" ht="19.5" customHeight="1" x14ac:dyDescent="0.25">
      <c r="A8" s="99" t="s">
        <v>337</v>
      </c>
      <c r="B8" s="203" t="str">
        <f>IF(B5="","",B5*B7/100*B6)</f>
        <v/>
      </c>
    </row>
    <row r="9" spans="1:14" ht="19.5" customHeight="1" x14ac:dyDescent="0.25">
      <c r="A9" s="99" t="s">
        <v>338</v>
      </c>
      <c r="B9" s="204" t="str">
        <f>IF(B5="","",B5+(B5*B7/100*B6))</f>
        <v/>
      </c>
    </row>
    <row r="10" spans="1:14" ht="19.5" customHeight="1" x14ac:dyDescent="0.25">
      <c r="A10" s="99" t="s">
        <v>339</v>
      </c>
      <c r="B10" s="204" t="str">
        <f>IFERROR(B9/B6,"")</f>
        <v/>
      </c>
    </row>
    <row r="11" spans="1:14" ht="7.5" customHeight="1" x14ac:dyDescent="0.25"/>
    <row r="12" spans="1:14" ht="21.75" customHeight="1" x14ac:dyDescent="0.25">
      <c r="A12" s="205"/>
    </row>
    <row r="13" spans="1:14" ht="27.95" customHeight="1" x14ac:dyDescent="0.25">
      <c r="A13" s="212" t="s">
        <v>82</v>
      </c>
      <c r="B13" s="212" t="s">
        <v>315</v>
      </c>
      <c r="C13" s="212" t="s">
        <v>77</v>
      </c>
      <c r="D13" s="212" t="s">
        <v>84</v>
      </c>
      <c r="E13" s="212" t="s">
        <v>340</v>
      </c>
      <c r="F13" s="212" t="s">
        <v>8</v>
      </c>
      <c r="G13" s="212" t="s">
        <v>9</v>
      </c>
      <c r="H13" s="212" t="s">
        <v>86</v>
      </c>
      <c r="I13" s="212" t="s">
        <v>341</v>
      </c>
      <c r="J13" s="212" t="s">
        <v>342</v>
      </c>
      <c r="K13" s="212" t="s">
        <v>13</v>
      </c>
      <c r="L13" s="212" t="s">
        <v>14</v>
      </c>
      <c r="M13" s="212" t="s">
        <v>319</v>
      </c>
      <c r="N13" s="212" t="s">
        <v>15</v>
      </c>
    </row>
    <row r="14" spans="1:14" ht="18" customHeight="1" x14ac:dyDescent="0.25">
      <c r="A14" s="229" t="str">
        <f t="shared" ref="A14:A45" si="0">IF(B14="","",IF(C14="❌ Account Not Found","INVALID","LN"&amp;TEXT(D14,"YYYYMMDD")&amp;TEXT(ROW()-13,"0000")))</f>
        <v/>
      </c>
      <c r="B14" s="230"/>
      <c r="C14" s="231" t="str">
        <f>IF(B14="","",IFERROR(VLOOKUP(B14,DB_Customers!$A:$D,4,0),"❌ Account Not Found"))</f>
        <v/>
      </c>
      <c r="D14" s="232" t="str">
        <f t="shared" ref="D14:D45" ca="1" si="1">IF(B14="","",TODAY())</f>
        <v/>
      </c>
      <c r="E14" s="233"/>
      <c r="F14" s="231"/>
      <c r="G14" s="234"/>
      <c r="H14" s="235">
        <v>2.5</v>
      </c>
      <c r="I14" s="236" t="str">
        <f t="shared" ref="I14:I45" si="2">IF(E14="","",E14+(E14*H14/100*G14))</f>
        <v/>
      </c>
      <c r="J14" s="237" t="str">
        <f t="shared" ref="J14:J45" si="3">IFERROR(I14/G14,"")</f>
        <v/>
      </c>
      <c r="K14" s="238" t="str">
        <f>IF(B14="","Pending",IF(M14="","⚠️ Enter Code",IF(IFERROR(VLOOKUP(L14,DB_Agents!$B:$I,8,0),"")=M14,"Pending","🔒 BLOCKED — Wrong Code")))</f>
        <v>Pending</v>
      </c>
      <c r="L14" s="239" t="s">
        <v>135</v>
      </c>
      <c r="M14" s="240"/>
      <c r="N14" s="230"/>
    </row>
    <row r="15" spans="1:14" ht="18" customHeight="1" x14ac:dyDescent="0.25">
      <c r="A15" s="241" t="str">
        <f t="shared" si="0"/>
        <v/>
      </c>
      <c r="B15" s="242"/>
      <c r="C15" s="243" t="str">
        <f>IF(B15="","",IFERROR(VLOOKUP(B15,DB_Customers!$A:$D,4,0),"❌ Account Not Found"))</f>
        <v/>
      </c>
      <c r="D15" s="244" t="str">
        <f t="shared" ca="1" si="1"/>
        <v/>
      </c>
      <c r="E15" s="245"/>
      <c r="F15" s="243"/>
      <c r="G15" s="246"/>
      <c r="H15" s="247">
        <v>2.5</v>
      </c>
      <c r="I15" s="248" t="str">
        <f t="shared" si="2"/>
        <v/>
      </c>
      <c r="J15" s="249" t="str">
        <f t="shared" si="3"/>
        <v/>
      </c>
      <c r="K15" s="250" t="str">
        <f>IF(B15="","Pending",IF(M15="","⚠️ Enter Code",IF(IFERROR(VLOOKUP(L15,DB_Agents!$B:$I,8,0),"")=M15,"Pending","🔒 BLOCKED — Wrong Code")))</f>
        <v>Pending</v>
      </c>
      <c r="L15" s="251" t="s">
        <v>135</v>
      </c>
      <c r="M15" s="252"/>
      <c r="N15" s="242"/>
    </row>
    <row r="16" spans="1:14" ht="18" customHeight="1" x14ac:dyDescent="0.25">
      <c r="A16" s="229" t="str">
        <f t="shared" si="0"/>
        <v/>
      </c>
      <c r="B16" s="230"/>
      <c r="C16" s="231" t="str">
        <f>IF(B16="","",IFERROR(VLOOKUP(B16,DB_Customers!$A:$D,4,0),"❌ Account Not Found"))</f>
        <v/>
      </c>
      <c r="D16" s="232" t="str">
        <f t="shared" ca="1" si="1"/>
        <v/>
      </c>
      <c r="E16" s="233"/>
      <c r="F16" s="231"/>
      <c r="G16" s="234"/>
      <c r="H16" s="235">
        <v>2.5</v>
      </c>
      <c r="I16" s="236" t="str">
        <f t="shared" si="2"/>
        <v/>
      </c>
      <c r="J16" s="237" t="str">
        <f t="shared" si="3"/>
        <v/>
      </c>
      <c r="K16" s="238" t="str">
        <f>IF(B16="","Pending",IF(M16="","⚠️ Enter Code",IF(IFERROR(VLOOKUP(L16,DB_Agents!$B:$I,8,0),"")=M16,"Pending","🔒 BLOCKED — Wrong Code")))</f>
        <v>Pending</v>
      </c>
      <c r="L16" s="239" t="s">
        <v>135</v>
      </c>
      <c r="M16" s="240"/>
      <c r="N16" s="230"/>
    </row>
    <row r="17" spans="1:14" ht="18" customHeight="1" x14ac:dyDescent="0.25">
      <c r="A17" s="241" t="str">
        <f t="shared" si="0"/>
        <v/>
      </c>
      <c r="B17" s="242"/>
      <c r="C17" s="243" t="str">
        <f>IF(B17="","",IFERROR(VLOOKUP(B17,DB_Customers!$A:$D,4,0),"❌ Account Not Found"))</f>
        <v/>
      </c>
      <c r="D17" s="244" t="str">
        <f t="shared" ca="1" si="1"/>
        <v/>
      </c>
      <c r="E17" s="245"/>
      <c r="F17" s="243"/>
      <c r="G17" s="246"/>
      <c r="H17" s="247">
        <v>2.5</v>
      </c>
      <c r="I17" s="248" t="str">
        <f t="shared" si="2"/>
        <v/>
      </c>
      <c r="J17" s="249" t="str">
        <f t="shared" si="3"/>
        <v/>
      </c>
      <c r="K17" s="250" t="str">
        <f>IF(B17="","Pending",IF(M17="","⚠️ Enter Code",IF(IFERROR(VLOOKUP(L17,DB_Agents!$B:$I,8,0),"")=M17,"Pending","🔒 BLOCKED — Wrong Code")))</f>
        <v>Pending</v>
      </c>
      <c r="L17" s="251" t="s">
        <v>135</v>
      </c>
      <c r="M17" s="252"/>
      <c r="N17" s="242"/>
    </row>
    <row r="18" spans="1:14" ht="18" customHeight="1" x14ac:dyDescent="0.25">
      <c r="A18" s="229" t="str">
        <f t="shared" si="0"/>
        <v/>
      </c>
      <c r="B18" s="230"/>
      <c r="C18" s="231" t="str">
        <f>IF(B18="","",IFERROR(VLOOKUP(B18,DB_Customers!$A:$D,4,0),"❌ Account Not Found"))</f>
        <v/>
      </c>
      <c r="D18" s="232" t="str">
        <f t="shared" ca="1" si="1"/>
        <v/>
      </c>
      <c r="E18" s="233"/>
      <c r="F18" s="231"/>
      <c r="G18" s="234"/>
      <c r="H18" s="235">
        <v>2.5</v>
      </c>
      <c r="I18" s="236" t="str">
        <f t="shared" si="2"/>
        <v/>
      </c>
      <c r="J18" s="237" t="str">
        <f t="shared" si="3"/>
        <v/>
      </c>
      <c r="K18" s="238" t="str">
        <f>IF(B18="","Pending",IF(M18="","⚠️ Enter Code",IF(IFERROR(VLOOKUP(L18,DB_Agents!$B:$I,8,0),"")=M18,"Pending","🔒 BLOCKED — Wrong Code")))</f>
        <v>Pending</v>
      </c>
      <c r="L18" s="239" t="s">
        <v>135</v>
      </c>
      <c r="M18" s="240"/>
      <c r="N18" s="230"/>
    </row>
    <row r="19" spans="1:14" ht="18" customHeight="1" x14ac:dyDescent="0.25">
      <c r="A19" s="241" t="str">
        <f t="shared" si="0"/>
        <v/>
      </c>
      <c r="B19" s="242"/>
      <c r="C19" s="243" t="str">
        <f>IF(B19="","",IFERROR(VLOOKUP(B19,DB_Customers!$A:$D,4,0),"❌ Account Not Found"))</f>
        <v/>
      </c>
      <c r="D19" s="244" t="str">
        <f t="shared" ca="1" si="1"/>
        <v/>
      </c>
      <c r="E19" s="245"/>
      <c r="F19" s="243"/>
      <c r="G19" s="246"/>
      <c r="H19" s="247">
        <v>2.5</v>
      </c>
      <c r="I19" s="248" t="str">
        <f t="shared" si="2"/>
        <v/>
      </c>
      <c r="J19" s="249" t="str">
        <f t="shared" si="3"/>
        <v/>
      </c>
      <c r="K19" s="250" t="str">
        <f>IF(B19="","Pending",IF(M19="","⚠️ Enter Code",IF(IFERROR(VLOOKUP(L19,DB_Agents!$B:$I,8,0),"")=M19,"Pending","🔒 BLOCKED — Wrong Code")))</f>
        <v>Pending</v>
      </c>
      <c r="L19" s="251" t="s">
        <v>135</v>
      </c>
      <c r="M19" s="252"/>
      <c r="N19" s="242"/>
    </row>
    <row r="20" spans="1:14" ht="18" customHeight="1" x14ac:dyDescent="0.25">
      <c r="A20" s="229" t="str">
        <f t="shared" si="0"/>
        <v/>
      </c>
      <c r="B20" s="230"/>
      <c r="C20" s="231" t="str">
        <f>IF(B20="","",IFERROR(VLOOKUP(B20,DB_Customers!$A:$D,4,0),"❌ Account Not Found"))</f>
        <v/>
      </c>
      <c r="D20" s="232" t="str">
        <f t="shared" ca="1" si="1"/>
        <v/>
      </c>
      <c r="E20" s="233"/>
      <c r="F20" s="231"/>
      <c r="G20" s="234"/>
      <c r="H20" s="235">
        <v>2.5</v>
      </c>
      <c r="I20" s="236" t="str">
        <f t="shared" si="2"/>
        <v/>
      </c>
      <c r="J20" s="237" t="str">
        <f t="shared" si="3"/>
        <v/>
      </c>
      <c r="K20" s="238" t="str">
        <f>IF(B20="","Pending",IF(M20="","⚠️ Enter Code",IF(IFERROR(VLOOKUP(L20,DB_Agents!$B:$I,8,0),"")=M20,"Pending","🔒 BLOCKED — Wrong Code")))</f>
        <v>Pending</v>
      </c>
      <c r="L20" s="239" t="s">
        <v>135</v>
      </c>
      <c r="M20" s="240"/>
      <c r="N20" s="230"/>
    </row>
    <row r="21" spans="1:14" ht="18" customHeight="1" x14ac:dyDescent="0.25">
      <c r="A21" s="241" t="str">
        <f t="shared" si="0"/>
        <v/>
      </c>
      <c r="B21" s="242"/>
      <c r="C21" s="243" t="str">
        <f>IF(B21="","",IFERROR(VLOOKUP(B21,DB_Customers!$A:$D,4,0),"❌ Account Not Found"))</f>
        <v/>
      </c>
      <c r="D21" s="244" t="str">
        <f t="shared" ca="1" si="1"/>
        <v/>
      </c>
      <c r="E21" s="245"/>
      <c r="F21" s="243"/>
      <c r="G21" s="246"/>
      <c r="H21" s="247">
        <v>2.5</v>
      </c>
      <c r="I21" s="248" t="str">
        <f t="shared" si="2"/>
        <v/>
      </c>
      <c r="J21" s="249" t="str">
        <f t="shared" si="3"/>
        <v/>
      </c>
      <c r="K21" s="250" t="str">
        <f>IF(B21="","Pending",IF(M21="","⚠️ Enter Code",IF(IFERROR(VLOOKUP(L21,DB_Agents!$B:$I,8,0),"")=M21,"Pending","🔒 BLOCKED — Wrong Code")))</f>
        <v>Pending</v>
      </c>
      <c r="L21" s="251" t="s">
        <v>135</v>
      </c>
      <c r="M21" s="252"/>
      <c r="N21" s="242"/>
    </row>
    <row r="22" spans="1:14" ht="18" customHeight="1" x14ac:dyDescent="0.25">
      <c r="A22" s="229" t="str">
        <f t="shared" si="0"/>
        <v/>
      </c>
      <c r="B22" s="230"/>
      <c r="C22" s="231" t="str">
        <f>IF(B22="","",IFERROR(VLOOKUP(B22,DB_Customers!$A:$D,4,0),"❌ Account Not Found"))</f>
        <v/>
      </c>
      <c r="D22" s="232" t="str">
        <f t="shared" ca="1" si="1"/>
        <v/>
      </c>
      <c r="E22" s="233"/>
      <c r="F22" s="231"/>
      <c r="G22" s="234"/>
      <c r="H22" s="235">
        <v>2.5</v>
      </c>
      <c r="I22" s="236" t="str">
        <f t="shared" si="2"/>
        <v/>
      </c>
      <c r="J22" s="237" t="str">
        <f t="shared" si="3"/>
        <v/>
      </c>
      <c r="K22" s="238" t="str">
        <f>IF(B22="","Pending",IF(M22="","⚠️ Enter Code",IF(IFERROR(VLOOKUP(L22,DB_Agents!$B:$I,8,0),"")=M22,"Pending","🔒 BLOCKED — Wrong Code")))</f>
        <v>Pending</v>
      </c>
      <c r="L22" s="239" t="s">
        <v>135</v>
      </c>
      <c r="M22" s="240"/>
      <c r="N22" s="230"/>
    </row>
    <row r="23" spans="1:14" ht="18" customHeight="1" x14ac:dyDescent="0.25">
      <c r="A23" s="241" t="str">
        <f t="shared" si="0"/>
        <v/>
      </c>
      <c r="B23" s="242"/>
      <c r="C23" s="243" t="str">
        <f>IF(B23="","",IFERROR(VLOOKUP(B23,DB_Customers!$A:$D,4,0),"❌ Account Not Found"))</f>
        <v/>
      </c>
      <c r="D23" s="244" t="str">
        <f t="shared" ca="1" si="1"/>
        <v/>
      </c>
      <c r="E23" s="245"/>
      <c r="F23" s="243"/>
      <c r="G23" s="246"/>
      <c r="H23" s="247">
        <v>2.5</v>
      </c>
      <c r="I23" s="248" t="str">
        <f t="shared" si="2"/>
        <v/>
      </c>
      <c r="J23" s="249" t="str">
        <f t="shared" si="3"/>
        <v/>
      </c>
      <c r="K23" s="250" t="str">
        <f>IF(B23="","Pending",IF(M23="","⚠️ Enter Code",IF(IFERROR(VLOOKUP(L23,DB_Agents!$B:$I,8,0),"")=M23,"Pending","🔒 BLOCKED — Wrong Code")))</f>
        <v>Pending</v>
      </c>
      <c r="L23" s="251" t="s">
        <v>135</v>
      </c>
      <c r="M23" s="252"/>
      <c r="N23" s="242"/>
    </row>
    <row r="24" spans="1:14" ht="18" customHeight="1" x14ac:dyDescent="0.25">
      <c r="A24" s="229" t="str">
        <f t="shared" si="0"/>
        <v/>
      </c>
      <c r="B24" s="230"/>
      <c r="C24" s="231" t="str">
        <f>IF(B24="","",IFERROR(VLOOKUP(B24,DB_Customers!$A:$D,4,0),"❌ Account Not Found"))</f>
        <v/>
      </c>
      <c r="D24" s="232" t="str">
        <f t="shared" ca="1" si="1"/>
        <v/>
      </c>
      <c r="E24" s="233"/>
      <c r="F24" s="231"/>
      <c r="G24" s="234"/>
      <c r="H24" s="235">
        <v>2.5</v>
      </c>
      <c r="I24" s="236" t="str">
        <f t="shared" si="2"/>
        <v/>
      </c>
      <c r="J24" s="237" t="str">
        <f t="shared" si="3"/>
        <v/>
      </c>
      <c r="K24" s="238" t="str">
        <f>IF(B24="","Pending",IF(M24="","⚠️ Enter Code",IF(IFERROR(VLOOKUP(L24,DB_Agents!$B:$I,8,0),"")=M24,"Pending","🔒 BLOCKED — Wrong Code")))</f>
        <v>Pending</v>
      </c>
      <c r="L24" s="239" t="s">
        <v>135</v>
      </c>
      <c r="M24" s="240"/>
      <c r="N24" s="230"/>
    </row>
    <row r="25" spans="1:14" ht="18" customHeight="1" x14ac:dyDescent="0.25">
      <c r="A25" s="241" t="str">
        <f t="shared" si="0"/>
        <v/>
      </c>
      <c r="B25" s="242"/>
      <c r="C25" s="243" t="str">
        <f>IF(B25="","",IFERROR(VLOOKUP(B25,DB_Customers!$A:$D,4,0),"❌ Account Not Found"))</f>
        <v/>
      </c>
      <c r="D25" s="244" t="str">
        <f t="shared" ca="1" si="1"/>
        <v/>
      </c>
      <c r="E25" s="245"/>
      <c r="F25" s="243"/>
      <c r="G25" s="246"/>
      <c r="H25" s="247">
        <v>2.5</v>
      </c>
      <c r="I25" s="248" t="str">
        <f t="shared" si="2"/>
        <v/>
      </c>
      <c r="J25" s="249" t="str">
        <f t="shared" si="3"/>
        <v/>
      </c>
      <c r="K25" s="250" t="str">
        <f>IF(B25="","Pending",IF(M25="","⚠️ Enter Code",IF(IFERROR(VLOOKUP(L25,DB_Agents!$B:$I,8,0),"")=M25,"Pending","🔒 BLOCKED — Wrong Code")))</f>
        <v>Pending</v>
      </c>
      <c r="L25" s="251" t="s">
        <v>135</v>
      </c>
      <c r="M25" s="252"/>
      <c r="N25" s="242"/>
    </row>
    <row r="26" spans="1:14" ht="18" customHeight="1" x14ac:dyDescent="0.25">
      <c r="A26" s="229" t="str">
        <f t="shared" si="0"/>
        <v/>
      </c>
      <c r="B26" s="230"/>
      <c r="C26" s="231" t="str">
        <f>IF(B26="","",IFERROR(VLOOKUP(B26,DB_Customers!$A:$D,4,0),"❌ Account Not Found"))</f>
        <v/>
      </c>
      <c r="D26" s="232" t="str">
        <f t="shared" ca="1" si="1"/>
        <v/>
      </c>
      <c r="E26" s="233"/>
      <c r="F26" s="231"/>
      <c r="G26" s="234"/>
      <c r="H26" s="235">
        <v>2.5</v>
      </c>
      <c r="I26" s="236" t="str">
        <f t="shared" si="2"/>
        <v/>
      </c>
      <c r="J26" s="237" t="str">
        <f t="shared" si="3"/>
        <v/>
      </c>
      <c r="K26" s="238" t="str">
        <f>IF(B26="","Pending",IF(M26="","⚠️ Enter Code",IF(IFERROR(VLOOKUP(L26,DB_Agents!$B:$I,8,0),"")=M26,"Pending","🔒 BLOCKED — Wrong Code")))</f>
        <v>Pending</v>
      </c>
      <c r="L26" s="239" t="s">
        <v>135</v>
      </c>
      <c r="M26" s="240"/>
      <c r="N26" s="230"/>
    </row>
    <row r="27" spans="1:14" ht="18" customHeight="1" x14ac:dyDescent="0.25">
      <c r="A27" s="241" t="str">
        <f t="shared" si="0"/>
        <v/>
      </c>
      <c r="B27" s="242"/>
      <c r="C27" s="243" t="str">
        <f>IF(B27="","",IFERROR(VLOOKUP(B27,DB_Customers!$A:$D,4,0),"❌ Account Not Found"))</f>
        <v/>
      </c>
      <c r="D27" s="244" t="str">
        <f t="shared" ca="1" si="1"/>
        <v/>
      </c>
      <c r="E27" s="245"/>
      <c r="F27" s="243"/>
      <c r="G27" s="246"/>
      <c r="H27" s="247">
        <v>2.5</v>
      </c>
      <c r="I27" s="248" t="str">
        <f t="shared" si="2"/>
        <v/>
      </c>
      <c r="J27" s="249" t="str">
        <f t="shared" si="3"/>
        <v/>
      </c>
      <c r="K27" s="250" t="str">
        <f>IF(B27="","Pending",IF(M27="","⚠️ Enter Code",IF(IFERROR(VLOOKUP(L27,DB_Agents!$B:$I,8,0),"")=M27,"Pending","🔒 BLOCKED — Wrong Code")))</f>
        <v>Pending</v>
      </c>
      <c r="L27" s="251" t="s">
        <v>135</v>
      </c>
      <c r="M27" s="252"/>
      <c r="N27" s="242"/>
    </row>
    <row r="28" spans="1:14" ht="18" customHeight="1" x14ac:dyDescent="0.25">
      <c r="A28" s="229" t="str">
        <f t="shared" si="0"/>
        <v/>
      </c>
      <c r="B28" s="230"/>
      <c r="C28" s="231" t="str">
        <f>IF(B28="","",IFERROR(VLOOKUP(B28,DB_Customers!$A:$D,4,0),"❌ Account Not Found"))</f>
        <v/>
      </c>
      <c r="D28" s="232" t="str">
        <f t="shared" ca="1" si="1"/>
        <v/>
      </c>
      <c r="E28" s="233"/>
      <c r="F28" s="231"/>
      <c r="G28" s="234"/>
      <c r="H28" s="235">
        <v>2.5</v>
      </c>
      <c r="I28" s="236" t="str">
        <f t="shared" si="2"/>
        <v/>
      </c>
      <c r="J28" s="237" t="str">
        <f t="shared" si="3"/>
        <v/>
      </c>
      <c r="K28" s="238" t="str">
        <f>IF(B28="","Pending",IF(M28="","⚠️ Enter Code",IF(IFERROR(VLOOKUP(L28,DB_Agents!$B:$I,8,0),"")=M28,"Pending","🔒 BLOCKED — Wrong Code")))</f>
        <v>Pending</v>
      </c>
      <c r="L28" s="239" t="s">
        <v>135</v>
      </c>
      <c r="M28" s="240"/>
      <c r="N28" s="230"/>
    </row>
    <row r="29" spans="1:14" ht="18" customHeight="1" x14ac:dyDescent="0.25">
      <c r="A29" s="241" t="str">
        <f t="shared" si="0"/>
        <v/>
      </c>
      <c r="B29" s="242"/>
      <c r="C29" s="243" t="str">
        <f>IF(B29="","",IFERROR(VLOOKUP(B29,DB_Customers!$A:$D,4,0),"❌ Account Not Found"))</f>
        <v/>
      </c>
      <c r="D29" s="244" t="str">
        <f t="shared" ca="1" si="1"/>
        <v/>
      </c>
      <c r="E29" s="245"/>
      <c r="F29" s="243"/>
      <c r="G29" s="246"/>
      <c r="H29" s="247">
        <v>2.5</v>
      </c>
      <c r="I29" s="248" t="str">
        <f t="shared" si="2"/>
        <v/>
      </c>
      <c r="J29" s="249" t="str">
        <f t="shared" si="3"/>
        <v/>
      </c>
      <c r="K29" s="250" t="str">
        <f>IF(B29="","Pending",IF(M29="","⚠️ Enter Code",IF(IFERROR(VLOOKUP(L29,DB_Agents!$B:$I,8,0),"")=M29,"Pending","🔒 BLOCKED — Wrong Code")))</f>
        <v>Pending</v>
      </c>
      <c r="L29" s="251" t="s">
        <v>135</v>
      </c>
      <c r="M29" s="252"/>
      <c r="N29" s="242"/>
    </row>
    <row r="30" spans="1:14" ht="18" customHeight="1" x14ac:dyDescent="0.25">
      <c r="A30" s="229" t="str">
        <f t="shared" si="0"/>
        <v/>
      </c>
      <c r="B30" s="230"/>
      <c r="C30" s="231" t="str">
        <f>IF(B30="","",IFERROR(VLOOKUP(B30,DB_Customers!$A:$D,4,0),"❌ Account Not Found"))</f>
        <v/>
      </c>
      <c r="D30" s="232" t="str">
        <f t="shared" ca="1" si="1"/>
        <v/>
      </c>
      <c r="E30" s="233"/>
      <c r="F30" s="231"/>
      <c r="G30" s="234"/>
      <c r="H30" s="235">
        <v>2.5</v>
      </c>
      <c r="I30" s="236" t="str">
        <f t="shared" si="2"/>
        <v/>
      </c>
      <c r="J30" s="237" t="str">
        <f t="shared" si="3"/>
        <v/>
      </c>
      <c r="K30" s="238" t="str">
        <f>IF(B30="","Pending",IF(M30="","⚠️ Enter Code",IF(IFERROR(VLOOKUP(L30,DB_Agents!$B:$I,8,0),"")=M30,"Pending","🔒 BLOCKED — Wrong Code")))</f>
        <v>Pending</v>
      </c>
      <c r="L30" s="239" t="s">
        <v>135</v>
      </c>
      <c r="M30" s="240"/>
      <c r="N30" s="230"/>
    </row>
    <row r="31" spans="1:14" ht="18" customHeight="1" x14ac:dyDescent="0.25">
      <c r="A31" s="241" t="str">
        <f t="shared" si="0"/>
        <v/>
      </c>
      <c r="B31" s="242"/>
      <c r="C31" s="243" t="str">
        <f>IF(B31="","",IFERROR(VLOOKUP(B31,DB_Customers!$A:$D,4,0),"❌ Account Not Found"))</f>
        <v/>
      </c>
      <c r="D31" s="244" t="str">
        <f t="shared" ca="1" si="1"/>
        <v/>
      </c>
      <c r="E31" s="245"/>
      <c r="F31" s="243"/>
      <c r="G31" s="246"/>
      <c r="H31" s="247">
        <v>2.5</v>
      </c>
      <c r="I31" s="248" t="str">
        <f t="shared" si="2"/>
        <v/>
      </c>
      <c r="J31" s="249" t="str">
        <f t="shared" si="3"/>
        <v/>
      </c>
      <c r="K31" s="250" t="str">
        <f>IF(B31="","Pending",IF(M31="","⚠️ Enter Code",IF(IFERROR(VLOOKUP(L31,DB_Agents!$B:$I,8,0),"")=M31,"Pending","🔒 BLOCKED — Wrong Code")))</f>
        <v>Pending</v>
      </c>
      <c r="L31" s="251" t="s">
        <v>135</v>
      </c>
      <c r="M31" s="252"/>
      <c r="N31" s="242"/>
    </row>
    <row r="32" spans="1:14" ht="18" customHeight="1" x14ac:dyDescent="0.25">
      <c r="A32" s="229" t="str">
        <f t="shared" si="0"/>
        <v/>
      </c>
      <c r="B32" s="230"/>
      <c r="C32" s="231" t="str">
        <f>IF(B32="","",IFERROR(VLOOKUP(B32,DB_Customers!$A:$D,4,0),"❌ Account Not Found"))</f>
        <v/>
      </c>
      <c r="D32" s="232" t="str">
        <f t="shared" ca="1" si="1"/>
        <v/>
      </c>
      <c r="E32" s="233"/>
      <c r="F32" s="231"/>
      <c r="G32" s="234"/>
      <c r="H32" s="235">
        <v>2.5</v>
      </c>
      <c r="I32" s="236" t="str">
        <f t="shared" si="2"/>
        <v/>
      </c>
      <c r="J32" s="237" t="str">
        <f t="shared" si="3"/>
        <v/>
      </c>
      <c r="K32" s="238" t="str">
        <f>IF(B32="","Pending",IF(M32="","⚠️ Enter Code",IF(IFERROR(VLOOKUP(L32,DB_Agents!$B:$I,8,0),"")=M32,"Pending","🔒 BLOCKED — Wrong Code")))</f>
        <v>Pending</v>
      </c>
      <c r="L32" s="239" t="s">
        <v>135</v>
      </c>
      <c r="M32" s="240"/>
      <c r="N32" s="230"/>
    </row>
    <row r="33" spans="1:14" ht="18" customHeight="1" x14ac:dyDescent="0.25">
      <c r="A33" s="241" t="str">
        <f t="shared" si="0"/>
        <v/>
      </c>
      <c r="B33" s="242"/>
      <c r="C33" s="243" t="str">
        <f>IF(B33="","",IFERROR(VLOOKUP(B33,DB_Customers!$A:$D,4,0),"❌ Account Not Found"))</f>
        <v/>
      </c>
      <c r="D33" s="244" t="str">
        <f t="shared" ca="1" si="1"/>
        <v/>
      </c>
      <c r="E33" s="245"/>
      <c r="F33" s="243"/>
      <c r="G33" s="246"/>
      <c r="H33" s="247">
        <v>2.5</v>
      </c>
      <c r="I33" s="248" t="str">
        <f t="shared" si="2"/>
        <v/>
      </c>
      <c r="J33" s="249" t="str">
        <f t="shared" si="3"/>
        <v/>
      </c>
      <c r="K33" s="250" t="str">
        <f>IF(B33="","Pending",IF(M33="","⚠️ Enter Code",IF(IFERROR(VLOOKUP(L33,DB_Agents!$B:$I,8,0),"")=M33,"Pending","🔒 BLOCKED — Wrong Code")))</f>
        <v>Pending</v>
      </c>
      <c r="L33" s="251" t="s">
        <v>135</v>
      </c>
      <c r="M33" s="252"/>
      <c r="N33" s="242"/>
    </row>
    <row r="34" spans="1:14" ht="18" customHeight="1" x14ac:dyDescent="0.25">
      <c r="A34" s="229" t="str">
        <f t="shared" si="0"/>
        <v/>
      </c>
      <c r="B34" s="230"/>
      <c r="C34" s="231" t="str">
        <f>IF(B34="","",IFERROR(VLOOKUP(B34,DB_Customers!$A:$D,4,0),"❌ Account Not Found"))</f>
        <v/>
      </c>
      <c r="D34" s="232" t="str">
        <f t="shared" ca="1" si="1"/>
        <v/>
      </c>
      <c r="E34" s="233"/>
      <c r="F34" s="231"/>
      <c r="G34" s="234"/>
      <c r="H34" s="235">
        <v>2.5</v>
      </c>
      <c r="I34" s="236" t="str">
        <f t="shared" si="2"/>
        <v/>
      </c>
      <c r="J34" s="237" t="str">
        <f t="shared" si="3"/>
        <v/>
      </c>
      <c r="K34" s="238" t="str">
        <f>IF(B34="","Pending",IF(M34="","⚠️ Enter Code",IF(IFERROR(VLOOKUP(L34,DB_Agents!$B:$I,8,0),"")=M34,"Pending","🔒 BLOCKED — Wrong Code")))</f>
        <v>Pending</v>
      </c>
      <c r="L34" s="239" t="s">
        <v>135</v>
      </c>
      <c r="M34" s="240"/>
      <c r="N34" s="230"/>
    </row>
    <row r="35" spans="1:14" ht="18" customHeight="1" x14ac:dyDescent="0.25">
      <c r="A35" s="241" t="str">
        <f t="shared" si="0"/>
        <v/>
      </c>
      <c r="B35" s="242"/>
      <c r="C35" s="243" t="str">
        <f>IF(B35="","",IFERROR(VLOOKUP(B35,DB_Customers!$A:$D,4,0),"❌ Account Not Found"))</f>
        <v/>
      </c>
      <c r="D35" s="244" t="str">
        <f t="shared" ca="1" si="1"/>
        <v/>
      </c>
      <c r="E35" s="245"/>
      <c r="F35" s="243"/>
      <c r="G35" s="246"/>
      <c r="H35" s="247">
        <v>2.5</v>
      </c>
      <c r="I35" s="248" t="str">
        <f t="shared" si="2"/>
        <v/>
      </c>
      <c r="J35" s="249" t="str">
        <f t="shared" si="3"/>
        <v/>
      </c>
      <c r="K35" s="250" t="str">
        <f>IF(B35="","Pending",IF(M35="","⚠️ Enter Code",IF(IFERROR(VLOOKUP(L35,DB_Agents!$B:$I,8,0),"")=M35,"Pending","🔒 BLOCKED — Wrong Code")))</f>
        <v>Pending</v>
      </c>
      <c r="L35" s="251" t="s">
        <v>135</v>
      </c>
      <c r="M35" s="252"/>
      <c r="N35" s="242"/>
    </row>
    <row r="36" spans="1:14" ht="18" customHeight="1" x14ac:dyDescent="0.25">
      <c r="A36" s="229" t="str">
        <f t="shared" si="0"/>
        <v/>
      </c>
      <c r="B36" s="230"/>
      <c r="C36" s="231" t="str">
        <f>IF(B36="","",IFERROR(VLOOKUP(B36,DB_Customers!$A:$D,4,0),"❌ Account Not Found"))</f>
        <v/>
      </c>
      <c r="D36" s="232" t="str">
        <f t="shared" ca="1" si="1"/>
        <v/>
      </c>
      <c r="E36" s="233"/>
      <c r="F36" s="231"/>
      <c r="G36" s="234"/>
      <c r="H36" s="235">
        <v>2.5</v>
      </c>
      <c r="I36" s="236" t="str">
        <f t="shared" si="2"/>
        <v/>
      </c>
      <c r="J36" s="237" t="str">
        <f t="shared" si="3"/>
        <v/>
      </c>
      <c r="K36" s="238" t="str">
        <f>IF(B36="","Pending",IF(M36="","⚠️ Enter Code",IF(IFERROR(VLOOKUP(L36,DB_Agents!$B:$I,8,0),"")=M36,"Pending","🔒 BLOCKED — Wrong Code")))</f>
        <v>Pending</v>
      </c>
      <c r="L36" s="239" t="s">
        <v>135</v>
      </c>
      <c r="M36" s="240"/>
      <c r="N36" s="230"/>
    </row>
    <row r="37" spans="1:14" ht="18" customHeight="1" x14ac:dyDescent="0.25">
      <c r="A37" s="241" t="str">
        <f t="shared" si="0"/>
        <v/>
      </c>
      <c r="B37" s="242"/>
      <c r="C37" s="243" t="str">
        <f>IF(B37="","",IFERROR(VLOOKUP(B37,DB_Customers!$A:$D,4,0),"❌ Account Not Found"))</f>
        <v/>
      </c>
      <c r="D37" s="244" t="str">
        <f t="shared" ca="1" si="1"/>
        <v/>
      </c>
      <c r="E37" s="245"/>
      <c r="F37" s="243"/>
      <c r="G37" s="246"/>
      <c r="H37" s="247">
        <v>2.5</v>
      </c>
      <c r="I37" s="248" t="str">
        <f t="shared" si="2"/>
        <v/>
      </c>
      <c r="J37" s="249" t="str">
        <f t="shared" si="3"/>
        <v/>
      </c>
      <c r="K37" s="250" t="str">
        <f>IF(B37="","Pending",IF(M37="","⚠️ Enter Code",IF(IFERROR(VLOOKUP(L37,DB_Agents!$B:$I,8,0),"")=M37,"Pending","🔒 BLOCKED — Wrong Code")))</f>
        <v>Pending</v>
      </c>
      <c r="L37" s="251" t="s">
        <v>135</v>
      </c>
      <c r="M37" s="252"/>
      <c r="N37" s="242"/>
    </row>
    <row r="38" spans="1:14" ht="18" customHeight="1" x14ac:dyDescent="0.25">
      <c r="A38" s="229" t="str">
        <f t="shared" si="0"/>
        <v/>
      </c>
      <c r="B38" s="230"/>
      <c r="C38" s="231" t="str">
        <f>IF(B38="","",IFERROR(VLOOKUP(B38,DB_Customers!$A:$D,4,0),"❌ Account Not Found"))</f>
        <v/>
      </c>
      <c r="D38" s="232" t="str">
        <f t="shared" ca="1" si="1"/>
        <v/>
      </c>
      <c r="E38" s="233"/>
      <c r="F38" s="231"/>
      <c r="G38" s="234"/>
      <c r="H38" s="235">
        <v>2.5</v>
      </c>
      <c r="I38" s="236" t="str">
        <f t="shared" si="2"/>
        <v/>
      </c>
      <c r="J38" s="237" t="str">
        <f t="shared" si="3"/>
        <v/>
      </c>
      <c r="K38" s="238" t="str">
        <f>IF(B38="","Pending",IF(M38="","⚠️ Enter Code",IF(IFERROR(VLOOKUP(L38,DB_Agents!$B:$I,8,0),"")=M38,"Pending","🔒 BLOCKED — Wrong Code")))</f>
        <v>Pending</v>
      </c>
      <c r="L38" s="239" t="s">
        <v>135</v>
      </c>
      <c r="M38" s="240"/>
      <c r="N38" s="230"/>
    </row>
    <row r="39" spans="1:14" ht="18" customHeight="1" x14ac:dyDescent="0.25">
      <c r="A39" s="241" t="str">
        <f t="shared" si="0"/>
        <v/>
      </c>
      <c r="B39" s="242"/>
      <c r="C39" s="243" t="str">
        <f>IF(B39="","",IFERROR(VLOOKUP(B39,DB_Customers!$A:$D,4,0),"❌ Account Not Found"))</f>
        <v/>
      </c>
      <c r="D39" s="244" t="str">
        <f t="shared" ca="1" si="1"/>
        <v/>
      </c>
      <c r="E39" s="245"/>
      <c r="F39" s="243"/>
      <c r="G39" s="246"/>
      <c r="H39" s="247">
        <v>2.5</v>
      </c>
      <c r="I39" s="248" t="str">
        <f t="shared" si="2"/>
        <v/>
      </c>
      <c r="J39" s="249" t="str">
        <f t="shared" si="3"/>
        <v/>
      </c>
      <c r="K39" s="250" t="str">
        <f>IF(B39="","Pending",IF(M39="","⚠️ Enter Code",IF(IFERROR(VLOOKUP(L39,DB_Agents!$B:$I,8,0),"")=M39,"Pending","🔒 BLOCKED — Wrong Code")))</f>
        <v>Pending</v>
      </c>
      <c r="L39" s="251" t="s">
        <v>135</v>
      </c>
      <c r="M39" s="252"/>
      <c r="N39" s="242"/>
    </row>
    <row r="40" spans="1:14" ht="18" customHeight="1" x14ac:dyDescent="0.25">
      <c r="A40" s="229" t="str">
        <f t="shared" si="0"/>
        <v/>
      </c>
      <c r="B40" s="230"/>
      <c r="C40" s="231" t="str">
        <f>IF(B40="","",IFERROR(VLOOKUP(B40,DB_Customers!$A:$D,4,0),"❌ Account Not Found"))</f>
        <v/>
      </c>
      <c r="D40" s="232" t="str">
        <f t="shared" ca="1" si="1"/>
        <v/>
      </c>
      <c r="E40" s="233"/>
      <c r="F40" s="231"/>
      <c r="G40" s="234"/>
      <c r="H40" s="235">
        <v>2.5</v>
      </c>
      <c r="I40" s="236" t="str">
        <f t="shared" si="2"/>
        <v/>
      </c>
      <c r="J40" s="237" t="str">
        <f t="shared" si="3"/>
        <v/>
      </c>
      <c r="K40" s="238" t="str">
        <f>IF(B40="","Pending",IF(M40="","⚠️ Enter Code",IF(IFERROR(VLOOKUP(L40,DB_Agents!$B:$I,8,0),"")=M40,"Pending","🔒 BLOCKED — Wrong Code")))</f>
        <v>Pending</v>
      </c>
      <c r="L40" s="239" t="s">
        <v>135</v>
      </c>
      <c r="M40" s="240"/>
      <c r="N40" s="230"/>
    </row>
    <row r="41" spans="1:14" ht="18" customHeight="1" x14ac:dyDescent="0.25">
      <c r="A41" s="241" t="str">
        <f t="shared" si="0"/>
        <v/>
      </c>
      <c r="B41" s="242"/>
      <c r="C41" s="243" t="str">
        <f>IF(B41="","",IFERROR(VLOOKUP(B41,DB_Customers!$A:$D,4,0),"❌ Account Not Found"))</f>
        <v/>
      </c>
      <c r="D41" s="244" t="str">
        <f t="shared" ca="1" si="1"/>
        <v/>
      </c>
      <c r="E41" s="245"/>
      <c r="F41" s="243"/>
      <c r="G41" s="246"/>
      <c r="H41" s="247">
        <v>2.5</v>
      </c>
      <c r="I41" s="248" t="str">
        <f t="shared" si="2"/>
        <v/>
      </c>
      <c r="J41" s="249" t="str">
        <f t="shared" si="3"/>
        <v/>
      </c>
      <c r="K41" s="250" t="str">
        <f>IF(B41="","Pending",IF(M41="","⚠️ Enter Code",IF(IFERROR(VLOOKUP(L41,DB_Agents!$B:$I,8,0),"")=M41,"Pending","🔒 BLOCKED — Wrong Code")))</f>
        <v>Pending</v>
      </c>
      <c r="L41" s="251" t="s">
        <v>135</v>
      </c>
      <c r="M41" s="252"/>
      <c r="N41" s="242"/>
    </row>
    <row r="42" spans="1:14" ht="18" customHeight="1" x14ac:dyDescent="0.25">
      <c r="A42" s="229" t="str">
        <f t="shared" si="0"/>
        <v/>
      </c>
      <c r="B42" s="230"/>
      <c r="C42" s="231" t="str">
        <f>IF(B42="","",IFERROR(VLOOKUP(B42,DB_Customers!$A:$D,4,0),"❌ Account Not Found"))</f>
        <v/>
      </c>
      <c r="D42" s="232" t="str">
        <f t="shared" ca="1" si="1"/>
        <v/>
      </c>
      <c r="E42" s="233"/>
      <c r="F42" s="231"/>
      <c r="G42" s="234"/>
      <c r="H42" s="235">
        <v>2.5</v>
      </c>
      <c r="I42" s="236" t="str">
        <f t="shared" si="2"/>
        <v/>
      </c>
      <c r="J42" s="237" t="str">
        <f t="shared" si="3"/>
        <v/>
      </c>
      <c r="K42" s="238" t="str">
        <f>IF(B42="","Pending",IF(M42="","⚠️ Enter Code",IF(IFERROR(VLOOKUP(L42,DB_Agents!$B:$I,8,0),"")=M42,"Pending","🔒 BLOCKED — Wrong Code")))</f>
        <v>Pending</v>
      </c>
      <c r="L42" s="239" t="s">
        <v>135</v>
      </c>
      <c r="M42" s="240"/>
      <c r="N42" s="230"/>
    </row>
    <row r="43" spans="1:14" ht="18" customHeight="1" x14ac:dyDescent="0.25">
      <c r="A43" s="241" t="str">
        <f t="shared" si="0"/>
        <v/>
      </c>
      <c r="B43" s="242"/>
      <c r="C43" s="243" t="str">
        <f>IF(B43="","",IFERROR(VLOOKUP(B43,DB_Customers!$A:$D,4,0),"❌ Account Not Found"))</f>
        <v/>
      </c>
      <c r="D43" s="244" t="str">
        <f t="shared" ca="1" si="1"/>
        <v/>
      </c>
      <c r="E43" s="245"/>
      <c r="F43" s="243"/>
      <c r="G43" s="246"/>
      <c r="H43" s="247">
        <v>2.5</v>
      </c>
      <c r="I43" s="248" t="str">
        <f t="shared" si="2"/>
        <v/>
      </c>
      <c r="J43" s="249" t="str">
        <f t="shared" si="3"/>
        <v/>
      </c>
      <c r="K43" s="250" t="str">
        <f>IF(B43="","Pending",IF(M43="","⚠️ Enter Code",IF(IFERROR(VLOOKUP(L43,DB_Agents!$B:$I,8,0),"")=M43,"Pending","🔒 BLOCKED — Wrong Code")))</f>
        <v>Pending</v>
      </c>
      <c r="L43" s="251" t="s">
        <v>135</v>
      </c>
      <c r="M43" s="252"/>
      <c r="N43" s="242"/>
    </row>
    <row r="44" spans="1:14" ht="18" customHeight="1" x14ac:dyDescent="0.25">
      <c r="A44" s="229" t="str">
        <f t="shared" si="0"/>
        <v/>
      </c>
      <c r="B44" s="230"/>
      <c r="C44" s="231" t="str">
        <f>IF(B44="","",IFERROR(VLOOKUP(B44,DB_Customers!$A:$D,4,0),"❌ Account Not Found"))</f>
        <v/>
      </c>
      <c r="D44" s="232" t="str">
        <f t="shared" ca="1" si="1"/>
        <v/>
      </c>
      <c r="E44" s="233"/>
      <c r="F44" s="231"/>
      <c r="G44" s="234"/>
      <c r="H44" s="235">
        <v>2.5</v>
      </c>
      <c r="I44" s="236" t="str">
        <f t="shared" si="2"/>
        <v/>
      </c>
      <c r="J44" s="237" t="str">
        <f t="shared" si="3"/>
        <v/>
      </c>
      <c r="K44" s="238" t="str">
        <f>IF(B44="","Pending",IF(M44="","⚠️ Enter Code",IF(IFERROR(VLOOKUP(L44,DB_Agents!$B:$I,8,0),"")=M44,"Pending","🔒 BLOCKED — Wrong Code")))</f>
        <v>Pending</v>
      </c>
      <c r="L44" s="239" t="s">
        <v>135</v>
      </c>
      <c r="M44" s="240"/>
      <c r="N44" s="230"/>
    </row>
    <row r="45" spans="1:14" ht="18" customHeight="1" x14ac:dyDescent="0.25">
      <c r="A45" s="241" t="str">
        <f t="shared" si="0"/>
        <v/>
      </c>
      <c r="B45" s="242"/>
      <c r="C45" s="243" t="str">
        <f>IF(B45="","",IFERROR(VLOOKUP(B45,DB_Customers!$A:$D,4,0),"❌ Account Not Found"))</f>
        <v/>
      </c>
      <c r="D45" s="244" t="str">
        <f t="shared" ca="1" si="1"/>
        <v/>
      </c>
      <c r="E45" s="245"/>
      <c r="F45" s="243"/>
      <c r="G45" s="246"/>
      <c r="H45" s="247">
        <v>2.5</v>
      </c>
      <c r="I45" s="248" t="str">
        <f t="shared" si="2"/>
        <v/>
      </c>
      <c r="J45" s="249" t="str">
        <f t="shared" si="3"/>
        <v/>
      </c>
      <c r="K45" s="250" t="str">
        <f>IF(B45="","Pending",IF(M45="","⚠️ Enter Code",IF(IFERROR(VLOOKUP(L45,DB_Agents!$B:$I,8,0),"")=M45,"Pending","🔒 BLOCKED — Wrong Code")))</f>
        <v>Pending</v>
      </c>
      <c r="L45" s="251" t="s">
        <v>135</v>
      </c>
      <c r="M45" s="252"/>
      <c r="N45" s="242"/>
    </row>
    <row r="46" spans="1:14" ht="18" customHeight="1" x14ac:dyDescent="0.25">
      <c r="A46" s="229" t="str">
        <f t="shared" ref="A46:A77" si="4">IF(B46="","",IF(C46="❌ Account Not Found","INVALID","LN"&amp;TEXT(D46,"YYYYMMDD")&amp;TEXT(ROW()-13,"0000")))</f>
        <v/>
      </c>
      <c r="B46" s="230"/>
      <c r="C46" s="231" t="str">
        <f>IF(B46="","",IFERROR(VLOOKUP(B46,DB_Customers!$A:$D,4,0),"❌ Account Not Found"))</f>
        <v/>
      </c>
      <c r="D46" s="232" t="str">
        <f t="shared" ref="D46:D77" ca="1" si="5">IF(B46="","",TODAY())</f>
        <v/>
      </c>
      <c r="E46" s="233"/>
      <c r="F46" s="231"/>
      <c r="G46" s="234"/>
      <c r="H46" s="235">
        <v>2.5</v>
      </c>
      <c r="I46" s="236" t="str">
        <f t="shared" ref="I46:I77" si="6">IF(E46="","",E46+(E46*H46/100*G46))</f>
        <v/>
      </c>
      <c r="J46" s="237" t="str">
        <f t="shared" ref="J46:J77" si="7">IFERROR(I46/G46,"")</f>
        <v/>
      </c>
      <c r="K46" s="238" t="str">
        <f>IF(B46="","Pending",IF(M46="","⚠️ Enter Code",IF(IFERROR(VLOOKUP(L46,DB_Agents!$B:$I,8,0),"")=M46,"Pending","🔒 BLOCKED — Wrong Code")))</f>
        <v>Pending</v>
      </c>
      <c r="L46" s="239" t="s">
        <v>135</v>
      </c>
      <c r="M46" s="240"/>
      <c r="N46" s="230"/>
    </row>
    <row r="47" spans="1:14" ht="18" customHeight="1" x14ac:dyDescent="0.25">
      <c r="A47" s="241" t="str">
        <f t="shared" si="4"/>
        <v/>
      </c>
      <c r="B47" s="242"/>
      <c r="C47" s="243" t="str">
        <f>IF(B47="","",IFERROR(VLOOKUP(B47,DB_Customers!$A:$D,4,0),"❌ Account Not Found"))</f>
        <v/>
      </c>
      <c r="D47" s="244" t="str">
        <f t="shared" ca="1" si="5"/>
        <v/>
      </c>
      <c r="E47" s="245"/>
      <c r="F47" s="243"/>
      <c r="G47" s="246"/>
      <c r="H47" s="247">
        <v>2.5</v>
      </c>
      <c r="I47" s="248" t="str">
        <f t="shared" si="6"/>
        <v/>
      </c>
      <c r="J47" s="249" t="str">
        <f t="shared" si="7"/>
        <v/>
      </c>
      <c r="K47" s="250" t="str">
        <f>IF(B47="","Pending",IF(M47="","⚠️ Enter Code",IF(IFERROR(VLOOKUP(L47,DB_Agents!$B:$I,8,0),"")=M47,"Pending","🔒 BLOCKED — Wrong Code")))</f>
        <v>Pending</v>
      </c>
      <c r="L47" s="251" t="s">
        <v>135</v>
      </c>
      <c r="M47" s="252"/>
      <c r="N47" s="242"/>
    </row>
    <row r="48" spans="1:14" ht="18" customHeight="1" x14ac:dyDescent="0.25">
      <c r="A48" s="229" t="str">
        <f t="shared" si="4"/>
        <v/>
      </c>
      <c r="B48" s="230"/>
      <c r="C48" s="231" t="str">
        <f>IF(B48="","",IFERROR(VLOOKUP(B48,DB_Customers!$A:$D,4,0),"❌ Account Not Found"))</f>
        <v/>
      </c>
      <c r="D48" s="232" t="str">
        <f t="shared" ca="1" si="5"/>
        <v/>
      </c>
      <c r="E48" s="233"/>
      <c r="F48" s="231"/>
      <c r="G48" s="234"/>
      <c r="H48" s="235">
        <v>2.5</v>
      </c>
      <c r="I48" s="236" t="str">
        <f t="shared" si="6"/>
        <v/>
      </c>
      <c r="J48" s="237" t="str">
        <f t="shared" si="7"/>
        <v/>
      </c>
      <c r="K48" s="238" t="str">
        <f>IF(B48="","Pending",IF(M48="","⚠️ Enter Code",IF(IFERROR(VLOOKUP(L48,DB_Agents!$B:$I,8,0),"")=M48,"Pending","🔒 BLOCKED — Wrong Code")))</f>
        <v>Pending</v>
      </c>
      <c r="L48" s="239" t="s">
        <v>135</v>
      </c>
      <c r="M48" s="240"/>
      <c r="N48" s="230"/>
    </row>
    <row r="49" spans="1:14" ht="18" customHeight="1" x14ac:dyDescent="0.25">
      <c r="A49" s="241" t="str">
        <f t="shared" si="4"/>
        <v/>
      </c>
      <c r="B49" s="242"/>
      <c r="C49" s="243" t="str">
        <f>IF(B49="","",IFERROR(VLOOKUP(B49,DB_Customers!$A:$D,4,0),"❌ Account Not Found"))</f>
        <v/>
      </c>
      <c r="D49" s="244" t="str">
        <f t="shared" ca="1" si="5"/>
        <v/>
      </c>
      <c r="E49" s="245"/>
      <c r="F49" s="243"/>
      <c r="G49" s="246"/>
      <c r="H49" s="247">
        <v>2.5</v>
      </c>
      <c r="I49" s="248" t="str">
        <f t="shared" si="6"/>
        <v/>
      </c>
      <c r="J49" s="249" t="str">
        <f t="shared" si="7"/>
        <v/>
      </c>
      <c r="K49" s="250" t="str">
        <f>IF(B49="","Pending",IF(M49="","⚠️ Enter Code",IF(IFERROR(VLOOKUP(L49,DB_Agents!$B:$I,8,0),"")=M49,"Pending","🔒 BLOCKED — Wrong Code")))</f>
        <v>Pending</v>
      </c>
      <c r="L49" s="251" t="s">
        <v>135</v>
      </c>
      <c r="M49" s="252"/>
      <c r="N49" s="242"/>
    </row>
    <row r="50" spans="1:14" ht="18" customHeight="1" x14ac:dyDescent="0.25">
      <c r="A50" s="229" t="str">
        <f t="shared" si="4"/>
        <v/>
      </c>
      <c r="B50" s="230"/>
      <c r="C50" s="231" t="str">
        <f>IF(B50="","",IFERROR(VLOOKUP(B50,DB_Customers!$A:$D,4,0),"❌ Account Not Found"))</f>
        <v/>
      </c>
      <c r="D50" s="232" t="str">
        <f t="shared" ca="1" si="5"/>
        <v/>
      </c>
      <c r="E50" s="233"/>
      <c r="F50" s="231"/>
      <c r="G50" s="234"/>
      <c r="H50" s="235">
        <v>2.5</v>
      </c>
      <c r="I50" s="236" t="str">
        <f t="shared" si="6"/>
        <v/>
      </c>
      <c r="J50" s="237" t="str">
        <f t="shared" si="7"/>
        <v/>
      </c>
      <c r="K50" s="238" t="str">
        <f>IF(B50="","Pending",IF(M50="","⚠️ Enter Code",IF(IFERROR(VLOOKUP(L50,DB_Agents!$B:$I,8,0),"")=M50,"Pending","🔒 BLOCKED — Wrong Code")))</f>
        <v>Pending</v>
      </c>
      <c r="L50" s="239" t="s">
        <v>135</v>
      </c>
      <c r="M50" s="240"/>
      <c r="N50" s="230"/>
    </row>
    <row r="51" spans="1:14" ht="18" customHeight="1" x14ac:dyDescent="0.25">
      <c r="A51" s="241" t="str">
        <f t="shared" si="4"/>
        <v/>
      </c>
      <c r="B51" s="242"/>
      <c r="C51" s="243" t="str">
        <f>IF(B51="","",IFERROR(VLOOKUP(B51,DB_Customers!$A:$D,4,0),"❌ Account Not Found"))</f>
        <v/>
      </c>
      <c r="D51" s="244" t="str">
        <f t="shared" ca="1" si="5"/>
        <v/>
      </c>
      <c r="E51" s="245"/>
      <c r="F51" s="243"/>
      <c r="G51" s="246"/>
      <c r="H51" s="247">
        <v>2.5</v>
      </c>
      <c r="I51" s="248" t="str">
        <f t="shared" si="6"/>
        <v/>
      </c>
      <c r="J51" s="249" t="str">
        <f t="shared" si="7"/>
        <v/>
      </c>
      <c r="K51" s="250" t="str">
        <f>IF(B51="","Pending",IF(M51="","⚠️ Enter Code",IF(IFERROR(VLOOKUP(L51,DB_Agents!$B:$I,8,0),"")=M51,"Pending","🔒 BLOCKED — Wrong Code")))</f>
        <v>Pending</v>
      </c>
      <c r="L51" s="251" t="s">
        <v>135</v>
      </c>
      <c r="M51" s="252"/>
      <c r="N51" s="242"/>
    </row>
    <row r="52" spans="1:14" ht="18" customHeight="1" x14ac:dyDescent="0.25">
      <c r="A52" s="229" t="str">
        <f t="shared" si="4"/>
        <v/>
      </c>
      <c r="B52" s="230"/>
      <c r="C52" s="231" t="str">
        <f>IF(B52="","",IFERROR(VLOOKUP(B52,DB_Customers!$A:$D,4,0),"❌ Account Not Found"))</f>
        <v/>
      </c>
      <c r="D52" s="232" t="str">
        <f t="shared" ca="1" si="5"/>
        <v/>
      </c>
      <c r="E52" s="233"/>
      <c r="F52" s="231"/>
      <c r="G52" s="234"/>
      <c r="H52" s="235">
        <v>2.5</v>
      </c>
      <c r="I52" s="236" t="str">
        <f t="shared" si="6"/>
        <v/>
      </c>
      <c r="J52" s="237" t="str">
        <f t="shared" si="7"/>
        <v/>
      </c>
      <c r="K52" s="238" t="str">
        <f>IF(B52="","Pending",IF(M52="","⚠️ Enter Code",IF(IFERROR(VLOOKUP(L52,DB_Agents!$B:$I,8,0),"")=M52,"Pending","🔒 BLOCKED — Wrong Code")))</f>
        <v>Pending</v>
      </c>
      <c r="L52" s="239" t="s">
        <v>135</v>
      </c>
      <c r="M52" s="240"/>
      <c r="N52" s="230"/>
    </row>
    <row r="53" spans="1:14" ht="18" customHeight="1" x14ac:dyDescent="0.25">
      <c r="A53" s="241" t="str">
        <f t="shared" si="4"/>
        <v/>
      </c>
      <c r="B53" s="242"/>
      <c r="C53" s="243" t="str">
        <f>IF(B53="","",IFERROR(VLOOKUP(B53,DB_Customers!$A:$D,4,0),"❌ Account Not Found"))</f>
        <v/>
      </c>
      <c r="D53" s="244" t="str">
        <f t="shared" ca="1" si="5"/>
        <v/>
      </c>
      <c r="E53" s="245"/>
      <c r="F53" s="243"/>
      <c r="G53" s="246"/>
      <c r="H53" s="247">
        <v>2.5</v>
      </c>
      <c r="I53" s="248" t="str">
        <f t="shared" si="6"/>
        <v/>
      </c>
      <c r="J53" s="249" t="str">
        <f t="shared" si="7"/>
        <v/>
      </c>
      <c r="K53" s="250" t="str">
        <f>IF(B53="","Pending",IF(M53="","⚠️ Enter Code",IF(IFERROR(VLOOKUP(L53,DB_Agents!$B:$I,8,0),"")=M53,"Pending","🔒 BLOCKED — Wrong Code")))</f>
        <v>Pending</v>
      </c>
      <c r="L53" s="251" t="s">
        <v>135</v>
      </c>
      <c r="M53" s="252"/>
      <c r="N53" s="242"/>
    </row>
    <row r="54" spans="1:14" ht="18" customHeight="1" x14ac:dyDescent="0.25">
      <c r="A54" s="229" t="str">
        <f t="shared" si="4"/>
        <v/>
      </c>
      <c r="B54" s="230"/>
      <c r="C54" s="231" t="str">
        <f>IF(B54="","",IFERROR(VLOOKUP(B54,DB_Customers!$A:$D,4,0),"❌ Account Not Found"))</f>
        <v/>
      </c>
      <c r="D54" s="232" t="str">
        <f t="shared" ca="1" si="5"/>
        <v/>
      </c>
      <c r="E54" s="233"/>
      <c r="F54" s="231"/>
      <c r="G54" s="234"/>
      <c r="H54" s="235">
        <v>2.5</v>
      </c>
      <c r="I54" s="236" t="str">
        <f t="shared" si="6"/>
        <v/>
      </c>
      <c r="J54" s="237" t="str">
        <f t="shared" si="7"/>
        <v/>
      </c>
      <c r="K54" s="238" t="str">
        <f>IF(B54="","Pending",IF(M54="","⚠️ Enter Code",IF(IFERROR(VLOOKUP(L54,DB_Agents!$B:$I,8,0),"")=M54,"Pending","🔒 BLOCKED — Wrong Code")))</f>
        <v>Pending</v>
      </c>
      <c r="L54" s="239" t="s">
        <v>135</v>
      </c>
      <c r="M54" s="240"/>
      <c r="N54" s="230"/>
    </row>
    <row r="55" spans="1:14" ht="18" customHeight="1" x14ac:dyDescent="0.25">
      <c r="A55" s="241" t="str">
        <f t="shared" si="4"/>
        <v/>
      </c>
      <c r="B55" s="242"/>
      <c r="C55" s="243" t="str">
        <f>IF(B55="","",IFERROR(VLOOKUP(B55,DB_Customers!$A:$D,4,0),"❌ Account Not Found"))</f>
        <v/>
      </c>
      <c r="D55" s="244" t="str">
        <f t="shared" ca="1" si="5"/>
        <v/>
      </c>
      <c r="E55" s="245"/>
      <c r="F55" s="243"/>
      <c r="G55" s="246"/>
      <c r="H55" s="247">
        <v>2.5</v>
      </c>
      <c r="I55" s="248" t="str">
        <f t="shared" si="6"/>
        <v/>
      </c>
      <c r="J55" s="249" t="str">
        <f t="shared" si="7"/>
        <v/>
      </c>
      <c r="K55" s="250" t="str">
        <f>IF(B55="","Pending",IF(M55="","⚠️ Enter Code",IF(IFERROR(VLOOKUP(L55,DB_Agents!$B:$I,8,0),"")=M55,"Pending","🔒 BLOCKED — Wrong Code")))</f>
        <v>Pending</v>
      </c>
      <c r="L55" s="251" t="s">
        <v>135</v>
      </c>
      <c r="M55" s="252"/>
      <c r="N55" s="242"/>
    </row>
    <row r="56" spans="1:14" ht="18" customHeight="1" x14ac:dyDescent="0.25">
      <c r="A56" s="229" t="str">
        <f t="shared" si="4"/>
        <v/>
      </c>
      <c r="B56" s="230"/>
      <c r="C56" s="231" t="str">
        <f>IF(B56="","",IFERROR(VLOOKUP(B56,DB_Customers!$A:$D,4,0),"❌ Account Not Found"))</f>
        <v/>
      </c>
      <c r="D56" s="232" t="str">
        <f t="shared" ca="1" si="5"/>
        <v/>
      </c>
      <c r="E56" s="233"/>
      <c r="F56" s="231"/>
      <c r="G56" s="234"/>
      <c r="H56" s="235">
        <v>2.5</v>
      </c>
      <c r="I56" s="236" t="str">
        <f t="shared" si="6"/>
        <v/>
      </c>
      <c r="J56" s="237" t="str">
        <f t="shared" si="7"/>
        <v/>
      </c>
      <c r="K56" s="238" t="str">
        <f>IF(B56="","Pending",IF(M56="","⚠️ Enter Code",IF(IFERROR(VLOOKUP(L56,DB_Agents!$B:$I,8,0),"")=M56,"Pending","🔒 BLOCKED — Wrong Code")))</f>
        <v>Pending</v>
      </c>
      <c r="L56" s="239" t="s">
        <v>135</v>
      </c>
      <c r="M56" s="240"/>
      <c r="N56" s="230"/>
    </row>
    <row r="57" spans="1:14" ht="18" customHeight="1" x14ac:dyDescent="0.25">
      <c r="A57" s="241" t="str">
        <f t="shared" si="4"/>
        <v/>
      </c>
      <c r="B57" s="242"/>
      <c r="C57" s="243" t="str">
        <f>IF(B57="","",IFERROR(VLOOKUP(B57,DB_Customers!$A:$D,4,0),"❌ Account Not Found"))</f>
        <v/>
      </c>
      <c r="D57" s="244" t="str">
        <f t="shared" ca="1" si="5"/>
        <v/>
      </c>
      <c r="E57" s="245"/>
      <c r="F57" s="243"/>
      <c r="G57" s="246"/>
      <c r="H57" s="247">
        <v>2.5</v>
      </c>
      <c r="I57" s="248" t="str">
        <f t="shared" si="6"/>
        <v/>
      </c>
      <c r="J57" s="249" t="str">
        <f t="shared" si="7"/>
        <v/>
      </c>
      <c r="K57" s="250" t="str">
        <f>IF(B57="","Pending",IF(M57="","⚠️ Enter Code",IF(IFERROR(VLOOKUP(L57,DB_Agents!$B:$I,8,0),"")=M57,"Pending","🔒 BLOCKED — Wrong Code")))</f>
        <v>Pending</v>
      </c>
      <c r="L57" s="251" t="s">
        <v>135</v>
      </c>
      <c r="M57" s="252"/>
      <c r="N57" s="242"/>
    </row>
    <row r="58" spans="1:14" ht="18" customHeight="1" x14ac:dyDescent="0.25">
      <c r="A58" s="229" t="str">
        <f t="shared" si="4"/>
        <v/>
      </c>
      <c r="B58" s="230"/>
      <c r="C58" s="231" t="str">
        <f>IF(B58="","",IFERROR(VLOOKUP(B58,DB_Customers!$A:$D,4,0),"❌ Account Not Found"))</f>
        <v/>
      </c>
      <c r="D58" s="232" t="str">
        <f t="shared" ca="1" si="5"/>
        <v/>
      </c>
      <c r="E58" s="233"/>
      <c r="F58" s="231"/>
      <c r="G58" s="234"/>
      <c r="H58" s="235">
        <v>2.5</v>
      </c>
      <c r="I58" s="236" t="str">
        <f t="shared" si="6"/>
        <v/>
      </c>
      <c r="J58" s="237" t="str">
        <f t="shared" si="7"/>
        <v/>
      </c>
      <c r="K58" s="238" t="str">
        <f>IF(B58="","Pending",IF(M58="","⚠️ Enter Code",IF(IFERROR(VLOOKUP(L58,DB_Agents!$B:$I,8,0),"")=M58,"Pending","🔒 BLOCKED — Wrong Code")))</f>
        <v>Pending</v>
      </c>
      <c r="L58" s="239" t="s">
        <v>135</v>
      </c>
      <c r="M58" s="240"/>
      <c r="N58" s="230"/>
    </row>
    <row r="59" spans="1:14" ht="18" customHeight="1" x14ac:dyDescent="0.25">
      <c r="A59" s="241" t="str">
        <f t="shared" si="4"/>
        <v/>
      </c>
      <c r="B59" s="242"/>
      <c r="C59" s="243" t="str">
        <f>IF(B59="","",IFERROR(VLOOKUP(B59,DB_Customers!$A:$D,4,0),"❌ Account Not Found"))</f>
        <v/>
      </c>
      <c r="D59" s="244" t="str">
        <f t="shared" ca="1" si="5"/>
        <v/>
      </c>
      <c r="E59" s="245"/>
      <c r="F59" s="243"/>
      <c r="G59" s="246"/>
      <c r="H59" s="247">
        <v>2.5</v>
      </c>
      <c r="I59" s="248" t="str">
        <f t="shared" si="6"/>
        <v/>
      </c>
      <c r="J59" s="249" t="str">
        <f t="shared" si="7"/>
        <v/>
      </c>
      <c r="K59" s="250" t="str">
        <f>IF(B59="","Pending",IF(M59="","⚠️ Enter Code",IF(IFERROR(VLOOKUP(L59,DB_Agents!$B:$I,8,0),"")=M59,"Pending","🔒 BLOCKED — Wrong Code")))</f>
        <v>Pending</v>
      </c>
      <c r="L59" s="251" t="s">
        <v>135</v>
      </c>
      <c r="M59" s="252"/>
      <c r="N59" s="242"/>
    </row>
    <row r="60" spans="1:14" ht="18" customHeight="1" x14ac:dyDescent="0.25">
      <c r="A60" s="229" t="str">
        <f t="shared" si="4"/>
        <v/>
      </c>
      <c r="B60" s="230"/>
      <c r="C60" s="231" t="str">
        <f>IF(B60="","",IFERROR(VLOOKUP(B60,DB_Customers!$A:$D,4,0),"❌ Account Not Found"))</f>
        <v/>
      </c>
      <c r="D60" s="232" t="str">
        <f t="shared" ca="1" si="5"/>
        <v/>
      </c>
      <c r="E60" s="233"/>
      <c r="F60" s="231"/>
      <c r="G60" s="234"/>
      <c r="H60" s="235">
        <v>2.5</v>
      </c>
      <c r="I60" s="236" t="str">
        <f t="shared" si="6"/>
        <v/>
      </c>
      <c r="J60" s="237" t="str">
        <f t="shared" si="7"/>
        <v/>
      </c>
      <c r="K60" s="238" t="str">
        <f>IF(B60="","Pending",IF(M60="","⚠️ Enter Code",IF(IFERROR(VLOOKUP(L60,DB_Agents!$B:$I,8,0),"")=M60,"Pending","🔒 BLOCKED — Wrong Code")))</f>
        <v>Pending</v>
      </c>
      <c r="L60" s="239" t="s">
        <v>135</v>
      </c>
      <c r="M60" s="240"/>
      <c r="N60" s="230"/>
    </row>
    <row r="61" spans="1:14" ht="18" customHeight="1" x14ac:dyDescent="0.25">
      <c r="A61" s="241" t="str">
        <f t="shared" si="4"/>
        <v/>
      </c>
      <c r="B61" s="242"/>
      <c r="C61" s="243" t="str">
        <f>IF(B61="","",IFERROR(VLOOKUP(B61,DB_Customers!$A:$D,4,0),"❌ Account Not Found"))</f>
        <v/>
      </c>
      <c r="D61" s="244" t="str">
        <f t="shared" ca="1" si="5"/>
        <v/>
      </c>
      <c r="E61" s="245"/>
      <c r="F61" s="243"/>
      <c r="G61" s="246"/>
      <c r="H61" s="247">
        <v>2.5</v>
      </c>
      <c r="I61" s="248" t="str">
        <f t="shared" si="6"/>
        <v/>
      </c>
      <c r="J61" s="249" t="str">
        <f t="shared" si="7"/>
        <v/>
      </c>
      <c r="K61" s="250" t="str">
        <f>IF(B61="","Pending",IF(M61="","⚠️ Enter Code",IF(IFERROR(VLOOKUP(L61,DB_Agents!$B:$I,8,0),"")=M61,"Pending","🔒 BLOCKED — Wrong Code")))</f>
        <v>Pending</v>
      </c>
      <c r="L61" s="251" t="s">
        <v>135</v>
      </c>
      <c r="M61" s="252"/>
      <c r="N61" s="242"/>
    </row>
    <row r="62" spans="1:14" ht="18" customHeight="1" x14ac:dyDescent="0.25">
      <c r="A62" s="229" t="str">
        <f t="shared" si="4"/>
        <v/>
      </c>
      <c r="B62" s="230"/>
      <c r="C62" s="231" t="str">
        <f>IF(B62="","",IFERROR(VLOOKUP(B62,DB_Customers!$A:$D,4,0),"❌ Account Not Found"))</f>
        <v/>
      </c>
      <c r="D62" s="232" t="str">
        <f t="shared" ca="1" si="5"/>
        <v/>
      </c>
      <c r="E62" s="233"/>
      <c r="F62" s="231"/>
      <c r="G62" s="234"/>
      <c r="H62" s="235">
        <v>2.5</v>
      </c>
      <c r="I62" s="236" t="str">
        <f t="shared" si="6"/>
        <v/>
      </c>
      <c r="J62" s="237" t="str">
        <f t="shared" si="7"/>
        <v/>
      </c>
      <c r="K62" s="238" t="str">
        <f>IF(B62="","Pending",IF(M62="","⚠️ Enter Code",IF(IFERROR(VLOOKUP(L62,DB_Agents!$B:$I,8,0),"")=M62,"Pending","🔒 BLOCKED — Wrong Code")))</f>
        <v>Pending</v>
      </c>
      <c r="L62" s="239" t="s">
        <v>135</v>
      </c>
      <c r="M62" s="240"/>
      <c r="N62" s="230"/>
    </row>
    <row r="63" spans="1:14" ht="18" customHeight="1" x14ac:dyDescent="0.25">
      <c r="A63" s="241" t="str">
        <f t="shared" si="4"/>
        <v/>
      </c>
      <c r="B63" s="242"/>
      <c r="C63" s="243" t="str">
        <f>IF(B63="","",IFERROR(VLOOKUP(B63,DB_Customers!$A:$D,4,0),"❌ Account Not Found"))</f>
        <v/>
      </c>
      <c r="D63" s="244" t="str">
        <f t="shared" ca="1" si="5"/>
        <v/>
      </c>
      <c r="E63" s="245"/>
      <c r="F63" s="243"/>
      <c r="G63" s="246"/>
      <c r="H63" s="247">
        <v>2.5</v>
      </c>
      <c r="I63" s="248" t="str">
        <f t="shared" si="6"/>
        <v/>
      </c>
      <c r="J63" s="249" t="str">
        <f t="shared" si="7"/>
        <v/>
      </c>
      <c r="K63" s="250" t="str">
        <f>IF(B63="","Pending",IF(M63="","⚠️ Enter Code",IF(IFERROR(VLOOKUP(L63,DB_Agents!$B:$I,8,0),"")=M63,"Pending","🔒 BLOCKED — Wrong Code")))</f>
        <v>Pending</v>
      </c>
      <c r="L63" s="251" t="s">
        <v>135</v>
      </c>
      <c r="M63" s="252"/>
      <c r="N63" s="242"/>
    </row>
    <row r="64" spans="1:14" ht="18" customHeight="1" x14ac:dyDescent="0.25">
      <c r="A64" s="229" t="str">
        <f t="shared" si="4"/>
        <v/>
      </c>
      <c r="B64" s="230"/>
      <c r="C64" s="231" t="str">
        <f>IF(B64="","",IFERROR(VLOOKUP(B64,DB_Customers!$A:$D,4,0),"❌ Account Not Found"))</f>
        <v/>
      </c>
      <c r="D64" s="232" t="str">
        <f t="shared" ca="1" si="5"/>
        <v/>
      </c>
      <c r="E64" s="233"/>
      <c r="F64" s="231"/>
      <c r="G64" s="234"/>
      <c r="H64" s="235">
        <v>2.5</v>
      </c>
      <c r="I64" s="236" t="str">
        <f t="shared" si="6"/>
        <v/>
      </c>
      <c r="J64" s="237" t="str">
        <f t="shared" si="7"/>
        <v/>
      </c>
      <c r="K64" s="238" t="str">
        <f>IF(B64="","Pending",IF(M64="","⚠️ Enter Code",IF(IFERROR(VLOOKUP(L64,DB_Agents!$B:$I,8,0),"")=M64,"Pending","🔒 BLOCKED — Wrong Code")))</f>
        <v>Pending</v>
      </c>
      <c r="L64" s="239" t="s">
        <v>135</v>
      </c>
      <c r="M64" s="240"/>
      <c r="N64" s="230"/>
    </row>
    <row r="65" spans="1:14" ht="18" customHeight="1" x14ac:dyDescent="0.25">
      <c r="A65" s="241" t="str">
        <f t="shared" si="4"/>
        <v/>
      </c>
      <c r="B65" s="242"/>
      <c r="C65" s="243" t="str">
        <f>IF(B65="","",IFERROR(VLOOKUP(B65,DB_Customers!$A:$D,4,0),"❌ Account Not Found"))</f>
        <v/>
      </c>
      <c r="D65" s="244" t="str">
        <f t="shared" ca="1" si="5"/>
        <v/>
      </c>
      <c r="E65" s="245"/>
      <c r="F65" s="243"/>
      <c r="G65" s="246"/>
      <c r="H65" s="247">
        <v>2.5</v>
      </c>
      <c r="I65" s="248" t="str">
        <f t="shared" si="6"/>
        <v/>
      </c>
      <c r="J65" s="249" t="str">
        <f t="shared" si="7"/>
        <v/>
      </c>
      <c r="K65" s="250" t="str">
        <f>IF(B65="","Pending",IF(M65="","⚠️ Enter Code",IF(IFERROR(VLOOKUP(L65,DB_Agents!$B:$I,8,0),"")=M65,"Pending","🔒 BLOCKED — Wrong Code")))</f>
        <v>Pending</v>
      </c>
      <c r="L65" s="251" t="s">
        <v>135</v>
      </c>
      <c r="M65" s="252"/>
      <c r="N65" s="242"/>
    </row>
    <row r="66" spans="1:14" ht="18" customHeight="1" x14ac:dyDescent="0.25">
      <c r="A66" s="229" t="str">
        <f t="shared" si="4"/>
        <v/>
      </c>
      <c r="B66" s="230"/>
      <c r="C66" s="231" t="str">
        <f>IF(B66="","",IFERROR(VLOOKUP(B66,DB_Customers!$A:$D,4,0),"❌ Account Not Found"))</f>
        <v/>
      </c>
      <c r="D66" s="232" t="str">
        <f t="shared" ca="1" si="5"/>
        <v/>
      </c>
      <c r="E66" s="233"/>
      <c r="F66" s="231"/>
      <c r="G66" s="234"/>
      <c r="H66" s="235">
        <v>2.5</v>
      </c>
      <c r="I66" s="236" t="str">
        <f t="shared" si="6"/>
        <v/>
      </c>
      <c r="J66" s="237" t="str">
        <f t="shared" si="7"/>
        <v/>
      </c>
      <c r="K66" s="238" t="str">
        <f>IF(B66="","Pending",IF(M66="","⚠️ Enter Code",IF(IFERROR(VLOOKUP(L66,DB_Agents!$B:$I,8,0),"")=M66,"Pending","🔒 BLOCKED — Wrong Code")))</f>
        <v>Pending</v>
      </c>
      <c r="L66" s="239" t="s">
        <v>135</v>
      </c>
      <c r="M66" s="240"/>
      <c r="N66" s="230"/>
    </row>
    <row r="67" spans="1:14" ht="18" customHeight="1" x14ac:dyDescent="0.25">
      <c r="A67" s="241" t="str">
        <f t="shared" si="4"/>
        <v/>
      </c>
      <c r="B67" s="242"/>
      <c r="C67" s="243" t="str">
        <f>IF(B67="","",IFERROR(VLOOKUP(B67,DB_Customers!$A:$D,4,0),"❌ Account Not Found"))</f>
        <v/>
      </c>
      <c r="D67" s="244" t="str">
        <f t="shared" ca="1" si="5"/>
        <v/>
      </c>
      <c r="E67" s="245"/>
      <c r="F67" s="243"/>
      <c r="G67" s="246"/>
      <c r="H67" s="247">
        <v>2.5</v>
      </c>
      <c r="I67" s="248" t="str">
        <f t="shared" si="6"/>
        <v/>
      </c>
      <c r="J67" s="249" t="str">
        <f t="shared" si="7"/>
        <v/>
      </c>
      <c r="K67" s="250" t="str">
        <f>IF(B67="","Pending",IF(M67="","⚠️ Enter Code",IF(IFERROR(VLOOKUP(L67,DB_Agents!$B:$I,8,0),"")=M67,"Pending","🔒 BLOCKED — Wrong Code")))</f>
        <v>Pending</v>
      </c>
      <c r="L67" s="251" t="s">
        <v>135</v>
      </c>
      <c r="M67" s="252"/>
      <c r="N67" s="242"/>
    </row>
    <row r="68" spans="1:14" ht="18" customHeight="1" x14ac:dyDescent="0.25">
      <c r="A68" s="229" t="str">
        <f t="shared" si="4"/>
        <v/>
      </c>
      <c r="B68" s="230"/>
      <c r="C68" s="231" t="str">
        <f>IF(B68="","",IFERROR(VLOOKUP(B68,DB_Customers!$A:$D,4,0),"❌ Account Not Found"))</f>
        <v/>
      </c>
      <c r="D68" s="232" t="str">
        <f t="shared" ca="1" si="5"/>
        <v/>
      </c>
      <c r="E68" s="233"/>
      <c r="F68" s="231"/>
      <c r="G68" s="234"/>
      <c r="H68" s="235">
        <v>2.5</v>
      </c>
      <c r="I68" s="236" t="str">
        <f t="shared" si="6"/>
        <v/>
      </c>
      <c r="J68" s="237" t="str">
        <f t="shared" si="7"/>
        <v/>
      </c>
      <c r="K68" s="238" t="str">
        <f>IF(B68="","Pending",IF(M68="","⚠️ Enter Code",IF(IFERROR(VLOOKUP(L68,DB_Agents!$B:$I,8,0),"")=M68,"Pending","🔒 BLOCKED — Wrong Code")))</f>
        <v>Pending</v>
      </c>
      <c r="L68" s="239" t="s">
        <v>135</v>
      </c>
      <c r="M68" s="240"/>
      <c r="N68" s="230"/>
    </row>
    <row r="69" spans="1:14" ht="18" customHeight="1" x14ac:dyDescent="0.25">
      <c r="A69" s="241" t="str">
        <f t="shared" si="4"/>
        <v/>
      </c>
      <c r="B69" s="242"/>
      <c r="C69" s="243" t="str">
        <f>IF(B69="","",IFERROR(VLOOKUP(B69,DB_Customers!$A:$D,4,0),"❌ Account Not Found"))</f>
        <v/>
      </c>
      <c r="D69" s="244" t="str">
        <f t="shared" ca="1" si="5"/>
        <v/>
      </c>
      <c r="E69" s="245"/>
      <c r="F69" s="243"/>
      <c r="G69" s="246"/>
      <c r="H69" s="247">
        <v>2.5</v>
      </c>
      <c r="I69" s="248" t="str">
        <f t="shared" si="6"/>
        <v/>
      </c>
      <c r="J69" s="249" t="str">
        <f t="shared" si="7"/>
        <v/>
      </c>
      <c r="K69" s="250" t="str">
        <f>IF(B69="","Pending",IF(M69="","⚠️ Enter Code",IF(IFERROR(VLOOKUP(L69,DB_Agents!$B:$I,8,0),"")=M69,"Pending","🔒 BLOCKED — Wrong Code")))</f>
        <v>Pending</v>
      </c>
      <c r="L69" s="251" t="s">
        <v>135</v>
      </c>
      <c r="M69" s="252"/>
      <c r="N69" s="242"/>
    </row>
    <row r="70" spans="1:14" ht="18" customHeight="1" x14ac:dyDescent="0.25">
      <c r="A70" s="229" t="str">
        <f t="shared" si="4"/>
        <v/>
      </c>
      <c r="B70" s="230"/>
      <c r="C70" s="231" t="str">
        <f>IF(B70="","",IFERROR(VLOOKUP(B70,DB_Customers!$A:$D,4,0),"❌ Account Not Found"))</f>
        <v/>
      </c>
      <c r="D70" s="232" t="str">
        <f t="shared" ca="1" si="5"/>
        <v/>
      </c>
      <c r="E70" s="233"/>
      <c r="F70" s="231"/>
      <c r="G70" s="234"/>
      <c r="H70" s="235">
        <v>2.5</v>
      </c>
      <c r="I70" s="236" t="str">
        <f t="shared" si="6"/>
        <v/>
      </c>
      <c r="J70" s="237" t="str">
        <f t="shared" si="7"/>
        <v/>
      </c>
      <c r="K70" s="238" t="str">
        <f>IF(B70="","Pending",IF(M70="","⚠️ Enter Code",IF(IFERROR(VLOOKUP(L70,DB_Agents!$B:$I,8,0),"")=M70,"Pending","🔒 BLOCKED — Wrong Code")))</f>
        <v>Pending</v>
      </c>
      <c r="L70" s="239" t="s">
        <v>135</v>
      </c>
      <c r="M70" s="240"/>
      <c r="N70" s="230"/>
    </row>
    <row r="71" spans="1:14" ht="18" customHeight="1" x14ac:dyDescent="0.25">
      <c r="A71" s="241" t="str">
        <f t="shared" si="4"/>
        <v/>
      </c>
      <c r="B71" s="242"/>
      <c r="C71" s="243" t="str">
        <f>IF(B71="","",IFERROR(VLOOKUP(B71,DB_Customers!$A:$D,4,0),"❌ Account Not Found"))</f>
        <v/>
      </c>
      <c r="D71" s="244" t="str">
        <f t="shared" ca="1" si="5"/>
        <v/>
      </c>
      <c r="E71" s="245"/>
      <c r="F71" s="243"/>
      <c r="G71" s="246"/>
      <c r="H71" s="247">
        <v>2.5</v>
      </c>
      <c r="I71" s="248" t="str">
        <f t="shared" si="6"/>
        <v/>
      </c>
      <c r="J71" s="249" t="str">
        <f t="shared" si="7"/>
        <v/>
      </c>
      <c r="K71" s="250" t="str">
        <f>IF(B71="","Pending",IF(M71="","⚠️ Enter Code",IF(IFERROR(VLOOKUP(L71,DB_Agents!$B:$I,8,0),"")=M71,"Pending","🔒 BLOCKED — Wrong Code")))</f>
        <v>Pending</v>
      </c>
      <c r="L71" s="251" t="s">
        <v>135</v>
      </c>
      <c r="M71" s="252"/>
      <c r="N71" s="242"/>
    </row>
    <row r="72" spans="1:14" ht="18" customHeight="1" x14ac:dyDescent="0.25">
      <c r="A72" s="229" t="str">
        <f t="shared" si="4"/>
        <v/>
      </c>
      <c r="B72" s="230"/>
      <c r="C72" s="231" t="str">
        <f>IF(B72="","",IFERROR(VLOOKUP(B72,DB_Customers!$A:$D,4,0),"❌ Account Not Found"))</f>
        <v/>
      </c>
      <c r="D72" s="232" t="str">
        <f t="shared" ca="1" si="5"/>
        <v/>
      </c>
      <c r="E72" s="233"/>
      <c r="F72" s="231"/>
      <c r="G72" s="234"/>
      <c r="H72" s="235">
        <v>2.5</v>
      </c>
      <c r="I72" s="236" t="str">
        <f t="shared" si="6"/>
        <v/>
      </c>
      <c r="J72" s="237" t="str">
        <f t="shared" si="7"/>
        <v/>
      </c>
      <c r="K72" s="238" t="str">
        <f>IF(B72="","Pending",IF(M72="","⚠️ Enter Code",IF(IFERROR(VLOOKUP(L72,DB_Agents!$B:$I,8,0),"")=M72,"Pending","🔒 BLOCKED — Wrong Code")))</f>
        <v>Pending</v>
      </c>
      <c r="L72" s="239" t="s">
        <v>135</v>
      </c>
      <c r="M72" s="240"/>
      <c r="N72" s="230"/>
    </row>
    <row r="73" spans="1:14" ht="18" customHeight="1" x14ac:dyDescent="0.25">
      <c r="A73" s="241" t="str">
        <f t="shared" si="4"/>
        <v/>
      </c>
      <c r="B73" s="242"/>
      <c r="C73" s="243" t="str">
        <f>IF(B73="","",IFERROR(VLOOKUP(B73,DB_Customers!$A:$D,4,0),"❌ Account Not Found"))</f>
        <v/>
      </c>
      <c r="D73" s="244" t="str">
        <f t="shared" ca="1" si="5"/>
        <v/>
      </c>
      <c r="E73" s="245"/>
      <c r="F73" s="243"/>
      <c r="G73" s="246"/>
      <c r="H73" s="247">
        <v>2.5</v>
      </c>
      <c r="I73" s="248" t="str">
        <f t="shared" si="6"/>
        <v/>
      </c>
      <c r="J73" s="249" t="str">
        <f t="shared" si="7"/>
        <v/>
      </c>
      <c r="K73" s="250" t="str">
        <f>IF(B73="","Pending",IF(M73="","⚠️ Enter Code",IF(IFERROR(VLOOKUP(L73,DB_Agents!$B:$I,8,0),"")=M73,"Pending","🔒 BLOCKED — Wrong Code")))</f>
        <v>Pending</v>
      </c>
      <c r="L73" s="251" t="s">
        <v>135</v>
      </c>
      <c r="M73" s="252"/>
      <c r="N73" s="242"/>
    </row>
    <row r="74" spans="1:14" ht="18" customHeight="1" x14ac:dyDescent="0.25">
      <c r="A74" s="229" t="str">
        <f t="shared" si="4"/>
        <v/>
      </c>
      <c r="B74" s="230"/>
      <c r="C74" s="231" t="str">
        <f>IF(B74="","",IFERROR(VLOOKUP(B74,DB_Customers!$A:$D,4,0),"❌ Account Not Found"))</f>
        <v/>
      </c>
      <c r="D74" s="232" t="str">
        <f t="shared" ca="1" si="5"/>
        <v/>
      </c>
      <c r="E74" s="233"/>
      <c r="F74" s="231"/>
      <c r="G74" s="234"/>
      <c r="H74" s="235">
        <v>2.5</v>
      </c>
      <c r="I74" s="236" t="str">
        <f t="shared" si="6"/>
        <v/>
      </c>
      <c r="J74" s="237" t="str">
        <f t="shared" si="7"/>
        <v/>
      </c>
      <c r="K74" s="238" t="str">
        <f>IF(B74="","Pending",IF(M74="","⚠️ Enter Code",IF(IFERROR(VLOOKUP(L74,DB_Agents!$B:$I,8,0),"")=M74,"Pending","🔒 BLOCKED — Wrong Code")))</f>
        <v>Pending</v>
      </c>
      <c r="L74" s="239" t="s">
        <v>135</v>
      </c>
      <c r="M74" s="240"/>
      <c r="N74" s="230"/>
    </row>
    <row r="75" spans="1:14" ht="18" customHeight="1" x14ac:dyDescent="0.25">
      <c r="A75" s="241" t="str">
        <f t="shared" si="4"/>
        <v/>
      </c>
      <c r="B75" s="242"/>
      <c r="C75" s="243" t="str">
        <f>IF(B75="","",IFERROR(VLOOKUP(B75,DB_Customers!$A:$D,4,0),"❌ Account Not Found"))</f>
        <v/>
      </c>
      <c r="D75" s="244" t="str">
        <f t="shared" ca="1" si="5"/>
        <v/>
      </c>
      <c r="E75" s="245"/>
      <c r="F75" s="243"/>
      <c r="G75" s="246"/>
      <c r="H75" s="247">
        <v>2.5</v>
      </c>
      <c r="I75" s="248" t="str">
        <f t="shared" si="6"/>
        <v/>
      </c>
      <c r="J75" s="249" t="str">
        <f t="shared" si="7"/>
        <v/>
      </c>
      <c r="K75" s="250" t="str">
        <f>IF(B75="","Pending",IF(M75="","⚠️ Enter Code",IF(IFERROR(VLOOKUP(L75,DB_Agents!$B:$I,8,0),"")=M75,"Pending","🔒 BLOCKED — Wrong Code")))</f>
        <v>Pending</v>
      </c>
      <c r="L75" s="251" t="s">
        <v>135</v>
      </c>
      <c r="M75" s="252"/>
      <c r="N75" s="242"/>
    </row>
    <row r="76" spans="1:14" ht="18" customHeight="1" x14ac:dyDescent="0.25">
      <c r="A76" s="229" t="str">
        <f t="shared" si="4"/>
        <v/>
      </c>
      <c r="B76" s="230"/>
      <c r="C76" s="231" t="str">
        <f>IF(B76="","",IFERROR(VLOOKUP(B76,DB_Customers!$A:$D,4,0),"❌ Account Not Found"))</f>
        <v/>
      </c>
      <c r="D76" s="232" t="str">
        <f t="shared" ca="1" si="5"/>
        <v/>
      </c>
      <c r="E76" s="233"/>
      <c r="F76" s="231"/>
      <c r="G76" s="234"/>
      <c r="H76" s="235">
        <v>2.5</v>
      </c>
      <c r="I76" s="236" t="str">
        <f t="shared" si="6"/>
        <v/>
      </c>
      <c r="J76" s="237" t="str">
        <f t="shared" si="7"/>
        <v/>
      </c>
      <c r="K76" s="238" t="str">
        <f>IF(B76="","Pending",IF(M76="","⚠️ Enter Code",IF(IFERROR(VLOOKUP(L76,DB_Agents!$B:$I,8,0),"")=M76,"Pending","🔒 BLOCKED — Wrong Code")))</f>
        <v>Pending</v>
      </c>
      <c r="L76" s="239" t="s">
        <v>135</v>
      </c>
      <c r="M76" s="240"/>
      <c r="N76" s="230"/>
    </row>
    <row r="77" spans="1:14" ht="18" customHeight="1" x14ac:dyDescent="0.25">
      <c r="A77" s="241" t="str">
        <f t="shared" si="4"/>
        <v/>
      </c>
      <c r="B77" s="242"/>
      <c r="C77" s="243" t="str">
        <f>IF(B77="","",IFERROR(VLOOKUP(B77,DB_Customers!$A:$D,4,0),"❌ Account Not Found"))</f>
        <v/>
      </c>
      <c r="D77" s="244" t="str">
        <f t="shared" ca="1" si="5"/>
        <v/>
      </c>
      <c r="E77" s="245"/>
      <c r="F77" s="243"/>
      <c r="G77" s="246"/>
      <c r="H77" s="247">
        <v>2.5</v>
      </c>
      <c r="I77" s="248" t="str">
        <f t="shared" si="6"/>
        <v/>
      </c>
      <c r="J77" s="249" t="str">
        <f t="shared" si="7"/>
        <v/>
      </c>
      <c r="K77" s="250" t="str">
        <f>IF(B77="","Pending",IF(M77="","⚠️ Enter Code",IF(IFERROR(VLOOKUP(L77,DB_Agents!$B:$I,8,0),"")=M77,"Pending","🔒 BLOCKED — Wrong Code")))</f>
        <v>Pending</v>
      </c>
      <c r="L77" s="251" t="s">
        <v>135</v>
      </c>
      <c r="M77" s="252"/>
      <c r="N77" s="242"/>
    </row>
    <row r="78" spans="1:14" ht="18" customHeight="1" x14ac:dyDescent="0.25">
      <c r="A78" s="229" t="str">
        <f t="shared" ref="A78:A109" si="8">IF(B78="","",IF(C78="❌ Account Not Found","INVALID","LN"&amp;TEXT(D78,"YYYYMMDD")&amp;TEXT(ROW()-13,"0000")))</f>
        <v/>
      </c>
      <c r="B78" s="230"/>
      <c r="C78" s="231" t="str">
        <f>IF(B78="","",IFERROR(VLOOKUP(B78,DB_Customers!$A:$D,4,0),"❌ Account Not Found"))</f>
        <v/>
      </c>
      <c r="D78" s="232" t="str">
        <f t="shared" ref="D78:D109" ca="1" si="9">IF(B78="","",TODAY())</f>
        <v/>
      </c>
      <c r="E78" s="233"/>
      <c r="F78" s="231"/>
      <c r="G78" s="234"/>
      <c r="H78" s="235">
        <v>2.5</v>
      </c>
      <c r="I78" s="236" t="str">
        <f t="shared" ref="I78:I109" si="10">IF(E78="","",E78+(E78*H78/100*G78))</f>
        <v/>
      </c>
      <c r="J78" s="237" t="str">
        <f t="shared" ref="J78:J109" si="11">IFERROR(I78/G78,"")</f>
        <v/>
      </c>
      <c r="K78" s="238" t="str">
        <f>IF(B78="","Pending",IF(M78="","⚠️ Enter Code",IF(IFERROR(VLOOKUP(L78,DB_Agents!$B:$I,8,0),"")=M78,"Pending","🔒 BLOCKED — Wrong Code")))</f>
        <v>Pending</v>
      </c>
      <c r="L78" s="239" t="s">
        <v>135</v>
      </c>
      <c r="M78" s="240"/>
      <c r="N78" s="230"/>
    </row>
    <row r="79" spans="1:14" ht="18" customHeight="1" x14ac:dyDescent="0.25">
      <c r="A79" s="241" t="str">
        <f t="shared" si="8"/>
        <v/>
      </c>
      <c r="B79" s="242"/>
      <c r="C79" s="243" t="str">
        <f>IF(B79="","",IFERROR(VLOOKUP(B79,DB_Customers!$A:$D,4,0),"❌ Account Not Found"))</f>
        <v/>
      </c>
      <c r="D79" s="244" t="str">
        <f t="shared" ca="1" si="9"/>
        <v/>
      </c>
      <c r="E79" s="245"/>
      <c r="F79" s="243"/>
      <c r="G79" s="246"/>
      <c r="H79" s="247">
        <v>2.5</v>
      </c>
      <c r="I79" s="248" t="str">
        <f t="shared" si="10"/>
        <v/>
      </c>
      <c r="J79" s="249" t="str">
        <f t="shared" si="11"/>
        <v/>
      </c>
      <c r="K79" s="250" t="str">
        <f>IF(B79="","Pending",IF(M79="","⚠️ Enter Code",IF(IFERROR(VLOOKUP(L79,DB_Agents!$B:$I,8,0),"")=M79,"Pending","🔒 BLOCKED — Wrong Code")))</f>
        <v>Pending</v>
      </c>
      <c r="L79" s="251" t="s">
        <v>135</v>
      </c>
      <c r="M79" s="252"/>
      <c r="N79" s="242"/>
    </row>
    <row r="80" spans="1:14" ht="18" customHeight="1" x14ac:dyDescent="0.25">
      <c r="A80" s="229" t="str">
        <f t="shared" si="8"/>
        <v/>
      </c>
      <c r="B80" s="230"/>
      <c r="C80" s="231" t="str">
        <f>IF(B80="","",IFERROR(VLOOKUP(B80,DB_Customers!$A:$D,4,0),"❌ Account Not Found"))</f>
        <v/>
      </c>
      <c r="D80" s="232" t="str">
        <f t="shared" ca="1" si="9"/>
        <v/>
      </c>
      <c r="E80" s="233"/>
      <c r="F80" s="231"/>
      <c r="G80" s="234"/>
      <c r="H80" s="235">
        <v>2.5</v>
      </c>
      <c r="I80" s="236" t="str">
        <f t="shared" si="10"/>
        <v/>
      </c>
      <c r="J80" s="237" t="str">
        <f t="shared" si="11"/>
        <v/>
      </c>
      <c r="K80" s="238" t="str">
        <f>IF(B80="","Pending",IF(M80="","⚠️ Enter Code",IF(IFERROR(VLOOKUP(L80,DB_Agents!$B:$I,8,0),"")=M80,"Pending","🔒 BLOCKED — Wrong Code")))</f>
        <v>Pending</v>
      </c>
      <c r="L80" s="239" t="s">
        <v>135</v>
      </c>
      <c r="M80" s="240"/>
      <c r="N80" s="230"/>
    </row>
    <row r="81" spans="1:14" ht="18" customHeight="1" x14ac:dyDescent="0.25">
      <c r="A81" s="241" t="str">
        <f t="shared" si="8"/>
        <v/>
      </c>
      <c r="B81" s="242"/>
      <c r="C81" s="243" t="str">
        <f>IF(B81="","",IFERROR(VLOOKUP(B81,DB_Customers!$A:$D,4,0),"❌ Account Not Found"))</f>
        <v/>
      </c>
      <c r="D81" s="244" t="str">
        <f t="shared" ca="1" si="9"/>
        <v/>
      </c>
      <c r="E81" s="245"/>
      <c r="F81" s="243"/>
      <c r="G81" s="246"/>
      <c r="H81" s="247">
        <v>2.5</v>
      </c>
      <c r="I81" s="248" t="str">
        <f t="shared" si="10"/>
        <v/>
      </c>
      <c r="J81" s="249" t="str">
        <f t="shared" si="11"/>
        <v/>
      </c>
      <c r="K81" s="250" t="str">
        <f>IF(B81="","Pending",IF(M81="","⚠️ Enter Code",IF(IFERROR(VLOOKUP(L81,DB_Agents!$B:$I,8,0),"")=M81,"Pending","🔒 BLOCKED — Wrong Code")))</f>
        <v>Pending</v>
      </c>
      <c r="L81" s="251" t="s">
        <v>135</v>
      </c>
      <c r="M81" s="252"/>
      <c r="N81" s="242"/>
    </row>
    <row r="82" spans="1:14" ht="18" customHeight="1" x14ac:dyDescent="0.25">
      <c r="A82" s="229" t="str">
        <f t="shared" si="8"/>
        <v/>
      </c>
      <c r="B82" s="230"/>
      <c r="C82" s="231" t="str">
        <f>IF(B82="","",IFERROR(VLOOKUP(B82,DB_Customers!$A:$D,4,0),"❌ Account Not Found"))</f>
        <v/>
      </c>
      <c r="D82" s="232" t="str">
        <f t="shared" ca="1" si="9"/>
        <v/>
      </c>
      <c r="E82" s="233"/>
      <c r="F82" s="231"/>
      <c r="G82" s="234"/>
      <c r="H82" s="235">
        <v>2.5</v>
      </c>
      <c r="I82" s="236" t="str">
        <f t="shared" si="10"/>
        <v/>
      </c>
      <c r="J82" s="237" t="str">
        <f t="shared" si="11"/>
        <v/>
      </c>
      <c r="K82" s="238" t="str">
        <f>IF(B82="","Pending",IF(M82="","⚠️ Enter Code",IF(IFERROR(VLOOKUP(L82,DB_Agents!$B:$I,8,0),"")=M82,"Pending","🔒 BLOCKED — Wrong Code")))</f>
        <v>Pending</v>
      </c>
      <c r="L82" s="239" t="s">
        <v>135</v>
      </c>
      <c r="M82" s="240"/>
      <c r="N82" s="230"/>
    </row>
    <row r="83" spans="1:14" ht="18" customHeight="1" x14ac:dyDescent="0.25">
      <c r="A83" s="241" t="str">
        <f t="shared" si="8"/>
        <v/>
      </c>
      <c r="B83" s="242"/>
      <c r="C83" s="243" t="str">
        <f>IF(B83="","",IFERROR(VLOOKUP(B83,DB_Customers!$A:$D,4,0),"❌ Account Not Found"))</f>
        <v/>
      </c>
      <c r="D83" s="244" t="str">
        <f t="shared" ca="1" si="9"/>
        <v/>
      </c>
      <c r="E83" s="245"/>
      <c r="F83" s="243"/>
      <c r="G83" s="246"/>
      <c r="H83" s="247">
        <v>2.5</v>
      </c>
      <c r="I83" s="248" t="str">
        <f t="shared" si="10"/>
        <v/>
      </c>
      <c r="J83" s="249" t="str">
        <f t="shared" si="11"/>
        <v/>
      </c>
      <c r="K83" s="250" t="str">
        <f>IF(B83="","Pending",IF(M83="","⚠️ Enter Code",IF(IFERROR(VLOOKUP(L83,DB_Agents!$B:$I,8,0),"")=M83,"Pending","🔒 BLOCKED — Wrong Code")))</f>
        <v>Pending</v>
      </c>
      <c r="L83" s="251" t="s">
        <v>135</v>
      </c>
      <c r="M83" s="252"/>
      <c r="N83" s="242"/>
    </row>
    <row r="84" spans="1:14" ht="18" customHeight="1" x14ac:dyDescent="0.25">
      <c r="A84" s="229" t="str">
        <f t="shared" si="8"/>
        <v/>
      </c>
      <c r="B84" s="230"/>
      <c r="C84" s="231" t="str">
        <f>IF(B84="","",IFERROR(VLOOKUP(B84,DB_Customers!$A:$D,4,0),"❌ Account Not Found"))</f>
        <v/>
      </c>
      <c r="D84" s="232" t="str">
        <f t="shared" ca="1" si="9"/>
        <v/>
      </c>
      <c r="E84" s="233"/>
      <c r="F84" s="231"/>
      <c r="G84" s="234"/>
      <c r="H84" s="235">
        <v>2.5</v>
      </c>
      <c r="I84" s="236" t="str">
        <f t="shared" si="10"/>
        <v/>
      </c>
      <c r="J84" s="237" t="str">
        <f t="shared" si="11"/>
        <v/>
      </c>
      <c r="K84" s="238" t="str">
        <f>IF(B84="","Pending",IF(M84="","⚠️ Enter Code",IF(IFERROR(VLOOKUP(L84,DB_Agents!$B:$I,8,0),"")=M84,"Pending","🔒 BLOCKED — Wrong Code")))</f>
        <v>Pending</v>
      </c>
      <c r="L84" s="239" t="s">
        <v>135</v>
      </c>
      <c r="M84" s="240"/>
      <c r="N84" s="230"/>
    </row>
    <row r="85" spans="1:14" ht="18" customHeight="1" x14ac:dyDescent="0.25">
      <c r="A85" s="241" t="str">
        <f t="shared" si="8"/>
        <v/>
      </c>
      <c r="B85" s="242"/>
      <c r="C85" s="243" t="str">
        <f>IF(B85="","",IFERROR(VLOOKUP(B85,DB_Customers!$A:$D,4,0),"❌ Account Not Found"))</f>
        <v/>
      </c>
      <c r="D85" s="244" t="str">
        <f t="shared" ca="1" si="9"/>
        <v/>
      </c>
      <c r="E85" s="245"/>
      <c r="F85" s="243"/>
      <c r="G85" s="246"/>
      <c r="H85" s="247">
        <v>2.5</v>
      </c>
      <c r="I85" s="248" t="str">
        <f t="shared" si="10"/>
        <v/>
      </c>
      <c r="J85" s="249" t="str">
        <f t="shared" si="11"/>
        <v/>
      </c>
      <c r="K85" s="250" t="str">
        <f>IF(B85="","Pending",IF(M85="","⚠️ Enter Code",IF(IFERROR(VLOOKUP(L85,DB_Agents!$B:$I,8,0),"")=M85,"Pending","🔒 BLOCKED — Wrong Code")))</f>
        <v>Pending</v>
      </c>
      <c r="L85" s="251" t="s">
        <v>135</v>
      </c>
      <c r="M85" s="252"/>
      <c r="N85" s="242"/>
    </row>
    <row r="86" spans="1:14" ht="18" customHeight="1" x14ac:dyDescent="0.25">
      <c r="A86" s="229" t="str">
        <f t="shared" si="8"/>
        <v/>
      </c>
      <c r="B86" s="230"/>
      <c r="C86" s="231" t="str">
        <f>IF(B86="","",IFERROR(VLOOKUP(B86,DB_Customers!$A:$D,4,0),"❌ Account Not Found"))</f>
        <v/>
      </c>
      <c r="D86" s="232" t="str">
        <f t="shared" ca="1" si="9"/>
        <v/>
      </c>
      <c r="E86" s="233"/>
      <c r="F86" s="231"/>
      <c r="G86" s="234"/>
      <c r="H86" s="235">
        <v>2.5</v>
      </c>
      <c r="I86" s="236" t="str">
        <f t="shared" si="10"/>
        <v/>
      </c>
      <c r="J86" s="237" t="str">
        <f t="shared" si="11"/>
        <v/>
      </c>
      <c r="K86" s="238" t="str">
        <f>IF(B86="","Pending",IF(M86="","⚠️ Enter Code",IF(IFERROR(VLOOKUP(L86,DB_Agents!$B:$I,8,0),"")=M86,"Pending","🔒 BLOCKED — Wrong Code")))</f>
        <v>Pending</v>
      </c>
      <c r="L86" s="239" t="s">
        <v>135</v>
      </c>
      <c r="M86" s="240"/>
      <c r="N86" s="230"/>
    </row>
    <row r="87" spans="1:14" ht="18" customHeight="1" x14ac:dyDescent="0.25">
      <c r="A87" s="241" t="str">
        <f t="shared" si="8"/>
        <v/>
      </c>
      <c r="B87" s="242"/>
      <c r="C87" s="243" t="str">
        <f>IF(B87="","",IFERROR(VLOOKUP(B87,DB_Customers!$A:$D,4,0),"❌ Account Not Found"))</f>
        <v/>
      </c>
      <c r="D87" s="244" t="str">
        <f t="shared" ca="1" si="9"/>
        <v/>
      </c>
      <c r="E87" s="245"/>
      <c r="F87" s="243"/>
      <c r="G87" s="246"/>
      <c r="H87" s="247">
        <v>2.5</v>
      </c>
      <c r="I87" s="248" t="str">
        <f t="shared" si="10"/>
        <v/>
      </c>
      <c r="J87" s="249" t="str">
        <f t="shared" si="11"/>
        <v/>
      </c>
      <c r="K87" s="250" t="str">
        <f>IF(B87="","Pending",IF(M87="","⚠️ Enter Code",IF(IFERROR(VLOOKUP(L87,DB_Agents!$B:$I,8,0),"")=M87,"Pending","🔒 BLOCKED — Wrong Code")))</f>
        <v>Pending</v>
      </c>
      <c r="L87" s="251" t="s">
        <v>135</v>
      </c>
      <c r="M87" s="252"/>
      <c r="N87" s="242"/>
    </row>
    <row r="88" spans="1:14" ht="18" customHeight="1" x14ac:dyDescent="0.25">
      <c r="A88" s="229" t="str">
        <f t="shared" si="8"/>
        <v/>
      </c>
      <c r="B88" s="230"/>
      <c r="C88" s="231" t="str">
        <f>IF(B88="","",IFERROR(VLOOKUP(B88,DB_Customers!$A:$D,4,0),"❌ Account Not Found"))</f>
        <v/>
      </c>
      <c r="D88" s="232" t="str">
        <f t="shared" ca="1" si="9"/>
        <v/>
      </c>
      <c r="E88" s="233"/>
      <c r="F88" s="231"/>
      <c r="G88" s="234"/>
      <c r="H88" s="235">
        <v>2.5</v>
      </c>
      <c r="I88" s="236" t="str">
        <f t="shared" si="10"/>
        <v/>
      </c>
      <c r="J88" s="237" t="str">
        <f t="shared" si="11"/>
        <v/>
      </c>
      <c r="K88" s="238" t="str">
        <f>IF(B88="","Pending",IF(M88="","⚠️ Enter Code",IF(IFERROR(VLOOKUP(L88,DB_Agents!$B:$I,8,0),"")=M88,"Pending","🔒 BLOCKED — Wrong Code")))</f>
        <v>Pending</v>
      </c>
      <c r="L88" s="239" t="s">
        <v>135</v>
      </c>
      <c r="M88" s="240"/>
      <c r="N88" s="230"/>
    </row>
    <row r="89" spans="1:14" ht="18" customHeight="1" x14ac:dyDescent="0.25">
      <c r="A89" s="241" t="str">
        <f t="shared" si="8"/>
        <v/>
      </c>
      <c r="B89" s="242"/>
      <c r="C89" s="243" t="str">
        <f>IF(B89="","",IFERROR(VLOOKUP(B89,DB_Customers!$A:$D,4,0),"❌ Account Not Found"))</f>
        <v/>
      </c>
      <c r="D89" s="244" t="str">
        <f t="shared" ca="1" si="9"/>
        <v/>
      </c>
      <c r="E89" s="245"/>
      <c r="F89" s="243"/>
      <c r="G89" s="246"/>
      <c r="H89" s="247">
        <v>2.5</v>
      </c>
      <c r="I89" s="248" t="str">
        <f t="shared" si="10"/>
        <v/>
      </c>
      <c r="J89" s="249" t="str">
        <f t="shared" si="11"/>
        <v/>
      </c>
      <c r="K89" s="250" t="str">
        <f>IF(B89="","Pending",IF(M89="","⚠️ Enter Code",IF(IFERROR(VLOOKUP(L89,DB_Agents!$B:$I,8,0),"")=M89,"Pending","🔒 BLOCKED — Wrong Code")))</f>
        <v>Pending</v>
      </c>
      <c r="L89" s="251" t="s">
        <v>135</v>
      </c>
      <c r="M89" s="252"/>
      <c r="N89" s="242"/>
    </row>
    <row r="90" spans="1:14" ht="18" customHeight="1" x14ac:dyDescent="0.25">
      <c r="A90" s="229" t="str">
        <f t="shared" si="8"/>
        <v/>
      </c>
      <c r="B90" s="230"/>
      <c r="C90" s="231" t="str">
        <f>IF(B90="","",IFERROR(VLOOKUP(B90,DB_Customers!$A:$D,4,0),"❌ Account Not Found"))</f>
        <v/>
      </c>
      <c r="D90" s="232" t="str">
        <f t="shared" ca="1" si="9"/>
        <v/>
      </c>
      <c r="E90" s="233"/>
      <c r="F90" s="231"/>
      <c r="G90" s="234"/>
      <c r="H90" s="235">
        <v>2.5</v>
      </c>
      <c r="I90" s="236" t="str">
        <f t="shared" si="10"/>
        <v/>
      </c>
      <c r="J90" s="237" t="str">
        <f t="shared" si="11"/>
        <v/>
      </c>
      <c r="K90" s="238" t="str">
        <f>IF(B90="","Pending",IF(M90="","⚠️ Enter Code",IF(IFERROR(VLOOKUP(L90,DB_Agents!$B:$I,8,0),"")=M90,"Pending","🔒 BLOCKED — Wrong Code")))</f>
        <v>Pending</v>
      </c>
      <c r="L90" s="239" t="s">
        <v>135</v>
      </c>
      <c r="M90" s="240"/>
      <c r="N90" s="230"/>
    </row>
    <row r="91" spans="1:14" ht="18" customHeight="1" x14ac:dyDescent="0.25">
      <c r="A91" s="241" t="str">
        <f t="shared" si="8"/>
        <v/>
      </c>
      <c r="B91" s="242"/>
      <c r="C91" s="243" t="str">
        <f>IF(B91="","",IFERROR(VLOOKUP(B91,DB_Customers!$A:$D,4,0),"❌ Account Not Found"))</f>
        <v/>
      </c>
      <c r="D91" s="244" t="str">
        <f t="shared" ca="1" si="9"/>
        <v/>
      </c>
      <c r="E91" s="245"/>
      <c r="F91" s="243"/>
      <c r="G91" s="246"/>
      <c r="H91" s="247">
        <v>2.5</v>
      </c>
      <c r="I91" s="248" t="str">
        <f t="shared" si="10"/>
        <v/>
      </c>
      <c r="J91" s="249" t="str">
        <f t="shared" si="11"/>
        <v/>
      </c>
      <c r="K91" s="250" t="str">
        <f>IF(B91="","Pending",IF(M91="","⚠️ Enter Code",IF(IFERROR(VLOOKUP(L91,DB_Agents!$B:$I,8,0),"")=M91,"Pending","🔒 BLOCKED — Wrong Code")))</f>
        <v>Pending</v>
      </c>
      <c r="L91" s="251" t="s">
        <v>135</v>
      </c>
      <c r="M91" s="252"/>
      <c r="N91" s="242"/>
    </row>
    <row r="92" spans="1:14" ht="18" customHeight="1" x14ac:dyDescent="0.25">
      <c r="A92" s="229" t="str">
        <f t="shared" si="8"/>
        <v/>
      </c>
      <c r="B92" s="230"/>
      <c r="C92" s="231" t="str">
        <f>IF(B92="","",IFERROR(VLOOKUP(B92,DB_Customers!$A:$D,4,0),"❌ Account Not Found"))</f>
        <v/>
      </c>
      <c r="D92" s="232" t="str">
        <f t="shared" ca="1" si="9"/>
        <v/>
      </c>
      <c r="E92" s="233"/>
      <c r="F92" s="231"/>
      <c r="G92" s="234"/>
      <c r="H92" s="235">
        <v>2.5</v>
      </c>
      <c r="I92" s="236" t="str">
        <f t="shared" si="10"/>
        <v/>
      </c>
      <c r="J92" s="237" t="str">
        <f t="shared" si="11"/>
        <v/>
      </c>
      <c r="K92" s="238" t="str">
        <f>IF(B92="","Pending",IF(M92="","⚠️ Enter Code",IF(IFERROR(VLOOKUP(L92,DB_Agents!$B:$I,8,0),"")=M92,"Pending","🔒 BLOCKED — Wrong Code")))</f>
        <v>Pending</v>
      </c>
      <c r="L92" s="239" t="s">
        <v>135</v>
      </c>
      <c r="M92" s="240"/>
      <c r="N92" s="230"/>
    </row>
    <row r="93" spans="1:14" ht="18" customHeight="1" x14ac:dyDescent="0.25">
      <c r="A93" s="241" t="str">
        <f t="shared" si="8"/>
        <v/>
      </c>
      <c r="B93" s="242"/>
      <c r="C93" s="243" t="str">
        <f>IF(B93="","",IFERROR(VLOOKUP(B93,DB_Customers!$A:$D,4,0),"❌ Account Not Found"))</f>
        <v/>
      </c>
      <c r="D93" s="244" t="str">
        <f t="shared" ca="1" si="9"/>
        <v/>
      </c>
      <c r="E93" s="245"/>
      <c r="F93" s="243"/>
      <c r="G93" s="246"/>
      <c r="H93" s="247">
        <v>2.5</v>
      </c>
      <c r="I93" s="248" t="str">
        <f t="shared" si="10"/>
        <v/>
      </c>
      <c r="J93" s="249" t="str">
        <f t="shared" si="11"/>
        <v/>
      </c>
      <c r="K93" s="250" t="str">
        <f>IF(B93="","Pending",IF(M93="","⚠️ Enter Code",IF(IFERROR(VLOOKUP(L93,DB_Agents!$B:$I,8,0),"")=M93,"Pending","🔒 BLOCKED — Wrong Code")))</f>
        <v>Pending</v>
      </c>
      <c r="L93" s="251" t="s">
        <v>135</v>
      </c>
      <c r="M93" s="252"/>
      <c r="N93" s="242"/>
    </row>
    <row r="94" spans="1:14" ht="18" customHeight="1" x14ac:dyDescent="0.25">
      <c r="A94" s="229" t="str">
        <f t="shared" si="8"/>
        <v/>
      </c>
      <c r="B94" s="230"/>
      <c r="C94" s="231" t="str">
        <f>IF(B94="","",IFERROR(VLOOKUP(B94,DB_Customers!$A:$D,4,0),"❌ Account Not Found"))</f>
        <v/>
      </c>
      <c r="D94" s="232" t="str">
        <f t="shared" ca="1" si="9"/>
        <v/>
      </c>
      <c r="E94" s="233"/>
      <c r="F94" s="231"/>
      <c r="G94" s="234"/>
      <c r="H94" s="235">
        <v>2.5</v>
      </c>
      <c r="I94" s="236" t="str">
        <f t="shared" si="10"/>
        <v/>
      </c>
      <c r="J94" s="237" t="str">
        <f t="shared" si="11"/>
        <v/>
      </c>
      <c r="K94" s="238" t="str">
        <f>IF(B94="","Pending",IF(M94="","⚠️ Enter Code",IF(IFERROR(VLOOKUP(L94,DB_Agents!$B:$I,8,0),"")=M94,"Pending","🔒 BLOCKED — Wrong Code")))</f>
        <v>Pending</v>
      </c>
      <c r="L94" s="239" t="s">
        <v>135</v>
      </c>
      <c r="M94" s="240"/>
      <c r="N94" s="230"/>
    </row>
    <row r="95" spans="1:14" ht="18" customHeight="1" x14ac:dyDescent="0.25">
      <c r="A95" s="241" t="str">
        <f t="shared" si="8"/>
        <v/>
      </c>
      <c r="B95" s="242"/>
      <c r="C95" s="243" t="str">
        <f>IF(B95="","",IFERROR(VLOOKUP(B95,DB_Customers!$A:$D,4,0),"❌ Account Not Found"))</f>
        <v/>
      </c>
      <c r="D95" s="244" t="str">
        <f t="shared" ca="1" si="9"/>
        <v/>
      </c>
      <c r="E95" s="245"/>
      <c r="F95" s="243"/>
      <c r="G95" s="246"/>
      <c r="H95" s="247">
        <v>2.5</v>
      </c>
      <c r="I95" s="248" t="str">
        <f t="shared" si="10"/>
        <v/>
      </c>
      <c r="J95" s="249" t="str">
        <f t="shared" si="11"/>
        <v/>
      </c>
      <c r="K95" s="250" t="str">
        <f>IF(B95="","Pending",IF(M95="","⚠️ Enter Code",IF(IFERROR(VLOOKUP(L95,DB_Agents!$B:$I,8,0),"")=M95,"Pending","🔒 BLOCKED — Wrong Code")))</f>
        <v>Pending</v>
      </c>
      <c r="L95" s="251" t="s">
        <v>135</v>
      </c>
      <c r="M95" s="252"/>
      <c r="N95" s="242"/>
    </row>
    <row r="96" spans="1:14" ht="18" customHeight="1" x14ac:dyDescent="0.25">
      <c r="A96" s="229" t="str">
        <f t="shared" si="8"/>
        <v/>
      </c>
      <c r="B96" s="230"/>
      <c r="C96" s="231" t="str">
        <f>IF(B96="","",IFERROR(VLOOKUP(B96,DB_Customers!$A:$D,4,0),"❌ Account Not Found"))</f>
        <v/>
      </c>
      <c r="D96" s="232" t="str">
        <f t="shared" ca="1" si="9"/>
        <v/>
      </c>
      <c r="E96" s="233"/>
      <c r="F96" s="231"/>
      <c r="G96" s="234"/>
      <c r="H96" s="235">
        <v>2.5</v>
      </c>
      <c r="I96" s="236" t="str">
        <f t="shared" si="10"/>
        <v/>
      </c>
      <c r="J96" s="237" t="str">
        <f t="shared" si="11"/>
        <v/>
      </c>
      <c r="K96" s="238" t="str">
        <f>IF(B96="","Pending",IF(M96="","⚠️ Enter Code",IF(IFERROR(VLOOKUP(L96,DB_Agents!$B:$I,8,0),"")=M96,"Pending","🔒 BLOCKED — Wrong Code")))</f>
        <v>Pending</v>
      </c>
      <c r="L96" s="239" t="s">
        <v>135</v>
      </c>
      <c r="M96" s="240"/>
      <c r="N96" s="230"/>
    </row>
    <row r="97" spans="1:14" ht="18" customHeight="1" x14ac:dyDescent="0.25">
      <c r="A97" s="241" t="str">
        <f t="shared" si="8"/>
        <v/>
      </c>
      <c r="B97" s="242"/>
      <c r="C97" s="243" t="str">
        <f>IF(B97="","",IFERROR(VLOOKUP(B97,DB_Customers!$A:$D,4,0),"❌ Account Not Found"))</f>
        <v/>
      </c>
      <c r="D97" s="244" t="str">
        <f t="shared" ca="1" si="9"/>
        <v/>
      </c>
      <c r="E97" s="245"/>
      <c r="F97" s="243"/>
      <c r="G97" s="246"/>
      <c r="H97" s="247">
        <v>2.5</v>
      </c>
      <c r="I97" s="248" t="str">
        <f t="shared" si="10"/>
        <v/>
      </c>
      <c r="J97" s="249" t="str">
        <f t="shared" si="11"/>
        <v/>
      </c>
      <c r="K97" s="250" t="str">
        <f>IF(B97="","Pending",IF(M97="","⚠️ Enter Code",IF(IFERROR(VLOOKUP(L97,DB_Agents!$B:$I,8,0),"")=M97,"Pending","🔒 BLOCKED — Wrong Code")))</f>
        <v>Pending</v>
      </c>
      <c r="L97" s="251" t="s">
        <v>135</v>
      </c>
      <c r="M97" s="252"/>
      <c r="N97" s="242"/>
    </row>
    <row r="98" spans="1:14" ht="18" customHeight="1" x14ac:dyDescent="0.25">
      <c r="A98" s="229" t="str">
        <f t="shared" si="8"/>
        <v/>
      </c>
      <c r="B98" s="230"/>
      <c r="C98" s="231" t="str">
        <f>IF(B98="","",IFERROR(VLOOKUP(B98,DB_Customers!$A:$D,4,0),"❌ Account Not Found"))</f>
        <v/>
      </c>
      <c r="D98" s="232" t="str">
        <f t="shared" ca="1" si="9"/>
        <v/>
      </c>
      <c r="E98" s="233"/>
      <c r="F98" s="231"/>
      <c r="G98" s="234"/>
      <c r="H98" s="235">
        <v>2.5</v>
      </c>
      <c r="I98" s="236" t="str">
        <f t="shared" si="10"/>
        <v/>
      </c>
      <c r="J98" s="237" t="str">
        <f t="shared" si="11"/>
        <v/>
      </c>
      <c r="K98" s="238" t="str">
        <f>IF(B98="","Pending",IF(M98="","⚠️ Enter Code",IF(IFERROR(VLOOKUP(L98,DB_Agents!$B:$I,8,0),"")=M98,"Pending","🔒 BLOCKED — Wrong Code")))</f>
        <v>Pending</v>
      </c>
      <c r="L98" s="239" t="s">
        <v>135</v>
      </c>
      <c r="M98" s="240"/>
      <c r="N98" s="230"/>
    </row>
    <row r="99" spans="1:14" ht="18" customHeight="1" x14ac:dyDescent="0.25">
      <c r="A99" s="241" t="str">
        <f t="shared" si="8"/>
        <v/>
      </c>
      <c r="B99" s="242"/>
      <c r="C99" s="243" t="str">
        <f>IF(B99="","",IFERROR(VLOOKUP(B99,DB_Customers!$A:$D,4,0),"❌ Account Not Found"))</f>
        <v/>
      </c>
      <c r="D99" s="244" t="str">
        <f t="shared" ca="1" si="9"/>
        <v/>
      </c>
      <c r="E99" s="245"/>
      <c r="F99" s="243"/>
      <c r="G99" s="246"/>
      <c r="H99" s="247">
        <v>2.5</v>
      </c>
      <c r="I99" s="248" t="str">
        <f t="shared" si="10"/>
        <v/>
      </c>
      <c r="J99" s="249" t="str">
        <f t="shared" si="11"/>
        <v/>
      </c>
      <c r="K99" s="250" t="str">
        <f>IF(B99="","Pending",IF(M99="","⚠️ Enter Code",IF(IFERROR(VLOOKUP(L99,DB_Agents!$B:$I,8,0),"")=M99,"Pending","🔒 BLOCKED — Wrong Code")))</f>
        <v>Pending</v>
      </c>
      <c r="L99" s="251" t="s">
        <v>135</v>
      </c>
      <c r="M99" s="252"/>
      <c r="N99" s="242"/>
    </row>
    <row r="100" spans="1:14" ht="18" customHeight="1" x14ac:dyDescent="0.25">
      <c r="A100" s="229" t="str">
        <f t="shared" si="8"/>
        <v/>
      </c>
      <c r="B100" s="230"/>
      <c r="C100" s="231" t="str">
        <f>IF(B100="","",IFERROR(VLOOKUP(B100,DB_Customers!$A:$D,4,0),"❌ Account Not Found"))</f>
        <v/>
      </c>
      <c r="D100" s="232" t="str">
        <f t="shared" ca="1" si="9"/>
        <v/>
      </c>
      <c r="E100" s="233"/>
      <c r="F100" s="231"/>
      <c r="G100" s="234"/>
      <c r="H100" s="235">
        <v>2.5</v>
      </c>
      <c r="I100" s="236" t="str">
        <f t="shared" si="10"/>
        <v/>
      </c>
      <c r="J100" s="237" t="str">
        <f t="shared" si="11"/>
        <v/>
      </c>
      <c r="K100" s="238" t="str">
        <f>IF(B100="","Pending",IF(M100="","⚠️ Enter Code",IF(IFERROR(VLOOKUP(L100,DB_Agents!$B:$I,8,0),"")=M100,"Pending","🔒 BLOCKED — Wrong Code")))</f>
        <v>Pending</v>
      </c>
      <c r="L100" s="239" t="s">
        <v>135</v>
      </c>
      <c r="M100" s="240"/>
      <c r="N100" s="230"/>
    </row>
    <row r="101" spans="1:14" ht="18" customHeight="1" x14ac:dyDescent="0.25">
      <c r="A101" s="241" t="str">
        <f t="shared" si="8"/>
        <v/>
      </c>
      <c r="B101" s="242"/>
      <c r="C101" s="243" t="str">
        <f>IF(B101="","",IFERROR(VLOOKUP(B101,DB_Customers!$A:$D,4,0),"❌ Account Not Found"))</f>
        <v/>
      </c>
      <c r="D101" s="244" t="str">
        <f t="shared" ca="1" si="9"/>
        <v/>
      </c>
      <c r="E101" s="245"/>
      <c r="F101" s="243"/>
      <c r="G101" s="246"/>
      <c r="H101" s="247">
        <v>2.5</v>
      </c>
      <c r="I101" s="248" t="str">
        <f t="shared" si="10"/>
        <v/>
      </c>
      <c r="J101" s="249" t="str">
        <f t="shared" si="11"/>
        <v/>
      </c>
      <c r="K101" s="250" t="str">
        <f>IF(B101="","Pending",IF(M101="","⚠️ Enter Code",IF(IFERROR(VLOOKUP(L101,DB_Agents!$B:$I,8,0),"")=M101,"Pending","🔒 BLOCKED — Wrong Code")))</f>
        <v>Pending</v>
      </c>
      <c r="L101" s="251" t="s">
        <v>135</v>
      </c>
      <c r="M101" s="252"/>
      <c r="N101" s="242"/>
    </row>
    <row r="102" spans="1:14" ht="18" customHeight="1" x14ac:dyDescent="0.25">
      <c r="A102" s="229" t="str">
        <f t="shared" si="8"/>
        <v/>
      </c>
      <c r="B102" s="230"/>
      <c r="C102" s="231" t="str">
        <f>IF(B102="","",IFERROR(VLOOKUP(B102,DB_Customers!$A:$D,4,0),"❌ Account Not Found"))</f>
        <v/>
      </c>
      <c r="D102" s="232" t="str">
        <f t="shared" ca="1" si="9"/>
        <v/>
      </c>
      <c r="E102" s="233"/>
      <c r="F102" s="231"/>
      <c r="G102" s="234"/>
      <c r="H102" s="235">
        <v>2.5</v>
      </c>
      <c r="I102" s="236" t="str">
        <f t="shared" si="10"/>
        <v/>
      </c>
      <c r="J102" s="237" t="str">
        <f t="shared" si="11"/>
        <v/>
      </c>
      <c r="K102" s="238" t="str">
        <f>IF(B102="","Pending",IF(M102="","⚠️ Enter Code",IF(IFERROR(VLOOKUP(L102,DB_Agents!$B:$I,8,0),"")=M102,"Pending","🔒 BLOCKED — Wrong Code")))</f>
        <v>Pending</v>
      </c>
      <c r="L102" s="239" t="s">
        <v>135</v>
      </c>
      <c r="M102" s="240"/>
      <c r="N102" s="230"/>
    </row>
    <row r="103" spans="1:14" ht="18" customHeight="1" x14ac:dyDescent="0.25">
      <c r="A103" s="241" t="str">
        <f t="shared" si="8"/>
        <v/>
      </c>
      <c r="B103" s="242"/>
      <c r="C103" s="243" t="str">
        <f>IF(B103="","",IFERROR(VLOOKUP(B103,DB_Customers!$A:$D,4,0),"❌ Account Not Found"))</f>
        <v/>
      </c>
      <c r="D103" s="244" t="str">
        <f t="shared" ca="1" si="9"/>
        <v/>
      </c>
      <c r="E103" s="245"/>
      <c r="F103" s="243"/>
      <c r="G103" s="246"/>
      <c r="H103" s="247">
        <v>2.5</v>
      </c>
      <c r="I103" s="248" t="str">
        <f t="shared" si="10"/>
        <v/>
      </c>
      <c r="J103" s="249" t="str">
        <f t="shared" si="11"/>
        <v/>
      </c>
      <c r="K103" s="250" t="str">
        <f>IF(B103="","Pending",IF(M103="","⚠️ Enter Code",IF(IFERROR(VLOOKUP(L103,DB_Agents!$B:$I,8,0),"")=M103,"Pending","🔒 BLOCKED — Wrong Code")))</f>
        <v>Pending</v>
      </c>
      <c r="L103" s="251" t="s">
        <v>135</v>
      </c>
      <c r="M103" s="252"/>
      <c r="N103" s="242"/>
    </row>
    <row r="104" spans="1:14" ht="18" customHeight="1" x14ac:dyDescent="0.25">
      <c r="A104" s="229" t="str">
        <f t="shared" si="8"/>
        <v/>
      </c>
      <c r="B104" s="230"/>
      <c r="C104" s="231" t="str">
        <f>IF(B104="","",IFERROR(VLOOKUP(B104,DB_Customers!$A:$D,4,0),"❌ Account Not Found"))</f>
        <v/>
      </c>
      <c r="D104" s="232" t="str">
        <f t="shared" ca="1" si="9"/>
        <v/>
      </c>
      <c r="E104" s="233"/>
      <c r="F104" s="231"/>
      <c r="G104" s="234"/>
      <c r="H104" s="235">
        <v>2.5</v>
      </c>
      <c r="I104" s="236" t="str">
        <f t="shared" si="10"/>
        <v/>
      </c>
      <c r="J104" s="237" t="str">
        <f t="shared" si="11"/>
        <v/>
      </c>
      <c r="K104" s="238" t="str">
        <f>IF(B104="","Pending",IF(M104="","⚠️ Enter Code",IF(IFERROR(VLOOKUP(L104,DB_Agents!$B:$I,8,0),"")=M104,"Pending","🔒 BLOCKED — Wrong Code")))</f>
        <v>Pending</v>
      </c>
      <c r="L104" s="239" t="s">
        <v>135</v>
      </c>
      <c r="M104" s="240"/>
      <c r="N104" s="230"/>
    </row>
    <row r="105" spans="1:14" ht="18" customHeight="1" x14ac:dyDescent="0.25">
      <c r="A105" s="241" t="str">
        <f t="shared" si="8"/>
        <v/>
      </c>
      <c r="B105" s="242"/>
      <c r="C105" s="243" t="str">
        <f>IF(B105="","",IFERROR(VLOOKUP(B105,DB_Customers!$A:$D,4,0),"❌ Account Not Found"))</f>
        <v/>
      </c>
      <c r="D105" s="244" t="str">
        <f t="shared" ca="1" si="9"/>
        <v/>
      </c>
      <c r="E105" s="245"/>
      <c r="F105" s="243"/>
      <c r="G105" s="246"/>
      <c r="H105" s="247">
        <v>2.5</v>
      </c>
      <c r="I105" s="248" t="str">
        <f t="shared" si="10"/>
        <v/>
      </c>
      <c r="J105" s="249" t="str">
        <f t="shared" si="11"/>
        <v/>
      </c>
      <c r="K105" s="250" t="str">
        <f>IF(B105="","Pending",IF(M105="","⚠️ Enter Code",IF(IFERROR(VLOOKUP(L105,DB_Agents!$B:$I,8,0),"")=M105,"Pending","🔒 BLOCKED — Wrong Code")))</f>
        <v>Pending</v>
      </c>
      <c r="L105" s="251" t="s">
        <v>135</v>
      </c>
      <c r="M105" s="252"/>
      <c r="N105" s="242"/>
    </row>
    <row r="106" spans="1:14" ht="18" customHeight="1" x14ac:dyDescent="0.25">
      <c r="A106" s="229" t="str">
        <f t="shared" si="8"/>
        <v/>
      </c>
      <c r="B106" s="230"/>
      <c r="C106" s="231" t="str">
        <f>IF(B106="","",IFERROR(VLOOKUP(B106,DB_Customers!$A:$D,4,0),"❌ Account Not Found"))</f>
        <v/>
      </c>
      <c r="D106" s="232" t="str">
        <f t="shared" ca="1" si="9"/>
        <v/>
      </c>
      <c r="E106" s="233"/>
      <c r="F106" s="231"/>
      <c r="G106" s="234"/>
      <c r="H106" s="235">
        <v>2.5</v>
      </c>
      <c r="I106" s="236" t="str">
        <f t="shared" si="10"/>
        <v/>
      </c>
      <c r="J106" s="237" t="str">
        <f t="shared" si="11"/>
        <v/>
      </c>
      <c r="K106" s="238" t="str">
        <f>IF(B106="","Pending",IF(M106="","⚠️ Enter Code",IF(IFERROR(VLOOKUP(L106,DB_Agents!$B:$I,8,0),"")=M106,"Pending","🔒 BLOCKED — Wrong Code")))</f>
        <v>Pending</v>
      </c>
      <c r="L106" s="239" t="s">
        <v>135</v>
      </c>
      <c r="M106" s="240"/>
      <c r="N106" s="230"/>
    </row>
    <row r="107" spans="1:14" ht="18" customHeight="1" x14ac:dyDescent="0.25">
      <c r="A107" s="241" t="str">
        <f t="shared" si="8"/>
        <v/>
      </c>
      <c r="B107" s="242"/>
      <c r="C107" s="243" t="str">
        <f>IF(B107="","",IFERROR(VLOOKUP(B107,DB_Customers!$A:$D,4,0),"❌ Account Not Found"))</f>
        <v/>
      </c>
      <c r="D107" s="244" t="str">
        <f t="shared" ca="1" si="9"/>
        <v/>
      </c>
      <c r="E107" s="245"/>
      <c r="F107" s="243"/>
      <c r="G107" s="246"/>
      <c r="H107" s="247">
        <v>2.5</v>
      </c>
      <c r="I107" s="248" t="str">
        <f t="shared" si="10"/>
        <v/>
      </c>
      <c r="J107" s="249" t="str">
        <f t="shared" si="11"/>
        <v/>
      </c>
      <c r="K107" s="250" t="str">
        <f>IF(B107="","Pending",IF(M107="","⚠️ Enter Code",IF(IFERROR(VLOOKUP(L107,DB_Agents!$B:$I,8,0),"")=M107,"Pending","🔒 BLOCKED — Wrong Code")))</f>
        <v>Pending</v>
      </c>
      <c r="L107" s="251" t="s">
        <v>135</v>
      </c>
      <c r="M107" s="252"/>
      <c r="N107" s="242"/>
    </row>
    <row r="108" spans="1:14" ht="18" customHeight="1" x14ac:dyDescent="0.25">
      <c r="A108" s="229" t="str">
        <f t="shared" si="8"/>
        <v/>
      </c>
      <c r="B108" s="230"/>
      <c r="C108" s="231" t="str">
        <f>IF(B108="","",IFERROR(VLOOKUP(B108,DB_Customers!$A:$D,4,0),"❌ Account Not Found"))</f>
        <v/>
      </c>
      <c r="D108" s="232" t="str">
        <f t="shared" ca="1" si="9"/>
        <v/>
      </c>
      <c r="E108" s="233"/>
      <c r="F108" s="231"/>
      <c r="G108" s="234"/>
      <c r="H108" s="235">
        <v>2.5</v>
      </c>
      <c r="I108" s="236" t="str">
        <f t="shared" si="10"/>
        <v/>
      </c>
      <c r="J108" s="237" t="str">
        <f t="shared" si="11"/>
        <v/>
      </c>
      <c r="K108" s="238" t="str">
        <f>IF(B108="","Pending",IF(M108="","⚠️ Enter Code",IF(IFERROR(VLOOKUP(L108,DB_Agents!$B:$I,8,0),"")=M108,"Pending","🔒 BLOCKED — Wrong Code")))</f>
        <v>Pending</v>
      </c>
      <c r="L108" s="239" t="s">
        <v>135</v>
      </c>
      <c r="M108" s="240"/>
      <c r="N108" s="230"/>
    </row>
    <row r="109" spans="1:14" ht="18" customHeight="1" x14ac:dyDescent="0.25">
      <c r="A109" s="241" t="str">
        <f t="shared" si="8"/>
        <v/>
      </c>
      <c r="B109" s="242"/>
      <c r="C109" s="243" t="str">
        <f>IF(B109="","",IFERROR(VLOOKUP(B109,DB_Customers!$A:$D,4,0),"❌ Account Not Found"))</f>
        <v/>
      </c>
      <c r="D109" s="244" t="str">
        <f t="shared" ca="1" si="9"/>
        <v/>
      </c>
      <c r="E109" s="245"/>
      <c r="F109" s="243"/>
      <c r="G109" s="246"/>
      <c r="H109" s="247">
        <v>2.5</v>
      </c>
      <c r="I109" s="248" t="str">
        <f t="shared" si="10"/>
        <v/>
      </c>
      <c r="J109" s="249" t="str">
        <f t="shared" si="11"/>
        <v/>
      </c>
      <c r="K109" s="250" t="str">
        <f>IF(B109="","Pending",IF(M109="","⚠️ Enter Code",IF(IFERROR(VLOOKUP(L109,DB_Agents!$B:$I,8,0),"")=M109,"Pending","🔒 BLOCKED — Wrong Code")))</f>
        <v>Pending</v>
      </c>
      <c r="L109" s="251" t="s">
        <v>135</v>
      </c>
      <c r="M109" s="252"/>
      <c r="N109" s="242"/>
    </row>
    <row r="110" spans="1:14" ht="18" customHeight="1" x14ac:dyDescent="0.25">
      <c r="A110" s="229" t="str">
        <f t="shared" ref="A110:A141" si="12">IF(B110="","",IF(C110="❌ Account Not Found","INVALID","LN"&amp;TEXT(D110,"YYYYMMDD")&amp;TEXT(ROW()-13,"0000")))</f>
        <v/>
      </c>
      <c r="B110" s="230"/>
      <c r="C110" s="231" t="str">
        <f>IF(B110="","",IFERROR(VLOOKUP(B110,DB_Customers!$A:$D,4,0),"❌ Account Not Found"))</f>
        <v/>
      </c>
      <c r="D110" s="232" t="str">
        <f t="shared" ref="D110:D141" ca="1" si="13">IF(B110="","",TODAY())</f>
        <v/>
      </c>
      <c r="E110" s="233"/>
      <c r="F110" s="231"/>
      <c r="G110" s="234"/>
      <c r="H110" s="235">
        <v>2.5</v>
      </c>
      <c r="I110" s="236" t="str">
        <f t="shared" ref="I110:I141" si="14">IF(E110="","",E110+(E110*H110/100*G110))</f>
        <v/>
      </c>
      <c r="J110" s="237" t="str">
        <f t="shared" ref="J110:J141" si="15">IFERROR(I110/G110,"")</f>
        <v/>
      </c>
      <c r="K110" s="238" t="str">
        <f>IF(B110="","Pending",IF(M110="","⚠️ Enter Code",IF(IFERROR(VLOOKUP(L110,DB_Agents!$B:$I,8,0),"")=M110,"Pending","🔒 BLOCKED — Wrong Code")))</f>
        <v>Pending</v>
      </c>
      <c r="L110" s="239" t="s">
        <v>135</v>
      </c>
      <c r="M110" s="240"/>
      <c r="N110" s="230"/>
    </row>
    <row r="111" spans="1:14" ht="18" customHeight="1" x14ac:dyDescent="0.25">
      <c r="A111" s="241" t="str">
        <f t="shared" si="12"/>
        <v/>
      </c>
      <c r="B111" s="242"/>
      <c r="C111" s="243" t="str">
        <f>IF(B111="","",IFERROR(VLOOKUP(B111,DB_Customers!$A:$D,4,0),"❌ Account Not Found"))</f>
        <v/>
      </c>
      <c r="D111" s="244" t="str">
        <f t="shared" ca="1" si="13"/>
        <v/>
      </c>
      <c r="E111" s="245"/>
      <c r="F111" s="243"/>
      <c r="G111" s="246"/>
      <c r="H111" s="247">
        <v>2.5</v>
      </c>
      <c r="I111" s="248" t="str">
        <f t="shared" si="14"/>
        <v/>
      </c>
      <c r="J111" s="249" t="str">
        <f t="shared" si="15"/>
        <v/>
      </c>
      <c r="K111" s="250" t="str">
        <f>IF(B111="","Pending",IF(M111="","⚠️ Enter Code",IF(IFERROR(VLOOKUP(L111,DB_Agents!$B:$I,8,0),"")=M111,"Pending","🔒 BLOCKED — Wrong Code")))</f>
        <v>Pending</v>
      </c>
      <c r="L111" s="251" t="s">
        <v>135</v>
      </c>
      <c r="M111" s="252"/>
      <c r="N111" s="242"/>
    </row>
    <row r="112" spans="1:14" ht="18" customHeight="1" x14ac:dyDescent="0.25">
      <c r="A112" s="229" t="str">
        <f t="shared" si="12"/>
        <v/>
      </c>
      <c r="B112" s="230"/>
      <c r="C112" s="231" t="str">
        <f>IF(B112="","",IFERROR(VLOOKUP(B112,DB_Customers!$A:$D,4,0),"❌ Account Not Found"))</f>
        <v/>
      </c>
      <c r="D112" s="232" t="str">
        <f t="shared" ca="1" si="13"/>
        <v/>
      </c>
      <c r="E112" s="233"/>
      <c r="F112" s="231"/>
      <c r="G112" s="234"/>
      <c r="H112" s="235">
        <v>2.5</v>
      </c>
      <c r="I112" s="236" t="str">
        <f t="shared" si="14"/>
        <v/>
      </c>
      <c r="J112" s="237" t="str">
        <f t="shared" si="15"/>
        <v/>
      </c>
      <c r="K112" s="238" t="str">
        <f>IF(B112="","Pending",IF(M112="","⚠️ Enter Code",IF(IFERROR(VLOOKUP(L112,DB_Agents!$B:$I,8,0),"")=M112,"Pending","🔒 BLOCKED — Wrong Code")))</f>
        <v>Pending</v>
      </c>
      <c r="L112" s="239" t="s">
        <v>135</v>
      </c>
      <c r="M112" s="240"/>
      <c r="N112" s="230"/>
    </row>
    <row r="113" spans="1:14" ht="18" customHeight="1" x14ac:dyDescent="0.25">
      <c r="A113" s="241" t="str">
        <f t="shared" si="12"/>
        <v/>
      </c>
      <c r="B113" s="242"/>
      <c r="C113" s="243" t="str">
        <f>IF(B113="","",IFERROR(VLOOKUP(B113,DB_Customers!$A:$D,4,0),"❌ Account Not Found"))</f>
        <v/>
      </c>
      <c r="D113" s="244" t="str">
        <f t="shared" ca="1" si="13"/>
        <v/>
      </c>
      <c r="E113" s="245"/>
      <c r="F113" s="243"/>
      <c r="G113" s="246"/>
      <c r="H113" s="247">
        <v>2.5</v>
      </c>
      <c r="I113" s="248" t="str">
        <f t="shared" si="14"/>
        <v/>
      </c>
      <c r="J113" s="249" t="str">
        <f t="shared" si="15"/>
        <v/>
      </c>
      <c r="K113" s="250" t="str">
        <f>IF(B113="","Pending",IF(M113="","⚠️ Enter Code",IF(IFERROR(VLOOKUP(L113,DB_Agents!$B:$I,8,0),"")=M113,"Pending","🔒 BLOCKED — Wrong Code")))</f>
        <v>Pending</v>
      </c>
      <c r="L113" s="251" t="s">
        <v>135</v>
      </c>
      <c r="M113" s="252"/>
      <c r="N113" s="242"/>
    </row>
    <row r="114" spans="1:14" ht="18" customHeight="1" x14ac:dyDescent="0.25">
      <c r="A114" s="253" t="str">
        <f t="shared" si="12"/>
        <v/>
      </c>
      <c r="B114" s="254"/>
      <c r="C114" s="254" t="str">
        <f>IF(B114="","",IFERROR(VLOOKUP(B114,DB_Customers!$A:$D,4,0),"❌ Account Not Found"))</f>
        <v/>
      </c>
      <c r="D114" s="253" t="str">
        <f t="shared" ca="1" si="13"/>
        <v/>
      </c>
      <c r="E114" s="254"/>
      <c r="F114" s="254"/>
      <c r="G114" s="253"/>
      <c r="H114" s="255">
        <v>2.5</v>
      </c>
      <c r="I114" s="253" t="str">
        <f t="shared" si="14"/>
        <v/>
      </c>
      <c r="J114" s="253" t="str">
        <f t="shared" si="15"/>
        <v/>
      </c>
      <c r="K114" s="253" t="str">
        <f>IF(B114="","Pending",IF(M114="","⚠️ Enter Code",IF(IFERROR(VLOOKUP(L114,DB_Agents!$B:$I,8,0),"")=M114,"Pending","🔒 BLOCKED — Wrong Code")))</f>
        <v>Pending</v>
      </c>
      <c r="L114" s="253" t="s">
        <v>135</v>
      </c>
      <c r="M114" s="240"/>
      <c r="N114" s="254"/>
    </row>
    <row r="115" spans="1:14" ht="18" customHeight="1" x14ac:dyDescent="0.25">
      <c r="A115" s="256" t="str">
        <f t="shared" si="12"/>
        <v/>
      </c>
      <c r="B115" s="257"/>
      <c r="C115" s="257" t="str">
        <f>IF(B115="","",IFERROR(VLOOKUP(B115,DB_Customers!$A:$D,4,0),"❌ Account Not Found"))</f>
        <v/>
      </c>
      <c r="D115" s="256" t="str">
        <f t="shared" ca="1" si="13"/>
        <v/>
      </c>
      <c r="E115" s="257"/>
      <c r="F115" s="257"/>
      <c r="G115" s="256"/>
      <c r="H115" s="258">
        <v>2.5</v>
      </c>
      <c r="I115" s="256" t="str">
        <f t="shared" si="14"/>
        <v/>
      </c>
      <c r="J115" s="256" t="str">
        <f t="shared" si="15"/>
        <v/>
      </c>
      <c r="K115" s="256" t="str">
        <f>IF(B115="","Pending",IF(M115="","⚠️ Enter Code",IF(IFERROR(VLOOKUP(L115,DB_Agents!$B:$I,8,0),"")=M115,"Pending","🔒 BLOCKED — Wrong Code")))</f>
        <v>Pending</v>
      </c>
      <c r="L115" s="256" t="s">
        <v>135</v>
      </c>
      <c r="M115" s="252"/>
      <c r="N115" s="257"/>
    </row>
    <row r="116" spans="1:14" ht="18" customHeight="1" x14ac:dyDescent="0.25">
      <c r="A116" s="253" t="str">
        <f t="shared" si="12"/>
        <v/>
      </c>
      <c r="B116" s="254"/>
      <c r="C116" s="254" t="str">
        <f>IF(B116="","",IFERROR(VLOOKUP(B116,DB_Customers!$A:$D,4,0),"❌ Account Not Found"))</f>
        <v/>
      </c>
      <c r="D116" s="253" t="str">
        <f t="shared" ca="1" si="13"/>
        <v/>
      </c>
      <c r="E116" s="254"/>
      <c r="F116" s="254"/>
      <c r="G116" s="253"/>
      <c r="H116" s="255">
        <v>2.5</v>
      </c>
      <c r="I116" s="253" t="str">
        <f t="shared" si="14"/>
        <v/>
      </c>
      <c r="J116" s="253" t="str">
        <f t="shared" si="15"/>
        <v/>
      </c>
      <c r="K116" s="253" t="str">
        <f>IF(B116="","Pending",IF(M116="","⚠️ Enter Code",IF(IFERROR(VLOOKUP(L116,DB_Agents!$B:$I,8,0),"")=M116,"Pending","🔒 BLOCKED — Wrong Code")))</f>
        <v>Pending</v>
      </c>
      <c r="L116" s="253" t="s">
        <v>135</v>
      </c>
      <c r="M116" s="240"/>
      <c r="N116" s="254"/>
    </row>
    <row r="117" spans="1:14" ht="18" customHeight="1" x14ac:dyDescent="0.25">
      <c r="A117" s="256" t="str">
        <f t="shared" si="12"/>
        <v/>
      </c>
      <c r="B117" s="257"/>
      <c r="C117" s="257" t="str">
        <f>IF(B117="","",IFERROR(VLOOKUP(B117,DB_Customers!$A:$D,4,0),"❌ Account Not Found"))</f>
        <v/>
      </c>
      <c r="D117" s="256" t="str">
        <f t="shared" ca="1" si="13"/>
        <v/>
      </c>
      <c r="E117" s="257"/>
      <c r="F117" s="257"/>
      <c r="G117" s="256"/>
      <c r="H117" s="258">
        <v>2.5</v>
      </c>
      <c r="I117" s="256" t="str">
        <f t="shared" si="14"/>
        <v/>
      </c>
      <c r="J117" s="256" t="str">
        <f t="shared" si="15"/>
        <v/>
      </c>
      <c r="K117" s="256" t="str">
        <f>IF(B117="","Pending",IF(M117="","⚠️ Enter Code",IF(IFERROR(VLOOKUP(L117,DB_Agents!$B:$I,8,0),"")=M117,"Pending","🔒 BLOCKED — Wrong Code")))</f>
        <v>Pending</v>
      </c>
      <c r="L117" s="256" t="s">
        <v>135</v>
      </c>
      <c r="M117" s="252"/>
      <c r="N117" s="257"/>
    </row>
    <row r="118" spans="1:14" ht="18" customHeight="1" x14ac:dyDescent="0.25">
      <c r="A118" s="253" t="str">
        <f t="shared" si="12"/>
        <v/>
      </c>
      <c r="B118" s="254"/>
      <c r="C118" s="254" t="str">
        <f>IF(B118="","",IFERROR(VLOOKUP(B118,DB_Customers!$A:$D,4,0),"❌ Account Not Found"))</f>
        <v/>
      </c>
      <c r="D118" s="253" t="str">
        <f t="shared" ca="1" si="13"/>
        <v/>
      </c>
      <c r="E118" s="254"/>
      <c r="F118" s="254"/>
      <c r="G118" s="253"/>
      <c r="H118" s="255">
        <v>2.5</v>
      </c>
      <c r="I118" s="253" t="str">
        <f t="shared" si="14"/>
        <v/>
      </c>
      <c r="J118" s="253" t="str">
        <f t="shared" si="15"/>
        <v/>
      </c>
      <c r="K118" s="253" t="str">
        <f>IF(B118="","Pending",IF(M118="","⚠️ Enter Code",IF(IFERROR(VLOOKUP(L118,DB_Agents!$B:$I,8,0),"")=M118,"Pending","🔒 BLOCKED — Wrong Code")))</f>
        <v>Pending</v>
      </c>
      <c r="L118" s="253" t="s">
        <v>135</v>
      </c>
      <c r="M118" s="240"/>
      <c r="N118" s="254"/>
    </row>
    <row r="119" spans="1:14" ht="18" customHeight="1" x14ac:dyDescent="0.25">
      <c r="A119" s="256" t="str">
        <f t="shared" si="12"/>
        <v/>
      </c>
      <c r="B119" s="257"/>
      <c r="C119" s="257" t="str">
        <f>IF(B119="","",IFERROR(VLOOKUP(B119,DB_Customers!$A:$D,4,0),"❌ Account Not Found"))</f>
        <v/>
      </c>
      <c r="D119" s="256" t="str">
        <f t="shared" ca="1" si="13"/>
        <v/>
      </c>
      <c r="E119" s="257"/>
      <c r="F119" s="257"/>
      <c r="G119" s="256"/>
      <c r="H119" s="258">
        <v>2.5</v>
      </c>
      <c r="I119" s="256" t="str">
        <f t="shared" si="14"/>
        <v/>
      </c>
      <c r="J119" s="256" t="str">
        <f t="shared" si="15"/>
        <v/>
      </c>
      <c r="K119" s="256" t="str">
        <f>IF(B119="","Pending",IF(M119="","⚠️ Enter Code",IF(IFERROR(VLOOKUP(L119,DB_Agents!$B:$I,8,0),"")=M119,"Pending","🔒 BLOCKED — Wrong Code")))</f>
        <v>Pending</v>
      </c>
      <c r="L119" s="256" t="s">
        <v>135</v>
      </c>
      <c r="M119" s="252"/>
      <c r="N119" s="257"/>
    </row>
    <row r="120" spans="1:14" ht="18" customHeight="1" x14ac:dyDescent="0.25">
      <c r="A120" s="253" t="str">
        <f t="shared" si="12"/>
        <v/>
      </c>
      <c r="B120" s="254"/>
      <c r="C120" s="254" t="str">
        <f>IF(B120="","",IFERROR(VLOOKUP(B120,DB_Customers!$A:$D,4,0),"❌ Account Not Found"))</f>
        <v/>
      </c>
      <c r="D120" s="253" t="str">
        <f t="shared" ca="1" si="13"/>
        <v/>
      </c>
      <c r="E120" s="254"/>
      <c r="F120" s="254"/>
      <c r="G120" s="253"/>
      <c r="H120" s="255">
        <v>2.5</v>
      </c>
      <c r="I120" s="253" t="str">
        <f t="shared" si="14"/>
        <v/>
      </c>
      <c r="J120" s="253" t="str">
        <f t="shared" si="15"/>
        <v/>
      </c>
      <c r="K120" s="253" t="str">
        <f>IF(B120="","Pending",IF(M120="","⚠️ Enter Code",IF(IFERROR(VLOOKUP(L120,DB_Agents!$B:$I,8,0),"")=M120,"Pending","🔒 BLOCKED — Wrong Code")))</f>
        <v>Pending</v>
      </c>
      <c r="L120" s="253" t="s">
        <v>135</v>
      </c>
      <c r="M120" s="240"/>
      <c r="N120" s="254"/>
    </row>
    <row r="121" spans="1:14" ht="18" customHeight="1" x14ac:dyDescent="0.25">
      <c r="A121" s="256" t="str">
        <f t="shared" si="12"/>
        <v/>
      </c>
      <c r="B121" s="257"/>
      <c r="C121" s="257" t="str">
        <f>IF(B121="","",IFERROR(VLOOKUP(B121,DB_Customers!$A:$D,4,0),"❌ Account Not Found"))</f>
        <v/>
      </c>
      <c r="D121" s="256" t="str">
        <f t="shared" ca="1" si="13"/>
        <v/>
      </c>
      <c r="E121" s="257"/>
      <c r="F121" s="257"/>
      <c r="G121" s="256"/>
      <c r="H121" s="258">
        <v>2.5</v>
      </c>
      <c r="I121" s="256" t="str">
        <f t="shared" si="14"/>
        <v/>
      </c>
      <c r="J121" s="256" t="str">
        <f t="shared" si="15"/>
        <v/>
      </c>
      <c r="K121" s="256" t="str">
        <f>IF(B121="","Pending",IF(M121="","⚠️ Enter Code",IF(IFERROR(VLOOKUP(L121,DB_Agents!$B:$I,8,0),"")=M121,"Pending","🔒 BLOCKED — Wrong Code")))</f>
        <v>Pending</v>
      </c>
      <c r="L121" s="256" t="s">
        <v>135</v>
      </c>
      <c r="M121" s="252"/>
      <c r="N121" s="257"/>
    </row>
    <row r="122" spans="1:14" ht="18" customHeight="1" x14ac:dyDescent="0.25">
      <c r="A122" s="253" t="str">
        <f t="shared" si="12"/>
        <v/>
      </c>
      <c r="B122" s="254"/>
      <c r="C122" s="254" t="str">
        <f>IF(B122="","",IFERROR(VLOOKUP(B122,DB_Customers!$A:$D,4,0),"❌ Account Not Found"))</f>
        <v/>
      </c>
      <c r="D122" s="253" t="str">
        <f t="shared" ca="1" si="13"/>
        <v/>
      </c>
      <c r="E122" s="254"/>
      <c r="F122" s="254"/>
      <c r="G122" s="253"/>
      <c r="H122" s="255">
        <v>2.5</v>
      </c>
      <c r="I122" s="253" t="str">
        <f t="shared" si="14"/>
        <v/>
      </c>
      <c r="J122" s="253" t="str">
        <f t="shared" si="15"/>
        <v/>
      </c>
      <c r="K122" s="253" t="str">
        <f>IF(B122="","Pending",IF(M122="","⚠️ Enter Code",IF(IFERROR(VLOOKUP(L122,DB_Agents!$B:$I,8,0),"")=M122,"Pending","🔒 BLOCKED — Wrong Code")))</f>
        <v>Pending</v>
      </c>
      <c r="L122" s="253" t="s">
        <v>135</v>
      </c>
      <c r="M122" s="240"/>
      <c r="N122" s="254"/>
    </row>
    <row r="123" spans="1:14" ht="18" customHeight="1" x14ac:dyDescent="0.25">
      <c r="A123" s="256" t="str">
        <f t="shared" si="12"/>
        <v/>
      </c>
      <c r="B123" s="257"/>
      <c r="C123" s="257" t="str">
        <f>IF(B123="","",IFERROR(VLOOKUP(B123,DB_Customers!$A:$D,4,0),"❌ Account Not Found"))</f>
        <v/>
      </c>
      <c r="D123" s="256" t="str">
        <f t="shared" ca="1" si="13"/>
        <v/>
      </c>
      <c r="E123" s="257"/>
      <c r="F123" s="257"/>
      <c r="G123" s="256"/>
      <c r="H123" s="258">
        <v>2.5</v>
      </c>
      <c r="I123" s="256" t="str">
        <f t="shared" si="14"/>
        <v/>
      </c>
      <c r="J123" s="256" t="str">
        <f t="shared" si="15"/>
        <v/>
      </c>
      <c r="K123" s="256" t="str">
        <f>IF(B123="","Pending",IF(M123="","⚠️ Enter Code",IF(IFERROR(VLOOKUP(L123,DB_Agents!$B:$I,8,0),"")=M123,"Pending","🔒 BLOCKED — Wrong Code")))</f>
        <v>Pending</v>
      </c>
      <c r="L123" s="256" t="s">
        <v>135</v>
      </c>
      <c r="M123" s="252"/>
      <c r="N123" s="257"/>
    </row>
    <row r="124" spans="1:14" ht="18" customHeight="1" x14ac:dyDescent="0.25">
      <c r="A124" s="253" t="str">
        <f t="shared" si="12"/>
        <v/>
      </c>
      <c r="B124" s="254"/>
      <c r="C124" s="254" t="str">
        <f>IF(B124="","",IFERROR(VLOOKUP(B124,DB_Customers!$A:$D,4,0),"❌ Account Not Found"))</f>
        <v/>
      </c>
      <c r="D124" s="253" t="str">
        <f t="shared" ca="1" si="13"/>
        <v/>
      </c>
      <c r="E124" s="254"/>
      <c r="F124" s="254"/>
      <c r="G124" s="253"/>
      <c r="H124" s="255">
        <v>2.5</v>
      </c>
      <c r="I124" s="253" t="str">
        <f t="shared" si="14"/>
        <v/>
      </c>
      <c r="J124" s="253" t="str">
        <f t="shared" si="15"/>
        <v/>
      </c>
      <c r="K124" s="253" t="str">
        <f>IF(B124="","Pending",IF(M124="","⚠️ Enter Code",IF(IFERROR(VLOOKUP(L124,DB_Agents!$B:$I,8,0),"")=M124,"Pending","🔒 BLOCKED — Wrong Code")))</f>
        <v>Pending</v>
      </c>
      <c r="L124" s="253" t="s">
        <v>135</v>
      </c>
      <c r="M124" s="240"/>
      <c r="N124" s="254"/>
    </row>
    <row r="125" spans="1:14" ht="18" customHeight="1" x14ac:dyDescent="0.25">
      <c r="A125" s="256" t="str">
        <f t="shared" si="12"/>
        <v/>
      </c>
      <c r="B125" s="257"/>
      <c r="C125" s="257" t="str">
        <f>IF(B125="","",IFERROR(VLOOKUP(B125,DB_Customers!$A:$D,4,0),"❌ Account Not Found"))</f>
        <v/>
      </c>
      <c r="D125" s="256" t="str">
        <f t="shared" ca="1" si="13"/>
        <v/>
      </c>
      <c r="E125" s="257"/>
      <c r="F125" s="257"/>
      <c r="G125" s="256"/>
      <c r="H125" s="258">
        <v>2.5</v>
      </c>
      <c r="I125" s="256" t="str">
        <f t="shared" si="14"/>
        <v/>
      </c>
      <c r="J125" s="256" t="str">
        <f t="shared" si="15"/>
        <v/>
      </c>
      <c r="K125" s="256" t="str">
        <f>IF(B125="","Pending",IF(M125="","⚠️ Enter Code",IF(IFERROR(VLOOKUP(L125,DB_Agents!$B:$I,8,0),"")=M125,"Pending","🔒 BLOCKED — Wrong Code")))</f>
        <v>Pending</v>
      </c>
      <c r="L125" s="256" t="s">
        <v>135</v>
      </c>
      <c r="M125" s="252"/>
      <c r="N125" s="257"/>
    </row>
    <row r="126" spans="1:14" ht="18" customHeight="1" x14ac:dyDescent="0.25">
      <c r="A126" s="253" t="str">
        <f t="shared" si="12"/>
        <v/>
      </c>
      <c r="B126" s="254"/>
      <c r="C126" s="254" t="str">
        <f>IF(B126="","",IFERROR(VLOOKUP(B126,DB_Customers!$A:$D,4,0),"❌ Account Not Found"))</f>
        <v/>
      </c>
      <c r="D126" s="253" t="str">
        <f t="shared" ca="1" si="13"/>
        <v/>
      </c>
      <c r="E126" s="254"/>
      <c r="F126" s="254"/>
      <c r="G126" s="253"/>
      <c r="H126" s="255">
        <v>2.5</v>
      </c>
      <c r="I126" s="253" t="str">
        <f t="shared" si="14"/>
        <v/>
      </c>
      <c r="J126" s="253" t="str">
        <f t="shared" si="15"/>
        <v/>
      </c>
      <c r="K126" s="253" t="str">
        <f>IF(B126="","Pending",IF(M126="","⚠️ Enter Code",IF(IFERROR(VLOOKUP(L126,DB_Agents!$B:$I,8,0),"")=M126,"Pending","🔒 BLOCKED — Wrong Code")))</f>
        <v>Pending</v>
      </c>
      <c r="L126" s="253" t="s">
        <v>135</v>
      </c>
      <c r="M126" s="240"/>
      <c r="N126" s="254"/>
    </row>
    <row r="127" spans="1:14" ht="18" customHeight="1" x14ac:dyDescent="0.25">
      <c r="A127" s="256" t="str">
        <f t="shared" si="12"/>
        <v/>
      </c>
      <c r="B127" s="257"/>
      <c r="C127" s="257" t="str">
        <f>IF(B127="","",IFERROR(VLOOKUP(B127,DB_Customers!$A:$D,4,0),"❌ Account Not Found"))</f>
        <v/>
      </c>
      <c r="D127" s="256" t="str">
        <f t="shared" ca="1" si="13"/>
        <v/>
      </c>
      <c r="E127" s="257"/>
      <c r="F127" s="257"/>
      <c r="G127" s="256"/>
      <c r="H127" s="258">
        <v>2.5</v>
      </c>
      <c r="I127" s="256" t="str">
        <f t="shared" si="14"/>
        <v/>
      </c>
      <c r="J127" s="256" t="str">
        <f t="shared" si="15"/>
        <v/>
      </c>
      <c r="K127" s="256" t="str">
        <f>IF(B127="","Pending",IF(M127="","⚠️ Enter Code",IF(IFERROR(VLOOKUP(L127,DB_Agents!$B:$I,8,0),"")=M127,"Pending","🔒 BLOCKED — Wrong Code")))</f>
        <v>Pending</v>
      </c>
      <c r="L127" s="256" t="s">
        <v>135</v>
      </c>
      <c r="M127" s="252"/>
      <c r="N127" s="257"/>
    </row>
    <row r="128" spans="1:14" ht="18" customHeight="1" x14ac:dyDescent="0.25">
      <c r="A128" s="253" t="str">
        <f t="shared" si="12"/>
        <v/>
      </c>
      <c r="B128" s="254"/>
      <c r="C128" s="254" t="str">
        <f>IF(B128="","",IFERROR(VLOOKUP(B128,DB_Customers!$A:$D,4,0),"❌ Account Not Found"))</f>
        <v/>
      </c>
      <c r="D128" s="253" t="str">
        <f t="shared" ca="1" si="13"/>
        <v/>
      </c>
      <c r="E128" s="254"/>
      <c r="F128" s="254"/>
      <c r="G128" s="253"/>
      <c r="H128" s="255">
        <v>2.5</v>
      </c>
      <c r="I128" s="253" t="str">
        <f t="shared" si="14"/>
        <v/>
      </c>
      <c r="J128" s="253" t="str">
        <f t="shared" si="15"/>
        <v/>
      </c>
      <c r="K128" s="253" t="str">
        <f>IF(B128="","Pending",IF(M128="","⚠️ Enter Code",IF(IFERROR(VLOOKUP(L128,DB_Agents!$B:$I,8,0),"")=M128,"Pending","🔒 BLOCKED — Wrong Code")))</f>
        <v>Pending</v>
      </c>
      <c r="L128" s="253" t="s">
        <v>135</v>
      </c>
      <c r="M128" s="240"/>
      <c r="N128" s="254"/>
    </row>
    <row r="129" spans="1:14" ht="18" customHeight="1" x14ac:dyDescent="0.25">
      <c r="A129" s="256" t="str">
        <f t="shared" si="12"/>
        <v/>
      </c>
      <c r="B129" s="257"/>
      <c r="C129" s="257" t="str">
        <f>IF(B129="","",IFERROR(VLOOKUP(B129,DB_Customers!$A:$D,4,0),"❌ Account Not Found"))</f>
        <v/>
      </c>
      <c r="D129" s="256" t="str">
        <f t="shared" ca="1" si="13"/>
        <v/>
      </c>
      <c r="E129" s="257"/>
      <c r="F129" s="257"/>
      <c r="G129" s="256"/>
      <c r="H129" s="258">
        <v>2.5</v>
      </c>
      <c r="I129" s="256" t="str">
        <f t="shared" si="14"/>
        <v/>
      </c>
      <c r="J129" s="256" t="str">
        <f t="shared" si="15"/>
        <v/>
      </c>
      <c r="K129" s="256" t="str">
        <f>IF(B129="","Pending",IF(M129="","⚠️ Enter Code",IF(IFERROR(VLOOKUP(L129,DB_Agents!$B:$I,8,0),"")=M129,"Pending","🔒 BLOCKED — Wrong Code")))</f>
        <v>Pending</v>
      </c>
      <c r="L129" s="256" t="s">
        <v>135</v>
      </c>
      <c r="M129" s="252"/>
      <c r="N129" s="257"/>
    </row>
    <row r="130" spans="1:14" ht="18" customHeight="1" x14ac:dyDescent="0.25">
      <c r="A130" s="253" t="str">
        <f t="shared" si="12"/>
        <v/>
      </c>
      <c r="B130" s="254"/>
      <c r="C130" s="254" t="str">
        <f>IF(B130="","",IFERROR(VLOOKUP(B130,DB_Customers!$A:$D,4,0),"❌ Account Not Found"))</f>
        <v/>
      </c>
      <c r="D130" s="253" t="str">
        <f t="shared" ca="1" si="13"/>
        <v/>
      </c>
      <c r="E130" s="254"/>
      <c r="F130" s="254"/>
      <c r="G130" s="253"/>
      <c r="H130" s="255">
        <v>2.5</v>
      </c>
      <c r="I130" s="253" t="str">
        <f t="shared" si="14"/>
        <v/>
      </c>
      <c r="J130" s="253" t="str">
        <f t="shared" si="15"/>
        <v/>
      </c>
      <c r="K130" s="253" t="str">
        <f>IF(B130="","Pending",IF(M130="","⚠️ Enter Code",IF(IFERROR(VLOOKUP(L130,DB_Agents!$B:$I,8,0),"")=M130,"Pending","🔒 BLOCKED — Wrong Code")))</f>
        <v>Pending</v>
      </c>
      <c r="L130" s="253" t="s">
        <v>135</v>
      </c>
      <c r="M130" s="240"/>
      <c r="N130" s="254"/>
    </row>
    <row r="131" spans="1:14" ht="18" customHeight="1" x14ac:dyDescent="0.25">
      <c r="A131" s="256" t="str">
        <f t="shared" si="12"/>
        <v/>
      </c>
      <c r="B131" s="257"/>
      <c r="C131" s="257" t="str">
        <f>IF(B131="","",IFERROR(VLOOKUP(B131,DB_Customers!$A:$D,4,0),"❌ Account Not Found"))</f>
        <v/>
      </c>
      <c r="D131" s="256" t="str">
        <f t="shared" ca="1" si="13"/>
        <v/>
      </c>
      <c r="E131" s="257"/>
      <c r="F131" s="257"/>
      <c r="G131" s="256"/>
      <c r="H131" s="258">
        <v>2.5</v>
      </c>
      <c r="I131" s="256" t="str">
        <f t="shared" si="14"/>
        <v/>
      </c>
      <c r="J131" s="256" t="str">
        <f t="shared" si="15"/>
        <v/>
      </c>
      <c r="K131" s="256" t="str">
        <f>IF(B131="","Pending",IF(M131="","⚠️ Enter Code",IF(IFERROR(VLOOKUP(L131,DB_Agents!$B:$I,8,0),"")=M131,"Pending","🔒 BLOCKED — Wrong Code")))</f>
        <v>Pending</v>
      </c>
      <c r="L131" s="256" t="s">
        <v>135</v>
      </c>
      <c r="M131" s="252"/>
      <c r="N131" s="257"/>
    </row>
    <row r="132" spans="1:14" ht="18" customHeight="1" x14ac:dyDescent="0.25">
      <c r="A132" s="253" t="str">
        <f t="shared" si="12"/>
        <v/>
      </c>
      <c r="B132" s="254"/>
      <c r="C132" s="254" t="str">
        <f>IF(B132="","",IFERROR(VLOOKUP(B132,DB_Customers!$A:$D,4,0),"❌ Account Not Found"))</f>
        <v/>
      </c>
      <c r="D132" s="253" t="str">
        <f t="shared" ca="1" si="13"/>
        <v/>
      </c>
      <c r="E132" s="254"/>
      <c r="F132" s="254"/>
      <c r="G132" s="253"/>
      <c r="H132" s="255">
        <v>2.5</v>
      </c>
      <c r="I132" s="253" t="str">
        <f t="shared" si="14"/>
        <v/>
      </c>
      <c r="J132" s="253" t="str">
        <f t="shared" si="15"/>
        <v/>
      </c>
      <c r="K132" s="253" t="str">
        <f>IF(B132="","Pending",IF(M132="","⚠️ Enter Code",IF(IFERROR(VLOOKUP(L132,DB_Agents!$B:$I,8,0),"")=M132,"Pending","🔒 BLOCKED — Wrong Code")))</f>
        <v>Pending</v>
      </c>
      <c r="L132" s="253" t="s">
        <v>135</v>
      </c>
      <c r="M132" s="240"/>
      <c r="N132" s="254"/>
    </row>
    <row r="133" spans="1:14" ht="18" customHeight="1" x14ac:dyDescent="0.25">
      <c r="A133" s="256" t="str">
        <f t="shared" si="12"/>
        <v/>
      </c>
      <c r="B133" s="257"/>
      <c r="C133" s="257" t="str">
        <f>IF(B133="","",IFERROR(VLOOKUP(B133,DB_Customers!$A:$D,4,0),"❌ Account Not Found"))</f>
        <v/>
      </c>
      <c r="D133" s="256" t="str">
        <f t="shared" ca="1" si="13"/>
        <v/>
      </c>
      <c r="E133" s="257"/>
      <c r="F133" s="257"/>
      <c r="G133" s="256"/>
      <c r="H133" s="258">
        <v>2.5</v>
      </c>
      <c r="I133" s="256" t="str">
        <f t="shared" si="14"/>
        <v/>
      </c>
      <c r="J133" s="256" t="str">
        <f t="shared" si="15"/>
        <v/>
      </c>
      <c r="K133" s="256" t="str">
        <f>IF(B133="","Pending",IF(M133="","⚠️ Enter Code",IF(IFERROR(VLOOKUP(L133,DB_Agents!$B:$I,8,0),"")=M133,"Pending","🔒 BLOCKED — Wrong Code")))</f>
        <v>Pending</v>
      </c>
      <c r="L133" s="256" t="s">
        <v>135</v>
      </c>
      <c r="M133" s="252"/>
      <c r="N133" s="257"/>
    </row>
    <row r="134" spans="1:14" ht="18" customHeight="1" x14ac:dyDescent="0.25">
      <c r="A134" s="253" t="str">
        <f t="shared" si="12"/>
        <v/>
      </c>
      <c r="B134" s="254"/>
      <c r="C134" s="254" t="str">
        <f>IF(B134="","",IFERROR(VLOOKUP(B134,DB_Customers!$A:$D,4,0),"❌ Account Not Found"))</f>
        <v/>
      </c>
      <c r="D134" s="253" t="str">
        <f t="shared" ca="1" si="13"/>
        <v/>
      </c>
      <c r="E134" s="254"/>
      <c r="F134" s="254"/>
      <c r="G134" s="253"/>
      <c r="H134" s="255">
        <v>2.5</v>
      </c>
      <c r="I134" s="253" t="str">
        <f t="shared" si="14"/>
        <v/>
      </c>
      <c r="J134" s="253" t="str">
        <f t="shared" si="15"/>
        <v/>
      </c>
      <c r="K134" s="253" t="str">
        <f>IF(B134="","Pending",IF(M134="","⚠️ Enter Code",IF(IFERROR(VLOOKUP(L134,DB_Agents!$B:$I,8,0),"")=M134,"Pending","🔒 BLOCKED — Wrong Code")))</f>
        <v>Pending</v>
      </c>
      <c r="L134" s="253" t="s">
        <v>135</v>
      </c>
      <c r="M134" s="240"/>
      <c r="N134" s="254"/>
    </row>
    <row r="135" spans="1:14" ht="18" customHeight="1" x14ac:dyDescent="0.25">
      <c r="A135" s="256" t="str">
        <f t="shared" si="12"/>
        <v/>
      </c>
      <c r="B135" s="257"/>
      <c r="C135" s="257" t="str">
        <f>IF(B135="","",IFERROR(VLOOKUP(B135,DB_Customers!$A:$D,4,0),"❌ Account Not Found"))</f>
        <v/>
      </c>
      <c r="D135" s="256" t="str">
        <f t="shared" ca="1" si="13"/>
        <v/>
      </c>
      <c r="E135" s="257"/>
      <c r="F135" s="257"/>
      <c r="G135" s="256"/>
      <c r="H135" s="258">
        <v>2.5</v>
      </c>
      <c r="I135" s="256" t="str">
        <f t="shared" si="14"/>
        <v/>
      </c>
      <c r="J135" s="256" t="str">
        <f t="shared" si="15"/>
        <v/>
      </c>
      <c r="K135" s="256" t="str">
        <f>IF(B135="","Pending",IF(M135="","⚠️ Enter Code",IF(IFERROR(VLOOKUP(L135,DB_Agents!$B:$I,8,0),"")=M135,"Pending","🔒 BLOCKED — Wrong Code")))</f>
        <v>Pending</v>
      </c>
      <c r="L135" s="256" t="s">
        <v>135</v>
      </c>
      <c r="M135" s="252"/>
      <c r="N135" s="257"/>
    </row>
    <row r="136" spans="1:14" ht="18" customHeight="1" x14ac:dyDescent="0.25">
      <c r="A136" s="253" t="str">
        <f t="shared" si="12"/>
        <v/>
      </c>
      <c r="B136" s="254"/>
      <c r="C136" s="254" t="str">
        <f>IF(B136="","",IFERROR(VLOOKUP(B136,DB_Customers!$A:$D,4,0),"❌ Account Not Found"))</f>
        <v/>
      </c>
      <c r="D136" s="253" t="str">
        <f t="shared" ca="1" si="13"/>
        <v/>
      </c>
      <c r="E136" s="254"/>
      <c r="F136" s="254"/>
      <c r="G136" s="253"/>
      <c r="H136" s="255">
        <v>2.5</v>
      </c>
      <c r="I136" s="253" t="str">
        <f t="shared" si="14"/>
        <v/>
      </c>
      <c r="J136" s="253" t="str">
        <f t="shared" si="15"/>
        <v/>
      </c>
      <c r="K136" s="253" t="str">
        <f>IF(B136="","Pending",IF(M136="","⚠️ Enter Code",IF(IFERROR(VLOOKUP(L136,DB_Agents!$B:$I,8,0),"")=M136,"Pending","🔒 BLOCKED — Wrong Code")))</f>
        <v>Pending</v>
      </c>
      <c r="L136" s="253" t="s">
        <v>135</v>
      </c>
      <c r="M136" s="240"/>
      <c r="N136" s="254"/>
    </row>
    <row r="137" spans="1:14" ht="18" customHeight="1" x14ac:dyDescent="0.25">
      <c r="A137" s="256" t="str">
        <f t="shared" si="12"/>
        <v/>
      </c>
      <c r="B137" s="257"/>
      <c r="C137" s="257" t="str">
        <f>IF(B137="","",IFERROR(VLOOKUP(B137,DB_Customers!$A:$D,4,0),"❌ Account Not Found"))</f>
        <v/>
      </c>
      <c r="D137" s="256" t="str">
        <f t="shared" ca="1" si="13"/>
        <v/>
      </c>
      <c r="E137" s="257"/>
      <c r="F137" s="257"/>
      <c r="G137" s="256"/>
      <c r="H137" s="258">
        <v>2.5</v>
      </c>
      <c r="I137" s="256" t="str">
        <f t="shared" si="14"/>
        <v/>
      </c>
      <c r="J137" s="256" t="str">
        <f t="shared" si="15"/>
        <v/>
      </c>
      <c r="K137" s="256" t="str">
        <f>IF(B137="","Pending",IF(M137="","⚠️ Enter Code",IF(IFERROR(VLOOKUP(L137,DB_Agents!$B:$I,8,0),"")=M137,"Pending","🔒 BLOCKED — Wrong Code")))</f>
        <v>Pending</v>
      </c>
      <c r="L137" s="256" t="s">
        <v>135</v>
      </c>
      <c r="M137" s="252"/>
      <c r="N137" s="257"/>
    </row>
    <row r="138" spans="1:14" ht="18" customHeight="1" x14ac:dyDescent="0.25">
      <c r="A138" s="253" t="str">
        <f t="shared" si="12"/>
        <v/>
      </c>
      <c r="B138" s="254"/>
      <c r="C138" s="254" t="str">
        <f>IF(B138="","",IFERROR(VLOOKUP(B138,DB_Customers!$A:$D,4,0),"❌ Account Not Found"))</f>
        <v/>
      </c>
      <c r="D138" s="253" t="str">
        <f t="shared" ca="1" si="13"/>
        <v/>
      </c>
      <c r="E138" s="254"/>
      <c r="F138" s="254"/>
      <c r="G138" s="253"/>
      <c r="H138" s="255">
        <v>2.5</v>
      </c>
      <c r="I138" s="253" t="str">
        <f t="shared" si="14"/>
        <v/>
      </c>
      <c r="J138" s="253" t="str">
        <f t="shared" si="15"/>
        <v/>
      </c>
      <c r="K138" s="253" t="str">
        <f>IF(B138="","Pending",IF(M138="","⚠️ Enter Code",IF(IFERROR(VLOOKUP(L138,DB_Agents!$B:$I,8,0),"")=M138,"Pending","🔒 BLOCKED — Wrong Code")))</f>
        <v>Pending</v>
      </c>
      <c r="L138" s="253" t="s">
        <v>135</v>
      </c>
      <c r="M138" s="240"/>
      <c r="N138" s="254"/>
    </row>
    <row r="139" spans="1:14" ht="18" customHeight="1" x14ac:dyDescent="0.25">
      <c r="A139" s="256" t="str">
        <f t="shared" si="12"/>
        <v/>
      </c>
      <c r="B139" s="257"/>
      <c r="C139" s="257" t="str">
        <f>IF(B139="","",IFERROR(VLOOKUP(B139,DB_Customers!$A:$D,4,0),"❌ Account Not Found"))</f>
        <v/>
      </c>
      <c r="D139" s="256" t="str">
        <f t="shared" ca="1" si="13"/>
        <v/>
      </c>
      <c r="E139" s="257"/>
      <c r="F139" s="257"/>
      <c r="G139" s="256"/>
      <c r="H139" s="258">
        <v>2.5</v>
      </c>
      <c r="I139" s="256" t="str">
        <f t="shared" si="14"/>
        <v/>
      </c>
      <c r="J139" s="256" t="str">
        <f t="shared" si="15"/>
        <v/>
      </c>
      <c r="K139" s="256" t="str">
        <f>IF(B139="","Pending",IF(M139="","⚠️ Enter Code",IF(IFERROR(VLOOKUP(L139,DB_Agents!$B:$I,8,0),"")=M139,"Pending","🔒 BLOCKED — Wrong Code")))</f>
        <v>Pending</v>
      </c>
      <c r="L139" s="256" t="s">
        <v>135</v>
      </c>
      <c r="M139" s="252"/>
      <c r="N139" s="257"/>
    </row>
    <row r="140" spans="1:14" ht="18" customHeight="1" x14ac:dyDescent="0.25">
      <c r="A140" s="253" t="str">
        <f t="shared" si="12"/>
        <v/>
      </c>
      <c r="B140" s="254"/>
      <c r="C140" s="254" t="str">
        <f>IF(B140="","",IFERROR(VLOOKUP(B140,DB_Customers!$A:$D,4,0),"❌ Account Not Found"))</f>
        <v/>
      </c>
      <c r="D140" s="253" t="str">
        <f t="shared" ca="1" si="13"/>
        <v/>
      </c>
      <c r="E140" s="254"/>
      <c r="F140" s="254"/>
      <c r="G140" s="253"/>
      <c r="H140" s="255">
        <v>2.5</v>
      </c>
      <c r="I140" s="253" t="str">
        <f t="shared" si="14"/>
        <v/>
      </c>
      <c r="J140" s="253" t="str">
        <f t="shared" si="15"/>
        <v/>
      </c>
      <c r="K140" s="253" t="str">
        <f>IF(B140="","Pending",IF(M140="","⚠️ Enter Code",IF(IFERROR(VLOOKUP(L140,DB_Agents!$B:$I,8,0),"")=M140,"Pending","🔒 BLOCKED — Wrong Code")))</f>
        <v>Pending</v>
      </c>
      <c r="L140" s="253" t="s">
        <v>135</v>
      </c>
      <c r="M140" s="240"/>
      <c r="N140" s="254"/>
    </row>
    <row r="141" spans="1:14" ht="18" customHeight="1" x14ac:dyDescent="0.25">
      <c r="A141" s="256" t="str">
        <f t="shared" si="12"/>
        <v/>
      </c>
      <c r="B141" s="257"/>
      <c r="C141" s="257" t="str">
        <f>IF(B141="","",IFERROR(VLOOKUP(B141,DB_Customers!$A:$D,4,0),"❌ Account Not Found"))</f>
        <v/>
      </c>
      <c r="D141" s="256" t="str">
        <f t="shared" ca="1" si="13"/>
        <v/>
      </c>
      <c r="E141" s="257"/>
      <c r="F141" s="257"/>
      <c r="G141" s="256"/>
      <c r="H141" s="258">
        <v>2.5</v>
      </c>
      <c r="I141" s="256" t="str">
        <f t="shared" si="14"/>
        <v/>
      </c>
      <c r="J141" s="256" t="str">
        <f t="shared" si="15"/>
        <v/>
      </c>
      <c r="K141" s="256" t="str">
        <f>IF(B141="","Pending",IF(M141="","⚠️ Enter Code",IF(IFERROR(VLOOKUP(L141,DB_Agents!$B:$I,8,0),"")=M141,"Pending","🔒 BLOCKED — Wrong Code")))</f>
        <v>Pending</v>
      </c>
      <c r="L141" s="256" t="s">
        <v>135</v>
      </c>
      <c r="M141" s="252"/>
      <c r="N141" s="257"/>
    </row>
    <row r="142" spans="1:14" ht="18" customHeight="1" x14ac:dyDescent="0.25">
      <c r="A142" s="253" t="str">
        <f t="shared" ref="A142:A173" si="16">IF(B142="","",IF(C142="❌ Account Not Found","INVALID","LN"&amp;TEXT(D142,"YYYYMMDD")&amp;TEXT(ROW()-13,"0000")))</f>
        <v/>
      </c>
      <c r="B142" s="254"/>
      <c r="C142" s="254" t="str">
        <f>IF(B142="","",IFERROR(VLOOKUP(B142,DB_Customers!$A:$D,4,0),"❌ Account Not Found"))</f>
        <v/>
      </c>
      <c r="D142" s="253" t="str">
        <f t="shared" ref="D142:D173" ca="1" si="17">IF(B142="","",TODAY())</f>
        <v/>
      </c>
      <c r="E142" s="254"/>
      <c r="F142" s="254"/>
      <c r="G142" s="253"/>
      <c r="H142" s="255">
        <v>2.5</v>
      </c>
      <c r="I142" s="253" t="str">
        <f t="shared" ref="I142:I173" si="18">IF(E142="","",E142+(E142*H142/100*G142))</f>
        <v/>
      </c>
      <c r="J142" s="253" t="str">
        <f t="shared" ref="J142:J173" si="19">IFERROR(I142/G142,"")</f>
        <v/>
      </c>
      <c r="K142" s="253" t="str">
        <f>IF(B142="","Pending",IF(M142="","⚠️ Enter Code",IF(IFERROR(VLOOKUP(L142,DB_Agents!$B:$I,8,0),"")=M142,"Pending","🔒 BLOCKED — Wrong Code")))</f>
        <v>Pending</v>
      </c>
      <c r="L142" s="253" t="s">
        <v>135</v>
      </c>
      <c r="M142" s="240"/>
      <c r="N142" s="254"/>
    </row>
    <row r="143" spans="1:14" ht="18" customHeight="1" x14ac:dyDescent="0.25">
      <c r="A143" s="256" t="str">
        <f t="shared" si="16"/>
        <v/>
      </c>
      <c r="B143" s="257"/>
      <c r="C143" s="257" t="str">
        <f>IF(B143="","",IFERROR(VLOOKUP(B143,DB_Customers!$A:$D,4,0),"❌ Account Not Found"))</f>
        <v/>
      </c>
      <c r="D143" s="256" t="str">
        <f t="shared" ca="1" si="17"/>
        <v/>
      </c>
      <c r="E143" s="257"/>
      <c r="F143" s="257"/>
      <c r="G143" s="256"/>
      <c r="H143" s="258">
        <v>2.5</v>
      </c>
      <c r="I143" s="256" t="str">
        <f t="shared" si="18"/>
        <v/>
      </c>
      <c r="J143" s="256" t="str">
        <f t="shared" si="19"/>
        <v/>
      </c>
      <c r="K143" s="256" t="str">
        <f>IF(B143="","Pending",IF(M143="","⚠️ Enter Code",IF(IFERROR(VLOOKUP(L143,DB_Agents!$B:$I,8,0),"")=M143,"Pending","🔒 BLOCKED — Wrong Code")))</f>
        <v>Pending</v>
      </c>
      <c r="L143" s="256" t="s">
        <v>135</v>
      </c>
      <c r="M143" s="252"/>
      <c r="N143" s="257"/>
    </row>
    <row r="144" spans="1:14" ht="18" customHeight="1" x14ac:dyDescent="0.25">
      <c r="A144" s="253" t="str">
        <f t="shared" si="16"/>
        <v/>
      </c>
      <c r="B144" s="254"/>
      <c r="C144" s="254" t="str">
        <f>IF(B144="","",IFERROR(VLOOKUP(B144,DB_Customers!$A:$D,4,0),"❌ Account Not Found"))</f>
        <v/>
      </c>
      <c r="D144" s="253" t="str">
        <f t="shared" ca="1" si="17"/>
        <v/>
      </c>
      <c r="E144" s="254"/>
      <c r="F144" s="254"/>
      <c r="G144" s="253"/>
      <c r="H144" s="255">
        <v>2.5</v>
      </c>
      <c r="I144" s="253" t="str">
        <f t="shared" si="18"/>
        <v/>
      </c>
      <c r="J144" s="253" t="str">
        <f t="shared" si="19"/>
        <v/>
      </c>
      <c r="K144" s="253" t="str">
        <f>IF(B144="","Pending",IF(M144="","⚠️ Enter Code",IF(IFERROR(VLOOKUP(L144,DB_Agents!$B:$I,8,0),"")=M144,"Pending","🔒 BLOCKED — Wrong Code")))</f>
        <v>Pending</v>
      </c>
      <c r="L144" s="253" t="s">
        <v>135</v>
      </c>
      <c r="M144" s="240"/>
      <c r="N144" s="254"/>
    </row>
    <row r="145" spans="1:14" ht="18" customHeight="1" x14ac:dyDescent="0.25">
      <c r="A145" s="256" t="str">
        <f t="shared" si="16"/>
        <v/>
      </c>
      <c r="B145" s="257"/>
      <c r="C145" s="257" t="str">
        <f>IF(B145="","",IFERROR(VLOOKUP(B145,DB_Customers!$A:$D,4,0),"❌ Account Not Found"))</f>
        <v/>
      </c>
      <c r="D145" s="256" t="str">
        <f t="shared" ca="1" si="17"/>
        <v/>
      </c>
      <c r="E145" s="257"/>
      <c r="F145" s="257"/>
      <c r="G145" s="256"/>
      <c r="H145" s="258">
        <v>2.5</v>
      </c>
      <c r="I145" s="256" t="str">
        <f t="shared" si="18"/>
        <v/>
      </c>
      <c r="J145" s="256" t="str">
        <f t="shared" si="19"/>
        <v/>
      </c>
      <c r="K145" s="256" t="str">
        <f>IF(B145="","Pending",IF(M145="","⚠️ Enter Code",IF(IFERROR(VLOOKUP(L145,DB_Agents!$B:$I,8,0),"")=M145,"Pending","🔒 BLOCKED — Wrong Code")))</f>
        <v>Pending</v>
      </c>
      <c r="L145" s="256" t="s">
        <v>135</v>
      </c>
      <c r="M145" s="252"/>
      <c r="N145" s="257"/>
    </row>
    <row r="146" spans="1:14" ht="18" customHeight="1" x14ac:dyDescent="0.25">
      <c r="A146" s="253" t="str">
        <f t="shared" si="16"/>
        <v/>
      </c>
      <c r="B146" s="254"/>
      <c r="C146" s="254" t="str">
        <f>IF(B146="","",IFERROR(VLOOKUP(B146,DB_Customers!$A:$D,4,0),"❌ Account Not Found"))</f>
        <v/>
      </c>
      <c r="D146" s="253" t="str">
        <f t="shared" ca="1" si="17"/>
        <v/>
      </c>
      <c r="E146" s="254"/>
      <c r="F146" s="254"/>
      <c r="G146" s="253"/>
      <c r="H146" s="255">
        <v>2.5</v>
      </c>
      <c r="I146" s="253" t="str">
        <f t="shared" si="18"/>
        <v/>
      </c>
      <c r="J146" s="253" t="str">
        <f t="shared" si="19"/>
        <v/>
      </c>
      <c r="K146" s="253" t="str">
        <f>IF(B146="","Pending",IF(M146="","⚠️ Enter Code",IF(IFERROR(VLOOKUP(L146,DB_Agents!$B:$I,8,0),"")=M146,"Pending","🔒 BLOCKED — Wrong Code")))</f>
        <v>Pending</v>
      </c>
      <c r="L146" s="253" t="s">
        <v>135</v>
      </c>
      <c r="M146" s="240"/>
      <c r="N146" s="254"/>
    </row>
    <row r="147" spans="1:14" ht="18" customHeight="1" x14ac:dyDescent="0.25">
      <c r="A147" s="256" t="str">
        <f t="shared" si="16"/>
        <v/>
      </c>
      <c r="B147" s="257"/>
      <c r="C147" s="257" t="str">
        <f>IF(B147="","",IFERROR(VLOOKUP(B147,DB_Customers!$A:$D,4,0),"❌ Account Not Found"))</f>
        <v/>
      </c>
      <c r="D147" s="256" t="str">
        <f t="shared" ca="1" si="17"/>
        <v/>
      </c>
      <c r="E147" s="257"/>
      <c r="F147" s="257"/>
      <c r="G147" s="256"/>
      <c r="H147" s="258">
        <v>2.5</v>
      </c>
      <c r="I147" s="256" t="str">
        <f t="shared" si="18"/>
        <v/>
      </c>
      <c r="J147" s="256" t="str">
        <f t="shared" si="19"/>
        <v/>
      </c>
      <c r="K147" s="256" t="str">
        <f>IF(B147="","Pending",IF(M147="","⚠️ Enter Code",IF(IFERROR(VLOOKUP(L147,DB_Agents!$B:$I,8,0),"")=M147,"Pending","🔒 BLOCKED — Wrong Code")))</f>
        <v>Pending</v>
      </c>
      <c r="L147" s="256" t="s">
        <v>135</v>
      </c>
      <c r="M147" s="252"/>
      <c r="N147" s="257"/>
    </row>
    <row r="148" spans="1:14" ht="18" customHeight="1" x14ac:dyDescent="0.25">
      <c r="A148" s="253" t="str">
        <f t="shared" si="16"/>
        <v/>
      </c>
      <c r="B148" s="254"/>
      <c r="C148" s="254" t="str">
        <f>IF(B148="","",IFERROR(VLOOKUP(B148,DB_Customers!$A:$D,4,0),"❌ Account Not Found"))</f>
        <v/>
      </c>
      <c r="D148" s="253" t="str">
        <f t="shared" ca="1" si="17"/>
        <v/>
      </c>
      <c r="E148" s="254"/>
      <c r="F148" s="254"/>
      <c r="G148" s="253"/>
      <c r="H148" s="255">
        <v>2.5</v>
      </c>
      <c r="I148" s="253" t="str">
        <f t="shared" si="18"/>
        <v/>
      </c>
      <c r="J148" s="253" t="str">
        <f t="shared" si="19"/>
        <v/>
      </c>
      <c r="K148" s="253" t="str">
        <f>IF(B148="","Pending",IF(M148="","⚠️ Enter Code",IF(IFERROR(VLOOKUP(L148,DB_Agents!$B:$I,8,0),"")=M148,"Pending","🔒 BLOCKED — Wrong Code")))</f>
        <v>Pending</v>
      </c>
      <c r="L148" s="253" t="s">
        <v>135</v>
      </c>
      <c r="M148" s="240"/>
      <c r="N148" s="254"/>
    </row>
    <row r="149" spans="1:14" ht="18" customHeight="1" x14ac:dyDescent="0.25">
      <c r="A149" s="256" t="str">
        <f t="shared" si="16"/>
        <v/>
      </c>
      <c r="B149" s="257"/>
      <c r="C149" s="257" t="str">
        <f>IF(B149="","",IFERROR(VLOOKUP(B149,DB_Customers!$A:$D,4,0),"❌ Account Not Found"))</f>
        <v/>
      </c>
      <c r="D149" s="256" t="str">
        <f t="shared" ca="1" si="17"/>
        <v/>
      </c>
      <c r="E149" s="257"/>
      <c r="F149" s="257"/>
      <c r="G149" s="256"/>
      <c r="H149" s="258">
        <v>2.5</v>
      </c>
      <c r="I149" s="256" t="str">
        <f t="shared" si="18"/>
        <v/>
      </c>
      <c r="J149" s="256" t="str">
        <f t="shared" si="19"/>
        <v/>
      </c>
      <c r="K149" s="256" t="str">
        <f>IF(B149="","Pending",IF(M149="","⚠️ Enter Code",IF(IFERROR(VLOOKUP(L149,DB_Agents!$B:$I,8,0),"")=M149,"Pending","🔒 BLOCKED — Wrong Code")))</f>
        <v>Pending</v>
      </c>
      <c r="L149" s="256" t="s">
        <v>135</v>
      </c>
      <c r="M149" s="252"/>
      <c r="N149" s="257"/>
    </row>
    <row r="150" spans="1:14" ht="18" customHeight="1" x14ac:dyDescent="0.25">
      <c r="A150" s="253" t="str">
        <f t="shared" si="16"/>
        <v/>
      </c>
      <c r="B150" s="254"/>
      <c r="C150" s="254" t="str">
        <f>IF(B150="","",IFERROR(VLOOKUP(B150,DB_Customers!$A:$D,4,0),"❌ Account Not Found"))</f>
        <v/>
      </c>
      <c r="D150" s="253" t="str">
        <f t="shared" ca="1" si="17"/>
        <v/>
      </c>
      <c r="E150" s="254"/>
      <c r="F150" s="254"/>
      <c r="G150" s="253"/>
      <c r="H150" s="255">
        <v>2.5</v>
      </c>
      <c r="I150" s="253" t="str">
        <f t="shared" si="18"/>
        <v/>
      </c>
      <c r="J150" s="253" t="str">
        <f t="shared" si="19"/>
        <v/>
      </c>
      <c r="K150" s="253" t="str">
        <f>IF(B150="","Pending",IF(M150="","⚠️ Enter Code",IF(IFERROR(VLOOKUP(L150,DB_Agents!$B:$I,8,0),"")=M150,"Pending","🔒 BLOCKED — Wrong Code")))</f>
        <v>Pending</v>
      </c>
      <c r="L150" s="253" t="s">
        <v>135</v>
      </c>
      <c r="M150" s="240"/>
      <c r="N150" s="254"/>
    </row>
    <row r="151" spans="1:14" ht="18" customHeight="1" x14ac:dyDescent="0.25">
      <c r="A151" s="256" t="str">
        <f t="shared" si="16"/>
        <v/>
      </c>
      <c r="B151" s="257"/>
      <c r="C151" s="257" t="str">
        <f>IF(B151="","",IFERROR(VLOOKUP(B151,DB_Customers!$A:$D,4,0),"❌ Account Not Found"))</f>
        <v/>
      </c>
      <c r="D151" s="256" t="str">
        <f t="shared" ca="1" si="17"/>
        <v/>
      </c>
      <c r="E151" s="257"/>
      <c r="F151" s="257"/>
      <c r="G151" s="256"/>
      <c r="H151" s="258">
        <v>2.5</v>
      </c>
      <c r="I151" s="256" t="str">
        <f t="shared" si="18"/>
        <v/>
      </c>
      <c r="J151" s="256" t="str">
        <f t="shared" si="19"/>
        <v/>
      </c>
      <c r="K151" s="256" t="str">
        <f>IF(B151="","Pending",IF(M151="","⚠️ Enter Code",IF(IFERROR(VLOOKUP(L151,DB_Agents!$B:$I,8,0),"")=M151,"Pending","🔒 BLOCKED — Wrong Code")))</f>
        <v>Pending</v>
      </c>
      <c r="L151" s="256" t="s">
        <v>135</v>
      </c>
      <c r="M151" s="252"/>
      <c r="N151" s="257"/>
    </row>
    <row r="152" spans="1:14" ht="18" customHeight="1" x14ac:dyDescent="0.25">
      <c r="A152" s="253" t="str">
        <f t="shared" si="16"/>
        <v/>
      </c>
      <c r="B152" s="254"/>
      <c r="C152" s="254" t="str">
        <f>IF(B152="","",IFERROR(VLOOKUP(B152,DB_Customers!$A:$D,4,0),"❌ Account Not Found"))</f>
        <v/>
      </c>
      <c r="D152" s="253" t="str">
        <f t="shared" ca="1" si="17"/>
        <v/>
      </c>
      <c r="E152" s="254"/>
      <c r="F152" s="254"/>
      <c r="G152" s="253"/>
      <c r="H152" s="255">
        <v>2.5</v>
      </c>
      <c r="I152" s="253" t="str">
        <f t="shared" si="18"/>
        <v/>
      </c>
      <c r="J152" s="253" t="str">
        <f t="shared" si="19"/>
        <v/>
      </c>
      <c r="K152" s="253" t="str">
        <f>IF(B152="","Pending",IF(M152="","⚠️ Enter Code",IF(IFERROR(VLOOKUP(L152,DB_Agents!$B:$I,8,0),"")=M152,"Pending","🔒 BLOCKED — Wrong Code")))</f>
        <v>Pending</v>
      </c>
      <c r="L152" s="253" t="s">
        <v>135</v>
      </c>
      <c r="M152" s="240"/>
      <c r="N152" s="254"/>
    </row>
    <row r="153" spans="1:14" ht="18" customHeight="1" x14ac:dyDescent="0.25">
      <c r="A153" s="256" t="str">
        <f t="shared" si="16"/>
        <v/>
      </c>
      <c r="B153" s="257"/>
      <c r="C153" s="257" t="str">
        <f>IF(B153="","",IFERROR(VLOOKUP(B153,DB_Customers!$A:$D,4,0),"❌ Account Not Found"))</f>
        <v/>
      </c>
      <c r="D153" s="256" t="str">
        <f t="shared" ca="1" si="17"/>
        <v/>
      </c>
      <c r="E153" s="257"/>
      <c r="F153" s="257"/>
      <c r="G153" s="256"/>
      <c r="H153" s="258">
        <v>2.5</v>
      </c>
      <c r="I153" s="256" t="str">
        <f t="shared" si="18"/>
        <v/>
      </c>
      <c r="J153" s="256" t="str">
        <f t="shared" si="19"/>
        <v/>
      </c>
      <c r="K153" s="256" t="str">
        <f>IF(B153="","Pending",IF(M153="","⚠️ Enter Code",IF(IFERROR(VLOOKUP(L153,DB_Agents!$B:$I,8,0),"")=M153,"Pending","🔒 BLOCKED — Wrong Code")))</f>
        <v>Pending</v>
      </c>
      <c r="L153" s="256" t="s">
        <v>135</v>
      </c>
      <c r="M153" s="252"/>
      <c r="N153" s="257"/>
    </row>
    <row r="154" spans="1:14" ht="18" customHeight="1" x14ac:dyDescent="0.25">
      <c r="A154" s="253" t="str">
        <f t="shared" si="16"/>
        <v/>
      </c>
      <c r="B154" s="254"/>
      <c r="C154" s="254" t="str">
        <f>IF(B154="","",IFERROR(VLOOKUP(B154,DB_Customers!$A:$D,4,0),"❌ Account Not Found"))</f>
        <v/>
      </c>
      <c r="D154" s="253" t="str">
        <f t="shared" ca="1" si="17"/>
        <v/>
      </c>
      <c r="E154" s="254"/>
      <c r="F154" s="254"/>
      <c r="G154" s="253"/>
      <c r="H154" s="255">
        <v>2.5</v>
      </c>
      <c r="I154" s="253" t="str">
        <f t="shared" si="18"/>
        <v/>
      </c>
      <c r="J154" s="253" t="str">
        <f t="shared" si="19"/>
        <v/>
      </c>
      <c r="K154" s="253" t="str">
        <f>IF(B154="","Pending",IF(M154="","⚠️ Enter Code",IF(IFERROR(VLOOKUP(L154,DB_Agents!$B:$I,8,0),"")=M154,"Pending","🔒 BLOCKED — Wrong Code")))</f>
        <v>Pending</v>
      </c>
      <c r="L154" s="253" t="s">
        <v>135</v>
      </c>
      <c r="M154" s="240"/>
      <c r="N154" s="254"/>
    </row>
    <row r="155" spans="1:14" ht="18" customHeight="1" x14ac:dyDescent="0.25">
      <c r="A155" s="256" t="str">
        <f t="shared" si="16"/>
        <v/>
      </c>
      <c r="B155" s="257"/>
      <c r="C155" s="257" t="str">
        <f>IF(B155="","",IFERROR(VLOOKUP(B155,DB_Customers!$A:$D,4,0),"❌ Account Not Found"))</f>
        <v/>
      </c>
      <c r="D155" s="256" t="str">
        <f t="shared" ca="1" si="17"/>
        <v/>
      </c>
      <c r="E155" s="257"/>
      <c r="F155" s="257"/>
      <c r="G155" s="256"/>
      <c r="H155" s="258">
        <v>2.5</v>
      </c>
      <c r="I155" s="256" t="str">
        <f t="shared" si="18"/>
        <v/>
      </c>
      <c r="J155" s="256" t="str">
        <f t="shared" si="19"/>
        <v/>
      </c>
      <c r="K155" s="256" t="str">
        <f>IF(B155="","Pending",IF(M155="","⚠️ Enter Code",IF(IFERROR(VLOOKUP(L155,DB_Agents!$B:$I,8,0),"")=M155,"Pending","🔒 BLOCKED — Wrong Code")))</f>
        <v>Pending</v>
      </c>
      <c r="L155" s="256" t="s">
        <v>135</v>
      </c>
      <c r="M155" s="252"/>
      <c r="N155" s="257"/>
    </row>
    <row r="156" spans="1:14" ht="18" customHeight="1" x14ac:dyDescent="0.25">
      <c r="A156" s="253" t="str">
        <f t="shared" si="16"/>
        <v/>
      </c>
      <c r="B156" s="254"/>
      <c r="C156" s="254" t="str">
        <f>IF(B156="","",IFERROR(VLOOKUP(B156,DB_Customers!$A:$D,4,0),"❌ Account Not Found"))</f>
        <v/>
      </c>
      <c r="D156" s="253" t="str">
        <f t="shared" ca="1" si="17"/>
        <v/>
      </c>
      <c r="E156" s="254"/>
      <c r="F156" s="254"/>
      <c r="G156" s="253"/>
      <c r="H156" s="255">
        <v>2.5</v>
      </c>
      <c r="I156" s="253" t="str">
        <f t="shared" si="18"/>
        <v/>
      </c>
      <c r="J156" s="253" t="str">
        <f t="shared" si="19"/>
        <v/>
      </c>
      <c r="K156" s="253" t="str">
        <f>IF(B156="","Pending",IF(M156="","⚠️ Enter Code",IF(IFERROR(VLOOKUP(L156,DB_Agents!$B:$I,8,0),"")=M156,"Pending","🔒 BLOCKED — Wrong Code")))</f>
        <v>Pending</v>
      </c>
      <c r="L156" s="253" t="s">
        <v>135</v>
      </c>
      <c r="M156" s="240"/>
      <c r="N156" s="254"/>
    </row>
    <row r="157" spans="1:14" ht="18" customHeight="1" x14ac:dyDescent="0.25">
      <c r="A157" s="256" t="str">
        <f t="shared" si="16"/>
        <v/>
      </c>
      <c r="B157" s="257"/>
      <c r="C157" s="257" t="str">
        <f>IF(B157="","",IFERROR(VLOOKUP(B157,DB_Customers!$A:$D,4,0),"❌ Account Not Found"))</f>
        <v/>
      </c>
      <c r="D157" s="256" t="str">
        <f t="shared" ca="1" si="17"/>
        <v/>
      </c>
      <c r="E157" s="257"/>
      <c r="F157" s="257"/>
      <c r="G157" s="256"/>
      <c r="H157" s="258">
        <v>2.5</v>
      </c>
      <c r="I157" s="256" t="str">
        <f t="shared" si="18"/>
        <v/>
      </c>
      <c r="J157" s="256" t="str">
        <f t="shared" si="19"/>
        <v/>
      </c>
      <c r="K157" s="256" t="str">
        <f>IF(B157="","Pending",IF(M157="","⚠️ Enter Code",IF(IFERROR(VLOOKUP(L157,DB_Agents!$B:$I,8,0),"")=M157,"Pending","🔒 BLOCKED — Wrong Code")))</f>
        <v>Pending</v>
      </c>
      <c r="L157" s="256" t="s">
        <v>135</v>
      </c>
      <c r="M157" s="252"/>
      <c r="N157" s="257"/>
    </row>
    <row r="158" spans="1:14" ht="18" customHeight="1" x14ac:dyDescent="0.25">
      <c r="A158" s="253" t="str">
        <f t="shared" si="16"/>
        <v/>
      </c>
      <c r="B158" s="254"/>
      <c r="C158" s="254" t="str">
        <f>IF(B158="","",IFERROR(VLOOKUP(B158,DB_Customers!$A:$D,4,0),"❌ Account Not Found"))</f>
        <v/>
      </c>
      <c r="D158" s="253" t="str">
        <f t="shared" ca="1" si="17"/>
        <v/>
      </c>
      <c r="E158" s="254"/>
      <c r="F158" s="254"/>
      <c r="G158" s="253"/>
      <c r="H158" s="255">
        <v>2.5</v>
      </c>
      <c r="I158" s="253" t="str">
        <f t="shared" si="18"/>
        <v/>
      </c>
      <c r="J158" s="253" t="str">
        <f t="shared" si="19"/>
        <v/>
      </c>
      <c r="K158" s="253" t="str">
        <f>IF(B158="","Pending",IF(M158="","⚠️ Enter Code",IF(IFERROR(VLOOKUP(L158,DB_Agents!$B:$I,8,0),"")=M158,"Pending","🔒 BLOCKED — Wrong Code")))</f>
        <v>Pending</v>
      </c>
      <c r="L158" s="253" t="s">
        <v>135</v>
      </c>
      <c r="M158" s="240"/>
      <c r="N158" s="254"/>
    </row>
    <row r="159" spans="1:14" ht="18" customHeight="1" x14ac:dyDescent="0.25">
      <c r="A159" s="256" t="str">
        <f t="shared" si="16"/>
        <v/>
      </c>
      <c r="B159" s="257"/>
      <c r="C159" s="257" t="str">
        <f>IF(B159="","",IFERROR(VLOOKUP(B159,DB_Customers!$A:$D,4,0),"❌ Account Not Found"))</f>
        <v/>
      </c>
      <c r="D159" s="256" t="str">
        <f t="shared" ca="1" si="17"/>
        <v/>
      </c>
      <c r="E159" s="257"/>
      <c r="F159" s="257"/>
      <c r="G159" s="256"/>
      <c r="H159" s="258">
        <v>2.5</v>
      </c>
      <c r="I159" s="256" t="str">
        <f t="shared" si="18"/>
        <v/>
      </c>
      <c r="J159" s="256" t="str">
        <f t="shared" si="19"/>
        <v/>
      </c>
      <c r="K159" s="256" t="str">
        <f>IF(B159="","Pending",IF(M159="","⚠️ Enter Code",IF(IFERROR(VLOOKUP(L159,DB_Agents!$B:$I,8,0),"")=M159,"Pending","🔒 BLOCKED — Wrong Code")))</f>
        <v>Pending</v>
      </c>
      <c r="L159" s="256" t="s">
        <v>135</v>
      </c>
      <c r="M159" s="252"/>
      <c r="N159" s="257"/>
    </row>
    <row r="160" spans="1:14" ht="18" customHeight="1" x14ac:dyDescent="0.25">
      <c r="A160" s="253" t="str">
        <f t="shared" si="16"/>
        <v/>
      </c>
      <c r="B160" s="254"/>
      <c r="C160" s="254" t="str">
        <f>IF(B160="","",IFERROR(VLOOKUP(B160,DB_Customers!$A:$D,4,0),"❌ Account Not Found"))</f>
        <v/>
      </c>
      <c r="D160" s="253" t="str">
        <f t="shared" ca="1" si="17"/>
        <v/>
      </c>
      <c r="E160" s="254"/>
      <c r="F160" s="254"/>
      <c r="G160" s="253"/>
      <c r="H160" s="255">
        <v>2.5</v>
      </c>
      <c r="I160" s="253" t="str">
        <f t="shared" si="18"/>
        <v/>
      </c>
      <c r="J160" s="253" t="str">
        <f t="shared" si="19"/>
        <v/>
      </c>
      <c r="K160" s="253" t="str">
        <f>IF(B160="","Pending",IF(M160="","⚠️ Enter Code",IF(IFERROR(VLOOKUP(L160,DB_Agents!$B:$I,8,0),"")=M160,"Pending","🔒 BLOCKED — Wrong Code")))</f>
        <v>Pending</v>
      </c>
      <c r="L160" s="253" t="s">
        <v>135</v>
      </c>
      <c r="M160" s="240"/>
      <c r="N160" s="254"/>
    </row>
    <row r="161" spans="1:14" ht="18" customHeight="1" x14ac:dyDescent="0.25">
      <c r="A161" s="256" t="str">
        <f t="shared" si="16"/>
        <v/>
      </c>
      <c r="B161" s="257"/>
      <c r="C161" s="257" t="str">
        <f>IF(B161="","",IFERROR(VLOOKUP(B161,DB_Customers!$A:$D,4,0),"❌ Account Not Found"))</f>
        <v/>
      </c>
      <c r="D161" s="256" t="str">
        <f t="shared" ca="1" si="17"/>
        <v/>
      </c>
      <c r="E161" s="257"/>
      <c r="F161" s="257"/>
      <c r="G161" s="256"/>
      <c r="H161" s="258">
        <v>2.5</v>
      </c>
      <c r="I161" s="256" t="str">
        <f t="shared" si="18"/>
        <v/>
      </c>
      <c r="J161" s="256" t="str">
        <f t="shared" si="19"/>
        <v/>
      </c>
      <c r="K161" s="256" t="str">
        <f>IF(B161="","Pending",IF(M161="","⚠️ Enter Code",IF(IFERROR(VLOOKUP(L161,DB_Agents!$B:$I,8,0),"")=M161,"Pending","🔒 BLOCKED — Wrong Code")))</f>
        <v>Pending</v>
      </c>
      <c r="L161" s="256" t="s">
        <v>135</v>
      </c>
      <c r="M161" s="252"/>
      <c r="N161" s="257"/>
    </row>
    <row r="162" spans="1:14" ht="18" customHeight="1" x14ac:dyDescent="0.25">
      <c r="A162" s="253" t="str">
        <f t="shared" si="16"/>
        <v/>
      </c>
      <c r="B162" s="254"/>
      <c r="C162" s="254" t="str">
        <f>IF(B162="","",IFERROR(VLOOKUP(B162,DB_Customers!$A:$D,4,0),"❌ Account Not Found"))</f>
        <v/>
      </c>
      <c r="D162" s="253" t="str">
        <f t="shared" ca="1" si="17"/>
        <v/>
      </c>
      <c r="E162" s="254"/>
      <c r="F162" s="254"/>
      <c r="G162" s="253"/>
      <c r="H162" s="255">
        <v>2.5</v>
      </c>
      <c r="I162" s="253" t="str">
        <f t="shared" si="18"/>
        <v/>
      </c>
      <c r="J162" s="253" t="str">
        <f t="shared" si="19"/>
        <v/>
      </c>
      <c r="K162" s="253" t="str">
        <f>IF(B162="","Pending",IF(M162="","⚠️ Enter Code",IF(IFERROR(VLOOKUP(L162,DB_Agents!$B:$I,8,0),"")=M162,"Pending","🔒 BLOCKED — Wrong Code")))</f>
        <v>Pending</v>
      </c>
      <c r="L162" s="253" t="s">
        <v>135</v>
      </c>
      <c r="M162" s="240"/>
      <c r="N162" s="254"/>
    </row>
    <row r="163" spans="1:14" ht="18" customHeight="1" x14ac:dyDescent="0.25">
      <c r="A163" s="256" t="str">
        <f t="shared" si="16"/>
        <v/>
      </c>
      <c r="B163" s="257"/>
      <c r="C163" s="257" t="str">
        <f>IF(B163="","",IFERROR(VLOOKUP(B163,DB_Customers!$A:$D,4,0),"❌ Account Not Found"))</f>
        <v/>
      </c>
      <c r="D163" s="256" t="str">
        <f t="shared" ca="1" si="17"/>
        <v/>
      </c>
      <c r="E163" s="257"/>
      <c r="F163" s="257"/>
      <c r="G163" s="256"/>
      <c r="H163" s="258">
        <v>2.5</v>
      </c>
      <c r="I163" s="256" t="str">
        <f t="shared" si="18"/>
        <v/>
      </c>
      <c r="J163" s="256" t="str">
        <f t="shared" si="19"/>
        <v/>
      </c>
      <c r="K163" s="256" t="str">
        <f>IF(B163="","Pending",IF(M163="","⚠️ Enter Code",IF(IFERROR(VLOOKUP(L163,DB_Agents!$B:$I,8,0),"")=M163,"Pending","🔒 BLOCKED — Wrong Code")))</f>
        <v>Pending</v>
      </c>
      <c r="L163" s="256" t="s">
        <v>135</v>
      </c>
      <c r="M163" s="252"/>
      <c r="N163" s="257"/>
    </row>
    <row r="164" spans="1:14" ht="18" customHeight="1" x14ac:dyDescent="0.25">
      <c r="A164" s="253" t="str">
        <f t="shared" si="16"/>
        <v/>
      </c>
      <c r="B164" s="254"/>
      <c r="C164" s="254" t="str">
        <f>IF(B164="","",IFERROR(VLOOKUP(B164,DB_Customers!$A:$D,4,0),"❌ Account Not Found"))</f>
        <v/>
      </c>
      <c r="D164" s="253" t="str">
        <f t="shared" ca="1" si="17"/>
        <v/>
      </c>
      <c r="E164" s="254"/>
      <c r="F164" s="254"/>
      <c r="G164" s="253"/>
      <c r="H164" s="255">
        <v>2.5</v>
      </c>
      <c r="I164" s="253" t="str">
        <f t="shared" si="18"/>
        <v/>
      </c>
      <c r="J164" s="253" t="str">
        <f t="shared" si="19"/>
        <v/>
      </c>
      <c r="K164" s="253" t="str">
        <f>IF(B164="","Pending",IF(M164="","⚠️ Enter Code",IF(IFERROR(VLOOKUP(L164,DB_Agents!$B:$I,8,0),"")=M164,"Pending","🔒 BLOCKED — Wrong Code")))</f>
        <v>Pending</v>
      </c>
      <c r="L164" s="253" t="s">
        <v>135</v>
      </c>
      <c r="M164" s="240"/>
      <c r="N164" s="254"/>
    </row>
    <row r="165" spans="1:14" ht="18" customHeight="1" x14ac:dyDescent="0.25">
      <c r="A165" s="256" t="str">
        <f t="shared" si="16"/>
        <v/>
      </c>
      <c r="B165" s="257"/>
      <c r="C165" s="257" t="str">
        <f>IF(B165="","",IFERROR(VLOOKUP(B165,DB_Customers!$A:$D,4,0),"❌ Account Not Found"))</f>
        <v/>
      </c>
      <c r="D165" s="256" t="str">
        <f t="shared" ca="1" si="17"/>
        <v/>
      </c>
      <c r="E165" s="257"/>
      <c r="F165" s="257"/>
      <c r="G165" s="256"/>
      <c r="H165" s="258">
        <v>2.5</v>
      </c>
      <c r="I165" s="256" t="str">
        <f t="shared" si="18"/>
        <v/>
      </c>
      <c r="J165" s="256" t="str">
        <f t="shared" si="19"/>
        <v/>
      </c>
      <c r="K165" s="256" t="str">
        <f>IF(B165="","Pending",IF(M165="","⚠️ Enter Code",IF(IFERROR(VLOOKUP(L165,DB_Agents!$B:$I,8,0),"")=M165,"Pending","🔒 BLOCKED — Wrong Code")))</f>
        <v>Pending</v>
      </c>
      <c r="L165" s="256" t="s">
        <v>135</v>
      </c>
      <c r="M165" s="252"/>
      <c r="N165" s="257"/>
    </row>
    <row r="166" spans="1:14" ht="18" customHeight="1" x14ac:dyDescent="0.25">
      <c r="A166" s="253" t="str">
        <f t="shared" si="16"/>
        <v/>
      </c>
      <c r="B166" s="254"/>
      <c r="C166" s="254" t="str">
        <f>IF(B166="","",IFERROR(VLOOKUP(B166,DB_Customers!$A:$D,4,0),"❌ Account Not Found"))</f>
        <v/>
      </c>
      <c r="D166" s="253" t="str">
        <f t="shared" ca="1" si="17"/>
        <v/>
      </c>
      <c r="E166" s="254"/>
      <c r="F166" s="254"/>
      <c r="G166" s="253"/>
      <c r="H166" s="255">
        <v>2.5</v>
      </c>
      <c r="I166" s="253" t="str">
        <f t="shared" si="18"/>
        <v/>
      </c>
      <c r="J166" s="253" t="str">
        <f t="shared" si="19"/>
        <v/>
      </c>
      <c r="K166" s="253" t="str">
        <f>IF(B166="","Pending",IF(M166="","⚠️ Enter Code",IF(IFERROR(VLOOKUP(L166,DB_Agents!$B:$I,8,0),"")=M166,"Pending","🔒 BLOCKED — Wrong Code")))</f>
        <v>Pending</v>
      </c>
      <c r="L166" s="253" t="s">
        <v>135</v>
      </c>
      <c r="M166" s="240"/>
      <c r="N166" s="254"/>
    </row>
    <row r="167" spans="1:14" ht="18" customHeight="1" x14ac:dyDescent="0.25">
      <c r="A167" s="256" t="str">
        <f t="shared" si="16"/>
        <v/>
      </c>
      <c r="B167" s="257"/>
      <c r="C167" s="257" t="str">
        <f>IF(B167="","",IFERROR(VLOOKUP(B167,DB_Customers!$A:$D,4,0),"❌ Account Not Found"))</f>
        <v/>
      </c>
      <c r="D167" s="256" t="str">
        <f t="shared" ca="1" si="17"/>
        <v/>
      </c>
      <c r="E167" s="257"/>
      <c r="F167" s="257"/>
      <c r="G167" s="256"/>
      <c r="H167" s="258">
        <v>2.5</v>
      </c>
      <c r="I167" s="256" t="str">
        <f t="shared" si="18"/>
        <v/>
      </c>
      <c r="J167" s="256" t="str">
        <f t="shared" si="19"/>
        <v/>
      </c>
      <c r="K167" s="256" t="str">
        <f>IF(B167="","Pending",IF(M167="","⚠️ Enter Code",IF(IFERROR(VLOOKUP(L167,DB_Agents!$B:$I,8,0),"")=M167,"Pending","🔒 BLOCKED — Wrong Code")))</f>
        <v>Pending</v>
      </c>
      <c r="L167" s="256" t="s">
        <v>135</v>
      </c>
      <c r="M167" s="252"/>
      <c r="N167" s="257"/>
    </row>
    <row r="168" spans="1:14" ht="18" customHeight="1" x14ac:dyDescent="0.25">
      <c r="A168" s="253" t="str">
        <f t="shared" si="16"/>
        <v/>
      </c>
      <c r="B168" s="254"/>
      <c r="C168" s="254" t="str">
        <f>IF(B168="","",IFERROR(VLOOKUP(B168,DB_Customers!$A:$D,4,0),"❌ Account Not Found"))</f>
        <v/>
      </c>
      <c r="D168" s="253" t="str">
        <f t="shared" ca="1" si="17"/>
        <v/>
      </c>
      <c r="E168" s="254"/>
      <c r="F168" s="254"/>
      <c r="G168" s="253"/>
      <c r="H168" s="255">
        <v>2.5</v>
      </c>
      <c r="I168" s="253" t="str">
        <f t="shared" si="18"/>
        <v/>
      </c>
      <c r="J168" s="253" t="str">
        <f t="shared" si="19"/>
        <v/>
      </c>
      <c r="K168" s="253" t="str">
        <f>IF(B168="","Pending",IF(M168="","⚠️ Enter Code",IF(IFERROR(VLOOKUP(L168,DB_Agents!$B:$I,8,0),"")=M168,"Pending","🔒 BLOCKED — Wrong Code")))</f>
        <v>Pending</v>
      </c>
      <c r="L168" s="253" t="s">
        <v>135</v>
      </c>
      <c r="M168" s="240"/>
      <c r="N168" s="254"/>
    </row>
    <row r="169" spans="1:14" ht="18" customHeight="1" x14ac:dyDescent="0.25">
      <c r="A169" s="256" t="str">
        <f t="shared" si="16"/>
        <v/>
      </c>
      <c r="B169" s="257"/>
      <c r="C169" s="257" t="str">
        <f>IF(B169="","",IFERROR(VLOOKUP(B169,DB_Customers!$A:$D,4,0),"❌ Account Not Found"))</f>
        <v/>
      </c>
      <c r="D169" s="256" t="str">
        <f t="shared" ca="1" si="17"/>
        <v/>
      </c>
      <c r="E169" s="257"/>
      <c r="F169" s="257"/>
      <c r="G169" s="256"/>
      <c r="H169" s="258">
        <v>2.5</v>
      </c>
      <c r="I169" s="256" t="str">
        <f t="shared" si="18"/>
        <v/>
      </c>
      <c r="J169" s="256" t="str">
        <f t="shared" si="19"/>
        <v/>
      </c>
      <c r="K169" s="256" t="str">
        <f>IF(B169="","Pending",IF(M169="","⚠️ Enter Code",IF(IFERROR(VLOOKUP(L169,DB_Agents!$B:$I,8,0),"")=M169,"Pending","🔒 BLOCKED — Wrong Code")))</f>
        <v>Pending</v>
      </c>
      <c r="L169" s="256" t="s">
        <v>135</v>
      </c>
      <c r="M169" s="252"/>
      <c r="N169" s="257"/>
    </row>
    <row r="170" spans="1:14" ht="18" customHeight="1" x14ac:dyDescent="0.25">
      <c r="A170" s="253" t="str">
        <f t="shared" si="16"/>
        <v/>
      </c>
      <c r="B170" s="254"/>
      <c r="C170" s="254" t="str">
        <f>IF(B170="","",IFERROR(VLOOKUP(B170,DB_Customers!$A:$D,4,0),"❌ Account Not Found"))</f>
        <v/>
      </c>
      <c r="D170" s="253" t="str">
        <f t="shared" ca="1" si="17"/>
        <v/>
      </c>
      <c r="E170" s="254"/>
      <c r="F170" s="254"/>
      <c r="G170" s="253"/>
      <c r="H170" s="255">
        <v>2.5</v>
      </c>
      <c r="I170" s="253" t="str">
        <f t="shared" si="18"/>
        <v/>
      </c>
      <c r="J170" s="253" t="str">
        <f t="shared" si="19"/>
        <v/>
      </c>
      <c r="K170" s="253" t="str">
        <f>IF(B170="","Pending",IF(M170="","⚠️ Enter Code",IF(IFERROR(VLOOKUP(L170,DB_Agents!$B:$I,8,0),"")=M170,"Pending","🔒 BLOCKED — Wrong Code")))</f>
        <v>Pending</v>
      </c>
      <c r="L170" s="253" t="s">
        <v>135</v>
      </c>
      <c r="M170" s="240"/>
      <c r="N170" s="254"/>
    </row>
    <row r="171" spans="1:14" ht="18" customHeight="1" x14ac:dyDescent="0.25">
      <c r="A171" s="256" t="str">
        <f t="shared" si="16"/>
        <v/>
      </c>
      <c r="B171" s="257"/>
      <c r="C171" s="257" t="str">
        <f>IF(B171="","",IFERROR(VLOOKUP(B171,DB_Customers!$A:$D,4,0),"❌ Account Not Found"))</f>
        <v/>
      </c>
      <c r="D171" s="256" t="str">
        <f t="shared" ca="1" si="17"/>
        <v/>
      </c>
      <c r="E171" s="257"/>
      <c r="F171" s="257"/>
      <c r="G171" s="256"/>
      <c r="H171" s="258">
        <v>2.5</v>
      </c>
      <c r="I171" s="256" t="str">
        <f t="shared" si="18"/>
        <v/>
      </c>
      <c r="J171" s="256" t="str">
        <f t="shared" si="19"/>
        <v/>
      </c>
      <c r="K171" s="256" t="str">
        <f>IF(B171="","Pending",IF(M171="","⚠️ Enter Code",IF(IFERROR(VLOOKUP(L171,DB_Agents!$B:$I,8,0),"")=M171,"Pending","🔒 BLOCKED — Wrong Code")))</f>
        <v>Pending</v>
      </c>
      <c r="L171" s="256" t="s">
        <v>135</v>
      </c>
      <c r="M171" s="252"/>
      <c r="N171" s="257"/>
    </row>
    <row r="172" spans="1:14" ht="18" customHeight="1" x14ac:dyDescent="0.25">
      <c r="A172" s="253" t="str">
        <f t="shared" si="16"/>
        <v/>
      </c>
      <c r="B172" s="254"/>
      <c r="C172" s="254" t="str">
        <f>IF(B172="","",IFERROR(VLOOKUP(B172,DB_Customers!$A:$D,4,0),"❌ Account Not Found"))</f>
        <v/>
      </c>
      <c r="D172" s="253" t="str">
        <f t="shared" ca="1" si="17"/>
        <v/>
      </c>
      <c r="E172" s="254"/>
      <c r="F172" s="254"/>
      <c r="G172" s="253"/>
      <c r="H172" s="255">
        <v>2.5</v>
      </c>
      <c r="I172" s="253" t="str">
        <f t="shared" si="18"/>
        <v/>
      </c>
      <c r="J172" s="253" t="str">
        <f t="shared" si="19"/>
        <v/>
      </c>
      <c r="K172" s="253" t="str">
        <f>IF(B172="","Pending",IF(M172="","⚠️ Enter Code",IF(IFERROR(VLOOKUP(L172,DB_Agents!$B:$I,8,0),"")=M172,"Pending","🔒 BLOCKED — Wrong Code")))</f>
        <v>Pending</v>
      </c>
      <c r="L172" s="253" t="s">
        <v>135</v>
      </c>
      <c r="M172" s="240"/>
      <c r="N172" s="254"/>
    </row>
    <row r="173" spans="1:14" ht="18" customHeight="1" x14ac:dyDescent="0.25">
      <c r="A173" s="256" t="str">
        <f t="shared" si="16"/>
        <v/>
      </c>
      <c r="B173" s="257"/>
      <c r="C173" s="257" t="str">
        <f>IF(B173="","",IFERROR(VLOOKUP(B173,DB_Customers!$A:$D,4,0),"❌ Account Not Found"))</f>
        <v/>
      </c>
      <c r="D173" s="256" t="str">
        <f t="shared" ca="1" si="17"/>
        <v/>
      </c>
      <c r="E173" s="257"/>
      <c r="F173" s="257"/>
      <c r="G173" s="256"/>
      <c r="H173" s="258">
        <v>2.5</v>
      </c>
      <c r="I173" s="256" t="str">
        <f t="shared" si="18"/>
        <v/>
      </c>
      <c r="J173" s="256" t="str">
        <f t="shared" si="19"/>
        <v/>
      </c>
      <c r="K173" s="256" t="str">
        <f>IF(B173="","Pending",IF(M173="","⚠️ Enter Code",IF(IFERROR(VLOOKUP(L173,DB_Agents!$B:$I,8,0),"")=M173,"Pending","🔒 BLOCKED — Wrong Code")))</f>
        <v>Pending</v>
      </c>
      <c r="L173" s="256" t="s">
        <v>135</v>
      </c>
      <c r="M173" s="252"/>
      <c r="N173" s="257"/>
    </row>
    <row r="174" spans="1:14" ht="18" customHeight="1" x14ac:dyDescent="0.25">
      <c r="A174" s="253" t="str">
        <f t="shared" ref="A174:A205" si="20">IF(B174="","",IF(C174="❌ Account Not Found","INVALID","LN"&amp;TEXT(D174,"YYYYMMDD")&amp;TEXT(ROW()-13,"0000")))</f>
        <v/>
      </c>
      <c r="B174" s="254"/>
      <c r="C174" s="254" t="str">
        <f>IF(B174="","",IFERROR(VLOOKUP(B174,DB_Customers!$A:$D,4,0),"❌ Account Not Found"))</f>
        <v/>
      </c>
      <c r="D174" s="253" t="str">
        <f t="shared" ref="D174:D205" ca="1" si="21">IF(B174="","",TODAY())</f>
        <v/>
      </c>
      <c r="E174" s="254"/>
      <c r="F174" s="254"/>
      <c r="G174" s="253"/>
      <c r="H174" s="255">
        <v>2.5</v>
      </c>
      <c r="I174" s="253" t="str">
        <f t="shared" ref="I174:I205" si="22">IF(E174="","",E174+(E174*H174/100*G174))</f>
        <v/>
      </c>
      <c r="J174" s="253" t="str">
        <f t="shared" ref="J174:J205" si="23">IFERROR(I174/G174,"")</f>
        <v/>
      </c>
      <c r="K174" s="253" t="str">
        <f>IF(B174="","Pending",IF(M174="","⚠️ Enter Code",IF(IFERROR(VLOOKUP(L174,DB_Agents!$B:$I,8,0),"")=M174,"Pending","🔒 BLOCKED — Wrong Code")))</f>
        <v>Pending</v>
      </c>
      <c r="L174" s="253" t="s">
        <v>135</v>
      </c>
      <c r="M174" s="240"/>
      <c r="N174" s="254"/>
    </row>
    <row r="175" spans="1:14" ht="18" customHeight="1" x14ac:dyDescent="0.25">
      <c r="A175" s="256" t="str">
        <f t="shared" si="20"/>
        <v/>
      </c>
      <c r="B175" s="257"/>
      <c r="C175" s="257" t="str">
        <f>IF(B175="","",IFERROR(VLOOKUP(B175,DB_Customers!$A:$D,4,0),"❌ Account Not Found"))</f>
        <v/>
      </c>
      <c r="D175" s="256" t="str">
        <f t="shared" ca="1" si="21"/>
        <v/>
      </c>
      <c r="E175" s="257"/>
      <c r="F175" s="257"/>
      <c r="G175" s="256"/>
      <c r="H175" s="258">
        <v>2.5</v>
      </c>
      <c r="I175" s="256" t="str">
        <f t="shared" si="22"/>
        <v/>
      </c>
      <c r="J175" s="256" t="str">
        <f t="shared" si="23"/>
        <v/>
      </c>
      <c r="K175" s="256" t="str">
        <f>IF(B175="","Pending",IF(M175="","⚠️ Enter Code",IF(IFERROR(VLOOKUP(L175,DB_Agents!$B:$I,8,0),"")=M175,"Pending","🔒 BLOCKED — Wrong Code")))</f>
        <v>Pending</v>
      </c>
      <c r="L175" s="256" t="s">
        <v>135</v>
      </c>
      <c r="M175" s="252"/>
      <c r="N175" s="257"/>
    </row>
    <row r="176" spans="1:14" ht="18" customHeight="1" x14ac:dyDescent="0.25">
      <c r="A176" s="253" t="str">
        <f t="shared" si="20"/>
        <v/>
      </c>
      <c r="B176" s="254"/>
      <c r="C176" s="254" t="str">
        <f>IF(B176="","",IFERROR(VLOOKUP(B176,DB_Customers!$A:$D,4,0),"❌ Account Not Found"))</f>
        <v/>
      </c>
      <c r="D176" s="253" t="str">
        <f t="shared" ca="1" si="21"/>
        <v/>
      </c>
      <c r="E176" s="254"/>
      <c r="F176" s="254"/>
      <c r="G176" s="253"/>
      <c r="H176" s="255">
        <v>2.5</v>
      </c>
      <c r="I176" s="253" t="str">
        <f t="shared" si="22"/>
        <v/>
      </c>
      <c r="J176" s="253" t="str">
        <f t="shared" si="23"/>
        <v/>
      </c>
      <c r="K176" s="253" t="str">
        <f>IF(B176="","Pending",IF(M176="","⚠️ Enter Code",IF(IFERROR(VLOOKUP(L176,DB_Agents!$B:$I,8,0),"")=M176,"Pending","🔒 BLOCKED — Wrong Code")))</f>
        <v>Pending</v>
      </c>
      <c r="L176" s="253" t="s">
        <v>135</v>
      </c>
      <c r="M176" s="240"/>
      <c r="N176" s="254"/>
    </row>
    <row r="177" spans="1:14" ht="18" customHeight="1" x14ac:dyDescent="0.25">
      <c r="A177" s="256" t="str">
        <f t="shared" si="20"/>
        <v/>
      </c>
      <c r="B177" s="257"/>
      <c r="C177" s="257" t="str">
        <f>IF(B177="","",IFERROR(VLOOKUP(B177,DB_Customers!$A:$D,4,0),"❌ Account Not Found"))</f>
        <v/>
      </c>
      <c r="D177" s="256" t="str">
        <f t="shared" ca="1" si="21"/>
        <v/>
      </c>
      <c r="E177" s="257"/>
      <c r="F177" s="257"/>
      <c r="G177" s="256"/>
      <c r="H177" s="258">
        <v>2.5</v>
      </c>
      <c r="I177" s="256" t="str">
        <f t="shared" si="22"/>
        <v/>
      </c>
      <c r="J177" s="256" t="str">
        <f t="shared" si="23"/>
        <v/>
      </c>
      <c r="K177" s="256" t="str">
        <f>IF(B177="","Pending",IF(M177="","⚠️ Enter Code",IF(IFERROR(VLOOKUP(L177,DB_Agents!$B:$I,8,0),"")=M177,"Pending","🔒 BLOCKED — Wrong Code")))</f>
        <v>Pending</v>
      </c>
      <c r="L177" s="256" t="s">
        <v>135</v>
      </c>
      <c r="M177" s="252"/>
      <c r="N177" s="257"/>
    </row>
    <row r="178" spans="1:14" ht="18" customHeight="1" x14ac:dyDescent="0.25">
      <c r="A178" s="253" t="str">
        <f t="shared" si="20"/>
        <v/>
      </c>
      <c r="B178" s="254"/>
      <c r="C178" s="254" t="str">
        <f>IF(B178="","",IFERROR(VLOOKUP(B178,DB_Customers!$A:$D,4,0),"❌ Account Not Found"))</f>
        <v/>
      </c>
      <c r="D178" s="253" t="str">
        <f t="shared" ca="1" si="21"/>
        <v/>
      </c>
      <c r="E178" s="254"/>
      <c r="F178" s="254"/>
      <c r="G178" s="253"/>
      <c r="H178" s="255">
        <v>2.5</v>
      </c>
      <c r="I178" s="253" t="str">
        <f t="shared" si="22"/>
        <v/>
      </c>
      <c r="J178" s="253" t="str">
        <f t="shared" si="23"/>
        <v/>
      </c>
      <c r="K178" s="253" t="str">
        <f>IF(B178="","Pending",IF(M178="","⚠️ Enter Code",IF(IFERROR(VLOOKUP(L178,DB_Agents!$B:$I,8,0),"")=M178,"Pending","🔒 BLOCKED — Wrong Code")))</f>
        <v>Pending</v>
      </c>
      <c r="L178" s="253" t="s">
        <v>135</v>
      </c>
      <c r="M178" s="240"/>
      <c r="N178" s="254"/>
    </row>
    <row r="179" spans="1:14" ht="18" customHeight="1" x14ac:dyDescent="0.25">
      <c r="A179" s="256" t="str">
        <f t="shared" si="20"/>
        <v/>
      </c>
      <c r="B179" s="257"/>
      <c r="C179" s="257" t="str">
        <f>IF(B179="","",IFERROR(VLOOKUP(B179,DB_Customers!$A:$D,4,0),"❌ Account Not Found"))</f>
        <v/>
      </c>
      <c r="D179" s="256" t="str">
        <f t="shared" ca="1" si="21"/>
        <v/>
      </c>
      <c r="E179" s="257"/>
      <c r="F179" s="257"/>
      <c r="G179" s="256"/>
      <c r="H179" s="258">
        <v>2.5</v>
      </c>
      <c r="I179" s="256" t="str">
        <f t="shared" si="22"/>
        <v/>
      </c>
      <c r="J179" s="256" t="str">
        <f t="shared" si="23"/>
        <v/>
      </c>
      <c r="K179" s="256" t="str">
        <f>IF(B179="","Pending",IF(M179="","⚠️ Enter Code",IF(IFERROR(VLOOKUP(L179,DB_Agents!$B:$I,8,0),"")=M179,"Pending","🔒 BLOCKED — Wrong Code")))</f>
        <v>Pending</v>
      </c>
      <c r="L179" s="256" t="s">
        <v>135</v>
      </c>
      <c r="M179" s="252"/>
      <c r="N179" s="257"/>
    </row>
    <row r="180" spans="1:14" ht="18" customHeight="1" x14ac:dyDescent="0.25">
      <c r="A180" s="253" t="str">
        <f t="shared" si="20"/>
        <v/>
      </c>
      <c r="B180" s="254"/>
      <c r="C180" s="254" t="str">
        <f>IF(B180="","",IFERROR(VLOOKUP(B180,DB_Customers!$A:$D,4,0),"❌ Account Not Found"))</f>
        <v/>
      </c>
      <c r="D180" s="253" t="str">
        <f t="shared" ca="1" si="21"/>
        <v/>
      </c>
      <c r="E180" s="254"/>
      <c r="F180" s="254"/>
      <c r="G180" s="253"/>
      <c r="H180" s="255">
        <v>2.5</v>
      </c>
      <c r="I180" s="253" t="str">
        <f t="shared" si="22"/>
        <v/>
      </c>
      <c r="J180" s="253" t="str">
        <f t="shared" si="23"/>
        <v/>
      </c>
      <c r="K180" s="253" t="str">
        <f>IF(B180="","Pending",IF(M180="","⚠️ Enter Code",IF(IFERROR(VLOOKUP(L180,DB_Agents!$B:$I,8,0),"")=M180,"Pending","🔒 BLOCKED — Wrong Code")))</f>
        <v>Pending</v>
      </c>
      <c r="L180" s="253" t="s">
        <v>135</v>
      </c>
      <c r="M180" s="240"/>
      <c r="N180" s="254"/>
    </row>
    <row r="181" spans="1:14" ht="18" customHeight="1" x14ac:dyDescent="0.25">
      <c r="A181" s="256" t="str">
        <f t="shared" si="20"/>
        <v/>
      </c>
      <c r="B181" s="257"/>
      <c r="C181" s="257" t="str">
        <f>IF(B181="","",IFERROR(VLOOKUP(B181,DB_Customers!$A:$D,4,0),"❌ Account Not Found"))</f>
        <v/>
      </c>
      <c r="D181" s="256" t="str">
        <f t="shared" ca="1" si="21"/>
        <v/>
      </c>
      <c r="E181" s="257"/>
      <c r="F181" s="257"/>
      <c r="G181" s="256"/>
      <c r="H181" s="258">
        <v>2.5</v>
      </c>
      <c r="I181" s="256" t="str">
        <f t="shared" si="22"/>
        <v/>
      </c>
      <c r="J181" s="256" t="str">
        <f t="shared" si="23"/>
        <v/>
      </c>
      <c r="K181" s="256" t="str">
        <f>IF(B181="","Pending",IF(M181="","⚠️ Enter Code",IF(IFERROR(VLOOKUP(L181,DB_Agents!$B:$I,8,0),"")=M181,"Pending","🔒 BLOCKED — Wrong Code")))</f>
        <v>Pending</v>
      </c>
      <c r="L181" s="256" t="s">
        <v>135</v>
      </c>
      <c r="M181" s="252"/>
      <c r="N181" s="257"/>
    </row>
    <row r="182" spans="1:14" ht="18" customHeight="1" x14ac:dyDescent="0.25">
      <c r="A182" s="253" t="str">
        <f t="shared" si="20"/>
        <v/>
      </c>
      <c r="B182" s="254"/>
      <c r="C182" s="254" t="str">
        <f>IF(B182="","",IFERROR(VLOOKUP(B182,DB_Customers!$A:$D,4,0),"❌ Account Not Found"))</f>
        <v/>
      </c>
      <c r="D182" s="253" t="str">
        <f t="shared" ca="1" si="21"/>
        <v/>
      </c>
      <c r="E182" s="254"/>
      <c r="F182" s="254"/>
      <c r="G182" s="253"/>
      <c r="H182" s="255">
        <v>2.5</v>
      </c>
      <c r="I182" s="253" t="str">
        <f t="shared" si="22"/>
        <v/>
      </c>
      <c r="J182" s="253" t="str">
        <f t="shared" si="23"/>
        <v/>
      </c>
      <c r="K182" s="253" t="str">
        <f>IF(B182="","Pending",IF(M182="","⚠️ Enter Code",IF(IFERROR(VLOOKUP(L182,DB_Agents!$B:$I,8,0),"")=M182,"Pending","🔒 BLOCKED — Wrong Code")))</f>
        <v>Pending</v>
      </c>
      <c r="L182" s="253" t="s">
        <v>135</v>
      </c>
      <c r="M182" s="240"/>
      <c r="N182" s="254"/>
    </row>
    <row r="183" spans="1:14" ht="18" customHeight="1" x14ac:dyDescent="0.25">
      <c r="A183" s="256" t="str">
        <f t="shared" si="20"/>
        <v/>
      </c>
      <c r="B183" s="257"/>
      <c r="C183" s="257" t="str">
        <f>IF(B183="","",IFERROR(VLOOKUP(B183,DB_Customers!$A:$D,4,0),"❌ Account Not Found"))</f>
        <v/>
      </c>
      <c r="D183" s="256" t="str">
        <f t="shared" ca="1" si="21"/>
        <v/>
      </c>
      <c r="E183" s="257"/>
      <c r="F183" s="257"/>
      <c r="G183" s="256"/>
      <c r="H183" s="258">
        <v>2.5</v>
      </c>
      <c r="I183" s="256" t="str">
        <f t="shared" si="22"/>
        <v/>
      </c>
      <c r="J183" s="256" t="str">
        <f t="shared" si="23"/>
        <v/>
      </c>
      <c r="K183" s="256" t="str">
        <f>IF(B183="","Pending",IF(M183="","⚠️ Enter Code",IF(IFERROR(VLOOKUP(L183,DB_Agents!$B:$I,8,0),"")=M183,"Pending","🔒 BLOCKED — Wrong Code")))</f>
        <v>Pending</v>
      </c>
      <c r="L183" s="256" t="s">
        <v>135</v>
      </c>
      <c r="M183" s="252"/>
      <c r="N183" s="257"/>
    </row>
    <row r="184" spans="1:14" ht="18" customHeight="1" x14ac:dyDescent="0.25">
      <c r="A184" s="253" t="str">
        <f t="shared" si="20"/>
        <v/>
      </c>
      <c r="B184" s="254"/>
      <c r="C184" s="254" t="str">
        <f>IF(B184="","",IFERROR(VLOOKUP(B184,DB_Customers!$A:$D,4,0),"❌ Account Not Found"))</f>
        <v/>
      </c>
      <c r="D184" s="253" t="str">
        <f t="shared" ca="1" si="21"/>
        <v/>
      </c>
      <c r="E184" s="254"/>
      <c r="F184" s="254"/>
      <c r="G184" s="253"/>
      <c r="H184" s="255">
        <v>2.5</v>
      </c>
      <c r="I184" s="253" t="str">
        <f t="shared" si="22"/>
        <v/>
      </c>
      <c r="J184" s="253" t="str">
        <f t="shared" si="23"/>
        <v/>
      </c>
      <c r="K184" s="253" t="str">
        <f>IF(B184="","Pending",IF(M184="","⚠️ Enter Code",IF(IFERROR(VLOOKUP(L184,DB_Agents!$B:$I,8,0),"")=M184,"Pending","🔒 BLOCKED — Wrong Code")))</f>
        <v>Pending</v>
      </c>
      <c r="L184" s="253" t="s">
        <v>135</v>
      </c>
      <c r="M184" s="240"/>
      <c r="N184" s="254"/>
    </row>
    <row r="185" spans="1:14" ht="18" customHeight="1" x14ac:dyDescent="0.25">
      <c r="A185" s="256" t="str">
        <f t="shared" si="20"/>
        <v/>
      </c>
      <c r="B185" s="257"/>
      <c r="C185" s="257" t="str">
        <f>IF(B185="","",IFERROR(VLOOKUP(B185,DB_Customers!$A:$D,4,0),"❌ Account Not Found"))</f>
        <v/>
      </c>
      <c r="D185" s="256" t="str">
        <f t="shared" ca="1" si="21"/>
        <v/>
      </c>
      <c r="E185" s="257"/>
      <c r="F185" s="257"/>
      <c r="G185" s="256"/>
      <c r="H185" s="258">
        <v>2.5</v>
      </c>
      <c r="I185" s="256" t="str">
        <f t="shared" si="22"/>
        <v/>
      </c>
      <c r="J185" s="256" t="str">
        <f t="shared" si="23"/>
        <v/>
      </c>
      <c r="K185" s="256" t="str">
        <f>IF(B185="","Pending",IF(M185="","⚠️ Enter Code",IF(IFERROR(VLOOKUP(L185,DB_Agents!$B:$I,8,0),"")=M185,"Pending","🔒 BLOCKED — Wrong Code")))</f>
        <v>Pending</v>
      </c>
      <c r="L185" s="256" t="s">
        <v>135</v>
      </c>
      <c r="M185" s="252"/>
      <c r="N185" s="257"/>
    </row>
    <row r="186" spans="1:14" ht="18" customHeight="1" x14ac:dyDescent="0.25">
      <c r="A186" s="253" t="str">
        <f t="shared" si="20"/>
        <v/>
      </c>
      <c r="B186" s="254"/>
      <c r="C186" s="254" t="str">
        <f>IF(B186="","",IFERROR(VLOOKUP(B186,DB_Customers!$A:$D,4,0),"❌ Account Not Found"))</f>
        <v/>
      </c>
      <c r="D186" s="253" t="str">
        <f t="shared" ca="1" si="21"/>
        <v/>
      </c>
      <c r="E186" s="254"/>
      <c r="F186" s="254"/>
      <c r="G186" s="253"/>
      <c r="H186" s="255">
        <v>2.5</v>
      </c>
      <c r="I186" s="253" t="str">
        <f t="shared" si="22"/>
        <v/>
      </c>
      <c r="J186" s="253" t="str">
        <f t="shared" si="23"/>
        <v/>
      </c>
      <c r="K186" s="253" t="str">
        <f>IF(B186="","Pending",IF(M186="","⚠️ Enter Code",IF(IFERROR(VLOOKUP(L186,DB_Agents!$B:$I,8,0),"")=M186,"Pending","🔒 BLOCKED — Wrong Code")))</f>
        <v>Pending</v>
      </c>
      <c r="L186" s="253" t="s">
        <v>135</v>
      </c>
      <c r="M186" s="240"/>
      <c r="N186" s="254"/>
    </row>
    <row r="187" spans="1:14" ht="18" customHeight="1" x14ac:dyDescent="0.25">
      <c r="A187" s="256" t="str">
        <f t="shared" si="20"/>
        <v/>
      </c>
      <c r="B187" s="257"/>
      <c r="C187" s="257" t="str">
        <f>IF(B187="","",IFERROR(VLOOKUP(B187,DB_Customers!$A:$D,4,0),"❌ Account Not Found"))</f>
        <v/>
      </c>
      <c r="D187" s="256" t="str">
        <f t="shared" ca="1" si="21"/>
        <v/>
      </c>
      <c r="E187" s="257"/>
      <c r="F187" s="257"/>
      <c r="G187" s="256"/>
      <c r="H187" s="258">
        <v>2.5</v>
      </c>
      <c r="I187" s="256" t="str">
        <f t="shared" si="22"/>
        <v/>
      </c>
      <c r="J187" s="256" t="str">
        <f t="shared" si="23"/>
        <v/>
      </c>
      <c r="K187" s="256" t="str">
        <f>IF(B187="","Pending",IF(M187="","⚠️ Enter Code",IF(IFERROR(VLOOKUP(L187,DB_Agents!$B:$I,8,0),"")=M187,"Pending","🔒 BLOCKED — Wrong Code")))</f>
        <v>Pending</v>
      </c>
      <c r="L187" s="256" t="s">
        <v>135</v>
      </c>
      <c r="M187" s="252"/>
      <c r="N187" s="257"/>
    </row>
    <row r="188" spans="1:14" ht="18" customHeight="1" x14ac:dyDescent="0.25">
      <c r="A188" s="253" t="str">
        <f t="shared" si="20"/>
        <v/>
      </c>
      <c r="B188" s="254"/>
      <c r="C188" s="254" t="str">
        <f>IF(B188="","",IFERROR(VLOOKUP(B188,DB_Customers!$A:$D,4,0),"❌ Account Not Found"))</f>
        <v/>
      </c>
      <c r="D188" s="253" t="str">
        <f t="shared" ca="1" si="21"/>
        <v/>
      </c>
      <c r="E188" s="254"/>
      <c r="F188" s="254"/>
      <c r="G188" s="253"/>
      <c r="H188" s="255">
        <v>2.5</v>
      </c>
      <c r="I188" s="253" t="str">
        <f t="shared" si="22"/>
        <v/>
      </c>
      <c r="J188" s="253" t="str">
        <f t="shared" si="23"/>
        <v/>
      </c>
      <c r="K188" s="253" t="str">
        <f>IF(B188="","Pending",IF(M188="","⚠️ Enter Code",IF(IFERROR(VLOOKUP(L188,DB_Agents!$B:$I,8,0),"")=M188,"Pending","🔒 BLOCKED — Wrong Code")))</f>
        <v>Pending</v>
      </c>
      <c r="L188" s="253" t="s">
        <v>135</v>
      </c>
      <c r="M188" s="240"/>
      <c r="N188" s="254"/>
    </row>
    <row r="189" spans="1:14" ht="18" customHeight="1" x14ac:dyDescent="0.25">
      <c r="A189" s="256" t="str">
        <f t="shared" si="20"/>
        <v/>
      </c>
      <c r="B189" s="257"/>
      <c r="C189" s="257" t="str">
        <f>IF(B189="","",IFERROR(VLOOKUP(B189,DB_Customers!$A:$D,4,0),"❌ Account Not Found"))</f>
        <v/>
      </c>
      <c r="D189" s="256" t="str">
        <f t="shared" ca="1" si="21"/>
        <v/>
      </c>
      <c r="E189" s="257"/>
      <c r="F189" s="257"/>
      <c r="G189" s="256"/>
      <c r="H189" s="258">
        <v>2.5</v>
      </c>
      <c r="I189" s="256" t="str">
        <f t="shared" si="22"/>
        <v/>
      </c>
      <c r="J189" s="256" t="str">
        <f t="shared" si="23"/>
        <v/>
      </c>
      <c r="K189" s="256" t="str">
        <f>IF(B189="","Pending",IF(M189="","⚠️ Enter Code",IF(IFERROR(VLOOKUP(L189,DB_Agents!$B:$I,8,0),"")=M189,"Pending","🔒 BLOCKED — Wrong Code")))</f>
        <v>Pending</v>
      </c>
      <c r="L189" s="256" t="s">
        <v>135</v>
      </c>
      <c r="M189" s="252"/>
      <c r="N189" s="257"/>
    </row>
    <row r="190" spans="1:14" ht="18" customHeight="1" x14ac:dyDescent="0.25">
      <c r="A190" s="253" t="str">
        <f t="shared" si="20"/>
        <v/>
      </c>
      <c r="B190" s="254"/>
      <c r="C190" s="254" t="str">
        <f>IF(B190="","",IFERROR(VLOOKUP(B190,DB_Customers!$A:$D,4,0),"❌ Account Not Found"))</f>
        <v/>
      </c>
      <c r="D190" s="253" t="str">
        <f t="shared" ca="1" si="21"/>
        <v/>
      </c>
      <c r="E190" s="254"/>
      <c r="F190" s="254"/>
      <c r="G190" s="253"/>
      <c r="H190" s="255">
        <v>2.5</v>
      </c>
      <c r="I190" s="253" t="str">
        <f t="shared" si="22"/>
        <v/>
      </c>
      <c r="J190" s="253" t="str">
        <f t="shared" si="23"/>
        <v/>
      </c>
      <c r="K190" s="253" t="str">
        <f>IF(B190="","Pending",IF(M190="","⚠️ Enter Code",IF(IFERROR(VLOOKUP(L190,DB_Agents!$B:$I,8,0),"")=M190,"Pending","🔒 BLOCKED — Wrong Code")))</f>
        <v>Pending</v>
      </c>
      <c r="L190" s="253" t="s">
        <v>135</v>
      </c>
      <c r="M190" s="240"/>
      <c r="N190" s="254"/>
    </row>
    <row r="191" spans="1:14" ht="18" customHeight="1" x14ac:dyDescent="0.25">
      <c r="A191" s="256" t="str">
        <f t="shared" si="20"/>
        <v/>
      </c>
      <c r="B191" s="257"/>
      <c r="C191" s="257" t="str">
        <f>IF(B191="","",IFERROR(VLOOKUP(B191,DB_Customers!$A:$D,4,0),"❌ Account Not Found"))</f>
        <v/>
      </c>
      <c r="D191" s="256" t="str">
        <f t="shared" ca="1" si="21"/>
        <v/>
      </c>
      <c r="E191" s="257"/>
      <c r="F191" s="257"/>
      <c r="G191" s="256"/>
      <c r="H191" s="258">
        <v>2.5</v>
      </c>
      <c r="I191" s="256" t="str">
        <f t="shared" si="22"/>
        <v/>
      </c>
      <c r="J191" s="256" t="str">
        <f t="shared" si="23"/>
        <v/>
      </c>
      <c r="K191" s="256" t="str">
        <f>IF(B191="","Pending",IF(M191="","⚠️ Enter Code",IF(IFERROR(VLOOKUP(L191,DB_Agents!$B:$I,8,0),"")=M191,"Pending","🔒 BLOCKED — Wrong Code")))</f>
        <v>Pending</v>
      </c>
      <c r="L191" s="256" t="s">
        <v>135</v>
      </c>
      <c r="M191" s="252"/>
      <c r="N191" s="257"/>
    </row>
    <row r="192" spans="1:14" ht="18" customHeight="1" x14ac:dyDescent="0.25">
      <c r="A192" s="253" t="str">
        <f t="shared" si="20"/>
        <v/>
      </c>
      <c r="B192" s="254"/>
      <c r="C192" s="254" t="str">
        <f>IF(B192="","",IFERROR(VLOOKUP(B192,DB_Customers!$A:$D,4,0),"❌ Account Not Found"))</f>
        <v/>
      </c>
      <c r="D192" s="253" t="str">
        <f t="shared" ca="1" si="21"/>
        <v/>
      </c>
      <c r="E192" s="254"/>
      <c r="F192" s="254"/>
      <c r="G192" s="253"/>
      <c r="H192" s="255">
        <v>2.5</v>
      </c>
      <c r="I192" s="253" t="str">
        <f t="shared" si="22"/>
        <v/>
      </c>
      <c r="J192" s="253" t="str">
        <f t="shared" si="23"/>
        <v/>
      </c>
      <c r="K192" s="253" t="str">
        <f>IF(B192="","Pending",IF(M192="","⚠️ Enter Code",IF(IFERROR(VLOOKUP(L192,DB_Agents!$B:$I,8,0),"")=M192,"Pending","🔒 BLOCKED — Wrong Code")))</f>
        <v>Pending</v>
      </c>
      <c r="L192" s="253" t="s">
        <v>135</v>
      </c>
      <c r="M192" s="240"/>
      <c r="N192" s="254"/>
    </row>
    <row r="193" spans="1:14" ht="18" customHeight="1" x14ac:dyDescent="0.25">
      <c r="A193" s="256" t="str">
        <f t="shared" si="20"/>
        <v/>
      </c>
      <c r="B193" s="257"/>
      <c r="C193" s="257" t="str">
        <f>IF(B193="","",IFERROR(VLOOKUP(B193,DB_Customers!$A:$D,4,0),"❌ Account Not Found"))</f>
        <v/>
      </c>
      <c r="D193" s="256" t="str">
        <f t="shared" ca="1" si="21"/>
        <v/>
      </c>
      <c r="E193" s="257"/>
      <c r="F193" s="257"/>
      <c r="G193" s="256"/>
      <c r="H193" s="258">
        <v>2.5</v>
      </c>
      <c r="I193" s="256" t="str">
        <f t="shared" si="22"/>
        <v/>
      </c>
      <c r="J193" s="256" t="str">
        <f t="shared" si="23"/>
        <v/>
      </c>
      <c r="K193" s="256" t="str">
        <f>IF(B193="","Pending",IF(M193="","⚠️ Enter Code",IF(IFERROR(VLOOKUP(L193,DB_Agents!$B:$I,8,0),"")=M193,"Pending","🔒 BLOCKED — Wrong Code")))</f>
        <v>Pending</v>
      </c>
      <c r="L193" s="256" t="s">
        <v>135</v>
      </c>
      <c r="M193" s="252"/>
      <c r="N193" s="257"/>
    </row>
    <row r="194" spans="1:14" ht="18" customHeight="1" x14ac:dyDescent="0.25">
      <c r="A194" s="253" t="str">
        <f t="shared" si="20"/>
        <v/>
      </c>
      <c r="B194" s="254"/>
      <c r="C194" s="254" t="str">
        <f>IF(B194="","",IFERROR(VLOOKUP(B194,DB_Customers!$A:$D,4,0),"❌ Account Not Found"))</f>
        <v/>
      </c>
      <c r="D194" s="253" t="str">
        <f t="shared" ca="1" si="21"/>
        <v/>
      </c>
      <c r="E194" s="254"/>
      <c r="F194" s="254"/>
      <c r="G194" s="253"/>
      <c r="H194" s="255">
        <v>2.5</v>
      </c>
      <c r="I194" s="253" t="str">
        <f t="shared" si="22"/>
        <v/>
      </c>
      <c r="J194" s="253" t="str">
        <f t="shared" si="23"/>
        <v/>
      </c>
      <c r="K194" s="253" t="str">
        <f>IF(B194="","Pending",IF(M194="","⚠️ Enter Code",IF(IFERROR(VLOOKUP(L194,DB_Agents!$B:$I,8,0),"")=M194,"Pending","🔒 BLOCKED — Wrong Code")))</f>
        <v>Pending</v>
      </c>
      <c r="L194" s="253" t="s">
        <v>135</v>
      </c>
      <c r="M194" s="240"/>
      <c r="N194" s="254"/>
    </row>
    <row r="195" spans="1:14" ht="18" customHeight="1" x14ac:dyDescent="0.25">
      <c r="A195" s="256" t="str">
        <f t="shared" si="20"/>
        <v/>
      </c>
      <c r="B195" s="257"/>
      <c r="C195" s="257" t="str">
        <f>IF(B195="","",IFERROR(VLOOKUP(B195,DB_Customers!$A:$D,4,0),"❌ Account Not Found"))</f>
        <v/>
      </c>
      <c r="D195" s="256" t="str">
        <f t="shared" ca="1" si="21"/>
        <v/>
      </c>
      <c r="E195" s="257"/>
      <c r="F195" s="257"/>
      <c r="G195" s="256"/>
      <c r="H195" s="258">
        <v>2.5</v>
      </c>
      <c r="I195" s="256" t="str">
        <f t="shared" si="22"/>
        <v/>
      </c>
      <c r="J195" s="256" t="str">
        <f t="shared" si="23"/>
        <v/>
      </c>
      <c r="K195" s="256" t="str">
        <f>IF(B195="","Pending",IF(M195="","⚠️ Enter Code",IF(IFERROR(VLOOKUP(L195,DB_Agents!$B:$I,8,0),"")=M195,"Pending","🔒 BLOCKED — Wrong Code")))</f>
        <v>Pending</v>
      </c>
      <c r="L195" s="256" t="s">
        <v>135</v>
      </c>
      <c r="M195" s="252"/>
      <c r="N195" s="257"/>
    </row>
    <row r="196" spans="1:14" ht="18" customHeight="1" x14ac:dyDescent="0.25">
      <c r="A196" s="253" t="str">
        <f t="shared" si="20"/>
        <v/>
      </c>
      <c r="B196" s="254"/>
      <c r="C196" s="254" t="str">
        <f>IF(B196="","",IFERROR(VLOOKUP(B196,DB_Customers!$A:$D,4,0),"❌ Account Not Found"))</f>
        <v/>
      </c>
      <c r="D196" s="253" t="str">
        <f t="shared" ca="1" si="21"/>
        <v/>
      </c>
      <c r="E196" s="254"/>
      <c r="F196" s="254"/>
      <c r="G196" s="253"/>
      <c r="H196" s="255">
        <v>2.5</v>
      </c>
      <c r="I196" s="253" t="str">
        <f t="shared" si="22"/>
        <v/>
      </c>
      <c r="J196" s="253" t="str">
        <f t="shared" si="23"/>
        <v/>
      </c>
      <c r="K196" s="253" t="str">
        <f>IF(B196="","Pending",IF(M196="","⚠️ Enter Code",IF(IFERROR(VLOOKUP(L196,DB_Agents!$B:$I,8,0),"")=M196,"Pending","🔒 BLOCKED — Wrong Code")))</f>
        <v>Pending</v>
      </c>
      <c r="L196" s="253" t="s">
        <v>135</v>
      </c>
      <c r="M196" s="240"/>
      <c r="N196" s="254"/>
    </row>
    <row r="197" spans="1:14" ht="18" customHeight="1" x14ac:dyDescent="0.25">
      <c r="A197" s="256" t="str">
        <f t="shared" si="20"/>
        <v/>
      </c>
      <c r="B197" s="257"/>
      <c r="C197" s="257" t="str">
        <f>IF(B197="","",IFERROR(VLOOKUP(B197,DB_Customers!$A:$D,4,0),"❌ Account Not Found"))</f>
        <v/>
      </c>
      <c r="D197" s="256" t="str">
        <f t="shared" ca="1" si="21"/>
        <v/>
      </c>
      <c r="E197" s="257"/>
      <c r="F197" s="257"/>
      <c r="G197" s="256"/>
      <c r="H197" s="258">
        <v>2.5</v>
      </c>
      <c r="I197" s="256" t="str">
        <f t="shared" si="22"/>
        <v/>
      </c>
      <c r="J197" s="256" t="str">
        <f t="shared" si="23"/>
        <v/>
      </c>
      <c r="K197" s="256" t="str">
        <f>IF(B197="","Pending",IF(M197="","⚠️ Enter Code",IF(IFERROR(VLOOKUP(L197,DB_Agents!$B:$I,8,0),"")=M197,"Pending","🔒 BLOCKED — Wrong Code")))</f>
        <v>Pending</v>
      </c>
      <c r="L197" s="256" t="s">
        <v>135</v>
      </c>
      <c r="M197" s="252"/>
      <c r="N197" s="257"/>
    </row>
    <row r="198" spans="1:14" ht="18" customHeight="1" x14ac:dyDescent="0.25">
      <c r="A198" s="253" t="str">
        <f t="shared" si="20"/>
        <v/>
      </c>
      <c r="B198" s="254"/>
      <c r="C198" s="254" t="str">
        <f>IF(B198="","",IFERROR(VLOOKUP(B198,DB_Customers!$A:$D,4,0),"❌ Account Not Found"))</f>
        <v/>
      </c>
      <c r="D198" s="253" t="str">
        <f t="shared" ca="1" si="21"/>
        <v/>
      </c>
      <c r="E198" s="254"/>
      <c r="F198" s="254"/>
      <c r="G198" s="253"/>
      <c r="H198" s="255">
        <v>2.5</v>
      </c>
      <c r="I198" s="253" t="str">
        <f t="shared" si="22"/>
        <v/>
      </c>
      <c r="J198" s="253" t="str">
        <f t="shared" si="23"/>
        <v/>
      </c>
      <c r="K198" s="253" t="str">
        <f>IF(B198="","Pending",IF(M198="","⚠️ Enter Code",IF(IFERROR(VLOOKUP(L198,DB_Agents!$B:$I,8,0),"")=M198,"Pending","🔒 BLOCKED — Wrong Code")))</f>
        <v>Pending</v>
      </c>
      <c r="L198" s="253" t="s">
        <v>135</v>
      </c>
      <c r="M198" s="240"/>
      <c r="N198" s="254"/>
    </row>
    <row r="199" spans="1:14" ht="18" customHeight="1" x14ac:dyDescent="0.25">
      <c r="A199" s="256" t="str">
        <f t="shared" si="20"/>
        <v/>
      </c>
      <c r="B199" s="257"/>
      <c r="C199" s="257" t="str">
        <f>IF(B199="","",IFERROR(VLOOKUP(B199,DB_Customers!$A:$D,4,0),"❌ Account Not Found"))</f>
        <v/>
      </c>
      <c r="D199" s="256" t="str">
        <f t="shared" ca="1" si="21"/>
        <v/>
      </c>
      <c r="E199" s="257"/>
      <c r="F199" s="257"/>
      <c r="G199" s="256"/>
      <c r="H199" s="258">
        <v>2.5</v>
      </c>
      <c r="I199" s="256" t="str">
        <f t="shared" si="22"/>
        <v/>
      </c>
      <c r="J199" s="256" t="str">
        <f t="shared" si="23"/>
        <v/>
      </c>
      <c r="K199" s="256" t="str">
        <f>IF(B199="","Pending",IF(M199="","⚠️ Enter Code",IF(IFERROR(VLOOKUP(L199,DB_Agents!$B:$I,8,0),"")=M199,"Pending","🔒 BLOCKED — Wrong Code")))</f>
        <v>Pending</v>
      </c>
      <c r="L199" s="256" t="s">
        <v>135</v>
      </c>
      <c r="M199" s="252"/>
      <c r="N199" s="257"/>
    </row>
    <row r="200" spans="1:14" ht="18" customHeight="1" x14ac:dyDescent="0.25">
      <c r="A200" s="253" t="str">
        <f t="shared" si="20"/>
        <v/>
      </c>
      <c r="B200" s="254"/>
      <c r="C200" s="254" t="str">
        <f>IF(B200="","",IFERROR(VLOOKUP(B200,DB_Customers!$A:$D,4,0),"❌ Account Not Found"))</f>
        <v/>
      </c>
      <c r="D200" s="253" t="str">
        <f t="shared" ca="1" si="21"/>
        <v/>
      </c>
      <c r="E200" s="254"/>
      <c r="F200" s="254"/>
      <c r="G200" s="253"/>
      <c r="H200" s="255">
        <v>2.5</v>
      </c>
      <c r="I200" s="253" t="str">
        <f t="shared" si="22"/>
        <v/>
      </c>
      <c r="J200" s="253" t="str">
        <f t="shared" si="23"/>
        <v/>
      </c>
      <c r="K200" s="253" t="str">
        <f>IF(B200="","Pending",IF(M200="","⚠️ Enter Code",IF(IFERROR(VLOOKUP(L200,DB_Agents!$B:$I,8,0),"")=M200,"Pending","🔒 BLOCKED — Wrong Code")))</f>
        <v>Pending</v>
      </c>
      <c r="L200" s="253" t="s">
        <v>135</v>
      </c>
      <c r="M200" s="240"/>
      <c r="N200" s="254"/>
    </row>
    <row r="201" spans="1:14" ht="18" customHeight="1" x14ac:dyDescent="0.25">
      <c r="A201" s="256" t="str">
        <f t="shared" si="20"/>
        <v/>
      </c>
      <c r="B201" s="257"/>
      <c r="C201" s="257" t="str">
        <f>IF(B201="","",IFERROR(VLOOKUP(B201,DB_Customers!$A:$D,4,0),"❌ Account Not Found"))</f>
        <v/>
      </c>
      <c r="D201" s="256" t="str">
        <f t="shared" ca="1" si="21"/>
        <v/>
      </c>
      <c r="E201" s="257"/>
      <c r="F201" s="257"/>
      <c r="G201" s="256"/>
      <c r="H201" s="256">
        <v>2.5</v>
      </c>
      <c r="I201" s="256" t="str">
        <f t="shared" si="22"/>
        <v/>
      </c>
      <c r="J201" s="256" t="str">
        <f t="shared" si="23"/>
        <v/>
      </c>
      <c r="K201" s="256" t="str">
        <f>IF(B201="","Pending",IF(M201="","⚠️ Enter Code",IF(IFERROR(VLOOKUP(L201,DB_Agents!$B:$I,8,0),"")=M201,"Pending","🔒 BLOCKED — Wrong Code")))</f>
        <v>Pending</v>
      </c>
      <c r="L201" s="256" t="s">
        <v>135</v>
      </c>
      <c r="M201" s="252"/>
      <c r="N201" s="257"/>
    </row>
    <row r="202" spans="1:14" ht="18" customHeight="1" x14ac:dyDescent="0.25">
      <c r="A202" s="253" t="str">
        <f t="shared" si="20"/>
        <v/>
      </c>
      <c r="B202" s="254"/>
      <c r="C202" s="254" t="str">
        <f>IF(B202="","",IFERROR(VLOOKUP(B202,DB_Customers!$A:$D,4,0),"❌ Account Not Found"))</f>
        <v/>
      </c>
      <c r="D202" s="253" t="str">
        <f t="shared" ca="1" si="21"/>
        <v/>
      </c>
      <c r="E202" s="254"/>
      <c r="F202" s="254"/>
      <c r="G202" s="253"/>
      <c r="H202" s="253">
        <v>2.5</v>
      </c>
      <c r="I202" s="253" t="str">
        <f t="shared" si="22"/>
        <v/>
      </c>
      <c r="J202" s="253" t="str">
        <f t="shared" si="23"/>
        <v/>
      </c>
      <c r="K202" s="253" t="str">
        <f>IF(B202="","Pending",IF(M202="","⚠️ Enter Code",IF(IFERROR(VLOOKUP(L202,DB_Agents!$B:$I,8,0),"")=M202,"Pending","🔒 BLOCKED — Wrong Code")))</f>
        <v>Pending</v>
      </c>
      <c r="L202" s="253" t="s">
        <v>135</v>
      </c>
      <c r="M202" s="240"/>
      <c r="N202" s="254"/>
    </row>
    <row r="203" spans="1:14" ht="18" customHeight="1" x14ac:dyDescent="0.25">
      <c r="A203" s="256" t="str">
        <f t="shared" si="20"/>
        <v/>
      </c>
      <c r="B203" s="257"/>
      <c r="C203" s="257" t="str">
        <f>IF(B203="","",IFERROR(VLOOKUP(B203,DB_Customers!$A:$D,4,0),"❌ Account Not Found"))</f>
        <v/>
      </c>
      <c r="D203" s="256" t="str">
        <f t="shared" ca="1" si="21"/>
        <v/>
      </c>
      <c r="E203" s="257"/>
      <c r="F203" s="257"/>
      <c r="G203" s="256"/>
      <c r="H203" s="256">
        <v>2.5</v>
      </c>
      <c r="I203" s="256" t="str">
        <f t="shared" si="22"/>
        <v/>
      </c>
      <c r="J203" s="256" t="str">
        <f t="shared" si="23"/>
        <v/>
      </c>
      <c r="K203" s="256" t="str">
        <f>IF(B203="","Pending",IF(M203="","⚠️ Enter Code",IF(IFERROR(VLOOKUP(L203,DB_Agents!$B:$I,8,0),"")=M203,"Pending","🔒 BLOCKED — Wrong Code")))</f>
        <v>Pending</v>
      </c>
      <c r="L203" s="256" t="s">
        <v>135</v>
      </c>
      <c r="M203" s="252"/>
      <c r="N203" s="257"/>
    </row>
    <row r="204" spans="1:14" ht="18" customHeight="1" x14ac:dyDescent="0.25">
      <c r="A204" s="253" t="str">
        <f t="shared" si="20"/>
        <v/>
      </c>
      <c r="B204" s="254"/>
      <c r="C204" s="254" t="str">
        <f>IF(B204="","",IFERROR(VLOOKUP(B204,DB_Customers!$A:$D,4,0),"❌ Account Not Found"))</f>
        <v/>
      </c>
      <c r="D204" s="253" t="str">
        <f t="shared" ca="1" si="21"/>
        <v/>
      </c>
      <c r="E204" s="254"/>
      <c r="F204" s="254"/>
      <c r="G204" s="253"/>
      <c r="H204" s="253">
        <v>2.5</v>
      </c>
      <c r="I204" s="253" t="str">
        <f t="shared" si="22"/>
        <v/>
      </c>
      <c r="J204" s="253" t="str">
        <f t="shared" si="23"/>
        <v/>
      </c>
      <c r="K204" s="253" t="str">
        <f>IF(B204="","Pending",IF(M204="","⚠️ Enter Code",IF(IFERROR(VLOOKUP(L204,DB_Agents!$B:$I,8,0),"")=M204,"Pending","🔒 BLOCKED — Wrong Code")))</f>
        <v>Pending</v>
      </c>
      <c r="L204" s="253" t="s">
        <v>135</v>
      </c>
      <c r="M204" s="240"/>
      <c r="N204" s="254"/>
    </row>
    <row r="205" spans="1:14" ht="18" customHeight="1" x14ac:dyDescent="0.25">
      <c r="A205" s="256" t="str">
        <f t="shared" si="20"/>
        <v/>
      </c>
      <c r="B205" s="257"/>
      <c r="C205" s="257" t="str">
        <f>IF(B205="","",IFERROR(VLOOKUP(B205,DB_Customers!$A:$D,4,0),"❌ Account Not Found"))</f>
        <v/>
      </c>
      <c r="D205" s="256" t="str">
        <f t="shared" ca="1" si="21"/>
        <v/>
      </c>
      <c r="E205" s="257"/>
      <c r="F205" s="257"/>
      <c r="G205" s="256"/>
      <c r="H205" s="256">
        <v>2.5</v>
      </c>
      <c r="I205" s="256" t="str">
        <f t="shared" si="22"/>
        <v/>
      </c>
      <c r="J205" s="256" t="str">
        <f t="shared" si="23"/>
        <v/>
      </c>
      <c r="K205" s="256" t="str">
        <f>IF(B205="","Pending",IF(M205="","⚠️ Enter Code",IF(IFERROR(VLOOKUP(L205,DB_Agents!$B:$I,8,0),"")=M205,"Pending","🔒 BLOCKED — Wrong Code")))</f>
        <v>Pending</v>
      </c>
      <c r="L205" s="256" t="s">
        <v>135</v>
      </c>
      <c r="M205" s="252"/>
      <c r="N205" s="257"/>
    </row>
    <row r="206" spans="1:14" ht="18" customHeight="1" x14ac:dyDescent="0.25">
      <c r="A206" s="253" t="str">
        <f t="shared" ref="A206:A213" si="24">IF(B206="","",IF(C206="❌ Account Not Found","INVALID","LN"&amp;TEXT(D206,"YYYYMMDD")&amp;TEXT(ROW()-13,"0000")))</f>
        <v/>
      </c>
      <c r="B206" s="254"/>
      <c r="C206" s="254" t="str">
        <f>IF(B206="","",IFERROR(VLOOKUP(B206,DB_Customers!$A:$D,4,0),"❌ Account Not Found"))</f>
        <v/>
      </c>
      <c r="D206" s="253" t="str">
        <f t="shared" ref="D206:D213" ca="1" si="25">IF(B206="","",TODAY())</f>
        <v/>
      </c>
      <c r="E206" s="254"/>
      <c r="F206" s="254"/>
      <c r="G206" s="253"/>
      <c r="H206" s="253">
        <v>2.5</v>
      </c>
      <c r="I206" s="253" t="str">
        <f t="shared" ref="I206:I213" si="26">IF(E206="","",E206+(E206*H206/100*G206))</f>
        <v/>
      </c>
      <c r="J206" s="253" t="str">
        <f t="shared" ref="J206:J213" si="27">IFERROR(I206/G206,"")</f>
        <v/>
      </c>
      <c r="K206" s="253" t="str">
        <f>IF(B206="","Pending",IF(M206="","⚠️ Enter Code",IF(IFERROR(VLOOKUP(L206,DB_Agents!$B:$I,8,0),"")=M206,"Pending","🔒 BLOCKED — Wrong Code")))</f>
        <v>Pending</v>
      </c>
      <c r="L206" s="253" t="s">
        <v>135</v>
      </c>
      <c r="M206" s="240"/>
      <c r="N206" s="254"/>
    </row>
    <row r="207" spans="1:14" ht="18" customHeight="1" x14ac:dyDescent="0.25">
      <c r="A207" s="256" t="str">
        <f t="shared" si="24"/>
        <v/>
      </c>
      <c r="B207" s="257"/>
      <c r="C207" s="257" t="str">
        <f>IF(B207="","",IFERROR(VLOOKUP(B207,DB_Customers!$A:$D,4,0),"❌ Account Not Found"))</f>
        <v/>
      </c>
      <c r="D207" s="256" t="str">
        <f t="shared" ca="1" si="25"/>
        <v/>
      </c>
      <c r="E207" s="257"/>
      <c r="F207" s="257"/>
      <c r="G207" s="256"/>
      <c r="H207" s="256">
        <v>2.5</v>
      </c>
      <c r="I207" s="256" t="str">
        <f t="shared" si="26"/>
        <v/>
      </c>
      <c r="J207" s="256" t="str">
        <f t="shared" si="27"/>
        <v/>
      </c>
      <c r="K207" s="256" t="str">
        <f>IF(B207="","Pending",IF(M207="","⚠️ Enter Code",IF(IFERROR(VLOOKUP(L207,DB_Agents!$B:$I,8,0),"")=M207,"Pending","🔒 BLOCKED — Wrong Code")))</f>
        <v>Pending</v>
      </c>
      <c r="L207" s="256" t="s">
        <v>135</v>
      </c>
      <c r="M207" s="252"/>
      <c r="N207" s="257"/>
    </row>
    <row r="208" spans="1:14" ht="18" customHeight="1" x14ac:dyDescent="0.25">
      <c r="A208" s="253" t="str">
        <f t="shared" si="24"/>
        <v/>
      </c>
      <c r="B208" s="254"/>
      <c r="C208" s="254" t="str">
        <f>IF(B208="","",IFERROR(VLOOKUP(B208,DB_Customers!$A:$D,4,0),"❌ Account Not Found"))</f>
        <v/>
      </c>
      <c r="D208" s="253" t="str">
        <f t="shared" ca="1" si="25"/>
        <v/>
      </c>
      <c r="E208" s="254"/>
      <c r="F208" s="254"/>
      <c r="G208" s="253"/>
      <c r="H208" s="253">
        <v>2.5</v>
      </c>
      <c r="I208" s="253" t="str">
        <f t="shared" si="26"/>
        <v/>
      </c>
      <c r="J208" s="253" t="str">
        <f t="shared" si="27"/>
        <v/>
      </c>
      <c r="K208" s="253" t="str">
        <f>IF(B208="","Pending",IF(M208="","⚠️ Enter Code",IF(IFERROR(VLOOKUP(L208,DB_Agents!$B:$I,8,0),"")=M208,"Pending","🔒 BLOCKED — Wrong Code")))</f>
        <v>Pending</v>
      </c>
      <c r="L208" s="253" t="s">
        <v>135</v>
      </c>
      <c r="M208" s="240"/>
      <c r="N208" s="254"/>
    </row>
    <row r="209" spans="1:14" ht="18" customHeight="1" x14ac:dyDescent="0.25">
      <c r="A209" s="256" t="str">
        <f t="shared" si="24"/>
        <v/>
      </c>
      <c r="B209" s="257"/>
      <c r="C209" s="257" t="str">
        <f>IF(B209="","",IFERROR(VLOOKUP(B209,DB_Customers!$A:$D,4,0),"❌ Account Not Found"))</f>
        <v/>
      </c>
      <c r="D209" s="256" t="str">
        <f t="shared" ca="1" si="25"/>
        <v/>
      </c>
      <c r="E209" s="257"/>
      <c r="F209" s="257"/>
      <c r="G209" s="256"/>
      <c r="H209" s="256">
        <v>2.5</v>
      </c>
      <c r="I209" s="256" t="str">
        <f t="shared" si="26"/>
        <v/>
      </c>
      <c r="J209" s="256" t="str">
        <f t="shared" si="27"/>
        <v/>
      </c>
      <c r="K209" s="256" t="str">
        <f>IF(B209="","Pending",IF(M209="","⚠️ Enter Code",IF(IFERROR(VLOOKUP(L209,DB_Agents!$B:$I,8,0),"")=M209,"Pending","🔒 BLOCKED — Wrong Code")))</f>
        <v>Pending</v>
      </c>
      <c r="L209" s="256" t="s">
        <v>135</v>
      </c>
      <c r="M209" s="252"/>
      <c r="N209" s="257"/>
    </row>
    <row r="210" spans="1:14" ht="18" customHeight="1" x14ac:dyDescent="0.25">
      <c r="A210" s="253" t="str">
        <f t="shared" si="24"/>
        <v/>
      </c>
      <c r="B210" s="254"/>
      <c r="C210" s="254" t="str">
        <f>IF(B210="","",IFERROR(VLOOKUP(B210,DB_Customers!$A:$D,4,0),"❌ Account Not Found"))</f>
        <v/>
      </c>
      <c r="D210" s="253" t="str">
        <f t="shared" ca="1" si="25"/>
        <v/>
      </c>
      <c r="E210" s="254"/>
      <c r="F210" s="254"/>
      <c r="G210" s="253"/>
      <c r="H210" s="253">
        <v>2.5</v>
      </c>
      <c r="I210" s="253" t="str">
        <f t="shared" si="26"/>
        <v/>
      </c>
      <c r="J210" s="253" t="str">
        <f t="shared" si="27"/>
        <v/>
      </c>
      <c r="K210" s="253" t="str">
        <f>IF(B210="","Pending",IF(M210="","⚠️ Enter Code",IF(IFERROR(VLOOKUP(L210,DB_Agents!$B:$I,8,0),"")=M210,"Pending","🔒 BLOCKED — Wrong Code")))</f>
        <v>Pending</v>
      </c>
      <c r="L210" s="253" t="s">
        <v>135</v>
      </c>
      <c r="M210" s="240"/>
      <c r="N210" s="254"/>
    </row>
    <row r="211" spans="1:14" ht="18" customHeight="1" x14ac:dyDescent="0.25">
      <c r="A211" s="256" t="str">
        <f t="shared" si="24"/>
        <v/>
      </c>
      <c r="B211" s="257"/>
      <c r="C211" s="257" t="str">
        <f>IF(B211="","",IFERROR(VLOOKUP(B211,DB_Customers!$A:$D,4,0),"❌ Account Not Found"))</f>
        <v/>
      </c>
      <c r="D211" s="256" t="str">
        <f t="shared" ca="1" si="25"/>
        <v/>
      </c>
      <c r="E211" s="257"/>
      <c r="F211" s="257"/>
      <c r="G211" s="256"/>
      <c r="H211" s="256">
        <v>2.5</v>
      </c>
      <c r="I211" s="256" t="str">
        <f t="shared" si="26"/>
        <v/>
      </c>
      <c r="J211" s="256" t="str">
        <f t="shared" si="27"/>
        <v/>
      </c>
      <c r="K211" s="256" t="str">
        <f>IF(B211="","Pending",IF(M211="","⚠️ Enter Code",IF(IFERROR(VLOOKUP(L211,DB_Agents!$B:$I,8,0),"")=M211,"Pending","🔒 BLOCKED — Wrong Code")))</f>
        <v>Pending</v>
      </c>
      <c r="L211" s="256" t="s">
        <v>135</v>
      </c>
      <c r="M211" s="252"/>
      <c r="N211" s="257"/>
    </row>
    <row r="212" spans="1:14" ht="18" customHeight="1" x14ac:dyDescent="0.25">
      <c r="A212" s="253" t="str">
        <f t="shared" si="24"/>
        <v/>
      </c>
      <c r="B212" s="254"/>
      <c r="C212" s="254" t="str">
        <f>IF(B212="","",IFERROR(VLOOKUP(B212,DB_Customers!$A:$D,4,0),"❌ Account Not Found"))</f>
        <v/>
      </c>
      <c r="D212" s="253" t="str">
        <f t="shared" ca="1" si="25"/>
        <v/>
      </c>
      <c r="E212" s="254"/>
      <c r="F212" s="254"/>
      <c r="G212" s="253"/>
      <c r="H212" s="253">
        <v>2.5</v>
      </c>
      <c r="I212" s="253" t="str">
        <f t="shared" si="26"/>
        <v/>
      </c>
      <c r="J212" s="253" t="str">
        <f t="shared" si="27"/>
        <v/>
      </c>
      <c r="K212" s="253" t="str">
        <f>IF(B212="","Pending",IF(M212="","⚠️ Enter Code",IF(IFERROR(VLOOKUP(L212,DB_Agents!$B:$I,8,0),"")=M212,"Pending","🔒 BLOCKED — Wrong Code")))</f>
        <v>Pending</v>
      </c>
      <c r="L212" s="253" t="s">
        <v>135</v>
      </c>
      <c r="M212" s="240"/>
      <c r="N212" s="254"/>
    </row>
    <row r="213" spans="1:14" ht="18" customHeight="1" x14ac:dyDescent="0.25">
      <c r="A213" s="256" t="str">
        <f t="shared" si="24"/>
        <v/>
      </c>
      <c r="B213" s="257"/>
      <c r="C213" s="257" t="str">
        <f>IF(B213="","",IFERROR(VLOOKUP(B213,DB_Customers!$A:$D,4,0),"❌ Account Not Found"))</f>
        <v/>
      </c>
      <c r="D213" s="256" t="str">
        <f t="shared" ca="1" si="25"/>
        <v/>
      </c>
      <c r="E213" s="257"/>
      <c r="F213" s="257"/>
      <c r="G213" s="256"/>
      <c r="H213" s="256">
        <v>2.5</v>
      </c>
      <c r="I213" s="256" t="str">
        <f t="shared" si="26"/>
        <v/>
      </c>
      <c r="J213" s="256" t="str">
        <f t="shared" si="27"/>
        <v/>
      </c>
      <c r="K213" s="256" t="str">
        <f>IF(B213="","Pending",IF(M213="","⚠️ Enter Code",IF(IFERROR(VLOOKUP(L213,DB_Agents!$B:$I,8,0),"")=M213,"Pending","🔒 BLOCKED — Wrong Code")))</f>
        <v>Pending</v>
      </c>
      <c r="L213" s="256" t="s">
        <v>135</v>
      </c>
      <c r="M213" s="252"/>
      <c r="N213" s="257"/>
    </row>
  </sheetData>
  <conditionalFormatting sqref="K14:K113">
    <cfRule type="cellIs" dxfId="75" priority="2" operator="equal">
      <formula>"Approved"</formula>
    </cfRule>
    <cfRule type="cellIs" dxfId="74" priority="3" operator="equal">
      <formula>"Pending"</formula>
    </cfRule>
    <cfRule type="cellIs" dxfId="73" priority="4" operator="equal">
      <formula>"Rejected"</formula>
    </cfRule>
  </conditionalFormatting>
  <dataValidations count="2">
    <dataValidation type="whole" showErrorMessage="1" error="Enter 1-36 months" sqref="G14:G113" xr:uid="{00000000-0002-0000-1100-000000000000}">
      <formula1>1</formula1>
      <formula2>36</formula2>
    </dataValidation>
    <dataValidation type="list" sqref="L14:L113" xr:uid="{00000000-0002-0000-11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359" t="s">
        <v>353</v>
      </c>
      <c r="B1" s="265"/>
      <c r="C1" s="265"/>
      <c r="D1" s="265"/>
      <c r="E1" s="265"/>
      <c r="F1" s="265"/>
      <c r="G1" s="265"/>
      <c r="H1" s="265"/>
      <c r="I1" s="265"/>
      <c r="J1" s="265"/>
      <c r="K1" s="265"/>
      <c r="L1" s="265"/>
    </row>
    <row r="2" spans="1:12" ht="19.5" customHeight="1" x14ac:dyDescent="0.25">
      <c r="A2" s="357" t="s">
        <v>354</v>
      </c>
      <c r="B2" s="265"/>
      <c r="C2" s="265"/>
      <c r="D2" s="265"/>
      <c r="E2" s="265"/>
      <c r="F2" s="265"/>
      <c r="G2" s="265"/>
      <c r="H2" s="265"/>
      <c r="I2" s="265"/>
      <c r="J2" s="265"/>
      <c r="K2" s="265"/>
      <c r="L2" s="265"/>
    </row>
    <row r="3" spans="1:12" ht="18" customHeight="1" x14ac:dyDescent="0.25">
      <c r="A3" s="323" t="s">
        <v>311</v>
      </c>
      <c r="B3" s="265"/>
      <c r="C3" s="265"/>
      <c r="D3" s="324" t="s">
        <v>312</v>
      </c>
      <c r="E3" s="265"/>
      <c r="F3" s="265"/>
      <c r="G3" s="351" t="s">
        <v>313</v>
      </c>
      <c r="H3" s="265"/>
      <c r="I3" s="265"/>
      <c r="J3" s="265"/>
      <c r="K3" s="265"/>
      <c r="L3" s="265"/>
    </row>
    <row r="4" spans="1:12" ht="27.75" customHeight="1" x14ac:dyDescent="0.25">
      <c r="A4" s="363">
        <f ca="1">SUMIFS(DB_Savings!$F:$F,DB_Savings!$G:$G,"Agent 04",DB_Savings!$E:$E,TODAY())</f>
        <v>0</v>
      </c>
      <c r="B4" s="265"/>
      <c r="C4" s="265"/>
      <c r="D4" s="361">
        <f ca="1">COUNTIFS(DB_Savings!$G:$G,"Agent 04",DB_Savings!$E:$E,TODAY())</f>
        <v>0</v>
      </c>
      <c r="E4" s="265"/>
      <c r="F4" s="265"/>
      <c r="G4" s="362" t="str">
        <f ca="1">TEXT(TODAY(),"DDDD, DD MMMM YYYY")</f>
        <v>Friday, 24 April 2026</v>
      </c>
      <c r="H4" s="265"/>
      <c r="I4" s="265"/>
      <c r="J4" s="265"/>
      <c r="K4" s="265"/>
      <c r="L4" s="265"/>
    </row>
    <row r="5" spans="1:12" ht="21.75" customHeight="1" x14ac:dyDescent="0.25">
      <c r="A5" s="360" t="str">
        <f ca="1">IF(SUMIFS(DB_Savings!$F:$F,DB_Savings!$G:$G,"Agent 04",DB_Savings!$E:$E,TODAY())&gt;=J4,"✅ DAILY TARGET ACHIEVED! Well done Agent 04!","⏳ Collection in progress — Keep going! Remaining: GHC "&amp;TEXT(J4-SUMIFS(DB_Savings!$F:$F,DB_Savings!$G:$G,"Agent 04",DB_Savings!$E:$E,TODAY()),"#,##0.00"))</f>
        <v>✅ DAILY TARGET ACHIEVED! Well done Agent 04!</v>
      </c>
      <c r="B5" s="265"/>
      <c r="C5" s="265"/>
      <c r="D5" s="265"/>
      <c r="E5" s="265"/>
      <c r="F5" s="265"/>
      <c r="G5" s="265"/>
      <c r="H5" s="265"/>
      <c r="I5" s="265"/>
      <c r="J5" s="265"/>
      <c r="K5" s="265"/>
      <c r="L5" s="265"/>
    </row>
    <row r="6" spans="1:12" ht="7.5" customHeight="1" x14ac:dyDescent="0.25"/>
    <row r="7" spans="1:12" ht="19.5" customHeight="1" x14ac:dyDescent="0.25">
      <c r="A7" s="358" t="s">
        <v>314</v>
      </c>
      <c r="B7" s="265"/>
      <c r="C7" s="265"/>
      <c r="D7" s="265"/>
      <c r="E7" s="265"/>
      <c r="F7" s="265"/>
      <c r="G7" s="265"/>
      <c r="H7" s="265"/>
      <c r="I7" s="265"/>
      <c r="J7" s="265"/>
      <c r="K7" s="265"/>
      <c r="L7" s="265"/>
    </row>
    <row r="8" spans="1:12" ht="19.5" customHeight="1" x14ac:dyDescent="0.25">
      <c r="A8" s="36" t="s">
        <v>315</v>
      </c>
      <c r="B8" s="36" t="s">
        <v>77</v>
      </c>
      <c r="C8" s="36" t="s">
        <v>316</v>
      </c>
      <c r="D8" s="36" t="s">
        <v>78</v>
      </c>
      <c r="E8" s="36" t="s">
        <v>317</v>
      </c>
      <c r="F8" s="36" t="s">
        <v>318</v>
      </c>
      <c r="G8" s="36" t="s">
        <v>14</v>
      </c>
      <c r="H8" s="75" t="s">
        <v>319</v>
      </c>
      <c r="I8" s="36" t="s">
        <v>13</v>
      </c>
      <c r="J8" s="36" t="s">
        <v>320</v>
      </c>
      <c r="K8" s="36" t="s">
        <v>321</v>
      </c>
    </row>
    <row r="9" spans="1:12" ht="15" customHeight="1" x14ac:dyDescent="0.25">
      <c r="A9" s="76"/>
      <c r="B9" s="37" t="str">
        <f>IF(A9="","",IFERROR(VLOOKUP(A9,DB_Customers!$A:$D,4,0),"❌ Account Not Found"))</f>
        <v/>
      </c>
      <c r="C9" s="77" t="str">
        <f>IF(A9="","",IFERROR(IF(SUMIF(DB_Savings!$C:$C,A9,DB_Savings!$F:$F)=0,VLOOKUP(A9,DB_Customers!$A:$I,9,0),VLOOKUP(A9,DB_Customers!$A:$N,14,0)),"❌ Acct Not Found"))</f>
        <v/>
      </c>
      <c r="D9" s="78" t="str">
        <f t="shared" ref="D9:D40" ca="1" si="0">IF(A9="","",TODAY())</f>
        <v/>
      </c>
      <c r="E9" s="79"/>
      <c r="F9" s="80" t="str">
        <f t="shared" ref="F9:F40" si="1">IF(OR(A9="",E9=""),"",IF(C9="","",C9+E9))</f>
        <v/>
      </c>
      <c r="G9" s="39" t="s">
        <v>136</v>
      </c>
      <c r="H9" s="81"/>
      <c r="I9" s="82" t="str">
        <f>IF(A9="","Pending",IF(H9="","⚠️ Enter Agent Code",IF(IFERROR(VLOOKUP(G9,DB_Agents!$B:$I,8,0),"")=H9,IF(AND(A9&lt;&gt;"",E9&lt;&gt;""),"Saved","Pending"),"🔒 BLOCKED — Wrong Code")))</f>
        <v>Pending</v>
      </c>
      <c r="J9" s="83" t="str">
        <f t="shared" ref="J9:J40" ca="1" si="2">IF(I9="Saved",TEXT(TODAY(),"YYYY-MM-DD")&amp;" Auto","—")</f>
        <v>—</v>
      </c>
      <c r="K9" s="84"/>
    </row>
    <row r="10" spans="1:12" ht="15" customHeight="1" x14ac:dyDescent="0.25">
      <c r="A10" s="85"/>
      <c r="B10" s="41" t="str">
        <f>IF(A10="","",IFERROR(VLOOKUP(A10,DB_Customers!$A:$D,4,0),"❌ Account Not Found"))</f>
        <v/>
      </c>
      <c r="C10" s="86" t="str">
        <f>IF(A10="","",IFERROR(IF(SUMIF(DB_Savings!$C:$C,A10,DB_Savings!$F:$F)=0,VLOOKUP(A10,DB_Customers!$A:$I,9,0),VLOOKUP(A10,DB_Customers!$A:$N,14,0)),"❌ Acct Not Found"))</f>
        <v/>
      </c>
      <c r="D10" s="87" t="str">
        <f t="shared" ca="1" si="0"/>
        <v/>
      </c>
      <c r="E10" s="79"/>
      <c r="F10" s="88" t="str">
        <f t="shared" si="1"/>
        <v/>
      </c>
      <c r="G10" s="43" t="s">
        <v>136</v>
      </c>
      <c r="H10" s="81"/>
      <c r="I10" s="89" t="str">
        <f>IF(A10="","Pending",IF(H10="","⚠️ Enter Agent Code",IF(IFERROR(VLOOKUP(G10,DB_Agents!$B:$I,8,0),"")=H10,IF(AND(A10&lt;&gt;"",E10&lt;&gt;""),"Saved","Pending"),"🔒 BLOCKED — Wrong Code")))</f>
        <v>Pending</v>
      </c>
      <c r="J10" s="90" t="str">
        <f t="shared" ca="1" si="2"/>
        <v>—</v>
      </c>
      <c r="K10" s="91"/>
    </row>
    <row r="11" spans="1:12" ht="15" customHeight="1" x14ac:dyDescent="0.25">
      <c r="A11" s="76"/>
      <c r="B11" s="37" t="str">
        <f>IF(A11="","",IFERROR(VLOOKUP(A11,DB_Customers!$A:$D,4,0),"❌ Account Not Found"))</f>
        <v/>
      </c>
      <c r="C11" s="77" t="str">
        <f>IF(A11="","",IFERROR(IF(SUMIF(DB_Savings!$C:$C,A11,DB_Savings!$F:$F)=0,VLOOKUP(A11,DB_Customers!$A:$I,9,0),VLOOKUP(A11,DB_Customers!$A:$N,14,0)),"❌ Acct Not Found"))</f>
        <v/>
      </c>
      <c r="D11" s="78" t="str">
        <f t="shared" ca="1" si="0"/>
        <v/>
      </c>
      <c r="E11" s="79"/>
      <c r="F11" s="80" t="str">
        <f t="shared" si="1"/>
        <v/>
      </c>
      <c r="G11" s="39" t="s">
        <v>136</v>
      </c>
      <c r="H11" s="81"/>
      <c r="I11" s="82" t="str">
        <f>IF(A11="","Pending",IF(H11="","⚠️ Enter Agent Code",IF(IFERROR(VLOOKUP(G11,DB_Agents!$B:$I,8,0),"")=H11,IF(AND(A11&lt;&gt;"",E11&lt;&gt;""),"Saved","Pending"),"🔒 BLOCKED — Wrong Code")))</f>
        <v>Pending</v>
      </c>
      <c r="J11" s="83" t="str">
        <f t="shared" ca="1" si="2"/>
        <v>—</v>
      </c>
      <c r="K11" s="84"/>
    </row>
    <row r="12" spans="1:12" ht="15" customHeight="1" x14ac:dyDescent="0.25">
      <c r="A12" s="85"/>
      <c r="B12" s="41" t="str">
        <f>IF(A12="","",IFERROR(VLOOKUP(A12,DB_Customers!$A:$D,4,0),"❌ Account Not Found"))</f>
        <v/>
      </c>
      <c r="C12" s="86" t="str">
        <f>IF(A12="","",IFERROR(IF(SUMIF(DB_Savings!$C:$C,A12,DB_Savings!$F:$F)=0,VLOOKUP(A12,DB_Customers!$A:$I,9,0),VLOOKUP(A12,DB_Customers!$A:$N,14,0)),"❌ Acct Not Found"))</f>
        <v/>
      </c>
      <c r="D12" s="87" t="str">
        <f t="shared" ca="1" si="0"/>
        <v/>
      </c>
      <c r="E12" s="79"/>
      <c r="F12" s="88" t="str">
        <f t="shared" si="1"/>
        <v/>
      </c>
      <c r="G12" s="43" t="s">
        <v>136</v>
      </c>
      <c r="H12" s="81"/>
      <c r="I12" s="89" t="str">
        <f>IF(A12="","Pending",IF(H12="","⚠️ Enter Agent Code",IF(IFERROR(VLOOKUP(G12,DB_Agents!$B:$I,8,0),"")=H12,IF(AND(A12&lt;&gt;"",E12&lt;&gt;""),"Saved","Pending"),"🔒 BLOCKED — Wrong Code")))</f>
        <v>Pending</v>
      </c>
      <c r="J12" s="90" t="str">
        <f t="shared" ca="1" si="2"/>
        <v>—</v>
      </c>
      <c r="K12" s="91"/>
    </row>
    <row r="13" spans="1:12" ht="15" customHeight="1" x14ac:dyDescent="0.25">
      <c r="A13" s="76"/>
      <c r="B13" s="37" t="str">
        <f>IF(A13="","",IFERROR(VLOOKUP(A13,DB_Customers!$A:$D,4,0),"❌ Account Not Found"))</f>
        <v/>
      </c>
      <c r="C13" s="77" t="str">
        <f>IF(A13="","",IFERROR(IF(SUMIF(DB_Savings!$C:$C,A13,DB_Savings!$F:$F)=0,VLOOKUP(A13,DB_Customers!$A:$I,9,0),VLOOKUP(A13,DB_Customers!$A:$N,14,0)),"❌ Acct Not Found"))</f>
        <v/>
      </c>
      <c r="D13" s="78" t="str">
        <f t="shared" ca="1" si="0"/>
        <v/>
      </c>
      <c r="E13" s="79"/>
      <c r="F13" s="80" t="str">
        <f t="shared" si="1"/>
        <v/>
      </c>
      <c r="G13" s="39" t="s">
        <v>136</v>
      </c>
      <c r="H13" s="81"/>
      <c r="I13" s="82" t="str">
        <f>IF(A13="","Pending",IF(H13="","⚠️ Enter Agent Code",IF(IFERROR(VLOOKUP(G13,DB_Agents!$B:$I,8,0),"")=H13,IF(AND(A13&lt;&gt;"",E13&lt;&gt;""),"Saved","Pending"),"🔒 BLOCKED — Wrong Code")))</f>
        <v>Pending</v>
      </c>
      <c r="J13" s="83" t="str">
        <f t="shared" ca="1" si="2"/>
        <v>—</v>
      </c>
      <c r="K13" s="84"/>
    </row>
    <row r="14" spans="1:12" ht="15" customHeight="1" x14ac:dyDescent="0.25">
      <c r="A14" s="85"/>
      <c r="B14" s="41" t="str">
        <f>IF(A14="","",IFERROR(VLOOKUP(A14,DB_Customers!$A:$D,4,0),"❌ Account Not Found"))</f>
        <v/>
      </c>
      <c r="C14" s="86" t="str">
        <f>IF(A14="","",IFERROR(IF(SUMIF(DB_Savings!$C:$C,A14,DB_Savings!$F:$F)=0,VLOOKUP(A14,DB_Customers!$A:$I,9,0),VLOOKUP(A14,DB_Customers!$A:$N,14,0)),"❌ Acct Not Found"))</f>
        <v/>
      </c>
      <c r="D14" s="87" t="str">
        <f t="shared" ca="1" si="0"/>
        <v/>
      </c>
      <c r="E14" s="79"/>
      <c r="F14" s="88" t="str">
        <f t="shared" si="1"/>
        <v/>
      </c>
      <c r="G14" s="43" t="s">
        <v>136</v>
      </c>
      <c r="H14" s="81"/>
      <c r="I14" s="89" t="str">
        <f>IF(A14="","Pending",IF(H14="","⚠️ Enter Agent Code",IF(IFERROR(VLOOKUP(G14,DB_Agents!$B:$I,8,0),"")=H14,IF(AND(A14&lt;&gt;"",E14&lt;&gt;""),"Saved","Pending"),"🔒 BLOCKED — Wrong Code")))</f>
        <v>Pending</v>
      </c>
      <c r="J14" s="90" t="str">
        <f t="shared" ca="1" si="2"/>
        <v>—</v>
      </c>
      <c r="K14" s="91"/>
    </row>
    <row r="15" spans="1:12" ht="15" customHeight="1" x14ac:dyDescent="0.25">
      <c r="A15" s="76"/>
      <c r="B15" s="37" t="str">
        <f>IF(A15="","",IFERROR(VLOOKUP(A15,DB_Customers!$A:$D,4,0),"❌ Account Not Found"))</f>
        <v/>
      </c>
      <c r="C15" s="77" t="str">
        <f>IF(A15="","",IFERROR(IF(SUMIF(DB_Savings!$C:$C,A15,DB_Savings!$F:$F)=0,VLOOKUP(A15,DB_Customers!$A:$I,9,0),VLOOKUP(A15,DB_Customers!$A:$N,14,0)),"❌ Acct Not Found"))</f>
        <v/>
      </c>
      <c r="D15" s="78" t="str">
        <f t="shared" ca="1" si="0"/>
        <v/>
      </c>
      <c r="E15" s="79"/>
      <c r="F15" s="80" t="str">
        <f t="shared" si="1"/>
        <v/>
      </c>
      <c r="G15" s="39" t="s">
        <v>136</v>
      </c>
      <c r="H15" s="81"/>
      <c r="I15" s="82" t="str">
        <f>IF(A15="","Pending",IF(H15="","⚠️ Enter Agent Code",IF(IFERROR(VLOOKUP(G15,DB_Agents!$B:$I,8,0),"")=H15,IF(AND(A15&lt;&gt;"",E15&lt;&gt;""),"Saved","Pending"),"🔒 BLOCKED — Wrong Code")))</f>
        <v>Pending</v>
      </c>
      <c r="J15" s="83" t="str">
        <f t="shared" ca="1" si="2"/>
        <v>—</v>
      </c>
      <c r="K15" s="84"/>
    </row>
    <row r="16" spans="1:12" ht="15" customHeight="1" x14ac:dyDescent="0.25">
      <c r="A16" s="85"/>
      <c r="B16" s="41" t="str">
        <f>IF(A16="","",IFERROR(VLOOKUP(A16,DB_Customers!$A:$D,4,0),"❌ Account Not Found"))</f>
        <v/>
      </c>
      <c r="C16" s="86" t="str">
        <f>IF(A16="","",IFERROR(IF(SUMIF(DB_Savings!$C:$C,A16,DB_Savings!$F:$F)=0,VLOOKUP(A16,DB_Customers!$A:$I,9,0),VLOOKUP(A16,DB_Customers!$A:$N,14,0)),"❌ Acct Not Found"))</f>
        <v/>
      </c>
      <c r="D16" s="87" t="str">
        <f t="shared" ca="1" si="0"/>
        <v/>
      </c>
      <c r="E16" s="79"/>
      <c r="F16" s="88" t="str">
        <f t="shared" si="1"/>
        <v/>
      </c>
      <c r="G16" s="43" t="s">
        <v>136</v>
      </c>
      <c r="H16" s="81"/>
      <c r="I16" s="89" t="str">
        <f>IF(A16="","Pending",IF(H16="","⚠️ Enter Agent Code",IF(IFERROR(VLOOKUP(G16,DB_Agents!$B:$I,8,0),"")=H16,IF(AND(A16&lt;&gt;"",E16&lt;&gt;""),"Saved","Pending"),"🔒 BLOCKED — Wrong Code")))</f>
        <v>Pending</v>
      </c>
      <c r="J16" s="90" t="str">
        <f t="shared" ca="1" si="2"/>
        <v>—</v>
      </c>
      <c r="K16" s="91"/>
    </row>
    <row r="17" spans="1:11" ht="15" customHeight="1" x14ac:dyDescent="0.25">
      <c r="A17" s="76"/>
      <c r="B17" s="37" t="str">
        <f>IF(A17="","",IFERROR(VLOOKUP(A17,DB_Customers!$A:$D,4,0),"❌ Account Not Found"))</f>
        <v/>
      </c>
      <c r="C17" s="77" t="str">
        <f>IF(A17="","",IFERROR(IF(SUMIF(DB_Savings!$C:$C,A17,DB_Savings!$F:$F)=0,VLOOKUP(A17,DB_Customers!$A:$I,9,0),VLOOKUP(A17,DB_Customers!$A:$N,14,0)),"❌ Acct Not Found"))</f>
        <v/>
      </c>
      <c r="D17" s="78" t="str">
        <f t="shared" ca="1" si="0"/>
        <v/>
      </c>
      <c r="E17" s="79"/>
      <c r="F17" s="80" t="str">
        <f t="shared" si="1"/>
        <v/>
      </c>
      <c r="G17" s="39" t="s">
        <v>136</v>
      </c>
      <c r="H17" s="81"/>
      <c r="I17" s="82" t="str">
        <f>IF(A17="","Pending",IF(H17="","⚠️ Enter Agent Code",IF(IFERROR(VLOOKUP(G17,DB_Agents!$B:$I,8,0),"")=H17,IF(AND(A17&lt;&gt;"",E17&lt;&gt;""),"Saved","Pending"),"🔒 BLOCKED — Wrong Code")))</f>
        <v>Pending</v>
      </c>
      <c r="J17" s="83" t="str">
        <f t="shared" ca="1" si="2"/>
        <v>—</v>
      </c>
      <c r="K17" s="84"/>
    </row>
    <row r="18" spans="1:11" ht="15" customHeight="1" x14ac:dyDescent="0.25">
      <c r="A18" s="85"/>
      <c r="B18" s="41" t="str">
        <f>IF(A18="","",IFERROR(VLOOKUP(A18,DB_Customers!$A:$D,4,0),"❌ Account Not Found"))</f>
        <v/>
      </c>
      <c r="C18" s="86" t="str">
        <f>IF(A18="","",IFERROR(IF(SUMIF(DB_Savings!$C:$C,A18,DB_Savings!$F:$F)=0,VLOOKUP(A18,DB_Customers!$A:$I,9,0),VLOOKUP(A18,DB_Customers!$A:$N,14,0)),"❌ Acct Not Found"))</f>
        <v/>
      </c>
      <c r="D18" s="87" t="str">
        <f t="shared" ca="1" si="0"/>
        <v/>
      </c>
      <c r="E18" s="79"/>
      <c r="F18" s="88" t="str">
        <f t="shared" si="1"/>
        <v/>
      </c>
      <c r="G18" s="43" t="s">
        <v>136</v>
      </c>
      <c r="H18" s="81"/>
      <c r="I18" s="89" t="str">
        <f>IF(A18="","Pending",IF(H18="","⚠️ Enter Agent Code",IF(IFERROR(VLOOKUP(G18,DB_Agents!$B:$I,8,0),"")=H18,IF(AND(A18&lt;&gt;"",E18&lt;&gt;""),"Saved","Pending"),"🔒 BLOCKED — Wrong Code")))</f>
        <v>Pending</v>
      </c>
      <c r="J18" s="90" t="str">
        <f t="shared" ca="1" si="2"/>
        <v>—</v>
      </c>
      <c r="K18" s="91"/>
    </row>
    <row r="19" spans="1:11" ht="15" customHeight="1" x14ac:dyDescent="0.25">
      <c r="A19" s="76"/>
      <c r="B19" s="37" t="str">
        <f>IF(A19="","",IFERROR(VLOOKUP(A19,DB_Customers!$A:$D,4,0),"❌ Account Not Found"))</f>
        <v/>
      </c>
      <c r="C19" s="77" t="str">
        <f>IF(A19="","",IFERROR(IF(SUMIF(DB_Savings!$C:$C,A19,DB_Savings!$F:$F)=0,VLOOKUP(A19,DB_Customers!$A:$I,9,0),VLOOKUP(A19,DB_Customers!$A:$N,14,0)),"❌ Acct Not Found"))</f>
        <v/>
      </c>
      <c r="D19" s="78" t="str">
        <f t="shared" ca="1" si="0"/>
        <v/>
      </c>
      <c r="E19" s="79"/>
      <c r="F19" s="80" t="str">
        <f t="shared" si="1"/>
        <v/>
      </c>
      <c r="G19" s="39" t="s">
        <v>136</v>
      </c>
      <c r="H19" s="81"/>
      <c r="I19" s="82" t="str">
        <f>IF(A19="","Pending",IF(H19="","⚠️ Enter Agent Code",IF(IFERROR(VLOOKUP(G19,DB_Agents!$B:$I,8,0),"")=H19,IF(AND(A19&lt;&gt;"",E19&lt;&gt;""),"Saved","Pending"),"🔒 BLOCKED — Wrong Code")))</f>
        <v>Pending</v>
      </c>
      <c r="J19" s="83" t="str">
        <f t="shared" ca="1" si="2"/>
        <v>—</v>
      </c>
      <c r="K19" s="84"/>
    </row>
    <row r="20" spans="1:11" ht="15" customHeight="1" x14ac:dyDescent="0.25">
      <c r="A20" s="85"/>
      <c r="B20" s="41" t="str">
        <f>IF(A20="","",IFERROR(VLOOKUP(A20,DB_Customers!$A:$D,4,0),"❌ Account Not Found"))</f>
        <v/>
      </c>
      <c r="C20" s="86" t="str">
        <f>IF(A20="","",IFERROR(IF(SUMIF(DB_Savings!$C:$C,A20,DB_Savings!$F:$F)=0,VLOOKUP(A20,DB_Customers!$A:$I,9,0),VLOOKUP(A20,DB_Customers!$A:$N,14,0)),"❌ Acct Not Found"))</f>
        <v/>
      </c>
      <c r="D20" s="87" t="str">
        <f t="shared" ca="1" si="0"/>
        <v/>
      </c>
      <c r="E20" s="79"/>
      <c r="F20" s="88" t="str">
        <f t="shared" si="1"/>
        <v/>
      </c>
      <c r="G20" s="43" t="s">
        <v>136</v>
      </c>
      <c r="H20" s="81"/>
      <c r="I20" s="89" t="str">
        <f>IF(A20="","Pending",IF(H20="","⚠️ Enter Agent Code",IF(IFERROR(VLOOKUP(G20,DB_Agents!$B:$I,8,0),"")=H20,IF(AND(A20&lt;&gt;"",E20&lt;&gt;""),"Saved","Pending"),"🔒 BLOCKED — Wrong Code")))</f>
        <v>Pending</v>
      </c>
      <c r="J20" s="90" t="str">
        <f t="shared" ca="1" si="2"/>
        <v>—</v>
      </c>
      <c r="K20" s="91"/>
    </row>
    <row r="21" spans="1:11" ht="15" customHeight="1" x14ac:dyDescent="0.25">
      <c r="A21" s="76"/>
      <c r="B21" s="37" t="str">
        <f>IF(A21="","",IFERROR(VLOOKUP(A21,DB_Customers!$A:$D,4,0),"❌ Account Not Found"))</f>
        <v/>
      </c>
      <c r="C21" s="77" t="str">
        <f>IF(A21="","",IFERROR(IF(SUMIF(DB_Savings!$C:$C,A21,DB_Savings!$F:$F)=0,VLOOKUP(A21,DB_Customers!$A:$I,9,0),VLOOKUP(A21,DB_Customers!$A:$N,14,0)),"❌ Acct Not Found"))</f>
        <v/>
      </c>
      <c r="D21" s="78" t="str">
        <f t="shared" ca="1" si="0"/>
        <v/>
      </c>
      <c r="E21" s="79"/>
      <c r="F21" s="80" t="str">
        <f t="shared" si="1"/>
        <v/>
      </c>
      <c r="G21" s="39" t="s">
        <v>136</v>
      </c>
      <c r="H21" s="81"/>
      <c r="I21" s="82" t="str">
        <f>IF(A21="","Pending",IF(H21="","⚠️ Enter Agent Code",IF(IFERROR(VLOOKUP(G21,DB_Agents!$B:$I,8,0),"")=H21,IF(AND(A21&lt;&gt;"",E21&lt;&gt;""),"Saved","Pending"),"🔒 BLOCKED — Wrong Code")))</f>
        <v>Pending</v>
      </c>
      <c r="J21" s="83" t="str">
        <f t="shared" ca="1" si="2"/>
        <v>—</v>
      </c>
      <c r="K21" s="84"/>
    </row>
    <row r="22" spans="1:11" ht="15" customHeight="1" x14ac:dyDescent="0.25">
      <c r="A22" s="85"/>
      <c r="B22" s="41" t="str">
        <f>IF(A22="","",IFERROR(VLOOKUP(A22,DB_Customers!$A:$D,4,0),"❌ Account Not Found"))</f>
        <v/>
      </c>
      <c r="C22" s="86" t="str">
        <f>IF(A22="","",IFERROR(IF(SUMIF(DB_Savings!$C:$C,A22,DB_Savings!$F:$F)=0,VLOOKUP(A22,DB_Customers!$A:$I,9,0),VLOOKUP(A22,DB_Customers!$A:$N,14,0)),"❌ Acct Not Found"))</f>
        <v/>
      </c>
      <c r="D22" s="87" t="str">
        <f t="shared" ca="1" si="0"/>
        <v/>
      </c>
      <c r="E22" s="79"/>
      <c r="F22" s="88" t="str">
        <f t="shared" si="1"/>
        <v/>
      </c>
      <c r="G22" s="43" t="s">
        <v>136</v>
      </c>
      <c r="H22" s="81"/>
      <c r="I22" s="89" t="str">
        <f>IF(A22="","Pending",IF(H22="","⚠️ Enter Agent Code",IF(IFERROR(VLOOKUP(G22,DB_Agents!$B:$I,8,0),"")=H22,IF(AND(A22&lt;&gt;"",E22&lt;&gt;""),"Saved","Pending"),"🔒 BLOCKED — Wrong Code")))</f>
        <v>Pending</v>
      </c>
      <c r="J22" s="90" t="str">
        <f t="shared" ca="1" si="2"/>
        <v>—</v>
      </c>
      <c r="K22" s="91"/>
    </row>
    <row r="23" spans="1:11" ht="15" customHeight="1" x14ac:dyDescent="0.25">
      <c r="A23" s="76"/>
      <c r="B23" s="37" t="str">
        <f>IF(A23="","",IFERROR(VLOOKUP(A23,DB_Customers!$A:$D,4,0),"❌ Account Not Found"))</f>
        <v/>
      </c>
      <c r="C23" s="77" t="str">
        <f>IF(A23="","",IFERROR(IF(SUMIF(DB_Savings!$C:$C,A23,DB_Savings!$F:$F)=0,VLOOKUP(A23,DB_Customers!$A:$I,9,0),VLOOKUP(A23,DB_Customers!$A:$N,14,0)),"❌ Acct Not Found"))</f>
        <v/>
      </c>
      <c r="D23" s="78" t="str">
        <f t="shared" ca="1" si="0"/>
        <v/>
      </c>
      <c r="E23" s="79"/>
      <c r="F23" s="80" t="str">
        <f t="shared" si="1"/>
        <v/>
      </c>
      <c r="G23" s="39" t="s">
        <v>136</v>
      </c>
      <c r="H23" s="81"/>
      <c r="I23" s="82" t="str">
        <f>IF(A23="","Pending",IF(H23="","⚠️ Enter Agent Code",IF(IFERROR(VLOOKUP(G23,DB_Agents!$B:$I,8,0),"")=H23,IF(AND(A23&lt;&gt;"",E23&lt;&gt;""),"Saved","Pending"),"🔒 BLOCKED — Wrong Code")))</f>
        <v>Pending</v>
      </c>
      <c r="J23" s="83" t="str">
        <f t="shared" ca="1" si="2"/>
        <v>—</v>
      </c>
      <c r="K23" s="84"/>
    </row>
    <row r="24" spans="1:11" ht="15" customHeight="1" x14ac:dyDescent="0.25">
      <c r="A24" s="85"/>
      <c r="B24" s="41" t="str">
        <f>IF(A24="","",IFERROR(VLOOKUP(A24,DB_Customers!$A:$D,4,0),"❌ Account Not Found"))</f>
        <v/>
      </c>
      <c r="C24" s="86" t="str">
        <f>IF(A24="","",IFERROR(IF(SUMIF(DB_Savings!$C:$C,A24,DB_Savings!$F:$F)=0,VLOOKUP(A24,DB_Customers!$A:$I,9,0),VLOOKUP(A24,DB_Customers!$A:$N,14,0)),"❌ Acct Not Found"))</f>
        <v/>
      </c>
      <c r="D24" s="87" t="str">
        <f t="shared" ca="1" si="0"/>
        <v/>
      </c>
      <c r="E24" s="79"/>
      <c r="F24" s="88" t="str">
        <f t="shared" si="1"/>
        <v/>
      </c>
      <c r="G24" s="43" t="s">
        <v>136</v>
      </c>
      <c r="H24" s="81"/>
      <c r="I24" s="89" t="str">
        <f>IF(A24="","Pending",IF(H24="","⚠️ Enter Agent Code",IF(IFERROR(VLOOKUP(G24,DB_Agents!$B:$I,8,0),"")=H24,IF(AND(A24&lt;&gt;"",E24&lt;&gt;""),"Saved","Pending"),"🔒 BLOCKED — Wrong Code")))</f>
        <v>Pending</v>
      </c>
      <c r="J24" s="90" t="str">
        <f t="shared" ca="1" si="2"/>
        <v>—</v>
      </c>
      <c r="K24" s="91"/>
    </row>
    <row r="25" spans="1:11" ht="15" customHeight="1" x14ac:dyDescent="0.25">
      <c r="A25" s="76"/>
      <c r="B25" s="37" t="str">
        <f>IF(A25="","",IFERROR(VLOOKUP(A25,DB_Customers!$A:$D,4,0),"❌ Account Not Found"))</f>
        <v/>
      </c>
      <c r="C25" s="77" t="str">
        <f>IF(A25="","",IFERROR(IF(SUMIF(DB_Savings!$C:$C,A25,DB_Savings!$F:$F)=0,VLOOKUP(A25,DB_Customers!$A:$I,9,0),VLOOKUP(A25,DB_Customers!$A:$N,14,0)),"❌ Acct Not Found"))</f>
        <v/>
      </c>
      <c r="D25" s="78" t="str">
        <f t="shared" ca="1" si="0"/>
        <v/>
      </c>
      <c r="E25" s="79"/>
      <c r="F25" s="80" t="str">
        <f t="shared" si="1"/>
        <v/>
      </c>
      <c r="G25" s="39" t="s">
        <v>136</v>
      </c>
      <c r="H25" s="81"/>
      <c r="I25" s="82" t="str">
        <f>IF(A25="","Pending",IF(H25="","⚠️ Enter Agent Code",IF(IFERROR(VLOOKUP(G25,DB_Agents!$B:$I,8,0),"")=H25,IF(AND(A25&lt;&gt;"",E25&lt;&gt;""),"Saved","Pending"),"🔒 BLOCKED — Wrong Code")))</f>
        <v>Pending</v>
      </c>
      <c r="J25" s="83" t="str">
        <f t="shared" ca="1" si="2"/>
        <v>—</v>
      </c>
      <c r="K25" s="84"/>
    </row>
    <row r="26" spans="1:11" ht="15" customHeight="1" x14ac:dyDescent="0.25">
      <c r="A26" s="85"/>
      <c r="B26" s="41" t="str">
        <f>IF(A26="","",IFERROR(VLOOKUP(A26,DB_Customers!$A:$D,4,0),"❌ Account Not Found"))</f>
        <v/>
      </c>
      <c r="C26" s="86" t="str">
        <f>IF(A26="","",IFERROR(IF(SUMIF(DB_Savings!$C:$C,A26,DB_Savings!$F:$F)=0,VLOOKUP(A26,DB_Customers!$A:$I,9,0),VLOOKUP(A26,DB_Customers!$A:$N,14,0)),"❌ Acct Not Found"))</f>
        <v/>
      </c>
      <c r="D26" s="87" t="str">
        <f t="shared" ca="1" si="0"/>
        <v/>
      </c>
      <c r="E26" s="79"/>
      <c r="F26" s="88" t="str">
        <f t="shared" si="1"/>
        <v/>
      </c>
      <c r="G26" s="43" t="s">
        <v>136</v>
      </c>
      <c r="H26" s="81"/>
      <c r="I26" s="89" t="str">
        <f>IF(A26="","Pending",IF(H26="","⚠️ Enter Agent Code",IF(IFERROR(VLOOKUP(G26,DB_Agents!$B:$I,8,0),"")=H26,IF(AND(A26&lt;&gt;"",E26&lt;&gt;""),"Saved","Pending"),"🔒 BLOCKED — Wrong Code")))</f>
        <v>Pending</v>
      </c>
      <c r="J26" s="90" t="str">
        <f t="shared" ca="1" si="2"/>
        <v>—</v>
      </c>
      <c r="K26" s="91"/>
    </row>
    <row r="27" spans="1:11" ht="15" customHeight="1" x14ac:dyDescent="0.25">
      <c r="A27" s="76"/>
      <c r="B27" s="37" t="str">
        <f>IF(A27="","",IFERROR(VLOOKUP(A27,DB_Customers!$A:$D,4,0),"❌ Account Not Found"))</f>
        <v/>
      </c>
      <c r="C27" s="77" t="str">
        <f>IF(A27="","",IFERROR(IF(SUMIF(DB_Savings!$C:$C,A27,DB_Savings!$F:$F)=0,VLOOKUP(A27,DB_Customers!$A:$I,9,0),VLOOKUP(A27,DB_Customers!$A:$N,14,0)),"❌ Acct Not Found"))</f>
        <v/>
      </c>
      <c r="D27" s="78" t="str">
        <f t="shared" ca="1" si="0"/>
        <v/>
      </c>
      <c r="E27" s="79"/>
      <c r="F27" s="80" t="str">
        <f t="shared" si="1"/>
        <v/>
      </c>
      <c r="G27" s="39" t="s">
        <v>136</v>
      </c>
      <c r="H27" s="81"/>
      <c r="I27" s="82" t="str">
        <f>IF(A27="","Pending",IF(H27="","⚠️ Enter Agent Code",IF(IFERROR(VLOOKUP(G27,DB_Agents!$B:$I,8,0),"")=H27,IF(AND(A27&lt;&gt;"",E27&lt;&gt;""),"Saved","Pending"),"🔒 BLOCKED — Wrong Code")))</f>
        <v>Pending</v>
      </c>
      <c r="J27" s="83" t="str">
        <f t="shared" ca="1" si="2"/>
        <v>—</v>
      </c>
      <c r="K27" s="84"/>
    </row>
    <row r="28" spans="1:11" ht="15" customHeight="1" x14ac:dyDescent="0.25">
      <c r="A28" s="85"/>
      <c r="B28" s="41" t="str">
        <f>IF(A28="","",IFERROR(VLOOKUP(A28,DB_Customers!$A:$D,4,0),"❌ Account Not Found"))</f>
        <v/>
      </c>
      <c r="C28" s="86" t="str">
        <f>IF(A28="","",IFERROR(IF(SUMIF(DB_Savings!$C:$C,A28,DB_Savings!$F:$F)=0,VLOOKUP(A28,DB_Customers!$A:$I,9,0),VLOOKUP(A28,DB_Customers!$A:$N,14,0)),"❌ Acct Not Found"))</f>
        <v/>
      </c>
      <c r="D28" s="87" t="str">
        <f t="shared" ca="1" si="0"/>
        <v/>
      </c>
      <c r="E28" s="79"/>
      <c r="F28" s="88" t="str">
        <f t="shared" si="1"/>
        <v/>
      </c>
      <c r="G28" s="43" t="s">
        <v>136</v>
      </c>
      <c r="H28" s="81"/>
      <c r="I28" s="89" t="str">
        <f>IF(A28="","Pending",IF(H28="","⚠️ Enter Agent Code",IF(IFERROR(VLOOKUP(G28,DB_Agents!$B:$I,8,0),"")=H28,IF(AND(A28&lt;&gt;"",E28&lt;&gt;""),"Saved","Pending"),"🔒 BLOCKED — Wrong Code")))</f>
        <v>Pending</v>
      </c>
      <c r="J28" s="90" t="str">
        <f t="shared" ca="1" si="2"/>
        <v>—</v>
      </c>
      <c r="K28" s="91"/>
    </row>
    <row r="29" spans="1:11" ht="15" customHeight="1" x14ac:dyDescent="0.25">
      <c r="A29" s="76"/>
      <c r="B29" s="37" t="str">
        <f>IF(A29="","",IFERROR(VLOOKUP(A29,DB_Customers!$A:$D,4,0),"❌ Account Not Found"))</f>
        <v/>
      </c>
      <c r="C29" s="77" t="str">
        <f>IF(A29="","",IFERROR(IF(SUMIF(DB_Savings!$C:$C,A29,DB_Savings!$F:$F)=0,VLOOKUP(A29,DB_Customers!$A:$I,9,0),VLOOKUP(A29,DB_Customers!$A:$N,14,0)),"❌ Acct Not Found"))</f>
        <v/>
      </c>
      <c r="D29" s="78" t="str">
        <f t="shared" ca="1" si="0"/>
        <v/>
      </c>
      <c r="E29" s="79"/>
      <c r="F29" s="80" t="str">
        <f t="shared" si="1"/>
        <v/>
      </c>
      <c r="G29" s="39" t="s">
        <v>136</v>
      </c>
      <c r="H29" s="81"/>
      <c r="I29" s="82" t="str">
        <f>IF(A29="","Pending",IF(H29="","⚠️ Enter Agent Code",IF(IFERROR(VLOOKUP(G29,DB_Agents!$B:$I,8,0),"")=H29,IF(AND(A29&lt;&gt;"",E29&lt;&gt;""),"Saved","Pending"),"🔒 BLOCKED — Wrong Code")))</f>
        <v>Pending</v>
      </c>
      <c r="J29" s="83" t="str">
        <f t="shared" ca="1" si="2"/>
        <v>—</v>
      </c>
      <c r="K29" s="84"/>
    </row>
    <row r="30" spans="1:11" ht="15" customHeight="1" x14ac:dyDescent="0.25">
      <c r="A30" s="85"/>
      <c r="B30" s="41" t="str">
        <f>IF(A30="","",IFERROR(VLOOKUP(A30,DB_Customers!$A:$D,4,0),"❌ Account Not Found"))</f>
        <v/>
      </c>
      <c r="C30" s="86" t="str">
        <f>IF(A30="","",IFERROR(IF(SUMIF(DB_Savings!$C:$C,A30,DB_Savings!$F:$F)=0,VLOOKUP(A30,DB_Customers!$A:$I,9,0),VLOOKUP(A30,DB_Customers!$A:$N,14,0)),"❌ Acct Not Found"))</f>
        <v/>
      </c>
      <c r="D30" s="87" t="str">
        <f t="shared" ca="1" si="0"/>
        <v/>
      </c>
      <c r="E30" s="79"/>
      <c r="F30" s="88" t="str">
        <f t="shared" si="1"/>
        <v/>
      </c>
      <c r="G30" s="43" t="s">
        <v>136</v>
      </c>
      <c r="H30" s="81"/>
      <c r="I30" s="89" t="str">
        <f>IF(A30="","Pending",IF(H30="","⚠️ Enter Agent Code",IF(IFERROR(VLOOKUP(G30,DB_Agents!$B:$I,8,0),"")=H30,IF(AND(A30&lt;&gt;"",E30&lt;&gt;""),"Saved","Pending"),"🔒 BLOCKED — Wrong Code")))</f>
        <v>Pending</v>
      </c>
      <c r="J30" s="90" t="str">
        <f t="shared" ca="1" si="2"/>
        <v>—</v>
      </c>
      <c r="K30" s="91"/>
    </row>
    <row r="31" spans="1:11" ht="15" customHeight="1" x14ac:dyDescent="0.25">
      <c r="A31" s="76"/>
      <c r="B31" s="37" t="str">
        <f>IF(A31="","",IFERROR(VLOOKUP(A31,DB_Customers!$A:$D,4,0),"❌ Account Not Found"))</f>
        <v/>
      </c>
      <c r="C31" s="77" t="str">
        <f>IF(A31="","",IFERROR(IF(SUMIF(DB_Savings!$C:$C,A31,DB_Savings!$F:$F)=0,VLOOKUP(A31,DB_Customers!$A:$I,9,0),VLOOKUP(A31,DB_Customers!$A:$N,14,0)),"❌ Acct Not Found"))</f>
        <v/>
      </c>
      <c r="D31" s="78" t="str">
        <f t="shared" ca="1" si="0"/>
        <v/>
      </c>
      <c r="E31" s="79"/>
      <c r="F31" s="80" t="str">
        <f t="shared" si="1"/>
        <v/>
      </c>
      <c r="G31" s="39" t="s">
        <v>136</v>
      </c>
      <c r="H31" s="81"/>
      <c r="I31" s="82" t="str">
        <f>IF(A31="","Pending",IF(H31="","⚠️ Enter Agent Code",IF(IFERROR(VLOOKUP(G31,DB_Agents!$B:$I,8,0),"")=H31,IF(AND(A31&lt;&gt;"",E31&lt;&gt;""),"Saved","Pending"),"🔒 BLOCKED — Wrong Code")))</f>
        <v>Pending</v>
      </c>
      <c r="J31" s="83" t="str">
        <f t="shared" ca="1" si="2"/>
        <v>—</v>
      </c>
      <c r="K31" s="84"/>
    </row>
    <row r="32" spans="1:11" ht="15" customHeight="1" x14ac:dyDescent="0.25">
      <c r="A32" s="85"/>
      <c r="B32" s="41" t="str">
        <f>IF(A32="","",IFERROR(VLOOKUP(A32,DB_Customers!$A:$D,4,0),"❌ Account Not Found"))</f>
        <v/>
      </c>
      <c r="C32" s="86" t="str">
        <f>IF(A32="","",IFERROR(IF(SUMIF(DB_Savings!$C:$C,A32,DB_Savings!$F:$F)=0,VLOOKUP(A32,DB_Customers!$A:$I,9,0),VLOOKUP(A32,DB_Customers!$A:$N,14,0)),"❌ Acct Not Found"))</f>
        <v/>
      </c>
      <c r="D32" s="87" t="str">
        <f t="shared" ca="1" si="0"/>
        <v/>
      </c>
      <c r="E32" s="79"/>
      <c r="F32" s="88" t="str">
        <f t="shared" si="1"/>
        <v/>
      </c>
      <c r="G32" s="43" t="s">
        <v>136</v>
      </c>
      <c r="H32" s="81"/>
      <c r="I32" s="89" t="str">
        <f>IF(A32="","Pending",IF(H32="","⚠️ Enter Agent Code",IF(IFERROR(VLOOKUP(G32,DB_Agents!$B:$I,8,0),"")=H32,IF(AND(A32&lt;&gt;"",E32&lt;&gt;""),"Saved","Pending"),"🔒 BLOCKED — Wrong Code")))</f>
        <v>Pending</v>
      </c>
      <c r="J32" s="90" t="str">
        <f t="shared" ca="1" si="2"/>
        <v>—</v>
      </c>
      <c r="K32" s="91"/>
    </row>
    <row r="33" spans="1:11" ht="15" customHeight="1" x14ac:dyDescent="0.25">
      <c r="A33" s="76"/>
      <c r="B33" s="37" t="str">
        <f>IF(A33="","",IFERROR(VLOOKUP(A33,DB_Customers!$A:$D,4,0),"❌ Account Not Found"))</f>
        <v/>
      </c>
      <c r="C33" s="77" t="str">
        <f>IF(A33="","",IFERROR(IF(SUMIF(DB_Savings!$C:$C,A33,DB_Savings!$F:$F)=0,VLOOKUP(A33,DB_Customers!$A:$I,9,0),VLOOKUP(A33,DB_Customers!$A:$N,14,0)),"❌ Acct Not Found"))</f>
        <v/>
      </c>
      <c r="D33" s="78" t="str">
        <f t="shared" ca="1" si="0"/>
        <v/>
      </c>
      <c r="E33" s="79"/>
      <c r="F33" s="80" t="str">
        <f t="shared" si="1"/>
        <v/>
      </c>
      <c r="G33" s="39" t="s">
        <v>136</v>
      </c>
      <c r="H33" s="81"/>
      <c r="I33" s="82" t="str">
        <f>IF(A33="","Pending",IF(H33="","⚠️ Enter Agent Code",IF(IFERROR(VLOOKUP(G33,DB_Agents!$B:$I,8,0),"")=H33,IF(AND(A33&lt;&gt;"",E33&lt;&gt;""),"Saved","Pending"),"🔒 BLOCKED — Wrong Code")))</f>
        <v>Pending</v>
      </c>
      <c r="J33" s="83" t="str">
        <f t="shared" ca="1" si="2"/>
        <v>—</v>
      </c>
      <c r="K33" s="84"/>
    </row>
    <row r="34" spans="1:11" ht="15" customHeight="1" x14ac:dyDescent="0.25">
      <c r="A34" s="85"/>
      <c r="B34" s="41" t="str">
        <f>IF(A34="","",IFERROR(VLOOKUP(A34,DB_Customers!$A:$D,4,0),"❌ Account Not Found"))</f>
        <v/>
      </c>
      <c r="C34" s="86" t="str">
        <f>IF(A34="","",IFERROR(IF(SUMIF(DB_Savings!$C:$C,A34,DB_Savings!$F:$F)=0,VLOOKUP(A34,DB_Customers!$A:$I,9,0),VLOOKUP(A34,DB_Customers!$A:$N,14,0)),"❌ Acct Not Found"))</f>
        <v/>
      </c>
      <c r="D34" s="87" t="str">
        <f t="shared" ca="1" si="0"/>
        <v/>
      </c>
      <c r="E34" s="79"/>
      <c r="F34" s="88" t="str">
        <f t="shared" si="1"/>
        <v/>
      </c>
      <c r="G34" s="43" t="s">
        <v>136</v>
      </c>
      <c r="H34" s="81"/>
      <c r="I34" s="89" t="str">
        <f>IF(A34="","Pending",IF(H34="","⚠️ Enter Agent Code",IF(IFERROR(VLOOKUP(G34,DB_Agents!$B:$I,8,0),"")=H34,IF(AND(A34&lt;&gt;"",E34&lt;&gt;""),"Saved","Pending"),"🔒 BLOCKED — Wrong Code")))</f>
        <v>Pending</v>
      </c>
      <c r="J34" s="90" t="str">
        <f t="shared" ca="1" si="2"/>
        <v>—</v>
      </c>
      <c r="K34" s="91"/>
    </row>
    <row r="35" spans="1:11" ht="15" customHeight="1" x14ac:dyDescent="0.25">
      <c r="A35" s="76"/>
      <c r="B35" s="37" t="str">
        <f>IF(A35="","",IFERROR(VLOOKUP(A35,DB_Customers!$A:$D,4,0),"❌ Account Not Found"))</f>
        <v/>
      </c>
      <c r="C35" s="77" t="str">
        <f>IF(A35="","",IFERROR(IF(SUMIF(DB_Savings!$C:$C,A35,DB_Savings!$F:$F)=0,VLOOKUP(A35,DB_Customers!$A:$I,9,0),VLOOKUP(A35,DB_Customers!$A:$N,14,0)),"❌ Acct Not Found"))</f>
        <v/>
      </c>
      <c r="D35" s="78" t="str">
        <f t="shared" ca="1" si="0"/>
        <v/>
      </c>
      <c r="E35" s="79"/>
      <c r="F35" s="80" t="str">
        <f t="shared" si="1"/>
        <v/>
      </c>
      <c r="G35" s="39" t="s">
        <v>136</v>
      </c>
      <c r="H35" s="81"/>
      <c r="I35" s="82" t="str">
        <f>IF(A35="","Pending",IF(H35="","⚠️ Enter Agent Code",IF(IFERROR(VLOOKUP(G35,DB_Agents!$B:$I,8,0),"")=H35,IF(AND(A35&lt;&gt;"",E35&lt;&gt;""),"Saved","Pending"),"🔒 BLOCKED — Wrong Code")))</f>
        <v>Pending</v>
      </c>
      <c r="J35" s="83" t="str">
        <f t="shared" ca="1" si="2"/>
        <v>—</v>
      </c>
      <c r="K35" s="84"/>
    </row>
    <row r="36" spans="1:11" ht="15" customHeight="1" x14ac:dyDescent="0.25">
      <c r="A36" s="85"/>
      <c r="B36" s="41" t="str">
        <f>IF(A36="","",IFERROR(VLOOKUP(A36,DB_Customers!$A:$D,4,0),"❌ Account Not Found"))</f>
        <v/>
      </c>
      <c r="C36" s="86" t="str">
        <f>IF(A36="","",IFERROR(IF(SUMIF(DB_Savings!$C:$C,A36,DB_Savings!$F:$F)=0,VLOOKUP(A36,DB_Customers!$A:$I,9,0),VLOOKUP(A36,DB_Customers!$A:$N,14,0)),"❌ Acct Not Found"))</f>
        <v/>
      </c>
      <c r="D36" s="87" t="str">
        <f t="shared" ca="1" si="0"/>
        <v/>
      </c>
      <c r="E36" s="79"/>
      <c r="F36" s="88" t="str">
        <f t="shared" si="1"/>
        <v/>
      </c>
      <c r="G36" s="43" t="s">
        <v>136</v>
      </c>
      <c r="H36" s="81"/>
      <c r="I36" s="89" t="str">
        <f>IF(A36="","Pending",IF(H36="","⚠️ Enter Agent Code",IF(IFERROR(VLOOKUP(G36,DB_Agents!$B:$I,8,0),"")=H36,IF(AND(A36&lt;&gt;"",E36&lt;&gt;""),"Saved","Pending"),"🔒 BLOCKED — Wrong Code")))</f>
        <v>Pending</v>
      </c>
      <c r="J36" s="90" t="str">
        <f t="shared" ca="1" si="2"/>
        <v>—</v>
      </c>
      <c r="K36" s="91"/>
    </row>
    <row r="37" spans="1:11" ht="15" customHeight="1" x14ac:dyDescent="0.25">
      <c r="A37" s="76"/>
      <c r="B37" s="37" t="str">
        <f>IF(A37="","",IFERROR(VLOOKUP(A37,DB_Customers!$A:$D,4,0),"❌ Account Not Found"))</f>
        <v/>
      </c>
      <c r="C37" s="77" t="str">
        <f>IF(A37="","",IFERROR(IF(SUMIF(DB_Savings!$C:$C,A37,DB_Savings!$F:$F)=0,VLOOKUP(A37,DB_Customers!$A:$I,9,0),VLOOKUP(A37,DB_Customers!$A:$N,14,0)),"❌ Acct Not Found"))</f>
        <v/>
      </c>
      <c r="D37" s="78" t="str">
        <f t="shared" ca="1" si="0"/>
        <v/>
      </c>
      <c r="E37" s="79"/>
      <c r="F37" s="80" t="str">
        <f t="shared" si="1"/>
        <v/>
      </c>
      <c r="G37" s="39" t="s">
        <v>136</v>
      </c>
      <c r="H37" s="81"/>
      <c r="I37" s="82" t="str">
        <f>IF(A37="","Pending",IF(H37="","⚠️ Enter Agent Code",IF(IFERROR(VLOOKUP(G37,DB_Agents!$B:$I,8,0),"")=H37,IF(AND(A37&lt;&gt;"",E37&lt;&gt;""),"Saved","Pending"),"🔒 BLOCKED — Wrong Code")))</f>
        <v>Pending</v>
      </c>
      <c r="J37" s="83" t="str">
        <f t="shared" ca="1" si="2"/>
        <v>—</v>
      </c>
      <c r="K37" s="84"/>
    </row>
    <row r="38" spans="1:11" ht="15" customHeight="1" x14ac:dyDescent="0.25">
      <c r="A38" s="85"/>
      <c r="B38" s="41" t="str">
        <f>IF(A38="","",IFERROR(VLOOKUP(A38,DB_Customers!$A:$D,4,0),"❌ Account Not Found"))</f>
        <v/>
      </c>
      <c r="C38" s="86" t="str">
        <f>IF(A38="","",IFERROR(IF(SUMIF(DB_Savings!$C:$C,A38,DB_Savings!$F:$F)=0,VLOOKUP(A38,DB_Customers!$A:$I,9,0),VLOOKUP(A38,DB_Customers!$A:$N,14,0)),"❌ Acct Not Found"))</f>
        <v/>
      </c>
      <c r="D38" s="87" t="str">
        <f t="shared" ca="1" si="0"/>
        <v/>
      </c>
      <c r="E38" s="79"/>
      <c r="F38" s="88" t="str">
        <f t="shared" si="1"/>
        <v/>
      </c>
      <c r="G38" s="43" t="s">
        <v>136</v>
      </c>
      <c r="H38" s="81"/>
      <c r="I38" s="89" t="str">
        <f>IF(A38="","Pending",IF(H38="","⚠️ Enter Agent Code",IF(IFERROR(VLOOKUP(G38,DB_Agents!$B:$I,8,0),"")=H38,IF(AND(A38&lt;&gt;"",E38&lt;&gt;""),"Saved","Pending"),"🔒 BLOCKED — Wrong Code")))</f>
        <v>Pending</v>
      </c>
      <c r="J38" s="90" t="str">
        <f t="shared" ca="1" si="2"/>
        <v>—</v>
      </c>
      <c r="K38" s="91"/>
    </row>
    <row r="39" spans="1:11" ht="15" customHeight="1" x14ac:dyDescent="0.25">
      <c r="A39" s="76"/>
      <c r="B39" s="37" t="str">
        <f>IF(A39="","",IFERROR(VLOOKUP(A39,DB_Customers!$A:$D,4,0),"❌ Account Not Found"))</f>
        <v/>
      </c>
      <c r="C39" s="77" t="str">
        <f>IF(A39="","",IFERROR(IF(SUMIF(DB_Savings!$C:$C,A39,DB_Savings!$F:$F)=0,VLOOKUP(A39,DB_Customers!$A:$I,9,0),VLOOKUP(A39,DB_Customers!$A:$N,14,0)),"❌ Acct Not Found"))</f>
        <v/>
      </c>
      <c r="D39" s="78" t="str">
        <f t="shared" ca="1" si="0"/>
        <v/>
      </c>
      <c r="E39" s="79"/>
      <c r="F39" s="80" t="str">
        <f t="shared" si="1"/>
        <v/>
      </c>
      <c r="G39" s="39" t="s">
        <v>136</v>
      </c>
      <c r="H39" s="81"/>
      <c r="I39" s="82" t="str">
        <f>IF(A39="","Pending",IF(H39="","⚠️ Enter Agent Code",IF(IFERROR(VLOOKUP(G39,DB_Agents!$B:$I,8,0),"")=H39,IF(AND(A39&lt;&gt;"",E39&lt;&gt;""),"Saved","Pending"),"🔒 BLOCKED — Wrong Code")))</f>
        <v>Pending</v>
      </c>
      <c r="J39" s="83" t="str">
        <f t="shared" ca="1" si="2"/>
        <v>—</v>
      </c>
      <c r="K39" s="84"/>
    </row>
    <row r="40" spans="1:11" ht="15" customHeight="1" x14ac:dyDescent="0.25">
      <c r="A40" s="85"/>
      <c r="B40" s="41" t="str">
        <f>IF(A40="","",IFERROR(VLOOKUP(A40,DB_Customers!$A:$D,4,0),"❌ Account Not Found"))</f>
        <v/>
      </c>
      <c r="C40" s="86" t="str">
        <f>IF(A40="","",IFERROR(IF(SUMIF(DB_Savings!$C:$C,A40,DB_Savings!$F:$F)=0,VLOOKUP(A40,DB_Customers!$A:$I,9,0),VLOOKUP(A40,DB_Customers!$A:$N,14,0)),"❌ Acct Not Found"))</f>
        <v/>
      </c>
      <c r="D40" s="87" t="str">
        <f t="shared" ca="1" si="0"/>
        <v/>
      </c>
      <c r="E40" s="79"/>
      <c r="F40" s="88" t="str">
        <f t="shared" si="1"/>
        <v/>
      </c>
      <c r="G40" s="43" t="s">
        <v>136</v>
      </c>
      <c r="H40" s="81"/>
      <c r="I40" s="89" t="str">
        <f>IF(A40="","Pending",IF(H40="","⚠️ Enter Agent Code",IF(IFERROR(VLOOKUP(G40,DB_Agents!$B:$I,8,0),"")=H40,IF(AND(A40&lt;&gt;"",E40&lt;&gt;""),"Saved","Pending"),"🔒 BLOCKED — Wrong Code")))</f>
        <v>Pending</v>
      </c>
      <c r="J40" s="90" t="str">
        <f t="shared" ca="1" si="2"/>
        <v>—</v>
      </c>
      <c r="K40" s="91"/>
    </row>
    <row r="41" spans="1:11" ht="15" customHeight="1" x14ac:dyDescent="0.25">
      <c r="A41" s="76"/>
      <c r="B41" s="37" t="str">
        <f>IF(A41="","",IFERROR(VLOOKUP(A41,DB_Customers!$A:$D,4,0),"❌ Account Not Found"))</f>
        <v/>
      </c>
      <c r="C41" s="77" t="str">
        <f>IF(A41="","",IFERROR(IF(SUMIF(DB_Savings!$C:$C,A41,DB_Savings!$F:$F)=0,VLOOKUP(A41,DB_Customers!$A:$I,9,0),VLOOKUP(A41,DB_Customers!$A:$N,14,0)),"❌ Acct Not Found"))</f>
        <v/>
      </c>
      <c r="D41" s="78" t="str">
        <f t="shared" ref="D41:D72" ca="1" si="3">IF(A41="","",TODAY())</f>
        <v/>
      </c>
      <c r="E41" s="79"/>
      <c r="F41" s="80" t="str">
        <f t="shared" ref="F41:F72" si="4">IF(OR(A41="",E41=""),"",IF(C41="","",C41+E41))</f>
        <v/>
      </c>
      <c r="G41" s="39" t="s">
        <v>136</v>
      </c>
      <c r="H41" s="81"/>
      <c r="I41" s="82" t="str">
        <f>IF(A41="","Pending",IF(H41="","⚠️ Enter Agent Code",IF(IFERROR(VLOOKUP(G41,DB_Agents!$B:$I,8,0),"")=H41,IF(AND(A41&lt;&gt;"",E41&lt;&gt;""),"Saved","Pending"),"🔒 BLOCKED — Wrong Code")))</f>
        <v>Pending</v>
      </c>
      <c r="J41" s="83" t="str">
        <f t="shared" ref="J41:J72" ca="1" si="5">IF(I41="Saved",TEXT(TODAY(),"YYYY-MM-DD")&amp;" Auto","—")</f>
        <v>—</v>
      </c>
      <c r="K41" s="84"/>
    </row>
    <row r="42" spans="1:11" ht="15" customHeight="1" x14ac:dyDescent="0.25">
      <c r="A42" s="85"/>
      <c r="B42" s="41" t="str">
        <f>IF(A42="","",IFERROR(VLOOKUP(A42,DB_Customers!$A:$D,4,0),"❌ Account Not Found"))</f>
        <v/>
      </c>
      <c r="C42" s="86" t="str">
        <f>IF(A42="","",IFERROR(IF(SUMIF(DB_Savings!$C:$C,A42,DB_Savings!$F:$F)=0,VLOOKUP(A42,DB_Customers!$A:$I,9,0),VLOOKUP(A42,DB_Customers!$A:$N,14,0)),"❌ Acct Not Found"))</f>
        <v/>
      </c>
      <c r="D42" s="87" t="str">
        <f t="shared" ca="1" si="3"/>
        <v/>
      </c>
      <c r="E42" s="79"/>
      <c r="F42" s="88" t="str">
        <f t="shared" si="4"/>
        <v/>
      </c>
      <c r="G42" s="43" t="s">
        <v>136</v>
      </c>
      <c r="H42" s="81"/>
      <c r="I42" s="89" t="str">
        <f>IF(A42="","Pending",IF(H42="","⚠️ Enter Agent Code",IF(IFERROR(VLOOKUP(G42,DB_Agents!$B:$I,8,0),"")=H42,IF(AND(A42&lt;&gt;"",E42&lt;&gt;""),"Saved","Pending"),"🔒 BLOCKED — Wrong Code")))</f>
        <v>Pending</v>
      </c>
      <c r="J42" s="90" t="str">
        <f t="shared" ca="1" si="5"/>
        <v>—</v>
      </c>
      <c r="K42" s="91"/>
    </row>
    <row r="43" spans="1:11" ht="15" customHeight="1" x14ac:dyDescent="0.25">
      <c r="A43" s="76"/>
      <c r="B43" s="37" t="str">
        <f>IF(A43="","",IFERROR(VLOOKUP(A43,DB_Customers!$A:$D,4,0),"❌ Account Not Found"))</f>
        <v/>
      </c>
      <c r="C43" s="77" t="str">
        <f>IF(A43="","",IFERROR(IF(SUMIF(DB_Savings!$C:$C,A43,DB_Savings!$F:$F)=0,VLOOKUP(A43,DB_Customers!$A:$I,9,0),VLOOKUP(A43,DB_Customers!$A:$N,14,0)),"❌ Acct Not Found"))</f>
        <v/>
      </c>
      <c r="D43" s="78" t="str">
        <f t="shared" ca="1" si="3"/>
        <v/>
      </c>
      <c r="E43" s="79"/>
      <c r="F43" s="80" t="str">
        <f t="shared" si="4"/>
        <v/>
      </c>
      <c r="G43" s="39" t="s">
        <v>136</v>
      </c>
      <c r="H43" s="81"/>
      <c r="I43" s="82" t="str">
        <f>IF(A43="","Pending",IF(H43="","⚠️ Enter Agent Code",IF(IFERROR(VLOOKUP(G43,DB_Agents!$B:$I,8,0),"")=H43,IF(AND(A43&lt;&gt;"",E43&lt;&gt;""),"Saved","Pending"),"🔒 BLOCKED — Wrong Code")))</f>
        <v>Pending</v>
      </c>
      <c r="J43" s="83" t="str">
        <f t="shared" ca="1" si="5"/>
        <v>—</v>
      </c>
      <c r="K43" s="84"/>
    </row>
    <row r="44" spans="1:11" ht="15" customHeight="1" x14ac:dyDescent="0.25">
      <c r="A44" s="85"/>
      <c r="B44" s="41" t="str">
        <f>IF(A44="","",IFERROR(VLOOKUP(A44,DB_Customers!$A:$D,4,0),"❌ Account Not Found"))</f>
        <v/>
      </c>
      <c r="C44" s="86" t="str">
        <f>IF(A44="","",IFERROR(IF(SUMIF(DB_Savings!$C:$C,A44,DB_Savings!$F:$F)=0,VLOOKUP(A44,DB_Customers!$A:$I,9,0),VLOOKUP(A44,DB_Customers!$A:$N,14,0)),"❌ Acct Not Found"))</f>
        <v/>
      </c>
      <c r="D44" s="87" t="str">
        <f t="shared" ca="1" si="3"/>
        <v/>
      </c>
      <c r="E44" s="79"/>
      <c r="F44" s="88" t="str">
        <f t="shared" si="4"/>
        <v/>
      </c>
      <c r="G44" s="43" t="s">
        <v>136</v>
      </c>
      <c r="H44" s="81"/>
      <c r="I44" s="89" t="str">
        <f>IF(A44="","Pending",IF(H44="","⚠️ Enter Agent Code",IF(IFERROR(VLOOKUP(G44,DB_Agents!$B:$I,8,0),"")=H44,IF(AND(A44&lt;&gt;"",E44&lt;&gt;""),"Saved","Pending"),"🔒 BLOCKED — Wrong Code")))</f>
        <v>Pending</v>
      </c>
      <c r="J44" s="90" t="str">
        <f t="shared" ca="1" si="5"/>
        <v>—</v>
      </c>
      <c r="K44" s="91"/>
    </row>
    <row r="45" spans="1:11" ht="15" customHeight="1" x14ac:dyDescent="0.25">
      <c r="A45" s="76"/>
      <c r="B45" s="37" t="str">
        <f>IF(A45="","",IFERROR(VLOOKUP(A45,DB_Customers!$A:$D,4,0),"❌ Account Not Found"))</f>
        <v/>
      </c>
      <c r="C45" s="77" t="str">
        <f>IF(A45="","",IFERROR(IF(SUMIF(DB_Savings!$C:$C,A45,DB_Savings!$F:$F)=0,VLOOKUP(A45,DB_Customers!$A:$I,9,0),VLOOKUP(A45,DB_Customers!$A:$N,14,0)),"❌ Acct Not Found"))</f>
        <v/>
      </c>
      <c r="D45" s="78" t="str">
        <f t="shared" ca="1" si="3"/>
        <v/>
      </c>
      <c r="E45" s="79"/>
      <c r="F45" s="80" t="str">
        <f t="shared" si="4"/>
        <v/>
      </c>
      <c r="G45" s="39" t="s">
        <v>136</v>
      </c>
      <c r="H45" s="81"/>
      <c r="I45" s="82" t="str">
        <f>IF(A45="","Pending",IF(H45="","⚠️ Enter Agent Code",IF(IFERROR(VLOOKUP(G45,DB_Agents!$B:$I,8,0),"")=H45,IF(AND(A45&lt;&gt;"",E45&lt;&gt;""),"Saved","Pending"),"🔒 BLOCKED — Wrong Code")))</f>
        <v>Pending</v>
      </c>
      <c r="J45" s="83" t="str">
        <f t="shared" ca="1" si="5"/>
        <v>—</v>
      </c>
      <c r="K45" s="84"/>
    </row>
    <row r="46" spans="1:11" ht="15" customHeight="1" x14ac:dyDescent="0.25">
      <c r="A46" s="85"/>
      <c r="B46" s="41" t="str">
        <f>IF(A46="","",IFERROR(VLOOKUP(A46,DB_Customers!$A:$D,4,0),"❌ Account Not Found"))</f>
        <v/>
      </c>
      <c r="C46" s="86" t="str">
        <f>IF(A46="","",IFERROR(IF(SUMIF(DB_Savings!$C:$C,A46,DB_Savings!$F:$F)=0,VLOOKUP(A46,DB_Customers!$A:$I,9,0),VLOOKUP(A46,DB_Customers!$A:$N,14,0)),"❌ Acct Not Found"))</f>
        <v/>
      </c>
      <c r="D46" s="87" t="str">
        <f t="shared" ca="1" si="3"/>
        <v/>
      </c>
      <c r="E46" s="79"/>
      <c r="F46" s="88" t="str">
        <f t="shared" si="4"/>
        <v/>
      </c>
      <c r="G46" s="43" t="s">
        <v>136</v>
      </c>
      <c r="H46" s="81"/>
      <c r="I46" s="89" t="str">
        <f>IF(A46="","Pending",IF(H46="","⚠️ Enter Agent Code",IF(IFERROR(VLOOKUP(G46,DB_Agents!$B:$I,8,0),"")=H46,IF(AND(A46&lt;&gt;"",E46&lt;&gt;""),"Saved","Pending"),"🔒 BLOCKED — Wrong Code")))</f>
        <v>Pending</v>
      </c>
      <c r="J46" s="90" t="str">
        <f t="shared" ca="1" si="5"/>
        <v>—</v>
      </c>
      <c r="K46" s="91"/>
    </row>
    <row r="47" spans="1:11" ht="15" customHeight="1" x14ac:dyDescent="0.25">
      <c r="A47" s="76"/>
      <c r="B47" s="37" t="str">
        <f>IF(A47="","",IFERROR(VLOOKUP(A47,DB_Customers!$A:$D,4,0),"❌ Account Not Found"))</f>
        <v/>
      </c>
      <c r="C47" s="77" t="str">
        <f>IF(A47="","",IFERROR(IF(SUMIF(DB_Savings!$C:$C,A47,DB_Savings!$F:$F)=0,VLOOKUP(A47,DB_Customers!$A:$I,9,0),VLOOKUP(A47,DB_Customers!$A:$N,14,0)),"❌ Acct Not Found"))</f>
        <v/>
      </c>
      <c r="D47" s="78" t="str">
        <f t="shared" ca="1" si="3"/>
        <v/>
      </c>
      <c r="E47" s="79"/>
      <c r="F47" s="80" t="str">
        <f t="shared" si="4"/>
        <v/>
      </c>
      <c r="G47" s="39" t="s">
        <v>136</v>
      </c>
      <c r="H47" s="81"/>
      <c r="I47" s="82" t="str">
        <f>IF(A47="","Pending",IF(H47="","⚠️ Enter Agent Code",IF(IFERROR(VLOOKUP(G47,DB_Agents!$B:$I,8,0),"")=H47,IF(AND(A47&lt;&gt;"",E47&lt;&gt;""),"Saved","Pending"),"🔒 BLOCKED — Wrong Code")))</f>
        <v>Pending</v>
      </c>
      <c r="J47" s="83" t="str">
        <f t="shared" ca="1" si="5"/>
        <v>—</v>
      </c>
      <c r="K47" s="84"/>
    </row>
    <row r="48" spans="1:11" ht="15" customHeight="1" x14ac:dyDescent="0.25">
      <c r="A48" s="85"/>
      <c r="B48" s="41" t="str">
        <f>IF(A48="","",IFERROR(VLOOKUP(A48,DB_Customers!$A:$D,4,0),"❌ Account Not Found"))</f>
        <v/>
      </c>
      <c r="C48" s="86" t="str">
        <f>IF(A48="","",IFERROR(IF(SUMIF(DB_Savings!$C:$C,A48,DB_Savings!$F:$F)=0,VLOOKUP(A48,DB_Customers!$A:$I,9,0),VLOOKUP(A48,DB_Customers!$A:$N,14,0)),"❌ Acct Not Found"))</f>
        <v/>
      </c>
      <c r="D48" s="87" t="str">
        <f t="shared" ca="1" si="3"/>
        <v/>
      </c>
      <c r="E48" s="79"/>
      <c r="F48" s="88" t="str">
        <f t="shared" si="4"/>
        <v/>
      </c>
      <c r="G48" s="43" t="s">
        <v>136</v>
      </c>
      <c r="H48" s="81"/>
      <c r="I48" s="89" t="str">
        <f>IF(A48="","Pending",IF(H48="","⚠️ Enter Agent Code",IF(IFERROR(VLOOKUP(G48,DB_Agents!$B:$I,8,0),"")=H48,IF(AND(A48&lt;&gt;"",E48&lt;&gt;""),"Saved","Pending"),"🔒 BLOCKED — Wrong Code")))</f>
        <v>Pending</v>
      </c>
      <c r="J48" s="90" t="str">
        <f t="shared" ca="1" si="5"/>
        <v>—</v>
      </c>
      <c r="K48" s="91"/>
    </row>
    <row r="49" spans="1:11" ht="15" customHeight="1" x14ac:dyDescent="0.25">
      <c r="A49" s="76"/>
      <c r="B49" s="37" t="str">
        <f>IF(A49="","",IFERROR(VLOOKUP(A49,DB_Customers!$A:$D,4,0),"❌ Account Not Found"))</f>
        <v/>
      </c>
      <c r="C49" s="77" t="str">
        <f>IF(A49="","",IFERROR(IF(SUMIF(DB_Savings!$C:$C,A49,DB_Savings!$F:$F)=0,VLOOKUP(A49,DB_Customers!$A:$I,9,0),VLOOKUP(A49,DB_Customers!$A:$N,14,0)),"❌ Acct Not Found"))</f>
        <v/>
      </c>
      <c r="D49" s="78" t="str">
        <f t="shared" ca="1" si="3"/>
        <v/>
      </c>
      <c r="E49" s="79"/>
      <c r="F49" s="80" t="str">
        <f t="shared" si="4"/>
        <v/>
      </c>
      <c r="G49" s="39" t="s">
        <v>136</v>
      </c>
      <c r="H49" s="81"/>
      <c r="I49" s="82" t="str">
        <f>IF(A49="","Pending",IF(H49="","⚠️ Enter Agent Code",IF(IFERROR(VLOOKUP(G49,DB_Agents!$B:$I,8,0),"")=H49,IF(AND(A49&lt;&gt;"",E49&lt;&gt;""),"Saved","Pending"),"🔒 BLOCKED — Wrong Code")))</f>
        <v>Pending</v>
      </c>
      <c r="J49" s="83" t="str">
        <f t="shared" ca="1" si="5"/>
        <v>—</v>
      </c>
      <c r="K49" s="84"/>
    </row>
    <row r="50" spans="1:11" ht="15" customHeight="1" x14ac:dyDescent="0.25">
      <c r="A50" s="85"/>
      <c r="B50" s="41" t="str">
        <f>IF(A50="","",IFERROR(VLOOKUP(A50,DB_Customers!$A:$D,4,0),"❌ Account Not Found"))</f>
        <v/>
      </c>
      <c r="C50" s="86" t="str">
        <f>IF(A50="","",IFERROR(IF(SUMIF(DB_Savings!$C:$C,A50,DB_Savings!$F:$F)=0,VLOOKUP(A50,DB_Customers!$A:$I,9,0),VLOOKUP(A50,DB_Customers!$A:$N,14,0)),"❌ Acct Not Found"))</f>
        <v/>
      </c>
      <c r="D50" s="87" t="str">
        <f t="shared" ca="1" si="3"/>
        <v/>
      </c>
      <c r="E50" s="79"/>
      <c r="F50" s="88" t="str">
        <f t="shared" si="4"/>
        <v/>
      </c>
      <c r="G50" s="43" t="s">
        <v>136</v>
      </c>
      <c r="H50" s="81"/>
      <c r="I50" s="89" t="str">
        <f>IF(A50="","Pending",IF(H50="","⚠️ Enter Agent Code",IF(IFERROR(VLOOKUP(G50,DB_Agents!$B:$I,8,0),"")=H50,IF(AND(A50&lt;&gt;"",E50&lt;&gt;""),"Saved","Pending"),"🔒 BLOCKED — Wrong Code")))</f>
        <v>Pending</v>
      </c>
      <c r="J50" s="90" t="str">
        <f t="shared" ca="1" si="5"/>
        <v>—</v>
      </c>
      <c r="K50" s="91"/>
    </row>
    <row r="51" spans="1:11" ht="15" customHeight="1" x14ac:dyDescent="0.25">
      <c r="A51" s="76"/>
      <c r="B51" s="37" t="str">
        <f>IF(A51="","",IFERROR(VLOOKUP(A51,DB_Customers!$A:$D,4,0),"❌ Account Not Found"))</f>
        <v/>
      </c>
      <c r="C51" s="77" t="str">
        <f>IF(A51="","",IFERROR(IF(SUMIF(DB_Savings!$C:$C,A51,DB_Savings!$F:$F)=0,VLOOKUP(A51,DB_Customers!$A:$I,9,0),VLOOKUP(A51,DB_Customers!$A:$N,14,0)),"❌ Acct Not Found"))</f>
        <v/>
      </c>
      <c r="D51" s="78" t="str">
        <f t="shared" ca="1" si="3"/>
        <v/>
      </c>
      <c r="E51" s="79"/>
      <c r="F51" s="80" t="str">
        <f t="shared" si="4"/>
        <v/>
      </c>
      <c r="G51" s="39" t="s">
        <v>136</v>
      </c>
      <c r="H51" s="81"/>
      <c r="I51" s="82" t="str">
        <f>IF(A51="","Pending",IF(H51="","⚠️ Enter Agent Code",IF(IFERROR(VLOOKUP(G51,DB_Agents!$B:$I,8,0),"")=H51,IF(AND(A51&lt;&gt;"",E51&lt;&gt;""),"Saved","Pending"),"🔒 BLOCKED — Wrong Code")))</f>
        <v>Pending</v>
      </c>
      <c r="J51" s="83" t="str">
        <f t="shared" ca="1" si="5"/>
        <v>—</v>
      </c>
      <c r="K51" s="84"/>
    </row>
    <row r="52" spans="1:11" ht="15" customHeight="1" x14ac:dyDescent="0.25">
      <c r="A52" s="85"/>
      <c r="B52" s="41" t="str">
        <f>IF(A52="","",IFERROR(VLOOKUP(A52,DB_Customers!$A:$D,4,0),"❌ Account Not Found"))</f>
        <v/>
      </c>
      <c r="C52" s="86" t="str">
        <f>IF(A52="","",IFERROR(IF(SUMIF(DB_Savings!$C:$C,A52,DB_Savings!$F:$F)=0,VLOOKUP(A52,DB_Customers!$A:$I,9,0),VLOOKUP(A52,DB_Customers!$A:$N,14,0)),"❌ Acct Not Found"))</f>
        <v/>
      </c>
      <c r="D52" s="87" t="str">
        <f t="shared" ca="1" si="3"/>
        <v/>
      </c>
      <c r="E52" s="79"/>
      <c r="F52" s="88" t="str">
        <f t="shared" si="4"/>
        <v/>
      </c>
      <c r="G52" s="43" t="s">
        <v>136</v>
      </c>
      <c r="H52" s="81"/>
      <c r="I52" s="89" t="str">
        <f>IF(A52="","Pending",IF(H52="","⚠️ Enter Agent Code",IF(IFERROR(VLOOKUP(G52,DB_Agents!$B:$I,8,0),"")=H52,IF(AND(A52&lt;&gt;"",E52&lt;&gt;""),"Saved","Pending"),"🔒 BLOCKED — Wrong Code")))</f>
        <v>Pending</v>
      </c>
      <c r="J52" s="90" t="str">
        <f t="shared" ca="1" si="5"/>
        <v>—</v>
      </c>
      <c r="K52" s="91"/>
    </row>
    <row r="53" spans="1:11" ht="15" customHeight="1" x14ac:dyDescent="0.25">
      <c r="A53" s="76"/>
      <c r="B53" s="37" t="str">
        <f>IF(A53="","",IFERROR(VLOOKUP(A53,DB_Customers!$A:$D,4,0),"❌ Account Not Found"))</f>
        <v/>
      </c>
      <c r="C53" s="77" t="str">
        <f>IF(A53="","",IFERROR(IF(SUMIF(DB_Savings!$C:$C,A53,DB_Savings!$F:$F)=0,VLOOKUP(A53,DB_Customers!$A:$I,9,0),VLOOKUP(A53,DB_Customers!$A:$N,14,0)),"❌ Acct Not Found"))</f>
        <v/>
      </c>
      <c r="D53" s="78" t="str">
        <f t="shared" ca="1" si="3"/>
        <v/>
      </c>
      <c r="E53" s="79"/>
      <c r="F53" s="80" t="str">
        <f t="shared" si="4"/>
        <v/>
      </c>
      <c r="G53" s="39" t="s">
        <v>136</v>
      </c>
      <c r="H53" s="81"/>
      <c r="I53" s="82" t="str">
        <f>IF(A53="","Pending",IF(H53="","⚠️ Enter Agent Code",IF(IFERROR(VLOOKUP(G53,DB_Agents!$B:$I,8,0),"")=H53,IF(AND(A53&lt;&gt;"",E53&lt;&gt;""),"Saved","Pending"),"🔒 BLOCKED — Wrong Code")))</f>
        <v>Pending</v>
      </c>
      <c r="J53" s="83" t="str">
        <f t="shared" ca="1" si="5"/>
        <v>—</v>
      </c>
      <c r="K53" s="84"/>
    </row>
    <row r="54" spans="1:11" ht="15" customHeight="1" x14ac:dyDescent="0.25">
      <c r="A54" s="85"/>
      <c r="B54" s="41" t="str">
        <f>IF(A54="","",IFERROR(VLOOKUP(A54,DB_Customers!$A:$D,4,0),"❌ Account Not Found"))</f>
        <v/>
      </c>
      <c r="C54" s="86" t="str">
        <f>IF(A54="","",IFERROR(IF(SUMIF(DB_Savings!$C:$C,A54,DB_Savings!$F:$F)=0,VLOOKUP(A54,DB_Customers!$A:$I,9,0),VLOOKUP(A54,DB_Customers!$A:$N,14,0)),"❌ Acct Not Found"))</f>
        <v/>
      </c>
      <c r="D54" s="87" t="str">
        <f t="shared" ca="1" si="3"/>
        <v/>
      </c>
      <c r="E54" s="79"/>
      <c r="F54" s="88" t="str">
        <f t="shared" si="4"/>
        <v/>
      </c>
      <c r="G54" s="43" t="s">
        <v>136</v>
      </c>
      <c r="H54" s="81"/>
      <c r="I54" s="89" t="str">
        <f>IF(A54="","Pending",IF(H54="","⚠️ Enter Agent Code",IF(IFERROR(VLOOKUP(G54,DB_Agents!$B:$I,8,0),"")=H54,IF(AND(A54&lt;&gt;"",E54&lt;&gt;""),"Saved","Pending"),"🔒 BLOCKED — Wrong Code")))</f>
        <v>Pending</v>
      </c>
      <c r="J54" s="90" t="str">
        <f t="shared" ca="1" si="5"/>
        <v>—</v>
      </c>
      <c r="K54" s="91"/>
    </row>
    <row r="55" spans="1:11" ht="15" customHeight="1" x14ac:dyDescent="0.25">
      <c r="A55" s="76"/>
      <c r="B55" s="37" t="str">
        <f>IF(A55="","",IFERROR(VLOOKUP(A55,DB_Customers!$A:$D,4,0),"❌ Account Not Found"))</f>
        <v/>
      </c>
      <c r="C55" s="77" t="str">
        <f>IF(A55="","",IFERROR(IF(SUMIF(DB_Savings!$C:$C,A55,DB_Savings!$F:$F)=0,VLOOKUP(A55,DB_Customers!$A:$I,9,0),VLOOKUP(A55,DB_Customers!$A:$N,14,0)),"❌ Acct Not Found"))</f>
        <v/>
      </c>
      <c r="D55" s="78" t="str">
        <f t="shared" ca="1" si="3"/>
        <v/>
      </c>
      <c r="E55" s="79"/>
      <c r="F55" s="80" t="str">
        <f t="shared" si="4"/>
        <v/>
      </c>
      <c r="G55" s="39" t="s">
        <v>136</v>
      </c>
      <c r="H55" s="81"/>
      <c r="I55" s="82" t="str">
        <f>IF(A55="","Pending",IF(H55="","⚠️ Enter Agent Code",IF(IFERROR(VLOOKUP(G55,DB_Agents!$B:$I,8,0),"")=H55,IF(AND(A55&lt;&gt;"",E55&lt;&gt;""),"Saved","Pending"),"🔒 BLOCKED — Wrong Code")))</f>
        <v>Pending</v>
      </c>
      <c r="J55" s="83" t="str">
        <f t="shared" ca="1" si="5"/>
        <v>—</v>
      </c>
      <c r="K55" s="84"/>
    </row>
    <row r="56" spans="1:11" ht="15" customHeight="1" x14ac:dyDescent="0.25">
      <c r="A56" s="85"/>
      <c r="B56" s="41" t="str">
        <f>IF(A56="","",IFERROR(VLOOKUP(A56,DB_Customers!$A:$D,4,0),"❌ Account Not Found"))</f>
        <v/>
      </c>
      <c r="C56" s="86" t="str">
        <f>IF(A56="","",IFERROR(IF(SUMIF(DB_Savings!$C:$C,A56,DB_Savings!$F:$F)=0,VLOOKUP(A56,DB_Customers!$A:$I,9,0),VLOOKUP(A56,DB_Customers!$A:$N,14,0)),"❌ Acct Not Found"))</f>
        <v/>
      </c>
      <c r="D56" s="87" t="str">
        <f t="shared" ca="1" si="3"/>
        <v/>
      </c>
      <c r="E56" s="79"/>
      <c r="F56" s="88" t="str">
        <f t="shared" si="4"/>
        <v/>
      </c>
      <c r="G56" s="43" t="s">
        <v>136</v>
      </c>
      <c r="H56" s="81"/>
      <c r="I56" s="89" t="str">
        <f>IF(A56="","Pending",IF(H56="","⚠️ Enter Agent Code",IF(IFERROR(VLOOKUP(G56,DB_Agents!$B:$I,8,0),"")=H56,IF(AND(A56&lt;&gt;"",E56&lt;&gt;""),"Saved","Pending"),"🔒 BLOCKED — Wrong Code")))</f>
        <v>Pending</v>
      </c>
      <c r="J56" s="90" t="str">
        <f t="shared" ca="1" si="5"/>
        <v>—</v>
      </c>
      <c r="K56" s="91"/>
    </row>
    <row r="57" spans="1:11" ht="15" customHeight="1" x14ac:dyDescent="0.25">
      <c r="A57" s="76"/>
      <c r="B57" s="37" t="str">
        <f>IF(A57="","",IFERROR(VLOOKUP(A57,DB_Customers!$A:$D,4,0),"❌ Account Not Found"))</f>
        <v/>
      </c>
      <c r="C57" s="77" t="str">
        <f>IF(A57="","",IFERROR(IF(SUMIF(DB_Savings!$C:$C,A57,DB_Savings!$F:$F)=0,VLOOKUP(A57,DB_Customers!$A:$I,9,0),VLOOKUP(A57,DB_Customers!$A:$N,14,0)),"❌ Acct Not Found"))</f>
        <v/>
      </c>
      <c r="D57" s="78" t="str">
        <f t="shared" ca="1" si="3"/>
        <v/>
      </c>
      <c r="E57" s="79"/>
      <c r="F57" s="80" t="str">
        <f t="shared" si="4"/>
        <v/>
      </c>
      <c r="G57" s="39" t="s">
        <v>136</v>
      </c>
      <c r="H57" s="81"/>
      <c r="I57" s="82" t="str">
        <f>IF(A57="","Pending",IF(H57="","⚠️ Enter Agent Code",IF(IFERROR(VLOOKUP(G57,DB_Agents!$B:$I,8,0),"")=H57,IF(AND(A57&lt;&gt;"",E57&lt;&gt;""),"Saved","Pending"),"🔒 BLOCKED — Wrong Code")))</f>
        <v>Pending</v>
      </c>
      <c r="J57" s="83" t="str">
        <f t="shared" ca="1" si="5"/>
        <v>—</v>
      </c>
      <c r="K57" s="84"/>
    </row>
    <row r="58" spans="1:11" ht="15" customHeight="1" x14ac:dyDescent="0.25">
      <c r="A58" s="85"/>
      <c r="B58" s="41" t="str">
        <f>IF(A58="","",IFERROR(VLOOKUP(A58,DB_Customers!$A:$D,4,0),"❌ Account Not Found"))</f>
        <v/>
      </c>
      <c r="C58" s="86" t="str">
        <f>IF(A58="","",IFERROR(IF(SUMIF(DB_Savings!$C:$C,A58,DB_Savings!$F:$F)=0,VLOOKUP(A58,DB_Customers!$A:$I,9,0),VLOOKUP(A58,DB_Customers!$A:$N,14,0)),"❌ Acct Not Found"))</f>
        <v/>
      </c>
      <c r="D58" s="87" t="str">
        <f t="shared" ca="1" si="3"/>
        <v/>
      </c>
      <c r="E58" s="79"/>
      <c r="F58" s="88" t="str">
        <f t="shared" si="4"/>
        <v/>
      </c>
      <c r="G58" s="43" t="s">
        <v>136</v>
      </c>
      <c r="H58" s="81"/>
      <c r="I58" s="89" t="str">
        <f>IF(A58="","Pending",IF(H58="","⚠️ Enter Agent Code",IF(IFERROR(VLOOKUP(G58,DB_Agents!$B:$I,8,0),"")=H58,IF(AND(A58&lt;&gt;"",E58&lt;&gt;""),"Saved","Pending"),"🔒 BLOCKED — Wrong Code")))</f>
        <v>Pending</v>
      </c>
      <c r="J58" s="90" t="str">
        <f t="shared" ca="1" si="5"/>
        <v>—</v>
      </c>
      <c r="K58" s="91"/>
    </row>
    <row r="59" spans="1:11" ht="15" customHeight="1" x14ac:dyDescent="0.25">
      <c r="A59" s="76"/>
      <c r="B59" s="37" t="str">
        <f>IF(A59="","",IFERROR(VLOOKUP(A59,DB_Customers!$A:$D,4,0),"❌ Account Not Found"))</f>
        <v/>
      </c>
      <c r="C59" s="77" t="str">
        <f>IF(A59="","",IFERROR(IF(SUMIF(DB_Savings!$C:$C,A59,DB_Savings!$F:$F)=0,VLOOKUP(A59,DB_Customers!$A:$I,9,0),VLOOKUP(A59,DB_Customers!$A:$N,14,0)),"❌ Acct Not Found"))</f>
        <v/>
      </c>
      <c r="D59" s="78" t="str">
        <f t="shared" ca="1" si="3"/>
        <v/>
      </c>
      <c r="E59" s="79"/>
      <c r="F59" s="80" t="str">
        <f t="shared" si="4"/>
        <v/>
      </c>
      <c r="G59" s="39" t="s">
        <v>136</v>
      </c>
      <c r="H59" s="81"/>
      <c r="I59" s="82" t="str">
        <f>IF(A59="","Pending",IF(H59="","⚠️ Enter Agent Code",IF(IFERROR(VLOOKUP(G59,DB_Agents!$B:$I,8,0),"")=H59,IF(AND(A59&lt;&gt;"",E59&lt;&gt;""),"Saved","Pending"),"🔒 BLOCKED — Wrong Code")))</f>
        <v>Pending</v>
      </c>
      <c r="J59" s="83" t="str">
        <f t="shared" ca="1" si="5"/>
        <v>—</v>
      </c>
      <c r="K59" s="84"/>
    </row>
    <row r="60" spans="1:11" ht="15" customHeight="1" x14ac:dyDescent="0.25">
      <c r="A60" s="85"/>
      <c r="B60" s="41" t="str">
        <f>IF(A60="","",IFERROR(VLOOKUP(A60,DB_Customers!$A:$D,4,0),"❌ Account Not Found"))</f>
        <v/>
      </c>
      <c r="C60" s="86" t="str">
        <f>IF(A60="","",IFERROR(IF(SUMIF(DB_Savings!$C:$C,A60,DB_Savings!$F:$F)=0,VLOOKUP(A60,DB_Customers!$A:$I,9,0),VLOOKUP(A60,DB_Customers!$A:$N,14,0)),"❌ Acct Not Found"))</f>
        <v/>
      </c>
      <c r="D60" s="87" t="str">
        <f t="shared" ca="1" si="3"/>
        <v/>
      </c>
      <c r="E60" s="79"/>
      <c r="F60" s="88" t="str">
        <f t="shared" si="4"/>
        <v/>
      </c>
      <c r="G60" s="43" t="s">
        <v>136</v>
      </c>
      <c r="H60" s="81"/>
      <c r="I60" s="89" t="str">
        <f>IF(A60="","Pending",IF(H60="","⚠️ Enter Agent Code",IF(IFERROR(VLOOKUP(G60,DB_Agents!$B:$I,8,0),"")=H60,IF(AND(A60&lt;&gt;"",E60&lt;&gt;""),"Saved","Pending"),"🔒 BLOCKED — Wrong Code")))</f>
        <v>Pending</v>
      </c>
      <c r="J60" s="90" t="str">
        <f t="shared" ca="1" si="5"/>
        <v>—</v>
      </c>
      <c r="K60" s="91"/>
    </row>
    <row r="61" spans="1:11" ht="15" customHeight="1" x14ac:dyDescent="0.25">
      <c r="A61" s="76"/>
      <c r="B61" s="37" t="str">
        <f>IF(A61="","",IFERROR(VLOOKUP(A61,DB_Customers!$A:$D,4,0),"❌ Account Not Found"))</f>
        <v/>
      </c>
      <c r="C61" s="77" t="str">
        <f>IF(A61="","",IFERROR(IF(SUMIF(DB_Savings!$C:$C,A61,DB_Savings!$F:$F)=0,VLOOKUP(A61,DB_Customers!$A:$I,9,0),VLOOKUP(A61,DB_Customers!$A:$N,14,0)),"❌ Acct Not Found"))</f>
        <v/>
      </c>
      <c r="D61" s="78" t="str">
        <f t="shared" ca="1" si="3"/>
        <v/>
      </c>
      <c r="E61" s="79"/>
      <c r="F61" s="80" t="str">
        <f t="shared" si="4"/>
        <v/>
      </c>
      <c r="G61" s="39" t="s">
        <v>136</v>
      </c>
      <c r="H61" s="81"/>
      <c r="I61" s="82" t="str">
        <f>IF(A61="","Pending",IF(H61="","⚠️ Enter Agent Code",IF(IFERROR(VLOOKUP(G61,DB_Agents!$B:$I,8,0),"")=H61,IF(AND(A61&lt;&gt;"",E61&lt;&gt;""),"Saved","Pending"),"🔒 BLOCKED — Wrong Code")))</f>
        <v>Pending</v>
      </c>
      <c r="J61" s="83" t="str">
        <f t="shared" ca="1" si="5"/>
        <v>—</v>
      </c>
      <c r="K61" s="84"/>
    </row>
    <row r="62" spans="1:11" ht="15" customHeight="1" x14ac:dyDescent="0.25">
      <c r="A62" s="85"/>
      <c r="B62" s="41" t="str">
        <f>IF(A62="","",IFERROR(VLOOKUP(A62,DB_Customers!$A:$D,4,0),"❌ Account Not Found"))</f>
        <v/>
      </c>
      <c r="C62" s="86" t="str">
        <f>IF(A62="","",IFERROR(IF(SUMIF(DB_Savings!$C:$C,A62,DB_Savings!$F:$F)=0,VLOOKUP(A62,DB_Customers!$A:$I,9,0),VLOOKUP(A62,DB_Customers!$A:$N,14,0)),"❌ Acct Not Found"))</f>
        <v/>
      </c>
      <c r="D62" s="87" t="str">
        <f t="shared" ca="1" si="3"/>
        <v/>
      </c>
      <c r="E62" s="79"/>
      <c r="F62" s="88" t="str">
        <f t="shared" si="4"/>
        <v/>
      </c>
      <c r="G62" s="43" t="s">
        <v>136</v>
      </c>
      <c r="H62" s="81"/>
      <c r="I62" s="89" t="str">
        <f>IF(A62="","Pending",IF(H62="","⚠️ Enter Agent Code",IF(IFERROR(VLOOKUP(G62,DB_Agents!$B:$I,8,0),"")=H62,IF(AND(A62&lt;&gt;"",E62&lt;&gt;""),"Saved","Pending"),"🔒 BLOCKED — Wrong Code")))</f>
        <v>Pending</v>
      </c>
      <c r="J62" s="90" t="str">
        <f t="shared" ca="1" si="5"/>
        <v>—</v>
      </c>
      <c r="K62" s="91"/>
    </row>
    <row r="63" spans="1:11" ht="15" customHeight="1" x14ac:dyDescent="0.25">
      <c r="A63" s="76"/>
      <c r="B63" s="37" t="str">
        <f>IF(A63="","",IFERROR(VLOOKUP(A63,DB_Customers!$A:$D,4,0),"❌ Account Not Found"))</f>
        <v/>
      </c>
      <c r="C63" s="77" t="str">
        <f>IF(A63="","",IFERROR(IF(SUMIF(DB_Savings!$C:$C,A63,DB_Savings!$F:$F)=0,VLOOKUP(A63,DB_Customers!$A:$I,9,0),VLOOKUP(A63,DB_Customers!$A:$N,14,0)),"❌ Acct Not Found"))</f>
        <v/>
      </c>
      <c r="D63" s="78" t="str">
        <f t="shared" ca="1" si="3"/>
        <v/>
      </c>
      <c r="E63" s="79"/>
      <c r="F63" s="80" t="str">
        <f t="shared" si="4"/>
        <v/>
      </c>
      <c r="G63" s="39" t="s">
        <v>136</v>
      </c>
      <c r="H63" s="81"/>
      <c r="I63" s="82" t="str">
        <f>IF(A63="","Pending",IF(H63="","⚠️ Enter Agent Code",IF(IFERROR(VLOOKUP(G63,DB_Agents!$B:$I,8,0),"")=H63,IF(AND(A63&lt;&gt;"",E63&lt;&gt;""),"Saved","Pending"),"🔒 BLOCKED — Wrong Code")))</f>
        <v>Pending</v>
      </c>
      <c r="J63" s="83" t="str">
        <f t="shared" ca="1" si="5"/>
        <v>—</v>
      </c>
      <c r="K63" s="84"/>
    </row>
    <row r="64" spans="1:11" ht="15" customHeight="1" x14ac:dyDescent="0.25">
      <c r="A64" s="85"/>
      <c r="B64" s="41" t="str">
        <f>IF(A64="","",IFERROR(VLOOKUP(A64,DB_Customers!$A:$D,4,0),"❌ Account Not Found"))</f>
        <v/>
      </c>
      <c r="C64" s="86" t="str">
        <f>IF(A64="","",IFERROR(IF(SUMIF(DB_Savings!$C:$C,A64,DB_Savings!$F:$F)=0,VLOOKUP(A64,DB_Customers!$A:$I,9,0),VLOOKUP(A64,DB_Customers!$A:$N,14,0)),"❌ Acct Not Found"))</f>
        <v/>
      </c>
      <c r="D64" s="87" t="str">
        <f t="shared" ca="1" si="3"/>
        <v/>
      </c>
      <c r="E64" s="79"/>
      <c r="F64" s="88" t="str">
        <f t="shared" si="4"/>
        <v/>
      </c>
      <c r="G64" s="43" t="s">
        <v>136</v>
      </c>
      <c r="H64" s="81"/>
      <c r="I64" s="89" t="str">
        <f>IF(A64="","Pending",IF(H64="","⚠️ Enter Agent Code",IF(IFERROR(VLOOKUP(G64,DB_Agents!$B:$I,8,0),"")=H64,IF(AND(A64&lt;&gt;"",E64&lt;&gt;""),"Saved","Pending"),"🔒 BLOCKED — Wrong Code")))</f>
        <v>Pending</v>
      </c>
      <c r="J64" s="90" t="str">
        <f t="shared" ca="1" si="5"/>
        <v>—</v>
      </c>
      <c r="K64" s="91"/>
    </row>
    <row r="65" spans="1:11" ht="15" customHeight="1" x14ac:dyDescent="0.25">
      <c r="A65" s="76"/>
      <c r="B65" s="37" t="str">
        <f>IF(A65="","",IFERROR(VLOOKUP(A65,DB_Customers!$A:$D,4,0),"❌ Account Not Found"))</f>
        <v/>
      </c>
      <c r="C65" s="77" t="str">
        <f>IF(A65="","",IFERROR(IF(SUMIF(DB_Savings!$C:$C,A65,DB_Savings!$F:$F)=0,VLOOKUP(A65,DB_Customers!$A:$I,9,0),VLOOKUP(A65,DB_Customers!$A:$N,14,0)),"❌ Acct Not Found"))</f>
        <v/>
      </c>
      <c r="D65" s="78" t="str">
        <f t="shared" ca="1" si="3"/>
        <v/>
      </c>
      <c r="E65" s="79"/>
      <c r="F65" s="80" t="str">
        <f t="shared" si="4"/>
        <v/>
      </c>
      <c r="G65" s="39" t="s">
        <v>136</v>
      </c>
      <c r="H65" s="81"/>
      <c r="I65" s="82" t="str">
        <f>IF(A65="","Pending",IF(H65="","⚠️ Enter Agent Code",IF(IFERROR(VLOOKUP(G65,DB_Agents!$B:$I,8,0),"")=H65,IF(AND(A65&lt;&gt;"",E65&lt;&gt;""),"Saved","Pending"),"🔒 BLOCKED — Wrong Code")))</f>
        <v>Pending</v>
      </c>
      <c r="J65" s="83" t="str">
        <f t="shared" ca="1" si="5"/>
        <v>—</v>
      </c>
      <c r="K65" s="84"/>
    </row>
    <row r="66" spans="1:11" ht="15" customHeight="1" x14ac:dyDescent="0.25">
      <c r="A66" s="85"/>
      <c r="B66" s="41" t="str">
        <f>IF(A66="","",IFERROR(VLOOKUP(A66,DB_Customers!$A:$D,4,0),"❌ Account Not Found"))</f>
        <v/>
      </c>
      <c r="C66" s="86" t="str">
        <f>IF(A66="","",IFERROR(IF(SUMIF(DB_Savings!$C:$C,A66,DB_Savings!$F:$F)=0,VLOOKUP(A66,DB_Customers!$A:$I,9,0),VLOOKUP(A66,DB_Customers!$A:$N,14,0)),"❌ Acct Not Found"))</f>
        <v/>
      </c>
      <c r="D66" s="87" t="str">
        <f t="shared" ca="1" si="3"/>
        <v/>
      </c>
      <c r="E66" s="79"/>
      <c r="F66" s="88" t="str">
        <f t="shared" si="4"/>
        <v/>
      </c>
      <c r="G66" s="43" t="s">
        <v>136</v>
      </c>
      <c r="H66" s="81"/>
      <c r="I66" s="89" t="str">
        <f>IF(A66="","Pending",IF(H66="","⚠️ Enter Agent Code",IF(IFERROR(VLOOKUP(G66,DB_Agents!$B:$I,8,0),"")=H66,IF(AND(A66&lt;&gt;"",E66&lt;&gt;""),"Saved","Pending"),"🔒 BLOCKED — Wrong Code")))</f>
        <v>Pending</v>
      </c>
      <c r="J66" s="90" t="str">
        <f t="shared" ca="1" si="5"/>
        <v>—</v>
      </c>
      <c r="K66" s="91"/>
    </row>
    <row r="67" spans="1:11" ht="15" customHeight="1" x14ac:dyDescent="0.25">
      <c r="A67" s="76"/>
      <c r="B67" s="37" t="str">
        <f>IF(A67="","",IFERROR(VLOOKUP(A67,DB_Customers!$A:$D,4,0),"❌ Account Not Found"))</f>
        <v/>
      </c>
      <c r="C67" s="77" t="str">
        <f>IF(A67="","",IFERROR(IF(SUMIF(DB_Savings!$C:$C,A67,DB_Savings!$F:$F)=0,VLOOKUP(A67,DB_Customers!$A:$I,9,0),VLOOKUP(A67,DB_Customers!$A:$N,14,0)),"❌ Acct Not Found"))</f>
        <v/>
      </c>
      <c r="D67" s="78" t="str">
        <f t="shared" ca="1" si="3"/>
        <v/>
      </c>
      <c r="E67" s="79"/>
      <c r="F67" s="80" t="str">
        <f t="shared" si="4"/>
        <v/>
      </c>
      <c r="G67" s="39" t="s">
        <v>136</v>
      </c>
      <c r="H67" s="81"/>
      <c r="I67" s="82" t="str">
        <f>IF(A67="","Pending",IF(H67="","⚠️ Enter Agent Code",IF(IFERROR(VLOOKUP(G67,DB_Agents!$B:$I,8,0),"")=H67,IF(AND(A67&lt;&gt;"",E67&lt;&gt;""),"Saved","Pending"),"🔒 BLOCKED — Wrong Code")))</f>
        <v>Pending</v>
      </c>
      <c r="J67" s="83" t="str">
        <f t="shared" ca="1" si="5"/>
        <v>—</v>
      </c>
      <c r="K67" s="84"/>
    </row>
    <row r="68" spans="1:11" ht="15" customHeight="1" x14ac:dyDescent="0.25">
      <c r="A68" s="85"/>
      <c r="B68" s="41" t="str">
        <f>IF(A68="","",IFERROR(VLOOKUP(A68,DB_Customers!$A:$D,4,0),"❌ Account Not Found"))</f>
        <v/>
      </c>
      <c r="C68" s="86" t="str">
        <f>IF(A68="","",IFERROR(IF(SUMIF(DB_Savings!$C:$C,A68,DB_Savings!$F:$F)=0,VLOOKUP(A68,DB_Customers!$A:$I,9,0),VLOOKUP(A68,DB_Customers!$A:$N,14,0)),"❌ Acct Not Found"))</f>
        <v/>
      </c>
      <c r="D68" s="87" t="str">
        <f t="shared" ca="1" si="3"/>
        <v/>
      </c>
      <c r="E68" s="79"/>
      <c r="F68" s="88" t="str">
        <f t="shared" si="4"/>
        <v/>
      </c>
      <c r="G68" s="43" t="s">
        <v>136</v>
      </c>
      <c r="H68" s="81"/>
      <c r="I68" s="89" t="str">
        <f>IF(A68="","Pending",IF(H68="","⚠️ Enter Agent Code",IF(IFERROR(VLOOKUP(G68,DB_Agents!$B:$I,8,0),"")=H68,IF(AND(A68&lt;&gt;"",E68&lt;&gt;""),"Saved","Pending"),"🔒 BLOCKED — Wrong Code")))</f>
        <v>Pending</v>
      </c>
      <c r="J68" s="90" t="str">
        <f t="shared" ca="1" si="5"/>
        <v>—</v>
      </c>
      <c r="K68" s="91"/>
    </row>
    <row r="69" spans="1:11" ht="15" customHeight="1" x14ac:dyDescent="0.25">
      <c r="A69" s="76"/>
      <c r="B69" s="37" t="str">
        <f>IF(A69="","",IFERROR(VLOOKUP(A69,DB_Customers!$A:$D,4,0),"❌ Account Not Found"))</f>
        <v/>
      </c>
      <c r="C69" s="77" t="str">
        <f>IF(A69="","",IFERROR(IF(SUMIF(DB_Savings!$C:$C,A69,DB_Savings!$F:$F)=0,VLOOKUP(A69,DB_Customers!$A:$I,9,0),VLOOKUP(A69,DB_Customers!$A:$N,14,0)),"❌ Acct Not Found"))</f>
        <v/>
      </c>
      <c r="D69" s="78" t="str">
        <f t="shared" ca="1" si="3"/>
        <v/>
      </c>
      <c r="E69" s="79"/>
      <c r="F69" s="80" t="str">
        <f t="shared" si="4"/>
        <v/>
      </c>
      <c r="G69" s="39" t="s">
        <v>136</v>
      </c>
      <c r="H69" s="81"/>
      <c r="I69" s="82" t="str">
        <f>IF(A69="","Pending",IF(H69="","⚠️ Enter Agent Code",IF(IFERROR(VLOOKUP(G69,DB_Agents!$B:$I,8,0),"")=H69,IF(AND(A69&lt;&gt;"",E69&lt;&gt;""),"Saved","Pending"),"🔒 BLOCKED — Wrong Code")))</f>
        <v>Pending</v>
      </c>
      <c r="J69" s="83" t="str">
        <f t="shared" ca="1" si="5"/>
        <v>—</v>
      </c>
      <c r="K69" s="84"/>
    </row>
    <row r="70" spans="1:11" ht="15" customHeight="1" x14ac:dyDescent="0.25">
      <c r="A70" s="85"/>
      <c r="B70" s="41" t="str">
        <f>IF(A70="","",IFERROR(VLOOKUP(A70,DB_Customers!$A:$D,4,0),"❌ Account Not Found"))</f>
        <v/>
      </c>
      <c r="C70" s="86" t="str">
        <f>IF(A70="","",IFERROR(IF(SUMIF(DB_Savings!$C:$C,A70,DB_Savings!$F:$F)=0,VLOOKUP(A70,DB_Customers!$A:$I,9,0),VLOOKUP(A70,DB_Customers!$A:$N,14,0)),"❌ Acct Not Found"))</f>
        <v/>
      </c>
      <c r="D70" s="87" t="str">
        <f t="shared" ca="1" si="3"/>
        <v/>
      </c>
      <c r="E70" s="79"/>
      <c r="F70" s="88" t="str">
        <f t="shared" si="4"/>
        <v/>
      </c>
      <c r="G70" s="43" t="s">
        <v>136</v>
      </c>
      <c r="H70" s="81"/>
      <c r="I70" s="89" t="str">
        <f>IF(A70="","Pending",IF(H70="","⚠️ Enter Agent Code",IF(IFERROR(VLOOKUP(G70,DB_Agents!$B:$I,8,0),"")=H70,IF(AND(A70&lt;&gt;"",E70&lt;&gt;""),"Saved","Pending"),"🔒 BLOCKED — Wrong Code")))</f>
        <v>Pending</v>
      </c>
      <c r="J70" s="90" t="str">
        <f t="shared" ca="1" si="5"/>
        <v>—</v>
      </c>
      <c r="K70" s="91"/>
    </row>
    <row r="71" spans="1:11" ht="15" customHeight="1" x14ac:dyDescent="0.25">
      <c r="A71" s="76"/>
      <c r="B71" s="37" t="str">
        <f>IF(A71="","",IFERROR(VLOOKUP(A71,DB_Customers!$A:$D,4,0),"❌ Account Not Found"))</f>
        <v/>
      </c>
      <c r="C71" s="77" t="str">
        <f>IF(A71="","",IFERROR(IF(SUMIF(DB_Savings!$C:$C,A71,DB_Savings!$F:$F)=0,VLOOKUP(A71,DB_Customers!$A:$I,9,0),VLOOKUP(A71,DB_Customers!$A:$N,14,0)),"❌ Acct Not Found"))</f>
        <v/>
      </c>
      <c r="D71" s="78" t="str">
        <f t="shared" ca="1" si="3"/>
        <v/>
      </c>
      <c r="E71" s="79"/>
      <c r="F71" s="80" t="str">
        <f t="shared" si="4"/>
        <v/>
      </c>
      <c r="G71" s="39" t="s">
        <v>136</v>
      </c>
      <c r="H71" s="81"/>
      <c r="I71" s="82" t="str">
        <f>IF(A71="","Pending",IF(H71="","⚠️ Enter Agent Code",IF(IFERROR(VLOOKUP(G71,DB_Agents!$B:$I,8,0),"")=H71,IF(AND(A71&lt;&gt;"",E71&lt;&gt;""),"Saved","Pending"),"🔒 BLOCKED — Wrong Code")))</f>
        <v>Pending</v>
      </c>
      <c r="J71" s="83" t="str">
        <f t="shared" ca="1" si="5"/>
        <v>—</v>
      </c>
      <c r="K71" s="84"/>
    </row>
    <row r="72" spans="1:11" ht="15" customHeight="1" x14ac:dyDescent="0.25">
      <c r="A72" s="85"/>
      <c r="B72" s="41" t="str">
        <f>IF(A72="","",IFERROR(VLOOKUP(A72,DB_Customers!$A:$D,4,0),"❌ Account Not Found"))</f>
        <v/>
      </c>
      <c r="C72" s="86" t="str">
        <f>IF(A72="","",IFERROR(IF(SUMIF(DB_Savings!$C:$C,A72,DB_Savings!$F:$F)=0,VLOOKUP(A72,DB_Customers!$A:$I,9,0),VLOOKUP(A72,DB_Customers!$A:$N,14,0)),"❌ Acct Not Found"))</f>
        <v/>
      </c>
      <c r="D72" s="87" t="str">
        <f t="shared" ca="1" si="3"/>
        <v/>
      </c>
      <c r="E72" s="79"/>
      <c r="F72" s="88" t="str">
        <f t="shared" si="4"/>
        <v/>
      </c>
      <c r="G72" s="43" t="s">
        <v>136</v>
      </c>
      <c r="H72" s="81"/>
      <c r="I72" s="89" t="str">
        <f>IF(A72="","Pending",IF(H72="","⚠️ Enter Agent Code",IF(IFERROR(VLOOKUP(G72,DB_Agents!$B:$I,8,0),"")=H72,IF(AND(A72&lt;&gt;"",E72&lt;&gt;""),"Saved","Pending"),"🔒 BLOCKED — Wrong Code")))</f>
        <v>Pending</v>
      </c>
      <c r="J72" s="90" t="str">
        <f t="shared" ca="1" si="5"/>
        <v>—</v>
      </c>
      <c r="K72" s="91"/>
    </row>
    <row r="73" spans="1:11" ht="15" customHeight="1" x14ac:dyDescent="0.25">
      <c r="A73" s="76"/>
      <c r="B73" s="37" t="str">
        <f>IF(A73="","",IFERROR(VLOOKUP(A73,DB_Customers!$A:$D,4,0),"❌ Account Not Found"))</f>
        <v/>
      </c>
      <c r="C73" s="77" t="str">
        <f>IF(A73="","",IFERROR(IF(SUMIF(DB_Savings!$C:$C,A73,DB_Savings!$F:$F)=0,VLOOKUP(A73,DB_Customers!$A:$I,9,0),VLOOKUP(A73,DB_Customers!$A:$N,14,0)),"❌ Acct Not Found"))</f>
        <v/>
      </c>
      <c r="D73" s="78" t="str">
        <f t="shared" ref="D73:D104" ca="1" si="6">IF(A73="","",TODAY())</f>
        <v/>
      </c>
      <c r="E73" s="79"/>
      <c r="F73" s="80" t="str">
        <f t="shared" ref="F73:F104" si="7">IF(OR(A73="",E73=""),"",IF(C73="","",C73+E73))</f>
        <v/>
      </c>
      <c r="G73" s="39" t="s">
        <v>136</v>
      </c>
      <c r="H73" s="81"/>
      <c r="I73" s="82" t="str">
        <f>IF(A73="","Pending",IF(H73="","⚠️ Enter Agent Code",IF(IFERROR(VLOOKUP(G73,DB_Agents!$B:$I,8,0),"")=H73,IF(AND(A73&lt;&gt;"",E73&lt;&gt;""),"Saved","Pending"),"🔒 BLOCKED — Wrong Code")))</f>
        <v>Pending</v>
      </c>
      <c r="J73" s="83" t="str">
        <f t="shared" ref="J73:J104" ca="1" si="8">IF(I73="Saved",TEXT(TODAY(),"YYYY-MM-DD")&amp;" Auto","—")</f>
        <v>—</v>
      </c>
      <c r="K73" s="84"/>
    </row>
    <row r="74" spans="1:11" ht="15" customHeight="1" x14ac:dyDescent="0.25">
      <c r="A74" s="85"/>
      <c r="B74" s="41" t="str">
        <f>IF(A74="","",IFERROR(VLOOKUP(A74,DB_Customers!$A:$D,4,0),"❌ Account Not Found"))</f>
        <v/>
      </c>
      <c r="C74" s="86" t="str">
        <f>IF(A74="","",IFERROR(IF(SUMIF(DB_Savings!$C:$C,A74,DB_Savings!$F:$F)=0,VLOOKUP(A74,DB_Customers!$A:$I,9,0),VLOOKUP(A74,DB_Customers!$A:$N,14,0)),"❌ Acct Not Found"))</f>
        <v/>
      </c>
      <c r="D74" s="87" t="str">
        <f t="shared" ca="1" si="6"/>
        <v/>
      </c>
      <c r="E74" s="79"/>
      <c r="F74" s="88" t="str">
        <f t="shared" si="7"/>
        <v/>
      </c>
      <c r="G74" s="43" t="s">
        <v>136</v>
      </c>
      <c r="H74" s="81"/>
      <c r="I74" s="89" t="str">
        <f>IF(A74="","Pending",IF(H74="","⚠️ Enter Agent Code",IF(IFERROR(VLOOKUP(G74,DB_Agents!$B:$I,8,0),"")=H74,IF(AND(A74&lt;&gt;"",E74&lt;&gt;""),"Saved","Pending"),"🔒 BLOCKED — Wrong Code")))</f>
        <v>Pending</v>
      </c>
      <c r="J74" s="90" t="str">
        <f t="shared" ca="1" si="8"/>
        <v>—</v>
      </c>
      <c r="K74" s="91"/>
    </row>
    <row r="75" spans="1:11" ht="15" customHeight="1" x14ac:dyDescent="0.25">
      <c r="A75" s="76"/>
      <c r="B75" s="37" t="str">
        <f>IF(A75="","",IFERROR(VLOOKUP(A75,DB_Customers!$A:$D,4,0),"❌ Account Not Found"))</f>
        <v/>
      </c>
      <c r="C75" s="77" t="str">
        <f>IF(A75="","",IFERROR(IF(SUMIF(DB_Savings!$C:$C,A75,DB_Savings!$F:$F)=0,VLOOKUP(A75,DB_Customers!$A:$I,9,0),VLOOKUP(A75,DB_Customers!$A:$N,14,0)),"❌ Acct Not Found"))</f>
        <v/>
      </c>
      <c r="D75" s="78" t="str">
        <f t="shared" ca="1" si="6"/>
        <v/>
      </c>
      <c r="E75" s="79"/>
      <c r="F75" s="80" t="str">
        <f t="shared" si="7"/>
        <v/>
      </c>
      <c r="G75" s="39" t="s">
        <v>136</v>
      </c>
      <c r="H75" s="81"/>
      <c r="I75" s="82" t="str">
        <f>IF(A75="","Pending",IF(H75="","⚠️ Enter Agent Code",IF(IFERROR(VLOOKUP(G75,DB_Agents!$B:$I,8,0),"")=H75,IF(AND(A75&lt;&gt;"",E75&lt;&gt;""),"Saved","Pending"),"🔒 BLOCKED — Wrong Code")))</f>
        <v>Pending</v>
      </c>
      <c r="J75" s="83" t="str">
        <f t="shared" ca="1" si="8"/>
        <v>—</v>
      </c>
      <c r="K75" s="84"/>
    </row>
    <row r="76" spans="1:11" ht="15" customHeight="1" x14ac:dyDescent="0.25">
      <c r="A76" s="85"/>
      <c r="B76" s="41" t="str">
        <f>IF(A76="","",IFERROR(VLOOKUP(A76,DB_Customers!$A:$D,4,0),"❌ Account Not Found"))</f>
        <v/>
      </c>
      <c r="C76" s="86" t="str">
        <f>IF(A76="","",IFERROR(IF(SUMIF(DB_Savings!$C:$C,A76,DB_Savings!$F:$F)=0,VLOOKUP(A76,DB_Customers!$A:$I,9,0),VLOOKUP(A76,DB_Customers!$A:$N,14,0)),"❌ Acct Not Found"))</f>
        <v/>
      </c>
      <c r="D76" s="87" t="str">
        <f t="shared" ca="1" si="6"/>
        <v/>
      </c>
      <c r="E76" s="79"/>
      <c r="F76" s="88" t="str">
        <f t="shared" si="7"/>
        <v/>
      </c>
      <c r="G76" s="43" t="s">
        <v>136</v>
      </c>
      <c r="H76" s="81"/>
      <c r="I76" s="89" t="str">
        <f>IF(A76="","Pending",IF(H76="","⚠️ Enter Agent Code",IF(IFERROR(VLOOKUP(G76,DB_Agents!$B:$I,8,0),"")=H76,IF(AND(A76&lt;&gt;"",E76&lt;&gt;""),"Saved","Pending"),"🔒 BLOCKED — Wrong Code")))</f>
        <v>Pending</v>
      </c>
      <c r="J76" s="90" t="str">
        <f t="shared" ca="1" si="8"/>
        <v>—</v>
      </c>
      <c r="K76" s="91"/>
    </row>
    <row r="77" spans="1:11" ht="15" customHeight="1" x14ac:dyDescent="0.25">
      <c r="A77" s="76"/>
      <c r="B77" s="37" t="str">
        <f>IF(A77="","",IFERROR(VLOOKUP(A77,DB_Customers!$A:$D,4,0),"❌ Account Not Found"))</f>
        <v/>
      </c>
      <c r="C77" s="77" t="str">
        <f>IF(A77="","",IFERROR(IF(SUMIF(DB_Savings!$C:$C,A77,DB_Savings!$F:$F)=0,VLOOKUP(A77,DB_Customers!$A:$I,9,0),VLOOKUP(A77,DB_Customers!$A:$N,14,0)),"❌ Acct Not Found"))</f>
        <v/>
      </c>
      <c r="D77" s="78" t="str">
        <f t="shared" ca="1" si="6"/>
        <v/>
      </c>
      <c r="E77" s="79"/>
      <c r="F77" s="80" t="str">
        <f t="shared" si="7"/>
        <v/>
      </c>
      <c r="G77" s="39" t="s">
        <v>136</v>
      </c>
      <c r="H77" s="81"/>
      <c r="I77" s="82" t="str">
        <f>IF(A77="","Pending",IF(H77="","⚠️ Enter Agent Code",IF(IFERROR(VLOOKUP(G77,DB_Agents!$B:$I,8,0),"")=H77,IF(AND(A77&lt;&gt;"",E77&lt;&gt;""),"Saved","Pending"),"🔒 BLOCKED — Wrong Code")))</f>
        <v>Pending</v>
      </c>
      <c r="J77" s="83" t="str">
        <f t="shared" ca="1" si="8"/>
        <v>—</v>
      </c>
      <c r="K77" s="84"/>
    </row>
    <row r="78" spans="1:11" ht="15" customHeight="1" x14ac:dyDescent="0.25">
      <c r="A78" s="85"/>
      <c r="B78" s="41" t="str">
        <f>IF(A78="","",IFERROR(VLOOKUP(A78,DB_Customers!$A:$D,4,0),"❌ Account Not Found"))</f>
        <v/>
      </c>
      <c r="C78" s="86" t="str">
        <f>IF(A78="","",IFERROR(IF(SUMIF(DB_Savings!$C:$C,A78,DB_Savings!$F:$F)=0,VLOOKUP(A78,DB_Customers!$A:$I,9,0),VLOOKUP(A78,DB_Customers!$A:$N,14,0)),"❌ Acct Not Found"))</f>
        <v/>
      </c>
      <c r="D78" s="87" t="str">
        <f t="shared" ca="1" si="6"/>
        <v/>
      </c>
      <c r="E78" s="79"/>
      <c r="F78" s="88" t="str">
        <f t="shared" si="7"/>
        <v/>
      </c>
      <c r="G78" s="43" t="s">
        <v>136</v>
      </c>
      <c r="H78" s="81"/>
      <c r="I78" s="89" t="str">
        <f>IF(A78="","Pending",IF(H78="","⚠️ Enter Agent Code",IF(IFERROR(VLOOKUP(G78,DB_Agents!$B:$I,8,0),"")=H78,IF(AND(A78&lt;&gt;"",E78&lt;&gt;""),"Saved","Pending"),"🔒 BLOCKED — Wrong Code")))</f>
        <v>Pending</v>
      </c>
      <c r="J78" s="90" t="str">
        <f t="shared" ca="1" si="8"/>
        <v>—</v>
      </c>
      <c r="K78" s="91"/>
    </row>
    <row r="79" spans="1:11" ht="15" customHeight="1" x14ac:dyDescent="0.25">
      <c r="A79" s="76"/>
      <c r="B79" s="37" t="str">
        <f>IF(A79="","",IFERROR(VLOOKUP(A79,DB_Customers!$A:$D,4,0),"❌ Account Not Found"))</f>
        <v/>
      </c>
      <c r="C79" s="77" t="str">
        <f>IF(A79="","",IFERROR(IF(SUMIF(DB_Savings!$C:$C,A79,DB_Savings!$F:$F)=0,VLOOKUP(A79,DB_Customers!$A:$I,9,0),VLOOKUP(A79,DB_Customers!$A:$N,14,0)),"❌ Acct Not Found"))</f>
        <v/>
      </c>
      <c r="D79" s="78" t="str">
        <f t="shared" ca="1" si="6"/>
        <v/>
      </c>
      <c r="E79" s="79"/>
      <c r="F79" s="80" t="str">
        <f t="shared" si="7"/>
        <v/>
      </c>
      <c r="G79" s="39" t="s">
        <v>136</v>
      </c>
      <c r="H79" s="81"/>
      <c r="I79" s="82" t="str">
        <f>IF(A79="","Pending",IF(H79="","⚠️ Enter Agent Code",IF(IFERROR(VLOOKUP(G79,DB_Agents!$B:$I,8,0),"")=H79,IF(AND(A79&lt;&gt;"",E79&lt;&gt;""),"Saved","Pending"),"🔒 BLOCKED — Wrong Code")))</f>
        <v>Pending</v>
      </c>
      <c r="J79" s="83" t="str">
        <f t="shared" ca="1" si="8"/>
        <v>—</v>
      </c>
      <c r="K79" s="84"/>
    </row>
    <row r="80" spans="1:11" ht="15" customHeight="1" x14ac:dyDescent="0.25">
      <c r="A80" s="85"/>
      <c r="B80" s="41" t="str">
        <f>IF(A80="","",IFERROR(VLOOKUP(A80,DB_Customers!$A:$D,4,0),"❌ Account Not Found"))</f>
        <v/>
      </c>
      <c r="C80" s="86" t="str">
        <f>IF(A80="","",IFERROR(IF(SUMIF(DB_Savings!$C:$C,A80,DB_Savings!$F:$F)=0,VLOOKUP(A80,DB_Customers!$A:$I,9,0),VLOOKUP(A80,DB_Customers!$A:$N,14,0)),"❌ Acct Not Found"))</f>
        <v/>
      </c>
      <c r="D80" s="87" t="str">
        <f t="shared" ca="1" si="6"/>
        <v/>
      </c>
      <c r="E80" s="79"/>
      <c r="F80" s="88" t="str">
        <f t="shared" si="7"/>
        <v/>
      </c>
      <c r="G80" s="43" t="s">
        <v>136</v>
      </c>
      <c r="H80" s="81"/>
      <c r="I80" s="89" t="str">
        <f>IF(A80="","Pending",IF(H80="","⚠️ Enter Agent Code",IF(IFERROR(VLOOKUP(G80,DB_Agents!$B:$I,8,0),"")=H80,IF(AND(A80&lt;&gt;"",E80&lt;&gt;""),"Saved","Pending"),"🔒 BLOCKED — Wrong Code")))</f>
        <v>Pending</v>
      </c>
      <c r="J80" s="90" t="str">
        <f t="shared" ca="1" si="8"/>
        <v>—</v>
      </c>
      <c r="K80" s="91"/>
    </row>
    <row r="81" spans="1:11" ht="15" customHeight="1" x14ac:dyDescent="0.25">
      <c r="A81" s="76"/>
      <c r="B81" s="37" t="str">
        <f>IF(A81="","",IFERROR(VLOOKUP(A81,DB_Customers!$A:$D,4,0),"❌ Account Not Found"))</f>
        <v/>
      </c>
      <c r="C81" s="77" t="str">
        <f>IF(A81="","",IFERROR(IF(SUMIF(DB_Savings!$C:$C,A81,DB_Savings!$F:$F)=0,VLOOKUP(A81,DB_Customers!$A:$I,9,0),VLOOKUP(A81,DB_Customers!$A:$N,14,0)),"❌ Acct Not Found"))</f>
        <v/>
      </c>
      <c r="D81" s="78" t="str">
        <f t="shared" ca="1" si="6"/>
        <v/>
      </c>
      <c r="E81" s="79"/>
      <c r="F81" s="80" t="str">
        <f t="shared" si="7"/>
        <v/>
      </c>
      <c r="G81" s="39" t="s">
        <v>136</v>
      </c>
      <c r="H81" s="81"/>
      <c r="I81" s="82" t="str">
        <f>IF(A81="","Pending",IF(H81="","⚠️ Enter Agent Code",IF(IFERROR(VLOOKUP(G81,DB_Agents!$B:$I,8,0),"")=H81,IF(AND(A81&lt;&gt;"",E81&lt;&gt;""),"Saved","Pending"),"🔒 BLOCKED — Wrong Code")))</f>
        <v>Pending</v>
      </c>
      <c r="J81" s="83" t="str">
        <f t="shared" ca="1" si="8"/>
        <v>—</v>
      </c>
      <c r="K81" s="84"/>
    </row>
    <row r="82" spans="1:11" ht="15" customHeight="1" x14ac:dyDescent="0.25">
      <c r="A82" s="85"/>
      <c r="B82" s="41" t="str">
        <f>IF(A82="","",IFERROR(VLOOKUP(A82,DB_Customers!$A:$D,4,0),"❌ Account Not Found"))</f>
        <v/>
      </c>
      <c r="C82" s="86" t="str">
        <f>IF(A82="","",IFERROR(IF(SUMIF(DB_Savings!$C:$C,A82,DB_Savings!$F:$F)=0,VLOOKUP(A82,DB_Customers!$A:$I,9,0),VLOOKUP(A82,DB_Customers!$A:$N,14,0)),"❌ Acct Not Found"))</f>
        <v/>
      </c>
      <c r="D82" s="87" t="str">
        <f t="shared" ca="1" si="6"/>
        <v/>
      </c>
      <c r="E82" s="79"/>
      <c r="F82" s="88" t="str">
        <f t="shared" si="7"/>
        <v/>
      </c>
      <c r="G82" s="43" t="s">
        <v>136</v>
      </c>
      <c r="H82" s="81"/>
      <c r="I82" s="89" t="str">
        <f>IF(A82="","Pending",IF(H82="","⚠️ Enter Agent Code",IF(IFERROR(VLOOKUP(G82,DB_Agents!$B:$I,8,0),"")=H82,IF(AND(A82&lt;&gt;"",E82&lt;&gt;""),"Saved","Pending"),"🔒 BLOCKED — Wrong Code")))</f>
        <v>Pending</v>
      </c>
      <c r="J82" s="90" t="str">
        <f t="shared" ca="1" si="8"/>
        <v>—</v>
      </c>
      <c r="K82" s="91"/>
    </row>
    <row r="83" spans="1:11" ht="15" customHeight="1" x14ac:dyDescent="0.25">
      <c r="A83" s="76"/>
      <c r="B83" s="37" t="str">
        <f>IF(A83="","",IFERROR(VLOOKUP(A83,DB_Customers!$A:$D,4,0),"❌ Account Not Found"))</f>
        <v/>
      </c>
      <c r="C83" s="77" t="str">
        <f>IF(A83="","",IFERROR(IF(SUMIF(DB_Savings!$C:$C,A83,DB_Savings!$F:$F)=0,VLOOKUP(A83,DB_Customers!$A:$I,9,0),VLOOKUP(A83,DB_Customers!$A:$N,14,0)),"❌ Acct Not Found"))</f>
        <v/>
      </c>
      <c r="D83" s="78" t="str">
        <f t="shared" ca="1" si="6"/>
        <v/>
      </c>
      <c r="E83" s="79"/>
      <c r="F83" s="80" t="str">
        <f t="shared" si="7"/>
        <v/>
      </c>
      <c r="G83" s="39" t="s">
        <v>136</v>
      </c>
      <c r="H83" s="81"/>
      <c r="I83" s="82" t="str">
        <f>IF(A83="","Pending",IF(H83="","⚠️ Enter Agent Code",IF(IFERROR(VLOOKUP(G83,DB_Agents!$B:$I,8,0),"")=H83,IF(AND(A83&lt;&gt;"",E83&lt;&gt;""),"Saved","Pending"),"🔒 BLOCKED — Wrong Code")))</f>
        <v>Pending</v>
      </c>
      <c r="J83" s="83" t="str">
        <f t="shared" ca="1" si="8"/>
        <v>—</v>
      </c>
      <c r="K83" s="84"/>
    </row>
    <row r="84" spans="1:11" ht="15" customHeight="1" x14ac:dyDescent="0.25">
      <c r="A84" s="85"/>
      <c r="B84" s="41" t="str">
        <f>IF(A84="","",IFERROR(VLOOKUP(A84,DB_Customers!$A:$D,4,0),"❌ Account Not Found"))</f>
        <v/>
      </c>
      <c r="C84" s="86" t="str">
        <f>IF(A84="","",IFERROR(IF(SUMIF(DB_Savings!$C:$C,A84,DB_Savings!$F:$F)=0,VLOOKUP(A84,DB_Customers!$A:$I,9,0),VLOOKUP(A84,DB_Customers!$A:$N,14,0)),"❌ Acct Not Found"))</f>
        <v/>
      </c>
      <c r="D84" s="87" t="str">
        <f t="shared" ca="1" si="6"/>
        <v/>
      </c>
      <c r="E84" s="79"/>
      <c r="F84" s="88" t="str">
        <f t="shared" si="7"/>
        <v/>
      </c>
      <c r="G84" s="43" t="s">
        <v>136</v>
      </c>
      <c r="H84" s="81"/>
      <c r="I84" s="89" t="str">
        <f>IF(A84="","Pending",IF(H84="","⚠️ Enter Agent Code",IF(IFERROR(VLOOKUP(G84,DB_Agents!$B:$I,8,0),"")=H84,IF(AND(A84&lt;&gt;"",E84&lt;&gt;""),"Saved","Pending"),"🔒 BLOCKED — Wrong Code")))</f>
        <v>Pending</v>
      </c>
      <c r="J84" s="90" t="str">
        <f t="shared" ca="1" si="8"/>
        <v>—</v>
      </c>
      <c r="K84" s="91"/>
    </row>
    <row r="85" spans="1:11" ht="15" customHeight="1" x14ac:dyDescent="0.25">
      <c r="A85" s="76"/>
      <c r="B85" s="37" t="str">
        <f>IF(A85="","",IFERROR(VLOOKUP(A85,DB_Customers!$A:$D,4,0),"❌ Account Not Found"))</f>
        <v/>
      </c>
      <c r="C85" s="77" t="str">
        <f>IF(A85="","",IFERROR(IF(SUMIF(DB_Savings!$C:$C,A85,DB_Savings!$F:$F)=0,VLOOKUP(A85,DB_Customers!$A:$I,9,0),VLOOKUP(A85,DB_Customers!$A:$N,14,0)),"❌ Acct Not Found"))</f>
        <v/>
      </c>
      <c r="D85" s="78" t="str">
        <f t="shared" ca="1" si="6"/>
        <v/>
      </c>
      <c r="E85" s="79"/>
      <c r="F85" s="80" t="str">
        <f t="shared" si="7"/>
        <v/>
      </c>
      <c r="G85" s="39" t="s">
        <v>136</v>
      </c>
      <c r="H85" s="81"/>
      <c r="I85" s="82" t="str">
        <f>IF(A85="","Pending",IF(H85="","⚠️ Enter Agent Code",IF(IFERROR(VLOOKUP(G85,DB_Agents!$B:$I,8,0),"")=H85,IF(AND(A85&lt;&gt;"",E85&lt;&gt;""),"Saved","Pending"),"🔒 BLOCKED — Wrong Code")))</f>
        <v>Pending</v>
      </c>
      <c r="J85" s="83" t="str">
        <f t="shared" ca="1" si="8"/>
        <v>—</v>
      </c>
      <c r="K85" s="84"/>
    </row>
    <row r="86" spans="1:11" ht="15" customHeight="1" x14ac:dyDescent="0.25">
      <c r="A86" s="85"/>
      <c r="B86" s="41" t="str">
        <f>IF(A86="","",IFERROR(VLOOKUP(A86,DB_Customers!$A:$D,4,0),"❌ Account Not Found"))</f>
        <v/>
      </c>
      <c r="C86" s="86" t="str">
        <f>IF(A86="","",IFERROR(IF(SUMIF(DB_Savings!$C:$C,A86,DB_Savings!$F:$F)=0,VLOOKUP(A86,DB_Customers!$A:$I,9,0),VLOOKUP(A86,DB_Customers!$A:$N,14,0)),"❌ Acct Not Found"))</f>
        <v/>
      </c>
      <c r="D86" s="87" t="str">
        <f t="shared" ca="1" si="6"/>
        <v/>
      </c>
      <c r="E86" s="79"/>
      <c r="F86" s="88" t="str">
        <f t="shared" si="7"/>
        <v/>
      </c>
      <c r="G86" s="43" t="s">
        <v>136</v>
      </c>
      <c r="H86" s="81"/>
      <c r="I86" s="89" t="str">
        <f>IF(A86="","Pending",IF(H86="","⚠️ Enter Agent Code",IF(IFERROR(VLOOKUP(G86,DB_Agents!$B:$I,8,0),"")=H86,IF(AND(A86&lt;&gt;"",E86&lt;&gt;""),"Saved","Pending"),"🔒 BLOCKED — Wrong Code")))</f>
        <v>Pending</v>
      </c>
      <c r="J86" s="90" t="str">
        <f t="shared" ca="1" si="8"/>
        <v>—</v>
      </c>
      <c r="K86" s="91"/>
    </row>
    <row r="87" spans="1:11" ht="15" customHeight="1" x14ac:dyDescent="0.25">
      <c r="A87" s="76"/>
      <c r="B87" s="37" t="str">
        <f>IF(A87="","",IFERROR(VLOOKUP(A87,DB_Customers!$A:$D,4,0),"❌ Account Not Found"))</f>
        <v/>
      </c>
      <c r="C87" s="77" t="str">
        <f>IF(A87="","",IFERROR(IF(SUMIF(DB_Savings!$C:$C,A87,DB_Savings!$F:$F)=0,VLOOKUP(A87,DB_Customers!$A:$I,9,0),VLOOKUP(A87,DB_Customers!$A:$N,14,0)),"❌ Acct Not Found"))</f>
        <v/>
      </c>
      <c r="D87" s="78" t="str">
        <f t="shared" ca="1" si="6"/>
        <v/>
      </c>
      <c r="E87" s="79"/>
      <c r="F87" s="80" t="str">
        <f t="shared" si="7"/>
        <v/>
      </c>
      <c r="G87" s="39" t="s">
        <v>136</v>
      </c>
      <c r="H87" s="81"/>
      <c r="I87" s="82" t="str">
        <f>IF(A87="","Pending",IF(H87="","⚠️ Enter Agent Code",IF(IFERROR(VLOOKUP(G87,DB_Agents!$B:$I,8,0),"")=H87,IF(AND(A87&lt;&gt;"",E87&lt;&gt;""),"Saved","Pending"),"🔒 BLOCKED — Wrong Code")))</f>
        <v>Pending</v>
      </c>
      <c r="J87" s="83" t="str">
        <f t="shared" ca="1" si="8"/>
        <v>—</v>
      </c>
      <c r="K87" s="84"/>
    </row>
    <row r="88" spans="1:11" ht="15" customHeight="1" x14ac:dyDescent="0.25">
      <c r="A88" s="85"/>
      <c r="B88" s="41" t="str">
        <f>IF(A88="","",IFERROR(VLOOKUP(A88,DB_Customers!$A:$D,4,0),"❌ Account Not Found"))</f>
        <v/>
      </c>
      <c r="C88" s="86" t="str">
        <f>IF(A88="","",IFERROR(IF(SUMIF(DB_Savings!$C:$C,A88,DB_Savings!$F:$F)=0,VLOOKUP(A88,DB_Customers!$A:$I,9,0),VLOOKUP(A88,DB_Customers!$A:$N,14,0)),"❌ Acct Not Found"))</f>
        <v/>
      </c>
      <c r="D88" s="87" t="str">
        <f t="shared" ca="1" si="6"/>
        <v/>
      </c>
      <c r="E88" s="79"/>
      <c r="F88" s="88" t="str">
        <f t="shared" si="7"/>
        <v/>
      </c>
      <c r="G88" s="43" t="s">
        <v>136</v>
      </c>
      <c r="H88" s="81"/>
      <c r="I88" s="89" t="str">
        <f>IF(A88="","Pending",IF(H88="","⚠️ Enter Agent Code",IF(IFERROR(VLOOKUP(G88,DB_Agents!$B:$I,8,0),"")=H88,IF(AND(A88&lt;&gt;"",E88&lt;&gt;""),"Saved","Pending"),"🔒 BLOCKED — Wrong Code")))</f>
        <v>Pending</v>
      </c>
      <c r="J88" s="90" t="str">
        <f t="shared" ca="1" si="8"/>
        <v>—</v>
      </c>
      <c r="K88" s="91"/>
    </row>
    <row r="89" spans="1:11" ht="15" customHeight="1" x14ac:dyDescent="0.25">
      <c r="A89" s="76"/>
      <c r="B89" s="37" t="str">
        <f>IF(A89="","",IFERROR(VLOOKUP(A89,DB_Customers!$A:$D,4,0),"❌ Account Not Found"))</f>
        <v/>
      </c>
      <c r="C89" s="77" t="str">
        <f>IF(A89="","",IFERROR(IF(SUMIF(DB_Savings!$C:$C,A89,DB_Savings!$F:$F)=0,VLOOKUP(A89,DB_Customers!$A:$I,9,0),VLOOKUP(A89,DB_Customers!$A:$N,14,0)),"❌ Acct Not Found"))</f>
        <v/>
      </c>
      <c r="D89" s="78" t="str">
        <f t="shared" ca="1" si="6"/>
        <v/>
      </c>
      <c r="E89" s="79"/>
      <c r="F89" s="80" t="str">
        <f t="shared" si="7"/>
        <v/>
      </c>
      <c r="G89" s="39" t="s">
        <v>136</v>
      </c>
      <c r="H89" s="81"/>
      <c r="I89" s="82" t="str">
        <f>IF(A89="","Pending",IF(H89="","⚠️ Enter Agent Code",IF(IFERROR(VLOOKUP(G89,DB_Agents!$B:$I,8,0),"")=H89,IF(AND(A89&lt;&gt;"",E89&lt;&gt;""),"Saved","Pending"),"🔒 BLOCKED — Wrong Code")))</f>
        <v>Pending</v>
      </c>
      <c r="J89" s="83" t="str">
        <f t="shared" ca="1" si="8"/>
        <v>—</v>
      </c>
      <c r="K89" s="84"/>
    </row>
    <row r="90" spans="1:11" ht="15" customHeight="1" x14ac:dyDescent="0.25">
      <c r="A90" s="85"/>
      <c r="B90" s="41" t="str">
        <f>IF(A90="","",IFERROR(VLOOKUP(A90,DB_Customers!$A:$D,4,0),"❌ Account Not Found"))</f>
        <v/>
      </c>
      <c r="C90" s="86" t="str">
        <f>IF(A90="","",IFERROR(IF(SUMIF(DB_Savings!$C:$C,A90,DB_Savings!$F:$F)=0,VLOOKUP(A90,DB_Customers!$A:$I,9,0),VLOOKUP(A90,DB_Customers!$A:$N,14,0)),"❌ Acct Not Found"))</f>
        <v/>
      </c>
      <c r="D90" s="87" t="str">
        <f t="shared" ca="1" si="6"/>
        <v/>
      </c>
      <c r="E90" s="79"/>
      <c r="F90" s="88" t="str">
        <f t="shared" si="7"/>
        <v/>
      </c>
      <c r="G90" s="43" t="s">
        <v>136</v>
      </c>
      <c r="H90" s="81"/>
      <c r="I90" s="89" t="str">
        <f>IF(A90="","Pending",IF(H90="","⚠️ Enter Agent Code",IF(IFERROR(VLOOKUP(G90,DB_Agents!$B:$I,8,0),"")=H90,IF(AND(A90&lt;&gt;"",E90&lt;&gt;""),"Saved","Pending"),"🔒 BLOCKED — Wrong Code")))</f>
        <v>Pending</v>
      </c>
      <c r="J90" s="90" t="str">
        <f t="shared" ca="1" si="8"/>
        <v>—</v>
      </c>
      <c r="K90" s="91"/>
    </row>
    <row r="91" spans="1:11" ht="15" customHeight="1" x14ac:dyDescent="0.25">
      <c r="A91" s="76"/>
      <c r="B91" s="37" t="str">
        <f>IF(A91="","",IFERROR(VLOOKUP(A91,DB_Customers!$A:$D,4,0),"❌ Account Not Found"))</f>
        <v/>
      </c>
      <c r="C91" s="77" t="str">
        <f>IF(A91="","",IFERROR(IF(SUMIF(DB_Savings!$C:$C,A91,DB_Savings!$F:$F)=0,VLOOKUP(A91,DB_Customers!$A:$I,9,0),VLOOKUP(A91,DB_Customers!$A:$N,14,0)),"❌ Acct Not Found"))</f>
        <v/>
      </c>
      <c r="D91" s="78" t="str">
        <f t="shared" ca="1" si="6"/>
        <v/>
      </c>
      <c r="E91" s="79"/>
      <c r="F91" s="80" t="str">
        <f t="shared" si="7"/>
        <v/>
      </c>
      <c r="G91" s="39" t="s">
        <v>136</v>
      </c>
      <c r="H91" s="81"/>
      <c r="I91" s="82" t="str">
        <f>IF(A91="","Pending",IF(H91="","⚠️ Enter Agent Code",IF(IFERROR(VLOOKUP(G91,DB_Agents!$B:$I,8,0),"")=H91,IF(AND(A91&lt;&gt;"",E91&lt;&gt;""),"Saved","Pending"),"🔒 BLOCKED — Wrong Code")))</f>
        <v>Pending</v>
      </c>
      <c r="J91" s="83" t="str">
        <f t="shared" ca="1" si="8"/>
        <v>—</v>
      </c>
      <c r="K91" s="84"/>
    </row>
    <row r="92" spans="1:11" ht="15" customHeight="1" x14ac:dyDescent="0.25">
      <c r="A92" s="85"/>
      <c r="B92" s="41" t="str">
        <f>IF(A92="","",IFERROR(VLOOKUP(A92,DB_Customers!$A:$D,4,0),"❌ Account Not Found"))</f>
        <v/>
      </c>
      <c r="C92" s="86" t="str">
        <f>IF(A92="","",IFERROR(IF(SUMIF(DB_Savings!$C:$C,A92,DB_Savings!$F:$F)=0,VLOOKUP(A92,DB_Customers!$A:$I,9,0),VLOOKUP(A92,DB_Customers!$A:$N,14,0)),"❌ Acct Not Found"))</f>
        <v/>
      </c>
      <c r="D92" s="87" t="str">
        <f t="shared" ca="1" si="6"/>
        <v/>
      </c>
      <c r="E92" s="79"/>
      <c r="F92" s="88" t="str">
        <f t="shared" si="7"/>
        <v/>
      </c>
      <c r="G92" s="43" t="s">
        <v>136</v>
      </c>
      <c r="H92" s="81"/>
      <c r="I92" s="89" t="str">
        <f>IF(A92="","Pending",IF(H92="","⚠️ Enter Agent Code",IF(IFERROR(VLOOKUP(G92,DB_Agents!$B:$I,8,0),"")=H92,IF(AND(A92&lt;&gt;"",E92&lt;&gt;""),"Saved","Pending"),"🔒 BLOCKED — Wrong Code")))</f>
        <v>Pending</v>
      </c>
      <c r="J92" s="90" t="str">
        <f t="shared" ca="1" si="8"/>
        <v>—</v>
      </c>
      <c r="K92" s="91"/>
    </row>
    <row r="93" spans="1:11" ht="15" customHeight="1" x14ac:dyDescent="0.25">
      <c r="A93" s="76"/>
      <c r="B93" s="37" t="str">
        <f>IF(A93="","",IFERROR(VLOOKUP(A93,DB_Customers!$A:$D,4,0),"❌ Account Not Found"))</f>
        <v/>
      </c>
      <c r="C93" s="77" t="str">
        <f>IF(A93="","",IFERROR(IF(SUMIF(DB_Savings!$C:$C,A93,DB_Savings!$F:$F)=0,VLOOKUP(A93,DB_Customers!$A:$I,9,0),VLOOKUP(A93,DB_Customers!$A:$N,14,0)),"❌ Acct Not Found"))</f>
        <v/>
      </c>
      <c r="D93" s="78" t="str">
        <f t="shared" ca="1" si="6"/>
        <v/>
      </c>
      <c r="E93" s="79"/>
      <c r="F93" s="80" t="str">
        <f t="shared" si="7"/>
        <v/>
      </c>
      <c r="G93" s="39" t="s">
        <v>136</v>
      </c>
      <c r="H93" s="81"/>
      <c r="I93" s="82" t="str">
        <f>IF(A93="","Pending",IF(H93="","⚠️ Enter Agent Code",IF(IFERROR(VLOOKUP(G93,DB_Agents!$B:$I,8,0),"")=H93,IF(AND(A93&lt;&gt;"",E93&lt;&gt;""),"Saved","Pending"),"🔒 BLOCKED — Wrong Code")))</f>
        <v>Pending</v>
      </c>
      <c r="J93" s="83" t="str">
        <f t="shared" ca="1" si="8"/>
        <v>—</v>
      </c>
      <c r="K93" s="84"/>
    </row>
    <row r="94" spans="1:11" ht="15" customHeight="1" x14ac:dyDescent="0.25">
      <c r="A94" s="85"/>
      <c r="B94" s="41" t="str">
        <f>IF(A94="","",IFERROR(VLOOKUP(A94,DB_Customers!$A:$D,4,0),"❌ Account Not Found"))</f>
        <v/>
      </c>
      <c r="C94" s="86" t="str">
        <f>IF(A94="","",IFERROR(IF(SUMIF(DB_Savings!$C:$C,A94,DB_Savings!$F:$F)=0,VLOOKUP(A94,DB_Customers!$A:$I,9,0),VLOOKUP(A94,DB_Customers!$A:$N,14,0)),"❌ Acct Not Found"))</f>
        <v/>
      </c>
      <c r="D94" s="87" t="str">
        <f t="shared" ca="1" si="6"/>
        <v/>
      </c>
      <c r="E94" s="79"/>
      <c r="F94" s="88" t="str">
        <f t="shared" si="7"/>
        <v/>
      </c>
      <c r="G94" s="43" t="s">
        <v>136</v>
      </c>
      <c r="H94" s="81"/>
      <c r="I94" s="89" t="str">
        <f>IF(A94="","Pending",IF(H94="","⚠️ Enter Agent Code",IF(IFERROR(VLOOKUP(G94,DB_Agents!$B:$I,8,0),"")=H94,IF(AND(A94&lt;&gt;"",E94&lt;&gt;""),"Saved","Pending"),"🔒 BLOCKED — Wrong Code")))</f>
        <v>Pending</v>
      </c>
      <c r="J94" s="90" t="str">
        <f t="shared" ca="1" si="8"/>
        <v>—</v>
      </c>
      <c r="K94" s="91"/>
    </row>
    <row r="95" spans="1:11" ht="15" customHeight="1" x14ac:dyDescent="0.25">
      <c r="A95" s="76"/>
      <c r="B95" s="37" t="str">
        <f>IF(A95="","",IFERROR(VLOOKUP(A95,DB_Customers!$A:$D,4,0),"❌ Account Not Found"))</f>
        <v/>
      </c>
      <c r="C95" s="77" t="str">
        <f>IF(A95="","",IFERROR(IF(SUMIF(DB_Savings!$C:$C,A95,DB_Savings!$F:$F)=0,VLOOKUP(A95,DB_Customers!$A:$I,9,0),VLOOKUP(A95,DB_Customers!$A:$N,14,0)),"❌ Acct Not Found"))</f>
        <v/>
      </c>
      <c r="D95" s="78" t="str">
        <f t="shared" ca="1" si="6"/>
        <v/>
      </c>
      <c r="E95" s="79"/>
      <c r="F95" s="80" t="str">
        <f t="shared" si="7"/>
        <v/>
      </c>
      <c r="G95" s="39" t="s">
        <v>136</v>
      </c>
      <c r="H95" s="81"/>
      <c r="I95" s="82" t="str">
        <f>IF(A95="","Pending",IF(H95="","⚠️ Enter Agent Code",IF(IFERROR(VLOOKUP(G95,DB_Agents!$B:$I,8,0),"")=H95,IF(AND(A95&lt;&gt;"",E95&lt;&gt;""),"Saved","Pending"),"🔒 BLOCKED — Wrong Code")))</f>
        <v>Pending</v>
      </c>
      <c r="J95" s="83" t="str">
        <f t="shared" ca="1" si="8"/>
        <v>—</v>
      </c>
      <c r="K95" s="84"/>
    </row>
    <row r="96" spans="1:11" ht="15" customHeight="1" x14ac:dyDescent="0.25">
      <c r="A96" s="85"/>
      <c r="B96" s="41" t="str">
        <f>IF(A96="","",IFERROR(VLOOKUP(A96,DB_Customers!$A:$D,4,0),"❌ Account Not Found"))</f>
        <v/>
      </c>
      <c r="C96" s="86" t="str">
        <f>IF(A96="","",IFERROR(IF(SUMIF(DB_Savings!$C:$C,A96,DB_Savings!$F:$F)=0,VLOOKUP(A96,DB_Customers!$A:$I,9,0),VLOOKUP(A96,DB_Customers!$A:$N,14,0)),"❌ Acct Not Found"))</f>
        <v/>
      </c>
      <c r="D96" s="87" t="str">
        <f t="shared" ca="1" si="6"/>
        <v/>
      </c>
      <c r="E96" s="79"/>
      <c r="F96" s="88" t="str">
        <f t="shared" si="7"/>
        <v/>
      </c>
      <c r="G96" s="43" t="s">
        <v>136</v>
      </c>
      <c r="H96" s="81"/>
      <c r="I96" s="89" t="str">
        <f>IF(A96="","Pending",IF(H96="","⚠️ Enter Agent Code",IF(IFERROR(VLOOKUP(G96,DB_Agents!$B:$I,8,0),"")=H96,IF(AND(A96&lt;&gt;"",E96&lt;&gt;""),"Saved","Pending"),"🔒 BLOCKED — Wrong Code")))</f>
        <v>Pending</v>
      </c>
      <c r="J96" s="90" t="str">
        <f t="shared" ca="1" si="8"/>
        <v>—</v>
      </c>
      <c r="K96" s="91"/>
    </row>
    <row r="97" spans="1:11" ht="15" customHeight="1" x14ac:dyDescent="0.25">
      <c r="A97" s="76"/>
      <c r="B97" s="37" t="str">
        <f>IF(A97="","",IFERROR(VLOOKUP(A97,DB_Customers!$A:$D,4,0),"❌ Account Not Found"))</f>
        <v/>
      </c>
      <c r="C97" s="77" t="str">
        <f>IF(A97="","",IFERROR(IF(SUMIF(DB_Savings!$C:$C,A97,DB_Savings!$F:$F)=0,VLOOKUP(A97,DB_Customers!$A:$I,9,0),VLOOKUP(A97,DB_Customers!$A:$N,14,0)),"❌ Acct Not Found"))</f>
        <v/>
      </c>
      <c r="D97" s="78" t="str">
        <f t="shared" ca="1" si="6"/>
        <v/>
      </c>
      <c r="E97" s="79"/>
      <c r="F97" s="80" t="str">
        <f t="shared" si="7"/>
        <v/>
      </c>
      <c r="G97" s="39" t="s">
        <v>136</v>
      </c>
      <c r="H97" s="81"/>
      <c r="I97" s="82" t="str">
        <f>IF(A97="","Pending",IF(H97="","⚠️ Enter Agent Code",IF(IFERROR(VLOOKUP(G97,DB_Agents!$B:$I,8,0),"")=H97,IF(AND(A97&lt;&gt;"",E97&lt;&gt;""),"Saved","Pending"),"🔒 BLOCKED — Wrong Code")))</f>
        <v>Pending</v>
      </c>
      <c r="J97" s="83" t="str">
        <f t="shared" ca="1" si="8"/>
        <v>—</v>
      </c>
      <c r="K97" s="84"/>
    </row>
    <row r="98" spans="1:11" ht="15" customHeight="1" x14ac:dyDescent="0.25">
      <c r="A98" s="85"/>
      <c r="B98" s="41" t="str">
        <f>IF(A98="","",IFERROR(VLOOKUP(A98,DB_Customers!$A:$D,4,0),"❌ Account Not Found"))</f>
        <v/>
      </c>
      <c r="C98" s="86" t="str">
        <f>IF(A98="","",IFERROR(IF(SUMIF(DB_Savings!$C:$C,A98,DB_Savings!$F:$F)=0,VLOOKUP(A98,DB_Customers!$A:$I,9,0),VLOOKUP(A98,DB_Customers!$A:$N,14,0)),"❌ Acct Not Found"))</f>
        <v/>
      </c>
      <c r="D98" s="87" t="str">
        <f t="shared" ca="1" si="6"/>
        <v/>
      </c>
      <c r="E98" s="79"/>
      <c r="F98" s="88" t="str">
        <f t="shared" si="7"/>
        <v/>
      </c>
      <c r="G98" s="43" t="s">
        <v>136</v>
      </c>
      <c r="H98" s="81"/>
      <c r="I98" s="89" t="str">
        <f>IF(A98="","Pending",IF(H98="","⚠️ Enter Agent Code",IF(IFERROR(VLOOKUP(G98,DB_Agents!$B:$I,8,0),"")=H98,IF(AND(A98&lt;&gt;"",E98&lt;&gt;""),"Saved","Pending"),"🔒 BLOCKED — Wrong Code")))</f>
        <v>Pending</v>
      </c>
      <c r="J98" s="90" t="str">
        <f t="shared" ca="1" si="8"/>
        <v>—</v>
      </c>
      <c r="K98" s="91"/>
    </row>
    <row r="99" spans="1:11" ht="15" customHeight="1" x14ac:dyDescent="0.25">
      <c r="A99" s="76"/>
      <c r="B99" s="37" t="str">
        <f>IF(A99="","",IFERROR(VLOOKUP(A99,DB_Customers!$A:$D,4,0),"❌ Account Not Found"))</f>
        <v/>
      </c>
      <c r="C99" s="77" t="str">
        <f>IF(A99="","",IFERROR(IF(SUMIF(DB_Savings!$C:$C,A99,DB_Savings!$F:$F)=0,VLOOKUP(A99,DB_Customers!$A:$I,9,0),VLOOKUP(A99,DB_Customers!$A:$N,14,0)),"❌ Acct Not Found"))</f>
        <v/>
      </c>
      <c r="D99" s="78" t="str">
        <f t="shared" ca="1" si="6"/>
        <v/>
      </c>
      <c r="E99" s="79"/>
      <c r="F99" s="80" t="str">
        <f t="shared" si="7"/>
        <v/>
      </c>
      <c r="G99" s="39" t="s">
        <v>136</v>
      </c>
      <c r="H99" s="81"/>
      <c r="I99" s="82" t="str">
        <f>IF(A99="","Pending",IF(H99="","⚠️ Enter Agent Code",IF(IFERROR(VLOOKUP(G99,DB_Agents!$B:$I,8,0),"")=H99,IF(AND(A99&lt;&gt;"",E99&lt;&gt;""),"Saved","Pending"),"🔒 BLOCKED — Wrong Code")))</f>
        <v>Pending</v>
      </c>
      <c r="J99" s="83" t="str">
        <f t="shared" ca="1" si="8"/>
        <v>—</v>
      </c>
      <c r="K99" s="84"/>
    </row>
    <row r="100" spans="1:11" ht="15" customHeight="1" x14ac:dyDescent="0.25">
      <c r="A100" s="85"/>
      <c r="B100" s="41" t="str">
        <f>IF(A100="","",IFERROR(VLOOKUP(A100,DB_Customers!$A:$D,4,0),"❌ Account Not Found"))</f>
        <v/>
      </c>
      <c r="C100" s="86" t="str">
        <f>IF(A100="","",IFERROR(IF(SUMIF(DB_Savings!$C:$C,A100,DB_Savings!$F:$F)=0,VLOOKUP(A100,DB_Customers!$A:$I,9,0),VLOOKUP(A100,DB_Customers!$A:$N,14,0)),"❌ Acct Not Found"))</f>
        <v/>
      </c>
      <c r="D100" s="87" t="str">
        <f t="shared" ca="1" si="6"/>
        <v/>
      </c>
      <c r="E100" s="79"/>
      <c r="F100" s="88" t="str">
        <f t="shared" si="7"/>
        <v/>
      </c>
      <c r="G100" s="43" t="s">
        <v>136</v>
      </c>
      <c r="H100" s="81"/>
      <c r="I100" s="89" t="str">
        <f>IF(A100="","Pending",IF(H100="","⚠️ Enter Agent Code",IF(IFERROR(VLOOKUP(G100,DB_Agents!$B:$I,8,0),"")=H100,IF(AND(A100&lt;&gt;"",E100&lt;&gt;""),"Saved","Pending"),"🔒 BLOCKED — Wrong Code")))</f>
        <v>Pending</v>
      </c>
      <c r="J100" s="90" t="str">
        <f t="shared" ca="1" si="8"/>
        <v>—</v>
      </c>
      <c r="K100" s="91"/>
    </row>
    <row r="101" spans="1:11" ht="15" customHeight="1" x14ac:dyDescent="0.25">
      <c r="A101" s="76"/>
      <c r="B101" s="37" t="str">
        <f>IF(A101="","",IFERROR(VLOOKUP(A101,DB_Customers!$A:$D,4,0),"❌ Account Not Found"))</f>
        <v/>
      </c>
      <c r="C101" s="77" t="str">
        <f>IF(A101="","",IFERROR(IF(SUMIF(DB_Savings!$C:$C,A101,DB_Savings!$F:$F)=0,VLOOKUP(A101,DB_Customers!$A:$I,9,0),VLOOKUP(A101,DB_Customers!$A:$N,14,0)),"❌ Acct Not Found"))</f>
        <v/>
      </c>
      <c r="D101" s="78" t="str">
        <f t="shared" ca="1" si="6"/>
        <v/>
      </c>
      <c r="E101" s="79"/>
      <c r="F101" s="80" t="str">
        <f t="shared" si="7"/>
        <v/>
      </c>
      <c r="G101" s="39" t="s">
        <v>136</v>
      </c>
      <c r="H101" s="81"/>
      <c r="I101" s="82" t="str">
        <f>IF(A101="","Pending",IF(H101="","⚠️ Enter Agent Code",IF(IFERROR(VLOOKUP(G101,DB_Agents!$B:$I,8,0),"")=H101,IF(AND(A101&lt;&gt;"",E101&lt;&gt;""),"Saved","Pending"),"🔒 BLOCKED — Wrong Code")))</f>
        <v>Pending</v>
      </c>
      <c r="J101" s="83" t="str">
        <f t="shared" ca="1" si="8"/>
        <v>—</v>
      </c>
      <c r="K101" s="84"/>
    </row>
    <row r="102" spans="1:11" ht="15" customHeight="1" x14ac:dyDescent="0.25">
      <c r="A102" s="85"/>
      <c r="B102" s="41" t="str">
        <f>IF(A102="","",IFERROR(VLOOKUP(A102,DB_Customers!$A:$D,4,0),"❌ Account Not Found"))</f>
        <v/>
      </c>
      <c r="C102" s="86" t="str">
        <f>IF(A102="","",IFERROR(IF(SUMIF(DB_Savings!$C:$C,A102,DB_Savings!$F:$F)=0,VLOOKUP(A102,DB_Customers!$A:$I,9,0),VLOOKUP(A102,DB_Customers!$A:$N,14,0)),"❌ Acct Not Found"))</f>
        <v/>
      </c>
      <c r="D102" s="87" t="str">
        <f t="shared" ca="1" si="6"/>
        <v/>
      </c>
      <c r="E102" s="79"/>
      <c r="F102" s="88" t="str">
        <f t="shared" si="7"/>
        <v/>
      </c>
      <c r="G102" s="43" t="s">
        <v>136</v>
      </c>
      <c r="H102" s="81"/>
      <c r="I102" s="89" t="str">
        <f>IF(A102="","Pending",IF(H102="","⚠️ Enter Agent Code",IF(IFERROR(VLOOKUP(G102,DB_Agents!$B:$I,8,0),"")=H102,IF(AND(A102&lt;&gt;"",E102&lt;&gt;""),"Saved","Pending"),"🔒 BLOCKED — Wrong Code")))</f>
        <v>Pending</v>
      </c>
      <c r="J102" s="90" t="str">
        <f t="shared" ca="1" si="8"/>
        <v>—</v>
      </c>
      <c r="K102" s="91"/>
    </row>
    <row r="103" spans="1:11" ht="15" customHeight="1" x14ac:dyDescent="0.25">
      <c r="A103" s="76"/>
      <c r="B103" s="37" t="str">
        <f>IF(A103="","",IFERROR(VLOOKUP(A103,DB_Customers!$A:$D,4,0),"❌ Account Not Found"))</f>
        <v/>
      </c>
      <c r="C103" s="77" t="str">
        <f>IF(A103="","",IFERROR(IF(SUMIF(DB_Savings!$C:$C,A103,DB_Savings!$F:$F)=0,VLOOKUP(A103,DB_Customers!$A:$I,9,0),VLOOKUP(A103,DB_Customers!$A:$N,14,0)),"❌ Acct Not Found"))</f>
        <v/>
      </c>
      <c r="D103" s="78" t="str">
        <f t="shared" ca="1" si="6"/>
        <v/>
      </c>
      <c r="E103" s="79"/>
      <c r="F103" s="80" t="str">
        <f t="shared" si="7"/>
        <v/>
      </c>
      <c r="G103" s="39" t="s">
        <v>136</v>
      </c>
      <c r="H103" s="81"/>
      <c r="I103" s="82" t="str">
        <f>IF(A103="","Pending",IF(H103="","⚠️ Enter Agent Code",IF(IFERROR(VLOOKUP(G103,DB_Agents!$B:$I,8,0),"")=H103,IF(AND(A103&lt;&gt;"",E103&lt;&gt;""),"Saved","Pending"),"🔒 BLOCKED — Wrong Code")))</f>
        <v>Pending</v>
      </c>
      <c r="J103" s="83" t="str">
        <f t="shared" ca="1" si="8"/>
        <v>—</v>
      </c>
      <c r="K103" s="84"/>
    </row>
    <row r="104" spans="1:11" ht="15" customHeight="1" x14ac:dyDescent="0.25">
      <c r="A104" s="85"/>
      <c r="B104" s="41" t="str">
        <f>IF(A104="","",IFERROR(VLOOKUP(A104,DB_Customers!$A:$D,4,0),"❌ Account Not Found"))</f>
        <v/>
      </c>
      <c r="C104" s="86" t="str">
        <f>IF(A104="","",IFERROR(IF(SUMIF(DB_Savings!$C:$C,A104,DB_Savings!$F:$F)=0,VLOOKUP(A104,DB_Customers!$A:$I,9,0),VLOOKUP(A104,DB_Customers!$A:$N,14,0)),"❌ Acct Not Found"))</f>
        <v/>
      </c>
      <c r="D104" s="87" t="str">
        <f t="shared" ca="1" si="6"/>
        <v/>
      </c>
      <c r="E104" s="79"/>
      <c r="F104" s="88" t="str">
        <f t="shared" si="7"/>
        <v/>
      </c>
      <c r="G104" s="43" t="s">
        <v>136</v>
      </c>
      <c r="H104" s="81"/>
      <c r="I104" s="89" t="str">
        <f>IF(A104="","Pending",IF(H104="","⚠️ Enter Agent Code",IF(IFERROR(VLOOKUP(G104,DB_Agents!$B:$I,8,0),"")=H104,IF(AND(A104&lt;&gt;"",E104&lt;&gt;""),"Saved","Pending"),"🔒 BLOCKED — Wrong Code")))</f>
        <v>Pending</v>
      </c>
      <c r="J104" s="90" t="str">
        <f t="shared" ca="1" si="8"/>
        <v>—</v>
      </c>
      <c r="K104" s="91"/>
    </row>
    <row r="105" spans="1:11" ht="15" customHeight="1" x14ac:dyDescent="0.25">
      <c r="A105" s="76"/>
      <c r="B105" s="37" t="str">
        <f>IF(A105="","",IFERROR(VLOOKUP(A105,DB_Customers!$A:$D,4,0),"❌ Account Not Found"))</f>
        <v/>
      </c>
      <c r="C105" s="77" t="str">
        <f>IF(A105="","",IFERROR(IF(SUMIF(DB_Savings!$C:$C,A105,DB_Savings!$F:$F)=0,VLOOKUP(A105,DB_Customers!$A:$I,9,0),VLOOKUP(A105,DB_Customers!$A:$N,14,0)),"❌ Acct Not Found"))</f>
        <v/>
      </c>
      <c r="D105" s="78" t="str">
        <f t="shared" ref="D105:D136" ca="1" si="9">IF(A105="","",TODAY())</f>
        <v/>
      </c>
      <c r="E105" s="79"/>
      <c r="F105" s="80" t="str">
        <f t="shared" ref="F105:F136" si="10">IF(OR(A105="",E105=""),"",IF(C105="","",C105+E105))</f>
        <v/>
      </c>
      <c r="G105" s="39" t="s">
        <v>136</v>
      </c>
      <c r="H105" s="81"/>
      <c r="I105" s="82" t="str">
        <f>IF(A105="","Pending",IF(H105="","⚠️ Enter Agent Code",IF(IFERROR(VLOOKUP(G105,DB_Agents!$B:$I,8,0),"")=H105,IF(AND(A105&lt;&gt;"",E105&lt;&gt;""),"Saved","Pending"),"🔒 BLOCKED — Wrong Code")))</f>
        <v>Pending</v>
      </c>
      <c r="J105" s="83" t="str">
        <f t="shared" ref="J105:J136" ca="1" si="11">IF(I105="Saved",TEXT(TODAY(),"YYYY-MM-DD")&amp;" Auto","—")</f>
        <v>—</v>
      </c>
      <c r="K105" s="84"/>
    </row>
    <row r="106" spans="1:11" ht="15" customHeight="1" x14ac:dyDescent="0.25">
      <c r="A106" s="85"/>
      <c r="B106" s="41" t="str">
        <f>IF(A106="","",IFERROR(VLOOKUP(A106,DB_Customers!$A:$D,4,0),"❌ Account Not Found"))</f>
        <v/>
      </c>
      <c r="C106" s="86" t="str">
        <f>IF(A106="","",IFERROR(IF(SUMIF(DB_Savings!$C:$C,A106,DB_Savings!$F:$F)=0,VLOOKUP(A106,DB_Customers!$A:$I,9,0),VLOOKUP(A106,DB_Customers!$A:$N,14,0)),"❌ Acct Not Found"))</f>
        <v/>
      </c>
      <c r="D106" s="87" t="str">
        <f t="shared" ca="1" si="9"/>
        <v/>
      </c>
      <c r="E106" s="79"/>
      <c r="F106" s="88" t="str">
        <f t="shared" si="10"/>
        <v/>
      </c>
      <c r="G106" s="43" t="s">
        <v>136</v>
      </c>
      <c r="H106" s="81"/>
      <c r="I106" s="89" t="str">
        <f>IF(A106="","Pending",IF(H106="","⚠️ Enter Agent Code",IF(IFERROR(VLOOKUP(G106,DB_Agents!$B:$I,8,0),"")=H106,IF(AND(A106&lt;&gt;"",E106&lt;&gt;""),"Saved","Pending"),"🔒 BLOCKED — Wrong Code")))</f>
        <v>Pending</v>
      </c>
      <c r="J106" s="90" t="str">
        <f t="shared" ca="1" si="11"/>
        <v>—</v>
      </c>
      <c r="K106" s="91"/>
    </row>
    <row r="107" spans="1:11" ht="15" customHeight="1" x14ac:dyDescent="0.25">
      <c r="A107" s="76"/>
      <c r="B107" s="37" t="str">
        <f>IF(A107="","",IFERROR(VLOOKUP(A107,DB_Customers!$A:$D,4,0),"❌ Account Not Found"))</f>
        <v/>
      </c>
      <c r="C107" s="77" t="str">
        <f>IF(A107="","",IFERROR(IF(SUMIF(DB_Savings!$C:$C,A107,DB_Savings!$F:$F)=0,VLOOKUP(A107,DB_Customers!$A:$I,9,0),VLOOKUP(A107,DB_Customers!$A:$N,14,0)),"❌ Acct Not Found"))</f>
        <v/>
      </c>
      <c r="D107" s="78" t="str">
        <f t="shared" ca="1" si="9"/>
        <v/>
      </c>
      <c r="E107" s="79"/>
      <c r="F107" s="80" t="str">
        <f t="shared" si="10"/>
        <v/>
      </c>
      <c r="G107" s="39" t="s">
        <v>136</v>
      </c>
      <c r="H107" s="81"/>
      <c r="I107" s="82" t="str">
        <f>IF(A107="","Pending",IF(H107="","⚠️ Enter Agent Code",IF(IFERROR(VLOOKUP(G107,DB_Agents!$B:$I,8,0),"")=H107,IF(AND(A107&lt;&gt;"",E107&lt;&gt;""),"Saved","Pending"),"🔒 BLOCKED — Wrong Code")))</f>
        <v>Pending</v>
      </c>
      <c r="J107" s="83" t="str">
        <f t="shared" ca="1" si="11"/>
        <v>—</v>
      </c>
      <c r="K107" s="84"/>
    </row>
    <row r="108" spans="1:11" ht="15" customHeight="1" x14ac:dyDescent="0.25">
      <c r="A108" s="85"/>
      <c r="B108" s="41" t="str">
        <f>IF(A108="","",IFERROR(VLOOKUP(A108,DB_Customers!$A:$D,4,0),"❌ Account Not Found"))</f>
        <v/>
      </c>
      <c r="C108" s="86" t="str">
        <f>IF(A108="","",IFERROR(IF(SUMIF(DB_Savings!$C:$C,A108,DB_Savings!$F:$F)=0,VLOOKUP(A108,DB_Customers!$A:$I,9,0),VLOOKUP(A108,DB_Customers!$A:$N,14,0)),"❌ Acct Not Found"))</f>
        <v/>
      </c>
      <c r="D108" s="87" t="str">
        <f t="shared" ca="1" si="9"/>
        <v/>
      </c>
      <c r="E108" s="79"/>
      <c r="F108" s="88" t="str">
        <f t="shared" si="10"/>
        <v/>
      </c>
      <c r="G108" s="43" t="s">
        <v>136</v>
      </c>
      <c r="H108" s="81"/>
      <c r="I108" s="89" t="str">
        <f>IF(A108="","Pending",IF(H108="","⚠️ Enter Agent Code",IF(IFERROR(VLOOKUP(G108,DB_Agents!$B:$I,8,0),"")=H108,IF(AND(A108&lt;&gt;"",E108&lt;&gt;""),"Saved","Pending"),"🔒 BLOCKED — Wrong Code")))</f>
        <v>Pending</v>
      </c>
      <c r="J108" s="90" t="str">
        <f t="shared" ca="1" si="11"/>
        <v>—</v>
      </c>
      <c r="K108" s="91"/>
    </row>
    <row r="109" spans="1:11" ht="15" customHeight="1" x14ac:dyDescent="0.25">
      <c r="A109" s="76"/>
      <c r="B109" s="37" t="str">
        <f>IF(A109="","",IFERROR(VLOOKUP(A109,DB_Customers!$A:$D,4,0),"❌ Account Not Found"))</f>
        <v/>
      </c>
      <c r="C109" s="77" t="str">
        <f>IF(A109="","",IFERROR(IF(SUMIF(DB_Savings!$C:$C,A109,DB_Savings!$F:$F)=0,VLOOKUP(A109,DB_Customers!$A:$I,9,0),VLOOKUP(A109,DB_Customers!$A:$N,14,0)),"❌ Acct Not Found"))</f>
        <v/>
      </c>
      <c r="D109" s="78" t="str">
        <f t="shared" ca="1" si="9"/>
        <v/>
      </c>
      <c r="E109" s="79"/>
      <c r="F109" s="80" t="str">
        <f t="shared" si="10"/>
        <v/>
      </c>
      <c r="G109" s="39" t="s">
        <v>136</v>
      </c>
      <c r="H109" s="81"/>
      <c r="I109" s="82" t="str">
        <f>IF(A109="","Pending",IF(H109="","⚠️ Enter Agent Code",IF(IFERROR(VLOOKUP(G109,DB_Agents!$B:$I,8,0),"")=H109,IF(AND(A109&lt;&gt;"",E109&lt;&gt;""),"Saved","Pending"),"🔒 BLOCKED — Wrong Code")))</f>
        <v>Pending</v>
      </c>
      <c r="J109" s="83" t="str">
        <f t="shared" ca="1" si="11"/>
        <v>—</v>
      </c>
      <c r="K109" s="84"/>
    </row>
    <row r="110" spans="1:11" ht="15" customHeight="1" x14ac:dyDescent="0.25">
      <c r="A110" s="85"/>
      <c r="B110" s="41" t="str">
        <f>IF(A110="","",IFERROR(VLOOKUP(A110,DB_Customers!$A:$D,4,0),"❌ Account Not Found"))</f>
        <v/>
      </c>
      <c r="C110" s="86" t="str">
        <f>IF(A110="","",IFERROR(IF(SUMIF(DB_Savings!$C:$C,A110,DB_Savings!$F:$F)=0,VLOOKUP(A110,DB_Customers!$A:$I,9,0),VLOOKUP(A110,DB_Customers!$A:$N,14,0)),"❌ Acct Not Found"))</f>
        <v/>
      </c>
      <c r="D110" s="87" t="str">
        <f t="shared" ca="1" si="9"/>
        <v/>
      </c>
      <c r="E110" s="79"/>
      <c r="F110" s="88" t="str">
        <f t="shared" si="10"/>
        <v/>
      </c>
      <c r="G110" s="43" t="s">
        <v>136</v>
      </c>
      <c r="H110" s="81"/>
      <c r="I110" s="89" t="str">
        <f>IF(A110="","Pending",IF(H110="","⚠️ Enter Agent Code",IF(IFERROR(VLOOKUP(G110,DB_Agents!$B:$I,8,0),"")=H110,IF(AND(A110&lt;&gt;"",E110&lt;&gt;""),"Saved","Pending"),"🔒 BLOCKED — Wrong Code")))</f>
        <v>Pending</v>
      </c>
      <c r="J110" s="90" t="str">
        <f t="shared" ca="1" si="11"/>
        <v>—</v>
      </c>
      <c r="K110" s="91"/>
    </row>
    <row r="111" spans="1:11" ht="15" customHeight="1" x14ac:dyDescent="0.25">
      <c r="A111" s="76"/>
      <c r="B111" s="37" t="str">
        <f>IF(A111="","",IFERROR(VLOOKUP(A111,DB_Customers!$A:$D,4,0),"❌ Account Not Found"))</f>
        <v/>
      </c>
      <c r="C111" s="77" t="str">
        <f>IF(A111="","",IFERROR(IF(SUMIF(DB_Savings!$C:$C,A111,DB_Savings!$F:$F)=0,VLOOKUP(A111,DB_Customers!$A:$I,9,0),VLOOKUP(A111,DB_Customers!$A:$N,14,0)),"❌ Acct Not Found"))</f>
        <v/>
      </c>
      <c r="D111" s="78" t="str">
        <f t="shared" ca="1" si="9"/>
        <v/>
      </c>
      <c r="E111" s="79"/>
      <c r="F111" s="80" t="str">
        <f t="shared" si="10"/>
        <v/>
      </c>
      <c r="G111" s="39" t="s">
        <v>136</v>
      </c>
      <c r="H111" s="81"/>
      <c r="I111" s="82" t="str">
        <f>IF(A111="","Pending",IF(H111="","⚠️ Enter Agent Code",IF(IFERROR(VLOOKUP(G111,DB_Agents!$B:$I,8,0),"")=H111,IF(AND(A111&lt;&gt;"",E111&lt;&gt;""),"Saved","Pending"),"🔒 BLOCKED — Wrong Code")))</f>
        <v>Pending</v>
      </c>
      <c r="J111" s="83" t="str">
        <f t="shared" ca="1" si="11"/>
        <v>—</v>
      </c>
      <c r="K111" s="84"/>
    </row>
    <row r="112" spans="1:11" ht="15" customHeight="1" x14ac:dyDescent="0.25">
      <c r="A112" s="85"/>
      <c r="B112" s="41" t="str">
        <f>IF(A112="","",IFERROR(VLOOKUP(A112,DB_Customers!$A:$D,4,0),"❌ Account Not Found"))</f>
        <v/>
      </c>
      <c r="C112" s="86" t="str">
        <f>IF(A112="","",IFERROR(IF(SUMIF(DB_Savings!$C:$C,A112,DB_Savings!$F:$F)=0,VLOOKUP(A112,DB_Customers!$A:$I,9,0),VLOOKUP(A112,DB_Customers!$A:$N,14,0)),"❌ Acct Not Found"))</f>
        <v/>
      </c>
      <c r="D112" s="87" t="str">
        <f t="shared" ca="1" si="9"/>
        <v/>
      </c>
      <c r="E112" s="79"/>
      <c r="F112" s="88" t="str">
        <f t="shared" si="10"/>
        <v/>
      </c>
      <c r="G112" s="43" t="s">
        <v>136</v>
      </c>
      <c r="H112" s="81"/>
      <c r="I112" s="89" t="str">
        <f>IF(A112="","Pending",IF(H112="","⚠️ Enter Agent Code",IF(IFERROR(VLOOKUP(G112,DB_Agents!$B:$I,8,0),"")=H112,IF(AND(A112&lt;&gt;"",E112&lt;&gt;""),"Saved","Pending"),"🔒 BLOCKED — Wrong Code")))</f>
        <v>Pending</v>
      </c>
      <c r="J112" s="90" t="str">
        <f t="shared" ca="1" si="11"/>
        <v>—</v>
      </c>
      <c r="K112" s="91"/>
    </row>
    <row r="113" spans="1:11" ht="15" customHeight="1" x14ac:dyDescent="0.25">
      <c r="A113" s="76"/>
      <c r="B113" s="37" t="str">
        <f>IF(A113="","",IFERROR(VLOOKUP(A113,DB_Customers!$A:$D,4,0),"❌ Account Not Found"))</f>
        <v/>
      </c>
      <c r="C113" s="77" t="str">
        <f>IF(A113="","",IFERROR(IF(SUMIF(DB_Savings!$C:$C,A113,DB_Savings!$F:$F)=0,VLOOKUP(A113,DB_Customers!$A:$I,9,0),VLOOKUP(A113,DB_Customers!$A:$N,14,0)),"❌ Acct Not Found"))</f>
        <v/>
      </c>
      <c r="D113" s="78" t="str">
        <f t="shared" ca="1" si="9"/>
        <v/>
      </c>
      <c r="E113" s="79"/>
      <c r="F113" s="80" t="str">
        <f t="shared" si="10"/>
        <v/>
      </c>
      <c r="G113" s="39" t="s">
        <v>136</v>
      </c>
      <c r="H113" s="81"/>
      <c r="I113" s="82" t="str">
        <f>IF(A113="","Pending",IF(H113="","⚠️ Enter Agent Code",IF(IFERROR(VLOOKUP(G113,DB_Agents!$B:$I,8,0),"")=H113,IF(AND(A113&lt;&gt;"",E113&lt;&gt;""),"Saved","Pending"),"🔒 BLOCKED — Wrong Code")))</f>
        <v>Pending</v>
      </c>
      <c r="J113" s="83" t="str">
        <f t="shared" ca="1" si="11"/>
        <v>—</v>
      </c>
      <c r="K113" s="84"/>
    </row>
    <row r="114" spans="1:11" ht="15" customHeight="1" x14ac:dyDescent="0.25">
      <c r="A114" s="85"/>
      <c r="B114" s="41" t="str">
        <f>IF(A114="","",IFERROR(VLOOKUP(A114,DB_Customers!$A:$D,4,0),"❌ Account Not Found"))</f>
        <v/>
      </c>
      <c r="C114" s="86" t="str">
        <f>IF(A114="","",IFERROR(IF(SUMIF(DB_Savings!$C:$C,A114,DB_Savings!$F:$F)=0,VLOOKUP(A114,DB_Customers!$A:$I,9,0),VLOOKUP(A114,DB_Customers!$A:$N,14,0)),"❌ Acct Not Found"))</f>
        <v/>
      </c>
      <c r="D114" s="87" t="str">
        <f t="shared" ca="1" si="9"/>
        <v/>
      </c>
      <c r="E114" s="79"/>
      <c r="F114" s="88" t="str">
        <f t="shared" si="10"/>
        <v/>
      </c>
      <c r="G114" s="43" t="s">
        <v>136</v>
      </c>
      <c r="H114" s="81"/>
      <c r="I114" s="89" t="str">
        <f>IF(A114="","Pending",IF(H114="","⚠️ Enter Agent Code",IF(IFERROR(VLOOKUP(G114,DB_Agents!$B:$I,8,0),"")=H114,IF(AND(A114&lt;&gt;"",E114&lt;&gt;""),"Saved","Pending"),"🔒 BLOCKED — Wrong Code")))</f>
        <v>Pending</v>
      </c>
      <c r="J114" s="90" t="str">
        <f t="shared" ca="1" si="11"/>
        <v>—</v>
      </c>
      <c r="K114" s="91"/>
    </row>
    <row r="115" spans="1:11" ht="15" customHeight="1" x14ac:dyDescent="0.25">
      <c r="A115" s="76"/>
      <c r="B115" s="37" t="str">
        <f>IF(A115="","",IFERROR(VLOOKUP(A115,DB_Customers!$A:$D,4,0),"❌ Account Not Found"))</f>
        <v/>
      </c>
      <c r="C115" s="77" t="str">
        <f>IF(A115="","",IFERROR(IF(SUMIF(DB_Savings!$C:$C,A115,DB_Savings!$F:$F)=0,VLOOKUP(A115,DB_Customers!$A:$I,9,0),VLOOKUP(A115,DB_Customers!$A:$N,14,0)),"❌ Acct Not Found"))</f>
        <v/>
      </c>
      <c r="D115" s="78" t="str">
        <f t="shared" ca="1" si="9"/>
        <v/>
      </c>
      <c r="E115" s="79"/>
      <c r="F115" s="80" t="str">
        <f t="shared" si="10"/>
        <v/>
      </c>
      <c r="G115" s="39" t="s">
        <v>136</v>
      </c>
      <c r="H115" s="81"/>
      <c r="I115" s="82" t="str">
        <f>IF(A115="","Pending",IF(H115="","⚠️ Enter Agent Code",IF(IFERROR(VLOOKUP(G115,DB_Agents!$B:$I,8,0),"")=H115,IF(AND(A115&lt;&gt;"",E115&lt;&gt;""),"Saved","Pending"),"🔒 BLOCKED — Wrong Code")))</f>
        <v>Pending</v>
      </c>
      <c r="J115" s="83" t="str">
        <f t="shared" ca="1" si="11"/>
        <v>—</v>
      </c>
      <c r="K115" s="84"/>
    </row>
    <row r="116" spans="1:11" ht="15" customHeight="1" x14ac:dyDescent="0.25">
      <c r="A116" s="85"/>
      <c r="B116" s="41" t="str">
        <f>IF(A116="","",IFERROR(VLOOKUP(A116,DB_Customers!$A:$D,4,0),"❌ Account Not Found"))</f>
        <v/>
      </c>
      <c r="C116" s="86" t="str">
        <f>IF(A116="","",IFERROR(IF(SUMIF(DB_Savings!$C:$C,A116,DB_Savings!$F:$F)=0,VLOOKUP(A116,DB_Customers!$A:$I,9,0),VLOOKUP(A116,DB_Customers!$A:$N,14,0)),"❌ Acct Not Found"))</f>
        <v/>
      </c>
      <c r="D116" s="87" t="str">
        <f t="shared" ca="1" si="9"/>
        <v/>
      </c>
      <c r="E116" s="79"/>
      <c r="F116" s="88" t="str">
        <f t="shared" si="10"/>
        <v/>
      </c>
      <c r="G116" s="43" t="s">
        <v>136</v>
      </c>
      <c r="H116" s="81"/>
      <c r="I116" s="89" t="str">
        <f>IF(A116="","Pending",IF(H116="","⚠️ Enter Agent Code",IF(IFERROR(VLOOKUP(G116,DB_Agents!$B:$I,8,0),"")=H116,IF(AND(A116&lt;&gt;"",E116&lt;&gt;""),"Saved","Pending"),"🔒 BLOCKED — Wrong Code")))</f>
        <v>Pending</v>
      </c>
      <c r="J116" s="90" t="str">
        <f t="shared" ca="1" si="11"/>
        <v>—</v>
      </c>
      <c r="K116" s="91"/>
    </row>
    <row r="117" spans="1:11" ht="15" customHeight="1" x14ac:dyDescent="0.25">
      <c r="A117" s="76"/>
      <c r="B117" s="37" t="str">
        <f>IF(A117="","",IFERROR(VLOOKUP(A117,DB_Customers!$A:$D,4,0),"❌ Account Not Found"))</f>
        <v/>
      </c>
      <c r="C117" s="77" t="str">
        <f>IF(A117="","",IFERROR(IF(SUMIF(DB_Savings!$C:$C,A117,DB_Savings!$F:$F)=0,VLOOKUP(A117,DB_Customers!$A:$I,9,0),VLOOKUP(A117,DB_Customers!$A:$N,14,0)),"❌ Acct Not Found"))</f>
        <v/>
      </c>
      <c r="D117" s="78" t="str">
        <f t="shared" ca="1" si="9"/>
        <v/>
      </c>
      <c r="E117" s="79"/>
      <c r="F117" s="80" t="str">
        <f t="shared" si="10"/>
        <v/>
      </c>
      <c r="G117" s="39" t="s">
        <v>136</v>
      </c>
      <c r="H117" s="81"/>
      <c r="I117" s="82" t="str">
        <f>IF(A117="","Pending",IF(H117="","⚠️ Enter Agent Code",IF(IFERROR(VLOOKUP(G117,DB_Agents!$B:$I,8,0),"")=H117,IF(AND(A117&lt;&gt;"",E117&lt;&gt;""),"Saved","Pending"),"🔒 BLOCKED — Wrong Code")))</f>
        <v>Pending</v>
      </c>
      <c r="J117" s="83" t="str">
        <f t="shared" ca="1" si="11"/>
        <v>—</v>
      </c>
      <c r="K117" s="84"/>
    </row>
    <row r="118" spans="1:11" ht="15" customHeight="1" x14ac:dyDescent="0.25">
      <c r="A118" s="85"/>
      <c r="B118" s="41" t="str">
        <f>IF(A118="","",IFERROR(VLOOKUP(A118,DB_Customers!$A:$D,4,0),"❌ Account Not Found"))</f>
        <v/>
      </c>
      <c r="C118" s="86" t="str">
        <f>IF(A118="","",IFERROR(IF(SUMIF(DB_Savings!$C:$C,A118,DB_Savings!$F:$F)=0,VLOOKUP(A118,DB_Customers!$A:$I,9,0),VLOOKUP(A118,DB_Customers!$A:$N,14,0)),"❌ Acct Not Found"))</f>
        <v/>
      </c>
      <c r="D118" s="87" t="str">
        <f t="shared" ca="1" si="9"/>
        <v/>
      </c>
      <c r="E118" s="79"/>
      <c r="F118" s="88" t="str">
        <f t="shared" si="10"/>
        <v/>
      </c>
      <c r="G118" s="43" t="s">
        <v>136</v>
      </c>
      <c r="H118" s="81"/>
      <c r="I118" s="89" t="str">
        <f>IF(A118="","Pending",IF(H118="","⚠️ Enter Agent Code",IF(IFERROR(VLOOKUP(G118,DB_Agents!$B:$I,8,0),"")=H118,IF(AND(A118&lt;&gt;"",E118&lt;&gt;""),"Saved","Pending"),"🔒 BLOCKED — Wrong Code")))</f>
        <v>Pending</v>
      </c>
      <c r="J118" s="90" t="str">
        <f t="shared" ca="1" si="11"/>
        <v>—</v>
      </c>
      <c r="K118" s="91"/>
    </row>
    <row r="119" spans="1:11" ht="15" customHeight="1" x14ac:dyDescent="0.25">
      <c r="A119" s="76"/>
      <c r="B119" s="37" t="str">
        <f>IF(A119="","",IFERROR(VLOOKUP(A119,DB_Customers!$A:$D,4,0),"❌ Account Not Found"))</f>
        <v/>
      </c>
      <c r="C119" s="77" t="str">
        <f>IF(A119="","",IFERROR(IF(SUMIF(DB_Savings!$C:$C,A119,DB_Savings!$F:$F)=0,VLOOKUP(A119,DB_Customers!$A:$I,9,0),VLOOKUP(A119,DB_Customers!$A:$N,14,0)),"❌ Acct Not Found"))</f>
        <v/>
      </c>
      <c r="D119" s="78" t="str">
        <f t="shared" ca="1" si="9"/>
        <v/>
      </c>
      <c r="E119" s="79"/>
      <c r="F119" s="80" t="str">
        <f t="shared" si="10"/>
        <v/>
      </c>
      <c r="G119" s="39" t="s">
        <v>136</v>
      </c>
      <c r="H119" s="81"/>
      <c r="I119" s="82" t="str">
        <f>IF(A119="","Pending",IF(H119="","⚠️ Enter Agent Code",IF(IFERROR(VLOOKUP(G119,DB_Agents!$B:$I,8,0),"")=H119,IF(AND(A119&lt;&gt;"",E119&lt;&gt;""),"Saved","Pending"),"🔒 BLOCKED — Wrong Code")))</f>
        <v>Pending</v>
      </c>
      <c r="J119" s="83" t="str">
        <f t="shared" ca="1" si="11"/>
        <v>—</v>
      </c>
      <c r="K119" s="84"/>
    </row>
    <row r="120" spans="1:11" ht="15" customHeight="1" x14ac:dyDescent="0.25">
      <c r="A120" s="85"/>
      <c r="B120" s="41" t="str">
        <f>IF(A120="","",IFERROR(VLOOKUP(A120,DB_Customers!$A:$D,4,0),"❌ Account Not Found"))</f>
        <v/>
      </c>
      <c r="C120" s="86" t="str">
        <f>IF(A120="","",IFERROR(IF(SUMIF(DB_Savings!$C:$C,A120,DB_Savings!$F:$F)=0,VLOOKUP(A120,DB_Customers!$A:$I,9,0),VLOOKUP(A120,DB_Customers!$A:$N,14,0)),"❌ Acct Not Found"))</f>
        <v/>
      </c>
      <c r="D120" s="87" t="str">
        <f t="shared" ca="1" si="9"/>
        <v/>
      </c>
      <c r="E120" s="79"/>
      <c r="F120" s="88" t="str">
        <f t="shared" si="10"/>
        <v/>
      </c>
      <c r="G120" s="43" t="s">
        <v>136</v>
      </c>
      <c r="H120" s="81"/>
      <c r="I120" s="89" t="str">
        <f>IF(A120="","Pending",IF(H120="","⚠️ Enter Agent Code",IF(IFERROR(VLOOKUP(G120,DB_Agents!$B:$I,8,0),"")=H120,IF(AND(A120&lt;&gt;"",E120&lt;&gt;""),"Saved","Pending"),"🔒 BLOCKED — Wrong Code")))</f>
        <v>Pending</v>
      </c>
      <c r="J120" s="90" t="str">
        <f t="shared" ca="1" si="11"/>
        <v>—</v>
      </c>
      <c r="K120" s="91"/>
    </row>
    <row r="121" spans="1:11" ht="15" customHeight="1" x14ac:dyDescent="0.25">
      <c r="A121" s="76"/>
      <c r="B121" s="37" t="str">
        <f>IF(A121="","",IFERROR(VLOOKUP(A121,DB_Customers!$A:$D,4,0),"❌ Account Not Found"))</f>
        <v/>
      </c>
      <c r="C121" s="77" t="str">
        <f>IF(A121="","",IFERROR(IF(SUMIF(DB_Savings!$C:$C,A121,DB_Savings!$F:$F)=0,VLOOKUP(A121,DB_Customers!$A:$I,9,0),VLOOKUP(A121,DB_Customers!$A:$N,14,0)),"❌ Acct Not Found"))</f>
        <v/>
      </c>
      <c r="D121" s="78" t="str">
        <f t="shared" ca="1" si="9"/>
        <v/>
      </c>
      <c r="E121" s="79"/>
      <c r="F121" s="80" t="str">
        <f t="shared" si="10"/>
        <v/>
      </c>
      <c r="G121" s="39" t="s">
        <v>136</v>
      </c>
      <c r="H121" s="81"/>
      <c r="I121" s="82" t="str">
        <f>IF(A121="","Pending",IF(H121="","⚠️ Enter Agent Code",IF(IFERROR(VLOOKUP(G121,DB_Agents!$B:$I,8,0),"")=H121,IF(AND(A121&lt;&gt;"",E121&lt;&gt;""),"Saved","Pending"),"🔒 BLOCKED — Wrong Code")))</f>
        <v>Pending</v>
      </c>
      <c r="J121" s="83" t="str">
        <f t="shared" ca="1" si="11"/>
        <v>—</v>
      </c>
      <c r="K121" s="84"/>
    </row>
    <row r="122" spans="1:11" ht="15" customHeight="1" x14ac:dyDescent="0.25">
      <c r="A122" s="85"/>
      <c r="B122" s="41" t="str">
        <f>IF(A122="","",IFERROR(VLOOKUP(A122,DB_Customers!$A:$D,4,0),"❌ Account Not Found"))</f>
        <v/>
      </c>
      <c r="C122" s="86" t="str">
        <f>IF(A122="","",IFERROR(IF(SUMIF(DB_Savings!$C:$C,A122,DB_Savings!$F:$F)=0,VLOOKUP(A122,DB_Customers!$A:$I,9,0),VLOOKUP(A122,DB_Customers!$A:$N,14,0)),"❌ Acct Not Found"))</f>
        <v/>
      </c>
      <c r="D122" s="87" t="str">
        <f t="shared" ca="1" si="9"/>
        <v/>
      </c>
      <c r="E122" s="79"/>
      <c r="F122" s="88" t="str">
        <f t="shared" si="10"/>
        <v/>
      </c>
      <c r="G122" s="43" t="s">
        <v>136</v>
      </c>
      <c r="H122" s="81"/>
      <c r="I122" s="89" t="str">
        <f>IF(A122="","Pending",IF(H122="","⚠️ Enter Agent Code",IF(IFERROR(VLOOKUP(G122,DB_Agents!$B:$I,8,0),"")=H122,IF(AND(A122&lt;&gt;"",E122&lt;&gt;""),"Saved","Pending"),"🔒 BLOCKED — Wrong Code")))</f>
        <v>Pending</v>
      </c>
      <c r="J122" s="90" t="str">
        <f t="shared" ca="1" si="11"/>
        <v>—</v>
      </c>
      <c r="K122" s="91"/>
    </row>
    <row r="123" spans="1:11" ht="15" customHeight="1" x14ac:dyDescent="0.25">
      <c r="A123" s="76"/>
      <c r="B123" s="37" t="str">
        <f>IF(A123="","",IFERROR(VLOOKUP(A123,DB_Customers!$A:$D,4,0),"❌ Account Not Found"))</f>
        <v/>
      </c>
      <c r="C123" s="77" t="str">
        <f>IF(A123="","",IFERROR(IF(SUMIF(DB_Savings!$C:$C,A123,DB_Savings!$F:$F)=0,VLOOKUP(A123,DB_Customers!$A:$I,9,0),VLOOKUP(A123,DB_Customers!$A:$N,14,0)),"❌ Acct Not Found"))</f>
        <v/>
      </c>
      <c r="D123" s="78" t="str">
        <f t="shared" ca="1" si="9"/>
        <v/>
      </c>
      <c r="E123" s="79"/>
      <c r="F123" s="80" t="str">
        <f t="shared" si="10"/>
        <v/>
      </c>
      <c r="G123" s="39" t="s">
        <v>136</v>
      </c>
      <c r="H123" s="81"/>
      <c r="I123" s="82" t="str">
        <f>IF(A123="","Pending",IF(H123="","⚠️ Enter Agent Code",IF(IFERROR(VLOOKUP(G123,DB_Agents!$B:$I,8,0),"")=H123,IF(AND(A123&lt;&gt;"",E123&lt;&gt;""),"Saved","Pending"),"🔒 BLOCKED — Wrong Code")))</f>
        <v>Pending</v>
      </c>
      <c r="J123" s="83" t="str">
        <f t="shared" ca="1" si="11"/>
        <v>—</v>
      </c>
      <c r="K123" s="84"/>
    </row>
    <row r="124" spans="1:11" ht="15" customHeight="1" x14ac:dyDescent="0.25">
      <c r="A124" s="85"/>
      <c r="B124" s="41" t="str">
        <f>IF(A124="","",IFERROR(VLOOKUP(A124,DB_Customers!$A:$D,4,0),"❌ Account Not Found"))</f>
        <v/>
      </c>
      <c r="C124" s="86" t="str">
        <f>IF(A124="","",IFERROR(IF(SUMIF(DB_Savings!$C:$C,A124,DB_Savings!$F:$F)=0,VLOOKUP(A124,DB_Customers!$A:$I,9,0),VLOOKUP(A124,DB_Customers!$A:$N,14,0)),"❌ Acct Not Found"))</f>
        <v/>
      </c>
      <c r="D124" s="87" t="str">
        <f t="shared" ca="1" si="9"/>
        <v/>
      </c>
      <c r="E124" s="79"/>
      <c r="F124" s="88" t="str">
        <f t="shared" si="10"/>
        <v/>
      </c>
      <c r="G124" s="43" t="s">
        <v>136</v>
      </c>
      <c r="H124" s="81"/>
      <c r="I124" s="89" t="str">
        <f>IF(A124="","Pending",IF(H124="","⚠️ Enter Agent Code",IF(IFERROR(VLOOKUP(G124,DB_Agents!$B:$I,8,0),"")=H124,IF(AND(A124&lt;&gt;"",E124&lt;&gt;""),"Saved","Pending"),"🔒 BLOCKED — Wrong Code")))</f>
        <v>Pending</v>
      </c>
      <c r="J124" s="90" t="str">
        <f t="shared" ca="1" si="11"/>
        <v>—</v>
      </c>
      <c r="K124" s="91"/>
    </row>
    <row r="125" spans="1:11" ht="15" customHeight="1" x14ac:dyDescent="0.25">
      <c r="A125" s="76"/>
      <c r="B125" s="37" t="str">
        <f>IF(A125="","",IFERROR(VLOOKUP(A125,DB_Customers!$A:$D,4,0),"❌ Account Not Found"))</f>
        <v/>
      </c>
      <c r="C125" s="77" t="str">
        <f>IF(A125="","",IFERROR(IF(SUMIF(DB_Savings!$C:$C,A125,DB_Savings!$F:$F)=0,VLOOKUP(A125,DB_Customers!$A:$I,9,0),VLOOKUP(A125,DB_Customers!$A:$N,14,0)),"❌ Acct Not Found"))</f>
        <v/>
      </c>
      <c r="D125" s="78" t="str">
        <f t="shared" ca="1" si="9"/>
        <v/>
      </c>
      <c r="E125" s="79"/>
      <c r="F125" s="80" t="str">
        <f t="shared" si="10"/>
        <v/>
      </c>
      <c r="G125" s="39" t="s">
        <v>136</v>
      </c>
      <c r="H125" s="81"/>
      <c r="I125" s="82" t="str">
        <f>IF(A125="","Pending",IF(H125="","⚠️ Enter Agent Code",IF(IFERROR(VLOOKUP(G125,DB_Agents!$B:$I,8,0),"")=H125,IF(AND(A125&lt;&gt;"",E125&lt;&gt;""),"Saved","Pending"),"🔒 BLOCKED — Wrong Code")))</f>
        <v>Pending</v>
      </c>
      <c r="J125" s="83" t="str">
        <f t="shared" ca="1" si="11"/>
        <v>—</v>
      </c>
      <c r="K125" s="84"/>
    </row>
    <row r="126" spans="1:11" ht="15" customHeight="1" x14ac:dyDescent="0.25">
      <c r="A126" s="85"/>
      <c r="B126" s="41" t="str">
        <f>IF(A126="","",IFERROR(VLOOKUP(A126,DB_Customers!$A:$D,4,0),"❌ Account Not Found"))</f>
        <v/>
      </c>
      <c r="C126" s="86" t="str">
        <f>IF(A126="","",IFERROR(IF(SUMIF(DB_Savings!$C:$C,A126,DB_Savings!$F:$F)=0,VLOOKUP(A126,DB_Customers!$A:$I,9,0),VLOOKUP(A126,DB_Customers!$A:$N,14,0)),"❌ Acct Not Found"))</f>
        <v/>
      </c>
      <c r="D126" s="87" t="str">
        <f t="shared" ca="1" si="9"/>
        <v/>
      </c>
      <c r="E126" s="79"/>
      <c r="F126" s="88" t="str">
        <f t="shared" si="10"/>
        <v/>
      </c>
      <c r="G126" s="43" t="s">
        <v>136</v>
      </c>
      <c r="H126" s="81"/>
      <c r="I126" s="89" t="str">
        <f>IF(A126="","Pending",IF(H126="","⚠️ Enter Agent Code",IF(IFERROR(VLOOKUP(G126,DB_Agents!$B:$I,8,0),"")=H126,IF(AND(A126&lt;&gt;"",E126&lt;&gt;""),"Saved","Pending"),"🔒 BLOCKED — Wrong Code")))</f>
        <v>Pending</v>
      </c>
      <c r="J126" s="90" t="str">
        <f t="shared" ca="1" si="11"/>
        <v>—</v>
      </c>
      <c r="K126" s="91"/>
    </row>
    <row r="127" spans="1:11" ht="15" customHeight="1" x14ac:dyDescent="0.25">
      <c r="A127" s="76"/>
      <c r="B127" s="37" t="str">
        <f>IF(A127="","",IFERROR(VLOOKUP(A127,DB_Customers!$A:$D,4,0),"❌ Account Not Found"))</f>
        <v/>
      </c>
      <c r="C127" s="77" t="str">
        <f>IF(A127="","",IFERROR(IF(SUMIF(DB_Savings!$C:$C,A127,DB_Savings!$F:$F)=0,VLOOKUP(A127,DB_Customers!$A:$I,9,0),VLOOKUP(A127,DB_Customers!$A:$N,14,0)),"❌ Acct Not Found"))</f>
        <v/>
      </c>
      <c r="D127" s="78" t="str">
        <f t="shared" ca="1" si="9"/>
        <v/>
      </c>
      <c r="E127" s="79"/>
      <c r="F127" s="80" t="str">
        <f t="shared" si="10"/>
        <v/>
      </c>
      <c r="G127" s="39" t="s">
        <v>136</v>
      </c>
      <c r="H127" s="81"/>
      <c r="I127" s="82" t="str">
        <f>IF(A127="","Pending",IF(H127="","⚠️ Enter Agent Code",IF(IFERROR(VLOOKUP(G127,DB_Agents!$B:$I,8,0),"")=H127,IF(AND(A127&lt;&gt;"",E127&lt;&gt;""),"Saved","Pending"),"🔒 BLOCKED — Wrong Code")))</f>
        <v>Pending</v>
      </c>
      <c r="J127" s="83" t="str">
        <f t="shared" ca="1" si="11"/>
        <v>—</v>
      </c>
      <c r="K127" s="84"/>
    </row>
    <row r="128" spans="1:11" ht="15" customHeight="1" x14ac:dyDescent="0.25">
      <c r="A128" s="85"/>
      <c r="B128" s="41" t="str">
        <f>IF(A128="","",IFERROR(VLOOKUP(A128,DB_Customers!$A:$D,4,0),"❌ Account Not Found"))</f>
        <v/>
      </c>
      <c r="C128" s="86" t="str">
        <f>IF(A128="","",IFERROR(IF(SUMIF(DB_Savings!$C:$C,A128,DB_Savings!$F:$F)=0,VLOOKUP(A128,DB_Customers!$A:$I,9,0),VLOOKUP(A128,DB_Customers!$A:$N,14,0)),"❌ Acct Not Found"))</f>
        <v/>
      </c>
      <c r="D128" s="87" t="str">
        <f t="shared" ca="1" si="9"/>
        <v/>
      </c>
      <c r="E128" s="79"/>
      <c r="F128" s="88" t="str">
        <f t="shared" si="10"/>
        <v/>
      </c>
      <c r="G128" s="43" t="s">
        <v>136</v>
      </c>
      <c r="H128" s="81"/>
      <c r="I128" s="89" t="str">
        <f>IF(A128="","Pending",IF(H128="","⚠️ Enter Agent Code",IF(IFERROR(VLOOKUP(G128,DB_Agents!$B:$I,8,0),"")=H128,IF(AND(A128&lt;&gt;"",E128&lt;&gt;""),"Saved","Pending"),"🔒 BLOCKED — Wrong Code")))</f>
        <v>Pending</v>
      </c>
      <c r="J128" s="90" t="str">
        <f t="shared" ca="1" si="11"/>
        <v>—</v>
      </c>
      <c r="K128" s="91"/>
    </row>
    <row r="129" spans="1:11" ht="15" customHeight="1" x14ac:dyDescent="0.25">
      <c r="A129" s="76"/>
      <c r="B129" s="37" t="str">
        <f>IF(A129="","",IFERROR(VLOOKUP(A129,DB_Customers!$A:$D,4,0),"❌ Account Not Found"))</f>
        <v/>
      </c>
      <c r="C129" s="77" t="str">
        <f>IF(A129="","",IFERROR(IF(SUMIF(DB_Savings!$C:$C,A129,DB_Savings!$F:$F)=0,VLOOKUP(A129,DB_Customers!$A:$I,9,0),VLOOKUP(A129,DB_Customers!$A:$N,14,0)),"❌ Acct Not Found"))</f>
        <v/>
      </c>
      <c r="D129" s="78" t="str">
        <f t="shared" ca="1" si="9"/>
        <v/>
      </c>
      <c r="E129" s="79"/>
      <c r="F129" s="80" t="str">
        <f t="shared" si="10"/>
        <v/>
      </c>
      <c r="G129" s="39" t="s">
        <v>136</v>
      </c>
      <c r="H129" s="81"/>
      <c r="I129" s="82" t="str">
        <f>IF(A129="","Pending",IF(H129="","⚠️ Enter Agent Code",IF(IFERROR(VLOOKUP(G129,DB_Agents!$B:$I,8,0),"")=H129,IF(AND(A129&lt;&gt;"",E129&lt;&gt;""),"Saved","Pending"),"🔒 BLOCKED — Wrong Code")))</f>
        <v>Pending</v>
      </c>
      <c r="J129" s="83" t="str">
        <f t="shared" ca="1" si="11"/>
        <v>—</v>
      </c>
      <c r="K129" s="84"/>
    </row>
    <row r="130" spans="1:11" ht="15" customHeight="1" x14ac:dyDescent="0.25">
      <c r="A130" s="85"/>
      <c r="B130" s="41" t="str">
        <f>IF(A130="","",IFERROR(VLOOKUP(A130,DB_Customers!$A:$D,4,0),"❌ Account Not Found"))</f>
        <v/>
      </c>
      <c r="C130" s="86" t="str">
        <f>IF(A130="","",IFERROR(IF(SUMIF(DB_Savings!$C:$C,A130,DB_Savings!$F:$F)=0,VLOOKUP(A130,DB_Customers!$A:$I,9,0),VLOOKUP(A130,DB_Customers!$A:$N,14,0)),"❌ Acct Not Found"))</f>
        <v/>
      </c>
      <c r="D130" s="87" t="str">
        <f t="shared" ca="1" si="9"/>
        <v/>
      </c>
      <c r="E130" s="79"/>
      <c r="F130" s="88" t="str">
        <f t="shared" si="10"/>
        <v/>
      </c>
      <c r="G130" s="43" t="s">
        <v>136</v>
      </c>
      <c r="H130" s="81"/>
      <c r="I130" s="89" t="str">
        <f>IF(A130="","Pending",IF(H130="","⚠️ Enter Agent Code",IF(IFERROR(VLOOKUP(G130,DB_Agents!$B:$I,8,0),"")=H130,IF(AND(A130&lt;&gt;"",E130&lt;&gt;""),"Saved","Pending"),"🔒 BLOCKED — Wrong Code")))</f>
        <v>Pending</v>
      </c>
      <c r="J130" s="90" t="str">
        <f t="shared" ca="1" si="11"/>
        <v>—</v>
      </c>
      <c r="K130" s="91"/>
    </row>
    <row r="131" spans="1:11" ht="15" customHeight="1" x14ac:dyDescent="0.25">
      <c r="A131" s="76"/>
      <c r="B131" s="37" t="str">
        <f>IF(A131="","",IFERROR(VLOOKUP(A131,DB_Customers!$A:$D,4,0),"❌ Account Not Found"))</f>
        <v/>
      </c>
      <c r="C131" s="77" t="str">
        <f>IF(A131="","",IFERROR(IF(SUMIF(DB_Savings!$C:$C,A131,DB_Savings!$F:$F)=0,VLOOKUP(A131,DB_Customers!$A:$I,9,0),VLOOKUP(A131,DB_Customers!$A:$N,14,0)),"❌ Acct Not Found"))</f>
        <v/>
      </c>
      <c r="D131" s="78" t="str">
        <f t="shared" ca="1" si="9"/>
        <v/>
      </c>
      <c r="E131" s="79"/>
      <c r="F131" s="80" t="str">
        <f t="shared" si="10"/>
        <v/>
      </c>
      <c r="G131" s="39" t="s">
        <v>136</v>
      </c>
      <c r="H131" s="81"/>
      <c r="I131" s="82" t="str">
        <f>IF(A131="","Pending",IF(H131="","⚠️ Enter Agent Code",IF(IFERROR(VLOOKUP(G131,DB_Agents!$B:$I,8,0),"")=H131,IF(AND(A131&lt;&gt;"",E131&lt;&gt;""),"Saved","Pending"),"🔒 BLOCKED — Wrong Code")))</f>
        <v>Pending</v>
      </c>
      <c r="J131" s="83" t="str">
        <f t="shared" ca="1" si="11"/>
        <v>—</v>
      </c>
      <c r="K131" s="84"/>
    </row>
    <row r="132" spans="1:11" ht="15" customHeight="1" x14ac:dyDescent="0.25">
      <c r="A132" s="85"/>
      <c r="B132" s="41" t="str">
        <f>IF(A132="","",IFERROR(VLOOKUP(A132,DB_Customers!$A:$D,4,0),"❌ Account Not Found"))</f>
        <v/>
      </c>
      <c r="C132" s="86" t="str">
        <f>IF(A132="","",IFERROR(IF(SUMIF(DB_Savings!$C:$C,A132,DB_Savings!$F:$F)=0,VLOOKUP(A132,DB_Customers!$A:$I,9,0),VLOOKUP(A132,DB_Customers!$A:$N,14,0)),"❌ Acct Not Found"))</f>
        <v/>
      </c>
      <c r="D132" s="87" t="str">
        <f t="shared" ca="1" si="9"/>
        <v/>
      </c>
      <c r="E132" s="79"/>
      <c r="F132" s="88" t="str">
        <f t="shared" si="10"/>
        <v/>
      </c>
      <c r="G132" s="43" t="s">
        <v>136</v>
      </c>
      <c r="H132" s="81"/>
      <c r="I132" s="89" t="str">
        <f>IF(A132="","Pending",IF(H132="","⚠️ Enter Agent Code",IF(IFERROR(VLOOKUP(G132,DB_Agents!$B:$I,8,0),"")=H132,IF(AND(A132&lt;&gt;"",E132&lt;&gt;""),"Saved","Pending"),"🔒 BLOCKED — Wrong Code")))</f>
        <v>Pending</v>
      </c>
      <c r="J132" s="90" t="str">
        <f t="shared" ca="1" si="11"/>
        <v>—</v>
      </c>
      <c r="K132" s="91"/>
    </row>
    <row r="133" spans="1:11" ht="15" customHeight="1" x14ac:dyDescent="0.25">
      <c r="A133" s="76"/>
      <c r="B133" s="37" t="str">
        <f>IF(A133="","",IFERROR(VLOOKUP(A133,DB_Customers!$A:$D,4,0),"❌ Account Not Found"))</f>
        <v/>
      </c>
      <c r="C133" s="77" t="str">
        <f>IF(A133="","",IFERROR(IF(SUMIF(DB_Savings!$C:$C,A133,DB_Savings!$F:$F)=0,VLOOKUP(A133,DB_Customers!$A:$I,9,0),VLOOKUP(A133,DB_Customers!$A:$N,14,0)),"❌ Acct Not Found"))</f>
        <v/>
      </c>
      <c r="D133" s="78" t="str">
        <f t="shared" ca="1" si="9"/>
        <v/>
      </c>
      <c r="E133" s="79"/>
      <c r="F133" s="80" t="str">
        <f t="shared" si="10"/>
        <v/>
      </c>
      <c r="G133" s="39" t="s">
        <v>136</v>
      </c>
      <c r="H133" s="81"/>
      <c r="I133" s="82" t="str">
        <f>IF(A133="","Pending",IF(H133="","⚠️ Enter Agent Code",IF(IFERROR(VLOOKUP(G133,DB_Agents!$B:$I,8,0),"")=H133,IF(AND(A133&lt;&gt;"",E133&lt;&gt;""),"Saved","Pending"),"🔒 BLOCKED — Wrong Code")))</f>
        <v>Pending</v>
      </c>
      <c r="J133" s="83" t="str">
        <f t="shared" ca="1" si="11"/>
        <v>—</v>
      </c>
      <c r="K133" s="84"/>
    </row>
    <row r="134" spans="1:11" ht="15" customHeight="1" x14ac:dyDescent="0.25">
      <c r="A134" s="85"/>
      <c r="B134" s="41" t="str">
        <f>IF(A134="","",IFERROR(VLOOKUP(A134,DB_Customers!$A:$D,4,0),"❌ Account Not Found"))</f>
        <v/>
      </c>
      <c r="C134" s="86" t="str">
        <f>IF(A134="","",IFERROR(IF(SUMIF(DB_Savings!$C:$C,A134,DB_Savings!$F:$F)=0,VLOOKUP(A134,DB_Customers!$A:$I,9,0),VLOOKUP(A134,DB_Customers!$A:$N,14,0)),"❌ Acct Not Found"))</f>
        <v/>
      </c>
      <c r="D134" s="87" t="str">
        <f t="shared" ca="1" si="9"/>
        <v/>
      </c>
      <c r="E134" s="79"/>
      <c r="F134" s="88" t="str">
        <f t="shared" si="10"/>
        <v/>
      </c>
      <c r="G134" s="43" t="s">
        <v>136</v>
      </c>
      <c r="H134" s="81"/>
      <c r="I134" s="89" t="str">
        <f>IF(A134="","Pending",IF(H134="","⚠️ Enter Agent Code",IF(IFERROR(VLOOKUP(G134,DB_Agents!$B:$I,8,0),"")=H134,IF(AND(A134&lt;&gt;"",E134&lt;&gt;""),"Saved","Pending"),"🔒 BLOCKED — Wrong Code")))</f>
        <v>Pending</v>
      </c>
      <c r="J134" s="90" t="str">
        <f t="shared" ca="1" si="11"/>
        <v>—</v>
      </c>
      <c r="K134" s="91"/>
    </row>
    <row r="135" spans="1:11" ht="15" customHeight="1" x14ac:dyDescent="0.25">
      <c r="A135" s="76"/>
      <c r="B135" s="37" t="str">
        <f>IF(A135="","",IFERROR(VLOOKUP(A135,DB_Customers!$A:$D,4,0),"❌ Account Not Found"))</f>
        <v/>
      </c>
      <c r="C135" s="77" t="str">
        <f>IF(A135="","",IFERROR(IF(SUMIF(DB_Savings!$C:$C,A135,DB_Savings!$F:$F)=0,VLOOKUP(A135,DB_Customers!$A:$I,9,0),VLOOKUP(A135,DB_Customers!$A:$N,14,0)),"❌ Acct Not Found"))</f>
        <v/>
      </c>
      <c r="D135" s="78" t="str">
        <f t="shared" ca="1" si="9"/>
        <v/>
      </c>
      <c r="E135" s="79"/>
      <c r="F135" s="80" t="str">
        <f t="shared" si="10"/>
        <v/>
      </c>
      <c r="G135" s="39" t="s">
        <v>136</v>
      </c>
      <c r="H135" s="81"/>
      <c r="I135" s="82" t="str">
        <f>IF(A135="","Pending",IF(H135="","⚠️ Enter Agent Code",IF(IFERROR(VLOOKUP(G135,DB_Agents!$B:$I,8,0),"")=H135,IF(AND(A135&lt;&gt;"",E135&lt;&gt;""),"Saved","Pending"),"🔒 BLOCKED — Wrong Code")))</f>
        <v>Pending</v>
      </c>
      <c r="J135" s="83" t="str">
        <f t="shared" ca="1" si="11"/>
        <v>—</v>
      </c>
      <c r="K135" s="84"/>
    </row>
    <row r="136" spans="1:11" ht="15" customHeight="1" x14ac:dyDescent="0.25">
      <c r="A136" s="85"/>
      <c r="B136" s="41" t="str">
        <f>IF(A136="","",IFERROR(VLOOKUP(A136,DB_Customers!$A:$D,4,0),"❌ Account Not Found"))</f>
        <v/>
      </c>
      <c r="C136" s="86" t="str">
        <f>IF(A136="","",IFERROR(IF(SUMIF(DB_Savings!$C:$C,A136,DB_Savings!$F:$F)=0,VLOOKUP(A136,DB_Customers!$A:$I,9,0),VLOOKUP(A136,DB_Customers!$A:$N,14,0)),"❌ Acct Not Found"))</f>
        <v/>
      </c>
      <c r="D136" s="87" t="str">
        <f t="shared" ca="1" si="9"/>
        <v/>
      </c>
      <c r="E136" s="79"/>
      <c r="F136" s="88" t="str">
        <f t="shared" si="10"/>
        <v/>
      </c>
      <c r="G136" s="43" t="s">
        <v>136</v>
      </c>
      <c r="H136" s="81"/>
      <c r="I136" s="89" t="str">
        <f>IF(A136="","Pending",IF(H136="","⚠️ Enter Agent Code",IF(IFERROR(VLOOKUP(G136,DB_Agents!$B:$I,8,0),"")=H136,IF(AND(A136&lt;&gt;"",E136&lt;&gt;""),"Saved","Pending"),"🔒 BLOCKED — Wrong Code")))</f>
        <v>Pending</v>
      </c>
      <c r="J136" s="90" t="str">
        <f t="shared" ca="1" si="11"/>
        <v>—</v>
      </c>
      <c r="K136" s="91"/>
    </row>
    <row r="137" spans="1:11" ht="15" customHeight="1" x14ac:dyDescent="0.25">
      <c r="A137" s="76"/>
      <c r="B137" s="37" t="str">
        <f>IF(A137="","",IFERROR(VLOOKUP(A137,DB_Customers!$A:$D,4,0),"❌ Account Not Found"))</f>
        <v/>
      </c>
      <c r="C137" s="77" t="str">
        <f>IF(A137="","",IFERROR(IF(SUMIF(DB_Savings!$C:$C,A137,DB_Savings!$F:$F)=0,VLOOKUP(A137,DB_Customers!$A:$I,9,0),VLOOKUP(A137,DB_Customers!$A:$N,14,0)),"❌ Acct Not Found"))</f>
        <v/>
      </c>
      <c r="D137" s="78" t="str">
        <f t="shared" ref="D137:D168" ca="1" si="12">IF(A137="","",TODAY())</f>
        <v/>
      </c>
      <c r="E137" s="79"/>
      <c r="F137" s="80" t="str">
        <f t="shared" ref="F137:F168" si="13">IF(OR(A137="",E137=""),"",IF(C137="","",C137+E137))</f>
        <v/>
      </c>
      <c r="G137" s="39" t="s">
        <v>136</v>
      </c>
      <c r="H137" s="81"/>
      <c r="I137" s="82" t="str">
        <f>IF(A137="","Pending",IF(H137="","⚠️ Enter Agent Code",IF(IFERROR(VLOOKUP(G137,DB_Agents!$B:$I,8,0),"")=H137,IF(AND(A137&lt;&gt;"",E137&lt;&gt;""),"Saved","Pending"),"🔒 BLOCKED — Wrong Code")))</f>
        <v>Pending</v>
      </c>
      <c r="J137" s="83" t="str">
        <f t="shared" ref="J137:J168" ca="1" si="14">IF(I137="Saved",TEXT(TODAY(),"YYYY-MM-DD")&amp;" Auto","—")</f>
        <v>—</v>
      </c>
      <c r="K137" s="84"/>
    </row>
    <row r="138" spans="1:11" ht="15" customHeight="1" x14ac:dyDescent="0.25">
      <c r="A138" s="85"/>
      <c r="B138" s="41" t="str">
        <f>IF(A138="","",IFERROR(VLOOKUP(A138,DB_Customers!$A:$D,4,0),"❌ Account Not Found"))</f>
        <v/>
      </c>
      <c r="C138" s="86" t="str">
        <f>IF(A138="","",IFERROR(IF(SUMIF(DB_Savings!$C:$C,A138,DB_Savings!$F:$F)=0,VLOOKUP(A138,DB_Customers!$A:$I,9,0),VLOOKUP(A138,DB_Customers!$A:$N,14,0)),"❌ Acct Not Found"))</f>
        <v/>
      </c>
      <c r="D138" s="87" t="str">
        <f t="shared" ca="1" si="12"/>
        <v/>
      </c>
      <c r="E138" s="79"/>
      <c r="F138" s="88" t="str">
        <f t="shared" si="13"/>
        <v/>
      </c>
      <c r="G138" s="43" t="s">
        <v>136</v>
      </c>
      <c r="H138" s="81"/>
      <c r="I138" s="89" t="str">
        <f>IF(A138="","Pending",IF(H138="","⚠️ Enter Agent Code",IF(IFERROR(VLOOKUP(G138,DB_Agents!$B:$I,8,0),"")=H138,IF(AND(A138&lt;&gt;"",E138&lt;&gt;""),"Saved","Pending"),"🔒 BLOCKED — Wrong Code")))</f>
        <v>Pending</v>
      </c>
      <c r="J138" s="90" t="str">
        <f t="shared" ca="1" si="14"/>
        <v>—</v>
      </c>
      <c r="K138" s="91"/>
    </row>
    <row r="139" spans="1:11" ht="15" customHeight="1" x14ac:dyDescent="0.25">
      <c r="A139" s="76"/>
      <c r="B139" s="37" t="str">
        <f>IF(A139="","",IFERROR(VLOOKUP(A139,DB_Customers!$A:$D,4,0),"❌ Account Not Found"))</f>
        <v/>
      </c>
      <c r="C139" s="77" t="str">
        <f>IF(A139="","",IFERROR(IF(SUMIF(DB_Savings!$C:$C,A139,DB_Savings!$F:$F)=0,VLOOKUP(A139,DB_Customers!$A:$I,9,0),VLOOKUP(A139,DB_Customers!$A:$N,14,0)),"❌ Acct Not Found"))</f>
        <v/>
      </c>
      <c r="D139" s="78" t="str">
        <f t="shared" ca="1" si="12"/>
        <v/>
      </c>
      <c r="E139" s="79"/>
      <c r="F139" s="80" t="str">
        <f t="shared" si="13"/>
        <v/>
      </c>
      <c r="G139" s="39" t="s">
        <v>136</v>
      </c>
      <c r="H139" s="81"/>
      <c r="I139" s="82" t="str">
        <f>IF(A139="","Pending",IF(H139="","⚠️ Enter Agent Code",IF(IFERROR(VLOOKUP(G139,DB_Agents!$B:$I,8,0),"")=H139,IF(AND(A139&lt;&gt;"",E139&lt;&gt;""),"Saved","Pending"),"🔒 BLOCKED — Wrong Code")))</f>
        <v>Pending</v>
      </c>
      <c r="J139" s="83" t="str">
        <f t="shared" ca="1" si="14"/>
        <v>—</v>
      </c>
      <c r="K139" s="84"/>
    </row>
    <row r="140" spans="1:11" ht="15" customHeight="1" x14ac:dyDescent="0.25">
      <c r="A140" s="85"/>
      <c r="B140" s="41" t="str">
        <f>IF(A140="","",IFERROR(VLOOKUP(A140,DB_Customers!$A:$D,4,0),"❌ Account Not Found"))</f>
        <v/>
      </c>
      <c r="C140" s="86" t="str">
        <f>IF(A140="","",IFERROR(IF(SUMIF(DB_Savings!$C:$C,A140,DB_Savings!$F:$F)=0,VLOOKUP(A140,DB_Customers!$A:$I,9,0),VLOOKUP(A140,DB_Customers!$A:$N,14,0)),"❌ Acct Not Found"))</f>
        <v/>
      </c>
      <c r="D140" s="87" t="str">
        <f t="shared" ca="1" si="12"/>
        <v/>
      </c>
      <c r="E140" s="79"/>
      <c r="F140" s="88" t="str">
        <f t="shared" si="13"/>
        <v/>
      </c>
      <c r="G140" s="43" t="s">
        <v>136</v>
      </c>
      <c r="H140" s="81"/>
      <c r="I140" s="89" t="str">
        <f>IF(A140="","Pending",IF(H140="","⚠️ Enter Agent Code",IF(IFERROR(VLOOKUP(G140,DB_Agents!$B:$I,8,0),"")=H140,IF(AND(A140&lt;&gt;"",E140&lt;&gt;""),"Saved","Pending"),"🔒 BLOCKED — Wrong Code")))</f>
        <v>Pending</v>
      </c>
      <c r="J140" s="90" t="str">
        <f t="shared" ca="1" si="14"/>
        <v>—</v>
      </c>
      <c r="K140" s="91"/>
    </row>
    <row r="141" spans="1:11" ht="15" customHeight="1" x14ac:dyDescent="0.25">
      <c r="A141" s="76"/>
      <c r="B141" s="37" t="str">
        <f>IF(A141="","",IFERROR(VLOOKUP(A141,DB_Customers!$A:$D,4,0),"❌ Account Not Found"))</f>
        <v/>
      </c>
      <c r="C141" s="77" t="str">
        <f>IF(A141="","",IFERROR(IF(SUMIF(DB_Savings!$C:$C,A141,DB_Savings!$F:$F)=0,VLOOKUP(A141,DB_Customers!$A:$I,9,0),VLOOKUP(A141,DB_Customers!$A:$N,14,0)),"❌ Acct Not Found"))</f>
        <v/>
      </c>
      <c r="D141" s="78" t="str">
        <f t="shared" ca="1" si="12"/>
        <v/>
      </c>
      <c r="E141" s="79"/>
      <c r="F141" s="80" t="str">
        <f t="shared" si="13"/>
        <v/>
      </c>
      <c r="G141" s="39" t="s">
        <v>136</v>
      </c>
      <c r="H141" s="81"/>
      <c r="I141" s="82" t="str">
        <f>IF(A141="","Pending",IF(H141="","⚠️ Enter Agent Code",IF(IFERROR(VLOOKUP(G141,DB_Agents!$B:$I,8,0),"")=H141,IF(AND(A141&lt;&gt;"",E141&lt;&gt;""),"Saved","Pending"),"🔒 BLOCKED — Wrong Code")))</f>
        <v>Pending</v>
      </c>
      <c r="J141" s="83" t="str">
        <f t="shared" ca="1" si="14"/>
        <v>—</v>
      </c>
      <c r="K141" s="84"/>
    </row>
    <row r="142" spans="1:11" ht="15" customHeight="1" x14ac:dyDescent="0.25">
      <c r="A142" s="85"/>
      <c r="B142" s="41" t="str">
        <f>IF(A142="","",IFERROR(VLOOKUP(A142,DB_Customers!$A:$D,4,0),"❌ Account Not Found"))</f>
        <v/>
      </c>
      <c r="C142" s="86" t="str">
        <f>IF(A142="","",IFERROR(IF(SUMIF(DB_Savings!$C:$C,A142,DB_Savings!$F:$F)=0,VLOOKUP(A142,DB_Customers!$A:$I,9,0),VLOOKUP(A142,DB_Customers!$A:$N,14,0)),"❌ Acct Not Found"))</f>
        <v/>
      </c>
      <c r="D142" s="87" t="str">
        <f t="shared" ca="1" si="12"/>
        <v/>
      </c>
      <c r="E142" s="79"/>
      <c r="F142" s="88" t="str">
        <f t="shared" si="13"/>
        <v/>
      </c>
      <c r="G142" s="43" t="s">
        <v>136</v>
      </c>
      <c r="H142" s="81"/>
      <c r="I142" s="89" t="str">
        <f>IF(A142="","Pending",IF(H142="","⚠️ Enter Agent Code",IF(IFERROR(VLOOKUP(G142,DB_Agents!$B:$I,8,0),"")=H142,IF(AND(A142&lt;&gt;"",E142&lt;&gt;""),"Saved","Pending"),"🔒 BLOCKED — Wrong Code")))</f>
        <v>Pending</v>
      </c>
      <c r="J142" s="90" t="str">
        <f t="shared" ca="1" si="14"/>
        <v>—</v>
      </c>
      <c r="K142" s="91"/>
    </row>
    <row r="143" spans="1:11" ht="15" customHeight="1" x14ac:dyDescent="0.25">
      <c r="A143" s="76"/>
      <c r="B143" s="37" t="str">
        <f>IF(A143="","",IFERROR(VLOOKUP(A143,DB_Customers!$A:$D,4,0),"❌ Account Not Found"))</f>
        <v/>
      </c>
      <c r="C143" s="77" t="str">
        <f>IF(A143="","",IFERROR(IF(SUMIF(DB_Savings!$C:$C,A143,DB_Savings!$F:$F)=0,VLOOKUP(A143,DB_Customers!$A:$I,9,0),VLOOKUP(A143,DB_Customers!$A:$N,14,0)),"❌ Acct Not Found"))</f>
        <v/>
      </c>
      <c r="D143" s="78" t="str">
        <f t="shared" ca="1" si="12"/>
        <v/>
      </c>
      <c r="E143" s="79"/>
      <c r="F143" s="80" t="str">
        <f t="shared" si="13"/>
        <v/>
      </c>
      <c r="G143" s="39" t="s">
        <v>136</v>
      </c>
      <c r="H143" s="81"/>
      <c r="I143" s="82" t="str">
        <f>IF(A143="","Pending",IF(H143="","⚠️ Enter Agent Code",IF(IFERROR(VLOOKUP(G143,DB_Agents!$B:$I,8,0),"")=H143,IF(AND(A143&lt;&gt;"",E143&lt;&gt;""),"Saved","Pending"),"🔒 BLOCKED — Wrong Code")))</f>
        <v>Pending</v>
      </c>
      <c r="J143" s="83" t="str">
        <f t="shared" ca="1" si="14"/>
        <v>—</v>
      </c>
      <c r="K143" s="84"/>
    </row>
    <row r="144" spans="1:11" ht="15" customHeight="1" x14ac:dyDescent="0.25">
      <c r="A144" s="85"/>
      <c r="B144" s="41" t="str">
        <f>IF(A144="","",IFERROR(VLOOKUP(A144,DB_Customers!$A:$D,4,0),"❌ Account Not Found"))</f>
        <v/>
      </c>
      <c r="C144" s="86" t="str">
        <f>IF(A144="","",IFERROR(IF(SUMIF(DB_Savings!$C:$C,A144,DB_Savings!$F:$F)=0,VLOOKUP(A144,DB_Customers!$A:$I,9,0),VLOOKUP(A144,DB_Customers!$A:$N,14,0)),"❌ Acct Not Found"))</f>
        <v/>
      </c>
      <c r="D144" s="87" t="str">
        <f t="shared" ca="1" si="12"/>
        <v/>
      </c>
      <c r="E144" s="79"/>
      <c r="F144" s="88" t="str">
        <f t="shared" si="13"/>
        <v/>
      </c>
      <c r="G144" s="43" t="s">
        <v>136</v>
      </c>
      <c r="H144" s="81"/>
      <c r="I144" s="89" t="str">
        <f>IF(A144="","Pending",IF(H144="","⚠️ Enter Agent Code",IF(IFERROR(VLOOKUP(G144,DB_Agents!$B:$I,8,0),"")=H144,IF(AND(A144&lt;&gt;"",E144&lt;&gt;""),"Saved","Pending"),"🔒 BLOCKED — Wrong Code")))</f>
        <v>Pending</v>
      </c>
      <c r="J144" s="90" t="str">
        <f t="shared" ca="1" si="14"/>
        <v>—</v>
      </c>
      <c r="K144" s="91"/>
    </row>
    <row r="145" spans="1:11" ht="15" customHeight="1" x14ac:dyDescent="0.25">
      <c r="A145" s="76"/>
      <c r="B145" s="37" t="str">
        <f>IF(A145="","",IFERROR(VLOOKUP(A145,DB_Customers!$A:$D,4,0),"❌ Account Not Found"))</f>
        <v/>
      </c>
      <c r="C145" s="77" t="str">
        <f>IF(A145="","",IFERROR(IF(SUMIF(DB_Savings!$C:$C,A145,DB_Savings!$F:$F)=0,VLOOKUP(A145,DB_Customers!$A:$I,9,0),VLOOKUP(A145,DB_Customers!$A:$N,14,0)),"❌ Acct Not Found"))</f>
        <v/>
      </c>
      <c r="D145" s="78" t="str">
        <f t="shared" ca="1" si="12"/>
        <v/>
      </c>
      <c r="E145" s="79"/>
      <c r="F145" s="80" t="str">
        <f t="shared" si="13"/>
        <v/>
      </c>
      <c r="G145" s="39" t="s">
        <v>136</v>
      </c>
      <c r="H145" s="81"/>
      <c r="I145" s="82" t="str">
        <f>IF(A145="","Pending",IF(H145="","⚠️ Enter Agent Code",IF(IFERROR(VLOOKUP(G145,DB_Agents!$B:$I,8,0),"")=H145,IF(AND(A145&lt;&gt;"",E145&lt;&gt;""),"Saved","Pending"),"🔒 BLOCKED — Wrong Code")))</f>
        <v>Pending</v>
      </c>
      <c r="J145" s="83" t="str">
        <f t="shared" ca="1" si="14"/>
        <v>—</v>
      </c>
      <c r="K145" s="84"/>
    </row>
    <row r="146" spans="1:11" ht="15" customHeight="1" x14ac:dyDescent="0.25">
      <c r="A146" s="85"/>
      <c r="B146" s="41" t="str">
        <f>IF(A146="","",IFERROR(VLOOKUP(A146,DB_Customers!$A:$D,4,0),"❌ Account Not Found"))</f>
        <v/>
      </c>
      <c r="C146" s="86" t="str">
        <f>IF(A146="","",IFERROR(IF(SUMIF(DB_Savings!$C:$C,A146,DB_Savings!$F:$F)=0,VLOOKUP(A146,DB_Customers!$A:$I,9,0),VLOOKUP(A146,DB_Customers!$A:$N,14,0)),"❌ Acct Not Found"))</f>
        <v/>
      </c>
      <c r="D146" s="87" t="str">
        <f t="shared" ca="1" si="12"/>
        <v/>
      </c>
      <c r="E146" s="79"/>
      <c r="F146" s="88" t="str">
        <f t="shared" si="13"/>
        <v/>
      </c>
      <c r="G146" s="43" t="s">
        <v>136</v>
      </c>
      <c r="H146" s="81"/>
      <c r="I146" s="89" t="str">
        <f>IF(A146="","Pending",IF(H146="","⚠️ Enter Agent Code",IF(IFERROR(VLOOKUP(G146,DB_Agents!$B:$I,8,0),"")=H146,IF(AND(A146&lt;&gt;"",E146&lt;&gt;""),"Saved","Pending"),"🔒 BLOCKED — Wrong Code")))</f>
        <v>Pending</v>
      </c>
      <c r="J146" s="90" t="str">
        <f t="shared" ca="1" si="14"/>
        <v>—</v>
      </c>
      <c r="K146" s="91"/>
    </row>
    <row r="147" spans="1:11" ht="15" customHeight="1" x14ac:dyDescent="0.25">
      <c r="A147" s="76"/>
      <c r="B147" s="37" t="str">
        <f>IF(A147="","",IFERROR(VLOOKUP(A147,DB_Customers!$A:$D,4,0),"❌ Account Not Found"))</f>
        <v/>
      </c>
      <c r="C147" s="77" t="str">
        <f>IF(A147="","",IFERROR(IF(SUMIF(DB_Savings!$C:$C,A147,DB_Savings!$F:$F)=0,VLOOKUP(A147,DB_Customers!$A:$I,9,0),VLOOKUP(A147,DB_Customers!$A:$N,14,0)),"❌ Acct Not Found"))</f>
        <v/>
      </c>
      <c r="D147" s="78" t="str">
        <f t="shared" ca="1" si="12"/>
        <v/>
      </c>
      <c r="E147" s="79"/>
      <c r="F147" s="80" t="str">
        <f t="shared" si="13"/>
        <v/>
      </c>
      <c r="G147" s="39" t="s">
        <v>136</v>
      </c>
      <c r="H147" s="81"/>
      <c r="I147" s="82" t="str">
        <f>IF(A147="","Pending",IF(H147="","⚠️ Enter Agent Code",IF(IFERROR(VLOOKUP(G147,DB_Agents!$B:$I,8,0),"")=H147,IF(AND(A147&lt;&gt;"",E147&lt;&gt;""),"Saved","Pending"),"🔒 BLOCKED — Wrong Code")))</f>
        <v>Pending</v>
      </c>
      <c r="J147" s="83" t="str">
        <f t="shared" ca="1" si="14"/>
        <v>—</v>
      </c>
      <c r="K147" s="84"/>
    </row>
    <row r="148" spans="1:11" ht="15" customHeight="1" x14ac:dyDescent="0.25">
      <c r="A148" s="85"/>
      <c r="B148" s="41" t="str">
        <f>IF(A148="","",IFERROR(VLOOKUP(A148,DB_Customers!$A:$D,4,0),"❌ Account Not Found"))</f>
        <v/>
      </c>
      <c r="C148" s="86" t="str">
        <f>IF(A148="","",IFERROR(IF(SUMIF(DB_Savings!$C:$C,A148,DB_Savings!$F:$F)=0,VLOOKUP(A148,DB_Customers!$A:$I,9,0),VLOOKUP(A148,DB_Customers!$A:$N,14,0)),"❌ Acct Not Found"))</f>
        <v/>
      </c>
      <c r="D148" s="87" t="str">
        <f t="shared" ca="1" si="12"/>
        <v/>
      </c>
      <c r="E148" s="79"/>
      <c r="F148" s="88" t="str">
        <f t="shared" si="13"/>
        <v/>
      </c>
      <c r="G148" s="43" t="s">
        <v>136</v>
      </c>
      <c r="H148" s="81"/>
      <c r="I148" s="89" t="str">
        <f>IF(A148="","Pending",IF(H148="","⚠️ Enter Agent Code",IF(IFERROR(VLOOKUP(G148,DB_Agents!$B:$I,8,0),"")=H148,IF(AND(A148&lt;&gt;"",E148&lt;&gt;""),"Saved","Pending"),"🔒 BLOCKED — Wrong Code")))</f>
        <v>Pending</v>
      </c>
      <c r="J148" s="90" t="str">
        <f t="shared" ca="1" si="14"/>
        <v>—</v>
      </c>
      <c r="K148" s="91"/>
    </row>
    <row r="149" spans="1:11" ht="15" customHeight="1" x14ac:dyDescent="0.25">
      <c r="A149" s="76"/>
      <c r="B149" s="37" t="str">
        <f>IF(A149="","",IFERROR(VLOOKUP(A149,DB_Customers!$A:$D,4,0),"❌ Account Not Found"))</f>
        <v/>
      </c>
      <c r="C149" s="77" t="str">
        <f>IF(A149="","",IFERROR(IF(SUMIF(DB_Savings!$C:$C,A149,DB_Savings!$F:$F)=0,VLOOKUP(A149,DB_Customers!$A:$I,9,0),VLOOKUP(A149,DB_Customers!$A:$N,14,0)),"❌ Acct Not Found"))</f>
        <v/>
      </c>
      <c r="D149" s="78" t="str">
        <f t="shared" ca="1" si="12"/>
        <v/>
      </c>
      <c r="E149" s="79"/>
      <c r="F149" s="80" t="str">
        <f t="shared" si="13"/>
        <v/>
      </c>
      <c r="G149" s="39" t="s">
        <v>136</v>
      </c>
      <c r="H149" s="81"/>
      <c r="I149" s="82" t="str">
        <f>IF(A149="","Pending",IF(H149="","⚠️ Enter Agent Code",IF(IFERROR(VLOOKUP(G149,DB_Agents!$B:$I,8,0),"")=H149,IF(AND(A149&lt;&gt;"",E149&lt;&gt;""),"Saved","Pending"),"🔒 BLOCKED — Wrong Code")))</f>
        <v>Pending</v>
      </c>
      <c r="J149" s="83" t="str">
        <f t="shared" ca="1" si="14"/>
        <v>—</v>
      </c>
      <c r="K149" s="84"/>
    </row>
    <row r="150" spans="1:11" ht="15" customHeight="1" x14ac:dyDescent="0.25">
      <c r="A150" s="85"/>
      <c r="B150" s="41" t="str">
        <f>IF(A150="","",IFERROR(VLOOKUP(A150,DB_Customers!$A:$D,4,0),"❌ Account Not Found"))</f>
        <v/>
      </c>
      <c r="C150" s="86" t="str">
        <f>IF(A150="","",IFERROR(IF(SUMIF(DB_Savings!$C:$C,A150,DB_Savings!$F:$F)=0,VLOOKUP(A150,DB_Customers!$A:$I,9,0),VLOOKUP(A150,DB_Customers!$A:$N,14,0)),"❌ Acct Not Found"))</f>
        <v/>
      </c>
      <c r="D150" s="87" t="str">
        <f t="shared" ca="1" si="12"/>
        <v/>
      </c>
      <c r="E150" s="79"/>
      <c r="F150" s="88" t="str">
        <f t="shared" si="13"/>
        <v/>
      </c>
      <c r="G150" s="43" t="s">
        <v>136</v>
      </c>
      <c r="H150" s="81"/>
      <c r="I150" s="89" t="str">
        <f>IF(A150="","Pending",IF(H150="","⚠️ Enter Agent Code",IF(IFERROR(VLOOKUP(G150,DB_Agents!$B:$I,8,0),"")=H150,IF(AND(A150&lt;&gt;"",E150&lt;&gt;""),"Saved","Pending"),"🔒 BLOCKED — Wrong Code")))</f>
        <v>Pending</v>
      </c>
      <c r="J150" s="90" t="str">
        <f t="shared" ca="1" si="14"/>
        <v>—</v>
      </c>
      <c r="K150" s="91"/>
    </row>
    <row r="151" spans="1:11" ht="15" customHeight="1" x14ac:dyDescent="0.25">
      <c r="A151" s="76"/>
      <c r="B151" s="37" t="str">
        <f>IF(A151="","",IFERROR(VLOOKUP(A151,DB_Customers!$A:$D,4,0),"❌ Account Not Found"))</f>
        <v/>
      </c>
      <c r="C151" s="77" t="str">
        <f>IF(A151="","",IFERROR(IF(SUMIF(DB_Savings!$C:$C,A151,DB_Savings!$F:$F)=0,VLOOKUP(A151,DB_Customers!$A:$I,9,0),VLOOKUP(A151,DB_Customers!$A:$N,14,0)),"❌ Acct Not Found"))</f>
        <v/>
      </c>
      <c r="D151" s="78" t="str">
        <f t="shared" ca="1" si="12"/>
        <v/>
      </c>
      <c r="E151" s="79"/>
      <c r="F151" s="80" t="str">
        <f t="shared" si="13"/>
        <v/>
      </c>
      <c r="G151" s="39" t="s">
        <v>136</v>
      </c>
      <c r="H151" s="81"/>
      <c r="I151" s="82" t="str">
        <f>IF(A151="","Pending",IF(H151="","⚠️ Enter Agent Code",IF(IFERROR(VLOOKUP(G151,DB_Agents!$B:$I,8,0),"")=H151,IF(AND(A151&lt;&gt;"",E151&lt;&gt;""),"Saved","Pending"),"🔒 BLOCKED — Wrong Code")))</f>
        <v>Pending</v>
      </c>
      <c r="J151" s="83" t="str">
        <f t="shared" ca="1" si="14"/>
        <v>—</v>
      </c>
      <c r="K151" s="84"/>
    </row>
    <row r="152" spans="1:11" ht="15" customHeight="1" x14ac:dyDescent="0.25">
      <c r="A152" s="85"/>
      <c r="B152" s="41" t="str">
        <f>IF(A152="","",IFERROR(VLOOKUP(A152,DB_Customers!$A:$D,4,0),"❌ Account Not Found"))</f>
        <v/>
      </c>
      <c r="C152" s="86" t="str">
        <f>IF(A152="","",IFERROR(IF(SUMIF(DB_Savings!$C:$C,A152,DB_Savings!$F:$F)=0,VLOOKUP(A152,DB_Customers!$A:$I,9,0),VLOOKUP(A152,DB_Customers!$A:$N,14,0)),"❌ Acct Not Found"))</f>
        <v/>
      </c>
      <c r="D152" s="87" t="str">
        <f t="shared" ca="1" si="12"/>
        <v/>
      </c>
      <c r="E152" s="79"/>
      <c r="F152" s="88" t="str">
        <f t="shared" si="13"/>
        <v/>
      </c>
      <c r="G152" s="43" t="s">
        <v>136</v>
      </c>
      <c r="H152" s="81"/>
      <c r="I152" s="89" t="str">
        <f>IF(A152="","Pending",IF(H152="","⚠️ Enter Agent Code",IF(IFERROR(VLOOKUP(G152,DB_Agents!$B:$I,8,0),"")=H152,IF(AND(A152&lt;&gt;"",E152&lt;&gt;""),"Saved","Pending"),"🔒 BLOCKED — Wrong Code")))</f>
        <v>Pending</v>
      </c>
      <c r="J152" s="90" t="str">
        <f t="shared" ca="1" si="14"/>
        <v>—</v>
      </c>
      <c r="K152" s="91"/>
    </row>
    <row r="153" spans="1:11" ht="15" customHeight="1" x14ac:dyDescent="0.25">
      <c r="A153" s="76"/>
      <c r="B153" s="37" t="str">
        <f>IF(A153="","",IFERROR(VLOOKUP(A153,DB_Customers!$A:$D,4,0),"❌ Account Not Found"))</f>
        <v/>
      </c>
      <c r="C153" s="77" t="str">
        <f>IF(A153="","",IFERROR(IF(SUMIF(DB_Savings!$C:$C,A153,DB_Savings!$F:$F)=0,VLOOKUP(A153,DB_Customers!$A:$I,9,0),VLOOKUP(A153,DB_Customers!$A:$N,14,0)),"❌ Acct Not Found"))</f>
        <v/>
      </c>
      <c r="D153" s="78" t="str">
        <f t="shared" ca="1" si="12"/>
        <v/>
      </c>
      <c r="E153" s="79"/>
      <c r="F153" s="80" t="str">
        <f t="shared" si="13"/>
        <v/>
      </c>
      <c r="G153" s="39" t="s">
        <v>136</v>
      </c>
      <c r="H153" s="81"/>
      <c r="I153" s="82" t="str">
        <f>IF(A153="","Pending",IF(H153="","⚠️ Enter Agent Code",IF(IFERROR(VLOOKUP(G153,DB_Agents!$B:$I,8,0),"")=H153,IF(AND(A153&lt;&gt;"",E153&lt;&gt;""),"Saved","Pending"),"🔒 BLOCKED — Wrong Code")))</f>
        <v>Pending</v>
      </c>
      <c r="J153" s="83" t="str">
        <f t="shared" ca="1" si="14"/>
        <v>—</v>
      </c>
      <c r="K153" s="84"/>
    </row>
    <row r="154" spans="1:11" ht="15" customHeight="1" x14ac:dyDescent="0.25">
      <c r="A154" s="85"/>
      <c r="B154" s="41" t="str">
        <f>IF(A154="","",IFERROR(VLOOKUP(A154,DB_Customers!$A:$D,4,0),"❌ Account Not Found"))</f>
        <v/>
      </c>
      <c r="C154" s="86" t="str">
        <f>IF(A154="","",IFERROR(IF(SUMIF(DB_Savings!$C:$C,A154,DB_Savings!$F:$F)=0,VLOOKUP(A154,DB_Customers!$A:$I,9,0),VLOOKUP(A154,DB_Customers!$A:$N,14,0)),"❌ Acct Not Found"))</f>
        <v/>
      </c>
      <c r="D154" s="87" t="str">
        <f t="shared" ca="1" si="12"/>
        <v/>
      </c>
      <c r="E154" s="79"/>
      <c r="F154" s="88" t="str">
        <f t="shared" si="13"/>
        <v/>
      </c>
      <c r="G154" s="43" t="s">
        <v>136</v>
      </c>
      <c r="H154" s="81"/>
      <c r="I154" s="89" t="str">
        <f>IF(A154="","Pending",IF(H154="","⚠️ Enter Agent Code",IF(IFERROR(VLOOKUP(G154,DB_Agents!$B:$I,8,0),"")=H154,IF(AND(A154&lt;&gt;"",E154&lt;&gt;""),"Saved","Pending"),"🔒 BLOCKED — Wrong Code")))</f>
        <v>Pending</v>
      </c>
      <c r="J154" s="90" t="str">
        <f t="shared" ca="1" si="14"/>
        <v>—</v>
      </c>
      <c r="K154" s="91"/>
    </row>
    <row r="155" spans="1:11" ht="15" customHeight="1" x14ac:dyDescent="0.25">
      <c r="A155" s="76"/>
      <c r="B155" s="37" t="str">
        <f>IF(A155="","",IFERROR(VLOOKUP(A155,DB_Customers!$A:$D,4,0),"❌ Account Not Found"))</f>
        <v/>
      </c>
      <c r="C155" s="77" t="str">
        <f>IF(A155="","",IFERROR(IF(SUMIF(DB_Savings!$C:$C,A155,DB_Savings!$F:$F)=0,VLOOKUP(A155,DB_Customers!$A:$I,9,0),VLOOKUP(A155,DB_Customers!$A:$N,14,0)),"❌ Acct Not Found"))</f>
        <v/>
      </c>
      <c r="D155" s="78" t="str">
        <f t="shared" ca="1" si="12"/>
        <v/>
      </c>
      <c r="E155" s="79"/>
      <c r="F155" s="80" t="str">
        <f t="shared" si="13"/>
        <v/>
      </c>
      <c r="G155" s="39" t="s">
        <v>136</v>
      </c>
      <c r="H155" s="81"/>
      <c r="I155" s="82" t="str">
        <f>IF(A155="","Pending",IF(H155="","⚠️ Enter Agent Code",IF(IFERROR(VLOOKUP(G155,DB_Agents!$B:$I,8,0),"")=H155,IF(AND(A155&lt;&gt;"",E155&lt;&gt;""),"Saved","Pending"),"🔒 BLOCKED — Wrong Code")))</f>
        <v>Pending</v>
      </c>
      <c r="J155" s="83" t="str">
        <f t="shared" ca="1" si="14"/>
        <v>—</v>
      </c>
      <c r="K155" s="84"/>
    </row>
    <row r="156" spans="1:11" ht="15" customHeight="1" x14ac:dyDescent="0.25">
      <c r="A156" s="85"/>
      <c r="B156" s="41" t="str">
        <f>IF(A156="","",IFERROR(VLOOKUP(A156,DB_Customers!$A:$D,4,0),"❌ Account Not Found"))</f>
        <v/>
      </c>
      <c r="C156" s="86" t="str">
        <f>IF(A156="","",IFERROR(IF(SUMIF(DB_Savings!$C:$C,A156,DB_Savings!$F:$F)=0,VLOOKUP(A156,DB_Customers!$A:$I,9,0),VLOOKUP(A156,DB_Customers!$A:$N,14,0)),"❌ Acct Not Found"))</f>
        <v/>
      </c>
      <c r="D156" s="87" t="str">
        <f t="shared" ca="1" si="12"/>
        <v/>
      </c>
      <c r="E156" s="79"/>
      <c r="F156" s="88" t="str">
        <f t="shared" si="13"/>
        <v/>
      </c>
      <c r="G156" s="43" t="s">
        <v>136</v>
      </c>
      <c r="H156" s="81"/>
      <c r="I156" s="89" t="str">
        <f>IF(A156="","Pending",IF(H156="","⚠️ Enter Agent Code",IF(IFERROR(VLOOKUP(G156,DB_Agents!$B:$I,8,0),"")=H156,IF(AND(A156&lt;&gt;"",E156&lt;&gt;""),"Saved","Pending"),"🔒 BLOCKED — Wrong Code")))</f>
        <v>Pending</v>
      </c>
      <c r="J156" s="90" t="str">
        <f t="shared" ca="1" si="14"/>
        <v>—</v>
      </c>
      <c r="K156" s="91"/>
    </row>
    <row r="157" spans="1:11" ht="15" customHeight="1" x14ac:dyDescent="0.25">
      <c r="A157" s="76"/>
      <c r="B157" s="37" t="str">
        <f>IF(A157="","",IFERROR(VLOOKUP(A157,DB_Customers!$A:$D,4,0),"❌ Account Not Found"))</f>
        <v/>
      </c>
      <c r="C157" s="77" t="str">
        <f>IF(A157="","",IFERROR(IF(SUMIF(DB_Savings!$C:$C,A157,DB_Savings!$F:$F)=0,VLOOKUP(A157,DB_Customers!$A:$I,9,0),VLOOKUP(A157,DB_Customers!$A:$N,14,0)),"❌ Acct Not Found"))</f>
        <v/>
      </c>
      <c r="D157" s="78" t="str">
        <f t="shared" ca="1" si="12"/>
        <v/>
      </c>
      <c r="E157" s="79"/>
      <c r="F157" s="80" t="str">
        <f t="shared" si="13"/>
        <v/>
      </c>
      <c r="G157" s="39" t="s">
        <v>136</v>
      </c>
      <c r="H157" s="81"/>
      <c r="I157" s="82" t="str">
        <f>IF(A157="","Pending",IF(H157="","⚠️ Enter Agent Code",IF(IFERROR(VLOOKUP(G157,DB_Agents!$B:$I,8,0),"")=H157,IF(AND(A157&lt;&gt;"",E157&lt;&gt;""),"Saved","Pending"),"🔒 BLOCKED — Wrong Code")))</f>
        <v>Pending</v>
      </c>
      <c r="J157" s="83" t="str">
        <f t="shared" ca="1" si="14"/>
        <v>—</v>
      </c>
      <c r="K157" s="84"/>
    </row>
    <row r="158" spans="1:11" ht="15" customHeight="1" x14ac:dyDescent="0.25">
      <c r="A158" s="85"/>
      <c r="B158" s="41" t="str">
        <f>IF(A158="","",IFERROR(VLOOKUP(A158,DB_Customers!$A:$D,4,0),"❌ Account Not Found"))</f>
        <v/>
      </c>
      <c r="C158" s="86" t="str">
        <f>IF(A158="","",IFERROR(IF(SUMIF(DB_Savings!$C:$C,A158,DB_Savings!$F:$F)=0,VLOOKUP(A158,DB_Customers!$A:$I,9,0),VLOOKUP(A158,DB_Customers!$A:$N,14,0)),"❌ Acct Not Found"))</f>
        <v/>
      </c>
      <c r="D158" s="87" t="str">
        <f t="shared" ca="1" si="12"/>
        <v/>
      </c>
      <c r="E158" s="79"/>
      <c r="F158" s="88" t="str">
        <f t="shared" si="13"/>
        <v/>
      </c>
      <c r="G158" s="43" t="s">
        <v>136</v>
      </c>
      <c r="H158" s="81"/>
      <c r="I158" s="89" t="str">
        <f>IF(A158="","Pending",IF(H158="","⚠️ Enter Agent Code",IF(IFERROR(VLOOKUP(G158,DB_Agents!$B:$I,8,0),"")=H158,IF(AND(A158&lt;&gt;"",E158&lt;&gt;""),"Saved","Pending"),"🔒 BLOCKED — Wrong Code")))</f>
        <v>Pending</v>
      </c>
      <c r="J158" s="90" t="str">
        <f t="shared" ca="1" si="14"/>
        <v>—</v>
      </c>
      <c r="K158" s="91"/>
    </row>
    <row r="159" spans="1:11" ht="15" customHeight="1" x14ac:dyDescent="0.25">
      <c r="A159" s="76"/>
      <c r="B159" s="37" t="str">
        <f>IF(A159="","",IFERROR(VLOOKUP(A159,DB_Customers!$A:$D,4,0),"❌ Account Not Found"))</f>
        <v/>
      </c>
      <c r="C159" s="77" t="str">
        <f>IF(A159="","",IFERROR(IF(SUMIF(DB_Savings!$C:$C,A159,DB_Savings!$F:$F)=0,VLOOKUP(A159,DB_Customers!$A:$I,9,0),VLOOKUP(A159,DB_Customers!$A:$N,14,0)),"❌ Acct Not Found"))</f>
        <v/>
      </c>
      <c r="D159" s="78" t="str">
        <f t="shared" ca="1" si="12"/>
        <v/>
      </c>
      <c r="E159" s="79"/>
      <c r="F159" s="80" t="str">
        <f t="shared" si="13"/>
        <v/>
      </c>
      <c r="G159" s="39" t="s">
        <v>136</v>
      </c>
      <c r="H159" s="81"/>
      <c r="I159" s="82" t="str">
        <f>IF(A159="","Pending",IF(H159="","⚠️ Enter Agent Code",IF(IFERROR(VLOOKUP(G159,DB_Agents!$B:$I,8,0),"")=H159,IF(AND(A159&lt;&gt;"",E159&lt;&gt;""),"Saved","Pending"),"🔒 BLOCKED — Wrong Code")))</f>
        <v>Pending</v>
      </c>
      <c r="J159" s="83" t="str">
        <f t="shared" ca="1" si="14"/>
        <v>—</v>
      </c>
      <c r="K159" s="84"/>
    </row>
    <row r="160" spans="1:11" ht="15" customHeight="1" x14ac:dyDescent="0.25">
      <c r="A160" s="85"/>
      <c r="B160" s="41" t="str">
        <f>IF(A160="","",IFERROR(VLOOKUP(A160,DB_Customers!$A:$D,4,0),"❌ Account Not Found"))</f>
        <v/>
      </c>
      <c r="C160" s="86" t="str">
        <f>IF(A160="","",IFERROR(IF(SUMIF(DB_Savings!$C:$C,A160,DB_Savings!$F:$F)=0,VLOOKUP(A160,DB_Customers!$A:$I,9,0),VLOOKUP(A160,DB_Customers!$A:$N,14,0)),"❌ Acct Not Found"))</f>
        <v/>
      </c>
      <c r="D160" s="87" t="str">
        <f t="shared" ca="1" si="12"/>
        <v/>
      </c>
      <c r="E160" s="79"/>
      <c r="F160" s="88" t="str">
        <f t="shared" si="13"/>
        <v/>
      </c>
      <c r="G160" s="43" t="s">
        <v>136</v>
      </c>
      <c r="H160" s="81"/>
      <c r="I160" s="89" t="str">
        <f>IF(A160="","Pending",IF(H160="","⚠️ Enter Agent Code",IF(IFERROR(VLOOKUP(G160,DB_Agents!$B:$I,8,0),"")=H160,IF(AND(A160&lt;&gt;"",E160&lt;&gt;""),"Saved","Pending"),"🔒 BLOCKED — Wrong Code")))</f>
        <v>Pending</v>
      </c>
      <c r="J160" s="90" t="str">
        <f t="shared" ca="1" si="14"/>
        <v>—</v>
      </c>
      <c r="K160" s="91"/>
    </row>
    <row r="161" spans="1:11" ht="15" customHeight="1" x14ac:dyDescent="0.25">
      <c r="A161" s="76"/>
      <c r="B161" s="37" t="str">
        <f>IF(A161="","",IFERROR(VLOOKUP(A161,DB_Customers!$A:$D,4,0),"❌ Account Not Found"))</f>
        <v/>
      </c>
      <c r="C161" s="77" t="str">
        <f>IF(A161="","",IFERROR(IF(SUMIF(DB_Savings!$C:$C,A161,DB_Savings!$F:$F)=0,VLOOKUP(A161,DB_Customers!$A:$I,9,0),VLOOKUP(A161,DB_Customers!$A:$N,14,0)),"❌ Acct Not Found"))</f>
        <v/>
      </c>
      <c r="D161" s="78" t="str">
        <f t="shared" ca="1" si="12"/>
        <v/>
      </c>
      <c r="E161" s="79"/>
      <c r="F161" s="80" t="str">
        <f t="shared" si="13"/>
        <v/>
      </c>
      <c r="G161" s="39" t="s">
        <v>136</v>
      </c>
      <c r="H161" s="81"/>
      <c r="I161" s="82" t="str">
        <f>IF(A161="","Pending",IF(H161="","⚠️ Enter Agent Code",IF(IFERROR(VLOOKUP(G161,DB_Agents!$B:$I,8,0),"")=H161,IF(AND(A161&lt;&gt;"",E161&lt;&gt;""),"Saved","Pending"),"🔒 BLOCKED — Wrong Code")))</f>
        <v>Pending</v>
      </c>
      <c r="J161" s="83" t="str">
        <f t="shared" ca="1" si="14"/>
        <v>—</v>
      </c>
      <c r="K161" s="84"/>
    </row>
    <row r="162" spans="1:11" ht="15" customHeight="1" x14ac:dyDescent="0.25">
      <c r="A162" s="85"/>
      <c r="B162" s="41" t="str">
        <f>IF(A162="","",IFERROR(VLOOKUP(A162,DB_Customers!$A:$D,4,0),"❌ Account Not Found"))</f>
        <v/>
      </c>
      <c r="C162" s="86" t="str">
        <f>IF(A162="","",IFERROR(IF(SUMIF(DB_Savings!$C:$C,A162,DB_Savings!$F:$F)=0,VLOOKUP(A162,DB_Customers!$A:$I,9,0),VLOOKUP(A162,DB_Customers!$A:$N,14,0)),"❌ Acct Not Found"))</f>
        <v/>
      </c>
      <c r="D162" s="87" t="str">
        <f t="shared" ca="1" si="12"/>
        <v/>
      </c>
      <c r="E162" s="79"/>
      <c r="F162" s="88" t="str">
        <f t="shared" si="13"/>
        <v/>
      </c>
      <c r="G162" s="43" t="s">
        <v>136</v>
      </c>
      <c r="H162" s="81"/>
      <c r="I162" s="89" t="str">
        <f>IF(A162="","Pending",IF(H162="","⚠️ Enter Agent Code",IF(IFERROR(VLOOKUP(G162,DB_Agents!$B:$I,8,0),"")=H162,IF(AND(A162&lt;&gt;"",E162&lt;&gt;""),"Saved","Pending"),"🔒 BLOCKED — Wrong Code")))</f>
        <v>Pending</v>
      </c>
      <c r="J162" s="90" t="str">
        <f t="shared" ca="1" si="14"/>
        <v>—</v>
      </c>
      <c r="K162" s="91"/>
    </row>
    <row r="163" spans="1:11" ht="15" customHeight="1" x14ac:dyDescent="0.25">
      <c r="A163" s="76"/>
      <c r="B163" s="37" t="str">
        <f>IF(A163="","",IFERROR(VLOOKUP(A163,DB_Customers!$A:$D,4,0),"❌ Account Not Found"))</f>
        <v/>
      </c>
      <c r="C163" s="77" t="str">
        <f>IF(A163="","",IFERROR(IF(SUMIF(DB_Savings!$C:$C,A163,DB_Savings!$F:$F)=0,VLOOKUP(A163,DB_Customers!$A:$I,9,0),VLOOKUP(A163,DB_Customers!$A:$N,14,0)),"❌ Acct Not Found"))</f>
        <v/>
      </c>
      <c r="D163" s="78" t="str">
        <f t="shared" ca="1" si="12"/>
        <v/>
      </c>
      <c r="E163" s="79"/>
      <c r="F163" s="80" t="str">
        <f t="shared" si="13"/>
        <v/>
      </c>
      <c r="G163" s="39" t="s">
        <v>136</v>
      </c>
      <c r="H163" s="81"/>
      <c r="I163" s="82" t="str">
        <f>IF(A163="","Pending",IF(H163="","⚠️ Enter Agent Code",IF(IFERROR(VLOOKUP(G163,DB_Agents!$B:$I,8,0),"")=H163,IF(AND(A163&lt;&gt;"",E163&lt;&gt;""),"Saved","Pending"),"🔒 BLOCKED — Wrong Code")))</f>
        <v>Pending</v>
      </c>
      <c r="J163" s="83" t="str">
        <f t="shared" ca="1" si="14"/>
        <v>—</v>
      </c>
      <c r="K163" s="84"/>
    </row>
    <row r="164" spans="1:11" ht="15" customHeight="1" x14ac:dyDescent="0.25">
      <c r="A164" s="85"/>
      <c r="B164" s="41" t="str">
        <f>IF(A164="","",IFERROR(VLOOKUP(A164,DB_Customers!$A:$D,4,0),"❌ Account Not Found"))</f>
        <v/>
      </c>
      <c r="C164" s="86" t="str">
        <f>IF(A164="","",IFERROR(IF(SUMIF(DB_Savings!$C:$C,A164,DB_Savings!$F:$F)=0,VLOOKUP(A164,DB_Customers!$A:$I,9,0),VLOOKUP(A164,DB_Customers!$A:$N,14,0)),"❌ Acct Not Found"))</f>
        <v/>
      </c>
      <c r="D164" s="87" t="str">
        <f t="shared" ca="1" si="12"/>
        <v/>
      </c>
      <c r="E164" s="79"/>
      <c r="F164" s="88" t="str">
        <f t="shared" si="13"/>
        <v/>
      </c>
      <c r="G164" s="43" t="s">
        <v>136</v>
      </c>
      <c r="H164" s="81"/>
      <c r="I164" s="89" t="str">
        <f>IF(A164="","Pending",IF(H164="","⚠️ Enter Agent Code",IF(IFERROR(VLOOKUP(G164,DB_Agents!$B:$I,8,0),"")=H164,IF(AND(A164&lt;&gt;"",E164&lt;&gt;""),"Saved","Pending"),"🔒 BLOCKED — Wrong Code")))</f>
        <v>Pending</v>
      </c>
      <c r="J164" s="90" t="str">
        <f t="shared" ca="1" si="14"/>
        <v>—</v>
      </c>
      <c r="K164" s="91"/>
    </row>
    <row r="165" spans="1:11" ht="15" customHeight="1" x14ac:dyDescent="0.25">
      <c r="A165" s="76"/>
      <c r="B165" s="37" t="str">
        <f>IF(A165="","",IFERROR(VLOOKUP(A165,DB_Customers!$A:$D,4,0),"❌ Account Not Found"))</f>
        <v/>
      </c>
      <c r="C165" s="77" t="str">
        <f>IF(A165="","",IFERROR(IF(SUMIF(DB_Savings!$C:$C,A165,DB_Savings!$F:$F)=0,VLOOKUP(A165,DB_Customers!$A:$I,9,0),VLOOKUP(A165,DB_Customers!$A:$N,14,0)),"❌ Acct Not Found"))</f>
        <v/>
      </c>
      <c r="D165" s="78" t="str">
        <f t="shared" ca="1" si="12"/>
        <v/>
      </c>
      <c r="E165" s="79"/>
      <c r="F165" s="80" t="str">
        <f t="shared" si="13"/>
        <v/>
      </c>
      <c r="G165" s="39" t="s">
        <v>136</v>
      </c>
      <c r="H165" s="81"/>
      <c r="I165" s="82" t="str">
        <f>IF(A165="","Pending",IF(H165="","⚠️ Enter Agent Code",IF(IFERROR(VLOOKUP(G165,DB_Agents!$B:$I,8,0),"")=H165,IF(AND(A165&lt;&gt;"",E165&lt;&gt;""),"Saved","Pending"),"🔒 BLOCKED — Wrong Code")))</f>
        <v>Pending</v>
      </c>
      <c r="J165" s="83" t="str">
        <f t="shared" ca="1" si="14"/>
        <v>—</v>
      </c>
      <c r="K165" s="84"/>
    </row>
    <row r="166" spans="1:11" ht="15" customHeight="1" x14ac:dyDescent="0.25">
      <c r="A166" s="85"/>
      <c r="B166" s="41" t="str">
        <f>IF(A166="","",IFERROR(VLOOKUP(A166,DB_Customers!$A:$D,4,0),"❌ Account Not Found"))</f>
        <v/>
      </c>
      <c r="C166" s="86" t="str">
        <f>IF(A166="","",IFERROR(IF(SUMIF(DB_Savings!$C:$C,A166,DB_Savings!$F:$F)=0,VLOOKUP(A166,DB_Customers!$A:$I,9,0),VLOOKUP(A166,DB_Customers!$A:$N,14,0)),"❌ Acct Not Found"))</f>
        <v/>
      </c>
      <c r="D166" s="87" t="str">
        <f t="shared" ca="1" si="12"/>
        <v/>
      </c>
      <c r="E166" s="79"/>
      <c r="F166" s="88" t="str">
        <f t="shared" si="13"/>
        <v/>
      </c>
      <c r="G166" s="43" t="s">
        <v>136</v>
      </c>
      <c r="H166" s="81"/>
      <c r="I166" s="89" t="str">
        <f>IF(A166="","Pending",IF(H166="","⚠️ Enter Agent Code",IF(IFERROR(VLOOKUP(G166,DB_Agents!$B:$I,8,0),"")=H166,IF(AND(A166&lt;&gt;"",E166&lt;&gt;""),"Saved","Pending"),"🔒 BLOCKED — Wrong Code")))</f>
        <v>Pending</v>
      </c>
      <c r="J166" s="90" t="str">
        <f t="shared" ca="1" si="14"/>
        <v>—</v>
      </c>
      <c r="K166" s="91"/>
    </row>
    <row r="167" spans="1:11" ht="15" customHeight="1" x14ac:dyDescent="0.25">
      <c r="A167" s="76"/>
      <c r="B167" s="37" t="str">
        <f>IF(A167="","",IFERROR(VLOOKUP(A167,DB_Customers!$A:$D,4,0),"❌ Account Not Found"))</f>
        <v/>
      </c>
      <c r="C167" s="77" t="str">
        <f>IF(A167="","",IFERROR(IF(SUMIF(DB_Savings!$C:$C,A167,DB_Savings!$F:$F)=0,VLOOKUP(A167,DB_Customers!$A:$I,9,0),VLOOKUP(A167,DB_Customers!$A:$N,14,0)),"❌ Acct Not Found"))</f>
        <v/>
      </c>
      <c r="D167" s="78" t="str">
        <f t="shared" ca="1" si="12"/>
        <v/>
      </c>
      <c r="E167" s="79"/>
      <c r="F167" s="80" t="str">
        <f t="shared" si="13"/>
        <v/>
      </c>
      <c r="G167" s="39" t="s">
        <v>136</v>
      </c>
      <c r="H167" s="81"/>
      <c r="I167" s="82" t="str">
        <f>IF(A167="","Pending",IF(H167="","⚠️ Enter Agent Code",IF(IFERROR(VLOOKUP(G167,DB_Agents!$B:$I,8,0),"")=H167,IF(AND(A167&lt;&gt;"",E167&lt;&gt;""),"Saved","Pending"),"🔒 BLOCKED — Wrong Code")))</f>
        <v>Pending</v>
      </c>
      <c r="J167" s="83" t="str">
        <f t="shared" ca="1" si="14"/>
        <v>—</v>
      </c>
      <c r="K167" s="84"/>
    </row>
    <row r="168" spans="1:11" ht="15" customHeight="1" x14ac:dyDescent="0.25">
      <c r="A168" s="85"/>
      <c r="B168" s="41" t="str">
        <f>IF(A168="","",IFERROR(VLOOKUP(A168,DB_Customers!$A:$D,4,0),"❌ Account Not Found"))</f>
        <v/>
      </c>
      <c r="C168" s="86" t="str">
        <f>IF(A168="","",IFERROR(IF(SUMIF(DB_Savings!$C:$C,A168,DB_Savings!$F:$F)=0,VLOOKUP(A168,DB_Customers!$A:$I,9,0),VLOOKUP(A168,DB_Customers!$A:$N,14,0)),"❌ Acct Not Found"))</f>
        <v/>
      </c>
      <c r="D168" s="87" t="str">
        <f t="shared" ca="1" si="12"/>
        <v/>
      </c>
      <c r="E168" s="79"/>
      <c r="F168" s="88" t="str">
        <f t="shared" si="13"/>
        <v/>
      </c>
      <c r="G168" s="43" t="s">
        <v>136</v>
      </c>
      <c r="H168" s="81"/>
      <c r="I168" s="89" t="str">
        <f>IF(A168="","Pending",IF(H168="","⚠️ Enter Agent Code",IF(IFERROR(VLOOKUP(G168,DB_Agents!$B:$I,8,0),"")=H168,IF(AND(A168&lt;&gt;"",E168&lt;&gt;""),"Saved","Pending"),"🔒 BLOCKED — Wrong Code")))</f>
        <v>Pending</v>
      </c>
      <c r="J168" s="90" t="str">
        <f t="shared" ca="1" si="14"/>
        <v>—</v>
      </c>
      <c r="K168" s="91"/>
    </row>
    <row r="169" spans="1:11" ht="15" customHeight="1" x14ac:dyDescent="0.25">
      <c r="A169" s="76"/>
      <c r="B169" s="37" t="str">
        <f>IF(A169="","",IFERROR(VLOOKUP(A169,DB_Customers!$A:$D,4,0),"❌ Account Not Found"))</f>
        <v/>
      </c>
      <c r="C169" s="77" t="str">
        <f>IF(A169="","",IFERROR(IF(SUMIF(DB_Savings!$C:$C,A169,DB_Savings!$F:$F)=0,VLOOKUP(A169,DB_Customers!$A:$I,9,0),VLOOKUP(A169,DB_Customers!$A:$N,14,0)),"❌ Acct Not Found"))</f>
        <v/>
      </c>
      <c r="D169" s="78" t="str">
        <f t="shared" ref="D169:D200" ca="1" si="15">IF(A169="","",TODAY())</f>
        <v/>
      </c>
      <c r="E169" s="79"/>
      <c r="F169" s="80" t="str">
        <f t="shared" ref="F169:F200" si="16">IF(OR(A169="",E169=""),"",IF(C169="","",C169+E169))</f>
        <v/>
      </c>
      <c r="G169" s="39" t="s">
        <v>136</v>
      </c>
      <c r="H169" s="81"/>
      <c r="I169" s="82" t="str">
        <f>IF(A169="","Pending",IF(H169="","⚠️ Enter Agent Code",IF(IFERROR(VLOOKUP(G169,DB_Agents!$B:$I,8,0),"")=H169,IF(AND(A169&lt;&gt;"",E169&lt;&gt;""),"Saved","Pending"),"🔒 BLOCKED — Wrong Code")))</f>
        <v>Pending</v>
      </c>
      <c r="J169" s="83" t="str">
        <f t="shared" ref="J169:J200" ca="1" si="17">IF(I169="Saved",TEXT(TODAY(),"YYYY-MM-DD")&amp;" Auto","—")</f>
        <v>—</v>
      </c>
      <c r="K169" s="84"/>
    </row>
    <row r="170" spans="1:11" ht="15" customHeight="1" x14ac:dyDescent="0.25">
      <c r="A170" s="85"/>
      <c r="B170" s="41" t="str">
        <f>IF(A170="","",IFERROR(VLOOKUP(A170,DB_Customers!$A:$D,4,0),"❌ Account Not Found"))</f>
        <v/>
      </c>
      <c r="C170" s="86" t="str">
        <f>IF(A170="","",IFERROR(IF(SUMIF(DB_Savings!$C:$C,A170,DB_Savings!$F:$F)=0,VLOOKUP(A170,DB_Customers!$A:$I,9,0),VLOOKUP(A170,DB_Customers!$A:$N,14,0)),"❌ Acct Not Found"))</f>
        <v/>
      </c>
      <c r="D170" s="87" t="str">
        <f t="shared" ca="1" si="15"/>
        <v/>
      </c>
      <c r="E170" s="79"/>
      <c r="F170" s="88" t="str">
        <f t="shared" si="16"/>
        <v/>
      </c>
      <c r="G170" s="43" t="s">
        <v>136</v>
      </c>
      <c r="H170" s="81"/>
      <c r="I170" s="89" t="str">
        <f>IF(A170="","Pending",IF(H170="","⚠️ Enter Agent Code",IF(IFERROR(VLOOKUP(G170,DB_Agents!$B:$I,8,0),"")=H170,IF(AND(A170&lt;&gt;"",E170&lt;&gt;""),"Saved","Pending"),"🔒 BLOCKED — Wrong Code")))</f>
        <v>Pending</v>
      </c>
      <c r="J170" s="90" t="str">
        <f t="shared" ca="1" si="17"/>
        <v>—</v>
      </c>
      <c r="K170" s="91"/>
    </row>
    <row r="171" spans="1:11" ht="15" customHeight="1" x14ac:dyDescent="0.25">
      <c r="A171" s="76"/>
      <c r="B171" s="37" t="str">
        <f>IF(A171="","",IFERROR(VLOOKUP(A171,DB_Customers!$A:$D,4,0),"❌ Account Not Found"))</f>
        <v/>
      </c>
      <c r="C171" s="77" t="str">
        <f>IF(A171="","",IFERROR(IF(SUMIF(DB_Savings!$C:$C,A171,DB_Savings!$F:$F)=0,VLOOKUP(A171,DB_Customers!$A:$I,9,0),VLOOKUP(A171,DB_Customers!$A:$N,14,0)),"❌ Acct Not Found"))</f>
        <v/>
      </c>
      <c r="D171" s="78" t="str">
        <f t="shared" ca="1" si="15"/>
        <v/>
      </c>
      <c r="E171" s="79"/>
      <c r="F171" s="80" t="str">
        <f t="shared" si="16"/>
        <v/>
      </c>
      <c r="G171" s="39" t="s">
        <v>136</v>
      </c>
      <c r="H171" s="81"/>
      <c r="I171" s="82" t="str">
        <f>IF(A171="","Pending",IF(H171="","⚠️ Enter Agent Code",IF(IFERROR(VLOOKUP(G171,DB_Agents!$B:$I,8,0),"")=H171,IF(AND(A171&lt;&gt;"",E171&lt;&gt;""),"Saved","Pending"),"🔒 BLOCKED — Wrong Code")))</f>
        <v>Pending</v>
      </c>
      <c r="J171" s="83" t="str">
        <f t="shared" ca="1" si="17"/>
        <v>—</v>
      </c>
      <c r="K171" s="84"/>
    </row>
    <row r="172" spans="1:11" ht="15" customHeight="1" x14ac:dyDescent="0.25">
      <c r="A172" s="85"/>
      <c r="B172" s="41" t="str">
        <f>IF(A172="","",IFERROR(VLOOKUP(A172,DB_Customers!$A:$D,4,0),"❌ Account Not Found"))</f>
        <v/>
      </c>
      <c r="C172" s="86" t="str">
        <f>IF(A172="","",IFERROR(IF(SUMIF(DB_Savings!$C:$C,A172,DB_Savings!$F:$F)=0,VLOOKUP(A172,DB_Customers!$A:$I,9,0),VLOOKUP(A172,DB_Customers!$A:$N,14,0)),"❌ Acct Not Found"))</f>
        <v/>
      </c>
      <c r="D172" s="87" t="str">
        <f t="shared" ca="1" si="15"/>
        <v/>
      </c>
      <c r="E172" s="79"/>
      <c r="F172" s="88" t="str">
        <f t="shared" si="16"/>
        <v/>
      </c>
      <c r="G172" s="43" t="s">
        <v>136</v>
      </c>
      <c r="H172" s="81"/>
      <c r="I172" s="89" t="str">
        <f>IF(A172="","Pending",IF(H172="","⚠️ Enter Agent Code",IF(IFERROR(VLOOKUP(G172,DB_Agents!$B:$I,8,0),"")=H172,IF(AND(A172&lt;&gt;"",E172&lt;&gt;""),"Saved","Pending"),"🔒 BLOCKED — Wrong Code")))</f>
        <v>Pending</v>
      </c>
      <c r="J172" s="90" t="str">
        <f t="shared" ca="1" si="17"/>
        <v>—</v>
      </c>
      <c r="K172" s="91"/>
    </row>
    <row r="173" spans="1:11" ht="15" customHeight="1" x14ac:dyDescent="0.25">
      <c r="A173" s="76"/>
      <c r="B173" s="37" t="str">
        <f>IF(A173="","",IFERROR(VLOOKUP(A173,DB_Customers!$A:$D,4,0),"❌ Account Not Found"))</f>
        <v/>
      </c>
      <c r="C173" s="77" t="str">
        <f>IF(A173="","",IFERROR(IF(SUMIF(DB_Savings!$C:$C,A173,DB_Savings!$F:$F)=0,VLOOKUP(A173,DB_Customers!$A:$I,9,0),VLOOKUP(A173,DB_Customers!$A:$N,14,0)),"❌ Acct Not Found"))</f>
        <v/>
      </c>
      <c r="D173" s="78" t="str">
        <f t="shared" ca="1" si="15"/>
        <v/>
      </c>
      <c r="E173" s="79"/>
      <c r="F173" s="80" t="str">
        <f t="shared" si="16"/>
        <v/>
      </c>
      <c r="G173" s="39" t="s">
        <v>136</v>
      </c>
      <c r="H173" s="81"/>
      <c r="I173" s="82" t="str">
        <f>IF(A173="","Pending",IF(H173="","⚠️ Enter Agent Code",IF(IFERROR(VLOOKUP(G173,DB_Agents!$B:$I,8,0),"")=H173,IF(AND(A173&lt;&gt;"",E173&lt;&gt;""),"Saved","Pending"),"🔒 BLOCKED — Wrong Code")))</f>
        <v>Pending</v>
      </c>
      <c r="J173" s="83" t="str">
        <f t="shared" ca="1" si="17"/>
        <v>—</v>
      </c>
      <c r="K173" s="84"/>
    </row>
    <row r="174" spans="1:11" ht="15" customHeight="1" x14ac:dyDescent="0.25">
      <c r="A174" s="85"/>
      <c r="B174" s="41" t="str">
        <f>IF(A174="","",IFERROR(VLOOKUP(A174,DB_Customers!$A:$D,4,0),"❌ Account Not Found"))</f>
        <v/>
      </c>
      <c r="C174" s="86" t="str">
        <f>IF(A174="","",IFERROR(IF(SUMIF(DB_Savings!$C:$C,A174,DB_Savings!$F:$F)=0,VLOOKUP(A174,DB_Customers!$A:$I,9,0),VLOOKUP(A174,DB_Customers!$A:$N,14,0)),"❌ Acct Not Found"))</f>
        <v/>
      </c>
      <c r="D174" s="87" t="str">
        <f t="shared" ca="1" si="15"/>
        <v/>
      </c>
      <c r="E174" s="79"/>
      <c r="F174" s="88" t="str">
        <f t="shared" si="16"/>
        <v/>
      </c>
      <c r="G174" s="43" t="s">
        <v>136</v>
      </c>
      <c r="H174" s="81"/>
      <c r="I174" s="89" t="str">
        <f>IF(A174="","Pending",IF(H174="","⚠️ Enter Agent Code",IF(IFERROR(VLOOKUP(G174,DB_Agents!$B:$I,8,0),"")=H174,IF(AND(A174&lt;&gt;"",E174&lt;&gt;""),"Saved","Pending"),"🔒 BLOCKED — Wrong Code")))</f>
        <v>Pending</v>
      </c>
      <c r="J174" s="90" t="str">
        <f t="shared" ca="1" si="17"/>
        <v>—</v>
      </c>
      <c r="K174" s="91"/>
    </row>
    <row r="175" spans="1:11" ht="15" customHeight="1" x14ac:dyDescent="0.25">
      <c r="A175" s="76"/>
      <c r="B175" s="37" t="str">
        <f>IF(A175="","",IFERROR(VLOOKUP(A175,DB_Customers!$A:$D,4,0),"❌ Account Not Found"))</f>
        <v/>
      </c>
      <c r="C175" s="77" t="str">
        <f>IF(A175="","",IFERROR(IF(SUMIF(DB_Savings!$C:$C,A175,DB_Savings!$F:$F)=0,VLOOKUP(A175,DB_Customers!$A:$I,9,0),VLOOKUP(A175,DB_Customers!$A:$N,14,0)),"❌ Acct Not Found"))</f>
        <v/>
      </c>
      <c r="D175" s="78" t="str">
        <f t="shared" ca="1" si="15"/>
        <v/>
      </c>
      <c r="E175" s="79"/>
      <c r="F175" s="80" t="str">
        <f t="shared" si="16"/>
        <v/>
      </c>
      <c r="G175" s="39" t="s">
        <v>136</v>
      </c>
      <c r="H175" s="81"/>
      <c r="I175" s="82" t="str">
        <f>IF(A175="","Pending",IF(H175="","⚠️ Enter Agent Code",IF(IFERROR(VLOOKUP(G175,DB_Agents!$B:$I,8,0),"")=H175,IF(AND(A175&lt;&gt;"",E175&lt;&gt;""),"Saved","Pending"),"🔒 BLOCKED — Wrong Code")))</f>
        <v>Pending</v>
      </c>
      <c r="J175" s="83" t="str">
        <f t="shared" ca="1" si="17"/>
        <v>—</v>
      </c>
      <c r="K175" s="84"/>
    </row>
    <row r="176" spans="1:11" ht="15" customHeight="1" x14ac:dyDescent="0.25">
      <c r="A176" s="85"/>
      <c r="B176" s="41" t="str">
        <f>IF(A176="","",IFERROR(VLOOKUP(A176,DB_Customers!$A:$D,4,0),"❌ Account Not Found"))</f>
        <v/>
      </c>
      <c r="C176" s="86" t="str">
        <f>IF(A176="","",IFERROR(IF(SUMIF(DB_Savings!$C:$C,A176,DB_Savings!$F:$F)=0,VLOOKUP(A176,DB_Customers!$A:$I,9,0),VLOOKUP(A176,DB_Customers!$A:$N,14,0)),"❌ Acct Not Found"))</f>
        <v/>
      </c>
      <c r="D176" s="87" t="str">
        <f t="shared" ca="1" si="15"/>
        <v/>
      </c>
      <c r="E176" s="79"/>
      <c r="F176" s="88" t="str">
        <f t="shared" si="16"/>
        <v/>
      </c>
      <c r="G176" s="43" t="s">
        <v>136</v>
      </c>
      <c r="H176" s="81"/>
      <c r="I176" s="89" t="str">
        <f>IF(A176="","Pending",IF(H176="","⚠️ Enter Agent Code",IF(IFERROR(VLOOKUP(G176,DB_Agents!$B:$I,8,0),"")=H176,IF(AND(A176&lt;&gt;"",E176&lt;&gt;""),"Saved","Pending"),"🔒 BLOCKED — Wrong Code")))</f>
        <v>Pending</v>
      </c>
      <c r="J176" s="90" t="str">
        <f t="shared" ca="1" si="17"/>
        <v>—</v>
      </c>
      <c r="K176" s="91"/>
    </row>
    <row r="177" spans="1:11" ht="15" customHeight="1" x14ac:dyDescent="0.25">
      <c r="A177" s="76"/>
      <c r="B177" s="37" t="str">
        <f>IF(A177="","",IFERROR(VLOOKUP(A177,DB_Customers!$A:$D,4,0),"❌ Account Not Found"))</f>
        <v/>
      </c>
      <c r="C177" s="77" t="str">
        <f>IF(A177="","",IFERROR(IF(SUMIF(DB_Savings!$C:$C,A177,DB_Savings!$F:$F)=0,VLOOKUP(A177,DB_Customers!$A:$I,9,0),VLOOKUP(A177,DB_Customers!$A:$N,14,0)),"❌ Acct Not Found"))</f>
        <v/>
      </c>
      <c r="D177" s="78" t="str">
        <f t="shared" ca="1" si="15"/>
        <v/>
      </c>
      <c r="E177" s="79"/>
      <c r="F177" s="80" t="str">
        <f t="shared" si="16"/>
        <v/>
      </c>
      <c r="G177" s="39" t="s">
        <v>136</v>
      </c>
      <c r="H177" s="81"/>
      <c r="I177" s="82" t="str">
        <f>IF(A177="","Pending",IF(H177="","⚠️ Enter Agent Code",IF(IFERROR(VLOOKUP(G177,DB_Agents!$B:$I,8,0),"")=H177,IF(AND(A177&lt;&gt;"",E177&lt;&gt;""),"Saved","Pending"),"🔒 BLOCKED — Wrong Code")))</f>
        <v>Pending</v>
      </c>
      <c r="J177" s="83" t="str">
        <f t="shared" ca="1" si="17"/>
        <v>—</v>
      </c>
      <c r="K177" s="84"/>
    </row>
    <row r="178" spans="1:11" ht="15" customHeight="1" x14ac:dyDescent="0.25">
      <c r="A178" s="85"/>
      <c r="B178" s="41" t="str">
        <f>IF(A178="","",IFERROR(VLOOKUP(A178,DB_Customers!$A:$D,4,0),"❌ Account Not Found"))</f>
        <v/>
      </c>
      <c r="C178" s="86" t="str">
        <f>IF(A178="","",IFERROR(IF(SUMIF(DB_Savings!$C:$C,A178,DB_Savings!$F:$F)=0,VLOOKUP(A178,DB_Customers!$A:$I,9,0),VLOOKUP(A178,DB_Customers!$A:$N,14,0)),"❌ Acct Not Found"))</f>
        <v/>
      </c>
      <c r="D178" s="87" t="str">
        <f t="shared" ca="1" si="15"/>
        <v/>
      </c>
      <c r="E178" s="79"/>
      <c r="F178" s="88" t="str">
        <f t="shared" si="16"/>
        <v/>
      </c>
      <c r="G178" s="43" t="s">
        <v>136</v>
      </c>
      <c r="H178" s="81"/>
      <c r="I178" s="89" t="str">
        <f>IF(A178="","Pending",IF(H178="","⚠️ Enter Agent Code",IF(IFERROR(VLOOKUP(G178,DB_Agents!$B:$I,8,0),"")=H178,IF(AND(A178&lt;&gt;"",E178&lt;&gt;""),"Saved","Pending"),"🔒 BLOCKED — Wrong Code")))</f>
        <v>Pending</v>
      </c>
      <c r="J178" s="90" t="str">
        <f t="shared" ca="1" si="17"/>
        <v>—</v>
      </c>
      <c r="K178" s="91"/>
    </row>
    <row r="179" spans="1:11" ht="15" customHeight="1" x14ac:dyDescent="0.25">
      <c r="A179" s="76"/>
      <c r="B179" s="37" t="str">
        <f>IF(A179="","",IFERROR(VLOOKUP(A179,DB_Customers!$A:$D,4,0),"❌ Account Not Found"))</f>
        <v/>
      </c>
      <c r="C179" s="77" t="str">
        <f>IF(A179="","",IFERROR(IF(SUMIF(DB_Savings!$C:$C,A179,DB_Savings!$F:$F)=0,VLOOKUP(A179,DB_Customers!$A:$I,9,0),VLOOKUP(A179,DB_Customers!$A:$N,14,0)),"❌ Acct Not Found"))</f>
        <v/>
      </c>
      <c r="D179" s="78" t="str">
        <f t="shared" ca="1" si="15"/>
        <v/>
      </c>
      <c r="E179" s="79"/>
      <c r="F179" s="80" t="str">
        <f t="shared" si="16"/>
        <v/>
      </c>
      <c r="G179" s="39" t="s">
        <v>136</v>
      </c>
      <c r="H179" s="81"/>
      <c r="I179" s="82" t="str">
        <f>IF(A179="","Pending",IF(H179="","⚠️ Enter Agent Code",IF(IFERROR(VLOOKUP(G179,DB_Agents!$B:$I,8,0),"")=H179,IF(AND(A179&lt;&gt;"",E179&lt;&gt;""),"Saved","Pending"),"🔒 BLOCKED — Wrong Code")))</f>
        <v>Pending</v>
      </c>
      <c r="J179" s="83" t="str">
        <f t="shared" ca="1" si="17"/>
        <v>—</v>
      </c>
      <c r="K179" s="84"/>
    </row>
    <row r="180" spans="1:11" ht="15" customHeight="1" x14ac:dyDescent="0.25">
      <c r="A180" s="85"/>
      <c r="B180" s="41" t="str">
        <f>IF(A180="","",IFERROR(VLOOKUP(A180,DB_Customers!$A:$D,4,0),"❌ Account Not Found"))</f>
        <v/>
      </c>
      <c r="C180" s="86" t="str">
        <f>IF(A180="","",IFERROR(IF(SUMIF(DB_Savings!$C:$C,A180,DB_Savings!$F:$F)=0,VLOOKUP(A180,DB_Customers!$A:$I,9,0),VLOOKUP(A180,DB_Customers!$A:$N,14,0)),"❌ Acct Not Found"))</f>
        <v/>
      </c>
      <c r="D180" s="87" t="str">
        <f t="shared" ca="1" si="15"/>
        <v/>
      </c>
      <c r="E180" s="79"/>
      <c r="F180" s="88" t="str">
        <f t="shared" si="16"/>
        <v/>
      </c>
      <c r="G180" s="43" t="s">
        <v>136</v>
      </c>
      <c r="H180" s="81"/>
      <c r="I180" s="89" t="str">
        <f>IF(A180="","Pending",IF(H180="","⚠️ Enter Agent Code",IF(IFERROR(VLOOKUP(G180,DB_Agents!$B:$I,8,0),"")=H180,IF(AND(A180&lt;&gt;"",E180&lt;&gt;""),"Saved","Pending"),"🔒 BLOCKED — Wrong Code")))</f>
        <v>Pending</v>
      </c>
      <c r="J180" s="90" t="str">
        <f t="shared" ca="1" si="17"/>
        <v>—</v>
      </c>
      <c r="K180" s="91"/>
    </row>
    <row r="181" spans="1:11" ht="15" customHeight="1" x14ac:dyDescent="0.25">
      <c r="A181" s="76"/>
      <c r="B181" s="37" t="str">
        <f>IF(A181="","",IFERROR(VLOOKUP(A181,DB_Customers!$A:$D,4,0),"❌ Account Not Found"))</f>
        <v/>
      </c>
      <c r="C181" s="77" t="str">
        <f>IF(A181="","",IFERROR(IF(SUMIF(DB_Savings!$C:$C,A181,DB_Savings!$F:$F)=0,VLOOKUP(A181,DB_Customers!$A:$I,9,0),VLOOKUP(A181,DB_Customers!$A:$N,14,0)),"❌ Acct Not Found"))</f>
        <v/>
      </c>
      <c r="D181" s="78" t="str">
        <f t="shared" ca="1" si="15"/>
        <v/>
      </c>
      <c r="E181" s="79"/>
      <c r="F181" s="80" t="str">
        <f t="shared" si="16"/>
        <v/>
      </c>
      <c r="G181" s="39" t="s">
        <v>136</v>
      </c>
      <c r="H181" s="81"/>
      <c r="I181" s="82" t="str">
        <f>IF(A181="","Pending",IF(H181="","⚠️ Enter Agent Code",IF(IFERROR(VLOOKUP(G181,DB_Agents!$B:$I,8,0),"")=H181,IF(AND(A181&lt;&gt;"",E181&lt;&gt;""),"Saved","Pending"),"🔒 BLOCKED — Wrong Code")))</f>
        <v>Pending</v>
      </c>
      <c r="J181" s="83" t="str">
        <f t="shared" ca="1" si="17"/>
        <v>—</v>
      </c>
      <c r="K181" s="84"/>
    </row>
    <row r="182" spans="1:11" ht="15" customHeight="1" x14ac:dyDescent="0.25">
      <c r="A182" s="85"/>
      <c r="B182" s="41" t="str">
        <f>IF(A182="","",IFERROR(VLOOKUP(A182,DB_Customers!$A:$D,4,0),"❌ Account Not Found"))</f>
        <v/>
      </c>
      <c r="C182" s="86" t="str">
        <f>IF(A182="","",IFERROR(IF(SUMIF(DB_Savings!$C:$C,A182,DB_Savings!$F:$F)=0,VLOOKUP(A182,DB_Customers!$A:$I,9,0),VLOOKUP(A182,DB_Customers!$A:$N,14,0)),"❌ Acct Not Found"))</f>
        <v/>
      </c>
      <c r="D182" s="87" t="str">
        <f t="shared" ca="1" si="15"/>
        <v/>
      </c>
      <c r="E182" s="79"/>
      <c r="F182" s="88" t="str">
        <f t="shared" si="16"/>
        <v/>
      </c>
      <c r="G182" s="43" t="s">
        <v>136</v>
      </c>
      <c r="H182" s="81"/>
      <c r="I182" s="89" t="str">
        <f>IF(A182="","Pending",IF(H182="","⚠️ Enter Agent Code",IF(IFERROR(VLOOKUP(G182,DB_Agents!$B:$I,8,0),"")=H182,IF(AND(A182&lt;&gt;"",E182&lt;&gt;""),"Saved","Pending"),"🔒 BLOCKED — Wrong Code")))</f>
        <v>Pending</v>
      </c>
      <c r="J182" s="90" t="str">
        <f t="shared" ca="1" si="17"/>
        <v>—</v>
      </c>
      <c r="K182" s="91"/>
    </row>
    <row r="183" spans="1:11" ht="15" customHeight="1" x14ac:dyDescent="0.25">
      <c r="A183" s="76"/>
      <c r="B183" s="37" t="str">
        <f>IF(A183="","",IFERROR(VLOOKUP(A183,DB_Customers!$A:$D,4,0),"❌ Account Not Found"))</f>
        <v/>
      </c>
      <c r="C183" s="77" t="str">
        <f>IF(A183="","",IFERROR(IF(SUMIF(DB_Savings!$C:$C,A183,DB_Savings!$F:$F)=0,VLOOKUP(A183,DB_Customers!$A:$I,9,0),VLOOKUP(A183,DB_Customers!$A:$N,14,0)),"❌ Acct Not Found"))</f>
        <v/>
      </c>
      <c r="D183" s="78" t="str">
        <f t="shared" ca="1" si="15"/>
        <v/>
      </c>
      <c r="E183" s="79"/>
      <c r="F183" s="80" t="str">
        <f t="shared" si="16"/>
        <v/>
      </c>
      <c r="G183" s="39" t="s">
        <v>136</v>
      </c>
      <c r="H183" s="81"/>
      <c r="I183" s="82" t="str">
        <f>IF(A183="","Pending",IF(H183="","⚠️ Enter Agent Code",IF(IFERROR(VLOOKUP(G183,DB_Agents!$B:$I,8,0),"")=H183,IF(AND(A183&lt;&gt;"",E183&lt;&gt;""),"Saved","Pending"),"🔒 BLOCKED — Wrong Code")))</f>
        <v>Pending</v>
      </c>
      <c r="J183" s="83" t="str">
        <f t="shared" ca="1" si="17"/>
        <v>—</v>
      </c>
      <c r="K183" s="84"/>
    </row>
    <row r="184" spans="1:11" ht="15" customHeight="1" x14ac:dyDescent="0.25">
      <c r="A184" s="85"/>
      <c r="B184" s="41" t="str">
        <f>IF(A184="","",IFERROR(VLOOKUP(A184,DB_Customers!$A:$D,4,0),"❌ Account Not Found"))</f>
        <v/>
      </c>
      <c r="C184" s="86" t="str">
        <f>IF(A184="","",IFERROR(IF(SUMIF(DB_Savings!$C:$C,A184,DB_Savings!$F:$F)=0,VLOOKUP(A184,DB_Customers!$A:$I,9,0),VLOOKUP(A184,DB_Customers!$A:$N,14,0)),"❌ Acct Not Found"))</f>
        <v/>
      </c>
      <c r="D184" s="87" t="str">
        <f t="shared" ca="1" si="15"/>
        <v/>
      </c>
      <c r="E184" s="79"/>
      <c r="F184" s="88" t="str">
        <f t="shared" si="16"/>
        <v/>
      </c>
      <c r="G184" s="43" t="s">
        <v>136</v>
      </c>
      <c r="H184" s="81"/>
      <c r="I184" s="89" t="str">
        <f>IF(A184="","Pending",IF(H184="","⚠️ Enter Agent Code",IF(IFERROR(VLOOKUP(G184,DB_Agents!$B:$I,8,0),"")=H184,IF(AND(A184&lt;&gt;"",E184&lt;&gt;""),"Saved","Pending"),"🔒 BLOCKED — Wrong Code")))</f>
        <v>Pending</v>
      </c>
      <c r="J184" s="90" t="str">
        <f t="shared" ca="1" si="17"/>
        <v>—</v>
      </c>
      <c r="K184" s="91"/>
    </row>
    <row r="185" spans="1:11" ht="15" customHeight="1" x14ac:dyDescent="0.25">
      <c r="A185" s="76"/>
      <c r="B185" s="37" t="str">
        <f>IF(A185="","",IFERROR(VLOOKUP(A185,DB_Customers!$A:$D,4,0),"❌ Account Not Found"))</f>
        <v/>
      </c>
      <c r="C185" s="77" t="str">
        <f>IF(A185="","",IFERROR(IF(SUMIF(DB_Savings!$C:$C,A185,DB_Savings!$F:$F)=0,VLOOKUP(A185,DB_Customers!$A:$I,9,0),VLOOKUP(A185,DB_Customers!$A:$N,14,0)),"❌ Acct Not Found"))</f>
        <v/>
      </c>
      <c r="D185" s="78" t="str">
        <f t="shared" ca="1" si="15"/>
        <v/>
      </c>
      <c r="E185" s="79"/>
      <c r="F185" s="80" t="str">
        <f t="shared" si="16"/>
        <v/>
      </c>
      <c r="G185" s="39" t="s">
        <v>136</v>
      </c>
      <c r="H185" s="81"/>
      <c r="I185" s="82" t="str">
        <f>IF(A185="","Pending",IF(H185="","⚠️ Enter Agent Code",IF(IFERROR(VLOOKUP(G185,DB_Agents!$B:$I,8,0),"")=H185,IF(AND(A185&lt;&gt;"",E185&lt;&gt;""),"Saved","Pending"),"🔒 BLOCKED — Wrong Code")))</f>
        <v>Pending</v>
      </c>
      <c r="J185" s="83" t="str">
        <f t="shared" ca="1" si="17"/>
        <v>—</v>
      </c>
      <c r="K185" s="84"/>
    </row>
    <row r="186" spans="1:11" ht="15" customHeight="1" x14ac:dyDescent="0.25">
      <c r="A186" s="85"/>
      <c r="B186" s="41" t="str">
        <f>IF(A186="","",IFERROR(VLOOKUP(A186,DB_Customers!$A:$D,4,0),"❌ Account Not Found"))</f>
        <v/>
      </c>
      <c r="C186" s="86" t="str">
        <f>IF(A186="","",IFERROR(IF(SUMIF(DB_Savings!$C:$C,A186,DB_Savings!$F:$F)=0,VLOOKUP(A186,DB_Customers!$A:$I,9,0),VLOOKUP(A186,DB_Customers!$A:$N,14,0)),"❌ Acct Not Found"))</f>
        <v/>
      </c>
      <c r="D186" s="87" t="str">
        <f t="shared" ca="1" si="15"/>
        <v/>
      </c>
      <c r="E186" s="79"/>
      <c r="F186" s="88" t="str">
        <f t="shared" si="16"/>
        <v/>
      </c>
      <c r="G186" s="43" t="s">
        <v>136</v>
      </c>
      <c r="H186" s="81"/>
      <c r="I186" s="89" t="str">
        <f>IF(A186="","Pending",IF(H186="","⚠️ Enter Agent Code",IF(IFERROR(VLOOKUP(G186,DB_Agents!$B:$I,8,0),"")=H186,IF(AND(A186&lt;&gt;"",E186&lt;&gt;""),"Saved","Pending"),"🔒 BLOCKED — Wrong Code")))</f>
        <v>Pending</v>
      </c>
      <c r="J186" s="90" t="str">
        <f t="shared" ca="1" si="17"/>
        <v>—</v>
      </c>
      <c r="K186" s="91"/>
    </row>
    <row r="187" spans="1:11" ht="15" customHeight="1" x14ac:dyDescent="0.25">
      <c r="A187" s="76"/>
      <c r="B187" s="37" t="str">
        <f>IF(A187="","",IFERROR(VLOOKUP(A187,DB_Customers!$A:$D,4,0),"❌ Account Not Found"))</f>
        <v/>
      </c>
      <c r="C187" s="77" t="str">
        <f>IF(A187="","",IFERROR(IF(SUMIF(DB_Savings!$C:$C,A187,DB_Savings!$F:$F)=0,VLOOKUP(A187,DB_Customers!$A:$I,9,0),VLOOKUP(A187,DB_Customers!$A:$N,14,0)),"❌ Acct Not Found"))</f>
        <v/>
      </c>
      <c r="D187" s="78" t="str">
        <f t="shared" ca="1" si="15"/>
        <v/>
      </c>
      <c r="E187" s="79"/>
      <c r="F187" s="80" t="str">
        <f t="shared" si="16"/>
        <v/>
      </c>
      <c r="G187" s="39" t="s">
        <v>136</v>
      </c>
      <c r="H187" s="81"/>
      <c r="I187" s="82" t="str">
        <f>IF(A187="","Pending",IF(H187="","⚠️ Enter Agent Code",IF(IFERROR(VLOOKUP(G187,DB_Agents!$B:$I,8,0),"")=H187,IF(AND(A187&lt;&gt;"",E187&lt;&gt;""),"Saved","Pending"),"🔒 BLOCKED — Wrong Code")))</f>
        <v>Pending</v>
      </c>
      <c r="J187" s="83" t="str">
        <f t="shared" ca="1" si="17"/>
        <v>—</v>
      </c>
      <c r="K187" s="84"/>
    </row>
    <row r="188" spans="1:11" ht="15" customHeight="1" x14ac:dyDescent="0.25">
      <c r="A188" s="85"/>
      <c r="B188" s="41" t="str">
        <f>IF(A188="","",IFERROR(VLOOKUP(A188,DB_Customers!$A:$D,4,0),"❌ Account Not Found"))</f>
        <v/>
      </c>
      <c r="C188" s="86" t="str">
        <f>IF(A188="","",IFERROR(IF(SUMIF(DB_Savings!$C:$C,A188,DB_Savings!$F:$F)=0,VLOOKUP(A188,DB_Customers!$A:$I,9,0),VLOOKUP(A188,DB_Customers!$A:$N,14,0)),"❌ Acct Not Found"))</f>
        <v/>
      </c>
      <c r="D188" s="87" t="str">
        <f t="shared" ca="1" si="15"/>
        <v/>
      </c>
      <c r="E188" s="79"/>
      <c r="F188" s="88" t="str">
        <f t="shared" si="16"/>
        <v/>
      </c>
      <c r="G188" s="43" t="s">
        <v>136</v>
      </c>
      <c r="H188" s="81"/>
      <c r="I188" s="89" t="str">
        <f>IF(A188="","Pending",IF(H188="","⚠️ Enter Agent Code",IF(IFERROR(VLOOKUP(G188,DB_Agents!$B:$I,8,0),"")=H188,IF(AND(A188&lt;&gt;"",E188&lt;&gt;""),"Saved","Pending"),"🔒 BLOCKED — Wrong Code")))</f>
        <v>Pending</v>
      </c>
      <c r="J188" s="90" t="str">
        <f t="shared" ca="1" si="17"/>
        <v>—</v>
      </c>
      <c r="K188" s="91"/>
    </row>
    <row r="189" spans="1:11" ht="15" customHeight="1" x14ac:dyDescent="0.25">
      <c r="A189" s="76"/>
      <c r="B189" s="37" t="str">
        <f>IF(A189="","",IFERROR(VLOOKUP(A189,DB_Customers!$A:$D,4,0),"❌ Account Not Found"))</f>
        <v/>
      </c>
      <c r="C189" s="77" t="str">
        <f>IF(A189="","",IFERROR(IF(SUMIF(DB_Savings!$C:$C,A189,DB_Savings!$F:$F)=0,VLOOKUP(A189,DB_Customers!$A:$I,9,0),VLOOKUP(A189,DB_Customers!$A:$N,14,0)),"❌ Acct Not Found"))</f>
        <v/>
      </c>
      <c r="D189" s="78" t="str">
        <f t="shared" ca="1" si="15"/>
        <v/>
      </c>
      <c r="E189" s="79"/>
      <c r="F189" s="80" t="str">
        <f t="shared" si="16"/>
        <v/>
      </c>
      <c r="G189" s="39" t="s">
        <v>136</v>
      </c>
      <c r="H189" s="81"/>
      <c r="I189" s="82" t="str">
        <f>IF(A189="","Pending",IF(H189="","⚠️ Enter Agent Code",IF(IFERROR(VLOOKUP(G189,DB_Agents!$B:$I,8,0),"")=H189,IF(AND(A189&lt;&gt;"",E189&lt;&gt;""),"Saved","Pending"),"🔒 BLOCKED — Wrong Code")))</f>
        <v>Pending</v>
      </c>
      <c r="J189" s="83" t="str">
        <f t="shared" ca="1" si="17"/>
        <v>—</v>
      </c>
      <c r="K189" s="84"/>
    </row>
    <row r="190" spans="1:11" ht="15" customHeight="1" x14ac:dyDescent="0.25">
      <c r="A190" s="85"/>
      <c r="B190" s="41" t="str">
        <f>IF(A190="","",IFERROR(VLOOKUP(A190,DB_Customers!$A:$D,4,0),"❌ Account Not Found"))</f>
        <v/>
      </c>
      <c r="C190" s="86" t="str">
        <f>IF(A190="","",IFERROR(IF(SUMIF(DB_Savings!$C:$C,A190,DB_Savings!$F:$F)=0,VLOOKUP(A190,DB_Customers!$A:$I,9,0),VLOOKUP(A190,DB_Customers!$A:$N,14,0)),"❌ Acct Not Found"))</f>
        <v/>
      </c>
      <c r="D190" s="87" t="str">
        <f t="shared" ca="1" si="15"/>
        <v/>
      </c>
      <c r="E190" s="79"/>
      <c r="F190" s="88" t="str">
        <f t="shared" si="16"/>
        <v/>
      </c>
      <c r="G190" s="43" t="s">
        <v>136</v>
      </c>
      <c r="H190" s="81"/>
      <c r="I190" s="89" t="str">
        <f>IF(A190="","Pending",IF(H190="","⚠️ Enter Agent Code",IF(IFERROR(VLOOKUP(G190,DB_Agents!$B:$I,8,0),"")=H190,IF(AND(A190&lt;&gt;"",E190&lt;&gt;""),"Saved","Pending"),"🔒 BLOCKED — Wrong Code")))</f>
        <v>Pending</v>
      </c>
      <c r="J190" s="90" t="str">
        <f t="shared" ca="1" si="17"/>
        <v>—</v>
      </c>
      <c r="K190" s="91"/>
    </row>
    <row r="191" spans="1:11" ht="15" customHeight="1" x14ac:dyDescent="0.25">
      <c r="A191" s="76"/>
      <c r="B191" s="37" t="str">
        <f>IF(A191="","",IFERROR(VLOOKUP(A191,DB_Customers!$A:$D,4,0),"❌ Account Not Found"))</f>
        <v/>
      </c>
      <c r="C191" s="77" t="str">
        <f>IF(A191="","",IFERROR(IF(SUMIF(DB_Savings!$C:$C,A191,DB_Savings!$F:$F)=0,VLOOKUP(A191,DB_Customers!$A:$I,9,0),VLOOKUP(A191,DB_Customers!$A:$N,14,0)),"❌ Acct Not Found"))</f>
        <v/>
      </c>
      <c r="D191" s="78" t="str">
        <f t="shared" ca="1" si="15"/>
        <v/>
      </c>
      <c r="E191" s="79"/>
      <c r="F191" s="80" t="str">
        <f t="shared" si="16"/>
        <v/>
      </c>
      <c r="G191" s="39" t="s">
        <v>136</v>
      </c>
      <c r="H191" s="81"/>
      <c r="I191" s="82" t="str">
        <f>IF(A191="","Pending",IF(H191="","⚠️ Enter Agent Code",IF(IFERROR(VLOOKUP(G191,DB_Agents!$B:$I,8,0),"")=H191,IF(AND(A191&lt;&gt;"",E191&lt;&gt;""),"Saved","Pending"),"🔒 BLOCKED — Wrong Code")))</f>
        <v>Pending</v>
      </c>
      <c r="J191" s="83" t="str">
        <f t="shared" ca="1" si="17"/>
        <v>—</v>
      </c>
      <c r="K191" s="84"/>
    </row>
    <row r="192" spans="1:11" ht="15" customHeight="1" x14ac:dyDescent="0.25">
      <c r="A192" s="85"/>
      <c r="B192" s="41" t="str">
        <f>IF(A192="","",IFERROR(VLOOKUP(A192,DB_Customers!$A:$D,4,0),"❌ Account Not Found"))</f>
        <v/>
      </c>
      <c r="C192" s="86" t="str">
        <f>IF(A192="","",IFERROR(IF(SUMIF(DB_Savings!$C:$C,A192,DB_Savings!$F:$F)=0,VLOOKUP(A192,DB_Customers!$A:$I,9,0),VLOOKUP(A192,DB_Customers!$A:$N,14,0)),"❌ Acct Not Found"))</f>
        <v/>
      </c>
      <c r="D192" s="87" t="str">
        <f t="shared" ca="1" si="15"/>
        <v/>
      </c>
      <c r="E192" s="79"/>
      <c r="F192" s="88" t="str">
        <f t="shared" si="16"/>
        <v/>
      </c>
      <c r="G192" s="43" t="s">
        <v>136</v>
      </c>
      <c r="H192" s="81"/>
      <c r="I192" s="89" t="str">
        <f>IF(A192="","Pending",IF(H192="","⚠️ Enter Agent Code",IF(IFERROR(VLOOKUP(G192,DB_Agents!$B:$I,8,0),"")=H192,IF(AND(A192&lt;&gt;"",E192&lt;&gt;""),"Saved","Pending"),"🔒 BLOCKED — Wrong Code")))</f>
        <v>Pending</v>
      </c>
      <c r="J192" s="90" t="str">
        <f t="shared" ca="1" si="17"/>
        <v>—</v>
      </c>
      <c r="K192" s="91"/>
    </row>
    <row r="193" spans="1:11" ht="15" customHeight="1" x14ac:dyDescent="0.25">
      <c r="A193" s="76"/>
      <c r="B193" s="37" t="str">
        <f>IF(A193="","",IFERROR(VLOOKUP(A193,DB_Customers!$A:$D,4,0),"❌ Account Not Found"))</f>
        <v/>
      </c>
      <c r="C193" s="77" t="str">
        <f>IF(A193="","",IFERROR(IF(SUMIF(DB_Savings!$C:$C,A193,DB_Savings!$F:$F)=0,VLOOKUP(A193,DB_Customers!$A:$I,9,0),VLOOKUP(A193,DB_Customers!$A:$N,14,0)),"❌ Acct Not Found"))</f>
        <v/>
      </c>
      <c r="D193" s="78" t="str">
        <f t="shared" ca="1" si="15"/>
        <v/>
      </c>
      <c r="E193" s="79"/>
      <c r="F193" s="80" t="str">
        <f t="shared" si="16"/>
        <v/>
      </c>
      <c r="G193" s="39" t="s">
        <v>136</v>
      </c>
      <c r="H193" s="81"/>
      <c r="I193" s="82" t="str">
        <f>IF(A193="","Pending",IF(H193="","⚠️ Enter Agent Code",IF(IFERROR(VLOOKUP(G193,DB_Agents!$B:$I,8,0),"")=H193,IF(AND(A193&lt;&gt;"",E193&lt;&gt;""),"Saved","Pending"),"🔒 BLOCKED — Wrong Code")))</f>
        <v>Pending</v>
      </c>
      <c r="J193" s="83" t="str">
        <f t="shared" ca="1" si="17"/>
        <v>—</v>
      </c>
      <c r="K193" s="84"/>
    </row>
    <row r="194" spans="1:11" ht="15" customHeight="1" x14ac:dyDescent="0.25">
      <c r="A194" s="85"/>
      <c r="B194" s="41" t="str">
        <f>IF(A194="","",IFERROR(VLOOKUP(A194,DB_Customers!$A:$D,4,0),"❌ Account Not Found"))</f>
        <v/>
      </c>
      <c r="C194" s="86" t="str">
        <f>IF(A194="","",IFERROR(IF(SUMIF(DB_Savings!$C:$C,A194,DB_Savings!$F:$F)=0,VLOOKUP(A194,DB_Customers!$A:$I,9,0),VLOOKUP(A194,DB_Customers!$A:$N,14,0)),"❌ Acct Not Found"))</f>
        <v/>
      </c>
      <c r="D194" s="87" t="str">
        <f t="shared" ca="1" si="15"/>
        <v/>
      </c>
      <c r="E194" s="79"/>
      <c r="F194" s="88" t="str">
        <f t="shared" si="16"/>
        <v/>
      </c>
      <c r="G194" s="43" t="s">
        <v>136</v>
      </c>
      <c r="H194" s="81"/>
      <c r="I194" s="89" t="str">
        <f>IF(A194="","Pending",IF(H194="","⚠️ Enter Agent Code",IF(IFERROR(VLOOKUP(G194,DB_Agents!$B:$I,8,0),"")=H194,IF(AND(A194&lt;&gt;"",E194&lt;&gt;""),"Saved","Pending"),"🔒 BLOCKED — Wrong Code")))</f>
        <v>Pending</v>
      </c>
      <c r="J194" s="90" t="str">
        <f t="shared" ca="1" si="17"/>
        <v>—</v>
      </c>
      <c r="K194" s="91"/>
    </row>
    <row r="195" spans="1:11" ht="15" customHeight="1" x14ac:dyDescent="0.25">
      <c r="A195" s="76"/>
      <c r="B195" s="37" t="str">
        <f>IF(A195="","",IFERROR(VLOOKUP(A195,DB_Customers!$A:$D,4,0),"❌ Account Not Found"))</f>
        <v/>
      </c>
      <c r="C195" s="77" t="str">
        <f>IF(A195="","",IFERROR(IF(SUMIF(DB_Savings!$C:$C,A195,DB_Savings!$F:$F)=0,VLOOKUP(A195,DB_Customers!$A:$I,9,0),VLOOKUP(A195,DB_Customers!$A:$N,14,0)),"❌ Acct Not Found"))</f>
        <v/>
      </c>
      <c r="D195" s="78" t="str">
        <f t="shared" ca="1" si="15"/>
        <v/>
      </c>
      <c r="E195" s="79"/>
      <c r="F195" s="80" t="str">
        <f t="shared" si="16"/>
        <v/>
      </c>
      <c r="G195" s="39" t="s">
        <v>136</v>
      </c>
      <c r="H195" s="81"/>
      <c r="I195" s="82" t="str">
        <f>IF(A195="","Pending",IF(H195="","⚠️ Enter Agent Code",IF(IFERROR(VLOOKUP(G195,DB_Agents!$B:$I,8,0),"")=H195,IF(AND(A195&lt;&gt;"",E195&lt;&gt;""),"Saved","Pending"),"🔒 BLOCKED — Wrong Code")))</f>
        <v>Pending</v>
      </c>
      <c r="J195" s="83" t="str">
        <f t="shared" ca="1" si="17"/>
        <v>—</v>
      </c>
      <c r="K195" s="84"/>
    </row>
    <row r="196" spans="1:11" ht="15" customHeight="1" x14ac:dyDescent="0.25">
      <c r="A196" s="85"/>
      <c r="B196" s="41" t="str">
        <f>IF(A196="","",IFERROR(VLOOKUP(A196,DB_Customers!$A:$D,4,0),"❌ Account Not Found"))</f>
        <v/>
      </c>
      <c r="C196" s="86" t="str">
        <f>IF(A196="","",IFERROR(IF(SUMIF(DB_Savings!$C:$C,A196,DB_Savings!$F:$F)=0,VLOOKUP(A196,DB_Customers!$A:$I,9,0),VLOOKUP(A196,DB_Customers!$A:$N,14,0)),"❌ Acct Not Found"))</f>
        <v/>
      </c>
      <c r="D196" s="87" t="str">
        <f t="shared" ca="1" si="15"/>
        <v/>
      </c>
      <c r="E196" s="79"/>
      <c r="F196" s="88" t="str">
        <f t="shared" si="16"/>
        <v/>
      </c>
      <c r="G196" s="43" t="s">
        <v>136</v>
      </c>
      <c r="H196" s="81"/>
      <c r="I196" s="89" t="str">
        <f>IF(A196="","Pending",IF(H196="","⚠️ Enter Agent Code",IF(IFERROR(VLOOKUP(G196,DB_Agents!$B:$I,8,0),"")=H196,IF(AND(A196&lt;&gt;"",E196&lt;&gt;""),"Saved","Pending"),"🔒 BLOCKED — Wrong Code")))</f>
        <v>Pending</v>
      </c>
      <c r="J196" s="90" t="str">
        <f t="shared" ca="1" si="17"/>
        <v>—</v>
      </c>
      <c r="K196" s="91"/>
    </row>
    <row r="197" spans="1:11" ht="15" customHeight="1" x14ac:dyDescent="0.25">
      <c r="A197" s="76"/>
      <c r="B197" s="37" t="str">
        <f>IF(A197="","",IFERROR(VLOOKUP(A197,DB_Customers!$A:$D,4,0),"❌ Account Not Found"))</f>
        <v/>
      </c>
      <c r="C197" s="77" t="str">
        <f>IF(A197="","",IFERROR(IF(SUMIF(DB_Savings!$C:$C,A197,DB_Savings!$F:$F)=0,VLOOKUP(A197,DB_Customers!$A:$I,9,0),VLOOKUP(A197,DB_Customers!$A:$N,14,0)),"❌ Acct Not Found"))</f>
        <v/>
      </c>
      <c r="D197" s="78" t="str">
        <f t="shared" ca="1" si="15"/>
        <v/>
      </c>
      <c r="E197" s="79"/>
      <c r="F197" s="80" t="str">
        <f t="shared" si="16"/>
        <v/>
      </c>
      <c r="G197" s="39" t="s">
        <v>136</v>
      </c>
      <c r="H197" s="81"/>
      <c r="I197" s="82" t="str">
        <f>IF(A197="","Pending",IF(H197="","⚠️ Enter Agent Code",IF(IFERROR(VLOOKUP(G197,DB_Agents!$B:$I,8,0),"")=H197,IF(AND(A197&lt;&gt;"",E197&lt;&gt;""),"Saved","Pending"),"🔒 BLOCKED — Wrong Code")))</f>
        <v>Pending</v>
      </c>
      <c r="J197" s="83" t="str">
        <f t="shared" ca="1" si="17"/>
        <v>—</v>
      </c>
      <c r="K197" s="84"/>
    </row>
    <row r="198" spans="1:11" ht="15" customHeight="1" x14ac:dyDescent="0.25">
      <c r="A198" s="85"/>
      <c r="B198" s="41" t="str">
        <f>IF(A198="","",IFERROR(VLOOKUP(A198,DB_Customers!$A:$D,4,0),"❌ Account Not Found"))</f>
        <v/>
      </c>
      <c r="C198" s="86" t="str">
        <f>IF(A198="","",IFERROR(IF(SUMIF(DB_Savings!$C:$C,A198,DB_Savings!$F:$F)=0,VLOOKUP(A198,DB_Customers!$A:$I,9,0),VLOOKUP(A198,DB_Customers!$A:$N,14,0)),"❌ Acct Not Found"))</f>
        <v/>
      </c>
      <c r="D198" s="87" t="str">
        <f t="shared" ca="1" si="15"/>
        <v/>
      </c>
      <c r="E198" s="79"/>
      <c r="F198" s="88" t="str">
        <f t="shared" si="16"/>
        <v/>
      </c>
      <c r="G198" s="43" t="s">
        <v>136</v>
      </c>
      <c r="H198" s="81"/>
      <c r="I198" s="89" t="str">
        <f>IF(A198="","Pending",IF(H198="","⚠️ Enter Agent Code",IF(IFERROR(VLOOKUP(G198,DB_Agents!$B:$I,8,0),"")=H198,IF(AND(A198&lt;&gt;"",E198&lt;&gt;""),"Saved","Pending"),"🔒 BLOCKED — Wrong Code")))</f>
        <v>Pending</v>
      </c>
      <c r="J198" s="90" t="str">
        <f t="shared" ca="1" si="17"/>
        <v>—</v>
      </c>
      <c r="K198" s="91"/>
    </row>
    <row r="199" spans="1:11" ht="15" customHeight="1" x14ac:dyDescent="0.25">
      <c r="A199" s="76"/>
      <c r="B199" s="37" t="str">
        <f>IF(A199="","",IFERROR(VLOOKUP(A199,DB_Customers!$A:$D,4,0),"❌ Account Not Found"))</f>
        <v/>
      </c>
      <c r="C199" s="77" t="str">
        <f>IF(A199="","",IFERROR(IF(SUMIF(DB_Savings!$C:$C,A199,DB_Savings!$F:$F)=0,VLOOKUP(A199,DB_Customers!$A:$I,9,0),VLOOKUP(A199,DB_Customers!$A:$N,14,0)),"❌ Acct Not Found"))</f>
        <v/>
      </c>
      <c r="D199" s="78" t="str">
        <f t="shared" ca="1" si="15"/>
        <v/>
      </c>
      <c r="E199" s="79"/>
      <c r="F199" s="80" t="str">
        <f t="shared" si="16"/>
        <v/>
      </c>
      <c r="G199" s="39" t="s">
        <v>136</v>
      </c>
      <c r="H199" s="81"/>
      <c r="I199" s="82" t="str">
        <f>IF(A199="","Pending",IF(H199="","⚠️ Enter Agent Code",IF(IFERROR(VLOOKUP(G199,DB_Agents!$B:$I,8,0),"")=H199,IF(AND(A199&lt;&gt;"",E199&lt;&gt;""),"Saved","Pending"),"🔒 BLOCKED — Wrong Code")))</f>
        <v>Pending</v>
      </c>
      <c r="J199" s="83" t="str">
        <f t="shared" ca="1" si="17"/>
        <v>—</v>
      </c>
      <c r="K199" s="84"/>
    </row>
    <row r="200" spans="1:11" ht="15" customHeight="1" x14ac:dyDescent="0.25">
      <c r="A200" s="85"/>
      <c r="B200" s="41" t="str">
        <f>IF(A200="","",IFERROR(VLOOKUP(A200,DB_Customers!$A:$D,4,0),"❌ Account Not Found"))</f>
        <v/>
      </c>
      <c r="C200" s="86" t="str">
        <f>IF(A200="","",IFERROR(IF(SUMIF(DB_Savings!$C:$C,A200,DB_Savings!$F:$F)=0,VLOOKUP(A200,DB_Customers!$A:$I,9,0),VLOOKUP(A200,DB_Customers!$A:$N,14,0)),"❌ Acct Not Found"))</f>
        <v/>
      </c>
      <c r="D200" s="87" t="str">
        <f t="shared" ca="1" si="15"/>
        <v/>
      </c>
      <c r="E200" s="79"/>
      <c r="F200" s="88" t="str">
        <f t="shared" si="16"/>
        <v/>
      </c>
      <c r="G200" s="43" t="s">
        <v>136</v>
      </c>
      <c r="H200" s="81"/>
      <c r="I200" s="89" t="str">
        <f>IF(A200="","Pending",IF(H200="","⚠️ Enter Agent Code",IF(IFERROR(VLOOKUP(G200,DB_Agents!$B:$I,8,0),"")=H200,IF(AND(A200&lt;&gt;"",E200&lt;&gt;""),"Saved","Pending"),"🔒 BLOCKED — Wrong Code")))</f>
        <v>Pending</v>
      </c>
      <c r="J200" s="90" t="str">
        <f t="shared" ca="1" si="17"/>
        <v>—</v>
      </c>
      <c r="K200" s="91"/>
    </row>
    <row r="201" spans="1:11" ht="15" customHeight="1" x14ac:dyDescent="0.25">
      <c r="A201" s="76"/>
      <c r="B201" s="37" t="str">
        <f>IF(A201="","",IFERROR(VLOOKUP(A201,DB_Customers!$A:$D,4,0),"❌ Account Not Found"))</f>
        <v/>
      </c>
      <c r="C201" s="77" t="str">
        <f>IF(A201="","",IFERROR(IF(SUMIF(DB_Savings!$C:$C,A201,DB_Savings!$F:$F)=0,VLOOKUP(A201,DB_Customers!$A:$I,9,0),VLOOKUP(A201,DB_Customers!$A:$N,14,0)),"❌ Acct Not Found"))</f>
        <v/>
      </c>
      <c r="D201" s="78" t="str">
        <f t="shared" ref="D201:D208" ca="1" si="18">IF(A201="","",TODAY())</f>
        <v/>
      </c>
      <c r="E201" s="79"/>
      <c r="F201" s="80" t="str">
        <f t="shared" ref="F201:F208" si="19">IF(OR(A201="",E201=""),"",IF(C201="","",C201+E201))</f>
        <v/>
      </c>
      <c r="G201" s="39" t="s">
        <v>136</v>
      </c>
      <c r="H201" s="81"/>
      <c r="I201" s="82" t="str">
        <f>IF(A201="","Pending",IF(H201="","⚠️ Enter Agent Code",IF(IFERROR(VLOOKUP(G201,DB_Agents!$B:$I,8,0),"")=H201,IF(AND(A201&lt;&gt;"",E201&lt;&gt;""),"Saved","Pending"),"🔒 BLOCKED — Wrong Code")))</f>
        <v>Pending</v>
      </c>
      <c r="J201" s="83" t="str">
        <f t="shared" ref="J201:J208" ca="1" si="20">IF(I201="Saved",TEXT(TODAY(),"YYYY-MM-DD")&amp;" Auto","—")</f>
        <v>—</v>
      </c>
      <c r="K201" s="84"/>
    </row>
    <row r="202" spans="1:11" ht="15" customHeight="1" x14ac:dyDescent="0.25">
      <c r="A202" s="85"/>
      <c r="B202" s="41" t="str">
        <f>IF(A202="","",IFERROR(VLOOKUP(A202,DB_Customers!$A:$D,4,0),"❌ Account Not Found"))</f>
        <v/>
      </c>
      <c r="C202" s="86" t="str">
        <f>IF(A202="","",IFERROR(IF(SUMIF(DB_Savings!$C:$C,A202,DB_Savings!$F:$F)=0,VLOOKUP(A202,DB_Customers!$A:$I,9,0),VLOOKUP(A202,DB_Customers!$A:$N,14,0)),"❌ Acct Not Found"))</f>
        <v/>
      </c>
      <c r="D202" s="87" t="str">
        <f t="shared" ca="1" si="18"/>
        <v/>
      </c>
      <c r="E202" s="79"/>
      <c r="F202" s="88" t="str">
        <f t="shared" si="19"/>
        <v/>
      </c>
      <c r="G202" s="43" t="s">
        <v>136</v>
      </c>
      <c r="H202" s="81"/>
      <c r="I202" s="89" t="str">
        <f>IF(A202="","Pending",IF(H202="","⚠️ Enter Agent Code",IF(IFERROR(VLOOKUP(G202,DB_Agents!$B:$I,8,0),"")=H202,IF(AND(A202&lt;&gt;"",E202&lt;&gt;""),"Saved","Pending"),"🔒 BLOCKED — Wrong Code")))</f>
        <v>Pending</v>
      </c>
      <c r="J202" s="90" t="str">
        <f t="shared" ca="1" si="20"/>
        <v>—</v>
      </c>
      <c r="K202" s="91"/>
    </row>
    <row r="203" spans="1:11" ht="15" customHeight="1" x14ac:dyDescent="0.25">
      <c r="A203" s="76"/>
      <c r="B203" s="37" t="str">
        <f>IF(A203="","",IFERROR(VLOOKUP(A203,DB_Customers!$A:$D,4,0),"❌ Account Not Found"))</f>
        <v/>
      </c>
      <c r="C203" s="77" t="str">
        <f>IF(A203="","",IFERROR(IF(SUMIF(DB_Savings!$C:$C,A203,DB_Savings!$F:$F)=0,VLOOKUP(A203,DB_Customers!$A:$I,9,0),VLOOKUP(A203,DB_Customers!$A:$N,14,0)),"❌ Acct Not Found"))</f>
        <v/>
      </c>
      <c r="D203" s="78" t="str">
        <f t="shared" ca="1" si="18"/>
        <v/>
      </c>
      <c r="E203" s="79"/>
      <c r="F203" s="80" t="str">
        <f t="shared" si="19"/>
        <v/>
      </c>
      <c r="G203" s="39" t="s">
        <v>136</v>
      </c>
      <c r="H203" s="81"/>
      <c r="I203" s="82" t="str">
        <f>IF(A203="","Pending",IF(H203="","⚠️ Enter Agent Code",IF(IFERROR(VLOOKUP(G203,DB_Agents!$B:$I,8,0),"")=H203,IF(AND(A203&lt;&gt;"",E203&lt;&gt;""),"Saved","Pending"),"🔒 BLOCKED — Wrong Code")))</f>
        <v>Pending</v>
      </c>
      <c r="J203" s="83" t="str">
        <f t="shared" ca="1" si="20"/>
        <v>—</v>
      </c>
      <c r="K203" s="84"/>
    </row>
    <row r="204" spans="1:11" ht="15" customHeight="1" x14ac:dyDescent="0.25">
      <c r="A204" s="85"/>
      <c r="B204" s="41" t="str">
        <f>IF(A204="","",IFERROR(VLOOKUP(A204,DB_Customers!$A:$D,4,0),"❌ Account Not Found"))</f>
        <v/>
      </c>
      <c r="C204" s="86" t="str">
        <f>IF(A204="","",IFERROR(IF(SUMIF(DB_Savings!$C:$C,A204,DB_Savings!$F:$F)=0,VLOOKUP(A204,DB_Customers!$A:$I,9,0),VLOOKUP(A204,DB_Customers!$A:$N,14,0)),"❌ Acct Not Found"))</f>
        <v/>
      </c>
      <c r="D204" s="87" t="str">
        <f t="shared" ca="1" si="18"/>
        <v/>
      </c>
      <c r="E204" s="79"/>
      <c r="F204" s="88" t="str">
        <f t="shared" si="19"/>
        <v/>
      </c>
      <c r="G204" s="43" t="s">
        <v>136</v>
      </c>
      <c r="H204" s="81"/>
      <c r="I204" s="89" t="str">
        <f>IF(A204="","Pending",IF(H204="","⚠️ Enter Agent Code",IF(IFERROR(VLOOKUP(G204,DB_Agents!$B:$I,8,0),"")=H204,IF(AND(A204&lt;&gt;"",E204&lt;&gt;""),"Saved","Pending"),"🔒 BLOCKED — Wrong Code")))</f>
        <v>Pending</v>
      </c>
      <c r="J204" s="90" t="str">
        <f t="shared" ca="1" si="20"/>
        <v>—</v>
      </c>
      <c r="K204" s="91"/>
    </row>
    <row r="205" spans="1:11" ht="15" customHeight="1" x14ac:dyDescent="0.25">
      <c r="A205" s="76"/>
      <c r="B205" s="37" t="str">
        <f>IF(A205="","",IFERROR(VLOOKUP(A205,DB_Customers!$A:$D,4,0),"❌ Account Not Found"))</f>
        <v/>
      </c>
      <c r="C205" s="77" t="str">
        <f>IF(A205="","",IFERROR(IF(SUMIF(DB_Savings!$C:$C,A205,DB_Savings!$F:$F)=0,VLOOKUP(A205,DB_Customers!$A:$I,9,0),VLOOKUP(A205,DB_Customers!$A:$N,14,0)),"❌ Acct Not Found"))</f>
        <v/>
      </c>
      <c r="D205" s="78" t="str">
        <f t="shared" ca="1" si="18"/>
        <v/>
      </c>
      <c r="E205" s="79"/>
      <c r="F205" s="80" t="str">
        <f t="shared" si="19"/>
        <v/>
      </c>
      <c r="G205" s="39" t="s">
        <v>136</v>
      </c>
      <c r="H205" s="81"/>
      <c r="I205" s="82" t="str">
        <f>IF(A205="","Pending",IF(H205="","⚠️ Enter Agent Code",IF(IFERROR(VLOOKUP(G205,DB_Agents!$B:$I,8,0),"")=H205,IF(AND(A205&lt;&gt;"",E205&lt;&gt;""),"Saved","Pending"),"🔒 BLOCKED — Wrong Code")))</f>
        <v>Pending</v>
      </c>
      <c r="J205" s="83" t="str">
        <f t="shared" ca="1" si="20"/>
        <v>—</v>
      </c>
      <c r="K205" s="84"/>
    </row>
    <row r="206" spans="1:11" ht="15" customHeight="1" x14ac:dyDescent="0.25">
      <c r="A206" s="85"/>
      <c r="B206" s="41" t="str">
        <f>IF(A206="","",IFERROR(VLOOKUP(A206,DB_Customers!$A:$D,4,0),"❌ Account Not Found"))</f>
        <v/>
      </c>
      <c r="C206" s="86" t="str">
        <f>IF(A206="","",IFERROR(IF(SUMIF(DB_Savings!$C:$C,A206,DB_Savings!$F:$F)=0,VLOOKUP(A206,DB_Customers!$A:$I,9,0),VLOOKUP(A206,DB_Customers!$A:$N,14,0)),"❌ Acct Not Found"))</f>
        <v/>
      </c>
      <c r="D206" s="87" t="str">
        <f t="shared" ca="1" si="18"/>
        <v/>
      </c>
      <c r="E206" s="79"/>
      <c r="F206" s="88" t="str">
        <f t="shared" si="19"/>
        <v/>
      </c>
      <c r="G206" s="43" t="s">
        <v>136</v>
      </c>
      <c r="H206" s="81"/>
      <c r="I206" s="89" t="str">
        <f>IF(A206="","Pending",IF(H206="","⚠️ Enter Agent Code",IF(IFERROR(VLOOKUP(G206,DB_Agents!$B:$I,8,0),"")=H206,IF(AND(A206&lt;&gt;"",E206&lt;&gt;""),"Saved","Pending"),"🔒 BLOCKED — Wrong Code")))</f>
        <v>Pending</v>
      </c>
      <c r="J206" s="90" t="str">
        <f t="shared" ca="1" si="20"/>
        <v>—</v>
      </c>
      <c r="K206" s="91"/>
    </row>
    <row r="207" spans="1:11" ht="15" customHeight="1" x14ac:dyDescent="0.25">
      <c r="A207" s="76"/>
      <c r="B207" s="37" t="str">
        <f>IF(A207="","",IFERROR(VLOOKUP(A207,DB_Customers!$A:$D,4,0),"❌ Account Not Found"))</f>
        <v/>
      </c>
      <c r="C207" s="77" t="str">
        <f>IF(A207="","",IFERROR(IF(SUMIF(DB_Savings!$C:$C,A207,DB_Savings!$F:$F)=0,VLOOKUP(A207,DB_Customers!$A:$I,9,0),VLOOKUP(A207,DB_Customers!$A:$N,14,0)),"❌ Acct Not Found"))</f>
        <v/>
      </c>
      <c r="D207" s="78" t="str">
        <f t="shared" ca="1" si="18"/>
        <v/>
      </c>
      <c r="E207" s="79"/>
      <c r="F207" s="80" t="str">
        <f t="shared" si="19"/>
        <v/>
      </c>
      <c r="G207" s="39" t="s">
        <v>136</v>
      </c>
      <c r="H207" s="81"/>
      <c r="I207" s="82" t="str">
        <f>IF(A207="","Pending",IF(H207="","⚠️ Enter Agent Code",IF(IFERROR(VLOOKUP(G207,DB_Agents!$B:$I,8,0),"")=H207,IF(AND(A207&lt;&gt;"",E207&lt;&gt;""),"Saved","Pending"),"🔒 BLOCKED — Wrong Code")))</f>
        <v>Pending</v>
      </c>
      <c r="J207" s="83" t="str">
        <f t="shared" ca="1" si="20"/>
        <v>—</v>
      </c>
      <c r="K207" s="84"/>
    </row>
    <row r="208" spans="1:11" ht="15" customHeight="1" x14ac:dyDescent="0.25">
      <c r="A208" s="85"/>
      <c r="B208" s="41" t="str">
        <f>IF(A208="","",IFERROR(VLOOKUP(A208,DB_Customers!$A:$D,4,0),"❌ Account Not Found"))</f>
        <v/>
      </c>
      <c r="C208" s="86" t="str">
        <f>IF(A208="","",IFERROR(IF(SUMIF(DB_Savings!$C:$C,A208,DB_Savings!$F:$F)=0,VLOOKUP(A208,DB_Customers!$A:$I,9,0),VLOOKUP(A208,DB_Customers!$A:$N,14,0)),"❌ Acct Not Found"))</f>
        <v/>
      </c>
      <c r="D208" s="87" t="str">
        <f t="shared" ca="1" si="18"/>
        <v/>
      </c>
      <c r="E208" s="79"/>
      <c r="F208" s="88" t="str">
        <f t="shared" si="19"/>
        <v/>
      </c>
      <c r="G208" s="43" t="s">
        <v>136</v>
      </c>
      <c r="H208" s="81"/>
      <c r="I208" s="89" t="str">
        <f>IF(A208="","Pending",IF(H208="","⚠️ Enter Agent Code",IF(IFERROR(VLOOKUP(G208,DB_Agents!$B:$I,8,0),"")=H208,IF(AND(A208&lt;&gt;"",E208&lt;&gt;""),"Saved","Pending"),"🔒 BLOCKED — Wrong Code")))</f>
        <v>Pending</v>
      </c>
      <c r="J208" s="90" t="str">
        <f t="shared" ca="1" si="20"/>
        <v>—</v>
      </c>
      <c r="K208" s="91"/>
    </row>
  </sheetData>
  <mergeCells count="12">
    <mergeCell ref="A2:L2"/>
    <mergeCell ref="A7:L7"/>
    <mergeCell ref="A1:L1"/>
    <mergeCell ref="A5:L5"/>
    <mergeCell ref="D4:F4"/>
    <mergeCell ref="G4:I4"/>
    <mergeCell ref="A3:C3"/>
    <mergeCell ref="J4:L4"/>
    <mergeCell ref="D3:F3"/>
    <mergeCell ref="G3:I3"/>
    <mergeCell ref="A4:C4"/>
    <mergeCell ref="J3:L3"/>
  </mergeCells>
  <conditionalFormatting sqref="H9:H208">
    <cfRule type="cellIs" dxfId="72" priority="2" operator="equal">
      <formula>"Saved"</formula>
    </cfRule>
    <cfRule type="cellIs" dxfId="71" priority="3" operator="equal">
      <formula>"Pending"</formula>
    </cfRule>
  </conditionalFormatting>
  <conditionalFormatting sqref="A9:J208">
    <cfRule type="expression" dxfId="70" priority="4">
      <formula>$H9="Saved"</formula>
    </cfRule>
  </conditionalFormatting>
  <dataValidations count="2">
    <dataValidation type="decimal" operator="greaterThan" showErrorMessage="1" error="Must be &gt; 0" sqref="E9:E208" xr:uid="{00000000-0002-0000-1200-000000000000}">
      <formula1>0</formula1>
      <formula2>0</formula2>
    </dataValidation>
    <dataValidation type="list" sqref="G9:G208" xr:uid="{00000000-0002-0000-12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67" t="s">
        <v>355</v>
      </c>
      <c r="B1" s="265"/>
      <c r="C1" s="265"/>
      <c r="D1" s="265"/>
      <c r="E1" s="265"/>
      <c r="F1" s="265"/>
      <c r="G1" s="265"/>
      <c r="H1" s="265"/>
      <c r="I1" s="265"/>
      <c r="J1" s="265"/>
      <c r="K1" s="265"/>
      <c r="L1" s="265"/>
      <c r="M1" s="265"/>
    </row>
    <row r="2" spans="1:13" ht="19.5" customHeight="1" x14ac:dyDescent="0.25">
      <c r="A2" s="366" t="s">
        <v>356</v>
      </c>
      <c r="B2" s="265"/>
      <c r="C2" s="265"/>
      <c r="D2" s="265"/>
      <c r="E2" s="265"/>
      <c r="F2" s="265"/>
      <c r="G2" s="265"/>
      <c r="H2" s="265"/>
      <c r="I2" s="265"/>
      <c r="J2" s="265"/>
      <c r="K2" s="265"/>
      <c r="L2" s="265"/>
      <c r="M2" s="265"/>
    </row>
    <row r="3" spans="1:13" ht="18" customHeight="1" x14ac:dyDescent="0.25">
      <c r="A3" s="328" t="s">
        <v>324</v>
      </c>
      <c r="B3" s="265"/>
      <c r="C3" s="265"/>
      <c r="D3" s="323" t="s">
        <v>325</v>
      </c>
      <c r="E3" s="265"/>
      <c r="F3" s="265"/>
      <c r="G3" s="35" t="s">
        <v>326</v>
      </c>
      <c r="K3" s="66" t="s">
        <v>313</v>
      </c>
    </row>
    <row r="4" spans="1:13" ht="27.75" customHeight="1" x14ac:dyDescent="0.25">
      <c r="A4" s="365">
        <f ca="1">SUMIFS(DB_Withdrawals!$G:$G,DB_Withdrawals!$J:$J,"Agent 04",DB_Withdrawals!$F:$F,TODAY())</f>
        <v>0</v>
      </c>
      <c r="B4" s="265"/>
      <c r="C4" s="265"/>
      <c r="D4" s="369">
        <f ca="1">COUNTIFS(DB_Withdrawals!$J:$J,"Agent 04",DB_Withdrawals!$K:$K,"Successful",DB_Withdrawals!$F:$F,TODAY())</f>
        <v>0</v>
      </c>
      <c r="E4" s="265"/>
      <c r="F4" s="265"/>
      <c r="G4" s="92">
        <f ca="1">COUNTIFS(DB_Withdrawals!$J:$J,"Agent 04",DB_Withdrawals!$K:$K,"Unsuccessful",DB_Withdrawals!$F:$F,TODAY())</f>
        <v>0</v>
      </c>
      <c r="K4" s="74" t="str">
        <f ca="1">TEXT(TODAY(),"DD MMM YYYY")</f>
        <v>24 Apr 2026</v>
      </c>
    </row>
    <row r="5" spans="1:13" ht="19.5" customHeight="1" x14ac:dyDescent="0.25">
      <c r="A5" s="368" t="s">
        <v>327</v>
      </c>
      <c r="B5" s="265"/>
      <c r="C5" s="265"/>
      <c r="D5" s="265"/>
      <c r="E5" s="265"/>
      <c r="F5" s="265"/>
      <c r="G5" s="265"/>
      <c r="H5" s="265"/>
      <c r="I5" s="265"/>
      <c r="J5" s="265"/>
      <c r="K5" s="265"/>
      <c r="L5" s="265"/>
      <c r="M5" s="265"/>
    </row>
    <row r="6" spans="1:13" ht="7.5" customHeight="1" x14ac:dyDescent="0.25"/>
    <row r="7" spans="1:13" ht="19.5" customHeight="1" x14ac:dyDescent="0.25">
      <c r="A7" s="364" t="s">
        <v>328</v>
      </c>
      <c r="B7" s="265"/>
      <c r="C7" s="265"/>
      <c r="D7" s="265"/>
      <c r="E7" s="265"/>
      <c r="F7" s="265"/>
      <c r="G7" s="265"/>
      <c r="H7" s="265"/>
      <c r="I7" s="265"/>
      <c r="J7" s="265"/>
      <c r="K7" s="265"/>
      <c r="L7" s="265"/>
      <c r="M7" s="265"/>
    </row>
    <row r="8" spans="1:13" ht="19.5" customHeight="1" x14ac:dyDescent="0.25">
      <c r="A8" s="93" t="s">
        <v>315</v>
      </c>
      <c r="B8" s="93" t="s">
        <v>77</v>
      </c>
      <c r="C8" s="93" t="s">
        <v>329</v>
      </c>
      <c r="D8" s="93" t="s">
        <v>78</v>
      </c>
      <c r="E8" s="93" t="s">
        <v>330</v>
      </c>
      <c r="F8" s="93" t="s">
        <v>331</v>
      </c>
      <c r="G8" s="93" t="s">
        <v>318</v>
      </c>
      <c r="H8" s="93" t="s">
        <v>14</v>
      </c>
      <c r="I8" s="75" t="s">
        <v>319</v>
      </c>
      <c r="J8" s="93" t="s">
        <v>13</v>
      </c>
      <c r="K8" s="93" t="s">
        <v>320</v>
      </c>
      <c r="L8" s="93" t="s">
        <v>321</v>
      </c>
    </row>
    <row r="9" spans="1:13" ht="15" customHeight="1" x14ac:dyDescent="0.25">
      <c r="A9" s="76"/>
      <c r="B9" s="37" t="str">
        <f>IF(A9="","",IFERROR(VLOOKUP(A9,DB_Customers!$A:$D,4,0),"❌ Account Not Found"))</f>
        <v/>
      </c>
      <c r="C9" s="77" t="str">
        <f>IF(A9="","",IFERROR(VLOOKUP(A9,DB_Customers!$A:$N,14,0),"❌ Acct Not Found"))</f>
        <v/>
      </c>
      <c r="D9" s="78" t="str">
        <f t="shared" ref="D9:D40" ca="1" si="0">IF(A9="","",TODAY())</f>
        <v/>
      </c>
      <c r="E9" s="94"/>
      <c r="F9" s="37"/>
      <c r="G9" s="95" t="str">
        <f t="shared" ref="G9:G40" si="1">IF(OR(A9="",E9=""),"",IF(C9="","",C9-E9))</f>
        <v/>
      </c>
      <c r="H9" s="39" t="s">
        <v>136</v>
      </c>
      <c r="I9" s="81"/>
      <c r="J9" s="82" t="str">
        <f>IF(AND(A9&lt;&gt;"",E9&lt;&gt;""),IF(I9="","⚠️ Enter Code",IF(IFERROR(VLOOKUP(H9,DB_Agents!$B:$I,8,0),"")=I9,IF(C9&gt;=E9,"Successful","Unsuccessful"),"🔒 BLOCKED — Wrong Code")),"Pending")</f>
        <v>Pending</v>
      </c>
      <c r="K9" s="83" t="str">
        <f t="shared" ref="K9:K40" ca="1" si="2">IF(J9="Successful",TEXT(TODAY(),"YYYY-MM-DD")&amp;" Auto","—")</f>
        <v>—</v>
      </c>
      <c r="L9" s="84"/>
    </row>
    <row r="10" spans="1:13" ht="15" customHeight="1" x14ac:dyDescent="0.25">
      <c r="A10" s="85"/>
      <c r="B10" s="41" t="str">
        <f>IF(A10="","",IFERROR(VLOOKUP(A10,DB_Customers!$A:$D,4,0),"❌ Account Not Found"))</f>
        <v/>
      </c>
      <c r="C10" s="86" t="str">
        <f>IF(A10="","",IFERROR(VLOOKUP(A10,DB_Customers!$A:$N,14,0),"❌ Acct Not Found"))</f>
        <v/>
      </c>
      <c r="D10" s="87" t="str">
        <f t="shared" ca="1" si="0"/>
        <v/>
      </c>
      <c r="E10" s="94"/>
      <c r="F10" s="41"/>
      <c r="G10" s="96" t="str">
        <f t="shared" si="1"/>
        <v/>
      </c>
      <c r="H10" s="43" t="s">
        <v>136</v>
      </c>
      <c r="I10" s="81"/>
      <c r="J10" s="89" t="str">
        <f>IF(AND(A10&lt;&gt;"",E10&lt;&gt;""),IF(I10="","⚠️ Enter Code",IF(IFERROR(VLOOKUP(H10,DB_Agents!$B:$I,8,0),"")=I10,IF(C10&gt;=E10,"Successful","Unsuccessful"),"🔒 BLOCKED — Wrong Code")),"Pending")</f>
        <v>Pending</v>
      </c>
      <c r="K10" s="90" t="str">
        <f t="shared" ca="1" si="2"/>
        <v>—</v>
      </c>
      <c r="L10" s="91"/>
    </row>
    <row r="11" spans="1:13" ht="15" customHeight="1" x14ac:dyDescent="0.25">
      <c r="A11" s="76"/>
      <c r="B11" s="37" t="str">
        <f>IF(A11="","",IFERROR(VLOOKUP(A11,DB_Customers!$A:$D,4,0),"❌ Account Not Found"))</f>
        <v/>
      </c>
      <c r="C11" s="77" t="str">
        <f>IF(A11="","",IFERROR(VLOOKUP(A11,DB_Customers!$A:$N,14,0),"❌ Acct Not Found"))</f>
        <v/>
      </c>
      <c r="D11" s="78" t="str">
        <f t="shared" ca="1" si="0"/>
        <v/>
      </c>
      <c r="E11" s="94"/>
      <c r="F11" s="37"/>
      <c r="G11" s="95" t="str">
        <f t="shared" si="1"/>
        <v/>
      </c>
      <c r="H11" s="39" t="s">
        <v>136</v>
      </c>
      <c r="I11" s="81"/>
      <c r="J11" s="82" t="str">
        <f>IF(AND(A11&lt;&gt;"",E11&lt;&gt;""),IF(I11="","⚠️ Enter Code",IF(IFERROR(VLOOKUP(H11,DB_Agents!$B:$I,8,0),"")=I11,IF(C11&gt;=E11,"Successful","Unsuccessful"),"🔒 BLOCKED — Wrong Code")),"Pending")</f>
        <v>Pending</v>
      </c>
      <c r="K11" s="83" t="str">
        <f t="shared" ca="1" si="2"/>
        <v>—</v>
      </c>
      <c r="L11" s="84"/>
    </row>
    <row r="12" spans="1:13" ht="15" customHeight="1" x14ac:dyDescent="0.25">
      <c r="A12" s="85"/>
      <c r="B12" s="41" t="str">
        <f>IF(A12="","",IFERROR(VLOOKUP(A12,DB_Customers!$A:$D,4,0),"❌ Account Not Found"))</f>
        <v/>
      </c>
      <c r="C12" s="86" t="str">
        <f>IF(A12="","",IFERROR(VLOOKUP(A12,DB_Customers!$A:$N,14,0),"❌ Acct Not Found"))</f>
        <v/>
      </c>
      <c r="D12" s="87" t="str">
        <f t="shared" ca="1" si="0"/>
        <v/>
      </c>
      <c r="E12" s="94"/>
      <c r="F12" s="41"/>
      <c r="G12" s="96" t="str">
        <f t="shared" si="1"/>
        <v/>
      </c>
      <c r="H12" s="43" t="s">
        <v>136</v>
      </c>
      <c r="I12" s="81"/>
      <c r="J12" s="89" t="str">
        <f>IF(AND(A12&lt;&gt;"",E12&lt;&gt;""),IF(I12="","⚠️ Enter Code",IF(IFERROR(VLOOKUP(H12,DB_Agents!$B:$I,8,0),"")=I12,IF(C12&gt;=E12,"Successful","Unsuccessful"),"🔒 BLOCKED — Wrong Code")),"Pending")</f>
        <v>Pending</v>
      </c>
      <c r="K12" s="90" t="str">
        <f t="shared" ca="1" si="2"/>
        <v>—</v>
      </c>
      <c r="L12" s="91"/>
    </row>
    <row r="13" spans="1:13" ht="15" customHeight="1" x14ac:dyDescent="0.25">
      <c r="A13" s="76"/>
      <c r="B13" s="37" t="str">
        <f>IF(A13="","",IFERROR(VLOOKUP(A13,DB_Customers!$A:$D,4,0),"❌ Account Not Found"))</f>
        <v/>
      </c>
      <c r="C13" s="77" t="str">
        <f>IF(A13="","",IFERROR(VLOOKUP(A13,DB_Customers!$A:$N,14,0),"❌ Acct Not Found"))</f>
        <v/>
      </c>
      <c r="D13" s="78" t="str">
        <f t="shared" ca="1" si="0"/>
        <v/>
      </c>
      <c r="E13" s="94"/>
      <c r="F13" s="37"/>
      <c r="G13" s="95" t="str">
        <f t="shared" si="1"/>
        <v/>
      </c>
      <c r="H13" s="39" t="s">
        <v>136</v>
      </c>
      <c r="I13" s="81"/>
      <c r="J13" s="82" t="str">
        <f>IF(AND(A13&lt;&gt;"",E13&lt;&gt;""),IF(I13="","⚠️ Enter Code",IF(IFERROR(VLOOKUP(H13,DB_Agents!$B:$I,8,0),"")=I13,IF(C13&gt;=E13,"Successful","Unsuccessful"),"🔒 BLOCKED — Wrong Code")),"Pending")</f>
        <v>Pending</v>
      </c>
      <c r="K13" s="83" t="str">
        <f t="shared" ca="1" si="2"/>
        <v>—</v>
      </c>
      <c r="L13" s="84"/>
    </row>
    <row r="14" spans="1:13" ht="15" customHeight="1" x14ac:dyDescent="0.25">
      <c r="A14" s="85"/>
      <c r="B14" s="41" t="str">
        <f>IF(A14="","",IFERROR(VLOOKUP(A14,DB_Customers!$A:$D,4,0),"❌ Account Not Found"))</f>
        <v/>
      </c>
      <c r="C14" s="86" t="str">
        <f>IF(A14="","",IFERROR(VLOOKUP(A14,DB_Customers!$A:$N,14,0),"❌ Acct Not Found"))</f>
        <v/>
      </c>
      <c r="D14" s="87" t="str">
        <f t="shared" ca="1" si="0"/>
        <v/>
      </c>
      <c r="E14" s="94"/>
      <c r="F14" s="41"/>
      <c r="G14" s="96" t="str">
        <f t="shared" si="1"/>
        <v/>
      </c>
      <c r="H14" s="43" t="s">
        <v>136</v>
      </c>
      <c r="I14" s="81"/>
      <c r="J14" s="89" t="str">
        <f>IF(AND(A14&lt;&gt;"",E14&lt;&gt;""),IF(I14="","⚠️ Enter Code",IF(IFERROR(VLOOKUP(H14,DB_Agents!$B:$I,8,0),"")=I14,IF(C14&gt;=E14,"Successful","Unsuccessful"),"🔒 BLOCKED — Wrong Code")),"Pending")</f>
        <v>Pending</v>
      </c>
      <c r="K14" s="90" t="str">
        <f t="shared" ca="1" si="2"/>
        <v>—</v>
      </c>
      <c r="L14" s="91"/>
    </row>
    <row r="15" spans="1:13" ht="15" customHeight="1" x14ac:dyDescent="0.25">
      <c r="A15" s="76"/>
      <c r="B15" s="37" t="str">
        <f>IF(A15="","",IFERROR(VLOOKUP(A15,DB_Customers!$A:$D,4,0),"❌ Account Not Found"))</f>
        <v/>
      </c>
      <c r="C15" s="77" t="str">
        <f>IF(A15="","",IFERROR(VLOOKUP(A15,DB_Customers!$A:$N,14,0),"❌ Acct Not Found"))</f>
        <v/>
      </c>
      <c r="D15" s="78" t="str">
        <f t="shared" ca="1" si="0"/>
        <v/>
      </c>
      <c r="E15" s="94"/>
      <c r="F15" s="37"/>
      <c r="G15" s="95" t="str">
        <f t="shared" si="1"/>
        <v/>
      </c>
      <c r="H15" s="39" t="s">
        <v>136</v>
      </c>
      <c r="I15" s="81"/>
      <c r="J15" s="82" t="str">
        <f>IF(AND(A15&lt;&gt;"",E15&lt;&gt;""),IF(I15="","⚠️ Enter Code",IF(IFERROR(VLOOKUP(H15,DB_Agents!$B:$I,8,0),"")=I15,IF(C15&gt;=E15,"Successful","Unsuccessful"),"🔒 BLOCKED — Wrong Code")),"Pending")</f>
        <v>Pending</v>
      </c>
      <c r="K15" s="83" t="str">
        <f t="shared" ca="1" si="2"/>
        <v>—</v>
      </c>
      <c r="L15" s="84"/>
    </row>
    <row r="16" spans="1:13" ht="15" customHeight="1" x14ac:dyDescent="0.25">
      <c r="A16" s="85"/>
      <c r="B16" s="41" t="str">
        <f>IF(A16="","",IFERROR(VLOOKUP(A16,DB_Customers!$A:$D,4,0),"❌ Account Not Found"))</f>
        <v/>
      </c>
      <c r="C16" s="86" t="str">
        <f>IF(A16="","",IFERROR(VLOOKUP(A16,DB_Customers!$A:$N,14,0),"❌ Acct Not Found"))</f>
        <v/>
      </c>
      <c r="D16" s="87" t="str">
        <f t="shared" ca="1" si="0"/>
        <v/>
      </c>
      <c r="E16" s="94"/>
      <c r="F16" s="41"/>
      <c r="G16" s="96" t="str">
        <f t="shared" si="1"/>
        <v/>
      </c>
      <c r="H16" s="43" t="s">
        <v>136</v>
      </c>
      <c r="I16" s="81"/>
      <c r="J16" s="89" t="str">
        <f>IF(AND(A16&lt;&gt;"",E16&lt;&gt;""),IF(I16="","⚠️ Enter Code",IF(IFERROR(VLOOKUP(H16,DB_Agents!$B:$I,8,0),"")=I16,IF(C16&gt;=E16,"Successful","Unsuccessful"),"🔒 BLOCKED — Wrong Code")),"Pending")</f>
        <v>Pending</v>
      </c>
      <c r="K16" s="90" t="str">
        <f t="shared" ca="1" si="2"/>
        <v>—</v>
      </c>
      <c r="L16" s="91"/>
    </row>
    <row r="17" spans="1:12" ht="15" customHeight="1" x14ac:dyDescent="0.25">
      <c r="A17" s="76"/>
      <c r="B17" s="37" t="str">
        <f>IF(A17="","",IFERROR(VLOOKUP(A17,DB_Customers!$A:$D,4,0),"❌ Account Not Found"))</f>
        <v/>
      </c>
      <c r="C17" s="77" t="str">
        <f>IF(A17="","",IFERROR(VLOOKUP(A17,DB_Customers!$A:$N,14,0),"❌ Acct Not Found"))</f>
        <v/>
      </c>
      <c r="D17" s="78" t="str">
        <f t="shared" ca="1" si="0"/>
        <v/>
      </c>
      <c r="E17" s="94"/>
      <c r="F17" s="37"/>
      <c r="G17" s="95" t="str">
        <f t="shared" si="1"/>
        <v/>
      </c>
      <c r="H17" s="39" t="s">
        <v>136</v>
      </c>
      <c r="I17" s="81"/>
      <c r="J17" s="82" t="str">
        <f>IF(AND(A17&lt;&gt;"",E17&lt;&gt;""),IF(I17="","⚠️ Enter Code",IF(IFERROR(VLOOKUP(H17,DB_Agents!$B:$I,8,0),"")=I17,IF(C17&gt;=E17,"Successful","Unsuccessful"),"🔒 BLOCKED — Wrong Code")),"Pending")</f>
        <v>Pending</v>
      </c>
      <c r="K17" s="83" t="str">
        <f t="shared" ca="1" si="2"/>
        <v>—</v>
      </c>
      <c r="L17" s="84"/>
    </row>
    <row r="18" spans="1:12" ht="15" customHeight="1" x14ac:dyDescent="0.25">
      <c r="A18" s="85"/>
      <c r="B18" s="41" t="str">
        <f>IF(A18="","",IFERROR(VLOOKUP(A18,DB_Customers!$A:$D,4,0),"❌ Account Not Found"))</f>
        <v/>
      </c>
      <c r="C18" s="86" t="str">
        <f>IF(A18="","",IFERROR(VLOOKUP(A18,DB_Customers!$A:$N,14,0),"❌ Acct Not Found"))</f>
        <v/>
      </c>
      <c r="D18" s="87" t="str">
        <f t="shared" ca="1" si="0"/>
        <v/>
      </c>
      <c r="E18" s="94"/>
      <c r="F18" s="41"/>
      <c r="G18" s="96" t="str">
        <f t="shared" si="1"/>
        <v/>
      </c>
      <c r="H18" s="43" t="s">
        <v>136</v>
      </c>
      <c r="I18" s="81"/>
      <c r="J18" s="89" t="str">
        <f>IF(AND(A18&lt;&gt;"",E18&lt;&gt;""),IF(I18="","⚠️ Enter Code",IF(IFERROR(VLOOKUP(H18,DB_Agents!$B:$I,8,0),"")=I18,IF(C18&gt;=E18,"Successful","Unsuccessful"),"🔒 BLOCKED — Wrong Code")),"Pending")</f>
        <v>Pending</v>
      </c>
      <c r="K18" s="90" t="str">
        <f t="shared" ca="1" si="2"/>
        <v>—</v>
      </c>
      <c r="L18" s="91"/>
    </row>
    <row r="19" spans="1:12" ht="15" customHeight="1" x14ac:dyDescent="0.25">
      <c r="A19" s="76"/>
      <c r="B19" s="37" t="str">
        <f>IF(A19="","",IFERROR(VLOOKUP(A19,DB_Customers!$A:$D,4,0),"❌ Account Not Found"))</f>
        <v/>
      </c>
      <c r="C19" s="77" t="str">
        <f>IF(A19="","",IFERROR(VLOOKUP(A19,DB_Customers!$A:$N,14,0),"❌ Acct Not Found"))</f>
        <v/>
      </c>
      <c r="D19" s="78" t="str">
        <f t="shared" ca="1" si="0"/>
        <v/>
      </c>
      <c r="E19" s="94"/>
      <c r="F19" s="37"/>
      <c r="G19" s="95" t="str">
        <f t="shared" si="1"/>
        <v/>
      </c>
      <c r="H19" s="39" t="s">
        <v>136</v>
      </c>
      <c r="I19" s="81"/>
      <c r="J19" s="82" t="str">
        <f>IF(AND(A19&lt;&gt;"",E19&lt;&gt;""),IF(I19="","⚠️ Enter Code",IF(IFERROR(VLOOKUP(H19,DB_Agents!$B:$I,8,0),"")=I19,IF(C19&gt;=E19,"Successful","Unsuccessful"),"🔒 BLOCKED — Wrong Code")),"Pending")</f>
        <v>Pending</v>
      </c>
      <c r="K19" s="83" t="str">
        <f t="shared" ca="1" si="2"/>
        <v>—</v>
      </c>
      <c r="L19" s="84"/>
    </row>
    <row r="20" spans="1:12" ht="15" customHeight="1" x14ac:dyDescent="0.25">
      <c r="A20" s="85"/>
      <c r="B20" s="41" t="str">
        <f>IF(A20="","",IFERROR(VLOOKUP(A20,DB_Customers!$A:$D,4,0),"❌ Account Not Found"))</f>
        <v/>
      </c>
      <c r="C20" s="86" t="str">
        <f>IF(A20="","",IFERROR(VLOOKUP(A20,DB_Customers!$A:$N,14,0),"❌ Acct Not Found"))</f>
        <v/>
      </c>
      <c r="D20" s="87" t="str">
        <f t="shared" ca="1" si="0"/>
        <v/>
      </c>
      <c r="E20" s="94"/>
      <c r="F20" s="41"/>
      <c r="G20" s="96" t="str">
        <f t="shared" si="1"/>
        <v/>
      </c>
      <c r="H20" s="43" t="s">
        <v>136</v>
      </c>
      <c r="I20" s="81"/>
      <c r="J20" s="89" t="str">
        <f>IF(AND(A20&lt;&gt;"",E20&lt;&gt;""),IF(I20="","⚠️ Enter Code",IF(IFERROR(VLOOKUP(H20,DB_Agents!$B:$I,8,0),"")=I20,IF(C20&gt;=E20,"Successful","Unsuccessful"),"🔒 BLOCKED — Wrong Code")),"Pending")</f>
        <v>Pending</v>
      </c>
      <c r="K20" s="90" t="str">
        <f t="shared" ca="1" si="2"/>
        <v>—</v>
      </c>
      <c r="L20" s="91"/>
    </row>
    <row r="21" spans="1:12" ht="15" customHeight="1" x14ac:dyDescent="0.25">
      <c r="A21" s="76"/>
      <c r="B21" s="37" t="str">
        <f>IF(A21="","",IFERROR(VLOOKUP(A21,DB_Customers!$A:$D,4,0),"❌ Account Not Found"))</f>
        <v/>
      </c>
      <c r="C21" s="77" t="str">
        <f>IF(A21="","",IFERROR(VLOOKUP(A21,DB_Customers!$A:$N,14,0),"❌ Acct Not Found"))</f>
        <v/>
      </c>
      <c r="D21" s="78" t="str">
        <f t="shared" ca="1" si="0"/>
        <v/>
      </c>
      <c r="E21" s="94"/>
      <c r="F21" s="37"/>
      <c r="G21" s="95" t="str">
        <f t="shared" si="1"/>
        <v/>
      </c>
      <c r="H21" s="39" t="s">
        <v>136</v>
      </c>
      <c r="I21" s="81"/>
      <c r="J21" s="82" t="str">
        <f>IF(AND(A21&lt;&gt;"",E21&lt;&gt;""),IF(I21="","⚠️ Enter Code",IF(IFERROR(VLOOKUP(H21,DB_Agents!$B:$I,8,0),"")=I21,IF(C21&gt;=E21,"Successful","Unsuccessful"),"🔒 BLOCKED — Wrong Code")),"Pending")</f>
        <v>Pending</v>
      </c>
      <c r="K21" s="83" t="str">
        <f t="shared" ca="1" si="2"/>
        <v>—</v>
      </c>
      <c r="L21" s="84"/>
    </row>
    <row r="22" spans="1:12" ht="15" customHeight="1" x14ac:dyDescent="0.25">
      <c r="A22" s="85"/>
      <c r="B22" s="41" t="str">
        <f>IF(A22="","",IFERROR(VLOOKUP(A22,DB_Customers!$A:$D,4,0),"❌ Account Not Found"))</f>
        <v/>
      </c>
      <c r="C22" s="86" t="str">
        <f>IF(A22="","",IFERROR(VLOOKUP(A22,DB_Customers!$A:$N,14,0),"❌ Acct Not Found"))</f>
        <v/>
      </c>
      <c r="D22" s="87" t="str">
        <f t="shared" ca="1" si="0"/>
        <v/>
      </c>
      <c r="E22" s="94"/>
      <c r="F22" s="41"/>
      <c r="G22" s="96" t="str">
        <f t="shared" si="1"/>
        <v/>
      </c>
      <c r="H22" s="43" t="s">
        <v>136</v>
      </c>
      <c r="I22" s="81"/>
      <c r="J22" s="89" t="str">
        <f>IF(AND(A22&lt;&gt;"",E22&lt;&gt;""),IF(I22="","⚠️ Enter Code",IF(IFERROR(VLOOKUP(H22,DB_Agents!$B:$I,8,0),"")=I22,IF(C22&gt;=E22,"Successful","Unsuccessful"),"🔒 BLOCKED — Wrong Code")),"Pending")</f>
        <v>Pending</v>
      </c>
      <c r="K22" s="90" t="str">
        <f t="shared" ca="1" si="2"/>
        <v>—</v>
      </c>
      <c r="L22" s="91"/>
    </row>
    <row r="23" spans="1:12" ht="15" customHeight="1" x14ac:dyDescent="0.25">
      <c r="A23" s="76"/>
      <c r="B23" s="37" t="str">
        <f>IF(A23="","",IFERROR(VLOOKUP(A23,DB_Customers!$A:$D,4,0),"❌ Account Not Found"))</f>
        <v/>
      </c>
      <c r="C23" s="77" t="str">
        <f>IF(A23="","",IFERROR(VLOOKUP(A23,DB_Customers!$A:$N,14,0),"❌ Acct Not Found"))</f>
        <v/>
      </c>
      <c r="D23" s="78" t="str">
        <f t="shared" ca="1" si="0"/>
        <v/>
      </c>
      <c r="E23" s="94"/>
      <c r="F23" s="37"/>
      <c r="G23" s="95" t="str">
        <f t="shared" si="1"/>
        <v/>
      </c>
      <c r="H23" s="39" t="s">
        <v>136</v>
      </c>
      <c r="I23" s="81"/>
      <c r="J23" s="82" t="str">
        <f>IF(AND(A23&lt;&gt;"",E23&lt;&gt;""),IF(I23="","⚠️ Enter Code",IF(IFERROR(VLOOKUP(H23,DB_Agents!$B:$I,8,0),"")=I23,IF(C23&gt;=E23,"Successful","Unsuccessful"),"🔒 BLOCKED — Wrong Code")),"Pending")</f>
        <v>Pending</v>
      </c>
      <c r="K23" s="83" t="str">
        <f t="shared" ca="1" si="2"/>
        <v>—</v>
      </c>
      <c r="L23" s="84"/>
    </row>
    <row r="24" spans="1:12" ht="15" customHeight="1" x14ac:dyDescent="0.25">
      <c r="A24" s="85"/>
      <c r="B24" s="41" t="str">
        <f>IF(A24="","",IFERROR(VLOOKUP(A24,DB_Customers!$A:$D,4,0),"❌ Account Not Found"))</f>
        <v/>
      </c>
      <c r="C24" s="86" t="str">
        <f>IF(A24="","",IFERROR(VLOOKUP(A24,DB_Customers!$A:$N,14,0),"❌ Acct Not Found"))</f>
        <v/>
      </c>
      <c r="D24" s="87" t="str">
        <f t="shared" ca="1" si="0"/>
        <v/>
      </c>
      <c r="E24" s="94"/>
      <c r="F24" s="41"/>
      <c r="G24" s="96" t="str">
        <f t="shared" si="1"/>
        <v/>
      </c>
      <c r="H24" s="43" t="s">
        <v>136</v>
      </c>
      <c r="I24" s="81"/>
      <c r="J24" s="89" t="str">
        <f>IF(AND(A24&lt;&gt;"",E24&lt;&gt;""),IF(I24="","⚠️ Enter Code",IF(IFERROR(VLOOKUP(H24,DB_Agents!$B:$I,8,0),"")=I24,IF(C24&gt;=E24,"Successful","Unsuccessful"),"🔒 BLOCKED — Wrong Code")),"Pending")</f>
        <v>Pending</v>
      </c>
      <c r="K24" s="90" t="str">
        <f t="shared" ca="1" si="2"/>
        <v>—</v>
      </c>
      <c r="L24" s="91"/>
    </row>
    <row r="25" spans="1:12" ht="15" customHeight="1" x14ac:dyDescent="0.25">
      <c r="A25" s="76"/>
      <c r="B25" s="37" t="str">
        <f>IF(A25="","",IFERROR(VLOOKUP(A25,DB_Customers!$A:$D,4,0),"❌ Account Not Found"))</f>
        <v/>
      </c>
      <c r="C25" s="77" t="str">
        <f>IF(A25="","",IFERROR(VLOOKUP(A25,DB_Customers!$A:$N,14,0),"❌ Acct Not Found"))</f>
        <v/>
      </c>
      <c r="D25" s="78" t="str">
        <f t="shared" ca="1" si="0"/>
        <v/>
      </c>
      <c r="E25" s="94"/>
      <c r="F25" s="37"/>
      <c r="G25" s="95" t="str">
        <f t="shared" si="1"/>
        <v/>
      </c>
      <c r="H25" s="39" t="s">
        <v>136</v>
      </c>
      <c r="I25" s="81"/>
      <c r="J25" s="82" t="str">
        <f>IF(AND(A25&lt;&gt;"",E25&lt;&gt;""),IF(I25="","⚠️ Enter Code",IF(IFERROR(VLOOKUP(H25,DB_Agents!$B:$I,8,0),"")=I25,IF(C25&gt;=E25,"Successful","Unsuccessful"),"🔒 BLOCKED — Wrong Code")),"Pending")</f>
        <v>Pending</v>
      </c>
      <c r="K25" s="83" t="str">
        <f t="shared" ca="1" si="2"/>
        <v>—</v>
      </c>
      <c r="L25" s="84"/>
    </row>
    <row r="26" spans="1:12" ht="15" customHeight="1" x14ac:dyDescent="0.25">
      <c r="A26" s="85"/>
      <c r="B26" s="41" t="str">
        <f>IF(A26="","",IFERROR(VLOOKUP(A26,DB_Customers!$A:$D,4,0),"❌ Account Not Found"))</f>
        <v/>
      </c>
      <c r="C26" s="86" t="str">
        <f>IF(A26="","",IFERROR(VLOOKUP(A26,DB_Customers!$A:$N,14,0),"❌ Acct Not Found"))</f>
        <v/>
      </c>
      <c r="D26" s="87" t="str">
        <f t="shared" ca="1" si="0"/>
        <v/>
      </c>
      <c r="E26" s="94"/>
      <c r="F26" s="41"/>
      <c r="G26" s="96" t="str">
        <f t="shared" si="1"/>
        <v/>
      </c>
      <c r="H26" s="43" t="s">
        <v>136</v>
      </c>
      <c r="I26" s="81"/>
      <c r="J26" s="89" t="str">
        <f>IF(AND(A26&lt;&gt;"",E26&lt;&gt;""),IF(I26="","⚠️ Enter Code",IF(IFERROR(VLOOKUP(H26,DB_Agents!$B:$I,8,0),"")=I26,IF(C26&gt;=E26,"Successful","Unsuccessful"),"🔒 BLOCKED — Wrong Code")),"Pending")</f>
        <v>Pending</v>
      </c>
      <c r="K26" s="90" t="str">
        <f t="shared" ca="1" si="2"/>
        <v>—</v>
      </c>
      <c r="L26" s="91"/>
    </row>
    <row r="27" spans="1:12" ht="15" customHeight="1" x14ac:dyDescent="0.25">
      <c r="A27" s="76"/>
      <c r="B27" s="37" t="str">
        <f>IF(A27="","",IFERROR(VLOOKUP(A27,DB_Customers!$A:$D,4,0),"❌ Account Not Found"))</f>
        <v/>
      </c>
      <c r="C27" s="77" t="str">
        <f>IF(A27="","",IFERROR(VLOOKUP(A27,DB_Customers!$A:$N,14,0),"❌ Acct Not Found"))</f>
        <v/>
      </c>
      <c r="D27" s="78" t="str">
        <f t="shared" ca="1" si="0"/>
        <v/>
      </c>
      <c r="E27" s="94"/>
      <c r="F27" s="37"/>
      <c r="G27" s="95" t="str">
        <f t="shared" si="1"/>
        <v/>
      </c>
      <c r="H27" s="39" t="s">
        <v>136</v>
      </c>
      <c r="I27" s="81"/>
      <c r="J27" s="82" t="str">
        <f>IF(AND(A27&lt;&gt;"",E27&lt;&gt;""),IF(I27="","⚠️ Enter Code",IF(IFERROR(VLOOKUP(H27,DB_Agents!$B:$I,8,0),"")=I27,IF(C27&gt;=E27,"Successful","Unsuccessful"),"🔒 BLOCKED — Wrong Code")),"Pending")</f>
        <v>Pending</v>
      </c>
      <c r="K27" s="83" t="str">
        <f t="shared" ca="1" si="2"/>
        <v>—</v>
      </c>
      <c r="L27" s="84"/>
    </row>
    <row r="28" spans="1:12" ht="15" customHeight="1" x14ac:dyDescent="0.25">
      <c r="A28" s="85"/>
      <c r="B28" s="41" t="str">
        <f>IF(A28="","",IFERROR(VLOOKUP(A28,DB_Customers!$A:$D,4,0),"❌ Account Not Found"))</f>
        <v/>
      </c>
      <c r="C28" s="86" t="str">
        <f>IF(A28="","",IFERROR(VLOOKUP(A28,DB_Customers!$A:$N,14,0),"❌ Acct Not Found"))</f>
        <v/>
      </c>
      <c r="D28" s="87" t="str">
        <f t="shared" ca="1" si="0"/>
        <v/>
      </c>
      <c r="E28" s="94"/>
      <c r="F28" s="41"/>
      <c r="G28" s="96" t="str">
        <f t="shared" si="1"/>
        <v/>
      </c>
      <c r="H28" s="43" t="s">
        <v>136</v>
      </c>
      <c r="I28" s="81"/>
      <c r="J28" s="89" t="str">
        <f>IF(AND(A28&lt;&gt;"",E28&lt;&gt;""),IF(I28="","⚠️ Enter Code",IF(IFERROR(VLOOKUP(H28,DB_Agents!$B:$I,8,0),"")=I28,IF(C28&gt;=E28,"Successful","Unsuccessful"),"🔒 BLOCKED — Wrong Code")),"Pending")</f>
        <v>Pending</v>
      </c>
      <c r="K28" s="90" t="str">
        <f t="shared" ca="1" si="2"/>
        <v>—</v>
      </c>
      <c r="L28" s="91"/>
    </row>
    <row r="29" spans="1:12" ht="15" customHeight="1" x14ac:dyDescent="0.25">
      <c r="A29" s="76"/>
      <c r="B29" s="37" t="str">
        <f>IF(A29="","",IFERROR(VLOOKUP(A29,DB_Customers!$A:$D,4,0),"❌ Account Not Found"))</f>
        <v/>
      </c>
      <c r="C29" s="77" t="str">
        <f>IF(A29="","",IFERROR(VLOOKUP(A29,DB_Customers!$A:$N,14,0),"❌ Acct Not Found"))</f>
        <v/>
      </c>
      <c r="D29" s="78" t="str">
        <f t="shared" ca="1" si="0"/>
        <v/>
      </c>
      <c r="E29" s="94"/>
      <c r="F29" s="37"/>
      <c r="G29" s="95" t="str">
        <f t="shared" si="1"/>
        <v/>
      </c>
      <c r="H29" s="39" t="s">
        <v>136</v>
      </c>
      <c r="I29" s="81"/>
      <c r="J29" s="82" t="str">
        <f>IF(AND(A29&lt;&gt;"",E29&lt;&gt;""),IF(I29="","⚠️ Enter Code",IF(IFERROR(VLOOKUP(H29,DB_Agents!$B:$I,8,0),"")=I29,IF(C29&gt;=E29,"Successful","Unsuccessful"),"🔒 BLOCKED — Wrong Code")),"Pending")</f>
        <v>Pending</v>
      </c>
      <c r="K29" s="83" t="str">
        <f t="shared" ca="1" si="2"/>
        <v>—</v>
      </c>
      <c r="L29" s="84"/>
    </row>
    <row r="30" spans="1:12" ht="15" customHeight="1" x14ac:dyDescent="0.25">
      <c r="A30" s="85"/>
      <c r="B30" s="41" t="str">
        <f>IF(A30="","",IFERROR(VLOOKUP(A30,DB_Customers!$A:$D,4,0),"❌ Account Not Found"))</f>
        <v/>
      </c>
      <c r="C30" s="86" t="str">
        <f>IF(A30="","",IFERROR(VLOOKUP(A30,DB_Customers!$A:$N,14,0),"❌ Acct Not Found"))</f>
        <v/>
      </c>
      <c r="D30" s="87" t="str">
        <f t="shared" ca="1" si="0"/>
        <v/>
      </c>
      <c r="E30" s="94"/>
      <c r="F30" s="41"/>
      <c r="G30" s="96" t="str">
        <f t="shared" si="1"/>
        <v/>
      </c>
      <c r="H30" s="43" t="s">
        <v>136</v>
      </c>
      <c r="I30" s="81"/>
      <c r="J30" s="89" t="str">
        <f>IF(AND(A30&lt;&gt;"",E30&lt;&gt;""),IF(I30="","⚠️ Enter Code",IF(IFERROR(VLOOKUP(H30,DB_Agents!$B:$I,8,0),"")=I30,IF(C30&gt;=E30,"Successful","Unsuccessful"),"🔒 BLOCKED — Wrong Code")),"Pending")</f>
        <v>Pending</v>
      </c>
      <c r="K30" s="90" t="str">
        <f t="shared" ca="1" si="2"/>
        <v>—</v>
      </c>
      <c r="L30" s="91"/>
    </row>
    <row r="31" spans="1:12" ht="15" customHeight="1" x14ac:dyDescent="0.25">
      <c r="A31" s="76"/>
      <c r="B31" s="37" t="str">
        <f>IF(A31="","",IFERROR(VLOOKUP(A31,DB_Customers!$A:$D,4,0),"❌ Account Not Found"))</f>
        <v/>
      </c>
      <c r="C31" s="77" t="str">
        <f>IF(A31="","",IFERROR(VLOOKUP(A31,DB_Customers!$A:$N,14,0),"❌ Acct Not Found"))</f>
        <v/>
      </c>
      <c r="D31" s="78" t="str">
        <f t="shared" ca="1" si="0"/>
        <v/>
      </c>
      <c r="E31" s="94"/>
      <c r="F31" s="37"/>
      <c r="G31" s="95" t="str">
        <f t="shared" si="1"/>
        <v/>
      </c>
      <c r="H31" s="39" t="s">
        <v>136</v>
      </c>
      <c r="I31" s="81"/>
      <c r="J31" s="82" t="str">
        <f>IF(AND(A31&lt;&gt;"",E31&lt;&gt;""),IF(I31="","⚠️ Enter Code",IF(IFERROR(VLOOKUP(H31,DB_Agents!$B:$I,8,0),"")=I31,IF(C31&gt;=E31,"Successful","Unsuccessful"),"🔒 BLOCKED — Wrong Code")),"Pending")</f>
        <v>Pending</v>
      </c>
      <c r="K31" s="83" t="str">
        <f t="shared" ca="1" si="2"/>
        <v>—</v>
      </c>
      <c r="L31" s="84"/>
    </row>
    <row r="32" spans="1:12" ht="15" customHeight="1" x14ac:dyDescent="0.25">
      <c r="A32" s="85"/>
      <c r="B32" s="41" t="str">
        <f>IF(A32="","",IFERROR(VLOOKUP(A32,DB_Customers!$A:$D,4,0),"❌ Account Not Found"))</f>
        <v/>
      </c>
      <c r="C32" s="86" t="str">
        <f>IF(A32="","",IFERROR(VLOOKUP(A32,DB_Customers!$A:$N,14,0),"❌ Acct Not Found"))</f>
        <v/>
      </c>
      <c r="D32" s="87" t="str">
        <f t="shared" ca="1" si="0"/>
        <v/>
      </c>
      <c r="E32" s="94"/>
      <c r="F32" s="41"/>
      <c r="G32" s="96" t="str">
        <f t="shared" si="1"/>
        <v/>
      </c>
      <c r="H32" s="43" t="s">
        <v>136</v>
      </c>
      <c r="I32" s="81"/>
      <c r="J32" s="89" t="str">
        <f>IF(AND(A32&lt;&gt;"",E32&lt;&gt;""),IF(I32="","⚠️ Enter Code",IF(IFERROR(VLOOKUP(H32,DB_Agents!$B:$I,8,0),"")=I32,IF(C32&gt;=E32,"Successful","Unsuccessful"),"🔒 BLOCKED — Wrong Code")),"Pending")</f>
        <v>Pending</v>
      </c>
      <c r="K32" s="90" t="str">
        <f t="shared" ca="1" si="2"/>
        <v>—</v>
      </c>
      <c r="L32" s="91"/>
    </row>
    <row r="33" spans="1:12" ht="15" customHeight="1" x14ac:dyDescent="0.25">
      <c r="A33" s="76"/>
      <c r="B33" s="37" t="str">
        <f>IF(A33="","",IFERROR(VLOOKUP(A33,DB_Customers!$A:$D,4,0),"❌ Account Not Found"))</f>
        <v/>
      </c>
      <c r="C33" s="77" t="str">
        <f>IF(A33="","",IFERROR(VLOOKUP(A33,DB_Customers!$A:$N,14,0),"❌ Acct Not Found"))</f>
        <v/>
      </c>
      <c r="D33" s="78" t="str">
        <f t="shared" ca="1" si="0"/>
        <v/>
      </c>
      <c r="E33" s="94"/>
      <c r="F33" s="37"/>
      <c r="G33" s="95" t="str">
        <f t="shared" si="1"/>
        <v/>
      </c>
      <c r="H33" s="39" t="s">
        <v>136</v>
      </c>
      <c r="I33" s="81"/>
      <c r="J33" s="82" t="str">
        <f>IF(AND(A33&lt;&gt;"",E33&lt;&gt;""),IF(I33="","⚠️ Enter Code",IF(IFERROR(VLOOKUP(H33,DB_Agents!$B:$I,8,0),"")=I33,IF(C33&gt;=E33,"Successful","Unsuccessful"),"🔒 BLOCKED — Wrong Code")),"Pending")</f>
        <v>Pending</v>
      </c>
      <c r="K33" s="83" t="str">
        <f t="shared" ca="1" si="2"/>
        <v>—</v>
      </c>
      <c r="L33" s="84"/>
    </row>
    <row r="34" spans="1:12" ht="15" customHeight="1" x14ac:dyDescent="0.25">
      <c r="A34" s="85"/>
      <c r="B34" s="41" t="str">
        <f>IF(A34="","",IFERROR(VLOOKUP(A34,DB_Customers!$A:$D,4,0),"❌ Account Not Found"))</f>
        <v/>
      </c>
      <c r="C34" s="86" t="str">
        <f>IF(A34="","",IFERROR(VLOOKUP(A34,DB_Customers!$A:$N,14,0),"❌ Acct Not Found"))</f>
        <v/>
      </c>
      <c r="D34" s="87" t="str">
        <f t="shared" ca="1" si="0"/>
        <v/>
      </c>
      <c r="E34" s="94"/>
      <c r="F34" s="41"/>
      <c r="G34" s="96" t="str">
        <f t="shared" si="1"/>
        <v/>
      </c>
      <c r="H34" s="43" t="s">
        <v>136</v>
      </c>
      <c r="I34" s="81"/>
      <c r="J34" s="89" t="str">
        <f>IF(AND(A34&lt;&gt;"",E34&lt;&gt;""),IF(I34="","⚠️ Enter Code",IF(IFERROR(VLOOKUP(H34,DB_Agents!$B:$I,8,0),"")=I34,IF(C34&gt;=E34,"Successful","Unsuccessful"),"🔒 BLOCKED — Wrong Code")),"Pending")</f>
        <v>Pending</v>
      </c>
      <c r="K34" s="90" t="str">
        <f t="shared" ca="1" si="2"/>
        <v>—</v>
      </c>
      <c r="L34" s="91"/>
    </row>
    <row r="35" spans="1:12" ht="15" customHeight="1" x14ac:dyDescent="0.25">
      <c r="A35" s="76"/>
      <c r="B35" s="37" t="str">
        <f>IF(A35="","",IFERROR(VLOOKUP(A35,DB_Customers!$A:$D,4,0),"❌ Account Not Found"))</f>
        <v/>
      </c>
      <c r="C35" s="77" t="str">
        <f>IF(A35="","",IFERROR(VLOOKUP(A35,DB_Customers!$A:$N,14,0),"❌ Acct Not Found"))</f>
        <v/>
      </c>
      <c r="D35" s="78" t="str">
        <f t="shared" ca="1" si="0"/>
        <v/>
      </c>
      <c r="E35" s="94"/>
      <c r="F35" s="37"/>
      <c r="G35" s="95" t="str">
        <f t="shared" si="1"/>
        <v/>
      </c>
      <c r="H35" s="39" t="s">
        <v>136</v>
      </c>
      <c r="I35" s="81"/>
      <c r="J35" s="82" t="str">
        <f>IF(AND(A35&lt;&gt;"",E35&lt;&gt;""),IF(I35="","⚠️ Enter Code",IF(IFERROR(VLOOKUP(H35,DB_Agents!$B:$I,8,0),"")=I35,IF(C35&gt;=E35,"Successful","Unsuccessful"),"🔒 BLOCKED — Wrong Code")),"Pending")</f>
        <v>Pending</v>
      </c>
      <c r="K35" s="83" t="str">
        <f t="shared" ca="1" si="2"/>
        <v>—</v>
      </c>
      <c r="L35" s="84"/>
    </row>
    <row r="36" spans="1:12" ht="15" customHeight="1" x14ac:dyDescent="0.25">
      <c r="A36" s="85"/>
      <c r="B36" s="41" t="str">
        <f>IF(A36="","",IFERROR(VLOOKUP(A36,DB_Customers!$A:$D,4,0),"❌ Account Not Found"))</f>
        <v/>
      </c>
      <c r="C36" s="86" t="str">
        <f>IF(A36="","",IFERROR(VLOOKUP(A36,DB_Customers!$A:$N,14,0),"❌ Acct Not Found"))</f>
        <v/>
      </c>
      <c r="D36" s="87" t="str">
        <f t="shared" ca="1" si="0"/>
        <v/>
      </c>
      <c r="E36" s="94"/>
      <c r="F36" s="41"/>
      <c r="G36" s="96" t="str">
        <f t="shared" si="1"/>
        <v/>
      </c>
      <c r="H36" s="43" t="s">
        <v>136</v>
      </c>
      <c r="I36" s="81"/>
      <c r="J36" s="89" t="str">
        <f>IF(AND(A36&lt;&gt;"",E36&lt;&gt;""),IF(I36="","⚠️ Enter Code",IF(IFERROR(VLOOKUP(H36,DB_Agents!$B:$I,8,0),"")=I36,IF(C36&gt;=E36,"Successful","Unsuccessful"),"🔒 BLOCKED — Wrong Code")),"Pending")</f>
        <v>Pending</v>
      </c>
      <c r="K36" s="90" t="str">
        <f t="shared" ca="1" si="2"/>
        <v>—</v>
      </c>
      <c r="L36" s="91"/>
    </row>
    <row r="37" spans="1:12" ht="15" customHeight="1" x14ac:dyDescent="0.25">
      <c r="A37" s="76"/>
      <c r="B37" s="37" t="str">
        <f>IF(A37="","",IFERROR(VLOOKUP(A37,DB_Customers!$A:$D,4,0),"❌ Account Not Found"))</f>
        <v/>
      </c>
      <c r="C37" s="77" t="str">
        <f>IF(A37="","",IFERROR(VLOOKUP(A37,DB_Customers!$A:$N,14,0),"❌ Acct Not Found"))</f>
        <v/>
      </c>
      <c r="D37" s="78" t="str">
        <f t="shared" ca="1" si="0"/>
        <v/>
      </c>
      <c r="E37" s="94"/>
      <c r="F37" s="37"/>
      <c r="G37" s="95" t="str">
        <f t="shared" si="1"/>
        <v/>
      </c>
      <c r="H37" s="39" t="s">
        <v>136</v>
      </c>
      <c r="I37" s="81"/>
      <c r="J37" s="82" t="str">
        <f>IF(AND(A37&lt;&gt;"",E37&lt;&gt;""),IF(I37="","⚠️ Enter Code",IF(IFERROR(VLOOKUP(H37,DB_Agents!$B:$I,8,0),"")=I37,IF(C37&gt;=E37,"Successful","Unsuccessful"),"🔒 BLOCKED — Wrong Code")),"Pending")</f>
        <v>Pending</v>
      </c>
      <c r="K37" s="83" t="str">
        <f t="shared" ca="1" si="2"/>
        <v>—</v>
      </c>
      <c r="L37" s="84"/>
    </row>
    <row r="38" spans="1:12" ht="15" customHeight="1" x14ac:dyDescent="0.25">
      <c r="A38" s="85"/>
      <c r="B38" s="41" t="str">
        <f>IF(A38="","",IFERROR(VLOOKUP(A38,DB_Customers!$A:$D,4,0),"❌ Account Not Found"))</f>
        <v/>
      </c>
      <c r="C38" s="86" t="str">
        <f>IF(A38="","",IFERROR(VLOOKUP(A38,DB_Customers!$A:$N,14,0),"❌ Acct Not Found"))</f>
        <v/>
      </c>
      <c r="D38" s="87" t="str">
        <f t="shared" ca="1" si="0"/>
        <v/>
      </c>
      <c r="E38" s="94"/>
      <c r="F38" s="41"/>
      <c r="G38" s="96" t="str">
        <f t="shared" si="1"/>
        <v/>
      </c>
      <c r="H38" s="43" t="s">
        <v>136</v>
      </c>
      <c r="I38" s="81"/>
      <c r="J38" s="89" t="str">
        <f>IF(AND(A38&lt;&gt;"",E38&lt;&gt;""),IF(I38="","⚠️ Enter Code",IF(IFERROR(VLOOKUP(H38,DB_Agents!$B:$I,8,0),"")=I38,IF(C38&gt;=E38,"Successful","Unsuccessful"),"🔒 BLOCKED — Wrong Code")),"Pending")</f>
        <v>Pending</v>
      </c>
      <c r="K38" s="90" t="str">
        <f t="shared" ca="1" si="2"/>
        <v>—</v>
      </c>
      <c r="L38" s="91"/>
    </row>
    <row r="39" spans="1:12" ht="15" customHeight="1" x14ac:dyDescent="0.25">
      <c r="A39" s="76"/>
      <c r="B39" s="37" t="str">
        <f>IF(A39="","",IFERROR(VLOOKUP(A39,DB_Customers!$A:$D,4,0),"❌ Account Not Found"))</f>
        <v/>
      </c>
      <c r="C39" s="77" t="str">
        <f>IF(A39="","",IFERROR(VLOOKUP(A39,DB_Customers!$A:$N,14,0),"❌ Acct Not Found"))</f>
        <v/>
      </c>
      <c r="D39" s="78" t="str">
        <f t="shared" ca="1" si="0"/>
        <v/>
      </c>
      <c r="E39" s="94"/>
      <c r="F39" s="37"/>
      <c r="G39" s="95" t="str">
        <f t="shared" si="1"/>
        <v/>
      </c>
      <c r="H39" s="39" t="s">
        <v>136</v>
      </c>
      <c r="I39" s="81"/>
      <c r="J39" s="82" t="str">
        <f>IF(AND(A39&lt;&gt;"",E39&lt;&gt;""),IF(I39="","⚠️ Enter Code",IF(IFERROR(VLOOKUP(H39,DB_Agents!$B:$I,8,0),"")=I39,IF(C39&gt;=E39,"Successful","Unsuccessful"),"🔒 BLOCKED — Wrong Code")),"Pending")</f>
        <v>Pending</v>
      </c>
      <c r="K39" s="83" t="str">
        <f t="shared" ca="1" si="2"/>
        <v>—</v>
      </c>
      <c r="L39" s="84"/>
    </row>
    <row r="40" spans="1:12" ht="15" customHeight="1" x14ac:dyDescent="0.25">
      <c r="A40" s="85"/>
      <c r="B40" s="41" t="str">
        <f>IF(A40="","",IFERROR(VLOOKUP(A40,DB_Customers!$A:$D,4,0),"❌ Account Not Found"))</f>
        <v/>
      </c>
      <c r="C40" s="86" t="str">
        <f>IF(A40="","",IFERROR(VLOOKUP(A40,DB_Customers!$A:$N,14,0),"❌ Acct Not Found"))</f>
        <v/>
      </c>
      <c r="D40" s="87" t="str">
        <f t="shared" ca="1" si="0"/>
        <v/>
      </c>
      <c r="E40" s="94"/>
      <c r="F40" s="41"/>
      <c r="G40" s="96" t="str">
        <f t="shared" si="1"/>
        <v/>
      </c>
      <c r="H40" s="43" t="s">
        <v>136</v>
      </c>
      <c r="I40" s="81"/>
      <c r="J40" s="89" t="str">
        <f>IF(AND(A40&lt;&gt;"",E40&lt;&gt;""),IF(I40="","⚠️ Enter Code",IF(IFERROR(VLOOKUP(H40,DB_Agents!$B:$I,8,0),"")=I40,IF(C40&gt;=E40,"Successful","Unsuccessful"),"🔒 BLOCKED — Wrong Code")),"Pending")</f>
        <v>Pending</v>
      </c>
      <c r="K40" s="90" t="str">
        <f t="shared" ca="1" si="2"/>
        <v>—</v>
      </c>
      <c r="L40" s="91"/>
    </row>
    <row r="41" spans="1:12" ht="15" customHeight="1" x14ac:dyDescent="0.25">
      <c r="A41" s="76"/>
      <c r="B41" s="37" t="str">
        <f>IF(A41="","",IFERROR(VLOOKUP(A41,DB_Customers!$A:$D,4,0),"❌ Account Not Found"))</f>
        <v/>
      </c>
      <c r="C41" s="77" t="str">
        <f>IF(A41="","",IFERROR(VLOOKUP(A41,DB_Customers!$A:$N,14,0),"❌ Acct Not Found"))</f>
        <v/>
      </c>
      <c r="D41" s="78" t="str">
        <f t="shared" ref="D41:D72" ca="1" si="3">IF(A41="","",TODAY())</f>
        <v/>
      </c>
      <c r="E41" s="94"/>
      <c r="F41" s="37"/>
      <c r="G41" s="95" t="str">
        <f t="shared" ref="G41:G72" si="4">IF(OR(A41="",E41=""),"",IF(C41="","",C41-E41))</f>
        <v/>
      </c>
      <c r="H41" s="39" t="s">
        <v>136</v>
      </c>
      <c r="I41" s="81"/>
      <c r="J41" s="82" t="str">
        <f>IF(AND(A41&lt;&gt;"",E41&lt;&gt;""),IF(I41="","⚠️ Enter Code",IF(IFERROR(VLOOKUP(H41,DB_Agents!$B:$I,8,0),"")=I41,IF(C41&gt;=E41,"Successful","Unsuccessful"),"🔒 BLOCKED — Wrong Code")),"Pending")</f>
        <v>Pending</v>
      </c>
      <c r="K41" s="83" t="str">
        <f t="shared" ref="K41:K72" ca="1" si="5">IF(J41="Successful",TEXT(TODAY(),"YYYY-MM-DD")&amp;" Auto","—")</f>
        <v>—</v>
      </c>
      <c r="L41" s="84"/>
    </row>
    <row r="42" spans="1:12" ht="15" customHeight="1" x14ac:dyDescent="0.25">
      <c r="A42" s="85"/>
      <c r="B42" s="41" t="str">
        <f>IF(A42="","",IFERROR(VLOOKUP(A42,DB_Customers!$A:$D,4,0),"❌ Account Not Found"))</f>
        <v/>
      </c>
      <c r="C42" s="86" t="str">
        <f>IF(A42="","",IFERROR(VLOOKUP(A42,DB_Customers!$A:$N,14,0),"❌ Acct Not Found"))</f>
        <v/>
      </c>
      <c r="D42" s="87" t="str">
        <f t="shared" ca="1" si="3"/>
        <v/>
      </c>
      <c r="E42" s="94"/>
      <c r="F42" s="41"/>
      <c r="G42" s="96" t="str">
        <f t="shared" si="4"/>
        <v/>
      </c>
      <c r="H42" s="43" t="s">
        <v>136</v>
      </c>
      <c r="I42" s="81"/>
      <c r="J42" s="89" t="str">
        <f>IF(AND(A42&lt;&gt;"",E42&lt;&gt;""),IF(I42="","⚠️ Enter Code",IF(IFERROR(VLOOKUP(H42,DB_Agents!$B:$I,8,0),"")=I42,IF(C42&gt;=E42,"Successful","Unsuccessful"),"🔒 BLOCKED — Wrong Code")),"Pending")</f>
        <v>Pending</v>
      </c>
      <c r="K42" s="90" t="str">
        <f t="shared" ca="1" si="5"/>
        <v>—</v>
      </c>
      <c r="L42" s="91"/>
    </row>
    <row r="43" spans="1:12" ht="15" customHeight="1" x14ac:dyDescent="0.25">
      <c r="A43" s="76"/>
      <c r="B43" s="37" t="str">
        <f>IF(A43="","",IFERROR(VLOOKUP(A43,DB_Customers!$A:$D,4,0),"❌ Account Not Found"))</f>
        <v/>
      </c>
      <c r="C43" s="77" t="str">
        <f>IF(A43="","",IFERROR(VLOOKUP(A43,DB_Customers!$A:$N,14,0),"❌ Acct Not Found"))</f>
        <v/>
      </c>
      <c r="D43" s="78" t="str">
        <f t="shared" ca="1" si="3"/>
        <v/>
      </c>
      <c r="E43" s="94"/>
      <c r="F43" s="37"/>
      <c r="G43" s="95" t="str">
        <f t="shared" si="4"/>
        <v/>
      </c>
      <c r="H43" s="39" t="s">
        <v>136</v>
      </c>
      <c r="I43" s="81"/>
      <c r="J43" s="82" t="str">
        <f>IF(AND(A43&lt;&gt;"",E43&lt;&gt;""),IF(I43="","⚠️ Enter Code",IF(IFERROR(VLOOKUP(H43,DB_Agents!$B:$I,8,0),"")=I43,IF(C43&gt;=E43,"Successful","Unsuccessful"),"🔒 BLOCKED — Wrong Code")),"Pending")</f>
        <v>Pending</v>
      </c>
      <c r="K43" s="83" t="str">
        <f t="shared" ca="1" si="5"/>
        <v>—</v>
      </c>
      <c r="L43" s="84"/>
    </row>
    <row r="44" spans="1:12" ht="15" customHeight="1" x14ac:dyDescent="0.25">
      <c r="A44" s="85"/>
      <c r="B44" s="41" t="str">
        <f>IF(A44="","",IFERROR(VLOOKUP(A44,DB_Customers!$A:$D,4,0),"❌ Account Not Found"))</f>
        <v/>
      </c>
      <c r="C44" s="86" t="str">
        <f>IF(A44="","",IFERROR(VLOOKUP(A44,DB_Customers!$A:$N,14,0),"❌ Acct Not Found"))</f>
        <v/>
      </c>
      <c r="D44" s="87" t="str">
        <f t="shared" ca="1" si="3"/>
        <v/>
      </c>
      <c r="E44" s="94"/>
      <c r="F44" s="41"/>
      <c r="G44" s="96" t="str">
        <f t="shared" si="4"/>
        <v/>
      </c>
      <c r="H44" s="43" t="s">
        <v>136</v>
      </c>
      <c r="I44" s="81"/>
      <c r="J44" s="89" t="str">
        <f>IF(AND(A44&lt;&gt;"",E44&lt;&gt;""),IF(I44="","⚠️ Enter Code",IF(IFERROR(VLOOKUP(H44,DB_Agents!$B:$I,8,0),"")=I44,IF(C44&gt;=E44,"Successful","Unsuccessful"),"🔒 BLOCKED — Wrong Code")),"Pending")</f>
        <v>Pending</v>
      </c>
      <c r="K44" s="90" t="str">
        <f t="shared" ca="1" si="5"/>
        <v>—</v>
      </c>
      <c r="L44" s="91"/>
    </row>
    <row r="45" spans="1:12" ht="15" customHeight="1" x14ac:dyDescent="0.25">
      <c r="A45" s="76"/>
      <c r="B45" s="37" t="str">
        <f>IF(A45="","",IFERROR(VLOOKUP(A45,DB_Customers!$A:$D,4,0),"❌ Account Not Found"))</f>
        <v/>
      </c>
      <c r="C45" s="77" t="str">
        <f>IF(A45="","",IFERROR(VLOOKUP(A45,DB_Customers!$A:$N,14,0),"❌ Acct Not Found"))</f>
        <v/>
      </c>
      <c r="D45" s="78" t="str">
        <f t="shared" ca="1" si="3"/>
        <v/>
      </c>
      <c r="E45" s="94"/>
      <c r="F45" s="37"/>
      <c r="G45" s="95" t="str">
        <f t="shared" si="4"/>
        <v/>
      </c>
      <c r="H45" s="39" t="s">
        <v>136</v>
      </c>
      <c r="I45" s="81"/>
      <c r="J45" s="82" t="str">
        <f>IF(AND(A45&lt;&gt;"",E45&lt;&gt;""),IF(I45="","⚠️ Enter Code",IF(IFERROR(VLOOKUP(H45,DB_Agents!$B:$I,8,0),"")=I45,IF(C45&gt;=E45,"Successful","Unsuccessful"),"🔒 BLOCKED — Wrong Code")),"Pending")</f>
        <v>Pending</v>
      </c>
      <c r="K45" s="83" t="str">
        <f t="shared" ca="1" si="5"/>
        <v>—</v>
      </c>
      <c r="L45" s="84"/>
    </row>
    <row r="46" spans="1:12" ht="15" customHeight="1" x14ac:dyDescent="0.25">
      <c r="A46" s="85"/>
      <c r="B46" s="41" t="str">
        <f>IF(A46="","",IFERROR(VLOOKUP(A46,DB_Customers!$A:$D,4,0),"❌ Account Not Found"))</f>
        <v/>
      </c>
      <c r="C46" s="86" t="str">
        <f>IF(A46="","",IFERROR(VLOOKUP(A46,DB_Customers!$A:$N,14,0),"❌ Acct Not Found"))</f>
        <v/>
      </c>
      <c r="D46" s="87" t="str">
        <f t="shared" ca="1" si="3"/>
        <v/>
      </c>
      <c r="E46" s="94"/>
      <c r="F46" s="41"/>
      <c r="G46" s="96" t="str">
        <f t="shared" si="4"/>
        <v/>
      </c>
      <c r="H46" s="43" t="s">
        <v>136</v>
      </c>
      <c r="I46" s="81"/>
      <c r="J46" s="89" t="str">
        <f>IF(AND(A46&lt;&gt;"",E46&lt;&gt;""),IF(I46="","⚠️ Enter Code",IF(IFERROR(VLOOKUP(H46,DB_Agents!$B:$I,8,0),"")=I46,IF(C46&gt;=E46,"Successful","Unsuccessful"),"🔒 BLOCKED — Wrong Code")),"Pending")</f>
        <v>Pending</v>
      </c>
      <c r="K46" s="90" t="str">
        <f t="shared" ca="1" si="5"/>
        <v>—</v>
      </c>
      <c r="L46" s="91"/>
    </row>
    <row r="47" spans="1:12" ht="15" customHeight="1" x14ac:dyDescent="0.25">
      <c r="A47" s="76"/>
      <c r="B47" s="37" t="str">
        <f>IF(A47="","",IFERROR(VLOOKUP(A47,DB_Customers!$A:$D,4,0),"❌ Account Not Found"))</f>
        <v/>
      </c>
      <c r="C47" s="77" t="str">
        <f>IF(A47="","",IFERROR(VLOOKUP(A47,DB_Customers!$A:$N,14,0),"❌ Acct Not Found"))</f>
        <v/>
      </c>
      <c r="D47" s="78" t="str">
        <f t="shared" ca="1" si="3"/>
        <v/>
      </c>
      <c r="E47" s="94"/>
      <c r="F47" s="37"/>
      <c r="G47" s="95" t="str">
        <f t="shared" si="4"/>
        <v/>
      </c>
      <c r="H47" s="39" t="s">
        <v>136</v>
      </c>
      <c r="I47" s="81"/>
      <c r="J47" s="82" t="str">
        <f>IF(AND(A47&lt;&gt;"",E47&lt;&gt;""),IF(I47="","⚠️ Enter Code",IF(IFERROR(VLOOKUP(H47,DB_Agents!$B:$I,8,0),"")=I47,IF(C47&gt;=E47,"Successful","Unsuccessful"),"🔒 BLOCKED — Wrong Code")),"Pending")</f>
        <v>Pending</v>
      </c>
      <c r="K47" s="83" t="str">
        <f t="shared" ca="1" si="5"/>
        <v>—</v>
      </c>
      <c r="L47" s="84"/>
    </row>
    <row r="48" spans="1:12" ht="15" customHeight="1" x14ac:dyDescent="0.25">
      <c r="A48" s="85"/>
      <c r="B48" s="41" t="str">
        <f>IF(A48="","",IFERROR(VLOOKUP(A48,DB_Customers!$A:$D,4,0),"❌ Account Not Found"))</f>
        <v/>
      </c>
      <c r="C48" s="86" t="str">
        <f>IF(A48="","",IFERROR(VLOOKUP(A48,DB_Customers!$A:$N,14,0),"❌ Acct Not Found"))</f>
        <v/>
      </c>
      <c r="D48" s="87" t="str">
        <f t="shared" ca="1" si="3"/>
        <v/>
      </c>
      <c r="E48" s="94"/>
      <c r="F48" s="41"/>
      <c r="G48" s="96" t="str">
        <f t="shared" si="4"/>
        <v/>
      </c>
      <c r="H48" s="43" t="s">
        <v>136</v>
      </c>
      <c r="I48" s="81"/>
      <c r="J48" s="89" t="str">
        <f>IF(AND(A48&lt;&gt;"",E48&lt;&gt;""),IF(I48="","⚠️ Enter Code",IF(IFERROR(VLOOKUP(H48,DB_Agents!$B:$I,8,0),"")=I48,IF(C48&gt;=E48,"Successful","Unsuccessful"),"🔒 BLOCKED — Wrong Code")),"Pending")</f>
        <v>Pending</v>
      </c>
      <c r="K48" s="90" t="str">
        <f t="shared" ca="1" si="5"/>
        <v>—</v>
      </c>
      <c r="L48" s="91"/>
    </row>
    <row r="49" spans="1:12" ht="15" customHeight="1" x14ac:dyDescent="0.25">
      <c r="A49" s="76"/>
      <c r="B49" s="37" t="str">
        <f>IF(A49="","",IFERROR(VLOOKUP(A49,DB_Customers!$A:$D,4,0),"❌ Account Not Found"))</f>
        <v/>
      </c>
      <c r="C49" s="77" t="str">
        <f>IF(A49="","",IFERROR(VLOOKUP(A49,DB_Customers!$A:$N,14,0),"❌ Acct Not Found"))</f>
        <v/>
      </c>
      <c r="D49" s="78" t="str">
        <f t="shared" ca="1" si="3"/>
        <v/>
      </c>
      <c r="E49" s="94"/>
      <c r="F49" s="37"/>
      <c r="G49" s="95" t="str">
        <f t="shared" si="4"/>
        <v/>
      </c>
      <c r="H49" s="39" t="s">
        <v>136</v>
      </c>
      <c r="I49" s="81"/>
      <c r="J49" s="82" t="str">
        <f>IF(AND(A49&lt;&gt;"",E49&lt;&gt;""),IF(I49="","⚠️ Enter Code",IF(IFERROR(VLOOKUP(H49,DB_Agents!$B:$I,8,0),"")=I49,IF(C49&gt;=E49,"Successful","Unsuccessful"),"🔒 BLOCKED — Wrong Code")),"Pending")</f>
        <v>Pending</v>
      </c>
      <c r="K49" s="83" t="str">
        <f t="shared" ca="1" si="5"/>
        <v>—</v>
      </c>
      <c r="L49" s="84"/>
    </row>
    <row r="50" spans="1:12" ht="15" customHeight="1" x14ac:dyDescent="0.25">
      <c r="A50" s="85"/>
      <c r="B50" s="41" t="str">
        <f>IF(A50="","",IFERROR(VLOOKUP(A50,DB_Customers!$A:$D,4,0),"❌ Account Not Found"))</f>
        <v/>
      </c>
      <c r="C50" s="86" t="str">
        <f>IF(A50="","",IFERROR(VLOOKUP(A50,DB_Customers!$A:$N,14,0),"❌ Acct Not Found"))</f>
        <v/>
      </c>
      <c r="D50" s="87" t="str">
        <f t="shared" ca="1" si="3"/>
        <v/>
      </c>
      <c r="E50" s="94"/>
      <c r="F50" s="41"/>
      <c r="G50" s="96" t="str">
        <f t="shared" si="4"/>
        <v/>
      </c>
      <c r="H50" s="43" t="s">
        <v>136</v>
      </c>
      <c r="I50" s="81"/>
      <c r="J50" s="89" t="str">
        <f>IF(AND(A50&lt;&gt;"",E50&lt;&gt;""),IF(I50="","⚠️ Enter Code",IF(IFERROR(VLOOKUP(H50,DB_Agents!$B:$I,8,0),"")=I50,IF(C50&gt;=E50,"Successful","Unsuccessful"),"🔒 BLOCKED — Wrong Code")),"Pending")</f>
        <v>Pending</v>
      </c>
      <c r="K50" s="90" t="str">
        <f t="shared" ca="1" si="5"/>
        <v>—</v>
      </c>
      <c r="L50" s="91"/>
    </row>
    <row r="51" spans="1:12" ht="15" customHeight="1" x14ac:dyDescent="0.25">
      <c r="A51" s="76"/>
      <c r="B51" s="37" t="str">
        <f>IF(A51="","",IFERROR(VLOOKUP(A51,DB_Customers!$A:$D,4,0),"❌ Account Not Found"))</f>
        <v/>
      </c>
      <c r="C51" s="77" t="str">
        <f>IF(A51="","",IFERROR(VLOOKUP(A51,DB_Customers!$A:$N,14,0),"❌ Acct Not Found"))</f>
        <v/>
      </c>
      <c r="D51" s="78" t="str">
        <f t="shared" ca="1" si="3"/>
        <v/>
      </c>
      <c r="E51" s="94"/>
      <c r="F51" s="37"/>
      <c r="G51" s="95" t="str">
        <f t="shared" si="4"/>
        <v/>
      </c>
      <c r="H51" s="39" t="s">
        <v>136</v>
      </c>
      <c r="I51" s="81"/>
      <c r="J51" s="82" t="str">
        <f>IF(AND(A51&lt;&gt;"",E51&lt;&gt;""),IF(I51="","⚠️ Enter Code",IF(IFERROR(VLOOKUP(H51,DB_Agents!$B:$I,8,0),"")=I51,IF(C51&gt;=E51,"Successful","Unsuccessful"),"🔒 BLOCKED — Wrong Code")),"Pending")</f>
        <v>Pending</v>
      </c>
      <c r="K51" s="83" t="str">
        <f t="shared" ca="1" si="5"/>
        <v>—</v>
      </c>
      <c r="L51" s="84"/>
    </row>
    <row r="52" spans="1:12" ht="15" customHeight="1" x14ac:dyDescent="0.25">
      <c r="A52" s="85"/>
      <c r="B52" s="41" t="str">
        <f>IF(A52="","",IFERROR(VLOOKUP(A52,DB_Customers!$A:$D,4,0),"❌ Account Not Found"))</f>
        <v/>
      </c>
      <c r="C52" s="86" t="str">
        <f>IF(A52="","",IFERROR(VLOOKUP(A52,DB_Customers!$A:$N,14,0),"❌ Acct Not Found"))</f>
        <v/>
      </c>
      <c r="D52" s="87" t="str">
        <f t="shared" ca="1" si="3"/>
        <v/>
      </c>
      <c r="E52" s="94"/>
      <c r="F52" s="41"/>
      <c r="G52" s="96" t="str">
        <f t="shared" si="4"/>
        <v/>
      </c>
      <c r="H52" s="43" t="s">
        <v>136</v>
      </c>
      <c r="I52" s="81"/>
      <c r="J52" s="89" t="str">
        <f>IF(AND(A52&lt;&gt;"",E52&lt;&gt;""),IF(I52="","⚠️ Enter Code",IF(IFERROR(VLOOKUP(H52,DB_Agents!$B:$I,8,0),"")=I52,IF(C52&gt;=E52,"Successful","Unsuccessful"),"🔒 BLOCKED — Wrong Code")),"Pending")</f>
        <v>Pending</v>
      </c>
      <c r="K52" s="90" t="str">
        <f t="shared" ca="1" si="5"/>
        <v>—</v>
      </c>
      <c r="L52" s="91"/>
    </row>
    <row r="53" spans="1:12" ht="15" customHeight="1" x14ac:dyDescent="0.25">
      <c r="A53" s="76"/>
      <c r="B53" s="37" t="str">
        <f>IF(A53="","",IFERROR(VLOOKUP(A53,DB_Customers!$A:$D,4,0),"❌ Account Not Found"))</f>
        <v/>
      </c>
      <c r="C53" s="77" t="str">
        <f>IF(A53="","",IFERROR(VLOOKUP(A53,DB_Customers!$A:$N,14,0),"❌ Acct Not Found"))</f>
        <v/>
      </c>
      <c r="D53" s="78" t="str">
        <f t="shared" ca="1" si="3"/>
        <v/>
      </c>
      <c r="E53" s="94"/>
      <c r="F53" s="37"/>
      <c r="G53" s="95" t="str">
        <f t="shared" si="4"/>
        <v/>
      </c>
      <c r="H53" s="39" t="s">
        <v>136</v>
      </c>
      <c r="I53" s="81"/>
      <c r="J53" s="82" t="str">
        <f>IF(AND(A53&lt;&gt;"",E53&lt;&gt;""),IF(I53="","⚠️ Enter Code",IF(IFERROR(VLOOKUP(H53,DB_Agents!$B:$I,8,0),"")=I53,IF(C53&gt;=E53,"Successful","Unsuccessful"),"🔒 BLOCKED — Wrong Code")),"Pending")</f>
        <v>Pending</v>
      </c>
      <c r="K53" s="83" t="str">
        <f t="shared" ca="1" si="5"/>
        <v>—</v>
      </c>
      <c r="L53" s="84"/>
    </row>
    <row r="54" spans="1:12" ht="15" customHeight="1" x14ac:dyDescent="0.25">
      <c r="A54" s="85"/>
      <c r="B54" s="41" t="str">
        <f>IF(A54="","",IFERROR(VLOOKUP(A54,DB_Customers!$A:$D,4,0),"❌ Account Not Found"))</f>
        <v/>
      </c>
      <c r="C54" s="86" t="str">
        <f>IF(A54="","",IFERROR(VLOOKUP(A54,DB_Customers!$A:$N,14,0),"❌ Acct Not Found"))</f>
        <v/>
      </c>
      <c r="D54" s="87" t="str">
        <f t="shared" ca="1" si="3"/>
        <v/>
      </c>
      <c r="E54" s="94"/>
      <c r="F54" s="41"/>
      <c r="G54" s="96" t="str">
        <f t="shared" si="4"/>
        <v/>
      </c>
      <c r="H54" s="43" t="s">
        <v>136</v>
      </c>
      <c r="I54" s="81"/>
      <c r="J54" s="89" t="str">
        <f>IF(AND(A54&lt;&gt;"",E54&lt;&gt;""),IF(I54="","⚠️ Enter Code",IF(IFERROR(VLOOKUP(H54,DB_Agents!$B:$I,8,0),"")=I54,IF(C54&gt;=E54,"Successful","Unsuccessful"),"🔒 BLOCKED — Wrong Code")),"Pending")</f>
        <v>Pending</v>
      </c>
      <c r="K54" s="90" t="str">
        <f t="shared" ca="1" si="5"/>
        <v>—</v>
      </c>
      <c r="L54" s="91"/>
    </row>
    <row r="55" spans="1:12" ht="15" customHeight="1" x14ac:dyDescent="0.25">
      <c r="A55" s="76"/>
      <c r="B55" s="37" t="str">
        <f>IF(A55="","",IFERROR(VLOOKUP(A55,DB_Customers!$A:$D,4,0),"❌ Account Not Found"))</f>
        <v/>
      </c>
      <c r="C55" s="77" t="str">
        <f>IF(A55="","",IFERROR(VLOOKUP(A55,DB_Customers!$A:$N,14,0),"❌ Acct Not Found"))</f>
        <v/>
      </c>
      <c r="D55" s="78" t="str">
        <f t="shared" ca="1" si="3"/>
        <v/>
      </c>
      <c r="E55" s="94"/>
      <c r="F55" s="37"/>
      <c r="G55" s="95" t="str">
        <f t="shared" si="4"/>
        <v/>
      </c>
      <c r="H55" s="39" t="s">
        <v>136</v>
      </c>
      <c r="I55" s="81"/>
      <c r="J55" s="82" t="str">
        <f>IF(AND(A55&lt;&gt;"",E55&lt;&gt;""),IF(I55="","⚠️ Enter Code",IF(IFERROR(VLOOKUP(H55,DB_Agents!$B:$I,8,0),"")=I55,IF(C55&gt;=E55,"Successful","Unsuccessful"),"🔒 BLOCKED — Wrong Code")),"Pending")</f>
        <v>Pending</v>
      </c>
      <c r="K55" s="83" t="str">
        <f t="shared" ca="1" si="5"/>
        <v>—</v>
      </c>
      <c r="L55" s="84"/>
    </row>
    <row r="56" spans="1:12" ht="15" customHeight="1" x14ac:dyDescent="0.25">
      <c r="A56" s="85"/>
      <c r="B56" s="41" t="str">
        <f>IF(A56="","",IFERROR(VLOOKUP(A56,DB_Customers!$A:$D,4,0),"❌ Account Not Found"))</f>
        <v/>
      </c>
      <c r="C56" s="86" t="str">
        <f>IF(A56="","",IFERROR(VLOOKUP(A56,DB_Customers!$A:$N,14,0),"❌ Acct Not Found"))</f>
        <v/>
      </c>
      <c r="D56" s="87" t="str">
        <f t="shared" ca="1" si="3"/>
        <v/>
      </c>
      <c r="E56" s="94"/>
      <c r="F56" s="41"/>
      <c r="G56" s="96" t="str">
        <f t="shared" si="4"/>
        <v/>
      </c>
      <c r="H56" s="43" t="s">
        <v>136</v>
      </c>
      <c r="I56" s="81"/>
      <c r="J56" s="89" t="str">
        <f>IF(AND(A56&lt;&gt;"",E56&lt;&gt;""),IF(I56="","⚠️ Enter Code",IF(IFERROR(VLOOKUP(H56,DB_Agents!$B:$I,8,0),"")=I56,IF(C56&gt;=E56,"Successful","Unsuccessful"),"🔒 BLOCKED — Wrong Code")),"Pending")</f>
        <v>Pending</v>
      </c>
      <c r="K56" s="90" t="str">
        <f t="shared" ca="1" si="5"/>
        <v>—</v>
      </c>
      <c r="L56" s="91"/>
    </row>
    <row r="57" spans="1:12" ht="15" customHeight="1" x14ac:dyDescent="0.25">
      <c r="A57" s="76"/>
      <c r="B57" s="37" t="str">
        <f>IF(A57="","",IFERROR(VLOOKUP(A57,DB_Customers!$A:$D,4,0),"❌ Account Not Found"))</f>
        <v/>
      </c>
      <c r="C57" s="77" t="str">
        <f>IF(A57="","",IFERROR(VLOOKUP(A57,DB_Customers!$A:$N,14,0),"❌ Acct Not Found"))</f>
        <v/>
      </c>
      <c r="D57" s="78" t="str">
        <f t="shared" ca="1" si="3"/>
        <v/>
      </c>
      <c r="E57" s="94"/>
      <c r="F57" s="37"/>
      <c r="G57" s="95" t="str">
        <f t="shared" si="4"/>
        <v/>
      </c>
      <c r="H57" s="39" t="s">
        <v>136</v>
      </c>
      <c r="I57" s="81"/>
      <c r="J57" s="82" t="str">
        <f>IF(AND(A57&lt;&gt;"",E57&lt;&gt;""),IF(I57="","⚠️ Enter Code",IF(IFERROR(VLOOKUP(H57,DB_Agents!$B:$I,8,0),"")=I57,IF(C57&gt;=E57,"Successful","Unsuccessful"),"🔒 BLOCKED — Wrong Code")),"Pending")</f>
        <v>Pending</v>
      </c>
      <c r="K57" s="83" t="str">
        <f t="shared" ca="1" si="5"/>
        <v>—</v>
      </c>
      <c r="L57" s="84"/>
    </row>
    <row r="58" spans="1:12" ht="15" customHeight="1" x14ac:dyDescent="0.25">
      <c r="A58" s="85"/>
      <c r="B58" s="41" t="str">
        <f>IF(A58="","",IFERROR(VLOOKUP(A58,DB_Customers!$A:$D,4,0),"❌ Account Not Found"))</f>
        <v/>
      </c>
      <c r="C58" s="86" t="str">
        <f>IF(A58="","",IFERROR(VLOOKUP(A58,DB_Customers!$A:$N,14,0),"❌ Acct Not Found"))</f>
        <v/>
      </c>
      <c r="D58" s="87" t="str">
        <f t="shared" ca="1" si="3"/>
        <v/>
      </c>
      <c r="E58" s="94"/>
      <c r="F58" s="41"/>
      <c r="G58" s="96" t="str">
        <f t="shared" si="4"/>
        <v/>
      </c>
      <c r="H58" s="43" t="s">
        <v>136</v>
      </c>
      <c r="I58" s="81"/>
      <c r="J58" s="89" t="str">
        <f>IF(AND(A58&lt;&gt;"",E58&lt;&gt;""),IF(I58="","⚠️ Enter Code",IF(IFERROR(VLOOKUP(H58,DB_Agents!$B:$I,8,0),"")=I58,IF(C58&gt;=E58,"Successful","Unsuccessful"),"🔒 BLOCKED — Wrong Code")),"Pending")</f>
        <v>Pending</v>
      </c>
      <c r="K58" s="90" t="str">
        <f t="shared" ca="1" si="5"/>
        <v>—</v>
      </c>
      <c r="L58" s="91"/>
    </row>
    <row r="59" spans="1:12" ht="15" customHeight="1" x14ac:dyDescent="0.25">
      <c r="A59" s="76"/>
      <c r="B59" s="37" t="str">
        <f>IF(A59="","",IFERROR(VLOOKUP(A59,DB_Customers!$A:$D,4,0),"❌ Account Not Found"))</f>
        <v/>
      </c>
      <c r="C59" s="77" t="str">
        <f>IF(A59="","",IFERROR(VLOOKUP(A59,DB_Customers!$A:$N,14,0),"❌ Acct Not Found"))</f>
        <v/>
      </c>
      <c r="D59" s="78" t="str">
        <f t="shared" ca="1" si="3"/>
        <v/>
      </c>
      <c r="E59" s="94"/>
      <c r="F59" s="37"/>
      <c r="G59" s="95" t="str">
        <f t="shared" si="4"/>
        <v/>
      </c>
      <c r="H59" s="39" t="s">
        <v>136</v>
      </c>
      <c r="I59" s="81"/>
      <c r="J59" s="82" t="str">
        <f>IF(AND(A59&lt;&gt;"",E59&lt;&gt;""),IF(I59="","⚠️ Enter Code",IF(IFERROR(VLOOKUP(H59,DB_Agents!$B:$I,8,0),"")=I59,IF(C59&gt;=E59,"Successful","Unsuccessful"),"🔒 BLOCKED — Wrong Code")),"Pending")</f>
        <v>Pending</v>
      </c>
      <c r="K59" s="83" t="str">
        <f t="shared" ca="1" si="5"/>
        <v>—</v>
      </c>
      <c r="L59" s="84"/>
    </row>
    <row r="60" spans="1:12" ht="15" customHeight="1" x14ac:dyDescent="0.25">
      <c r="A60" s="85"/>
      <c r="B60" s="41" t="str">
        <f>IF(A60="","",IFERROR(VLOOKUP(A60,DB_Customers!$A:$D,4,0),"❌ Account Not Found"))</f>
        <v/>
      </c>
      <c r="C60" s="86" t="str">
        <f>IF(A60="","",IFERROR(VLOOKUP(A60,DB_Customers!$A:$N,14,0),"❌ Acct Not Found"))</f>
        <v/>
      </c>
      <c r="D60" s="87" t="str">
        <f t="shared" ca="1" si="3"/>
        <v/>
      </c>
      <c r="E60" s="94"/>
      <c r="F60" s="41"/>
      <c r="G60" s="96" t="str">
        <f t="shared" si="4"/>
        <v/>
      </c>
      <c r="H60" s="43" t="s">
        <v>136</v>
      </c>
      <c r="I60" s="81"/>
      <c r="J60" s="89" t="str">
        <f>IF(AND(A60&lt;&gt;"",E60&lt;&gt;""),IF(I60="","⚠️ Enter Code",IF(IFERROR(VLOOKUP(H60,DB_Agents!$B:$I,8,0),"")=I60,IF(C60&gt;=E60,"Successful","Unsuccessful"),"🔒 BLOCKED — Wrong Code")),"Pending")</f>
        <v>Pending</v>
      </c>
      <c r="K60" s="90" t="str">
        <f t="shared" ca="1" si="5"/>
        <v>—</v>
      </c>
      <c r="L60" s="91"/>
    </row>
    <row r="61" spans="1:12" ht="15" customHeight="1" x14ac:dyDescent="0.25">
      <c r="A61" s="76"/>
      <c r="B61" s="37" t="str">
        <f>IF(A61="","",IFERROR(VLOOKUP(A61,DB_Customers!$A:$D,4,0),"❌ Account Not Found"))</f>
        <v/>
      </c>
      <c r="C61" s="77" t="str">
        <f>IF(A61="","",IFERROR(VLOOKUP(A61,DB_Customers!$A:$N,14,0),"❌ Acct Not Found"))</f>
        <v/>
      </c>
      <c r="D61" s="78" t="str">
        <f t="shared" ca="1" si="3"/>
        <v/>
      </c>
      <c r="E61" s="94"/>
      <c r="F61" s="37"/>
      <c r="G61" s="95" t="str">
        <f t="shared" si="4"/>
        <v/>
      </c>
      <c r="H61" s="39" t="s">
        <v>136</v>
      </c>
      <c r="I61" s="81"/>
      <c r="J61" s="82" t="str">
        <f>IF(AND(A61&lt;&gt;"",E61&lt;&gt;""),IF(I61="","⚠️ Enter Code",IF(IFERROR(VLOOKUP(H61,DB_Agents!$B:$I,8,0),"")=I61,IF(C61&gt;=E61,"Successful","Unsuccessful"),"🔒 BLOCKED — Wrong Code")),"Pending")</f>
        <v>Pending</v>
      </c>
      <c r="K61" s="83" t="str">
        <f t="shared" ca="1" si="5"/>
        <v>—</v>
      </c>
      <c r="L61" s="84"/>
    </row>
    <row r="62" spans="1:12" ht="15" customHeight="1" x14ac:dyDescent="0.25">
      <c r="A62" s="85"/>
      <c r="B62" s="41" t="str">
        <f>IF(A62="","",IFERROR(VLOOKUP(A62,DB_Customers!$A:$D,4,0),"❌ Account Not Found"))</f>
        <v/>
      </c>
      <c r="C62" s="86" t="str">
        <f>IF(A62="","",IFERROR(VLOOKUP(A62,DB_Customers!$A:$N,14,0),"❌ Acct Not Found"))</f>
        <v/>
      </c>
      <c r="D62" s="87" t="str">
        <f t="shared" ca="1" si="3"/>
        <v/>
      </c>
      <c r="E62" s="94"/>
      <c r="F62" s="41"/>
      <c r="G62" s="96" t="str">
        <f t="shared" si="4"/>
        <v/>
      </c>
      <c r="H62" s="43" t="s">
        <v>136</v>
      </c>
      <c r="I62" s="81"/>
      <c r="J62" s="89" t="str">
        <f>IF(AND(A62&lt;&gt;"",E62&lt;&gt;""),IF(I62="","⚠️ Enter Code",IF(IFERROR(VLOOKUP(H62,DB_Agents!$B:$I,8,0),"")=I62,IF(C62&gt;=E62,"Successful","Unsuccessful"),"🔒 BLOCKED — Wrong Code")),"Pending")</f>
        <v>Pending</v>
      </c>
      <c r="K62" s="90" t="str">
        <f t="shared" ca="1" si="5"/>
        <v>—</v>
      </c>
      <c r="L62" s="91"/>
    </row>
    <row r="63" spans="1:12" ht="15" customHeight="1" x14ac:dyDescent="0.25">
      <c r="A63" s="76"/>
      <c r="B63" s="37" t="str">
        <f>IF(A63="","",IFERROR(VLOOKUP(A63,DB_Customers!$A:$D,4,0),"❌ Account Not Found"))</f>
        <v/>
      </c>
      <c r="C63" s="77" t="str">
        <f>IF(A63="","",IFERROR(VLOOKUP(A63,DB_Customers!$A:$N,14,0),"❌ Acct Not Found"))</f>
        <v/>
      </c>
      <c r="D63" s="78" t="str">
        <f t="shared" ca="1" si="3"/>
        <v/>
      </c>
      <c r="E63" s="94"/>
      <c r="F63" s="37"/>
      <c r="G63" s="95" t="str">
        <f t="shared" si="4"/>
        <v/>
      </c>
      <c r="H63" s="39" t="s">
        <v>136</v>
      </c>
      <c r="I63" s="81"/>
      <c r="J63" s="82" t="str">
        <f>IF(AND(A63&lt;&gt;"",E63&lt;&gt;""),IF(I63="","⚠️ Enter Code",IF(IFERROR(VLOOKUP(H63,DB_Agents!$B:$I,8,0),"")=I63,IF(C63&gt;=E63,"Successful","Unsuccessful"),"🔒 BLOCKED — Wrong Code")),"Pending")</f>
        <v>Pending</v>
      </c>
      <c r="K63" s="83" t="str">
        <f t="shared" ca="1" si="5"/>
        <v>—</v>
      </c>
      <c r="L63" s="84"/>
    </row>
    <row r="64" spans="1:12" ht="15" customHeight="1" x14ac:dyDescent="0.25">
      <c r="A64" s="85"/>
      <c r="B64" s="41" t="str">
        <f>IF(A64="","",IFERROR(VLOOKUP(A64,DB_Customers!$A:$D,4,0),"❌ Account Not Found"))</f>
        <v/>
      </c>
      <c r="C64" s="86" t="str">
        <f>IF(A64="","",IFERROR(VLOOKUP(A64,DB_Customers!$A:$N,14,0),"❌ Acct Not Found"))</f>
        <v/>
      </c>
      <c r="D64" s="87" t="str">
        <f t="shared" ca="1" si="3"/>
        <v/>
      </c>
      <c r="E64" s="94"/>
      <c r="F64" s="41"/>
      <c r="G64" s="96" t="str">
        <f t="shared" si="4"/>
        <v/>
      </c>
      <c r="H64" s="43" t="s">
        <v>136</v>
      </c>
      <c r="I64" s="81"/>
      <c r="J64" s="89" t="str">
        <f>IF(AND(A64&lt;&gt;"",E64&lt;&gt;""),IF(I64="","⚠️ Enter Code",IF(IFERROR(VLOOKUP(H64,DB_Agents!$B:$I,8,0),"")=I64,IF(C64&gt;=E64,"Successful","Unsuccessful"),"🔒 BLOCKED — Wrong Code")),"Pending")</f>
        <v>Pending</v>
      </c>
      <c r="K64" s="90" t="str">
        <f t="shared" ca="1" si="5"/>
        <v>—</v>
      </c>
      <c r="L64" s="91"/>
    </row>
    <row r="65" spans="1:12" ht="15" customHeight="1" x14ac:dyDescent="0.25">
      <c r="A65" s="76"/>
      <c r="B65" s="37" t="str">
        <f>IF(A65="","",IFERROR(VLOOKUP(A65,DB_Customers!$A:$D,4,0),"❌ Account Not Found"))</f>
        <v/>
      </c>
      <c r="C65" s="77" t="str">
        <f>IF(A65="","",IFERROR(VLOOKUP(A65,DB_Customers!$A:$N,14,0),"❌ Acct Not Found"))</f>
        <v/>
      </c>
      <c r="D65" s="78" t="str">
        <f t="shared" ca="1" si="3"/>
        <v/>
      </c>
      <c r="E65" s="94"/>
      <c r="F65" s="37"/>
      <c r="G65" s="95" t="str">
        <f t="shared" si="4"/>
        <v/>
      </c>
      <c r="H65" s="39" t="s">
        <v>136</v>
      </c>
      <c r="I65" s="81"/>
      <c r="J65" s="82" t="str">
        <f>IF(AND(A65&lt;&gt;"",E65&lt;&gt;""),IF(I65="","⚠️ Enter Code",IF(IFERROR(VLOOKUP(H65,DB_Agents!$B:$I,8,0),"")=I65,IF(C65&gt;=E65,"Successful","Unsuccessful"),"🔒 BLOCKED — Wrong Code")),"Pending")</f>
        <v>Pending</v>
      </c>
      <c r="K65" s="83" t="str">
        <f t="shared" ca="1" si="5"/>
        <v>—</v>
      </c>
      <c r="L65" s="84"/>
    </row>
    <row r="66" spans="1:12" ht="15" customHeight="1" x14ac:dyDescent="0.25">
      <c r="A66" s="85"/>
      <c r="B66" s="41" t="str">
        <f>IF(A66="","",IFERROR(VLOOKUP(A66,DB_Customers!$A:$D,4,0),"❌ Account Not Found"))</f>
        <v/>
      </c>
      <c r="C66" s="86" t="str">
        <f>IF(A66="","",IFERROR(VLOOKUP(A66,DB_Customers!$A:$N,14,0),"❌ Acct Not Found"))</f>
        <v/>
      </c>
      <c r="D66" s="87" t="str">
        <f t="shared" ca="1" si="3"/>
        <v/>
      </c>
      <c r="E66" s="94"/>
      <c r="F66" s="41"/>
      <c r="G66" s="96" t="str">
        <f t="shared" si="4"/>
        <v/>
      </c>
      <c r="H66" s="43" t="s">
        <v>136</v>
      </c>
      <c r="I66" s="81"/>
      <c r="J66" s="89" t="str">
        <f>IF(AND(A66&lt;&gt;"",E66&lt;&gt;""),IF(I66="","⚠️ Enter Code",IF(IFERROR(VLOOKUP(H66,DB_Agents!$B:$I,8,0),"")=I66,IF(C66&gt;=E66,"Successful","Unsuccessful"),"🔒 BLOCKED — Wrong Code")),"Pending")</f>
        <v>Pending</v>
      </c>
      <c r="K66" s="90" t="str">
        <f t="shared" ca="1" si="5"/>
        <v>—</v>
      </c>
      <c r="L66" s="91"/>
    </row>
    <row r="67" spans="1:12" ht="15" customHeight="1" x14ac:dyDescent="0.25">
      <c r="A67" s="76"/>
      <c r="B67" s="37" t="str">
        <f>IF(A67="","",IFERROR(VLOOKUP(A67,DB_Customers!$A:$D,4,0),"❌ Account Not Found"))</f>
        <v/>
      </c>
      <c r="C67" s="77" t="str">
        <f>IF(A67="","",IFERROR(VLOOKUP(A67,DB_Customers!$A:$N,14,0),"❌ Acct Not Found"))</f>
        <v/>
      </c>
      <c r="D67" s="78" t="str">
        <f t="shared" ca="1" si="3"/>
        <v/>
      </c>
      <c r="E67" s="94"/>
      <c r="F67" s="37"/>
      <c r="G67" s="95" t="str">
        <f t="shared" si="4"/>
        <v/>
      </c>
      <c r="H67" s="39" t="s">
        <v>136</v>
      </c>
      <c r="I67" s="81"/>
      <c r="J67" s="82" t="str">
        <f>IF(AND(A67&lt;&gt;"",E67&lt;&gt;""),IF(I67="","⚠️ Enter Code",IF(IFERROR(VLOOKUP(H67,DB_Agents!$B:$I,8,0),"")=I67,IF(C67&gt;=E67,"Successful","Unsuccessful"),"🔒 BLOCKED — Wrong Code")),"Pending")</f>
        <v>Pending</v>
      </c>
      <c r="K67" s="83" t="str">
        <f t="shared" ca="1" si="5"/>
        <v>—</v>
      </c>
      <c r="L67" s="84"/>
    </row>
    <row r="68" spans="1:12" ht="15" customHeight="1" x14ac:dyDescent="0.25">
      <c r="A68" s="85"/>
      <c r="B68" s="41" t="str">
        <f>IF(A68="","",IFERROR(VLOOKUP(A68,DB_Customers!$A:$D,4,0),"❌ Account Not Found"))</f>
        <v/>
      </c>
      <c r="C68" s="86" t="str">
        <f>IF(A68="","",IFERROR(VLOOKUP(A68,DB_Customers!$A:$N,14,0),"❌ Acct Not Found"))</f>
        <v/>
      </c>
      <c r="D68" s="87" t="str">
        <f t="shared" ca="1" si="3"/>
        <v/>
      </c>
      <c r="E68" s="94"/>
      <c r="F68" s="41"/>
      <c r="G68" s="96" t="str">
        <f t="shared" si="4"/>
        <v/>
      </c>
      <c r="H68" s="43" t="s">
        <v>136</v>
      </c>
      <c r="I68" s="81"/>
      <c r="J68" s="89" t="str">
        <f>IF(AND(A68&lt;&gt;"",E68&lt;&gt;""),IF(I68="","⚠️ Enter Code",IF(IFERROR(VLOOKUP(H68,DB_Agents!$B:$I,8,0),"")=I68,IF(C68&gt;=E68,"Successful","Unsuccessful"),"🔒 BLOCKED — Wrong Code")),"Pending")</f>
        <v>Pending</v>
      </c>
      <c r="K68" s="90" t="str">
        <f t="shared" ca="1" si="5"/>
        <v>—</v>
      </c>
      <c r="L68" s="91"/>
    </row>
    <row r="69" spans="1:12" ht="15" customHeight="1" x14ac:dyDescent="0.25">
      <c r="A69" s="76"/>
      <c r="B69" s="37" t="str">
        <f>IF(A69="","",IFERROR(VLOOKUP(A69,DB_Customers!$A:$D,4,0),"❌ Account Not Found"))</f>
        <v/>
      </c>
      <c r="C69" s="77" t="str">
        <f>IF(A69="","",IFERROR(VLOOKUP(A69,DB_Customers!$A:$N,14,0),"❌ Acct Not Found"))</f>
        <v/>
      </c>
      <c r="D69" s="78" t="str">
        <f t="shared" ca="1" si="3"/>
        <v/>
      </c>
      <c r="E69" s="94"/>
      <c r="F69" s="37"/>
      <c r="G69" s="95" t="str">
        <f t="shared" si="4"/>
        <v/>
      </c>
      <c r="H69" s="39" t="s">
        <v>136</v>
      </c>
      <c r="I69" s="81"/>
      <c r="J69" s="82" t="str">
        <f>IF(AND(A69&lt;&gt;"",E69&lt;&gt;""),IF(I69="","⚠️ Enter Code",IF(IFERROR(VLOOKUP(H69,DB_Agents!$B:$I,8,0),"")=I69,IF(C69&gt;=E69,"Successful","Unsuccessful"),"🔒 BLOCKED — Wrong Code")),"Pending")</f>
        <v>Pending</v>
      </c>
      <c r="K69" s="83" t="str">
        <f t="shared" ca="1" si="5"/>
        <v>—</v>
      </c>
      <c r="L69" s="84"/>
    </row>
    <row r="70" spans="1:12" ht="15" customHeight="1" x14ac:dyDescent="0.25">
      <c r="A70" s="85"/>
      <c r="B70" s="41" t="str">
        <f>IF(A70="","",IFERROR(VLOOKUP(A70,DB_Customers!$A:$D,4,0),"❌ Account Not Found"))</f>
        <v/>
      </c>
      <c r="C70" s="86" t="str">
        <f>IF(A70="","",IFERROR(VLOOKUP(A70,DB_Customers!$A:$N,14,0),"❌ Acct Not Found"))</f>
        <v/>
      </c>
      <c r="D70" s="87" t="str">
        <f t="shared" ca="1" si="3"/>
        <v/>
      </c>
      <c r="E70" s="94"/>
      <c r="F70" s="41"/>
      <c r="G70" s="96" t="str">
        <f t="shared" si="4"/>
        <v/>
      </c>
      <c r="H70" s="43" t="s">
        <v>136</v>
      </c>
      <c r="I70" s="81"/>
      <c r="J70" s="89" t="str">
        <f>IF(AND(A70&lt;&gt;"",E70&lt;&gt;""),IF(I70="","⚠️ Enter Code",IF(IFERROR(VLOOKUP(H70,DB_Agents!$B:$I,8,0),"")=I70,IF(C70&gt;=E70,"Successful","Unsuccessful"),"🔒 BLOCKED — Wrong Code")),"Pending")</f>
        <v>Pending</v>
      </c>
      <c r="K70" s="90" t="str">
        <f t="shared" ca="1" si="5"/>
        <v>—</v>
      </c>
      <c r="L70" s="91"/>
    </row>
    <row r="71" spans="1:12" ht="15" customHeight="1" x14ac:dyDescent="0.25">
      <c r="A71" s="76"/>
      <c r="B71" s="37" t="str">
        <f>IF(A71="","",IFERROR(VLOOKUP(A71,DB_Customers!$A:$D,4,0),"❌ Account Not Found"))</f>
        <v/>
      </c>
      <c r="C71" s="77" t="str">
        <f>IF(A71="","",IFERROR(VLOOKUP(A71,DB_Customers!$A:$N,14,0),"❌ Acct Not Found"))</f>
        <v/>
      </c>
      <c r="D71" s="78" t="str">
        <f t="shared" ca="1" si="3"/>
        <v/>
      </c>
      <c r="E71" s="94"/>
      <c r="F71" s="37"/>
      <c r="G71" s="95" t="str">
        <f t="shared" si="4"/>
        <v/>
      </c>
      <c r="H71" s="39" t="s">
        <v>136</v>
      </c>
      <c r="I71" s="81"/>
      <c r="J71" s="82" t="str">
        <f>IF(AND(A71&lt;&gt;"",E71&lt;&gt;""),IF(I71="","⚠️ Enter Code",IF(IFERROR(VLOOKUP(H71,DB_Agents!$B:$I,8,0),"")=I71,IF(C71&gt;=E71,"Successful","Unsuccessful"),"🔒 BLOCKED — Wrong Code")),"Pending")</f>
        <v>Pending</v>
      </c>
      <c r="K71" s="83" t="str">
        <f t="shared" ca="1" si="5"/>
        <v>—</v>
      </c>
      <c r="L71" s="84"/>
    </row>
    <row r="72" spans="1:12" ht="15" customHeight="1" x14ac:dyDescent="0.25">
      <c r="A72" s="85"/>
      <c r="B72" s="41" t="str">
        <f>IF(A72="","",IFERROR(VLOOKUP(A72,DB_Customers!$A:$D,4,0),"❌ Account Not Found"))</f>
        <v/>
      </c>
      <c r="C72" s="86" t="str">
        <f>IF(A72="","",IFERROR(VLOOKUP(A72,DB_Customers!$A:$N,14,0),"❌ Acct Not Found"))</f>
        <v/>
      </c>
      <c r="D72" s="87" t="str">
        <f t="shared" ca="1" si="3"/>
        <v/>
      </c>
      <c r="E72" s="94"/>
      <c r="F72" s="41"/>
      <c r="G72" s="96" t="str">
        <f t="shared" si="4"/>
        <v/>
      </c>
      <c r="H72" s="43" t="s">
        <v>136</v>
      </c>
      <c r="I72" s="81"/>
      <c r="J72" s="89" t="str">
        <f>IF(AND(A72&lt;&gt;"",E72&lt;&gt;""),IF(I72="","⚠️ Enter Code",IF(IFERROR(VLOOKUP(H72,DB_Agents!$B:$I,8,0),"")=I72,IF(C72&gt;=E72,"Successful","Unsuccessful"),"🔒 BLOCKED — Wrong Code")),"Pending")</f>
        <v>Pending</v>
      </c>
      <c r="K72" s="90" t="str">
        <f t="shared" ca="1" si="5"/>
        <v>—</v>
      </c>
      <c r="L72" s="91"/>
    </row>
    <row r="73" spans="1:12" ht="15" customHeight="1" x14ac:dyDescent="0.25">
      <c r="A73" s="76"/>
      <c r="B73" s="37" t="str">
        <f>IF(A73="","",IFERROR(VLOOKUP(A73,DB_Customers!$A:$D,4,0),"❌ Account Not Found"))</f>
        <v/>
      </c>
      <c r="C73" s="77" t="str">
        <f>IF(A73="","",IFERROR(VLOOKUP(A73,DB_Customers!$A:$N,14,0),"❌ Acct Not Found"))</f>
        <v/>
      </c>
      <c r="D73" s="78" t="str">
        <f t="shared" ref="D73:D104" ca="1" si="6">IF(A73="","",TODAY())</f>
        <v/>
      </c>
      <c r="E73" s="94"/>
      <c r="F73" s="37"/>
      <c r="G73" s="95" t="str">
        <f t="shared" ref="G73:G104" si="7">IF(OR(A73="",E73=""),"",IF(C73="","",C73-E73))</f>
        <v/>
      </c>
      <c r="H73" s="39" t="s">
        <v>136</v>
      </c>
      <c r="I73" s="81"/>
      <c r="J73" s="82" t="str">
        <f>IF(AND(A73&lt;&gt;"",E73&lt;&gt;""),IF(I73="","⚠️ Enter Code",IF(IFERROR(VLOOKUP(H73,DB_Agents!$B:$I,8,0),"")=I73,IF(C73&gt;=E73,"Successful","Unsuccessful"),"🔒 BLOCKED — Wrong Code")),"Pending")</f>
        <v>Pending</v>
      </c>
      <c r="K73" s="83" t="str">
        <f t="shared" ref="K73:K104" ca="1" si="8">IF(J73="Successful",TEXT(TODAY(),"YYYY-MM-DD")&amp;" Auto","—")</f>
        <v>—</v>
      </c>
      <c r="L73" s="84"/>
    </row>
    <row r="74" spans="1:12" ht="15" customHeight="1" x14ac:dyDescent="0.25">
      <c r="A74" s="85"/>
      <c r="B74" s="41" t="str">
        <f>IF(A74="","",IFERROR(VLOOKUP(A74,DB_Customers!$A:$D,4,0),"❌ Account Not Found"))</f>
        <v/>
      </c>
      <c r="C74" s="86" t="str">
        <f>IF(A74="","",IFERROR(VLOOKUP(A74,DB_Customers!$A:$N,14,0),"❌ Acct Not Found"))</f>
        <v/>
      </c>
      <c r="D74" s="87" t="str">
        <f t="shared" ca="1" si="6"/>
        <v/>
      </c>
      <c r="E74" s="94"/>
      <c r="F74" s="41"/>
      <c r="G74" s="96" t="str">
        <f t="shared" si="7"/>
        <v/>
      </c>
      <c r="H74" s="43" t="s">
        <v>136</v>
      </c>
      <c r="I74" s="81"/>
      <c r="J74" s="89" t="str">
        <f>IF(AND(A74&lt;&gt;"",E74&lt;&gt;""),IF(I74="","⚠️ Enter Code",IF(IFERROR(VLOOKUP(H74,DB_Agents!$B:$I,8,0),"")=I74,IF(C74&gt;=E74,"Successful","Unsuccessful"),"🔒 BLOCKED — Wrong Code")),"Pending")</f>
        <v>Pending</v>
      </c>
      <c r="K74" s="90" t="str">
        <f t="shared" ca="1" si="8"/>
        <v>—</v>
      </c>
      <c r="L74" s="91"/>
    </row>
    <row r="75" spans="1:12" ht="15" customHeight="1" x14ac:dyDescent="0.25">
      <c r="A75" s="76"/>
      <c r="B75" s="37" t="str">
        <f>IF(A75="","",IFERROR(VLOOKUP(A75,DB_Customers!$A:$D,4,0),"❌ Account Not Found"))</f>
        <v/>
      </c>
      <c r="C75" s="77" t="str">
        <f>IF(A75="","",IFERROR(VLOOKUP(A75,DB_Customers!$A:$N,14,0),"❌ Acct Not Found"))</f>
        <v/>
      </c>
      <c r="D75" s="78" t="str">
        <f t="shared" ca="1" si="6"/>
        <v/>
      </c>
      <c r="E75" s="94"/>
      <c r="F75" s="37"/>
      <c r="G75" s="95" t="str">
        <f t="shared" si="7"/>
        <v/>
      </c>
      <c r="H75" s="39" t="s">
        <v>136</v>
      </c>
      <c r="I75" s="81"/>
      <c r="J75" s="82" t="str">
        <f>IF(AND(A75&lt;&gt;"",E75&lt;&gt;""),IF(I75="","⚠️ Enter Code",IF(IFERROR(VLOOKUP(H75,DB_Agents!$B:$I,8,0),"")=I75,IF(C75&gt;=E75,"Successful","Unsuccessful"),"🔒 BLOCKED — Wrong Code")),"Pending")</f>
        <v>Pending</v>
      </c>
      <c r="K75" s="83" t="str">
        <f t="shared" ca="1" si="8"/>
        <v>—</v>
      </c>
      <c r="L75" s="84"/>
    </row>
    <row r="76" spans="1:12" ht="15" customHeight="1" x14ac:dyDescent="0.25">
      <c r="A76" s="85"/>
      <c r="B76" s="41" t="str">
        <f>IF(A76="","",IFERROR(VLOOKUP(A76,DB_Customers!$A:$D,4,0),"❌ Account Not Found"))</f>
        <v/>
      </c>
      <c r="C76" s="86" t="str">
        <f>IF(A76="","",IFERROR(VLOOKUP(A76,DB_Customers!$A:$N,14,0),"❌ Acct Not Found"))</f>
        <v/>
      </c>
      <c r="D76" s="87" t="str">
        <f t="shared" ca="1" si="6"/>
        <v/>
      </c>
      <c r="E76" s="94"/>
      <c r="F76" s="41"/>
      <c r="G76" s="96" t="str">
        <f t="shared" si="7"/>
        <v/>
      </c>
      <c r="H76" s="43" t="s">
        <v>136</v>
      </c>
      <c r="I76" s="81"/>
      <c r="J76" s="89" t="str">
        <f>IF(AND(A76&lt;&gt;"",E76&lt;&gt;""),IF(I76="","⚠️ Enter Code",IF(IFERROR(VLOOKUP(H76,DB_Agents!$B:$I,8,0),"")=I76,IF(C76&gt;=E76,"Successful","Unsuccessful"),"🔒 BLOCKED — Wrong Code")),"Pending")</f>
        <v>Pending</v>
      </c>
      <c r="K76" s="90" t="str">
        <f t="shared" ca="1" si="8"/>
        <v>—</v>
      </c>
      <c r="L76" s="91"/>
    </row>
    <row r="77" spans="1:12" ht="15" customHeight="1" x14ac:dyDescent="0.25">
      <c r="A77" s="76"/>
      <c r="B77" s="37" t="str">
        <f>IF(A77="","",IFERROR(VLOOKUP(A77,DB_Customers!$A:$D,4,0),"❌ Account Not Found"))</f>
        <v/>
      </c>
      <c r="C77" s="77" t="str">
        <f>IF(A77="","",IFERROR(VLOOKUP(A77,DB_Customers!$A:$N,14,0),"❌ Acct Not Found"))</f>
        <v/>
      </c>
      <c r="D77" s="78" t="str">
        <f t="shared" ca="1" si="6"/>
        <v/>
      </c>
      <c r="E77" s="94"/>
      <c r="F77" s="37"/>
      <c r="G77" s="95" t="str">
        <f t="shared" si="7"/>
        <v/>
      </c>
      <c r="H77" s="39" t="s">
        <v>136</v>
      </c>
      <c r="I77" s="81"/>
      <c r="J77" s="82" t="str">
        <f>IF(AND(A77&lt;&gt;"",E77&lt;&gt;""),IF(I77="","⚠️ Enter Code",IF(IFERROR(VLOOKUP(H77,DB_Agents!$B:$I,8,0),"")=I77,IF(C77&gt;=E77,"Successful","Unsuccessful"),"🔒 BLOCKED — Wrong Code")),"Pending")</f>
        <v>Pending</v>
      </c>
      <c r="K77" s="83" t="str">
        <f t="shared" ca="1" si="8"/>
        <v>—</v>
      </c>
      <c r="L77" s="84"/>
    </row>
    <row r="78" spans="1:12" ht="15" customHeight="1" x14ac:dyDescent="0.25">
      <c r="A78" s="85"/>
      <c r="B78" s="41" t="str">
        <f>IF(A78="","",IFERROR(VLOOKUP(A78,DB_Customers!$A:$D,4,0),"❌ Account Not Found"))</f>
        <v/>
      </c>
      <c r="C78" s="86" t="str">
        <f>IF(A78="","",IFERROR(VLOOKUP(A78,DB_Customers!$A:$N,14,0),"❌ Acct Not Found"))</f>
        <v/>
      </c>
      <c r="D78" s="87" t="str">
        <f t="shared" ca="1" si="6"/>
        <v/>
      </c>
      <c r="E78" s="94"/>
      <c r="F78" s="41"/>
      <c r="G78" s="96" t="str">
        <f t="shared" si="7"/>
        <v/>
      </c>
      <c r="H78" s="43" t="s">
        <v>136</v>
      </c>
      <c r="I78" s="81"/>
      <c r="J78" s="89" t="str">
        <f>IF(AND(A78&lt;&gt;"",E78&lt;&gt;""),IF(I78="","⚠️ Enter Code",IF(IFERROR(VLOOKUP(H78,DB_Agents!$B:$I,8,0),"")=I78,IF(C78&gt;=E78,"Successful","Unsuccessful"),"🔒 BLOCKED — Wrong Code")),"Pending")</f>
        <v>Pending</v>
      </c>
      <c r="K78" s="90" t="str">
        <f t="shared" ca="1" si="8"/>
        <v>—</v>
      </c>
      <c r="L78" s="91"/>
    </row>
    <row r="79" spans="1:12" ht="15" customHeight="1" x14ac:dyDescent="0.25">
      <c r="A79" s="76"/>
      <c r="B79" s="37" t="str">
        <f>IF(A79="","",IFERROR(VLOOKUP(A79,DB_Customers!$A:$D,4,0),"❌ Account Not Found"))</f>
        <v/>
      </c>
      <c r="C79" s="77" t="str">
        <f>IF(A79="","",IFERROR(VLOOKUP(A79,DB_Customers!$A:$N,14,0),"❌ Acct Not Found"))</f>
        <v/>
      </c>
      <c r="D79" s="78" t="str">
        <f t="shared" ca="1" si="6"/>
        <v/>
      </c>
      <c r="E79" s="94"/>
      <c r="F79" s="37"/>
      <c r="G79" s="95" t="str">
        <f t="shared" si="7"/>
        <v/>
      </c>
      <c r="H79" s="39" t="s">
        <v>136</v>
      </c>
      <c r="I79" s="81"/>
      <c r="J79" s="82" t="str">
        <f>IF(AND(A79&lt;&gt;"",E79&lt;&gt;""),IF(I79="","⚠️ Enter Code",IF(IFERROR(VLOOKUP(H79,DB_Agents!$B:$I,8,0),"")=I79,IF(C79&gt;=E79,"Successful","Unsuccessful"),"🔒 BLOCKED — Wrong Code")),"Pending")</f>
        <v>Pending</v>
      </c>
      <c r="K79" s="83" t="str">
        <f t="shared" ca="1" si="8"/>
        <v>—</v>
      </c>
      <c r="L79" s="84"/>
    </row>
    <row r="80" spans="1:12" ht="15" customHeight="1" x14ac:dyDescent="0.25">
      <c r="A80" s="85"/>
      <c r="B80" s="41" t="str">
        <f>IF(A80="","",IFERROR(VLOOKUP(A80,DB_Customers!$A:$D,4,0),"❌ Account Not Found"))</f>
        <v/>
      </c>
      <c r="C80" s="86" t="str">
        <f>IF(A80="","",IFERROR(VLOOKUP(A80,DB_Customers!$A:$N,14,0),"❌ Acct Not Found"))</f>
        <v/>
      </c>
      <c r="D80" s="87" t="str">
        <f t="shared" ca="1" si="6"/>
        <v/>
      </c>
      <c r="E80" s="94"/>
      <c r="F80" s="41"/>
      <c r="G80" s="96" t="str">
        <f t="shared" si="7"/>
        <v/>
      </c>
      <c r="H80" s="43" t="s">
        <v>136</v>
      </c>
      <c r="I80" s="81"/>
      <c r="J80" s="89" t="str">
        <f>IF(AND(A80&lt;&gt;"",E80&lt;&gt;""),IF(I80="","⚠️ Enter Code",IF(IFERROR(VLOOKUP(H80,DB_Agents!$B:$I,8,0),"")=I80,IF(C80&gt;=E80,"Successful","Unsuccessful"),"🔒 BLOCKED — Wrong Code")),"Pending")</f>
        <v>Pending</v>
      </c>
      <c r="K80" s="90" t="str">
        <f t="shared" ca="1" si="8"/>
        <v>—</v>
      </c>
      <c r="L80" s="91"/>
    </row>
    <row r="81" spans="1:12" ht="15" customHeight="1" x14ac:dyDescent="0.25">
      <c r="A81" s="76"/>
      <c r="B81" s="37" t="str">
        <f>IF(A81="","",IFERROR(VLOOKUP(A81,DB_Customers!$A:$D,4,0),"❌ Account Not Found"))</f>
        <v/>
      </c>
      <c r="C81" s="77" t="str">
        <f>IF(A81="","",IFERROR(VLOOKUP(A81,DB_Customers!$A:$N,14,0),"❌ Acct Not Found"))</f>
        <v/>
      </c>
      <c r="D81" s="78" t="str">
        <f t="shared" ca="1" si="6"/>
        <v/>
      </c>
      <c r="E81" s="94"/>
      <c r="F81" s="37"/>
      <c r="G81" s="95" t="str">
        <f t="shared" si="7"/>
        <v/>
      </c>
      <c r="H81" s="39" t="s">
        <v>136</v>
      </c>
      <c r="I81" s="81"/>
      <c r="J81" s="82" t="str">
        <f>IF(AND(A81&lt;&gt;"",E81&lt;&gt;""),IF(I81="","⚠️ Enter Code",IF(IFERROR(VLOOKUP(H81,DB_Agents!$B:$I,8,0),"")=I81,IF(C81&gt;=E81,"Successful","Unsuccessful"),"🔒 BLOCKED — Wrong Code")),"Pending")</f>
        <v>Pending</v>
      </c>
      <c r="K81" s="83" t="str">
        <f t="shared" ca="1" si="8"/>
        <v>—</v>
      </c>
      <c r="L81" s="84"/>
    </row>
    <row r="82" spans="1:12" ht="15" customHeight="1" x14ac:dyDescent="0.25">
      <c r="A82" s="85"/>
      <c r="B82" s="41" t="str">
        <f>IF(A82="","",IFERROR(VLOOKUP(A82,DB_Customers!$A:$D,4,0),"❌ Account Not Found"))</f>
        <v/>
      </c>
      <c r="C82" s="86" t="str">
        <f>IF(A82="","",IFERROR(VLOOKUP(A82,DB_Customers!$A:$N,14,0),"❌ Acct Not Found"))</f>
        <v/>
      </c>
      <c r="D82" s="87" t="str">
        <f t="shared" ca="1" si="6"/>
        <v/>
      </c>
      <c r="E82" s="94"/>
      <c r="F82" s="41"/>
      <c r="G82" s="96" t="str">
        <f t="shared" si="7"/>
        <v/>
      </c>
      <c r="H82" s="43" t="s">
        <v>136</v>
      </c>
      <c r="I82" s="81"/>
      <c r="J82" s="89" t="str">
        <f>IF(AND(A82&lt;&gt;"",E82&lt;&gt;""),IF(I82="","⚠️ Enter Code",IF(IFERROR(VLOOKUP(H82,DB_Agents!$B:$I,8,0),"")=I82,IF(C82&gt;=E82,"Successful","Unsuccessful"),"🔒 BLOCKED — Wrong Code")),"Pending")</f>
        <v>Pending</v>
      </c>
      <c r="K82" s="90" t="str">
        <f t="shared" ca="1" si="8"/>
        <v>—</v>
      </c>
      <c r="L82" s="91"/>
    </row>
    <row r="83" spans="1:12" ht="15" customHeight="1" x14ac:dyDescent="0.25">
      <c r="A83" s="76"/>
      <c r="B83" s="37" t="str">
        <f>IF(A83="","",IFERROR(VLOOKUP(A83,DB_Customers!$A:$D,4,0),"❌ Account Not Found"))</f>
        <v/>
      </c>
      <c r="C83" s="77" t="str">
        <f>IF(A83="","",IFERROR(VLOOKUP(A83,DB_Customers!$A:$N,14,0),"❌ Acct Not Found"))</f>
        <v/>
      </c>
      <c r="D83" s="78" t="str">
        <f t="shared" ca="1" si="6"/>
        <v/>
      </c>
      <c r="E83" s="94"/>
      <c r="F83" s="37"/>
      <c r="G83" s="95" t="str">
        <f t="shared" si="7"/>
        <v/>
      </c>
      <c r="H83" s="39" t="s">
        <v>136</v>
      </c>
      <c r="I83" s="81"/>
      <c r="J83" s="82" t="str">
        <f>IF(AND(A83&lt;&gt;"",E83&lt;&gt;""),IF(I83="","⚠️ Enter Code",IF(IFERROR(VLOOKUP(H83,DB_Agents!$B:$I,8,0),"")=I83,IF(C83&gt;=E83,"Successful","Unsuccessful"),"🔒 BLOCKED — Wrong Code")),"Pending")</f>
        <v>Pending</v>
      </c>
      <c r="K83" s="83" t="str">
        <f t="shared" ca="1" si="8"/>
        <v>—</v>
      </c>
      <c r="L83" s="84"/>
    </row>
    <row r="84" spans="1:12" ht="15" customHeight="1" x14ac:dyDescent="0.25">
      <c r="A84" s="85"/>
      <c r="B84" s="41" t="str">
        <f>IF(A84="","",IFERROR(VLOOKUP(A84,DB_Customers!$A:$D,4,0),"❌ Account Not Found"))</f>
        <v/>
      </c>
      <c r="C84" s="86" t="str">
        <f>IF(A84="","",IFERROR(VLOOKUP(A84,DB_Customers!$A:$N,14,0),"❌ Acct Not Found"))</f>
        <v/>
      </c>
      <c r="D84" s="87" t="str">
        <f t="shared" ca="1" si="6"/>
        <v/>
      </c>
      <c r="E84" s="94"/>
      <c r="F84" s="41"/>
      <c r="G84" s="96" t="str">
        <f t="shared" si="7"/>
        <v/>
      </c>
      <c r="H84" s="43" t="s">
        <v>136</v>
      </c>
      <c r="I84" s="81"/>
      <c r="J84" s="89" t="str">
        <f>IF(AND(A84&lt;&gt;"",E84&lt;&gt;""),IF(I84="","⚠️ Enter Code",IF(IFERROR(VLOOKUP(H84,DB_Agents!$B:$I,8,0),"")=I84,IF(C84&gt;=E84,"Successful","Unsuccessful"),"🔒 BLOCKED — Wrong Code")),"Pending")</f>
        <v>Pending</v>
      </c>
      <c r="K84" s="90" t="str">
        <f t="shared" ca="1" si="8"/>
        <v>—</v>
      </c>
      <c r="L84" s="91"/>
    </row>
    <row r="85" spans="1:12" ht="15" customHeight="1" x14ac:dyDescent="0.25">
      <c r="A85" s="76"/>
      <c r="B85" s="37" t="str">
        <f>IF(A85="","",IFERROR(VLOOKUP(A85,DB_Customers!$A:$D,4,0),"❌ Account Not Found"))</f>
        <v/>
      </c>
      <c r="C85" s="77" t="str">
        <f>IF(A85="","",IFERROR(VLOOKUP(A85,DB_Customers!$A:$N,14,0),"❌ Acct Not Found"))</f>
        <v/>
      </c>
      <c r="D85" s="78" t="str">
        <f t="shared" ca="1" si="6"/>
        <v/>
      </c>
      <c r="E85" s="94"/>
      <c r="F85" s="37"/>
      <c r="G85" s="95" t="str">
        <f t="shared" si="7"/>
        <v/>
      </c>
      <c r="H85" s="39" t="s">
        <v>136</v>
      </c>
      <c r="I85" s="81"/>
      <c r="J85" s="82" t="str">
        <f>IF(AND(A85&lt;&gt;"",E85&lt;&gt;""),IF(I85="","⚠️ Enter Code",IF(IFERROR(VLOOKUP(H85,DB_Agents!$B:$I,8,0),"")=I85,IF(C85&gt;=E85,"Successful","Unsuccessful"),"🔒 BLOCKED — Wrong Code")),"Pending")</f>
        <v>Pending</v>
      </c>
      <c r="K85" s="83" t="str">
        <f t="shared" ca="1" si="8"/>
        <v>—</v>
      </c>
      <c r="L85" s="84"/>
    </row>
    <row r="86" spans="1:12" ht="15" customHeight="1" x14ac:dyDescent="0.25">
      <c r="A86" s="85"/>
      <c r="B86" s="41" t="str">
        <f>IF(A86="","",IFERROR(VLOOKUP(A86,DB_Customers!$A:$D,4,0),"❌ Account Not Found"))</f>
        <v/>
      </c>
      <c r="C86" s="86" t="str">
        <f>IF(A86="","",IFERROR(VLOOKUP(A86,DB_Customers!$A:$N,14,0),"❌ Acct Not Found"))</f>
        <v/>
      </c>
      <c r="D86" s="87" t="str">
        <f t="shared" ca="1" si="6"/>
        <v/>
      </c>
      <c r="E86" s="94"/>
      <c r="F86" s="41"/>
      <c r="G86" s="96" t="str">
        <f t="shared" si="7"/>
        <v/>
      </c>
      <c r="H86" s="43" t="s">
        <v>136</v>
      </c>
      <c r="I86" s="81"/>
      <c r="J86" s="89" t="str">
        <f>IF(AND(A86&lt;&gt;"",E86&lt;&gt;""),IF(I86="","⚠️ Enter Code",IF(IFERROR(VLOOKUP(H86,DB_Agents!$B:$I,8,0),"")=I86,IF(C86&gt;=E86,"Successful","Unsuccessful"),"🔒 BLOCKED — Wrong Code")),"Pending")</f>
        <v>Pending</v>
      </c>
      <c r="K86" s="90" t="str">
        <f t="shared" ca="1" si="8"/>
        <v>—</v>
      </c>
      <c r="L86" s="91"/>
    </row>
    <row r="87" spans="1:12" ht="15" customHeight="1" x14ac:dyDescent="0.25">
      <c r="A87" s="76"/>
      <c r="B87" s="37" t="str">
        <f>IF(A87="","",IFERROR(VLOOKUP(A87,DB_Customers!$A:$D,4,0),"❌ Account Not Found"))</f>
        <v/>
      </c>
      <c r="C87" s="77" t="str">
        <f>IF(A87="","",IFERROR(VLOOKUP(A87,DB_Customers!$A:$N,14,0),"❌ Acct Not Found"))</f>
        <v/>
      </c>
      <c r="D87" s="78" t="str">
        <f t="shared" ca="1" si="6"/>
        <v/>
      </c>
      <c r="E87" s="94"/>
      <c r="F87" s="37"/>
      <c r="G87" s="95" t="str">
        <f t="shared" si="7"/>
        <v/>
      </c>
      <c r="H87" s="39" t="s">
        <v>136</v>
      </c>
      <c r="I87" s="81"/>
      <c r="J87" s="82" t="str">
        <f>IF(AND(A87&lt;&gt;"",E87&lt;&gt;""),IF(I87="","⚠️ Enter Code",IF(IFERROR(VLOOKUP(H87,DB_Agents!$B:$I,8,0),"")=I87,IF(C87&gt;=E87,"Successful","Unsuccessful"),"🔒 BLOCKED — Wrong Code")),"Pending")</f>
        <v>Pending</v>
      </c>
      <c r="K87" s="83" t="str">
        <f t="shared" ca="1" si="8"/>
        <v>—</v>
      </c>
      <c r="L87" s="84"/>
    </row>
    <row r="88" spans="1:12" ht="15" customHeight="1" x14ac:dyDescent="0.25">
      <c r="A88" s="85"/>
      <c r="B88" s="41" t="str">
        <f>IF(A88="","",IFERROR(VLOOKUP(A88,DB_Customers!$A:$D,4,0),"❌ Account Not Found"))</f>
        <v/>
      </c>
      <c r="C88" s="86" t="str">
        <f>IF(A88="","",IFERROR(VLOOKUP(A88,DB_Customers!$A:$N,14,0),"❌ Acct Not Found"))</f>
        <v/>
      </c>
      <c r="D88" s="87" t="str">
        <f t="shared" ca="1" si="6"/>
        <v/>
      </c>
      <c r="E88" s="94"/>
      <c r="F88" s="41"/>
      <c r="G88" s="96" t="str">
        <f t="shared" si="7"/>
        <v/>
      </c>
      <c r="H88" s="43" t="s">
        <v>136</v>
      </c>
      <c r="I88" s="81"/>
      <c r="J88" s="89" t="str">
        <f>IF(AND(A88&lt;&gt;"",E88&lt;&gt;""),IF(I88="","⚠️ Enter Code",IF(IFERROR(VLOOKUP(H88,DB_Agents!$B:$I,8,0),"")=I88,IF(C88&gt;=E88,"Successful","Unsuccessful"),"🔒 BLOCKED — Wrong Code")),"Pending")</f>
        <v>Pending</v>
      </c>
      <c r="K88" s="90" t="str">
        <f t="shared" ca="1" si="8"/>
        <v>—</v>
      </c>
      <c r="L88" s="91"/>
    </row>
    <row r="89" spans="1:12" ht="15" customHeight="1" x14ac:dyDescent="0.25">
      <c r="A89" s="76"/>
      <c r="B89" s="37" t="str">
        <f>IF(A89="","",IFERROR(VLOOKUP(A89,DB_Customers!$A:$D,4,0),"❌ Account Not Found"))</f>
        <v/>
      </c>
      <c r="C89" s="77" t="str">
        <f>IF(A89="","",IFERROR(VLOOKUP(A89,DB_Customers!$A:$N,14,0),"❌ Acct Not Found"))</f>
        <v/>
      </c>
      <c r="D89" s="78" t="str">
        <f t="shared" ca="1" si="6"/>
        <v/>
      </c>
      <c r="E89" s="94"/>
      <c r="F89" s="37"/>
      <c r="G89" s="95" t="str">
        <f t="shared" si="7"/>
        <v/>
      </c>
      <c r="H89" s="39" t="s">
        <v>136</v>
      </c>
      <c r="I89" s="81"/>
      <c r="J89" s="82" t="str">
        <f>IF(AND(A89&lt;&gt;"",E89&lt;&gt;""),IF(I89="","⚠️ Enter Code",IF(IFERROR(VLOOKUP(H89,DB_Agents!$B:$I,8,0),"")=I89,IF(C89&gt;=E89,"Successful","Unsuccessful"),"🔒 BLOCKED — Wrong Code")),"Pending")</f>
        <v>Pending</v>
      </c>
      <c r="K89" s="83" t="str">
        <f t="shared" ca="1" si="8"/>
        <v>—</v>
      </c>
      <c r="L89" s="84"/>
    </row>
    <row r="90" spans="1:12" ht="15" customHeight="1" x14ac:dyDescent="0.25">
      <c r="A90" s="85"/>
      <c r="B90" s="41" t="str">
        <f>IF(A90="","",IFERROR(VLOOKUP(A90,DB_Customers!$A:$D,4,0),"❌ Account Not Found"))</f>
        <v/>
      </c>
      <c r="C90" s="86" t="str">
        <f>IF(A90="","",IFERROR(VLOOKUP(A90,DB_Customers!$A:$N,14,0),"❌ Acct Not Found"))</f>
        <v/>
      </c>
      <c r="D90" s="87" t="str">
        <f t="shared" ca="1" si="6"/>
        <v/>
      </c>
      <c r="E90" s="94"/>
      <c r="F90" s="41"/>
      <c r="G90" s="96" t="str">
        <f t="shared" si="7"/>
        <v/>
      </c>
      <c r="H90" s="43" t="s">
        <v>136</v>
      </c>
      <c r="I90" s="81"/>
      <c r="J90" s="89" t="str">
        <f>IF(AND(A90&lt;&gt;"",E90&lt;&gt;""),IF(I90="","⚠️ Enter Code",IF(IFERROR(VLOOKUP(H90,DB_Agents!$B:$I,8,0),"")=I90,IF(C90&gt;=E90,"Successful","Unsuccessful"),"🔒 BLOCKED — Wrong Code")),"Pending")</f>
        <v>Pending</v>
      </c>
      <c r="K90" s="90" t="str">
        <f t="shared" ca="1" si="8"/>
        <v>—</v>
      </c>
      <c r="L90" s="91"/>
    </row>
    <row r="91" spans="1:12" ht="15" customHeight="1" x14ac:dyDescent="0.25">
      <c r="A91" s="76"/>
      <c r="B91" s="37" t="str">
        <f>IF(A91="","",IFERROR(VLOOKUP(A91,DB_Customers!$A:$D,4,0),"❌ Account Not Found"))</f>
        <v/>
      </c>
      <c r="C91" s="77" t="str">
        <f>IF(A91="","",IFERROR(VLOOKUP(A91,DB_Customers!$A:$N,14,0),"❌ Acct Not Found"))</f>
        <v/>
      </c>
      <c r="D91" s="78" t="str">
        <f t="shared" ca="1" si="6"/>
        <v/>
      </c>
      <c r="E91" s="94"/>
      <c r="F91" s="37"/>
      <c r="G91" s="95" t="str">
        <f t="shared" si="7"/>
        <v/>
      </c>
      <c r="H91" s="39" t="s">
        <v>136</v>
      </c>
      <c r="I91" s="81"/>
      <c r="J91" s="82" t="str">
        <f>IF(AND(A91&lt;&gt;"",E91&lt;&gt;""),IF(I91="","⚠️ Enter Code",IF(IFERROR(VLOOKUP(H91,DB_Agents!$B:$I,8,0),"")=I91,IF(C91&gt;=E91,"Successful","Unsuccessful"),"🔒 BLOCKED — Wrong Code")),"Pending")</f>
        <v>Pending</v>
      </c>
      <c r="K91" s="83" t="str">
        <f t="shared" ca="1" si="8"/>
        <v>—</v>
      </c>
      <c r="L91" s="84"/>
    </row>
    <row r="92" spans="1:12" ht="15" customHeight="1" x14ac:dyDescent="0.25">
      <c r="A92" s="85"/>
      <c r="B92" s="41" t="str">
        <f>IF(A92="","",IFERROR(VLOOKUP(A92,DB_Customers!$A:$D,4,0),"❌ Account Not Found"))</f>
        <v/>
      </c>
      <c r="C92" s="86" t="str">
        <f>IF(A92="","",IFERROR(VLOOKUP(A92,DB_Customers!$A:$N,14,0),"❌ Acct Not Found"))</f>
        <v/>
      </c>
      <c r="D92" s="87" t="str">
        <f t="shared" ca="1" si="6"/>
        <v/>
      </c>
      <c r="E92" s="94"/>
      <c r="F92" s="41"/>
      <c r="G92" s="96" t="str">
        <f t="shared" si="7"/>
        <v/>
      </c>
      <c r="H92" s="43" t="s">
        <v>136</v>
      </c>
      <c r="I92" s="81"/>
      <c r="J92" s="89" t="str">
        <f>IF(AND(A92&lt;&gt;"",E92&lt;&gt;""),IF(I92="","⚠️ Enter Code",IF(IFERROR(VLOOKUP(H92,DB_Agents!$B:$I,8,0),"")=I92,IF(C92&gt;=E92,"Successful","Unsuccessful"),"🔒 BLOCKED — Wrong Code")),"Pending")</f>
        <v>Pending</v>
      </c>
      <c r="K92" s="90" t="str">
        <f t="shared" ca="1" si="8"/>
        <v>—</v>
      </c>
      <c r="L92" s="91"/>
    </row>
    <row r="93" spans="1:12" ht="15" customHeight="1" x14ac:dyDescent="0.25">
      <c r="A93" s="76"/>
      <c r="B93" s="37" t="str">
        <f>IF(A93="","",IFERROR(VLOOKUP(A93,DB_Customers!$A:$D,4,0),"❌ Account Not Found"))</f>
        <v/>
      </c>
      <c r="C93" s="77" t="str">
        <f>IF(A93="","",IFERROR(VLOOKUP(A93,DB_Customers!$A:$N,14,0),"❌ Acct Not Found"))</f>
        <v/>
      </c>
      <c r="D93" s="78" t="str">
        <f t="shared" ca="1" si="6"/>
        <v/>
      </c>
      <c r="E93" s="94"/>
      <c r="F93" s="37"/>
      <c r="G93" s="95" t="str">
        <f t="shared" si="7"/>
        <v/>
      </c>
      <c r="H93" s="39" t="s">
        <v>136</v>
      </c>
      <c r="I93" s="81"/>
      <c r="J93" s="82" t="str">
        <f>IF(AND(A93&lt;&gt;"",E93&lt;&gt;""),IF(I93="","⚠️ Enter Code",IF(IFERROR(VLOOKUP(H93,DB_Agents!$B:$I,8,0),"")=I93,IF(C93&gt;=E93,"Successful","Unsuccessful"),"🔒 BLOCKED — Wrong Code")),"Pending")</f>
        <v>Pending</v>
      </c>
      <c r="K93" s="83" t="str">
        <f t="shared" ca="1" si="8"/>
        <v>—</v>
      </c>
      <c r="L93" s="84"/>
    </row>
    <row r="94" spans="1:12" ht="15" customHeight="1" x14ac:dyDescent="0.25">
      <c r="A94" s="85"/>
      <c r="B94" s="41" t="str">
        <f>IF(A94="","",IFERROR(VLOOKUP(A94,DB_Customers!$A:$D,4,0),"❌ Account Not Found"))</f>
        <v/>
      </c>
      <c r="C94" s="86" t="str">
        <f>IF(A94="","",IFERROR(VLOOKUP(A94,DB_Customers!$A:$N,14,0),"❌ Acct Not Found"))</f>
        <v/>
      </c>
      <c r="D94" s="87" t="str">
        <f t="shared" ca="1" si="6"/>
        <v/>
      </c>
      <c r="E94" s="94"/>
      <c r="F94" s="41"/>
      <c r="G94" s="96" t="str">
        <f t="shared" si="7"/>
        <v/>
      </c>
      <c r="H94" s="43" t="s">
        <v>136</v>
      </c>
      <c r="I94" s="81"/>
      <c r="J94" s="89" t="str">
        <f>IF(AND(A94&lt;&gt;"",E94&lt;&gt;""),IF(I94="","⚠️ Enter Code",IF(IFERROR(VLOOKUP(H94,DB_Agents!$B:$I,8,0),"")=I94,IF(C94&gt;=E94,"Successful","Unsuccessful"),"🔒 BLOCKED — Wrong Code")),"Pending")</f>
        <v>Pending</v>
      </c>
      <c r="K94" s="90" t="str">
        <f t="shared" ca="1" si="8"/>
        <v>—</v>
      </c>
      <c r="L94" s="91"/>
    </row>
    <row r="95" spans="1:12" ht="15" customHeight="1" x14ac:dyDescent="0.25">
      <c r="A95" s="76"/>
      <c r="B95" s="37" t="str">
        <f>IF(A95="","",IFERROR(VLOOKUP(A95,DB_Customers!$A:$D,4,0),"❌ Account Not Found"))</f>
        <v/>
      </c>
      <c r="C95" s="77" t="str">
        <f>IF(A95="","",IFERROR(VLOOKUP(A95,DB_Customers!$A:$N,14,0),"❌ Acct Not Found"))</f>
        <v/>
      </c>
      <c r="D95" s="78" t="str">
        <f t="shared" ca="1" si="6"/>
        <v/>
      </c>
      <c r="E95" s="94"/>
      <c r="F95" s="37"/>
      <c r="G95" s="95" t="str">
        <f t="shared" si="7"/>
        <v/>
      </c>
      <c r="H95" s="39" t="s">
        <v>136</v>
      </c>
      <c r="I95" s="81"/>
      <c r="J95" s="82" t="str">
        <f>IF(AND(A95&lt;&gt;"",E95&lt;&gt;""),IF(I95="","⚠️ Enter Code",IF(IFERROR(VLOOKUP(H95,DB_Agents!$B:$I,8,0),"")=I95,IF(C95&gt;=E95,"Successful","Unsuccessful"),"🔒 BLOCKED — Wrong Code")),"Pending")</f>
        <v>Pending</v>
      </c>
      <c r="K95" s="83" t="str">
        <f t="shared" ca="1" si="8"/>
        <v>—</v>
      </c>
      <c r="L95" s="84"/>
    </row>
    <row r="96" spans="1:12" ht="15" customHeight="1" x14ac:dyDescent="0.25">
      <c r="A96" s="85"/>
      <c r="B96" s="41" t="str">
        <f>IF(A96="","",IFERROR(VLOOKUP(A96,DB_Customers!$A:$D,4,0),"❌ Account Not Found"))</f>
        <v/>
      </c>
      <c r="C96" s="86" t="str">
        <f>IF(A96="","",IFERROR(VLOOKUP(A96,DB_Customers!$A:$N,14,0),"❌ Acct Not Found"))</f>
        <v/>
      </c>
      <c r="D96" s="87" t="str">
        <f t="shared" ca="1" si="6"/>
        <v/>
      </c>
      <c r="E96" s="94"/>
      <c r="F96" s="41"/>
      <c r="G96" s="96" t="str">
        <f t="shared" si="7"/>
        <v/>
      </c>
      <c r="H96" s="43" t="s">
        <v>136</v>
      </c>
      <c r="I96" s="81"/>
      <c r="J96" s="89" t="str">
        <f>IF(AND(A96&lt;&gt;"",E96&lt;&gt;""),IF(I96="","⚠️ Enter Code",IF(IFERROR(VLOOKUP(H96,DB_Agents!$B:$I,8,0),"")=I96,IF(C96&gt;=E96,"Successful","Unsuccessful"),"🔒 BLOCKED — Wrong Code")),"Pending")</f>
        <v>Pending</v>
      </c>
      <c r="K96" s="90" t="str">
        <f t="shared" ca="1" si="8"/>
        <v>—</v>
      </c>
      <c r="L96" s="91"/>
    </row>
    <row r="97" spans="1:12" ht="15" customHeight="1" x14ac:dyDescent="0.25">
      <c r="A97" s="76"/>
      <c r="B97" s="37" t="str">
        <f>IF(A97="","",IFERROR(VLOOKUP(A97,DB_Customers!$A:$D,4,0),"❌ Account Not Found"))</f>
        <v/>
      </c>
      <c r="C97" s="77" t="str">
        <f>IF(A97="","",IFERROR(VLOOKUP(A97,DB_Customers!$A:$N,14,0),"❌ Acct Not Found"))</f>
        <v/>
      </c>
      <c r="D97" s="78" t="str">
        <f t="shared" ca="1" si="6"/>
        <v/>
      </c>
      <c r="E97" s="94"/>
      <c r="F97" s="37"/>
      <c r="G97" s="95" t="str">
        <f t="shared" si="7"/>
        <v/>
      </c>
      <c r="H97" s="39" t="s">
        <v>136</v>
      </c>
      <c r="I97" s="81"/>
      <c r="J97" s="82" t="str">
        <f>IF(AND(A97&lt;&gt;"",E97&lt;&gt;""),IF(I97="","⚠️ Enter Code",IF(IFERROR(VLOOKUP(H97,DB_Agents!$B:$I,8,0),"")=I97,IF(C97&gt;=E97,"Successful","Unsuccessful"),"🔒 BLOCKED — Wrong Code")),"Pending")</f>
        <v>Pending</v>
      </c>
      <c r="K97" s="83" t="str">
        <f t="shared" ca="1" si="8"/>
        <v>—</v>
      </c>
      <c r="L97" s="84"/>
    </row>
    <row r="98" spans="1:12" ht="15" customHeight="1" x14ac:dyDescent="0.25">
      <c r="A98" s="85"/>
      <c r="B98" s="41" t="str">
        <f>IF(A98="","",IFERROR(VLOOKUP(A98,DB_Customers!$A:$D,4,0),"❌ Account Not Found"))</f>
        <v/>
      </c>
      <c r="C98" s="86" t="str">
        <f>IF(A98="","",IFERROR(VLOOKUP(A98,DB_Customers!$A:$N,14,0),"❌ Acct Not Found"))</f>
        <v/>
      </c>
      <c r="D98" s="87" t="str">
        <f t="shared" ca="1" si="6"/>
        <v/>
      </c>
      <c r="E98" s="94"/>
      <c r="F98" s="41"/>
      <c r="G98" s="96" t="str">
        <f t="shared" si="7"/>
        <v/>
      </c>
      <c r="H98" s="43" t="s">
        <v>136</v>
      </c>
      <c r="I98" s="81"/>
      <c r="J98" s="89" t="str">
        <f>IF(AND(A98&lt;&gt;"",E98&lt;&gt;""),IF(I98="","⚠️ Enter Code",IF(IFERROR(VLOOKUP(H98,DB_Agents!$B:$I,8,0),"")=I98,IF(C98&gt;=E98,"Successful","Unsuccessful"),"🔒 BLOCKED — Wrong Code")),"Pending")</f>
        <v>Pending</v>
      </c>
      <c r="K98" s="90" t="str">
        <f t="shared" ca="1" si="8"/>
        <v>—</v>
      </c>
      <c r="L98" s="91"/>
    </row>
    <row r="99" spans="1:12" ht="15" customHeight="1" x14ac:dyDescent="0.25">
      <c r="A99" s="76"/>
      <c r="B99" s="37" t="str">
        <f>IF(A99="","",IFERROR(VLOOKUP(A99,DB_Customers!$A:$D,4,0),"❌ Account Not Found"))</f>
        <v/>
      </c>
      <c r="C99" s="77" t="str">
        <f>IF(A99="","",IFERROR(VLOOKUP(A99,DB_Customers!$A:$N,14,0),"❌ Acct Not Found"))</f>
        <v/>
      </c>
      <c r="D99" s="78" t="str">
        <f t="shared" ca="1" si="6"/>
        <v/>
      </c>
      <c r="E99" s="94"/>
      <c r="F99" s="37"/>
      <c r="G99" s="95" t="str">
        <f t="shared" si="7"/>
        <v/>
      </c>
      <c r="H99" s="39" t="s">
        <v>136</v>
      </c>
      <c r="I99" s="81"/>
      <c r="J99" s="82" t="str">
        <f>IF(AND(A99&lt;&gt;"",E99&lt;&gt;""),IF(I99="","⚠️ Enter Code",IF(IFERROR(VLOOKUP(H99,DB_Agents!$B:$I,8,0),"")=I99,IF(C99&gt;=E99,"Successful","Unsuccessful"),"🔒 BLOCKED — Wrong Code")),"Pending")</f>
        <v>Pending</v>
      </c>
      <c r="K99" s="83" t="str">
        <f t="shared" ca="1" si="8"/>
        <v>—</v>
      </c>
      <c r="L99" s="84"/>
    </row>
    <row r="100" spans="1:12" ht="15" customHeight="1" x14ac:dyDescent="0.25">
      <c r="A100" s="85"/>
      <c r="B100" s="41" t="str">
        <f>IF(A100="","",IFERROR(VLOOKUP(A100,DB_Customers!$A:$D,4,0),"❌ Account Not Found"))</f>
        <v/>
      </c>
      <c r="C100" s="86" t="str">
        <f>IF(A100="","",IFERROR(VLOOKUP(A100,DB_Customers!$A:$N,14,0),"❌ Acct Not Found"))</f>
        <v/>
      </c>
      <c r="D100" s="87" t="str">
        <f t="shared" ca="1" si="6"/>
        <v/>
      </c>
      <c r="E100" s="94"/>
      <c r="F100" s="41"/>
      <c r="G100" s="96" t="str">
        <f t="shared" si="7"/>
        <v/>
      </c>
      <c r="H100" s="43" t="s">
        <v>136</v>
      </c>
      <c r="I100" s="81"/>
      <c r="J100" s="89" t="str">
        <f>IF(AND(A100&lt;&gt;"",E100&lt;&gt;""),IF(I100="","⚠️ Enter Code",IF(IFERROR(VLOOKUP(H100,DB_Agents!$B:$I,8,0),"")=I100,IF(C100&gt;=E100,"Successful","Unsuccessful"),"🔒 BLOCKED — Wrong Code")),"Pending")</f>
        <v>Pending</v>
      </c>
      <c r="K100" s="90" t="str">
        <f t="shared" ca="1" si="8"/>
        <v>—</v>
      </c>
      <c r="L100" s="91"/>
    </row>
    <row r="101" spans="1:12" ht="15" customHeight="1" x14ac:dyDescent="0.25">
      <c r="A101" s="76"/>
      <c r="B101" s="37" t="str">
        <f>IF(A101="","",IFERROR(VLOOKUP(A101,DB_Customers!$A:$D,4,0),"❌ Account Not Found"))</f>
        <v/>
      </c>
      <c r="C101" s="77" t="str">
        <f>IF(A101="","",IFERROR(VLOOKUP(A101,DB_Customers!$A:$N,14,0),"❌ Acct Not Found"))</f>
        <v/>
      </c>
      <c r="D101" s="78" t="str">
        <f t="shared" ca="1" si="6"/>
        <v/>
      </c>
      <c r="E101" s="94"/>
      <c r="F101" s="37"/>
      <c r="G101" s="95" t="str">
        <f t="shared" si="7"/>
        <v/>
      </c>
      <c r="H101" s="39" t="s">
        <v>136</v>
      </c>
      <c r="I101" s="81"/>
      <c r="J101" s="82" t="str">
        <f>IF(AND(A101&lt;&gt;"",E101&lt;&gt;""),IF(I101="","⚠️ Enter Code",IF(IFERROR(VLOOKUP(H101,DB_Agents!$B:$I,8,0),"")=I101,IF(C101&gt;=E101,"Successful","Unsuccessful"),"🔒 BLOCKED — Wrong Code")),"Pending")</f>
        <v>Pending</v>
      </c>
      <c r="K101" s="83" t="str">
        <f t="shared" ca="1" si="8"/>
        <v>—</v>
      </c>
      <c r="L101" s="84"/>
    </row>
    <row r="102" spans="1:12" ht="15" customHeight="1" x14ac:dyDescent="0.25">
      <c r="A102" s="85"/>
      <c r="B102" s="41" t="str">
        <f>IF(A102="","",IFERROR(VLOOKUP(A102,DB_Customers!$A:$D,4,0),"❌ Account Not Found"))</f>
        <v/>
      </c>
      <c r="C102" s="86" t="str">
        <f>IF(A102="","",IFERROR(VLOOKUP(A102,DB_Customers!$A:$N,14,0),"❌ Acct Not Found"))</f>
        <v/>
      </c>
      <c r="D102" s="87" t="str">
        <f t="shared" ca="1" si="6"/>
        <v/>
      </c>
      <c r="E102" s="94"/>
      <c r="F102" s="41"/>
      <c r="G102" s="96" t="str">
        <f t="shared" si="7"/>
        <v/>
      </c>
      <c r="H102" s="43" t="s">
        <v>136</v>
      </c>
      <c r="I102" s="81"/>
      <c r="J102" s="89" t="str">
        <f>IF(AND(A102&lt;&gt;"",E102&lt;&gt;""),IF(I102="","⚠️ Enter Code",IF(IFERROR(VLOOKUP(H102,DB_Agents!$B:$I,8,0),"")=I102,IF(C102&gt;=E102,"Successful","Unsuccessful"),"🔒 BLOCKED — Wrong Code")),"Pending")</f>
        <v>Pending</v>
      </c>
      <c r="K102" s="90" t="str">
        <f t="shared" ca="1" si="8"/>
        <v>—</v>
      </c>
      <c r="L102" s="91"/>
    </row>
    <row r="103" spans="1:12" ht="15" customHeight="1" x14ac:dyDescent="0.25">
      <c r="A103" s="76"/>
      <c r="B103" s="37" t="str">
        <f>IF(A103="","",IFERROR(VLOOKUP(A103,DB_Customers!$A:$D,4,0),"❌ Account Not Found"))</f>
        <v/>
      </c>
      <c r="C103" s="77" t="str">
        <f>IF(A103="","",IFERROR(VLOOKUP(A103,DB_Customers!$A:$N,14,0),"❌ Acct Not Found"))</f>
        <v/>
      </c>
      <c r="D103" s="78" t="str">
        <f t="shared" ca="1" si="6"/>
        <v/>
      </c>
      <c r="E103" s="94"/>
      <c r="F103" s="37"/>
      <c r="G103" s="95" t="str">
        <f t="shared" si="7"/>
        <v/>
      </c>
      <c r="H103" s="39" t="s">
        <v>136</v>
      </c>
      <c r="I103" s="81"/>
      <c r="J103" s="82" t="str">
        <f>IF(AND(A103&lt;&gt;"",E103&lt;&gt;""),IF(I103="","⚠️ Enter Code",IF(IFERROR(VLOOKUP(H103,DB_Agents!$B:$I,8,0),"")=I103,IF(C103&gt;=E103,"Successful","Unsuccessful"),"🔒 BLOCKED — Wrong Code")),"Pending")</f>
        <v>Pending</v>
      </c>
      <c r="K103" s="83" t="str">
        <f t="shared" ca="1" si="8"/>
        <v>—</v>
      </c>
      <c r="L103" s="84"/>
    </row>
    <row r="104" spans="1:12" ht="15" customHeight="1" x14ac:dyDescent="0.25">
      <c r="A104" s="85"/>
      <c r="B104" s="41" t="str">
        <f>IF(A104="","",IFERROR(VLOOKUP(A104,DB_Customers!$A:$D,4,0),"❌ Account Not Found"))</f>
        <v/>
      </c>
      <c r="C104" s="86" t="str">
        <f>IF(A104="","",IFERROR(VLOOKUP(A104,DB_Customers!$A:$N,14,0),"❌ Acct Not Found"))</f>
        <v/>
      </c>
      <c r="D104" s="87" t="str">
        <f t="shared" ca="1" si="6"/>
        <v/>
      </c>
      <c r="E104" s="94"/>
      <c r="F104" s="41"/>
      <c r="G104" s="96" t="str">
        <f t="shared" si="7"/>
        <v/>
      </c>
      <c r="H104" s="43" t="s">
        <v>136</v>
      </c>
      <c r="I104" s="81"/>
      <c r="J104" s="89" t="str">
        <f>IF(AND(A104&lt;&gt;"",E104&lt;&gt;""),IF(I104="","⚠️ Enter Code",IF(IFERROR(VLOOKUP(H104,DB_Agents!$B:$I,8,0),"")=I104,IF(C104&gt;=E104,"Successful","Unsuccessful"),"🔒 BLOCKED — Wrong Code")),"Pending")</f>
        <v>Pending</v>
      </c>
      <c r="K104" s="90" t="str">
        <f t="shared" ca="1" si="8"/>
        <v>—</v>
      </c>
      <c r="L104" s="91"/>
    </row>
    <row r="105" spans="1:12" ht="15" customHeight="1" x14ac:dyDescent="0.25">
      <c r="A105" s="76"/>
      <c r="B105" s="37" t="str">
        <f>IF(A105="","",IFERROR(VLOOKUP(A105,DB_Customers!$A:$D,4,0),"❌ Account Not Found"))</f>
        <v/>
      </c>
      <c r="C105" s="77" t="str">
        <f>IF(A105="","",IFERROR(VLOOKUP(A105,DB_Customers!$A:$N,14,0),"❌ Acct Not Found"))</f>
        <v/>
      </c>
      <c r="D105" s="78" t="str">
        <f t="shared" ref="D105:D136" ca="1" si="9">IF(A105="","",TODAY())</f>
        <v/>
      </c>
      <c r="E105" s="94"/>
      <c r="F105" s="37"/>
      <c r="G105" s="95" t="str">
        <f t="shared" ref="G105:G136" si="10">IF(OR(A105="",E105=""),"",IF(C105="","",C105-E105))</f>
        <v/>
      </c>
      <c r="H105" s="39" t="s">
        <v>136</v>
      </c>
      <c r="I105" s="81"/>
      <c r="J105" s="82" t="str">
        <f>IF(AND(A105&lt;&gt;"",E105&lt;&gt;""),IF(I105="","⚠️ Enter Code",IF(IFERROR(VLOOKUP(H105,DB_Agents!$B:$I,8,0),"")=I105,IF(C105&gt;=E105,"Successful","Unsuccessful"),"🔒 BLOCKED — Wrong Code")),"Pending")</f>
        <v>Pending</v>
      </c>
      <c r="K105" s="83" t="str">
        <f t="shared" ref="K105:K136" ca="1" si="11">IF(J105="Successful",TEXT(TODAY(),"YYYY-MM-DD")&amp;" Auto","—")</f>
        <v>—</v>
      </c>
      <c r="L105" s="84"/>
    </row>
    <row r="106" spans="1:12" ht="15" customHeight="1" x14ac:dyDescent="0.25">
      <c r="A106" s="85"/>
      <c r="B106" s="41" t="str">
        <f>IF(A106="","",IFERROR(VLOOKUP(A106,DB_Customers!$A:$D,4,0),"❌ Account Not Found"))</f>
        <v/>
      </c>
      <c r="C106" s="86" t="str">
        <f>IF(A106="","",IFERROR(VLOOKUP(A106,DB_Customers!$A:$N,14,0),"❌ Acct Not Found"))</f>
        <v/>
      </c>
      <c r="D106" s="87" t="str">
        <f t="shared" ca="1" si="9"/>
        <v/>
      </c>
      <c r="E106" s="94"/>
      <c r="F106" s="41"/>
      <c r="G106" s="96" t="str">
        <f t="shared" si="10"/>
        <v/>
      </c>
      <c r="H106" s="43" t="s">
        <v>136</v>
      </c>
      <c r="I106" s="81"/>
      <c r="J106" s="89" t="str">
        <f>IF(AND(A106&lt;&gt;"",E106&lt;&gt;""),IF(I106="","⚠️ Enter Code",IF(IFERROR(VLOOKUP(H106,DB_Agents!$B:$I,8,0),"")=I106,IF(C106&gt;=E106,"Successful","Unsuccessful"),"🔒 BLOCKED — Wrong Code")),"Pending")</f>
        <v>Pending</v>
      </c>
      <c r="K106" s="90" t="str">
        <f t="shared" ca="1" si="11"/>
        <v>—</v>
      </c>
      <c r="L106" s="91"/>
    </row>
    <row r="107" spans="1:12" ht="15" customHeight="1" x14ac:dyDescent="0.25">
      <c r="A107" s="76"/>
      <c r="B107" s="37" t="str">
        <f>IF(A107="","",IFERROR(VLOOKUP(A107,DB_Customers!$A:$D,4,0),"❌ Account Not Found"))</f>
        <v/>
      </c>
      <c r="C107" s="77" t="str">
        <f>IF(A107="","",IFERROR(VLOOKUP(A107,DB_Customers!$A:$N,14,0),"❌ Acct Not Found"))</f>
        <v/>
      </c>
      <c r="D107" s="78" t="str">
        <f t="shared" ca="1" si="9"/>
        <v/>
      </c>
      <c r="E107" s="94"/>
      <c r="F107" s="37"/>
      <c r="G107" s="95" t="str">
        <f t="shared" si="10"/>
        <v/>
      </c>
      <c r="H107" s="39" t="s">
        <v>136</v>
      </c>
      <c r="I107" s="81"/>
      <c r="J107" s="82" t="str">
        <f>IF(AND(A107&lt;&gt;"",E107&lt;&gt;""),IF(I107="","⚠️ Enter Code",IF(IFERROR(VLOOKUP(H107,DB_Agents!$B:$I,8,0),"")=I107,IF(C107&gt;=E107,"Successful","Unsuccessful"),"🔒 BLOCKED — Wrong Code")),"Pending")</f>
        <v>Pending</v>
      </c>
      <c r="K107" s="83" t="str">
        <f t="shared" ca="1" si="11"/>
        <v>—</v>
      </c>
      <c r="L107" s="84"/>
    </row>
    <row r="108" spans="1:12" ht="15" customHeight="1" x14ac:dyDescent="0.25">
      <c r="A108" s="85"/>
      <c r="B108" s="41" t="str">
        <f>IF(A108="","",IFERROR(VLOOKUP(A108,DB_Customers!$A:$D,4,0),"❌ Account Not Found"))</f>
        <v/>
      </c>
      <c r="C108" s="86" t="str">
        <f>IF(A108="","",IFERROR(VLOOKUP(A108,DB_Customers!$A:$N,14,0),"❌ Acct Not Found"))</f>
        <v/>
      </c>
      <c r="D108" s="87" t="str">
        <f t="shared" ca="1" si="9"/>
        <v/>
      </c>
      <c r="E108" s="94"/>
      <c r="F108" s="41"/>
      <c r="G108" s="96" t="str">
        <f t="shared" si="10"/>
        <v/>
      </c>
      <c r="H108" s="43" t="s">
        <v>136</v>
      </c>
      <c r="I108" s="81"/>
      <c r="J108" s="89" t="str">
        <f>IF(AND(A108&lt;&gt;"",E108&lt;&gt;""),IF(I108="","⚠️ Enter Code",IF(IFERROR(VLOOKUP(H108,DB_Agents!$B:$I,8,0),"")=I108,IF(C108&gt;=E108,"Successful","Unsuccessful"),"🔒 BLOCKED — Wrong Code")),"Pending")</f>
        <v>Pending</v>
      </c>
      <c r="K108" s="90" t="str">
        <f t="shared" ca="1" si="11"/>
        <v>—</v>
      </c>
      <c r="L108" s="91"/>
    </row>
    <row r="109" spans="1:12" ht="15" customHeight="1" x14ac:dyDescent="0.25">
      <c r="A109" s="76"/>
      <c r="B109" s="37" t="str">
        <f>IF(A109="","",IFERROR(VLOOKUP(A109,DB_Customers!$A:$D,4,0),"❌ Account Not Found"))</f>
        <v/>
      </c>
      <c r="C109" s="77" t="str">
        <f>IF(A109="","",IFERROR(VLOOKUP(A109,DB_Customers!$A:$N,14,0),"❌ Acct Not Found"))</f>
        <v/>
      </c>
      <c r="D109" s="78" t="str">
        <f t="shared" ca="1" si="9"/>
        <v/>
      </c>
      <c r="E109" s="94"/>
      <c r="F109" s="37"/>
      <c r="G109" s="95" t="str">
        <f t="shared" si="10"/>
        <v/>
      </c>
      <c r="H109" s="39" t="s">
        <v>136</v>
      </c>
      <c r="I109" s="81"/>
      <c r="J109" s="82" t="str">
        <f>IF(AND(A109&lt;&gt;"",E109&lt;&gt;""),IF(I109="","⚠️ Enter Code",IF(IFERROR(VLOOKUP(H109,DB_Agents!$B:$I,8,0),"")=I109,IF(C109&gt;=E109,"Successful","Unsuccessful"),"🔒 BLOCKED — Wrong Code")),"Pending")</f>
        <v>Pending</v>
      </c>
      <c r="K109" s="83" t="str">
        <f t="shared" ca="1" si="11"/>
        <v>—</v>
      </c>
      <c r="L109" s="84"/>
    </row>
    <row r="110" spans="1:12" ht="15" customHeight="1" x14ac:dyDescent="0.25">
      <c r="A110" s="85"/>
      <c r="B110" s="41" t="str">
        <f>IF(A110="","",IFERROR(VLOOKUP(A110,DB_Customers!$A:$D,4,0),"❌ Account Not Found"))</f>
        <v/>
      </c>
      <c r="C110" s="86" t="str">
        <f>IF(A110="","",IFERROR(VLOOKUP(A110,DB_Customers!$A:$N,14,0),"❌ Acct Not Found"))</f>
        <v/>
      </c>
      <c r="D110" s="87" t="str">
        <f t="shared" ca="1" si="9"/>
        <v/>
      </c>
      <c r="E110" s="94"/>
      <c r="F110" s="41"/>
      <c r="G110" s="96" t="str">
        <f t="shared" si="10"/>
        <v/>
      </c>
      <c r="H110" s="43" t="s">
        <v>136</v>
      </c>
      <c r="I110" s="81"/>
      <c r="J110" s="89" t="str">
        <f>IF(AND(A110&lt;&gt;"",E110&lt;&gt;""),IF(I110="","⚠️ Enter Code",IF(IFERROR(VLOOKUP(H110,DB_Agents!$B:$I,8,0),"")=I110,IF(C110&gt;=E110,"Successful","Unsuccessful"),"🔒 BLOCKED — Wrong Code")),"Pending")</f>
        <v>Pending</v>
      </c>
      <c r="K110" s="90" t="str">
        <f t="shared" ca="1" si="11"/>
        <v>—</v>
      </c>
      <c r="L110" s="91"/>
    </row>
    <row r="111" spans="1:12" ht="15" customHeight="1" x14ac:dyDescent="0.25">
      <c r="A111" s="76"/>
      <c r="B111" s="37" t="str">
        <f>IF(A111="","",IFERROR(VLOOKUP(A111,DB_Customers!$A:$D,4,0),"❌ Account Not Found"))</f>
        <v/>
      </c>
      <c r="C111" s="77" t="str">
        <f>IF(A111="","",IFERROR(VLOOKUP(A111,DB_Customers!$A:$N,14,0),"❌ Acct Not Found"))</f>
        <v/>
      </c>
      <c r="D111" s="78" t="str">
        <f t="shared" ca="1" si="9"/>
        <v/>
      </c>
      <c r="E111" s="94"/>
      <c r="F111" s="37"/>
      <c r="G111" s="95" t="str">
        <f t="shared" si="10"/>
        <v/>
      </c>
      <c r="H111" s="39" t="s">
        <v>136</v>
      </c>
      <c r="I111" s="81"/>
      <c r="J111" s="82" t="str">
        <f>IF(AND(A111&lt;&gt;"",E111&lt;&gt;""),IF(I111="","⚠️ Enter Code",IF(IFERROR(VLOOKUP(H111,DB_Agents!$B:$I,8,0),"")=I111,IF(C111&gt;=E111,"Successful","Unsuccessful"),"🔒 BLOCKED — Wrong Code")),"Pending")</f>
        <v>Pending</v>
      </c>
      <c r="K111" s="83" t="str">
        <f t="shared" ca="1" si="11"/>
        <v>—</v>
      </c>
      <c r="L111" s="84"/>
    </row>
    <row r="112" spans="1:12" ht="15" customHeight="1" x14ac:dyDescent="0.25">
      <c r="A112" s="85"/>
      <c r="B112" s="41" t="str">
        <f>IF(A112="","",IFERROR(VLOOKUP(A112,DB_Customers!$A:$D,4,0),"❌ Account Not Found"))</f>
        <v/>
      </c>
      <c r="C112" s="86" t="str">
        <f>IF(A112="","",IFERROR(VLOOKUP(A112,DB_Customers!$A:$N,14,0),"❌ Acct Not Found"))</f>
        <v/>
      </c>
      <c r="D112" s="87" t="str">
        <f t="shared" ca="1" si="9"/>
        <v/>
      </c>
      <c r="E112" s="94"/>
      <c r="F112" s="41"/>
      <c r="G112" s="96" t="str">
        <f t="shared" si="10"/>
        <v/>
      </c>
      <c r="H112" s="43" t="s">
        <v>136</v>
      </c>
      <c r="I112" s="81"/>
      <c r="J112" s="89" t="str">
        <f>IF(AND(A112&lt;&gt;"",E112&lt;&gt;""),IF(I112="","⚠️ Enter Code",IF(IFERROR(VLOOKUP(H112,DB_Agents!$B:$I,8,0),"")=I112,IF(C112&gt;=E112,"Successful","Unsuccessful"),"🔒 BLOCKED — Wrong Code")),"Pending")</f>
        <v>Pending</v>
      </c>
      <c r="K112" s="90" t="str">
        <f t="shared" ca="1" si="11"/>
        <v>—</v>
      </c>
      <c r="L112" s="91"/>
    </row>
    <row r="113" spans="1:12" ht="15" customHeight="1" x14ac:dyDescent="0.25">
      <c r="A113" s="76"/>
      <c r="B113" s="37" t="str">
        <f>IF(A113="","",IFERROR(VLOOKUP(A113,DB_Customers!$A:$D,4,0),"❌ Account Not Found"))</f>
        <v/>
      </c>
      <c r="C113" s="77" t="str">
        <f>IF(A113="","",IFERROR(VLOOKUP(A113,DB_Customers!$A:$N,14,0),"❌ Acct Not Found"))</f>
        <v/>
      </c>
      <c r="D113" s="78" t="str">
        <f t="shared" ca="1" si="9"/>
        <v/>
      </c>
      <c r="E113" s="94"/>
      <c r="F113" s="37"/>
      <c r="G113" s="95" t="str">
        <f t="shared" si="10"/>
        <v/>
      </c>
      <c r="H113" s="39" t="s">
        <v>136</v>
      </c>
      <c r="I113" s="81"/>
      <c r="J113" s="82" t="str">
        <f>IF(AND(A113&lt;&gt;"",E113&lt;&gt;""),IF(I113="","⚠️ Enter Code",IF(IFERROR(VLOOKUP(H113,DB_Agents!$B:$I,8,0),"")=I113,IF(C113&gt;=E113,"Successful","Unsuccessful"),"🔒 BLOCKED — Wrong Code")),"Pending")</f>
        <v>Pending</v>
      </c>
      <c r="K113" s="83" t="str">
        <f t="shared" ca="1" si="11"/>
        <v>—</v>
      </c>
      <c r="L113" s="84"/>
    </row>
    <row r="114" spans="1:12" ht="15" customHeight="1" x14ac:dyDescent="0.25">
      <c r="A114" s="85"/>
      <c r="B114" s="41" t="str">
        <f>IF(A114="","",IFERROR(VLOOKUP(A114,DB_Customers!$A:$D,4,0),"❌ Account Not Found"))</f>
        <v/>
      </c>
      <c r="C114" s="86" t="str">
        <f>IF(A114="","",IFERROR(VLOOKUP(A114,DB_Customers!$A:$N,14,0),"❌ Acct Not Found"))</f>
        <v/>
      </c>
      <c r="D114" s="87" t="str">
        <f t="shared" ca="1" si="9"/>
        <v/>
      </c>
      <c r="E114" s="94"/>
      <c r="F114" s="41"/>
      <c r="G114" s="96" t="str">
        <f t="shared" si="10"/>
        <v/>
      </c>
      <c r="H114" s="43" t="s">
        <v>136</v>
      </c>
      <c r="I114" s="81"/>
      <c r="J114" s="89" t="str">
        <f>IF(AND(A114&lt;&gt;"",E114&lt;&gt;""),IF(I114="","⚠️ Enter Code",IF(IFERROR(VLOOKUP(H114,DB_Agents!$B:$I,8,0),"")=I114,IF(C114&gt;=E114,"Successful","Unsuccessful"),"🔒 BLOCKED — Wrong Code")),"Pending")</f>
        <v>Pending</v>
      </c>
      <c r="K114" s="90" t="str">
        <f t="shared" ca="1" si="11"/>
        <v>—</v>
      </c>
      <c r="L114" s="91"/>
    </row>
    <row r="115" spans="1:12" ht="15" customHeight="1" x14ac:dyDescent="0.25">
      <c r="A115" s="76"/>
      <c r="B115" s="37" t="str">
        <f>IF(A115="","",IFERROR(VLOOKUP(A115,DB_Customers!$A:$D,4,0),"❌ Account Not Found"))</f>
        <v/>
      </c>
      <c r="C115" s="77" t="str">
        <f>IF(A115="","",IFERROR(VLOOKUP(A115,DB_Customers!$A:$N,14,0),"❌ Acct Not Found"))</f>
        <v/>
      </c>
      <c r="D115" s="78" t="str">
        <f t="shared" ca="1" si="9"/>
        <v/>
      </c>
      <c r="E115" s="94"/>
      <c r="F115" s="37"/>
      <c r="G115" s="95" t="str">
        <f t="shared" si="10"/>
        <v/>
      </c>
      <c r="H115" s="39" t="s">
        <v>136</v>
      </c>
      <c r="I115" s="81"/>
      <c r="J115" s="82" t="str">
        <f>IF(AND(A115&lt;&gt;"",E115&lt;&gt;""),IF(I115="","⚠️ Enter Code",IF(IFERROR(VLOOKUP(H115,DB_Agents!$B:$I,8,0),"")=I115,IF(C115&gt;=E115,"Successful","Unsuccessful"),"🔒 BLOCKED — Wrong Code")),"Pending")</f>
        <v>Pending</v>
      </c>
      <c r="K115" s="83" t="str">
        <f t="shared" ca="1" si="11"/>
        <v>—</v>
      </c>
      <c r="L115" s="84"/>
    </row>
    <row r="116" spans="1:12" ht="15" customHeight="1" x14ac:dyDescent="0.25">
      <c r="A116" s="85"/>
      <c r="B116" s="41" t="str">
        <f>IF(A116="","",IFERROR(VLOOKUP(A116,DB_Customers!$A:$D,4,0),"❌ Account Not Found"))</f>
        <v/>
      </c>
      <c r="C116" s="86" t="str">
        <f>IF(A116="","",IFERROR(VLOOKUP(A116,DB_Customers!$A:$N,14,0),"❌ Acct Not Found"))</f>
        <v/>
      </c>
      <c r="D116" s="87" t="str">
        <f t="shared" ca="1" si="9"/>
        <v/>
      </c>
      <c r="E116" s="94"/>
      <c r="F116" s="41"/>
      <c r="G116" s="96" t="str">
        <f t="shared" si="10"/>
        <v/>
      </c>
      <c r="H116" s="43" t="s">
        <v>136</v>
      </c>
      <c r="I116" s="81"/>
      <c r="J116" s="89" t="str">
        <f>IF(AND(A116&lt;&gt;"",E116&lt;&gt;""),IF(I116="","⚠️ Enter Code",IF(IFERROR(VLOOKUP(H116,DB_Agents!$B:$I,8,0),"")=I116,IF(C116&gt;=E116,"Successful","Unsuccessful"),"🔒 BLOCKED — Wrong Code")),"Pending")</f>
        <v>Pending</v>
      </c>
      <c r="K116" s="90" t="str">
        <f t="shared" ca="1" si="11"/>
        <v>—</v>
      </c>
      <c r="L116" s="91"/>
    </row>
    <row r="117" spans="1:12" ht="15" customHeight="1" x14ac:dyDescent="0.25">
      <c r="A117" s="76"/>
      <c r="B117" s="37" t="str">
        <f>IF(A117="","",IFERROR(VLOOKUP(A117,DB_Customers!$A:$D,4,0),"❌ Account Not Found"))</f>
        <v/>
      </c>
      <c r="C117" s="77" t="str">
        <f>IF(A117="","",IFERROR(VLOOKUP(A117,DB_Customers!$A:$N,14,0),"❌ Acct Not Found"))</f>
        <v/>
      </c>
      <c r="D117" s="78" t="str">
        <f t="shared" ca="1" si="9"/>
        <v/>
      </c>
      <c r="E117" s="94"/>
      <c r="F117" s="37"/>
      <c r="G117" s="95" t="str">
        <f t="shared" si="10"/>
        <v/>
      </c>
      <c r="H117" s="39" t="s">
        <v>136</v>
      </c>
      <c r="I117" s="81"/>
      <c r="J117" s="82" t="str">
        <f>IF(AND(A117&lt;&gt;"",E117&lt;&gt;""),IF(I117="","⚠️ Enter Code",IF(IFERROR(VLOOKUP(H117,DB_Agents!$B:$I,8,0),"")=I117,IF(C117&gt;=E117,"Successful","Unsuccessful"),"🔒 BLOCKED — Wrong Code")),"Pending")</f>
        <v>Pending</v>
      </c>
      <c r="K117" s="83" t="str">
        <f t="shared" ca="1" si="11"/>
        <v>—</v>
      </c>
      <c r="L117" s="84"/>
    </row>
    <row r="118" spans="1:12" ht="15" customHeight="1" x14ac:dyDescent="0.25">
      <c r="A118" s="85"/>
      <c r="B118" s="41" t="str">
        <f>IF(A118="","",IFERROR(VLOOKUP(A118,DB_Customers!$A:$D,4,0),"❌ Account Not Found"))</f>
        <v/>
      </c>
      <c r="C118" s="86" t="str">
        <f>IF(A118="","",IFERROR(VLOOKUP(A118,DB_Customers!$A:$N,14,0),"❌ Acct Not Found"))</f>
        <v/>
      </c>
      <c r="D118" s="87" t="str">
        <f t="shared" ca="1" si="9"/>
        <v/>
      </c>
      <c r="E118" s="94"/>
      <c r="F118" s="41"/>
      <c r="G118" s="96" t="str">
        <f t="shared" si="10"/>
        <v/>
      </c>
      <c r="H118" s="43" t="s">
        <v>136</v>
      </c>
      <c r="I118" s="81"/>
      <c r="J118" s="89" t="str">
        <f>IF(AND(A118&lt;&gt;"",E118&lt;&gt;""),IF(I118="","⚠️ Enter Code",IF(IFERROR(VLOOKUP(H118,DB_Agents!$B:$I,8,0),"")=I118,IF(C118&gt;=E118,"Successful","Unsuccessful"),"🔒 BLOCKED — Wrong Code")),"Pending")</f>
        <v>Pending</v>
      </c>
      <c r="K118" s="90" t="str">
        <f t="shared" ca="1" si="11"/>
        <v>—</v>
      </c>
      <c r="L118" s="91"/>
    </row>
    <row r="119" spans="1:12" ht="15" customHeight="1" x14ac:dyDescent="0.25">
      <c r="A119" s="76"/>
      <c r="B119" s="37" t="str">
        <f>IF(A119="","",IFERROR(VLOOKUP(A119,DB_Customers!$A:$D,4,0),"❌ Account Not Found"))</f>
        <v/>
      </c>
      <c r="C119" s="77" t="str">
        <f>IF(A119="","",IFERROR(VLOOKUP(A119,DB_Customers!$A:$N,14,0),"❌ Acct Not Found"))</f>
        <v/>
      </c>
      <c r="D119" s="78" t="str">
        <f t="shared" ca="1" si="9"/>
        <v/>
      </c>
      <c r="E119" s="94"/>
      <c r="F119" s="37"/>
      <c r="G119" s="95" t="str">
        <f t="shared" si="10"/>
        <v/>
      </c>
      <c r="H119" s="39" t="s">
        <v>136</v>
      </c>
      <c r="I119" s="81"/>
      <c r="J119" s="82" t="str">
        <f>IF(AND(A119&lt;&gt;"",E119&lt;&gt;""),IF(I119="","⚠️ Enter Code",IF(IFERROR(VLOOKUP(H119,DB_Agents!$B:$I,8,0),"")=I119,IF(C119&gt;=E119,"Successful","Unsuccessful"),"🔒 BLOCKED — Wrong Code")),"Pending")</f>
        <v>Pending</v>
      </c>
      <c r="K119" s="83" t="str">
        <f t="shared" ca="1" si="11"/>
        <v>—</v>
      </c>
      <c r="L119" s="84"/>
    </row>
    <row r="120" spans="1:12" ht="15" customHeight="1" x14ac:dyDescent="0.25">
      <c r="A120" s="85"/>
      <c r="B120" s="41" t="str">
        <f>IF(A120="","",IFERROR(VLOOKUP(A120,DB_Customers!$A:$D,4,0),"❌ Account Not Found"))</f>
        <v/>
      </c>
      <c r="C120" s="86" t="str">
        <f>IF(A120="","",IFERROR(VLOOKUP(A120,DB_Customers!$A:$N,14,0),"❌ Acct Not Found"))</f>
        <v/>
      </c>
      <c r="D120" s="87" t="str">
        <f t="shared" ca="1" si="9"/>
        <v/>
      </c>
      <c r="E120" s="94"/>
      <c r="F120" s="41"/>
      <c r="G120" s="96" t="str">
        <f t="shared" si="10"/>
        <v/>
      </c>
      <c r="H120" s="43" t="s">
        <v>136</v>
      </c>
      <c r="I120" s="81"/>
      <c r="J120" s="89" t="str">
        <f>IF(AND(A120&lt;&gt;"",E120&lt;&gt;""),IF(I120="","⚠️ Enter Code",IF(IFERROR(VLOOKUP(H120,DB_Agents!$B:$I,8,0),"")=I120,IF(C120&gt;=E120,"Successful","Unsuccessful"),"🔒 BLOCKED — Wrong Code")),"Pending")</f>
        <v>Pending</v>
      </c>
      <c r="K120" s="90" t="str">
        <f t="shared" ca="1" si="11"/>
        <v>—</v>
      </c>
      <c r="L120" s="91"/>
    </row>
    <row r="121" spans="1:12" ht="15" customHeight="1" x14ac:dyDescent="0.25">
      <c r="A121" s="76"/>
      <c r="B121" s="37" t="str">
        <f>IF(A121="","",IFERROR(VLOOKUP(A121,DB_Customers!$A:$D,4,0),"❌ Account Not Found"))</f>
        <v/>
      </c>
      <c r="C121" s="77" t="str">
        <f>IF(A121="","",IFERROR(VLOOKUP(A121,DB_Customers!$A:$N,14,0),"❌ Acct Not Found"))</f>
        <v/>
      </c>
      <c r="D121" s="78" t="str">
        <f t="shared" ca="1" si="9"/>
        <v/>
      </c>
      <c r="E121" s="94"/>
      <c r="F121" s="37"/>
      <c r="G121" s="95" t="str">
        <f t="shared" si="10"/>
        <v/>
      </c>
      <c r="H121" s="39" t="s">
        <v>136</v>
      </c>
      <c r="I121" s="81"/>
      <c r="J121" s="82" t="str">
        <f>IF(AND(A121&lt;&gt;"",E121&lt;&gt;""),IF(I121="","⚠️ Enter Code",IF(IFERROR(VLOOKUP(H121,DB_Agents!$B:$I,8,0),"")=I121,IF(C121&gt;=E121,"Successful","Unsuccessful"),"🔒 BLOCKED — Wrong Code")),"Pending")</f>
        <v>Pending</v>
      </c>
      <c r="K121" s="83" t="str">
        <f t="shared" ca="1" si="11"/>
        <v>—</v>
      </c>
      <c r="L121" s="84"/>
    </row>
    <row r="122" spans="1:12" ht="15" customHeight="1" x14ac:dyDescent="0.25">
      <c r="A122" s="85"/>
      <c r="B122" s="41" t="str">
        <f>IF(A122="","",IFERROR(VLOOKUP(A122,DB_Customers!$A:$D,4,0),"❌ Account Not Found"))</f>
        <v/>
      </c>
      <c r="C122" s="86" t="str">
        <f>IF(A122="","",IFERROR(VLOOKUP(A122,DB_Customers!$A:$N,14,0),"❌ Acct Not Found"))</f>
        <v/>
      </c>
      <c r="D122" s="87" t="str">
        <f t="shared" ca="1" si="9"/>
        <v/>
      </c>
      <c r="E122" s="94"/>
      <c r="F122" s="41"/>
      <c r="G122" s="96" t="str">
        <f t="shared" si="10"/>
        <v/>
      </c>
      <c r="H122" s="43" t="s">
        <v>136</v>
      </c>
      <c r="I122" s="81"/>
      <c r="J122" s="89" t="str">
        <f>IF(AND(A122&lt;&gt;"",E122&lt;&gt;""),IF(I122="","⚠️ Enter Code",IF(IFERROR(VLOOKUP(H122,DB_Agents!$B:$I,8,0),"")=I122,IF(C122&gt;=E122,"Successful","Unsuccessful"),"🔒 BLOCKED — Wrong Code")),"Pending")</f>
        <v>Pending</v>
      </c>
      <c r="K122" s="90" t="str">
        <f t="shared" ca="1" si="11"/>
        <v>—</v>
      </c>
      <c r="L122" s="91"/>
    </row>
    <row r="123" spans="1:12" ht="15" customHeight="1" x14ac:dyDescent="0.25">
      <c r="A123" s="76"/>
      <c r="B123" s="37" t="str">
        <f>IF(A123="","",IFERROR(VLOOKUP(A123,DB_Customers!$A:$D,4,0),"❌ Account Not Found"))</f>
        <v/>
      </c>
      <c r="C123" s="77" t="str">
        <f>IF(A123="","",IFERROR(VLOOKUP(A123,DB_Customers!$A:$N,14,0),"❌ Acct Not Found"))</f>
        <v/>
      </c>
      <c r="D123" s="78" t="str">
        <f t="shared" ca="1" si="9"/>
        <v/>
      </c>
      <c r="E123" s="94"/>
      <c r="F123" s="37"/>
      <c r="G123" s="95" t="str">
        <f t="shared" si="10"/>
        <v/>
      </c>
      <c r="H123" s="39" t="s">
        <v>136</v>
      </c>
      <c r="I123" s="81"/>
      <c r="J123" s="82" t="str">
        <f>IF(AND(A123&lt;&gt;"",E123&lt;&gt;""),IF(I123="","⚠️ Enter Code",IF(IFERROR(VLOOKUP(H123,DB_Agents!$B:$I,8,0),"")=I123,IF(C123&gt;=E123,"Successful","Unsuccessful"),"🔒 BLOCKED — Wrong Code")),"Pending")</f>
        <v>Pending</v>
      </c>
      <c r="K123" s="83" t="str">
        <f t="shared" ca="1" si="11"/>
        <v>—</v>
      </c>
      <c r="L123" s="84"/>
    </row>
    <row r="124" spans="1:12" ht="15" customHeight="1" x14ac:dyDescent="0.25">
      <c r="A124" s="85"/>
      <c r="B124" s="41" t="str">
        <f>IF(A124="","",IFERROR(VLOOKUP(A124,DB_Customers!$A:$D,4,0),"❌ Account Not Found"))</f>
        <v/>
      </c>
      <c r="C124" s="86" t="str">
        <f>IF(A124="","",IFERROR(VLOOKUP(A124,DB_Customers!$A:$N,14,0),"❌ Acct Not Found"))</f>
        <v/>
      </c>
      <c r="D124" s="87" t="str">
        <f t="shared" ca="1" si="9"/>
        <v/>
      </c>
      <c r="E124" s="94"/>
      <c r="F124" s="41"/>
      <c r="G124" s="96" t="str">
        <f t="shared" si="10"/>
        <v/>
      </c>
      <c r="H124" s="43" t="s">
        <v>136</v>
      </c>
      <c r="I124" s="81"/>
      <c r="J124" s="89" t="str">
        <f>IF(AND(A124&lt;&gt;"",E124&lt;&gt;""),IF(I124="","⚠️ Enter Code",IF(IFERROR(VLOOKUP(H124,DB_Agents!$B:$I,8,0),"")=I124,IF(C124&gt;=E124,"Successful","Unsuccessful"),"🔒 BLOCKED — Wrong Code")),"Pending")</f>
        <v>Pending</v>
      </c>
      <c r="K124" s="90" t="str">
        <f t="shared" ca="1" si="11"/>
        <v>—</v>
      </c>
      <c r="L124" s="91"/>
    </row>
    <row r="125" spans="1:12" ht="15" customHeight="1" x14ac:dyDescent="0.25">
      <c r="A125" s="76"/>
      <c r="B125" s="37" t="str">
        <f>IF(A125="","",IFERROR(VLOOKUP(A125,DB_Customers!$A:$D,4,0),"❌ Account Not Found"))</f>
        <v/>
      </c>
      <c r="C125" s="77" t="str">
        <f>IF(A125="","",IFERROR(VLOOKUP(A125,DB_Customers!$A:$N,14,0),"❌ Acct Not Found"))</f>
        <v/>
      </c>
      <c r="D125" s="78" t="str">
        <f t="shared" ca="1" si="9"/>
        <v/>
      </c>
      <c r="E125" s="94"/>
      <c r="F125" s="37"/>
      <c r="G125" s="95" t="str">
        <f t="shared" si="10"/>
        <v/>
      </c>
      <c r="H125" s="39" t="s">
        <v>136</v>
      </c>
      <c r="I125" s="81"/>
      <c r="J125" s="82" t="str">
        <f>IF(AND(A125&lt;&gt;"",E125&lt;&gt;""),IF(I125="","⚠️ Enter Code",IF(IFERROR(VLOOKUP(H125,DB_Agents!$B:$I,8,0),"")=I125,IF(C125&gt;=E125,"Successful","Unsuccessful"),"🔒 BLOCKED — Wrong Code")),"Pending")</f>
        <v>Pending</v>
      </c>
      <c r="K125" s="83" t="str">
        <f t="shared" ca="1" si="11"/>
        <v>—</v>
      </c>
      <c r="L125" s="84"/>
    </row>
    <row r="126" spans="1:12" ht="15" customHeight="1" x14ac:dyDescent="0.25">
      <c r="A126" s="85"/>
      <c r="B126" s="41" t="str">
        <f>IF(A126="","",IFERROR(VLOOKUP(A126,DB_Customers!$A:$D,4,0),"❌ Account Not Found"))</f>
        <v/>
      </c>
      <c r="C126" s="86" t="str">
        <f>IF(A126="","",IFERROR(VLOOKUP(A126,DB_Customers!$A:$N,14,0),"❌ Acct Not Found"))</f>
        <v/>
      </c>
      <c r="D126" s="87" t="str">
        <f t="shared" ca="1" si="9"/>
        <v/>
      </c>
      <c r="E126" s="94"/>
      <c r="F126" s="41"/>
      <c r="G126" s="96" t="str">
        <f t="shared" si="10"/>
        <v/>
      </c>
      <c r="H126" s="43" t="s">
        <v>136</v>
      </c>
      <c r="I126" s="81"/>
      <c r="J126" s="89" t="str">
        <f>IF(AND(A126&lt;&gt;"",E126&lt;&gt;""),IF(I126="","⚠️ Enter Code",IF(IFERROR(VLOOKUP(H126,DB_Agents!$B:$I,8,0),"")=I126,IF(C126&gt;=E126,"Successful","Unsuccessful"),"🔒 BLOCKED — Wrong Code")),"Pending")</f>
        <v>Pending</v>
      </c>
      <c r="K126" s="90" t="str">
        <f t="shared" ca="1" si="11"/>
        <v>—</v>
      </c>
      <c r="L126" s="91"/>
    </row>
    <row r="127" spans="1:12" ht="15" customHeight="1" x14ac:dyDescent="0.25">
      <c r="A127" s="76"/>
      <c r="B127" s="37" t="str">
        <f>IF(A127="","",IFERROR(VLOOKUP(A127,DB_Customers!$A:$D,4,0),"❌ Account Not Found"))</f>
        <v/>
      </c>
      <c r="C127" s="77" t="str">
        <f>IF(A127="","",IFERROR(VLOOKUP(A127,DB_Customers!$A:$N,14,0),"❌ Acct Not Found"))</f>
        <v/>
      </c>
      <c r="D127" s="78" t="str">
        <f t="shared" ca="1" si="9"/>
        <v/>
      </c>
      <c r="E127" s="94"/>
      <c r="F127" s="37"/>
      <c r="G127" s="95" t="str">
        <f t="shared" si="10"/>
        <v/>
      </c>
      <c r="H127" s="39" t="s">
        <v>136</v>
      </c>
      <c r="I127" s="81"/>
      <c r="J127" s="82" t="str">
        <f>IF(AND(A127&lt;&gt;"",E127&lt;&gt;""),IF(I127="","⚠️ Enter Code",IF(IFERROR(VLOOKUP(H127,DB_Agents!$B:$I,8,0),"")=I127,IF(C127&gt;=E127,"Successful","Unsuccessful"),"🔒 BLOCKED — Wrong Code")),"Pending")</f>
        <v>Pending</v>
      </c>
      <c r="K127" s="83" t="str">
        <f t="shared" ca="1" si="11"/>
        <v>—</v>
      </c>
      <c r="L127" s="84"/>
    </row>
    <row r="128" spans="1:12" ht="15" customHeight="1" x14ac:dyDescent="0.25">
      <c r="A128" s="85"/>
      <c r="B128" s="41" t="str">
        <f>IF(A128="","",IFERROR(VLOOKUP(A128,DB_Customers!$A:$D,4,0),"❌ Account Not Found"))</f>
        <v/>
      </c>
      <c r="C128" s="86" t="str">
        <f>IF(A128="","",IFERROR(VLOOKUP(A128,DB_Customers!$A:$N,14,0),"❌ Acct Not Found"))</f>
        <v/>
      </c>
      <c r="D128" s="87" t="str">
        <f t="shared" ca="1" si="9"/>
        <v/>
      </c>
      <c r="E128" s="94"/>
      <c r="F128" s="41"/>
      <c r="G128" s="96" t="str">
        <f t="shared" si="10"/>
        <v/>
      </c>
      <c r="H128" s="43" t="s">
        <v>136</v>
      </c>
      <c r="I128" s="81"/>
      <c r="J128" s="89" t="str">
        <f>IF(AND(A128&lt;&gt;"",E128&lt;&gt;""),IF(I128="","⚠️ Enter Code",IF(IFERROR(VLOOKUP(H128,DB_Agents!$B:$I,8,0),"")=I128,IF(C128&gt;=E128,"Successful","Unsuccessful"),"🔒 BLOCKED — Wrong Code")),"Pending")</f>
        <v>Pending</v>
      </c>
      <c r="K128" s="90" t="str">
        <f t="shared" ca="1" si="11"/>
        <v>—</v>
      </c>
      <c r="L128" s="91"/>
    </row>
    <row r="129" spans="1:12" ht="15" customHeight="1" x14ac:dyDescent="0.25">
      <c r="A129" s="76"/>
      <c r="B129" s="37" t="str">
        <f>IF(A129="","",IFERROR(VLOOKUP(A129,DB_Customers!$A:$D,4,0),"❌ Account Not Found"))</f>
        <v/>
      </c>
      <c r="C129" s="77" t="str">
        <f>IF(A129="","",IFERROR(VLOOKUP(A129,DB_Customers!$A:$N,14,0),"❌ Acct Not Found"))</f>
        <v/>
      </c>
      <c r="D129" s="78" t="str">
        <f t="shared" ca="1" si="9"/>
        <v/>
      </c>
      <c r="E129" s="94"/>
      <c r="F129" s="37"/>
      <c r="G129" s="95" t="str">
        <f t="shared" si="10"/>
        <v/>
      </c>
      <c r="H129" s="39" t="s">
        <v>136</v>
      </c>
      <c r="I129" s="81"/>
      <c r="J129" s="82" t="str">
        <f>IF(AND(A129&lt;&gt;"",E129&lt;&gt;""),IF(I129="","⚠️ Enter Code",IF(IFERROR(VLOOKUP(H129,DB_Agents!$B:$I,8,0),"")=I129,IF(C129&gt;=E129,"Successful","Unsuccessful"),"🔒 BLOCKED — Wrong Code")),"Pending")</f>
        <v>Pending</v>
      </c>
      <c r="K129" s="83" t="str">
        <f t="shared" ca="1" si="11"/>
        <v>—</v>
      </c>
      <c r="L129" s="84"/>
    </row>
    <row r="130" spans="1:12" ht="15" customHeight="1" x14ac:dyDescent="0.25">
      <c r="A130" s="85"/>
      <c r="B130" s="41" t="str">
        <f>IF(A130="","",IFERROR(VLOOKUP(A130,DB_Customers!$A:$D,4,0),"❌ Account Not Found"))</f>
        <v/>
      </c>
      <c r="C130" s="86" t="str">
        <f>IF(A130="","",IFERROR(VLOOKUP(A130,DB_Customers!$A:$N,14,0),"❌ Acct Not Found"))</f>
        <v/>
      </c>
      <c r="D130" s="87" t="str">
        <f t="shared" ca="1" si="9"/>
        <v/>
      </c>
      <c r="E130" s="94"/>
      <c r="F130" s="41"/>
      <c r="G130" s="96" t="str">
        <f t="shared" si="10"/>
        <v/>
      </c>
      <c r="H130" s="43" t="s">
        <v>136</v>
      </c>
      <c r="I130" s="81"/>
      <c r="J130" s="89" t="str">
        <f>IF(AND(A130&lt;&gt;"",E130&lt;&gt;""),IF(I130="","⚠️ Enter Code",IF(IFERROR(VLOOKUP(H130,DB_Agents!$B:$I,8,0),"")=I130,IF(C130&gt;=E130,"Successful","Unsuccessful"),"🔒 BLOCKED — Wrong Code")),"Pending")</f>
        <v>Pending</v>
      </c>
      <c r="K130" s="90" t="str">
        <f t="shared" ca="1" si="11"/>
        <v>—</v>
      </c>
      <c r="L130" s="91"/>
    </row>
    <row r="131" spans="1:12" ht="15" customHeight="1" x14ac:dyDescent="0.25">
      <c r="A131" s="76"/>
      <c r="B131" s="37" t="str">
        <f>IF(A131="","",IFERROR(VLOOKUP(A131,DB_Customers!$A:$D,4,0),"❌ Account Not Found"))</f>
        <v/>
      </c>
      <c r="C131" s="77" t="str">
        <f>IF(A131="","",IFERROR(VLOOKUP(A131,DB_Customers!$A:$N,14,0),"❌ Acct Not Found"))</f>
        <v/>
      </c>
      <c r="D131" s="78" t="str">
        <f t="shared" ca="1" si="9"/>
        <v/>
      </c>
      <c r="E131" s="94"/>
      <c r="F131" s="37"/>
      <c r="G131" s="95" t="str">
        <f t="shared" si="10"/>
        <v/>
      </c>
      <c r="H131" s="39" t="s">
        <v>136</v>
      </c>
      <c r="I131" s="81"/>
      <c r="J131" s="82" t="str">
        <f>IF(AND(A131&lt;&gt;"",E131&lt;&gt;""),IF(I131="","⚠️ Enter Code",IF(IFERROR(VLOOKUP(H131,DB_Agents!$B:$I,8,0),"")=I131,IF(C131&gt;=E131,"Successful","Unsuccessful"),"🔒 BLOCKED — Wrong Code")),"Pending")</f>
        <v>Pending</v>
      </c>
      <c r="K131" s="83" t="str">
        <f t="shared" ca="1" si="11"/>
        <v>—</v>
      </c>
      <c r="L131" s="84"/>
    </row>
    <row r="132" spans="1:12" ht="15" customHeight="1" x14ac:dyDescent="0.25">
      <c r="A132" s="85"/>
      <c r="B132" s="41" t="str">
        <f>IF(A132="","",IFERROR(VLOOKUP(A132,DB_Customers!$A:$D,4,0),"❌ Account Not Found"))</f>
        <v/>
      </c>
      <c r="C132" s="86" t="str">
        <f>IF(A132="","",IFERROR(VLOOKUP(A132,DB_Customers!$A:$N,14,0),"❌ Acct Not Found"))</f>
        <v/>
      </c>
      <c r="D132" s="87" t="str">
        <f t="shared" ca="1" si="9"/>
        <v/>
      </c>
      <c r="E132" s="94"/>
      <c r="F132" s="41"/>
      <c r="G132" s="96" t="str">
        <f t="shared" si="10"/>
        <v/>
      </c>
      <c r="H132" s="43" t="s">
        <v>136</v>
      </c>
      <c r="I132" s="81"/>
      <c r="J132" s="89" t="str">
        <f>IF(AND(A132&lt;&gt;"",E132&lt;&gt;""),IF(I132="","⚠️ Enter Code",IF(IFERROR(VLOOKUP(H132,DB_Agents!$B:$I,8,0),"")=I132,IF(C132&gt;=E132,"Successful","Unsuccessful"),"🔒 BLOCKED — Wrong Code")),"Pending")</f>
        <v>Pending</v>
      </c>
      <c r="K132" s="90" t="str">
        <f t="shared" ca="1" si="11"/>
        <v>—</v>
      </c>
      <c r="L132" s="91"/>
    </row>
    <row r="133" spans="1:12" ht="15" customHeight="1" x14ac:dyDescent="0.25">
      <c r="A133" s="76"/>
      <c r="B133" s="37" t="str">
        <f>IF(A133="","",IFERROR(VLOOKUP(A133,DB_Customers!$A:$D,4,0),"❌ Account Not Found"))</f>
        <v/>
      </c>
      <c r="C133" s="77" t="str">
        <f>IF(A133="","",IFERROR(VLOOKUP(A133,DB_Customers!$A:$N,14,0),"❌ Acct Not Found"))</f>
        <v/>
      </c>
      <c r="D133" s="78" t="str">
        <f t="shared" ca="1" si="9"/>
        <v/>
      </c>
      <c r="E133" s="94"/>
      <c r="F133" s="37"/>
      <c r="G133" s="95" t="str">
        <f t="shared" si="10"/>
        <v/>
      </c>
      <c r="H133" s="39" t="s">
        <v>136</v>
      </c>
      <c r="I133" s="81"/>
      <c r="J133" s="82" t="str">
        <f>IF(AND(A133&lt;&gt;"",E133&lt;&gt;""),IF(I133="","⚠️ Enter Code",IF(IFERROR(VLOOKUP(H133,DB_Agents!$B:$I,8,0),"")=I133,IF(C133&gt;=E133,"Successful","Unsuccessful"),"🔒 BLOCKED — Wrong Code")),"Pending")</f>
        <v>Pending</v>
      </c>
      <c r="K133" s="83" t="str">
        <f t="shared" ca="1" si="11"/>
        <v>—</v>
      </c>
      <c r="L133" s="84"/>
    </row>
    <row r="134" spans="1:12" ht="15" customHeight="1" x14ac:dyDescent="0.25">
      <c r="A134" s="85"/>
      <c r="B134" s="41" t="str">
        <f>IF(A134="","",IFERROR(VLOOKUP(A134,DB_Customers!$A:$D,4,0),"❌ Account Not Found"))</f>
        <v/>
      </c>
      <c r="C134" s="86" t="str">
        <f>IF(A134="","",IFERROR(VLOOKUP(A134,DB_Customers!$A:$N,14,0),"❌ Acct Not Found"))</f>
        <v/>
      </c>
      <c r="D134" s="87" t="str">
        <f t="shared" ca="1" si="9"/>
        <v/>
      </c>
      <c r="E134" s="94"/>
      <c r="F134" s="41"/>
      <c r="G134" s="96" t="str">
        <f t="shared" si="10"/>
        <v/>
      </c>
      <c r="H134" s="43" t="s">
        <v>136</v>
      </c>
      <c r="I134" s="81"/>
      <c r="J134" s="89" t="str">
        <f>IF(AND(A134&lt;&gt;"",E134&lt;&gt;""),IF(I134="","⚠️ Enter Code",IF(IFERROR(VLOOKUP(H134,DB_Agents!$B:$I,8,0),"")=I134,IF(C134&gt;=E134,"Successful","Unsuccessful"),"🔒 BLOCKED — Wrong Code")),"Pending")</f>
        <v>Pending</v>
      </c>
      <c r="K134" s="90" t="str">
        <f t="shared" ca="1" si="11"/>
        <v>—</v>
      </c>
      <c r="L134" s="91"/>
    </row>
    <row r="135" spans="1:12" ht="15" customHeight="1" x14ac:dyDescent="0.25">
      <c r="A135" s="76"/>
      <c r="B135" s="37" t="str">
        <f>IF(A135="","",IFERROR(VLOOKUP(A135,DB_Customers!$A:$D,4,0),"❌ Account Not Found"))</f>
        <v/>
      </c>
      <c r="C135" s="77" t="str">
        <f>IF(A135="","",IFERROR(VLOOKUP(A135,DB_Customers!$A:$N,14,0),"❌ Acct Not Found"))</f>
        <v/>
      </c>
      <c r="D135" s="78" t="str">
        <f t="shared" ca="1" si="9"/>
        <v/>
      </c>
      <c r="E135" s="94"/>
      <c r="F135" s="37"/>
      <c r="G135" s="95" t="str">
        <f t="shared" si="10"/>
        <v/>
      </c>
      <c r="H135" s="39" t="s">
        <v>136</v>
      </c>
      <c r="I135" s="81"/>
      <c r="J135" s="82" t="str">
        <f>IF(AND(A135&lt;&gt;"",E135&lt;&gt;""),IF(I135="","⚠️ Enter Code",IF(IFERROR(VLOOKUP(H135,DB_Agents!$B:$I,8,0),"")=I135,IF(C135&gt;=E135,"Successful","Unsuccessful"),"🔒 BLOCKED — Wrong Code")),"Pending")</f>
        <v>Pending</v>
      </c>
      <c r="K135" s="83" t="str">
        <f t="shared" ca="1" si="11"/>
        <v>—</v>
      </c>
      <c r="L135" s="84"/>
    </row>
    <row r="136" spans="1:12" ht="15" customHeight="1" x14ac:dyDescent="0.25">
      <c r="A136" s="85"/>
      <c r="B136" s="41" t="str">
        <f>IF(A136="","",IFERROR(VLOOKUP(A136,DB_Customers!$A:$D,4,0),"❌ Account Not Found"))</f>
        <v/>
      </c>
      <c r="C136" s="86" t="str">
        <f>IF(A136="","",IFERROR(VLOOKUP(A136,DB_Customers!$A:$N,14,0),"❌ Acct Not Found"))</f>
        <v/>
      </c>
      <c r="D136" s="87" t="str">
        <f t="shared" ca="1" si="9"/>
        <v/>
      </c>
      <c r="E136" s="94"/>
      <c r="F136" s="41"/>
      <c r="G136" s="96" t="str">
        <f t="shared" si="10"/>
        <v/>
      </c>
      <c r="H136" s="43" t="s">
        <v>136</v>
      </c>
      <c r="I136" s="81"/>
      <c r="J136" s="89" t="str">
        <f>IF(AND(A136&lt;&gt;"",E136&lt;&gt;""),IF(I136="","⚠️ Enter Code",IF(IFERROR(VLOOKUP(H136,DB_Agents!$B:$I,8,0),"")=I136,IF(C136&gt;=E136,"Successful","Unsuccessful"),"🔒 BLOCKED — Wrong Code")),"Pending")</f>
        <v>Pending</v>
      </c>
      <c r="K136" s="90" t="str">
        <f t="shared" ca="1" si="11"/>
        <v>—</v>
      </c>
      <c r="L136" s="91"/>
    </row>
    <row r="137" spans="1:12" ht="15" customHeight="1" x14ac:dyDescent="0.25">
      <c r="A137" s="76"/>
      <c r="B137" s="37" t="str">
        <f>IF(A137="","",IFERROR(VLOOKUP(A137,DB_Customers!$A:$D,4,0),"❌ Account Not Found"))</f>
        <v/>
      </c>
      <c r="C137" s="77" t="str">
        <f>IF(A137="","",IFERROR(VLOOKUP(A137,DB_Customers!$A:$N,14,0),"❌ Acct Not Found"))</f>
        <v/>
      </c>
      <c r="D137" s="78" t="str">
        <f t="shared" ref="D137:D168" ca="1" si="12">IF(A137="","",TODAY())</f>
        <v/>
      </c>
      <c r="E137" s="94"/>
      <c r="F137" s="37"/>
      <c r="G137" s="95" t="str">
        <f t="shared" ref="G137:G168" si="13">IF(OR(A137="",E137=""),"",IF(C137="","",C137-E137))</f>
        <v/>
      </c>
      <c r="H137" s="39" t="s">
        <v>136</v>
      </c>
      <c r="I137" s="81"/>
      <c r="J137" s="82" t="str">
        <f>IF(AND(A137&lt;&gt;"",E137&lt;&gt;""),IF(I137="","⚠️ Enter Code",IF(IFERROR(VLOOKUP(H137,DB_Agents!$B:$I,8,0),"")=I137,IF(C137&gt;=E137,"Successful","Unsuccessful"),"🔒 BLOCKED — Wrong Code")),"Pending")</f>
        <v>Pending</v>
      </c>
      <c r="K137" s="83" t="str">
        <f t="shared" ref="K137:K168" ca="1" si="14">IF(J137="Successful",TEXT(TODAY(),"YYYY-MM-DD")&amp;" Auto","—")</f>
        <v>—</v>
      </c>
      <c r="L137" s="84"/>
    </row>
    <row r="138" spans="1:12" ht="15" customHeight="1" x14ac:dyDescent="0.25">
      <c r="A138" s="85"/>
      <c r="B138" s="41" t="str">
        <f>IF(A138="","",IFERROR(VLOOKUP(A138,DB_Customers!$A:$D,4,0),"❌ Account Not Found"))</f>
        <v/>
      </c>
      <c r="C138" s="86" t="str">
        <f>IF(A138="","",IFERROR(VLOOKUP(A138,DB_Customers!$A:$N,14,0),"❌ Acct Not Found"))</f>
        <v/>
      </c>
      <c r="D138" s="87" t="str">
        <f t="shared" ca="1" si="12"/>
        <v/>
      </c>
      <c r="E138" s="94"/>
      <c r="F138" s="41"/>
      <c r="G138" s="96" t="str">
        <f t="shared" si="13"/>
        <v/>
      </c>
      <c r="H138" s="43" t="s">
        <v>136</v>
      </c>
      <c r="I138" s="81"/>
      <c r="J138" s="89" t="str">
        <f>IF(AND(A138&lt;&gt;"",E138&lt;&gt;""),IF(I138="","⚠️ Enter Code",IF(IFERROR(VLOOKUP(H138,DB_Agents!$B:$I,8,0),"")=I138,IF(C138&gt;=E138,"Successful","Unsuccessful"),"🔒 BLOCKED — Wrong Code")),"Pending")</f>
        <v>Pending</v>
      </c>
      <c r="K138" s="90" t="str">
        <f t="shared" ca="1" si="14"/>
        <v>—</v>
      </c>
      <c r="L138" s="91"/>
    </row>
    <row r="139" spans="1:12" ht="15" customHeight="1" x14ac:dyDescent="0.25">
      <c r="A139" s="76"/>
      <c r="B139" s="37" t="str">
        <f>IF(A139="","",IFERROR(VLOOKUP(A139,DB_Customers!$A:$D,4,0),"❌ Account Not Found"))</f>
        <v/>
      </c>
      <c r="C139" s="77" t="str">
        <f>IF(A139="","",IFERROR(VLOOKUP(A139,DB_Customers!$A:$N,14,0),"❌ Acct Not Found"))</f>
        <v/>
      </c>
      <c r="D139" s="78" t="str">
        <f t="shared" ca="1" si="12"/>
        <v/>
      </c>
      <c r="E139" s="94"/>
      <c r="F139" s="37"/>
      <c r="G139" s="95" t="str">
        <f t="shared" si="13"/>
        <v/>
      </c>
      <c r="H139" s="39" t="s">
        <v>136</v>
      </c>
      <c r="I139" s="81"/>
      <c r="J139" s="82" t="str">
        <f>IF(AND(A139&lt;&gt;"",E139&lt;&gt;""),IF(I139="","⚠️ Enter Code",IF(IFERROR(VLOOKUP(H139,DB_Agents!$B:$I,8,0),"")=I139,IF(C139&gt;=E139,"Successful","Unsuccessful"),"🔒 BLOCKED — Wrong Code")),"Pending")</f>
        <v>Pending</v>
      </c>
      <c r="K139" s="83" t="str">
        <f t="shared" ca="1" si="14"/>
        <v>—</v>
      </c>
      <c r="L139" s="84"/>
    </row>
    <row r="140" spans="1:12" ht="15" customHeight="1" x14ac:dyDescent="0.25">
      <c r="A140" s="85"/>
      <c r="B140" s="41" t="str">
        <f>IF(A140="","",IFERROR(VLOOKUP(A140,DB_Customers!$A:$D,4,0),"❌ Account Not Found"))</f>
        <v/>
      </c>
      <c r="C140" s="86" t="str">
        <f>IF(A140="","",IFERROR(VLOOKUP(A140,DB_Customers!$A:$N,14,0),"❌ Acct Not Found"))</f>
        <v/>
      </c>
      <c r="D140" s="87" t="str">
        <f t="shared" ca="1" si="12"/>
        <v/>
      </c>
      <c r="E140" s="94"/>
      <c r="F140" s="41"/>
      <c r="G140" s="96" t="str">
        <f t="shared" si="13"/>
        <v/>
      </c>
      <c r="H140" s="43" t="s">
        <v>136</v>
      </c>
      <c r="I140" s="81"/>
      <c r="J140" s="89" t="str">
        <f>IF(AND(A140&lt;&gt;"",E140&lt;&gt;""),IF(I140="","⚠️ Enter Code",IF(IFERROR(VLOOKUP(H140,DB_Agents!$B:$I,8,0),"")=I140,IF(C140&gt;=E140,"Successful","Unsuccessful"),"🔒 BLOCKED — Wrong Code")),"Pending")</f>
        <v>Pending</v>
      </c>
      <c r="K140" s="90" t="str">
        <f t="shared" ca="1" si="14"/>
        <v>—</v>
      </c>
      <c r="L140" s="91"/>
    </row>
    <row r="141" spans="1:12" ht="15" customHeight="1" x14ac:dyDescent="0.25">
      <c r="A141" s="76"/>
      <c r="B141" s="37" t="str">
        <f>IF(A141="","",IFERROR(VLOOKUP(A141,DB_Customers!$A:$D,4,0),"❌ Account Not Found"))</f>
        <v/>
      </c>
      <c r="C141" s="77" t="str">
        <f>IF(A141="","",IFERROR(VLOOKUP(A141,DB_Customers!$A:$N,14,0),"❌ Acct Not Found"))</f>
        <v/>
      </c>
      <c r="D141" s="78" t="str">
        <f t="shared" ca="1" si="12"/>
        <v/>
      </c>
      <c r="E141" s="94"/>
      <c r="F141" s="37"/>
      <c r="G141" s="95" t="str">
        <f t="shared" si="13"/>
        <v/>
      </c>
      <c r="H141" s="39" t="s">
        <v>136</v>
      </c>
      <c r="I141" s="81"/>
      <c r="J141" s="82" t="str">
        <f>IF(AND(A141&lt;&gt;"",E141&lt;&gt;""),IF(I141="","⚠️ Enter Code",IF(IFERROR(VLOOKUP(H141,DB_Agents!$B:$I,8,0),"")=I141,IF(C141&gt;=E141,"Successful","Unsuccessful"),"🔒 BLOCKED — Wrong Code")),"Pending")</f>
        <v>Pending</v>
      </c>
      <c r="K141" s="83" t="str">
        <f t="shared" ca="1" si="14"/>
        <v>—</v>
      </c>
      <c r="L141" s="84"/>
    </row>
    <row r="142" spans="1:12" ht="15" customHeight="1" x14ac:dyDescent="0.25">
      <c r="A142" s="85"/>
      <c r="B142" s="41" t="str">
        <f>IF(A142="","",IFERROR(VLOOKUP(A142,DB_Customers!$A:$D,4,0),"❌ Account Not Found"))</f>
        <v/>
      </c>
      <c r="C142" s="86" t="str">
        <f>IF(A142="","",IFERROR(VLOOKUP(A142,DB_Customers!$A:$N,14,0),"❌ Acct Not Found"))</f>
        <v/>
      </c>
      <c r="D142" s="87" t="str">
        <f t="shared" ca="1" si="12"/>
        <v/>
      </c>
      <c r="E142" s="94"/>
      <c r="F142" s="41"/>
      <c r="G142" s="96" t="str">
        <f t="shared" si="13"/>
        <v/>
      </c>
      <c r="H142" s="43" t="s">
        <v>136</v>
      </c>
      <c r="I142" s="81"/>
      <c r="J142" s="89" t="str">
        <f>IF(AND(A142&lt;&gt;"",E142&lt;&gt;""),IF(I142="","⚠️ Enter Code",IF(IFERROR(VLOOKUP(H142,DB_Agents!$B:$I,8,0),"")=I142,IF(C142&gt;=E142,"Successful","Unsuccessful"),"🔒 BLOCKED — Wrong Code")),"Pending")</f>
        <v>Pending</v>
      </c>
      <c r="K142" s="90" t="str">
        <f t="shared" ca="1" si="14"/>
        <v>—</v>
      </c>
      <c r="L142" s="91"/>
    </row>
    <row r="143" spans="1:12" ht="15" customHeight="1" x14ac:dyDescent="0.25">
      <c r="A143" s="76"/>
      <c r="B143" s="37" t="str">
        <f>IF(A143="","",IFERROR(VLOOKUP(A143,DB_Customers!$A:$D,4,0),"❌ Account Not Found"))</f>
        <v/>
      </c>
      <c r="C143" s="77" t="str">
        <f>IF(A143="","",IFERROR(VLOOKUP(A143,DB_Customers!$A:$N,14,0),"❌ Acct Not Found"))</f>
        <v/>
      </c>
      <c r="D143" s="78" t="str">
        <f t="shared" ca="1" si="12"/>
        <v/>
      </c>
      <c r="E143" s="94"/>
      <c r="F143" s="37"/>
      <c r="G143" s="95" t="str">
        <f t="shared" si="13"/>
        <v/>
      </c>
      <c r="H143" s="39" t="s">
        <v>136</v>
      </c>
      <c r="I143" s="81"/>
      <c r="J143" s="82" t="str">
        <f>IF(AND(A143&lt;&gt;"",E143&lt;&gt;""),IF(I143="","⚠️ Enter Code",IF(IFERROR(VLOOKUP(H143,DB_Agents!$B:$I,8,0),"")=I143,IF(C143&gt;=E143,"Successful","Unsuccessful"),"🔒 BLOCKED — Wrong Code")),"Pending")</f>
        <v>Pending</v>
      </c>
      <c r="K143" s="83" t="str">
        <f t="shared" ca="1" si="14"/>
        <v>—</v>
      </c>
      <c r="L143" s="84"/>
    </row>
    <row r="144" spans="1:12" ht="15" customHeight="1" x14ac:dyDescent="0.25">
      <c r="A144" s="85"/>
      <c r="B144" s="41" t="str">
        <f>IF(A144="","",IFERROR(VLOOKUP(A144,DB_Customers!$A:$D,4,0),"❌ Account Not Found"))</f>
        <v/>
      </c>
      <c r="C144" s="86" t="str">
        <f>IF(A144="","",IFERROR(VLOOKUP(A144,DB_Customers!$A:$N,14,0),"❌ Acct Not Found"))</f>
        <v/>
      </c>
      <c r="D144" s="87" t="str">
        <f t="shared" ca="1" si="12"/>
        <v/>
      </c>
      <c r="E144" s="94"/>
      <c r="F144" s="41"/>
      <c r="G144" s="96" t="str">
        <f t="shared" si="13"/>
        <v/>
      </c>
      <c r="H144" s="43" t="s">
        <v>136</v>
      </c>
      <c r="I144" s="81"/>
      <c r="J144" s="89" t="str">
        <f>IF(AND(A144&lt;&gt;"",E144&lt;&gt;""),IF(I144="","⚠️ Enter Code",IF(IFERROR(VLOOKUP(H144,DB_Agents!$B:$I,8,0),"")=I144,IF(C144&gt;=E144,"Successful","Unsuccessful"),"🔒 BLOCKED — Wrong Code")),"Pending")</f>
        <v>Pending</v>
      </c>
      <c r="K144" s="90" t="str">
        <f t="shared" ca="1" si="14"/>
        <v>—</v>
      </c>
      <c r="L144" s="91"/>
    </row>
    <row r="145" spans="1:12" ht="15" customHeight="1" x14ac:dyDescent="0.25">
      <c r="A145" s="76"/>
      <c r="B145" s="37" t="str">
        <f>IF(A145="","",IFERROR(VLOOKUP(A145,DB_Customers!$A:$D,4,0),"❌ Account Not Found"))</f>
        <v/>
      </c>
      <c r="C145" s="77" t="str">
        <f>IF(A145="","",IFERROR(VLOOKUP(A145,DB_Customers!$A:$N,14,0),"❌ Acct Not Found"))</f>
        <v/>
      </c>
      <c r="D145" s="78" t="str">
        <f t="shared" ca="1" si="12"/>
        <v/>
      </c>
      <c r="E145" s="94"/>
      <c r="F145" s="37"/>
      <c r="G145" s="95" t="str">
        <f t="shared" si="13"/>
        <v/>
      </c>
      <c r="H145" s="39" t="s">
        <v>136</v>
      </c>
      <c r="I145" s="81"/>
      <c r="J145" s="82" t="str">
        <f>IF(AND(A145&lt;&gt;"",E145&lt;&gt;""),IF(I145="","⚠️ Enter Code",IF(IFERROR(VLOOKUP(H145,DB_Agents!$B:$I,8,0),"")=I145,IF(C145&gt;=E145,"Successful","Unsuccessful"),"🔒 BLOCKED — Wrong Code")),"Pending")</f>
        <v>Pending</v>
      </c>
      <c r="K145" s="83" t="str">
        <f t="shared" ca="1" si="14"/>
        <v>—</v>
      </c>
      <c r="L145" s="84"/>
    </row>
    <row r="146" spans="1:12" ht="15" customHeight="1" x14ac:dyDescent="0.25">
      <c r="A146" s="85"/>
      <c r="B146" s="41" t="str">
        <f>IF(A146="","",IFERROR(VLOOKUP(A146,DB_Customers!$A:$D,4,0),"❌ Account Not Found"))</f>
        <v/>
      </c>
      <c r="C146" s="86" t="str">
        <f>IF(A146="","",IFERROR(VLOOKUP(A146,DB_Customers!$A:$N,14,0),"❌ Acct Not Found"))</f>
        <v/>
      </c>
      <c r="D146" s="87" t="str">
        <f t="shared" ca="1" si="12"/>
        <v/>
      </c>
      <c r="E146" s="94"/>
      <c r="F146" s="41"/>
      <c r="G146" s="96" t="str">
        <f t="shared" si="13"/>
        <v/>
      </c>
      <c r="H146" s="43" t="s">
        <v>136</v>
      </c>
      <c r="I146" s="81"/>
      <c r="J146" s="89" t="str">
        <f>IF(AND(A146&lt;&gt;"",E146&lt;&gt;""),IF(I146="","⚠️ Enter Code",IF(IFERROR(VLOOKUP(H146,DB_Agents!$B:$I,8,0),"")=I146,IF(C146&gt;=E146,"Successful","Unsuccessful"),"🔒 BLOCKED — Wrong Code")),"Pending")</f>
        <v>Pending</v>
      </c>
      <c r="K146" s="90" t="str">
        <f t="shared" ca="1" si="14"/>
        <v>—</v>
      </c>
      <c r="L146" s="91"/>
    </row>
    <row r="147" spans="1:12" ht="15" customHeight="1" x14ac:dyDescent="0.25">
      <c r="A147" s="76"/>
      <c r="B147" s="37" t="str">
        <f>IF(A147="","",IFERROR(VLOOKUP(A147,DB_Customers!$A:$D,4,0),"❌ Account Not Found"))</f>
        <v/>
      </c>
      <c r="C147" s="77" t="str">
        <f>IF(A147="","",IFERROR(VLOOKUP(A147,DB_Customers!$A:$N,14,0),"❌ Acct Not Found"))</f>
        <v/>
      </c>
      <c r="D147" s="78" t="str">
        <f t="shared" ca="1" si="12"/>
        <v/>
      </c>
      <c r="E147" s="94"/>
      <c r="F147" s="37"/>
      <c r="G147" s="95" t="str">
        <f t="shared" si="13"/>
        <v/>
      </c>
      <c r="H147" s="39" t="s">
        <v>136</v>
      </c>
      <c r="I147" s="81"/>
      <c r="J147" s="82" t="str">
        <f>IF(AND(A147&lt;&gt;"",E147&lt;&gt;""),IF(I147="","⚠️ Enter Code",IF(IFERROR(VLOOKUP(H147,DB_Agents!$B:$I,8,0),"")=I147,IF(C147&gt;=E147,"Successful","Unsuccessful"),"🔒 BLOCKED — Wrong Code")),"Pending")</f>
        <v>Pending</v>
      </c>
      <c r="K147" s="83" t="str">
        <f t="shared" ca="1" si="14"/>
        <v>—</v>
      </c>
      <c r="L147" s="84"/>
    </row>
    <row r="148" spans="1:12" ht="15" customHeight="1" x14ac:dyDescent="0.25">
      <c r="A148" s="85"/>
      <c r="B148" s="41" t="str">
        <f>IF(A148="","",IFERROR(VLOOKUP(A148,DB_Customers!$A:$D,4,0),"❌ Account Not Found"))</f>
        <v/>
      </c>
      <c r="C148" s="86" t="str">
        <f>IF(A148="","",IFERROR(VLOOKUP(A148,DB_Customers!$A:$N,14,0),"❌ Acct Not Found"))</f>
        <v/>
      </c>
      <c r="D148" s="87" t="str">
        <f t="shared" ca="1" si="12"/>
        <v/>
      </c>
      <c r="E148" s="94"/>
      <c r="F148" s="41"/>
      <c r="G148" s="96" t="str">
        <f t="shared" si="13"/>
        <v/>
      </c>
      <c r="H148" s="43" t="s">
        <v>136</v>
      </c>
      <c r="I148" s="81"/>
      <c r="J148" s="89" t="str">
        <f>IF(AND(A148&lt;&gt;"",E148&lt;&gt;""),IF(I148="","⚠️ Enter Code",IF(IFERROR(VLOOKUP(H148,DB_Agents!$B:$I,8,0),"")=I148,IF(C148&gt;=E148,"Successful","Unsuccessful"),"🔒 BLOCKED — Wrong Code")),"Pending")</f>
        <v>Pending</v>
      </c>
      <c r="K148" s="90" t="str">
        <f t="shared" ca="1" si="14"/>
        <v>—</v>
      </c>
      <c r="L148" s="91"/>
    </row>
    <row r="149" spans="1:12" ht="15" customHeight="1" x14ac:dyDescent="0.25">
      <c r="A149" s="76"/>
      <c r="B149" s="37" t="str">
        <f>IF(A149="","",IFERROR(VLOOKUP(A149,DB_Customers!$A:$D,4,0),"❌ Account Not Found"))</f>
        <v/>
      </c>
      <c r="C149" s="77" t="str">
        <f>IF(A149="","",IFERROR(VLOOKUP(A149,DB_Customers!$A:$N,14,0),"❌ Acct Not Found"))</f>
        <v/>
      </c>
      <c r="D149" s="78" t="str">
        <f t="shared" ca="1" si="12"/>
        <v/>
      </c>
      <c r="E149" s="94"/>
      <c r="F149" s="37"/>
      <c r="G149" s="95" t="str">
        <f t="shared" si="13"/>
        <v/>
      </c>
      <c r="H149" s="39" t="s">
        <v>136</v>
      </c>
      <c r="I149" s="81"/>
      <c r="J149" s="82" t="str">
        <f>IF(AND(A149&lt;&gt;"",E149&lt;&gt;""),IF(I149="","⚠️ Enter Code",IF(IFERROR(VLOOKUP(H149,DB_Agents!$B:$I,8,0),"")=I149,IF(C149&gt;=E149,"Successful","Unsuccessful"),"🔒 BLOCKED — Wrong Code")),"Pending")</f>
        <v>Pending</v>
      </c>
      <c r="K149" s="83" t="str">
        <f t="shared" ca="1" si="14"/>
        <v>—</v>
      </c>
      <c r="L149" s="84"/>
    </row>
    <row r="150" spans="1:12" ht="15" customHeight="1" x14ac:dyDescent="0.25">
      <c r="A150" s="85"/>
      <c r="B150" s="41" t="str">
        <f>IF(A150="","",IFERROR(VLOOKUP(A150,DB_Customers!$A:$D,4,0),"❌ Account Not Found"))</f>
        <v/>
      </c>
      <c r="C150" s="86" t="str">
        <f>IF(A150="","",IFERROR(VLOOKUP(A150,DB_Customers!$A:$N,14,0),"❌ Acct Not Found"))</f>
        <v/>
      </c>
      <c r="D150" s="87" t="str">
        <f t="shared" ca="1" si="12"/>
        <v/>
      </c>
      <c r="E150" s="94"/>
      <c r="F150" s="41"/>
      <c r="G150" s="96" t="str">
        <f t="shared" si="13"/>
        <v/>
      </c>
      <c r="H150" s="43" t="s">
        <v>136</v>
      </c>
      <c r="I150" s="81"/>
      <c r="J150" s="89" t="str">
        <f>IF(AND(A150&lt;&gt;"",E150&lt;&gt;""),IF(I150="","⚠️ Enter Code",IF(IFERROR(VLOOKUP(H150,DB_Agents!$B:$I,8,0),"")=I150,IF(C150&gt;=E150,"Successful","Unsuccessful"),"🔒 BLOCKED — Wrong Code")),"Pending")</f>
        <v>Pending</v>
      </c>
      <c r="K150" s="90" t="str">
        <f t="shared" ca="1" si="14"/>
        <v>—</v>
      </c>
      <c r="L150" s="91"/>
    </row>
    <row r="151" spans="1:12" ht="15" customHeight="1" x14ac:dyDescent="0.25">
      <c r="A151" s="76"/>
      <c r="B151" s="37" t="str">
        <f>IF(A151="","",IFERROR(VLOOKUP(A151,DB_Customers!$A:$D,4,0),"❌ Account Not Found"))</f>
        <v/>
      </c>
      <c r="C151" s="77" t="str">
        <f>IF(A151="","",IFERROR(VLOOKUP(A151,DB_Customers!$A:$N,14,0),"❌ Acct Not Found"))</f>
        <v/>
      </c>
      <c r="D151" s="78" t="str">
        <f t="shared" ca="1" si="12"/>
        <v/>
      </c>
      <c r="E151" s="94"/>
      <c r="F151" s="37"/>
      <c r="G151" s="95" t="str">
        <f t="shared" si="13"/>
        <v/>
      </c>
      <c r="H151" s="39" t="s">
        <v>136</v>
      </c>
      <c r="I151" s="81"/>
      <c r="J151" s="82" t="str">
        <f>IF(AND(A151&lt;&gt;"",E151&lt;&gt;""),IF(I151="","⚠️ Enter Code",IF(IFERROR(VLOOKUP(H151,DB_Agents!$B:$I,8,0),"")=I151,IF(C151&gt;=E151,"Successful","Unsuccessful"),"🔒 BLOCKED — Wrong Code")),"Pending")</f>
        <v>Pending</v>
      </c>
      <c r="K151" s="83" t="str">
        <f t="shared" ca="1" si="14"/>
        <v>—</v>
      </c>
      <c r="L151" s="84"/>
    </row>
    <row r="152" spans="1:12" ht="15" customHeight="1" x14ac:dyDescent="0.25">
      <c r="A152" s="85"/>
      <c r="B152" s="41" t="str">
        <f>IF(A152="","",IFERROR(VLOOKUP(A152,DB_Customers!$A:$D,4,0),"❌ Account Not Found"))</f>
        <v/>
      </c>
      <c r="C152" s="86" t="str">
        <f>IF(A152="","",IFERROR(VLOOKUP(A152,DB_Customers!$A:$N,14,0),"❌ Acct Not Found"))</f>
        <v/>
      </c>
      <c r="D152" s="87" t="str">
        <f t="shared" ca="1" si="12"/>
        <v/>
      </c>
      <c r="E152" s="94"/>
      <c r="F152" s="41"/>
      <c r="G152" s="96" t="str">
        <f t="shared" si="13"/>
        <v/>
      </c>
      <c r="H152" s="43" t="s">
        <v>136</v>
      </c>
      <c r="I152" s="81"/>
      <c r="J152" s="89" t="str">
        <f>IF(AND(A152&lt;&gt;"",E152&lt;&gt;""),IF(I152="","⚠️ Enter Code",IF(IFERROR(VLOOKUP(H152,DB_Agents!$B:$I,8,0),"")=I152,IF(C152&gt;=E152,"Successful","Unsuccessful"),"🔒 BLOCKED — Wrong Code")),"Pending")</f>
        <v>Pending</v>
      </c>
      <c r="K152" s="90" t="str">
        <f t="shared" ca="1" si="14"/>
        <v>—</v>
      </c>
      <c r="L152" s="91"/>
    </row>
    <row r="153" spans="1:12" ht="15" customHeight="1" x14ac:dyDescent="0.25">
      <c r="A153" s="76"/>
      <c r="B153" s="37" t="str">
        <f>IF(A153="","",IFERROR(VLOOKUP(A153,DB_Customers!$A:$D,4,0),"❌ Account Not Found"))</f>
        <v/>
      </c>
      <c r="C153" s="77" t="str">
        <f>IF(A153="","",IFERROR(VLOOKUP(A153,DB_Customers!$A:$N,14,0),"❌ Acct Not Found"))</f>
        <v/>
      </c>
      <c r="D153" s="78" t="str">
        <f t="shared" ca="1" si="12"/>
        <v/>
      </c>
      <c r="E153" s="94"/>
      <c r="F153" s="37"/>
      <c r="G153" s="95" t="str">
        <f t="shared" si="13"/>
        <v/>
      </c>
      <c r="H153" s="39" t="s">
        <v>136</v>
      </c>
      <c r="I153" s="81"/>
      <c r="J153" s="82" t="str">
        <f>IF(AND(A153&lt;&gt;"",E153&lt;&gt;""),IF(I153="","⚠️ Enter Code",IF(IFERROR(VLOOKUP(H153,DB_Agents!$B:$I,8,0),"")=I153,IF(C153&gt;=E153,"Successful","Unsuccessful"),"🔒 BLOCKED — Wrong Code")),"Pending")</f>
        <v>Pending</v>
      </c>
      <c r="K153" s="83" t="str">
        <f t="shared" ca="1" si="14"/>
        <v>—</v>
      </c>
      <c r="L153" s="84"/>
    </row>
    <row r="154" spans="1:12" ht="15" customHeight="1" x14ac:dyDescent="0.25">
      <c r="A154" s="85"/>
      <c r="B154" s="41" t="str">
        <f>IF(A154="","",IFERROR(VLOOKUP(A154,DB_Customers!$A:$D,4,0),"❌ Account Not Found"))</f>
        <v/>
      </c>
      <c r="C154" s="86" t="str">
        <f>IF(A154="","",IFERROR(VLOOKUP(A154,DB_Customers!$A:$N,14,0),"❌ Acct Not Found"))</f>
        <v/>
      </c>
      <c r="D154" s="87" t="str">
        <f t="shared" ca="1" si="12"/>
        <v/>
      </c>
      <c r="E154" s="94"/>
      <c r="F154" s="41"/>
      <c r="G154" s="96" t="str">
        <f t="shared" si="13"/>
        <v/>
      </c>
      <c r="H154" s="43" t="s">
        <v>136</v>
      </c>
      <c r="I154" s="81"/>
      <c r="J154" s="89" t="str">
        <f>IF(AND(A154&lt;&gt;"",E154&lt;&gt;""),IF(I154="","⚠️ Enter Code",IF(IFERROR(VLOOKUP(H154,DB_Agents!$B:$I,8,0),"")=I154,IF(C154&gt;=E154,"Successful","Unsuccessful"),"🔒 BLOCKED — Wrong Code")),"Pending")</f>
        <v>Pending</v>
      </c>
      <c r="K154" s="90" t="str">
        <f t="shared" ca="1" si="14"/>
        <v>—</v>
      </c>
      <c r="L154" s="91"/>
    </row>
    <row r="155" spans="1:12" ht="15" customHeight="1" x14ac:dyDescent="0.25">
      <c r="A155" s="76"/>
      <c r="B155" s="37" t="str">
        <f>IF(A155="","",IFERROR(VLOOKUP(A155,DB_Customers!$A:$D,4,0),"❌ Account Not Found"))</f>
        <v/>
      </c>
      <c r="C155" s="77" t="str">
        <f>IF(A155="","",IFERROR(VLOOKUP(A155,DB_Customers!$A:$N,14,0),"❌ Acct Not Found"))</f>
        <v/>
      </c>
      <c r="D155" s="78" t="str">
        <f t="shared" ca="1" si="12"/>
        <v/>
      </c>
      <c r="E155" s="94"/>
      <c r="F155" s="37"/>
      <c r="G155" s="95" t="str">
        <f t="shared" si="13"/>
        <v/>
      </c>
      <c r="H155" s="39" t="s">
        <v>136</v>
      </c>
      <c r="I155" s="81"/>
      <c r="J155" s="82" t="str">
        <f>IF(AND(A155&lt;&gt;"",E155&lt;&gt;""),IF(I155="","⚠️ Enter Code",IF(IFERROR(VLOOKUP(H155,DB_Agents!$B:$I,8,0),"")=I155,IF(C155&gt;=E155,"Successful","Unsuccessful"),"🔒 BLOCKED — Wrong Code")),"Pending")</f>
        <v>Pending</v>
      </c>
      <c r="K155" s="83" t="str">
        <f t="shared" ca="1" si="14"/>
        <v>—</v>
      </c>
      <c r="L155" s="84"/>
    </row>
    <row r="156" spans="1:12" ht="15" customHeight="1" x14ac:dyDescent="0.25">
      <c r="A156" s="85"/>
      <c r="B156" s="41" t="str">
        <f>IF(A156="","",IFERROR(VLOOKUP(A156,DB_Customers!$A:$D,4,0),"❌ Account Not Found"))</f>
        <v/>
      </c>
      <c r="C156" s="86" t="str">
        <f>IF(A156="","",IFERROR(VLOOKUP(A156,DB_Customers!$A:$N,14,0),"❌ Acct Not Found"))</f>
        <v/>
      </c>
      <c r="D156" s="87" t="str">
        <f t="shared" ca="1" si="12"/>
        <v/>
      </c>
      <c r="E156" s="94"/>
      <c r="F156" s="41"/>
      <c r="G156" s="96" t="str">
        <f t="shared" si="13"/>
        <v/>
      </c>
      <c r="H156" s="43" t="s">
        <v>136</v>
      </c>
      <c r="I156" s="81"/>
      <c r="J156" s="89" t="str">
        <f>IF(AND(A156&lt;&gt;"",E156&lt;&gt;""),IF(I156="","⚠️ Enter Code",IF(IFERROR(VLOOKUP(H156,DB_Agents!$B:$I,8,0),"")=I156,IF(C156&gt;=E156,"Successful","Unsuccessful"),"🔒 BLOCKED — Wrong Code")),"Pending")</f>
        <v>Pending</v>
      </c>
      <c r="K156" s="90" t="str">
        <f t="shared" ca="1" si="14"/>
        <v>—</v>
      </c>
      <c r="L156" s="91"/>
    </row>
    <row r="157" spans="1:12" ht="15" customHeight="1" x14ac:dyDescent="0.25">
      <c r="A157" s="76"/>
      <c r="B157" s="37" t="str">
        <f>IF(A157="","",IFERROR(VLOOKUP(A157,DB_Customers!$A:$D,4,0),"❌ Account Not Found"))</f>
        <v/>
      </c>
      <c r="C157" s="77" t="str">
        <f>IF(A157="","",IFERROR(VLOOKUP(A157,DB_Customers!$A:$N,14,0),"❌ Acct Not Found"))</f>
        <v/>
      </c>
      <c r="D157" s="78" t="str">
        <f t="shared" ca="1" si="12"/>
        <v/>
      </c>
      <c r="E157" s="94"/>
      <c r="F157" s="37"/>
      <c r="G157" s="95" t="str">
        <f t="shared" si="13"/>
        <v/>
      </c>
      <c r="H157" s="39" t="s">
        <v>136</v>
      </c>
      <c r="I157" s="81"/>
      <c r="J157" s="82" t="str">
        <f>IF(AND(A157&lt;&gt;"",E157&lt;&gt;""),IF(I157="","⚠️ Enter Code",IF(IFERROR(VLOOKUP(H157,DB_Agents!$B:$I,8,0),"")=I157,IF(C157&gt;=E157,"Successful","Unsuccessful"),"🔒 BLOCKED — Wrong Code")),"Pending")</f>
        <v>Pending</v>
      </c>
      <c r="K157" s="83" t="str">
        <f t="shared" ca="1" si="14"/>
        <v>—</v>
      </c>
      <c r="L157" s="84"/>
    </row>
    <row r="158" spans="1:12" ht="15" customHeight="1" x14ac:dyDescent="0.25">
      <c r="A158" s="85"/>
      <c r="B158" s="41" t="str">
        <f>IF(A158="","",IFERROR(VLOOKUP(A158,DB_Customers!$A:$D,4,0),"❌ Account Not Found"))</f>
        <v/>
      </c>
      <c r="C158" s="86" t="str">
        <f>IF(A158="","",IFERROR(VLOOKUP(A158,DB_Customers!$A:$N,14,0),"❌ Acct Not Found"))</f>
        <v/>
      </c>
      <c r="D158" s="87" t="str">
        <f t="shared" ca="1" si="12"/>
        <v/>
      </c>
      <c r="E158" s="94"/>
      <c r="F158" s="41"/>
      <c r="G158" s="96" t="str">
        <f t="shared" si="13"/>
        <v/>
      </c>
      <c r="H158" s="43" t="s">
        <v>136</v>
      </c>
      <c r="I158" s="81"/>
      <c r="J158" s="89" t="str">
        <f>IF(AND(A158&lt;&gt;"",E158&lt;&gt;""),IF(I158="","⚠️ Enter Code",IF(IFERROR(VLOOKUP(H158,DB_Agents!$B:$I,8,0),"")=I158,IF(C158&gt;=E158,"Successful","Unsuccessful"),"🔒 BLOCKED — Wrong Code")),"Pending")</f>
        <v>Pending</v>
      </c>
      <c r="K158" s="90" t="str">
        <f t="shared" ca="1" si="14"/>
        <v>—</v>
      </c>
      <c r="L158" s="91"/>
    </row>
    <row r="159" spans="1:12" ht="15" customHeight="1" x14ac:dyDescent="0.25">
      <c r="A159" s="76"/>
      <c r="B159" s="37" t="str">
        <f>IF(A159="","",IFERROR(VLOOKUP(A159,DB_Customers!$A:$D,4,0),"❌ Account Not Found"))</f>
        <v/>
      </c>
      <c r="C159" s="77" t="str">
        <f>IF(A159="","",IFERROR(VLOOKUP(A159,DB_Customers!$A:$N,14,0),"❌ Acct Not Found"))</f>
        <v/>
      </c>
      <c r="D159" s="78" t="str">
        <f t="shared" ca="1" si="12"/>
        <v/>
      </c>
      <c r="E159" s="94"/>
      <c r="F159" s="37"/>
      <c r="G159" s="95" t="str">
        <f t="shared" si="13"/>
        <v/>
      </c>
      <c r="H159" s="39" t="s">
        <v>136</v>
      </c>
      <c r="I159" s="81"/>
      <c r="J159" s="82" t="str">
        <f>IF(AND(A159&lt;&gt;"",E159&lt;&gt;""),IF(I159="","⚠️ Enter Code",IF(IFERROR(VLOOKUP(H159,DB_Agents!$B:$I,8,0),"")=I159,IF(C159&gt;=E159,"Successful","Unsuccessful"),"🔒 BLOCKED — Wrong Code")),"Pending")</f>
        <v>Pending</v>
      </c>
      <c r="K159" s="83" t="str">
        <f t="shared" ca="1" si="14"/>
        <v>—</v>
      </c>
      <c r="L159" s="84"/>
    </row>
    <row r="160" spans="1:12" ht="15" customHeight="1" x14ac:dyDescent="0.25">
      <c r="A160" s="85"/>
      <c r="B160" s="41" t="str">
        <f>IF(A160="","",IFERROR(VLOOKUP(A160,DB_Customers!$A:$D,4,0),"❌ Account Not Found"))</f>
        <v/>
      </c>
      <c r="C160" s="86" t="str">
        <f>IF(A160="","",IFERROR(VLOOKUP(A160,DB_Customers!$A:$N,14,0),"❌ Acct Not Found"))</f>
        <v/>
      </c>
      <c r="D160" s="87" t="str">
        <f t="shared" ca="1" si="12"/>
        <v/>
      </c>
      <c r="E160" s="94"/>
      <c r="F160" s="41"/>
      <c r="G160" s="96" t="str">
        <f t="shared" si="13"/>
        <v/>
      </c>
      <c r="H160" s="43" t="s">
        <v>136</v>
      </c>
      <c r="I160" s="81"/>
      <c r="J160" s="89" t="str">
        <f>IF(AND(A160&lt;&gt;"",E160&lt;&gt;""),IF(I160="","⚠️ Enter Code",IF(IFERROR(VLOOKUP(H160,DB_Agents!$B:$I,8,0),"")=I160,IF(C160&gt;=E160,"Successful","Unsuccessful"),"🔒 BLOCKED — Wrong Code")),"Pending")</f>
        <v>Pending</v>
      </c>
      <c r="K160" s="90" t="str">
        <f t="shared" ca="1" si="14"/>
        <v>—</v>
      </c>
      <c r="L160" s="91"/>
    </row>
    <row r="161" spans="1:12" ht="15" customHeight="1" x14ac:dyDescent="0.25">
      <c r="A161" s="76"/>
      <c r="B161" s="37" t="str">
        <f>IF(A161="","",IFERROR(VLOOKUP(A161,DB_Customers!$A:$D,4,0),"❌ Account Not Found"))</f>
        <v/>
      </c>
      <c r="C161" s="77" t="str">
        <f>IF(A161="","",IFERROR(VLOOKUP(A161,DB_Customers!$A:$N,14,0),"❌ Acct Not Found"))</f>
        <v/>
      </c>
      <c r="D161" s="78" t="str">
        <f t="shared" ca="1" si="12"/>
        <v/>
      </c>
      <c r="E161" s="94"/>
      <c r="F161" s="37"/>
      <c r="G161" s="95" t="str">
        <f t="shared" si="13"/>
        <v/>
      </c>
      <c r="H161" s="39" t="s">
        <v>136</v>
      </c>
      <c r="I161" s="81"/>
      <c r="J161" s="82" t="str">
        <f>IF(AND(A161&lt;&gt;"",E161&lt;&gt;""),IF(I161="","⚠️ Enter Code",IF(IFERROR(VLOOKUP(H161,DB_Agents!$B:$I,8,0),"")=I161,IF(C161&gt;=E161,"Successful","Unsuccessful"),"🔒 BLOCKED — Wrong Code")),"Pending")</f>
        <v>Pending</v>
      </c>
      <c r="K161" s="83" t="str">
        <f t="shared" ca="1" si="14"/>
        <v>—</v>
      </c>
      <c r="L161" s="84"/>
    </row>
    <row r="162" spans="1:12" ht="15" customHeight="1" x14ac:dyDescent="0.25">
      <c r="A162" s="85"/>
      <c r="B162" s="41" t="str">
        <f>IF(A162="","",IFERROR(VLOOKUP(A162,DB_Customers!$A:$D,4,0),"❌ Account Not Found"))</f>
        <v/>
      </c>
      <c r="C162" s="86" t="str">
        <f>IF(A162="","",IFERROR(VLOOKUP(A162,DB_Customers!$A:$N,14,0),"❌ Acct Not Found"))</f>
        <v/>
      </c>
      <c r="D162" s="87" t="str">
        <f t="shared" ca="1" si="12"/>
        <v/>
      </c>
      <c r="E162" s="94"/>
      <c r="F162" s="41"/>
      <c r="G162" s="96" t="str">
        <f t="shared" si="13"/>
        <v/>
      </c>
      <c r="H162" s="43" t="s">
        <v>136</v>
      </c>
      <c r="I162" s="81"/>
      <c r="J162" s="89" t="str">
        <f>IF(AND(A162&lt;&gt;"",E162&lt;&gt;""),IF(I162="","⚠️ Enter Code",IF(IFERROR(VLOOKUP(H162,DB_Agents!$B:$I,8,0),"")=I162,IF(C162&gt;=E162,"Successful","Unsuccessful"),"🔒 BLOCKED — Wrong Code")),"Pending")</f>
        <v>Pending</v>
      </c>
      <c r="K162" s="90" t="str">
        <f t="shared" ca="1" si="14"/>
        <v>—</v>
      </c>
      <c r="L162" s="91"/>
    </row>
    <row r="163" spans="1:12" ht="15" customHeight="1" x14ac:dyDescent="0.25">
      <c r="A163" s="76"/>
      <c r="B163" s="37" t="str">
        <f>IF(A163="","",IFERROR(VLOOKUP(A163,DB_Customers!$A:$D,4,0),"❌ Account Not Found"))</f>
        <v/>
      </c>
      <c r="C163" s="77" t="str">
        <f>IF(A163="","",IFERROR(VLOOKUP(A163,DB_Customers!$A:$N,14,0),"❌ Acct Not Found"))</f>
        <v/>
      </c>
      <c r="D163" s="78" t="str">
        <f t="shared" ca="1" si="12"/>
        <v/>
      </c>
      <c r="E163" s="94"/>
      <c r="F163" s="37"/>
      <c r="G163" s="95" t="str">
        <f t="shared" si="13"/>
        <v/>
      </c>
      <c r="H163" s="39" t="s">
        <v>136</v>
      </c>
      <c r="I163" s="81"/>
      <c r="J163" s="82" t="str">
        <f>IF(AND(A163&lt;&gt;"",E163&lt;&gt;""),IF(I163="","⚠️ Enter Code",IF(IFERROR(VLOOKUP(H163,DB_Agents!$B:$I,8,0),"")=I163,IF(C163&gt;=E163,"Successful","Unsuccessful"),"🔒 BLOCKED — Wrong Code")),"Pending")</f>
        <v>Pending</v>
      </c>
      <c r="K163" s="83" t="str">
        <f t="shared" ca="1" si="14"/>
        <v>—</v>
      </c>
      <c r="L163" s="84"/>
    </row>
    <row r="164" spans="1:12" ht="15" customHeight="1" x14ac:dyDescent="0.25">
      <c r="A164" s="85"/>
      <c r="B164" s="41" t="str">
        <f>IF(A164="","",IFERROR(VLOOKUP(A164,DB_Customers!$A:$D,4,0),"❌ Account Not Found"))</f>
        <v/>
      </c>
      <c r="C164" s="86" t="str">
        <f>IF(A164="","",IFERROR(VLOOKUP(A164,DB_Customers!$A:$N,14,0),"❌ Acct Not Found"))</f>
        <v/>
      </c>
      <c r="D164" s="87" t="str">
        <f t="shared" ca="1" si="12"/>
        <v/>
      </c>
      <c r="E164" s="94"/>
      <c r="F164" s="41"/>
      <c r="G164" s="96" t="str">
        <f t="shared" si="13"/>
        <v/>
      </c>
      <c r="H164" s="43" t="s">
        <v>136</v>
      </c>
      <c r="I164" s="81"/>
      <c r="J164" s="89" t="str">
        <f>IF(AND(A164&lt;&gt;"",E164&lt;&gt;""),IF(I164="","⚠️ Enter Code",IF(IFERROR(VLOOKUP(H164,DB_Agents!$B:$I,8,0),"")=I164,IF(C164&gt;=E164,"Successful","Unsuccessful"),"🔒 BLOCKED — Wrong Code")),"Pending")</f>
        <v>Pending</v>
      </c>
      <c r="K164" s="90" t="str">
        <f t="shared" ca="1" si="14"/>
        <v>—</v>
      </c>
      <c r="L164" s="91"/>
    </row>
    <row r="165" spans="1:12" ht="15" customHeight="1" x14ac:dyDescent="0.25">
      <c r="A165" s="76"/>
      <c r="B165" s="37" t="str">
        <f>IF(A165="","",IFERROR(VLOOKUP(A165,DB_Customers!$A:$D,4,0),"❌ Account Not Found"))</f>
        <v/>
      </c>
      <c r="C165" s="77" t="str">
        <f>IF(A165="","",IFERROR(VLOOKUP(A165,DB_Customers!$A:$N,14,0),"❌ Acct Not Found"))</f>
        <v/>
      </c>
      <c r="D165" s="78" t="str">
        <f t="shared" ca="1" si="12"/>
        <v/>
      </c>
      <c r="E165" s="94"/>
      <c r="F165" s="37"/>
      <c r="G165" s="95" t="str">
        <f t="shared" si="13"/>
        <v/>
      </c>
      <c r="H165" s="39" t="s">
        <v>136</v>
      </c>
      <c r="I165" s="81"/>
      <c r="J165" s="82" t="str">
        <f>IF(AND(A165&lt;&gt;"",E165&lt;&gt;""),IF(I165="","⚠️ Enter Code",IF(IFERROR(VLOOKUP(H165,DB_Agents!$B:$I,8,0),"")=I165,IF(C165&gt;=E165,"Successful","Unsuccessful"),"🔒 BLOCKED — Wrong Code")),"Pending")</f>
        <v>Pending</v>
      </c>
      <c r="K165" s="83" t="str">
        <f t="shared" ca="1" si="14"/>
        <v>—</v>
      </c>
      <c r="L165" s="84"/>
    </row>
    <row r="166" spans="1:12" ht="15" customHeight="1" x14ac:dyDescent="0.25">
      <c r="A166" s="85"/>
      <c r="B166" s="41" t="str">
        <f>IF(A166="","",IFERROR(VLOOKUP(A166,DB_Customers!$A:$D,4,0),"❌ Account Not Found"))</f>
        <v/>
      </c>
      <c r="C166" s="86" t="str">
        <f>IF(A166="","",IFERROR(VLOOKUP(A166,DB_Customers!$A:$N,14,0),"❌ Acct Not Found"))</f>
        <v/>
      </c>
      <c r="D166" s="87" t="str">
        <f t="shared" ca="1" si="12"/>
        <v/>
      </c>
      <c r="E166" s="94"/>
      <c r="F166" s="41"/>
      <c r="G166" s="96" t="str">
        <f t="shared" si="13"/>
        <v/>
      </c>
      <c r="H166" s="43" t="s">
        <v>136</v>
      </c>
      <c r="I166" s="81"/>
      <c r="J166" s="89" t="str">
        <f>IF(AND(A166&lt;&gt;"",E166&lt;&gt;""),IF(I166="","⚠️ Enter Code",IF(IFERROR(VLOOKUP(H166,DB_Agents!$B:$I,8,0),"")=I166,IF(C166&gt;=E166,"Successful","Unsuccessful"),"🔒 BLOCKED — Wrong Code")),"Pending")</f>
        <v>Pending</v>
      </c>
      <c r="K166" s="90" t="str">
        <f t="shared" ca="1" si="14"/>
        <v>—</v>
      </c>
      <c r="L166" s="91"/>
    </row>
    <row r="167" spans="1:12" ht="15" customHeight="1" x14ac:dyDescent="0.25">
      <c r="A167" s="76"/>
      <c r="B167" s="37" t="str">
        <f>IF(A167="","",IFERROR(VLOOKUP(A167,DB_Customers!$A:$D,4,0),"❌ Account Not Found"))</f>
        <v/>
      </c>
      <c r="C167" s="77" t="str">
        <f>IF(A167="","",IFERROR(VLOOKUP(A167,DB_Customers!$A:$N,14,0),"❌ Acct Not Found"))</f>
        <v/>
      </c>
      <c r="D167" s="78" t="str">
        <f t="shared" ca="1" si="12"/>
        <v/>
      </c>
      <c r="E167" s="94"/>
      <c r="F167" s="37"/>
      <c r="G167" s="95" t="str">
        <f t="shared" si="13"/>
        <v/>
      </c>
      <c r="H167" s="39" t="s">
        <v>136</v>
      </c>
      <c r="I167" s="81"/>
      <c r="J167" s="82" t="str">
        <f>IF(AND(A167&lt;&gt;"",E167&lt;&gt;""),IF(I167="","⚠️ Enter Code",IF(IFERROR(VLOOKUP(H167,DB_Agents!$B:$I,8,0),"")=I167,IF(C167&gt;=E167,"Successful","Unsuccessful"),"🔒 BLOCKED — Wrong Code")),"Pending")</f>
        <v>Pending</v>
      </c>
      <c r="K167" s="83" t="str">
        <f t="shared" ca="1" si="14"/>
        <v>—</v>
      </c>
      <c r="L167" s="84"/>
    </row>
    <row r="168" spans="1:12" ht="15" customHeight="1" x14ac:dyDescent="0.25">
      <c r="A168" s="85"/>
      <c r="B168" s="41" t="str">
        <f>IF(A168="","",IFERROR(VLOOKUP(A168,DB_Customers!$A:$D,4,0),"❌ Account Not Found"))</f>
        <v/>
      </c>
      <c r="C168" s="86" t="str">
        <f>IF(A168="","",IFERROR(VLOOKUP(A168,DB_Customers!$A:$N,14,0),"❌ Acct Not Found"))</f>
        <v/>
      </c>
      <c r="D168" s="87" t="str">
        <f t="shared" ca="1" si="12"/>
        <v/>
      </c>
      <c r="E168" s="94"/>
      <c r="F168" s="41"/>
      <c r="G168" s="96" t="str">
        <f t="shared" si="13"/>
        <v/>
      </c>
      <c r="H168" s="43" t="s">
        <v>136</v>
      </c>
      <c r="I168" s="81"/>
      <c r="J168" s="89" t="str">
        <f>IF(AND(A168&lt;&gt;"",E168&lt;&gt;""),IF(I168="","⚠️ Enter Code",IF(IFERROR(VLOOKUP(H168,DB_Agents!$B:$I,8,0),"")=I168,IF(C168&gt;=E168,"Successful","Unsuccessful"),"🔒 BLOCKED — Wrong Code")),"Pending")</f>
        <v>Pending</v>
      </c>
      <c r="K168" s="90" t="str">
        <f t="shared" ca="1" si="14"/>
        <v>—</v>
      </c>
      <c r="L168" s="91"/>
    </row>
    <row r="169" spans="1:12" ht="15" customHeight="1" x14ac:dyDescent="0.25">
      <c r="A169" s="76"/>
      <c r="B169" s="37" t="str">
        <f>IF(A169="","",IFERROR(VLOOKUP(A169,DB_Customers!$A:$D,4,0),"❌ Account Not Found"))</f>
        <v/>
      </c>
      <c r="C169" s="77" t="str">
        <f>IF(A169="","",IFERROR(VLOOKUP(A169,DB_Customers!$A:$N,14,0),"❌ Acct Not Found"))</f>
        <v/>
      </c>
      <c r="D169" s="78" t="str">
        <f t="shared" ref="D169:D200" ca="1" si="15">IF(A169="","",TODAY())</f>
        <v/>
      </c>
      <c r="E169" s="94"/>
      <c r="F169" s="37"/>
      <c r="G169" s="95" t="str">
        <f t="shared" ref="G169:G200" si="16">IF(OR(A169="",E169=""),"",IF(C169="","",C169-E169))</f>
        <v/>
      </c>
      <c r="H169" s="39" t="s">
        <v>136</v>
      </c>
      <c r="I169" s="81"/>
      <c r="J169" s="82" t="str">
        <f>IF(AND(A169&lt;&gt;"",E169&lt;&gt;""),IF(I169="","⚠️ Enter Code",IF(IFERROR(VLOOKUP(H169,DB_Agents!$B:$I,8,0),"")=I169,IF(C169&gt;=E169,"Successful","Unsuccessful"),"🔒 BLOCKED — Wrong Code")),"Pending")</f>
        <v>Pending</v>
      </c>
      <c r="K169" s="83" t="str">
        <f t="shared" ref="K169:K200" ca="1" si="17">IF(J169="Successful",TEXT(TODAY(),"YYYY-MM-DD")&amp;" Auto","—")</f>
        <v>—</v>
      </c>
      <c r="L169" s="84"/>
    </row>
    <row r="170" spans="1:12" ht="15" customHeight="1" x14ac:dyDescent="0.25">
      <c r="A170" s="85"/>
      <c r="B170" s="41" t="str">
        <f>IF(A170="","",IFERROR(VLOOKUP(A170,DB_Customers!$A:$D,4,0),"❌ Account Not Found"))</f>
        <v/>
      </c>
      <c r="C170" s="86" t="str">
        <f>IF(A170="","",IFERROR(VLOOKUP(A170,DB_Customers!$A:$N,14,0),"❌ Acct Not Found"))</f>
        <v/>
      </c>
      <c r="D170" s="87" t="str">
        <f t="shared" ca="1" si="15"/>
        <v/>
      </c>
      <c r="E170" s="94"/>
      <c r="F170" s="41"/>
      <c r="G170" s="96" t="str">
        <f t="shared" si="16"/>
        <v/>
      </c>
      <c r="H170" s="43" t="s">
        <v>136</v>
      </c>
      <c r="I170" s="81"/>
      <c r="J170" s="89" t="str">
        <f>IF(AND(A170&lt;&gt;"",E170&lt;&gt;""),IF(I170="","⚠️ Enter Code",IF(IFERROR(VLOOKUP(H170,DB_Agents!$B:$I,8,0),"")=I170,IF(C170&gt;=E170,"Successful","Unsuccessful"),"🔒 BLOCKED — Wrong Code")),"Pending")</f>
        <v>Pending</v>
      </c>
      <c r="K170" s="90" t="str">
        <f t="shared" ca="1" si="17"/>
        <v>—</v>
      </c>
      <c r="L170" s="91"/>
    </row>
    <row r="171" spans="1:12" ht="15" customHeight="1" x14ac:dyDescent="0.25">
      <c r="A171" s="76"/>
      <c r="B171" s="37" t="str">
        <f>IF(A171="","",IFERROR(VLOOKUP(A171,DB_Customers!$A:$D,4,0),"❌ Account Not Found"))</f>
        <v/>
      </c>
      <c r="C171" s="77" t="str">
        <f>IF(A171="","",IFERROR(VLOOKUP(A171,DB_Customers!$A:$N,14,0),"❌ Acct Not Found"))</f>
        <v/>
      </c>
      <c r="D171" s="78" t="str">
        <f t="shared" ca="1" si="15"/>
        <v/>
      </c>
      <c r="E171" s="94"/>
      <c r="F171" s="37"/>
      <c r="G171" s="95" t="str">
        <f t="shared" si="16"/>
        <v/>
      </c>
      <c r="H171" s="39" t="s">
        <v>136</v>
      </c>
      <c r="I171" s="81"/>
      <c r="J171" s="82" t="str">
        <f>IF(AND(A171&lt;&gt;"",E171&lt;&gt;""),IF(I171="","⚠️ Enter Code",IF(IFERROR(VLOOKUP(H171,DB_Agents!$B:$I,8,0),"")=I171,IF(C171&gt;=E171,"Successful","Unsuccessful"),"🔒 BLOCKED — Wrong Code")),"Pending")</f>
        <v>Pending</v>
      </c>
      <c r="K171" s="83" t="str">
        <f t="shared" ca="1" si="17"/>
        <v>—</v>
      </c>
      <c r="L171" s="84"/>
    </row>
    <row r="172" spans="1:12" ht="15" customHeight="1" x14ac:dyDescent="0.25">
      <c r="A172" s="85"/>
      <c r="B172" s="41" t="str">
        <f>IF(A172="","",IFERROR(VLOOKUP(A172,DB_Customers!$A:$D,4,0),"❌ Account Not Found"))</f>
        <v/>
      </c>
      <c r="C172" s="86" t="str">
        <f>IF(A172="","",IFERROR(VLOOKUP(A172,DB_Customers!$A:$N,14,0),"❌ Acct Not Found"))</f>
        <v/>
      </c>
      <c r="D172" s="87" t="str">
        <f t="shared" ca="1" si="15"/>
        <v/>
      </c>
      <c r="E172" s="94"/>
      <c r="F172" s="41"/>
      <c r="G172" s="96" t="str">
        <f t="shared" si="16"/>
        <v/>
      </c>
      <c r="H172" s="43" t="s">
        <v>136</v>
      </c>
      <c r="I172" s="81"/>
      <c r="J172" s="89" t="str">
        <f>IF(AND(A172&lt;&gt;"",E172&lt;&gt;""),IF(I172="","⚠️ Enter Code",IF(IFERROR(VLOOKUP(H172,DB_Agents!$B:$I,8,0),"")=I172,IF(C172&gt;=E172,"Successful","Unsuccessful"),"🔒 BLOCKED — Wrong Code")),"Pending")</f>
        <v>Pending</v>
      </c>
      <c r="K172" s="90" t="str">
        <f t="shared" ca="1" si="17"/>
        <v>—</v>
      </c>
      <c r="L172" s="91"/>
    </row>
    <row r="173" spans="1:12" ht="15" customHeight="1" x14ac:dyDescent="0.25">
      <c r="A173" s="76"/>
      <c r="B173" s="37" t="str">
        <f>IF(A173="","",IFERROR(VLOOKUP(A173,DB_Customers!$A:$D,4,0),"❌ Account Not Found"))</f>
        <v/>
      </c>
      <c r="C173" s="77" t="str">
        <f>IF(A173="","",IFERROR(VLOOKUP(A173,DB_Customers!$A:$N,14,0),"❌ Acct Not Found"))</f>
        <v/>
      </c>
      <c r="D173" s="78" t="str">
        <f t="shared" ca="1" si="15"/>
        <v/>
      </c>
      <c r="E173" s="94"/>
      <c r="F173" s="37"/>
      <c r="G173" s="95" t="str">
        <f t="shared" si="16"/>
        <v/>
      </c>
      <c r="H173" s="39" t="s">
        <v>136</v>
      </c>
      <c r="I173" s="81"/>
      <c r="J173" s="82" t="str">
        <f>IF(AND(A173&lt;&gt;"",E173&lt;&gt;""),IF(I173="","⚠️ Enter Code",IF(IFERROR(VLOOKUP(H173,DB_Agents!$B:$I,8,0),"")=I173,IF(C173&gt;=E173,"Successful","Unsuccessful"),"🔒 BLOCKED — Wrong Code")),"Pending")</f>
        <v>Pending</v>
      </c>
      <c r="K173" s="83" t="str">
        <f t="shared" ca="1" si="17"/>
        <v>—</v>
      </c>
      <c r="L173" s="84"/>
    </row>
    <row r="174" spans="1:12" ht="15" customHeight="1" x14ac:dyDescent="0.25">
      <c r="A174" s="85"/>
      <c r="B174" s="41" t="str">
        <f>IF(A174="","",IFERROR(VLOOKUP(A174,DB_Customers!$A:$D,4,0),"❌ Account Not Found"))</f>
        <v/>
      </c>
      <c r="C174" s="86" t="str">
        <f>IF(A174="","",IFERROR(VLOOKUP(A174,DB_Customers!$A:$N,14,0),"❌ Acct Not Found"))</f>
        <v/>
      </c>
      <c r="D174" s="87" t="str">
        <f t="shared" ca="1" si="15"/>
        <v/>
      </c>
      <c r="E174" s="94"/>
      <c r="F174" s="41"/>
      <c r="G174" s="96" t="str">
        <f t="shared" si="16"/>
        <v/>
      </c>
      <c r="H174" s="43" t="s">
        <v>136</v>
      </c>
      <c r="I174" s="81"/>
      <c r="J174" s="89" t="str">
        <f>IF(AND(A174&lt;&gt;"",E174&lt;&gt;""),IF(I174="","⚠️ Enter Code",IF(IFERROR(VLOOKUP(H174,DB_Agents!$B:$I,8,0),"")=I174,IF(C174&gt;=E174,"Successful","Unsuccessful"),"🔒 BLOCKED — Wrong Code")),"Pending")</f>
        <v>Pending</v>
      </c>
      <c r="K174" s="90" t="str">
        <f t="shared" ca="1" si="17"/>
        <v>—</v>
      </c>
      <c r="L174" s="91"/>
    </row>
    <row r="175" spans="1:12" ht="15" customHeight="1" x14ac:dyDescent="0.25">
      <c r="A175" s="76"/>
      <c r="B175" s="37" t="str">
        <f>IF(A175="","",IFERROR(VLOOKUP(A175,DB_Customers!$A:$D,4,0),"❌ Account Not Found"))</f>
        <v/>
      </c>
      <c r="C175" s="77" t="str">
        <f>IF(A175="","",IFERROR(VLOOKUP(A175,DB_Customers!$A:$N,14,0),"❌ Acct Not Found"))</f>
        <v/>
      </c>
      <c r="D175" s="78" t="str">
        <f t="shared" ca="1" si="15"/>
        <v/>
      </c>
      <c r="E175" s="94"/>
      <c r="F175" s="37"/>
      <c r="G175" s="95" t="str">
        <f t="shared" si="16"/>
        <v/>
      </c>
      <c r="H175" s="39" t="s">
        <v>136</v>
      </c>
      <c r="I175" s="81"/>
      <c r="J175" s="82" t="str">
        <f>IF(AND(A175&lt;&gt;"",E175&lt;&gt;""),IF(I175="","⚠️ Enter Code",IF(IFERROR(VLOOKUP(H175,DB_Agents!$B:$I,8,0),"")=I175,IF(C175&gt;=E175,"Successful","Unsuccessful"),"🔒 BLOCKED — Wrong Code")),"Pending")</f>
        <v>Pending</v>
      </c>
      <c r="K175" s="83" t="str">
        <f t="shared" ca="1" si="17"/>
        <v>—</v>
      </c>
      <c r="L175" s="84"/>
    </row>
    <row r="176" spans="1:12" ht="15" customHeight="1" x14ac:dyDescent="0.25">
      <c r="A176" s="85"/>
      <c r="B176" s="41" t="str">
        <f>IF(A176="","",IFERROR(VLOOKUP(A176,DB_Customers!$A:$D,4,0),"❌ Account Not Found"))</f>
        <v/>
      </c>
      <c r="C176" s="86" t="str">
        <f>IF(A176="","",IFERROR(VLOOKUP(A176,DB_Customers!$A:$N,14,0),"❌ Acct Not Found"))</f>
        <v/>
      </c>
      <c r="D176" s="87" t="str">
        <f t="shared" ca="1" si="15"/>
        <v/>
      </c>
      <c r="E176" s="94"/>
      <c r="F176" s="41"/>
      <c r="G176" s="96" t="str">
        <f t="shared" si="16"/>
        <v/>
      </c>
      <c r="H176" s="43" t="s">
        <v>136</v>
      </c>
      <c r="I176" s="81"/>
      <c r="J176" s="89" t="str">
        <f>IF(AND(A176&lt;&gt;"",E176&lt;&gt;""),IF(I176="","⚠️ Enter Code",IF(IFERROR(VLOOKUP(H176,DB_Agents!$B:$I,8,0),"")=I176,IF(C176&gt;=E176,"Successful","Unsuccessful"),"🔒 BLOCKED — Wrong Code")),"Pending")</f>
        <v>Pending</v>
      </c>
      <c r="K176" s="90" t="str">
        <f t="shared" ca="1" si="17"/>
        <v>—</v>
      </c>
      <c r="L176" s="91"/>
    </row>
    <row r="177" spans="1:12" ht="15" customHeight="1" x14ac:dyDescent="0.25">
      <c r="A177" s="76"/>
      <c r="B177" s="37" t="str">
        <f>IF(A177="","",IFERROR(VLOOKUP(A177,DB_Customers!$A:$D,4,0),"❌ Account Not Found"))</f>
        <v/>
      </c>
      <c r="C177" s="77" t="str">
        <f>IF(A177="","",IFERROR(VLOOKUP(A177,DB_Customers!$A:$N,14,0),"❌ Acct Not Found"))</f>
        <v/>
      </c>
      <c r="D177" s="78" t="str">
        <f t="shared" ca="1" si="15"/>
        <v/>
      </c>
      <c r="E177" s="94"/>
      <c r="F177" s="37"/>
      <c r="G177" s="95" t="str">
        <f t="shared" si="16"/>
        <v/>
      </c>
      <c r="H177" s="39" t="s">
        <v>136</v>
      </c>
      <c r="I177" s="81"/>
      <c r="J177" s="82" t="str">
        <f>IF(AND(A177&lt;&gt;"",E177&lt;&gt;""),IF(I177="","⚠️ Enter Code",IF(IFERROR(VLOOKUP(H177,DB_Agents!$B:$I,8,0),"")=I177,IF(C177&gt;=E177,"Successful","Unsuccessful"),"🔒 BLOCKED — Wrong Code")),"Pending")</f>
        <v>Pending</v>
      </c>
      <c r="K177" s="83" t="str">
        <f t="shared" ca="1" si="17"/>
        <v>—</v>
      </c>
      <c r="L177" s="84"/>
    </row>
    <row r="178" spans="1:12" ht="15" customHeight="1" x14ac:dyDescent="0.25">
      <c r="A178" s="85"/>
      <c r="B178" s="41" t="str">
        <f>IF(A178="","",IFERROR(VLOOKUP(A178,DB_Customers!$A:$D,4,0),"❌ Account Not Found"))</f>
        <v/>
      </c>
      <c r="C178" s="86" t="str">
        <f>IF(A178="","",IFERROR(VLOOKUP(A178,DB_Customers!$A:$N,14,0),"❌ Acct Not Found"))</f>
        <v/>
      </c>
      <c r="D178" s="87" t="str">
        <f t="shared" ca="1" si="15"/>
        <v/>
      </c>
      <c r="E178" s="94"/>
      <c r="F178" s="41"/>
      <c r="G178" s="96" t="str">
        <f t="shared" si="16"/>
        <v/>
      </c>
      <c r="H178" s="43" t="s">
        <v>136</v>
      </c>
      <c r="I178" s="81"/>
      <c r="J178" s="89" t="str">
        <f>IF(AND(A178&lt;&gt;"",E178&lt;&gt;""),IF(I178="","⚠️ Enter Code",IF(IFERROR(VLOOKUP(H178,DB_Agents!$B:$I,8,0),"")=I178,IF(C178&gt;=E178,"Successful","Unsuccessful"),"🔒 BLOCKED — Wrong Code")),"Pending")</f>
        <v>Pending</v>
      </c>
      <c r="K178" s="90" t="str">
        <f t="shared" ca="1" si="17"/>
        <v>—</v>
      </c>
      <c r="L178" s="91"/>
    </row>
    <row r="179" spans="1:12" ht="15" customHeight="1" x14ac:dyDescent="0.25">
      <c r="A179" s="76"/>
      <c r="B179" s="37" t="str">
        <f>IF(A179="","",IFERROR(VLOOKUP(A179,DB_Customers!$A:$D,4,0),"❌ Account Not Found"))</f>
        <v/>
      </c>
      <c r="C179" s="77" t="str">
        <f>IF(A179="","",IFERROR(VLOOKUP(A179,DB_Customers!$A:$N,14,0),"❌ Acct Not Found"))</f>
        <v/>
      </c>
      <c r="D179" s="78" t="str">
        <f t="shared" ca="1" si="15"/>
        <v/>
      </c>
      <c r="E179" s="94"/>
      <c r="F179" s="37"/>
      <c r="G179" s="95" t="str">
        <f t="shared" si="16"/>
        <v/>
      </c>
      <c r="H179" s="39" t="s">
        <v>136</v>
      </c>
      <c r="I179" s="81"/>
      <c r="J179" s="82" t="str">
        <f>IF(AND(A179&lt;&gt;"",E179&lt;&gt;""),IF(I179="","⚠️ Enter Code",IF(IFERROR(VLOOKUP(H179,DB_Agents!$B:$I,8,0),"")=I179,IF(C179&gt;=E179,"Successful","Unsuccessful"),"🔒 BLOCKED — Wrong Code")),"Pending")</f>
        <v>Pending</v>
      </c>
      <c r="K179" s="83" t="str">
        <f t="shared" ca="1" si="17"/>
        <v>—</v>
      </c>
      <c r="L179" s="84"/>
    </row>
    <row r="180" spans="1:12" ht="15" customHeight="1" x14ac:dyDescent="0.25">
      <c r="A180" s="85"/>
      <c r="B180" s="41" t="str">
        <f>IF(A180="","",IFERROR(VLOOKUP(A180,DB_Customers!$A:$D,4,0),"❌ Account Not Found"))</f>
        <v/>
      </c>
      <c r="C180" s="86" t="str">
        <f>IF(A180="","",IFERROR(VLOOKUP(A180,DB_Customers!$A:$N,14,0),"❌ Acct Not Found"))</f>
        <v/>
      </c>
      <c r="D180" s="87" t="str">
        <f t="shared" ca="1" si="15"/>
        <v/>
      </c>
      <c r="E180" s="94"/>
      <c r="F180" s="41"/>
      <c r="G180" s="96" t="str">
        <f t="shared" si="16"/>
        <v/>
      </c>
      <c r="H180" s="43" t="s">
        <v>136</v>
      </c>
      <c r="I180" s="81"/>
      <c r="J180" s="89" t="str">
        <f>IF(AND(A180&lt;&gt;"",E180&lt;&gt;""),IF(I180="","⚠️ Enter Code",IF(IFERROR(VLOOKUP(H180,DB_Agents!$B:$I,8,0),"")=I180,IF(C180&gt;=E180,"Successful","Unsuccessful"),"🔒 BLOCKED — Wrong Code")),"Pending")</f>
        <v>Pending</v>
      </c>
      <c r="K180" s="90" t="str">
        <f t="shared" ca="1" si="17"/>
        <v>—</v>
      </c>
      <c r="L180" s="91"/>
    </row>
    <row r="181" spans="1:12" ht="15" customHeight="1" x14ac:dyDescent="0.25">
      <c r="A181" s="76"/>
      <c r="B181" s="37" t="str">
        <f>IF(A181="","",IFERROR(VLOOKUP(A181,DB_Customers!$A:$D,4,0),"❌ Account Not Found"))</f>
        <v/>
      </c>
      <c r="C181" s="77" t="str">
        <f>IF(A181="","",IFERROR(VLOOKUP(A181,DB_Customers!$A:$N,14,0),"❌ Acct Not Found"))</f>
        <v/>
      </c>
      <c r="D181" s="78" t="str">
        <f t="shared" ca="1" si="15"/>
        <v/>
      </c>
      <c r="E181" s="94"/>
      <c r="F181" s="37"/>
      <c r="G181" s="95" t="str">
        <f t="shared" si="16"/>
        <v/>
      </c>
      <c r="H181" s="39" t="s">
        <v>136</v>
      </c>
      <c r="I181" s="81"/>
      <c r="J181" s="82" t="str">
        <f>IF(AND(A181&lt;&gt;"",E181&lt;&gt;""),IF(I181="","⚠️ Enter Code",IF(IFERROR(VLOOKUP(H181,DB_Agents!$B:$I,8,0),"")=I181,IF(C181&gt;=E181,"Successful","Unsuccessful"),"🔒 BLOCKED — Wrong Code")),"Pending")</f>
        <v>Pending</v>
      </c>
      <c r="K181" s="83" t="str">
        <f t="shared" ca="1" si="17"/>
        <v>—</v>
      </c>
      <c r="L181" s="84"/>
    </row>
    <row r="182" spans="1:12" ht="15" customHeight="1" x14ac:dyDescent="0.25">
      <c r="A182" s="85"/>
      <c r="B182" s="41" t="str">
        <f>IF(A182="","",IFERROR(VLOOKUP(A182,DB_Customers!$A:$D,4,0),"❌ Account Not Found"))</f>
        <v/>
      </c>
      <c r="C182" s="86" t="str">
        <f>IF(A182="","",IFERROR(VLOOKUP(A182,DB_Customers!$A:$N,14,0),"❌ Acct Not Found"))</f>
        <v/>
      </c>
      <c r="D182" s="87" t="str">
        <f t="shared" ca="1" si="15"/>
        <v/>
      </c>
      <c r="E182" s="94"/>
      <c r="F182" s="41"/>
      <c r="G182" s="96" t="str">
        <f t="shared" si="16"/>
        <v/>
      </c>
      <c r="H182" s="43" t="s">
        <v>136</v>
      </c>
      <c r="I182" s="81"/>
      <c r="J182" s="89" t="str">
        <f>IF(AND(A182&lt;&gt;"",E182&lt;&gt;""),IF(I182="","⚠️ Enter Code",IF(IFERROR(VLOOKUP(H182,DB_Agents!$B:$I,8,0),"")=I182,IF(C182&gt;=E182,"Successful","Unsuccessful"),"🔒 BLOCKED — Wrong Code")),"Pending")</f>
        <v>Pending</v>
      </c>
      <c r="K182" s="90" t="str">
        <f t="shared" ca="1" si="17"/>
        <v>—</v>
      </c>
      <c r="L182" s="91"/>
    </row>
    <row r="183" spans="1:12" ht="15" customHeight="1" x14ac:dyDescent="0.25">
      <c r="A183" s="76"/>
      <c r="B183" s="37" t="str">
        <f>IF(A183="","",IFERROR(VLOOKUP(A183,DB_Customers!$A:$D,4,0),"❌ Account Not Found"))</f>
        <v/>
      </c>
      <c r="C183" s="77" t="str">
        <f>IF(A183="","",IFERROR(VLOOKUP(A183,DB_Customers!$A:$N,14,0),"❌ Acct Not Found"))</f>
        <v/>
      </c>
      <c r="D183" s="78" t="str">
        <f t="shared" ca="1" si="15"/>
        <v/>
      </c>
      <c r="E183" s="94"/>
      <c r="F183" s="37"/>
      <c r="G183" s="95" t="str">
        <f t="shared" si="16"/>
        <v/>
      </c>
      <c r="H183" s="39" t="s">
        <v>136</v>
      </c>
      <c r="I183" s="81"/>
      <c r="J183" s="82" t="str">
        <f>IF(AND(A183&lt;&gt;"",E183&lt;&gt;""),IF(I183="","⚠️ Enter Code",IF(IFERROR(VLOOKUP(H183,DB_Agents!$B:$I,8,0),"")=I183,IF(C183&gt;=E183,"Successful","Unsuccessful"),"🔒 BLOCKED — Wrong Code")),"Pending")</f>
        <v>Pending</v>
      </c>
      <c r="K183" s="83" t="str">
        <f t="shared" ca="1" si="17"/>
        <v>—</v>
      </c>
      <c r="L183" s="84"/>
    </row>
    <row r="184" spans="1:12" ht="15" customHeight="1" x14ac:dyDescent="0.25">
      <c r="A184" s="85"/>
      <c r="B184" s="41" t="str">
        <f>IF(A184="","",IFERROR(VLOOKUP(A184,DB_Customers!$A:$D,4,0),"❌ Account Not Found"))</f>
        <v/>
      </c>
      <c r="C184" s="86" t="str">
        <f>IF(A184="","",IFERROR(VLOOKUP(A184,DB_Customers!$A:$N,14,0),"❌ Acct Not Found"))</f>
        <v/>
      </c>
      <c r="D184" s="87" t="str">
        <f t="shared" ca="1" si="15"/>
        <v/>
      </c>
      <c r="E184" s="94"/>
      <c r="F184" s="41"/>
      <c r="G184" s="96" t="str">
        <f t="shared" si="16"/>
        <v/>
      </c>
      <c r="H184" s="43" t="s">
        <v>136</v>
      </c>
      <c r="I184" s="81"/>
      <c r="J184" s="89" t="str">
        <f>IF(AND(A184&lt;&gt;"",E184&lt;&gt;""),IF(I184="","⚠️ Enter Code",IF(IFERROR(VLOOKUP(H184,DB_Agents!$B:$I,8,0),"")=I184,IF(C184&gt;=E184,"Successful","Unsuccessful"),"🔒 BLOCKED — Wrong Code")),"Pending")</f>
        <v>Pending</v>
      </c>
      <c r="K184" s="90" t="str">
        <f t="shared" ca="1" si="17"/>
        <v>—</v>
      </c>
      <c r="L184" s="91"/>
    </row>
    <row r="185" spans="1:12" ht="15" customHeight="1" x14ac:dyDescent="0.25">
      <c r="A185" s="76"/>
      <c r="B185" s="37" t="str">
        <f>IF(A185="","",IFERROR(VLOOKUP(A185,DB_Customers!$A:$D,4,0),"❌ Account Not Found"))</f>
        <v/>
      </c>
      <c r="C185" s="77" t="str">
        <f>IF(A185="","",IFERROR(VLOOKUP(A185,DB_Customers!$A:$N,14,0),"❌ Acct Not Found"))</f>
        <v/>
      </c>
      <c r="D185" s="78" t="str">
        <f t="shared" ca="1" si="15"/>
        <v/>
      </c>
      <c r="E185" s="94"/>
      <c r="F185" s="37"/>
      <c r="G185" s="95" t="str">
        <f t="shared" si="16"/>
        <v/>
      </c>
      <c r="H185" s="39" t="s">
        <v>136</v>
      </c>
      <c r="I185" s="81"/>
      <c r="J185" s="82" t="str">
        <f>IF(AND(A185&lt;&gt;"",E185&lt;&gt;""),IF(I185="","⚠️ Enter Code",IF(IFERROR(VLOOKUP(H185,DB_Agents!$B:$I,8,0),"")=I185,IF(C185&gt;=E185,"Successful","Unsuccessful"),"🔒 BLOCKED — Wrong Code")),"Pending")</f>
        <v>Pending</v>
      </c>
      <c r="K185" s="83" t="str">
        <f t="shared" ca="1" si="17"/>
        <v>—</v>
      </c>
      <c r="L185" s="84"/>
    </row>
    <row r="186" spans="1:12" ht="15" customHeight="1" x14ac:dyDescent="0.25">
      <c r="A186" s="85"/>
      <c r="B186" s="41" t="str">
        <f>IF(A186="","",IFERROR(VLOOKUP(A186,DB_Customers!$A:$D,4,0),"❌ Account Not Found"))</f>
        <v/>
      </c>
      <c r="C186" s="86" t="str">
        <f>IF(A186="","",IFERROR(VLOOKUP(A186,DB_Customers!$A:$N,14,0),"❌ Acct Not Found"))</f>
        <v/>
      </c>
      <c r="D186" s="87" t="str">
        <f t="shared" ca="1" si="15"/>
        <v/>
      </c>
      <c r="E186" s="94"/>
      <c r="F186" s="41"/>
      <c r="G186" s="96" t="str">
        <f t="shared" si="16"/>
        <v/>
      </c>
      <c r="H186" s="43" t="s">
        <v>136</v>
      </c>
      <c r="I186" s="81"/>
      <c r="J186" s="89" t="str">
        <f>IF(AND(A186&lt;&gt;"",E186&lt;&gt;""),IF(I186="","⚠️ Enter Code",IF(IFERROR(VLOOKUP(H186,DB_Agents!$B:$I,8,0),"")=I186,IF(C186&gt;=E186,"Successful","Unsuccessful"),"🔒 BLOCKED — Wrong Code")),"Pending")</f>
        <v>Pending</v>
      </c>
      <c r="K186" s="90" t="str">
        <f t="shared" ca="1" si="17"/>
        <v>—</v>
      </c>
      <c r="L186" s="91"/>
    </row>
    <row r="187" spans="1:12" ht="15" customHeight="1" x14ac:dyDescent="0.25">
      <c r="A187" s="76"/>
      <c r="B187" s="37" t="str">
        <f>IF(A187="","",IFERROR(VLOOKUP(A187,DB_Customers!$A:$D,4,0),"❌ Account Not Found"))</f>
        <v/>
      </c>
      <c r="C187" s="77" t="str">
        <f>IF(A187="","",IFERROR(VLOOKUP(A187,DB_Customers!$A:$N,14,0),"❌ Acct Not Found"))</f>
        <v/>
      </c>
      <c r="D187" s="78" t="str">
        <f t="shared" ca="1" si="15"/>
        <v/>
      </c>
      <c r="E187" s="94"/>
      <c r="F187" s="37"/>
      <c r="G187" s="95" t="str">
        <f t="shared" si="16"/>
        <v/>
      </c>
      <c r="H187" s="39" t="s">
        <v>136</v>
      </c>
      <c r="I187" s="81"/>
      <c r="J187" s="82" t="str">
        <f>IF(AND(A187&lt;&gt;"",E187&lt;&gt;""),IF(I187="","⚠️ Enter Code",IF(IFERROR(VLOOKUP(H187,DB_Agents!$B:$I,8,0),"")=I187,IF(C187&gt;=E187,"Successful","Unsuccessful"),"🔒 BLOCKED — Wrong Code")),"Pending")</f>
        <v>Pending</v>
      </c>
      <c r="K187" s="83" t="str">
        <f t="shared" ca="1" si="17"/>
        <v>—</v>
      </c>
      <c r="L187" s="84"/>
    </row>
    <row r="188" spans="1:12" ht="15" customHeight="1" x14ac:dyDescent="0.25">
      <c r="A188" s="85"/>
      <c r="B188" s="41" t="str">
        <f>IF(A188="","",IFERROR(VLOOKUP(A188,DB_Customers!$A:$D,4,0),"❌ Account Not Found"))</f>
        <v/>
      </c>
      <c r="C188" s="86" t="str">
        <f>IF(A188="","",IFERROR(VLOOKUP(A188,DB_Customers!$A:$N,14,0),"❌ Acct Not Found"))</f>
        <v/>
      </c>
      <c r="D188" s="87" t="str">
        <f t="shared" ca="1" si="15"/>
        <v/>
      </c>
      <c r="E188" s="94"/>
      <c r="F188" s="41"/>
      <c r="G188" s="96" t="str">
        <f t="shared" si="16"/>
        <v/>
      </c>
      <c r="H188" s="43" t="s">
        <v>136</v>
      </c>
      <c r="I188" s="81"/>
      <c r="J188" s="89" t="str">
        <f>IF(AND(A188&lt;&gt;"",E188&lt;&gt;""),IF(I188="","⚠️ Enter Code",IF(IFERROR(VLOOKUP(H188,DB_Agents!$B:$I,8,0),"")=I188,IF(C188&gt;=E188,"Successful","Unsuccessful"),"🔒 BLOCKED — Wrong Code")),"Pending")</f>
        <v>Pending</v>
      </c>
      <c r="K188" s="90" t="str">
        <f t="shared" ca="1" si="17"/>
        <v>—</v>
      </c>
      <c r="L188" s="91"/>
    </row>
    <row r="189" spans="1:12" ht="15" customHeight="1" x14ac:dyDescent="0.25">
      <c r="A189" s="76"/>
      <c r="B189" s="37" t="str">
        <f>IF(A189="","",IFERROR(VLOOKUP(A189,DB_Customers!$A:$D,4,0),"❌ Account Not Found"))</f>
        <v/>
      </c>
      <c r="C189" s="77" t="str">
        <f>IF(A189="","",IFERROR(VLOOKUP(A189,DB_Customers!$A:$N,14,0),"❌ Acct Not Found"))</f>
        <v/>
      </c>
      <c r="D189" s="78" t="str">
        <f t="shared" ca="1" si="15"/>
        <v/>
      </c>
      <c r="E189" s="94"/>
      <c r="F189" s="37"/>
      <c r="G189" s="95" t="str">
        <f t="shared" si="16"/>
        <v/>
      </c>
      <c r="H189" s="39" t="s">
        <v>136</v>
      </c>
      <c r="I189" s="81"/>
      <c r="J189" s="82" t="str">
        <f>IF(AND(A189&lt;&gt;"",E189&lt;&gt;""),IF(I189="","⚠️ Enter Code",IF(IFERROR(VLOOKUP(H189,DB_Agents!$B:$I,8,0),"")=I189,IF(C189&gt;=E189,"Successful","Unsuccessful"),"🔒 BLOCKED — Wrong Code")),"Pending")</f>
        <v>Pending</v>
      </c>
      <c r="K189" s="83" t="str">
        <f t="shared" ca="1" si="17"/>
        <v>—</v>
      </c>
      <c r="L189" s="84"/>
    </row>
    <row r="190" spans="1:12" ht="15" customHeight="1" x14ac:dyDescent="0.25">
      <c r="A190" s="85"/>
      <c r="B190" s="41" t="str">
        <f>IF(A190="","",IFERROR(VLOOKUP(A190,DB_Customers!$A:$D,4,0),"❌ Account Not Found"))</f>
        <v/>
      </c>
      <c r="C190" s="86" t="str">
        <f>IF(A190="","",IFERROR(VLOOKUP(A190,DB_Customers!$A:$N,14,0),"❌ Acct Not Found"))</f>
        <v/>
      </c>
      <c r="D190" s="87" t="str">
        <f t="shared" ca="1" si="15"/>
        <v/>
      </c>
      <c r="E190" s="94"/>
      <c r="F190" s="41"/>
      <c r="G190" s="96" t="str">
        <f t="shared" si="16"/>
        <v/>
      </c>
      <c r="H190" s="43" t="s">
        <v>136</v>
      </c>
      <c r="I190" s="81"/>
      <c r="J190" s="89" t="str">
        <f>IF(AND(A190&lt;&gt;"",E190&lt;&gt;""),IF(I190="","⚠️ Enter Code",IF(IFERROR(VLOOKUP(H190,DB_Agents!$B:$I,8,0),"")=I190,IF(C190&gt;=E190,"Successful","Unsuccessful"),"🔒 BLOCKED — Wrong Code")),"Pending")</f>
        <v>Pending</v>
      </c>
      <c r="K190" s="90" t="str">
        <f t="shared" ca="1" si="17"/>
        <v>—</v>
      </c>
      <c r="L190" s="91"/>
    </row>
    <row r="191" spans="1:12" ht="15" customHeight="1" x14ac:dyDescent="0.25">
      <c r="A191" s="76"/>
      <c r="B191" s="37" t="str">
        <f>IF(A191="","",IFERROR(VLOOKUP(A191,DB_Customers!$A:$D,4,0),"❌ Account Not Found"))</f>
        <v/>
      </c>
      <c r="C191" s="77" t="str">
        <f>IF(A191="","",IFERROR(VLOOKUP(A191,DB_Customers!$A:$N,14,0),"❌ Acct Not Found"))</f>
        <v/>
      </c>
      <c r="D191" s="78" t="str">
        <f t="shared" ca="1" si="15"/>
        <v/>
      </c>
      <c r="E191" s="94"/>
      <c r="F191" s="37"/>
      <c r="G191" s="95" t="str">
        <f t="shared" si="16"/>
        <v/>
      </c>
      <c r="H191" s="39" t="s">
        <v>136</v>
      </c>
      <c r="I191" s="81"/>
      <c r="J191" s="82" t="str">
        <f>IF(AND(A191&lt;&gt;"",E191&lt;&gt;""),IF(I191="","⚠️ Enter Code",IF(IFERROR(VLOOKUP(H191,DB_Agents!$B:$I,8,0),"")=I191,IF(C191&gt;=E191,"Successful","Unsuccessful"),"🔒 BLOCKED — Wrong Code")),"Pending")</f>
        <v>Pending</v>
      </c>
      <c r="K191" s="83" t="str">
        <f t="shared" ca="1" si="17"/>
        <v>—</v>
      </c>
      <c r="L191" s="84"/>
    </row>
    <row r="192" spans="1:12" ht="15" customHeight="1" x14ac:dyDescent="0.25">
      <c r="A192" s="85"/>
      <c r="B192" s="41" t="str">
        <f>IF(A192="","",IFERROR(VLOOKUP(A192,DB_Customers!$A:$D,4,0),"❌ Account Not Found"))</f>
        <v/>
      </c>
      <c r="C192" s="86" t="str">
        <f>IF(A192="","",IFERROR(VLOOKUP(A192,DB_Customers!$A:$N,14,0),"❌ Acct Not Found"))</f>
        <v/>
      </c>
      <c r="D192" s="87" t="str">
        <f t="shared" ca="1" si="15"/>
        <v/>
      </c>
      <c r="E192" s="94"/>
      <c r="F192" s="41"/>
      <c r="G192" s="96" t="str">
        <f t="shared" si="16"/>
        <v/>
      </c>
      <c r="H192" s="43" t="s">
        <v>136</v>
      </c>
      <c r="I192" s="81"/>
      <c r="J192" s="89" t="str">
        <f>IF(AND(A192&lt;&gt;"",E192&lt;&gt;""),IF(I192="","⚠️ Enter Code",IF(IFERROR(VLOOKUP(H192,DB_Agents!$B:$I,8,0),"")=I192,IF(C192&gt;=E192,"Successful","Unsuccessful"),"🔒 BLOCKED — Wrong Code")),"Pending")</f>
        <v>Pending</v>
      </c>
      <c r="K192" s="90" t="str">
        <f t="shared" ca="1" si="17"/>
        <v>—</v>
      </c>
      <c r="L192" s="91"/>
    </row>
    <row r="193" spans="1:12" ht="15" customHeight="1" x14ac:dyDescent="0.25">
      <c r="A193" s="76"/>
      <c r="B193" s="37" t="str">
        <f>IF(A193="","",IFERROR(VLOOKUP(A193,DB_Customers!$A:$D,4,0),"❌ Account Not Found"))</f>
        <v/>
      </c>
      <c r="C193" s="77" t="str">
        <f>IF(A193="","",IFERROR(VLOOKUP(A193,DB_Customers!$A:$N,14,0),"❌ Acct Not Found"))</f>
        <v/>
      </c>
      <c r="D193" s="78" t="str">
        <f t="shared" ca="1" si="15"/>
        <v/>
      </c>
      <c r="E193" s="94"/>
      <c r="F193" s="37"/>
      <c r="G193" s="95" t="str">
        <f t="shared" si="16"/>
        <v/>
      </c>
      <c r="H193" s="39" t="s">
        <v>136</v>
      </c>
      <c r="I193" s="81"/>
      <c r="J193" s="82" t="str">
        <f>IF(AND(A193&lt;&gt;"",E193&lt;&gt;""),IF(I193="","⚠️ Enter Code",IF(IFERROR(VLOOKUP(H193,DB_Agents!$B:$I,8,0),"")=I193,IF(C193&gt;=E193,"Successful","Unsuccessful"),"🔒 BLOCKED — Wrong Code")),"Pending")</f>
        <v>Pending</v>
      </c>
      <c r="K193" s="83" t="str">
        <f t="shared" ca="1" si="17"/>
        <v>—</v>
      </c>
      <c r="L193" s="84"/>
    </row>
    <row r="194" spans="1:12" ht="15" customHeight="1" x14ac:dyDescent="0.25">
      <c r="A194" s="85"/>
      <c r="B194" s="41" t="str">
        <f>IF(A194="","",IFERROR(VLOOKUP(A194,DB_Customers!$A:$D,4,0),"❌ Account Not Found"))</f>
        <v/>
      </c>
      <c r="C194" s="86" t="str">
        <f>IF(A194="","",IFERROR(VLOOKUP(A194,DB_Customers!$A:$N,14,0),"❌ Acct Not Found"))</f>
        <v/>
      </c>
      <c r="D194" s="87" t="str">
        <f t="shared" ca="1" si="15"/>
        <v/>
      </c>
      <c r="E194" s="94"/>
      <c r="F194" s="41"/>
      <c r="G194" s="96" t="str">
        <f t="shared" si="16"/>
        <v/>
      </c>
      <c r="H194" s="43" t="s">
        <v>136</v>
      </c>
      <c r="I194" s="81"/>
      <c r="J194" s="89" t="str">
        <f>IF(AND(A194&lt;&gt;"",E194&lt;&gt;""),IF(I194="","⚠️ Enter Code",IF(IFERROR(VLOOKUP(H194,DB_Agents!$B:$I,8,0),"")=I194,IF(C194&gt;=E194,"Successful","Unsuccessful"),"🔒 BLOCKED — Wrong Code")),"Pending")</f>
        <v>Pending</v>
      </c>
      <c r="K194" s="90" t="str">
        <f t="shared" ca="1" si="17"/>
        <v>—</v>
      </c>
      <c r="L194" s="91"/>
    </row>
    <row r="195" spans="1:12" ht="15" customHeight="1" x14ac:dyDescent="0.25">
      <c r="A195" s="76"/>
      <c r="B195" s="37" t="str">
        <f>IF(A195="","",IFERROR(VLOOKUP(A195,DB_Customers!$A:$D,4,0),"❌ Account Not Found"))</f>
        <v/>
      </c>
      <c r="C195" s="77" t="str">
        <f>IF(A195="","",IFERROR(VLOOKUP(A195,DB_Customers!$A:$N,14,0),"❌ Acct Not Found"))</f>
        <v/>
      </c>
      <c r="D195" s="78" t="str">
        <f t="shared" ca="1" si="15"/>
        <v/>
      </c>
      <c r="E195" s="94"/>
      <c r="F195" s="37"/>
      <c r="G195" s="95" t="str">
        <f t="shared" si="16"/>
        <v/>
      </c>
      <c r="H195" s="39" t="s">
        <v>136</v>
      </c>
      <c r="I195" s="81"/>
      <c r="J195" s="82" t="str">
        <f>IF(AND(A195&lt;&gt;"",E195&lt;&gt;""),IF(I195="","⚠️ Enter Code",IF(IFERROR(VLOOKUP(H195,DB_Agents!$B:$I,8,0),"")=I195,IF(C195&gt;=E195,"Successful","Unsuccessful"),"🔒 BLOCKED — Wrong Code")),"Pending")</f>
        <v>Pending</v>
      </c>
      <c r="K195" s="83" t="str">
        <f t="shared" ca="1" si="17"/>
        <v>—</v>
      </c>
      <c r="L195" s="84"/>
    </row>
    <row r="196" spans="1:12" ht="15" customHeight="1" x14ac:dyDescent="0.25">
      <c r="A196" s="85"/>
      <c r="B196" s="41" t="str">
        <f>IF(A196="","",IFERROR(VLOOKUP(A196,DB_Customers!$A:$D,4,0),"❌ Account Not Found"))</f>
        <v/>
      </c>
      <c r="C196" s="86" t="str">
        <f>IF(A196="","",IFERROR(VLOOKUP(A196,DB_Customers!$A:$N,14,0),"❌ Acct Not Found"))</f>
        <v/>
      </c>
      <c r="D196" s="87" t="str">
        <f t="shared" ca="1" si="15"/>
        <v/>
      </c>
      <c r="E196" s="94"/>
      <c r="F196" s="41"/>
      <c r="G196" s="96" t="str">
        <f t="shared" si="16"/>
        <v/>
      </c>
      <c r="H196" s="43" t="s">
        <v>136</v>
      </c>
      <c r="I196" s="81"/>
      <c r="J196" s="89" t="str">
        <f>IF(AND(A196&lt;&gt;"",E196&lt;&gt;""),IF(I196="","⚠️ Enter Code",IF(IFERROR(VLOOKUP(H196,DB_Agents!$B:$I,8,0),"")=I196,IF(C196&gt;=E196,"Successful","Unsuccessful"),"🔒 BLOCKED — Wrong Code")),"Pending")</f>
        <v>Pending</v>
      </c>
      <c r="K196" s="90" t="str">
        <f t="shared" ca="1" si="17"/>
        <v>—</v>
      </c>
      <c r="L196" s="91"/>
    </row>
    <row r="197" spans="1:12" ht="15" customHeight="1" x14ac:dyDescent="0.25">
      <c r="A197" s="76"/>
      <c r="B197" s="37" t="str">
        <f>IF(A197="","",IFERROR(VLOOKUP(A197,DB_Customers!$A:$D,4,0),"❌ Account Not Found"))</f>
        <v/>
      </c>
      <c r="C197" s="77" t="str">
        <f>IF(A197="","",IFERROR(VLOOKUP(A197,DB_Customers!$A:$N,14,0),"❌ Acct Not Found"))</f>
        <v/>
      </c>
      <c r="D197" s="78" t="str">
        <f t="shared" ca="1" si="15"/>
        <v/>
      </c>
      <c r="E197" s="94"/>
      <c r="F197" s="37"/>
      <c r="G197" s="95" t="str">
        <f t="shared" si="16"/>
        <v/>
      </c>
      <c r="H197" s="39" t="s">
        <v>136</v>
      </c>
      <c r="I197" s="81"/>
      <c r="J197" s="82" t="str">
        <f>IF(AND(A197&lt;&gt;"",E197&lt;&gt;""),IF(I197="","⚠️ Enter Code",IF(IFERROR(VLOOKUP(H197,DB_Agents!$B:$I,8,0),"")=I197,IF(C197&gt;=E197,"Successful","Unsuccessful"),"🔒 BLOCKED — Wrong Code")),"Pending")</f>
        <v>Pending</v>
      </c>
      <c r="K197" s="83" t="str">
        <f t="shared" ca="1" si="17"/>
        <v>—</v>
      </c>
      <c r="L197" s="84"/>
    </row>
    <row r="198" spans="1:12" ht="15" customHeight="1" x14ac:dyDescent="0.25">
      <c r="A198" s="85"/>
      <c r="B198" s="41" t="str">
        <f>IF(A198="","",IFERROR(VLOOKUP(A198,DB_Customers!$A:$D,4,0),"❌ Account Not Found"))</f>
        <v/>
      </c>
      <c r="C198" s="86" t="str">
        <f>IF(A198="","",IFERROR(VLOOKUP(A198,DB_Customers!$A:$N,14,0),"❌ Acct Not Found"))</f>
        <v/>
      </c>
      <c r="D198" s="87" t="str">
        <f t="shared" ca="1" si="15"/>
        <v/>
      </c>
      <c r="E198" s="94"/>
      <c r="F198" s="41"/>
      <c r="G198" s="96" t="str">
        <f t="shared" si="16"/>
        <v/>
      </c>
      <c r="H198" s="43" t="s">
        <v>136</v>
      </c>
      <c r="I198" s="81"/>
      <c r="J198" s="89" t="str">
        <f>IF(AND(A198&lt;&gt;"",E198&lt;&gt;""),IF(I198="","⚠️ Enter Code",IF(IFERROR(VLOOKUP(H198,DB_Agents!$B:$I,8,0),"")=I198,IF(C198&gt;=E198,"Successful","Unsuccessful"),"🔒 BLOCKED — Wrong Code")),"Pending")</f>
        <v>Pending</v>
      </c>
      <c r="K198" s="90" t="str">
        <f t="shared" ca="1" si="17"/>
        <v>—</v>
      </c>
      <c r="L198" s="91"/>
    </row>
    <row r="199" spans="1:12" ht="15" customHeight="1" x14ac:dyDescent="0.25">
      <c r="A199" s="76"/>
      <c r="B199" s="37" t="str">
        <f>IF(A199="","",IFERROR(VLOOKUP(A199,DB_Customers!$A:$D,4,0),"❌ Account Not Found"))</f>
        <v/>
      </c>
      <c r="C199" s="77" t="str">
        <f>IF(A199="","",IFERROR(VLOOKUP(A199,DB_Customers!$A:$N,14,0),"❌ Acct Not Found"))</f>
        <v/>
      </c>
      <c r="D199" s="78" t="str">
        <f t="shared" ca="1" si="15"/>
        <v/>
      </c>
      <c r="E199" s="94"/>
      <c r="F199" s="37"/>
      <c r="G199" s="95" t="str">
        <f t="shared" si="16"/>
        <v/>
      </c>
      <c r="H199" s="39" t="s">
        <v>136</v>
      </c>
      <c r="I199" s="81"/>
      <c r="J199" s="82" t="str">
        <f>IF(AND(A199&lt;&gt;"",E199&lt;&gt;""),IF(I199="","⚠️ Enter Code",IF(IFERROR(VLOOKUP(H199,DB_Agents!$B:$I,8,0),"")=I199,IF(C199&gt;=E199,"Successful","Unsuccessful"),"🔒 BLOCKED — Wrong Code")),"Pending")</f>
        <v>Pending</v>
      </c>
      <c r="K199" s="83" t="str">
        <f t="shared" ca="1" si="17"/>
        <v>—</v>
      </c>
      <c r="L199" s="84"/>
    </row>
    <row r="200" spans="1:12" ht="15" customHeight="1" x14ac:dyDescent="0.25">
      <c r="A200" s="85"/>
      <c r="B200" s="41" t="str">
        <f>IF(A200="","",IFERROR(VLOOKUP(A200,DB_Customers!$A:$D,4,0),"❌ Account Not Found"))</f>
        <v/>
      </c>
      <c r="C200" s="86" t="str">
        <f>IF(A200="","",IFERROR(VLOOKUP(A200,DB_Customers!$A:$N,14,0),"❌ Acct Not Found"))</f>
        <v/>
      </c>
      <c r="D200" s="87" t="str">
        <f t="shared" ca="1" si="15"/>
        <v/>
      </c>
      <c r="E200" s="94"/>
      <c r="F200" s="41"/>
      <c r="G200" s="96" t="str">
        <f t="shared" si="16"/>
        <v/>
      </c>
      <c r="H200" s="43" t="s">
        <v>136</v>
      </c>
      <c r="I200" s="81"/>
      <c r="J200" s="89" t="str">
        <f>IF(AND(A200&lt;&gt;"",E200&lt;&gt;""),IF(I200="","⚠️ Enter Code",IF(IFERROR(VLOOKUP(H200,DB_Agents!$B:$I,8,0),"")=I200,IF(C200&gt;=E200,"Successful","Unsuccessful"),"🔒 BLOCKED — Wrong Code")),"Pending")</f>
        <v>Pending</v>
      </c>
      <c r="K200" s="90" t="str">
        <f t="shared" ca="1" si="17"/>
        <v>—</v>
      </c>
      <c r="L200" s="91"/>
    </row>
    <row r="201" spans="1:12" ht="15" customHeight="1" x14ac:dyDescent="0.25">
      <c r="A201" s="76"/>
      <c r="B201" s="37" t="str">
        <f>IF(A201="","",IFERROR(VLOOKUP(A201,DB_Customers!$A:$D,4,0),"❌ Account Not Found"))</f>
        <v/>
      </c>
      <c r="C201" s="77" t="str">
        <f>IF(A201="","",IFERROR(VLOOKUP(A201,DB_Customers!$A:$N,14,0),"❌ Acct Not Found"))</f>
        <v/>
      </c>
      <c r="D201" s="78" t="str">
        <f t="shared" ref="D201:D208" ca="1" si="18">IF(A201="","",TODAY())</f>
        <v/>
      </c>
      <c r="E201" s="94"/>
      <c r="F201" s="37"/>
      <c r="G201" s="95" t="str">
        <f t="shared" ref="G201:G208" si="19">IF(OR(A201="",E201=""),"",IF(C201="","",C201-E201))</f>
        <v/>
      </c>
      <c r="H201" s="39" t="s">
        <v>136</v>
      </c>
      <c r="I201" s="81"/>
      <c r="J201" s="82" t="str">
        <f>IF(AND(A201&lt;&gt;"",E201&lt;&gt;""),IF(I201="","⚠️ Enter Code",IF(IFERROR(VLOOKUP(H201,DB_Agents!$B:$I,8,0),"")=I201,IF(C201&gt;=E201,"Successful","Unsuccessful"),"🔒 BLOCKED — Wrong Code")),"Pending")</f>
        <v>Pending</v>
      </c>
      <c r="K201" s="83" t="str">
        <f t="shared" ref="K201:K208" ca="1" si="20">IF(J201="Successful",TEXT(TODAY(),"YYYY-MM-DD")&amp;" Auto","—")</f>
        <v>—</v>
      </c>
      <c r="L201" s="84"/>
    </row>
    <row r="202" spans="1:12" ht="15" customHeight="1" x14ac:dyDescent="0.25">
      <c r="A202" s="85"/>
      <c r="B202" s="41" t="str">
        <f>IF(A202="","",IFERROR(VLOOKUP(A202,DB_Customers!$A:$D,4,0),"❌ Account Not Found"))</f>
        <v/>
      </c>
      <c r="C202" s="86" t="str">
        <f>IF(A202="","",IFERROR(VLOOKUP(A202,DB_Customers!$A:$N,14,0),"❌ Acct Not Found"))</f>
        <v/>
      </c>
      <c r="D202" s="87" t="str">
        <f t="shared" ca="1" si="18"/>
        <v/>
      </c>
      <c r="E202" s="94"/>
      <c r="F202" s="41"/>
      <c r="G202" s="96" t="str">
        <f t="shared" si="19"/>
        <v/>
      </c>
      <c r="H202" s="43" t="s">
        <v>136</v>
      </c>
      <c r="I202" s="81"/>
      <c r="J202" s="89" t="str">
        <f>IF(AND(A202&lt;&gt;"",E202&lt;&gt;""),IF(I202="","⚠️ Enter Code",IF(IFERROR(VLOOKUP(H202,DB_Agents!$B:$I,8,0),"")=I202,IF(C202&gt;=E202,"Successful","Unsuccessful"),"🔒 BLOCKED — Wrong Code")),"Pending")</f>
        <v>Pending</v>
      </c>
      <c r="K202" s="90" t="str">
        <f t="shared" ca="1" si="20"/>
        <v>—</v>
      </c>
      <c r="L202" s="91"/>
    </row>
    <row r="203" spans="1:12" ht="15" customHeight="1" x14ac:dyDescent="0.25">
      <c r="A203" s="76"/>
      <c r="B203" s="37" t="str">
        <f>IF(A203="","",IFERROR(VLOOKUP(A203,DB_Customers!$A:$D,4,0),"❌ Account Not Found"))</f>
        <v/>
      </c>
      <c r="C203" s="77" t="str">
        <f>IF(A203="","",IFERROR(VLOOKUP(A203,DB_Customers!$A:$N,14,0),"❌ Acct Not Found"))</f>
        <v/>
      </c>
      <c r="D203" s="78" t="str">
        <f t="shared" ca="1" si="18"/>
        <v/>
      </c>
      <c r="E203" s="94"/>
      <c r="F203" s="37"/>
      <c r="G203" s="95" t="str">
        <f t="shared" si="19"/>
        <v/>
      </c>
      <c r="H203" s="39" t="s">
        <v>136</v>
      </c>
      <c r="I203" s="81"/>
      <c r="J203" s="82" t="str">
        <f>IF(AND(A203&lt;&gt;"",E203&lt;&gt;""),IF(I203="","⚠️ Enter Code",IF(IFERROR(VLOOKUP(H203,DB_Agents!$B:$I,8,0),"")=I203,IF(C203&gt;=E203,"Successful","Unsuccessful"),"🔒 BLOCKED — Wrong Code")),"Pending")</f>
        <v>Pending</v>
      </c>
      <c r="K203" s="83" t="str">
        <f t="shared" ca="1" si="20"/>
        <v>—</v>
      </c>
      <c r="L203" s="84"/>
    </row>
    <row r="204" spans="1:12" ht="15" customHeight="1" x14ac:dyDescent="0.25">
      <c r="A204" s="85"/>
      <c r="B204" s="41" t="str">
        <f>IF(A204="","",IFERROR(VLOOKUP(A204,DB_Customers!$A:$D,4,0),"❌ Account Not Found"))</f>
        <v/>
      </c>
      <c r="C204" s="86" t="str">
        <f>IF(A204="","",IFERROR(VLOOKUP(A204,DB_Customers!$A:$N,14,0),"❌ Acct Not Found"))</f>
        <v/>
      </c>
      <c r="D204" s="87" t="str">
        <f t="shared" ca="1" si="18"/>
        <v/>
      </c>
      <c r="E204" s="94"/>
      <c r="F204" s="41"/>
      <c r="G204" s="96" t="str">
        <f t="shared" si="19"/>
        <v/>
      </c>
      <c r="H204" s="43" t="s">
        <v>136</v>
      </c>
      <c r="I204" s="81"/>
      <c r="J204" s="89" t="str">
        <f>IF(AND(A204&lt;&gt;"",E204&lt;&gt;""),IF(I204="","⚠️ Enter Code",IF(IFERROR(VLOOKUP(H204,DB_Agents!$B:$I,8,0),"")=I204,IF(C204&gt;=E204,"Successful","Unsuccessful"),"🔒 BLOCKED — Wrong Code")),"Pending")</f>
        <v>Pending</v>
      </c>
      <c r="K204" s="90" t="str">
        <f t="shared" ca="1" si="20"/>
        <v>—</v>
      </c>
      <c r="L204" s="91"/>
    </row>
    <row r="205" spans="1:12" ht="15" customHeight="1" x14ac:dyDescent="0.25">
      <c r="A205" s="76"/>
      <c r="B205" s="37" t="str">
        <f>IF(A205="","",IFERROR(VLOOKUP(A205,DB_Customers!$A:$D,4,0),"❌ Account Not Found"))</f>
        <v/>
      </c>
      <c r="C205" s="77" t="str">
        <f>IF(A205="","",IFERROR(VLOOKUP(A205,DB_Customers!$A:$N,14,0),"❌ Acct Not Found"))</f>
        <v/>
      </c>
      <c r="D205" s="78" t="str">
        <f t="shared" ca="1" si="18"/>
        <v/>
      </c>
      <c r="E205" s="94"/>
      <c r="F205" s="37"/>
      <c r="G205" s="95" t="str">
        <f t="shared" si="19"/>
        <v/>
      </c>
      <c r="H205" s="39" t="s">
        <v>136</v>
      </c>
      <c r="I205" s="81"/>
      <c r="J205" s="82" t="str">
        <f>IF(AND(A205&lt;&gt;"",E205&lt;&gt;""),IF(I205="","⚠️ Enter Code",IF(IFERROR(VLOOKUP(H205,DB_Agents!$B:$I,8,0),"")=I205,IF(C205&gt;=E205,"Successful","Unsuccessful"),"🔒 BLOCKED — Wrong Code")),"Pending")</f>
        <v>Pending</v>
      </c>
      <c r="K205" s="83" t="str">
        <f t="shared" ca="1" si="20"/>
        <v>—</v>
      </c>
      <c r="L205" s="84"/>
    </row>
    <row r="206" spans="1:12" ht="15" customHeight="1" x14ac:dyDescent="0.25">
      <c r="A206" s="85"/>
      <c r="B206" s="41" t="str">
        <f>IF(A206="","",IFERROR(VLOOKUP(A206,DB_Customers!$A:$D,4,0),"❌ Account Not Found"))</f>
        <v/>
      </c>
      <c r="C206" s="86" t="str">
        <f>IF(A206="","",IFERROR(VLOOKUP(A206,DB_Customers!$A:$N,14,0),"❌ Acct Not Found"))</f>
        <v/>
      </c>
      <c r="D206" s="87" t="str">
        <f t="shared" ca="1" si="18"/>
        <v/>
      </c>
      <c r="E206" s="94"/>
      <c r="F206" s="41"/>
      <c r="G206" s="96" t="str">
        <f t="shared" si="19"/>
        <v/>
      </c>
      <c r="H206" s="43" t="s">
        <v>136</v>
      </c>
      <c r="I206" s="81"/>
      <c r="J206" s="89" t="str">
        <f>IF(AND(A206&lt;&gt;"",E206&lt;&gt;""),IF(I206="","⚠️ Enter Code",IF(IFERROR(VLOOKUP(H206,DB_Agents!$B:$I,8,0),"")=I206,IF(C206&gt;=E206,"Successful","Unsuccessful"),"🔒 BLOCKED — Wrong Code")),"Pending")</f>
        <v>Pending</v>
      </c>
      <c r="K206" s="90" t="str">
        <f t="shared" ca="1" si="20"/>
        <v>—</v>
      </c>
      <c r="L206" s="91"/>
    </row>
    <row r="207" spans="1:12" ht="15" customHeight="1" x14ac:dyDescent="0.25">
      <c r="A207" s="76"/>
      <c r="B207" s="37" t="str">
        <f>IF(A207="","",IFERROR(VLOOKUP(A207,DB_Customers!$A:$D,4,0),"❌ Account Not Found"))</f>
        <v/>
      </c>
      <c r="C207" s="77" t="str">
        <f>IF(A207="","",IFERROR(VLOOKUP(A207,DB_Customers!$A:$N,14,0),"❌ Acct Not Found"))</f>
        <v/>
      </c>
      <c r="D207" s="78" t="str">
        <f t="shared" ca="1" si="18"/>
        <v/>
      </c>
      <c r="E207" s="94"/>
      <c r="F207" s="37"/>
      <c r="G207" s="95" t="str">
        <f t="shared" si="19"/>
        <v/>
      </c>
      <c r="H207" s="39" t="s">
        <v>136</v>
      </c>
      <c r="I207" s="81"/>
      <c r="J207" s="82" t="str">
        <f>IF(AND(A207&lt;&gt;"",E207&lt;&gt;""),IF(I207="","⚠️ Enter Code",IF(IFERROR(VLOOKUP(H207,DB_Agents!$B:$I,8,0),"")=I207,IF(C207&gt;=E207,"Successful","Unsuccessful"),"🔒 BLOCKED — Wrong Code")),"Pending")</f>
        <v>Pending</v>
      </c>
      <c r="K207" s="83" t="str">
        <f t="shared" ca="1" si="20"/>
        <v>—</v>
      </c>
      <c r="L207" s="84"/>
    </row>
    <row r="208" spans="1:12" ht="15" customHeight="1" x14ac:dyDescent="0.25">
      <c r="A208" s="85"/>
      <c r="B208" s="41" t="str">
        <f>IF(A208="","",IFERROR(VLOOKUP(A208,DB_Customers!$A:$D,4,0),"❌ Account Not Found"))</f>
        <v/>
      </c>
      <c r="C208" s="86" t="str">
        <f>IF(A208="","",IFERROR(VLOOKUP(A208,DB_Customers!$A:$N,14,0),"❌ Acct Not Found"))</f>
        <v/>
      </c>
      <c r="D208" s="87" t="str">
        <f t="shared" ca="1" si="18"/>
        <v/>
      </c>
      <c r="E208" s="94"/>
      <c r="F208" s="41"/>
      <c r="G208" s="96" t="str">
        <f t="shared" si="19"/>
        <v/>
      </c>
      <c r="H208" s="43" t="s">
        <v>136</v>
      </c>
      <c r="I208" s="81"/>
      <c r="J208" s="89" t="str">
        <f>IF(AND(A208&lt;&gt;"",E208&lt;&gt;""),IF(I208="","⚠️ Enter Code",IF(IFERROR(VLOOKUP(H208,DB_Agents!$B:$I,8,0),"")=I208,IF(C208&gt;=E208,"Successful","Unsuccessful"),"🔒 BLOCKED — Wrong Code")),"Pending")</f>
        <v>Pending</v>
      </c>
      <c r="K208" s="90" t="str">
        <f t="shared" ca="1" si="20"/>
        <v>—</v>
      </c>
      <c r="L208" s="91"/>
    </row>
  </sheetData>
  <mergeCells count="8">
    <mergeCell ref="A7:M7"/>
    <mergeCell ref="A4:C4"/>
    <mergeCell ref="A2:M2"/>
    <mergeCell ref="A1:M1"/>
    <mergeCell ref="A5:M5"/>
    <mergeCell ref="D4:F4"/>
    <mergeCell ref="D3:F3"/>
    <mergeCell ref="A3:C3"/>
  </mergeCells>
  <conditionalFormatting sqref="I9:I208">
    <cfRule type="cellIs" dxfId="69" priority="2" operator="equal">
      <formula>"Successful"</formula>
    </cfRule>
    <cfRule type="cellIs" dxfId="68" priority="3" operator="equal">
      <formula>"Unsuccessful"</formula>
    </cfRule>
  </conditionalFormatting>
  <conditionalFormatting sqref="A9:K208">
    <cfRule type="expression" dxfId="67" priority="4">
      <formula>$I9="Unsuccessful"</formula>
    </cfRule>
  </conditionalFormatting>
  <conditionalFormatting sqref="G9:G208">
    <cfRule type="cellIs" dxfId="66" priority="5" operator="lessThan">
      <formula>0</formula>
    </cfRule>
  </conditionalFormatting>
  <dataValidations count="1">
    <dataValidation type="list" sqref="H9:H208" xr:uid="{00000000-0002-0000-13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5" width="13" customWidth="1"/>
    <col min="6" max="6" width="20" customWidth="1"/>
    <col min="7" max="7" width="9" customWidth="1"/>
    <col min="8" max="8" width="8" customWidth="1"/>
    <col min="9" max="10" width="14" customWidth="1"/>
    <col min="11" max="11" width="18" customWidth="1"/>
    <col min="12" max="12" width="10" customWidth="1"/>
    <col min="13" max="13" width="12" customWidth="1"/>
    <col min="14" max="14" width="18" customWidth="1"/>
  </cols>
  <sheetData>
    <row r="1" spans="1:14" ht="31.5" customHeight="1" x14ac:dyDescent="0.25">
      <c r="A1" s="226" t="s">
        <v>357</v>
      </c>
    </row>
    <row r="2" spans="1:14" ht="19.5" customHeight="1" x14ac:dyDescent="0.25">
      <c r="A2" s="201" t="s">
        <v>2</v>
      </c>
    </row>
    <row r="4" spans="1:14" ht="21.75" customHeight="1" x14ac:dyDescent="0.25">
      <c r="A4" s="97" t="s">
        <v>333</v>
      </c>
    </row>
    <row r="5" spans="1:14" ht="19.5" customHeight="1" x14ac:dyDescent="0.25">
      <c r="A5" s="227" t="s">
        <v>334</v>
      </c>
      <c r="B5" s="202"/>
    </row>
    <row r="6" spans="1:14" ht="19.5" customHeight="1" x14ac:dyDescent="0.25">
      <c r="A6" s="227" t="s">
        <v>335</v>
      </c>
      <c r="B6" s="202"/>
    </row>
    <row r="7" spans="1:14" ht="19.5" customHeight="1" x14ac:dyDescent="0.25">
      <c r="A7" s="227" t="s">
        <v>336</v>
      </c>
      <c r="B7" s="228">
        <v>2.5</v>
      </c>
    </row>
    <row r="8" spans="1:14" ht="19.5" customHeight="1" x14ac:dyDescent="0.25">
      <c r="A8" s="99" t="s">
        <v>337</v>
      </c>
      <c r="B8" s="203" t="str">
        <f>IF(B5="","",B5*B7/100*B6)</f>
        <v/>
      </c>
    </row>
    <row r="9" spans="1:14" ht="19.5" customHeight="1" x14ac:dyDescent="0.25">
      <c r="A9" s="99" t="s">
        <v>338</v>
      </c>
      <c r="B9" s="204" t="str">
        <f>IF(B5="","",B5+(B5*B7/100*B6))</f>
        <v/>
      </c>
    </row>
    <row r="10" spans="1:14" ht="19.5" customHeight="1" x14ac:dyDescent="0.25">
      <c r="A10" s="99" t="s">
        <v>339</v>
      </c>
      <c r="B10" s="204" t="str">
        <f>IFERROR(B9/B6,"")</f>
        <v/>
      </c>
    </row>
    <row r="11" spans="1:14" ht="7.5" customHeight="1" x14ac:dyDescent="0.25"/>
    <row r="12" spans="1:14" ht="21.75" customHeight="1" x14ac:dyDescent="0.25">
      <c r="A12" s="205"/>
    </row>
    <row r="13" spans="1:14" ht="27.95" customHeight="1" x14ac:dyDescent="0.25">
      <c r="A13" s="212" t="s">
        <v>82</v>
      </c>
      <c r="B13" s="212" t="s">
        <v>315</v>
      </c>
      <c r="C13" s="212" t="s">
        <v>77</v>
      </c>
      <c r="D13" s="212" t="s">
        <v>84</v>
      </c>
      <c r="E13" s="212" t="s">
        <v>340</v>
      </c>
      <c r="F13" s="212" t="s">
        <v>8</v>
      </c>
      <c r="G13" s="212" t="s">
        <v>9</v>
      </c>
      <c r="H13" s="212" t="s">
        <v>86</v>
      </c>
      <c r="I13" s="212" t="s">
        <v>341</v>
      </c>
      <c r="J13" s="212" t="s">
        <v>342</v>
      </c>
      <c r="K13" s="212" t="s">
        <v>13</v>
      </c>
      <c r="L13" s="212" t="s">
        <v>14</v>
      </c>
      <c r="M13" s="212" t="s">
        <v>319</v>
      </c>
      <c r="N13" s="212" t="s">
        <v>15</v>
      </c>
    </row>
    <row r="14" spans="1:14" ht="18" customHeight="1" x14ac:dyDescent="0.25">
      <c r="A14" s="229" t="str">
        <f t="shared" ref="A14:A45" si="0">IF(B14="","",IF(C14="❌ Account Not Found","INVALID","LN"&amp;TEXT(D14,"YYYYMMDD")&amp;TEXT(ROW()-13,"0000")))</f>
        <v/>
      </c>
      <c r="B14" s="230"/>
      <c r="C14" s="231" t="str">
        <f>IF(B14="","",IFERROR(VLOOKUP(B14,DB_Customers!$A:$D,4,0),"❌ Account Not Found"))</f>
        <v/>
      </c>
      <c r="D14" s="232" t="str">
        <f t="shared" ref="D14:D45" ca="1" si="1">IF(B14="","",TODAY())</f>
        <v/>
      </c>
      <c r="E14" s="233"/>
      <c r="F14" s="231"/>
      <c r="G14" s="234"/>
      <c r="H14" s="235">
        <v>2.5</v>
      </c>
      <c r="I14" s="236" t="str">
        <f t="shared" ref="I14:I45" si="2">IF(E14="","",E14+(E14*H14/100*G14))</f>
        <v/>
      </c>
      <c r="J14" s="237" t="str">
        <f t="shared" ref="J14:J45" si="3">IFERROR(I14/G14,"")</f>
        <v/>
      </c>
      <c r="K14" s="238" t="str">
        <f>IF(B14="","Pending",IF(M14="","⚠️ Enter Code",IF(IFERROR(VLOOKUP(L14,DB_Agents!$B:$I,8,0),"")=M14,"Pending","🔒 BLOCKED — Wrong Code")))</f>
        <v>Pending</v>
      </c>
      <c r="L14" s="239" t="s">
        <v>136</v>
      </c>
      <c r="M14" s="240"/>
      <c r="N14" s="230"/>
    </row>
    <row r="15" spans="1:14" ht="18" customHeight="1" x14ac:dyDescent="0.25">
      <c r="A15" s="241" t="str">
        <f t="shared" si="0"/>
        <v/>
      </c>
      <c r="B15" s="242"/>
      <c r="C15" s="243" t="str">
        <f>IF(B15="","",IFERROR(VLOOKUP(B15,DB_Customers!$A:$D,4,0),"❌ Account Not Found"))</f>
        <v/>
      </c>
      <c r="D15" s="244" t="str">
        <f t="shared" ca="1" si="1"/>
        <v/>
      </c>
      <c r="E15" s="245"/>
      <c r="F15" s="243"/>
      <c r="G15" s="246"/>
      <c r="H15" s="247">
        <v>2.5</v>
      </c>
      <c r="I15" s="248" t="str">
        <f t="shared" si="2"/>
        <v/>
      </c>
      <c r="J15" s="249" t="str">
        <f t="shared" si="3"/>
        <v/>
      </c>
      <c r="K15" s="250" t="str">
        <f>IF(B15="","Pending",IF(M15="","⚠️ Enter Code",IF(IFERROR(VLOOKUP(L15,DB_Agents!$B:$I,8,0),"")=M15,"Pending","🔒 BLOCKED — Wrong Code")))</f>
        <v>Pending</v>
      </c>
      <c r="L15" s="251" t="s">
        <v>136</v>
      </c>
      <c r="M15" s="252"/>
      <c r="N15" s="242"/>
    </row>
    <row r="16" spans="1:14" ht="18" customHeight="1" x14ac:dyDescent="0.25">
      <c r="A16" s="229" t="str">
        <f t="shared" si="0"/>
        <v/>
      </c>
      <c r="B16" s="230"/>
      <c r="C16" s="231" t="str">
        <f>IF(B16="","",IFERROR(VLOOKUP(B16,DB_Customers!$A:$D,4,0),"❌ Account Not Found"))</f>
        <v/>
      </c>
      <c r="D16" s="232" t="str">
        <f t="shared" ca="1" si="1"/>
        <v/>
      </c>
      <c r="E16" s="233"/>
      <c r="F16" s="231"/>
      <c r="G16" s="234"/>
      <c r="H16" s="235">
        <v>2.5</v>
      </c>
      <c r="I16" s="236" t="str">
        <f t="shared" si="2"/>
        <v/>
      </c>
      <c r="J16" s="237" t="str">
        <f t="shared" si="3"/>
        <v/>
      </c>
      <c r="K16" s="238" t="str">
        <f>IF(B16="","Pending",IF(M16="","⚠️ Enter Code",IF(IFERROR(VLOOKUP(L16,DB_Agents!$B:$I,8,0),"")=M16,"Pending","🔒 BLOCKED — Wrong Code")))</f>
        <v>Pending</v>
      </c>
      <c r="L16" s="239" t="s">
        <v>136</v>
      </c>
      <c r="M16" s="240"/>
      <c r="N16" s="230"/>
    </row>
    <row r="17" spans="1:14" ht="18" customHeight="1" x14ac:dyDescent="0.25">
      <c r="A17" s="241" t="str">
        <f t="shared" si="0"/>
        <v/>
      </c>
      <c r="B17" s="242"/>
      <c r="C17" s="243" t="str">
        <f>IF(B17="","",IFERROR(VLOOKUP(B17,DB_Customers!$A:$D,4,0),"❌ Account Not Found"))</f>
        <v/>
      </c>
      <c r="D17" s="244" t="str">
        <f t="shared" ca="1" si="1"/>
        <v/>
      </c>
      <c r="E17" s="245"/>
      <c r="F17" s="243"/>
      <c r="G17" s="246"/>
      <c r="H17" s="247">
        <v>2.5</v>
      </c>
      <c r="I17" s="248" t="str">
        <f t="shared" si="2"/>
        <v/>
      </c>
      <c r="J17" s="249" t="str">
        <f t="shared" si="3"/>
        <v/>
      </c>
      <c r="K17" s="250" t="str">
        <f>IF(B17="","Pending",IF(M17="","⚠️ Enter Code",IF(IFERROR(VLOOKUP(L17,DB_Agents!$B:$I,8,0),"")=M17,"Pending","🔒 BLOCKED — Wrong Code")))</f>
        <v>Pending</v>
      </c>
      <c r="L17" s="251" t="s">
        <v>136</v>
      </c>
      <c r="M17" s="252"/>
      <c r="N17" s="242"/>
    </row>
    <row r="18" spans="1:14" ht="18" customHeight="1" x14ac:dyDescent="0.25">
      <c r="A18" s="229" t="str">
        <f t="shared" si="0"/>
        <v/>
      </c>
      <c r="B18" s="230"/>
      <c r="C18" s="231" t="str">
        <f>IF(B18="","",IFERROR(VLOOKUP(B18,DB_Customers!$A:$D,4,0),"❌ Account Not Found"))</f>
        <v/>
      </c>
      <c r="D18" s="232" t="str">
        <f t="shared" ca="1" si="1"/>
        <v/>
      </c>
      <c r="E18" s="233"/>
      <c r="F18" s="231"/>
      <c r="G18" s="234"/>
      <c r="H18" s="235">
        <v>2.5</v>
      </c>
      <c r="I18" s="236" t="str">
        <f t="shared" si="2"/>
        <v/>
      </c>
      <c r="J18" s="237" t="str">
        <f t="shared" si="3"/>
        <v/>
      </c>
      <c r="K18" s="238" t="str">
        <f>IF(B18="","Pending",IF(M18="","⚠️ Enter Code",IF(IFERROR(VLOOKUP(L18,DB_Agents!$B:$I,8,0),"")=M18,"Pending","🔒 BLOCKED — Wrong Code")))</f>
        <v>Pending</v>
      </c>
      <c r="L18" s="239" t="s">
        <v>136</v>
      </c>
      <c r="M18" s="240"/>
      <c r="N18" s="230"/>
    </row>
    <row r="19" spans="1:14" ht="18" customHeight="1" x14ac:dyDescent="0.25">
      <c r="A19" s="241" t="str">
        <f t="shared" si="0"/>
        <v/>
      </c>
      <c r="B19" s="242"/>
      <c r="C19" s="243" t="str">
        <f>IF(B19="","",IFERROR(VLOOKUP(B19,DB_Customers!$A:$D,4,0),"❌ Account Not Found"))</f>
        <v/>
      </c>
      <c r="D19" s="244" t="str">
        <f t="shared" ca="1" si="1"/>
        <v/>
      </c>
      <c r="E19" s="245"/>
      <c r="F19" s="243"/>
      <c r="G19" s="246"/>
      <c r="H19" s="247">
        <v>2.5</v>
      </c>
      <c r="I19" s="248" t="str">
        <f t="shared" si="2"/>
        <v/>
      </c>
      <c r="J19" s="249" t="str">
        <f t="shared" si="3"/>
        <v/>
      </c>
      <c r="K19" s="250" t="str">
        <f>IF(B19="","Pending",IF(M19="","⚠️ Enter Code",IF(IFERROR(VLOOKUP(L19,DB_Agents!$B:$I,8,0),"")=M19,"Pending","🔒 BLOCKED — Wrong Code")))</f>
        <v>Pending</v>
      </c>
      <c r="L19" s="251" t="s">
        <v>136</v>
      </c>
      <c r="M19" s="252"/>
      <c r="N19" s="242"/>
    </row>
    <row r="20" spans="1:14" ht="18" customHeight="1" x14ac:dyDescent="0.25">
      <c r="A20" s="229" t="str">
        <f t="shared" si="0"/>
        <v/>
      </c>
      <c r="B20" s="230"/>
      <c r="C20" s="231" t="str">
        <f>IF(B20="","",IFERROR(VLOOKUP(B20,DB_Customers!$A:$D,4,0),"❌ Account Not Found"))</f>
        <v/>
      </c>
      <c r="D20" s="232" t="str">
        <f t="shared" ca="1" si="1"/>
        <v/>
      </c>
      <c r="E20" s="233"/>
      <c r="F20" s="231"/>
      <c r="G20" s="234"/>
      <c r="H20" s="235">
        <v>2.5</v>
      </c>
      <c r="I20" s="236" t="str">
        <f t="shared" si="2"/>
        <v/>
      </c>
      <c r="J20" s="237" t="str">
        <f t="shared" si="3"/>
        <v/>
      </c>
      <c r="K20" s="238" t="str">
        <f>IF(B20="","Pending",IF(M20="","⚠️ Enter Code",IF(IFERROR(VLOOKUP(L20,DB_Agents!$B:$I,8,0),"")=M20,"Pending","🔒 BLOCKED — Wrong Code")))</f>
        <v>Pending</v>
      </c>
      <c r="L20" s="239" t="s">
        <v>136</v>
      </c>
      <c r="M20" s="240"/>
      <c r="N20" s="230"/>
    </row>
    <row r="21" spans="1:14" ht="18" customHeight="1" x14ac:dyDescent="0.25">
      <c r="A21" s="241" t="str">
        <f t="shared" si="0"/>
        <v/>
      </c>
      <c r="B21" s="242"/>
      <c r="C21" s="243" t="str">
        <f>IF(B21="","",IFERROR(VLOOKUP(B21,DB_Customers!$A:$D,4,0),"❌ Account Not Found"))</f>
        <v/>
      </c>
      <c r="D21" s="244" t="str">
        <f t="shared" ca="1" si="1"/>
        <v/>
      </c>
      <c r="E21" s="245"/>
      <c r="F21" s="243"/>
      <c r="G21" s="246"/>
      <c r="H21" s="247">
        <v>2.5</v>
      </c>
      <c r="I21" s="248" t="str">
        <f t="shared" si="2"/>
        <v/>
      </c>
      <c r="J21" s="249" t="str">
        <f t="shared" si="3"/>
        <v/>
      </c>
      <c r="K21" s="250" t="str">
        <f>IF(B21="","Pending",IF(M21="","⚠️ Enter Code",IF(IFERROR(VLOOKUP(L21,DB_Agents!$B:$I,8,0),"")=M21,"Pending","🔒 BLOCKED — Wrong Code")))</f>
        <v>Pending</v>
      </c>
      <c r="L21" s="251" t="s">
        <v>136</v>
      </c>
      <c r="M21" s="252"/>
      <c r="N21" s="242"/>
    </row>
    <row r="22" spans="1:14" ht="18" customHeight="1" x14ac:dyDescent="0.25">
      <c r="A22" s="229" t="str">
        <f t="shared" si="0"/>
        <v/>
      </c>
      <c r="B22" s="230"/>
      <c r="C22" s="231" t="str">
        <f>IF(B22="","",IFERROR(VLOOKUP(B22,DB_Customers!$A:$D,4,0),"❌ Account Not Found"))</f>
        <v/>
      </c>
      <c r="D22" s="232" t="str">
        <f t="shared" ca="1" si="1"/>
        <v/>
      </c>
      <c r="E22" s="233"/>
      <c r="F22" s="231"/>
      <c r="G22" s="234"/>
      <c r="H22" s="235">
        <v>2.5</v>
      </c>
      <c r="I22" s="236" t="str">
        <f t="shared" si="2"/>
        <v/>
      </c>
      <c r="J22" s="237" t="str">
        <f t="shared" si="3"/>
        <v/>
      </c>
      <c r="K22" s="238" t="str">
        <f>IF(B22="","Pending",IF(M22="","⚠️ Enter Code",IF(IFERROR(VLOOKUP(L22,DB_Agents!$B:$I,8,0),"")=M22,"Pending","🔒 BLOCKED — Wrong Code")))</f>
        <v>Pending</v>
      </c>
      <c r="L22" s="239" t="s">
        <v>136</v>
      </c>
      <c r="M22" s="240"/>
      <c r="N22" s="230"/>
    </row>
    <row r="23" spans="1:14" ht="18" customHeight="1" x14ac:dyDescent="0.25">
      <c r="A23" s="241" t="str">
        <f t="shared" si="0"/>
        <v/>
      </c>
      <c r="B23" s="242"/>
      <c r="C23" s="243" t="str">
        <f>IF(B23="","",IFERROR(VLOOKUP(B23,DB_Customers!$A:$D,4,0),"❌ Account Not Found"))</f>
        <v/>
      </c>
      <c r="D23" s="244" t="str">
        <f t="shared" ca="1" si="1"/>
        <v/>
      </c>
      <c r="E23" s="245"/>
      <c r="F23" s="243"/>
      <c r="G23" s="246"/>
      <c r="H23" s="247">
        <v>2.5</v>
      </c>
      <c r="I23" s="248" t="str">
        <f t="shared" si="2"/>
        <v/>
      </c>
      <c r="J23" s="249" t="str">
        <f t="shared" si="3"/>
        <v/>
      </c>
      <c r="K23" s="250" t="str">
        <f>IF(B23="","Pending",IF(M23="","⚠️ Enter Code",IF(IFERROR(VLOOKUP(L23,DB_Agents!$B:$I,8,0),"")=M23,"Pending","🔒 BLOCKED — Wrong Code")))</f>
        <v>Pending</v>
      </c>
      <c r="L23" s="251" t="s">
        <v>136</v>
      </c>
      <c r="M23" s="252"/>
      <c r="N23" s="242"/>
    </row>
    <row r="24" spans="1:14" ht="18" customHeight="1" x14ac:dyDescent="0.25">
      <c r="A24" s="229" t="str">
        <f t="shared" si="0"/>
        <v/>
      </c>
      <c r="B24" s="230"/>
      <c r="C24" s="231" t="str">
        <f>IF(B24="","",IFERROR(VLOOKUP(B24,DB_Customers!$A:$D,4,0),"❌ Account Not Found"))</f>
        <v/>
      </c>
      <c r="D24" s="232" t="str">
        <f t="shared" ca="1" si="1"/>
        <v/>
      </c>
      <c r="E24" s="233"/>
      <c r="F24" s="231"/>
      <c r="G24" s="234"/>
      <c r="H24" s="235">
        <v>2.5</v>
      </c>
      <c r="I24" s="236" t="str">
        <f t="shared" si="2"/>
        <v/>
      </c>
      <c r="J24" s="237" t="str">
        <f t="shared" si="3"/>
        <v/>
      </c>
      <c r="K24" s="238" t="str">
        <f>IF(B24="","Pending",IF(M24="","⚠️ Enter Code",IF(IFERROR(VLOOKUP(L24,DB_Agents!$B:$I,8,0),"")=M24,"Pending","🔒 BLOCKED — Wrong Code")))</f>
        <v>Pending</v>
      </c>
      <c r="L24" s="239" t="s">
        <v>136</v>
      </c>
      <c r="M24" s="240"/>
      <c r="N24" s="230"/>
    </row>
    <row r="25" spans="1:14" ht="18" customHeight="1" x14ac:dyDescent="0.25">
      <c r="A25" s="241" t="str">
        <f t="shared" si="0"/>
        <v/>
      </c>
      <c r="B25" s="242"/>
      <c r="C25" s="243" t="str">
        <f>IF(B25="","",IFERROR(VLOOKUP(B25,DB_Customers!$A:$D,4,0),"❌ Account Not Found"))</f>
        <v/>
      </c>
      <c r="D25" s="244" t="str">
        <f t="shared" ca="1" si="1"/>
        <v/>
      </c>
      <c r="E25" s="245"/>
      <c r="F25" s="243"/>
      <c r="G25" s="246"/>
      <c r="H25" s="247">
        <v>2.5</v>
      </c>
      <c r="I25" s="248" t="str">
        <f t="shared" si="2"/>
        <v/>
      </c>
      <c r="J25" s="249" t="str">
        <f t="shared" si="3"/>
        <v/>
      </c>
      <c r="K25" s="250" t="str">
        <f>IF(B25="","Pending",IF(M25="","⚠️ Enter Code",IF(IFERROR(VLOOKUP(L25,DB_Agents!$B:$I,8,0),"")=M25,"Pending","🔒 BLOCKED — Wrong Code")))</f>
        <v>Pending</v>
      </c>
      <c r="L25" s="251" t="s">
        <v>136</v>
      </c>
      <c r="M25" s="252"/>
      <c r="N25" s="242"/>
    </row>
    <row r="26" spans="1:14" ht="18" customHeight="1" x14ac:dyDescent="0.25">
      <c r="A26" s="229" t="str">
        <f t="shared" si="0"/>
        <v/>
      </c>
      <c r="B26" s="230"/>
      <c r="C26" s="231" t="str">
        <f>IF(B26="","",IFERROR(VLOOKUP(B26,DB_Customers!$A:$D,4,0),"❌ Account Not Found"))</f>
        <v/>
      </c>
      <c r="D26" s="232" t="str">
        <f t="shared" ca="1" si="1"/>
        <v/>
      </c>
      <c r="E26" s="233"/>
      <c r="F26" s="231"/>
      <c r="G26" s="234"/>
      <c r="H26" s="235">
        <v>2.5</v>
      </c>
      <c r="I26" s="236" t="str">
        <f t="shared" si="2"/>
        <v/>
      </c>
      <c r="J26" s="237" t="str">
        <f t="shared" si="3"/>
        <v/>
      </c>
      <c r="K26" s="238" t="str">
        <f>IF(B26="","Pending",IF(M26="","⚠️ Enter Code",IF(IFERROR(VLOOKUP(L26,DB_Agents!$B:$I,8,0),"")=M26,"Pending","🔒 BLOCKED — Wrong Code")))</f>
        <v>Pending</v>
      </c>
      <c r="L26" s="239" t="s">
        <v>136</v>
      </c>
      <c r="M26" s="240"/>
      <c r="N26" s="230"/>
    </row>
    <row r="27" spans="1:14" ht="18" customHeight="1" x14ac:dyDescent="0.25">
      <c r="A27" s="241" t="str">
        <f t="shared" si="0"/>
        <v/>
      </c>
      <c r="B27" s="242"/>
      <c r="C27" s="243" t="str">
        <f>IF(B27="","",IFERROR(VLOOKUP(B27,DB_Customers!$A:$D,4,0),"❌ Account Not Found"))</f>
        <v/>
      </c>
      <c r="D27" s="244" t="str">
        <f t="shared" ca="1" si="1"/>
        <v/>
      </c>
      <c r="E27" s="245"/>
      <c r="F27" s="243"/>
      <c r="G27" s="246"/>
      <c r="H27" s="247">
        <v>2.5</v>
      </c>
      <c r="I27" s="248" t="str">
        <f t="shared" si="2"/>
        <v/>
      </c>
      <c r="J27" s="249" t="str">
        <f t="shared" si="3"/>
        <v/>
      </c>
      <c r="K27" s="250" t="str">
        <f>IF(B27="","Pending",IF(M27="","⚠️ Enter Code",IF(IFERROR(VLOOKUP(L27,DB_Agents!$B:$I,8,0),"")=M27,"Pending","🔒 BLOCKED — Wrong Code")))</f>
        <v>Pending</v>
      </c>
      <c r="L27" s="251" t="s">
        <v>136</v>
      </c>
      <c r="M27" s="252"/>
      <c r="N27" s="242"/>
    </row>
    <row r="28" spans="1:14" ht="18" customHeight="1" x14ac:dyDescent="0.25">
      <c r="A28" s="229" t="str">
        <f t="shared" si="0"/>
        <v/>
      </c>
      <c r="B28" s="230"/>
      <c r="C28" s="231" t="str">
        <f>IF(B28="","",IFERROR(VLOOKUP(B28,DB_Customers!$A:$D,4,0),"❌ Account Not Found"))</f>
        <v/>
      </c>
      <c r="D28" s="232" t="str">
        <f t="shared" ca="1" si="1"/>
        <v/>
      </c>
      <c r="E28" s="233"/>
      <c r="F28" s="231"/>
      <c r="G28" s="234"/>
      <c r="H28" s="235">
        <v>2.5</v>
      </c>
      <c r="I28" s="236" t="str">
        <f t="shared" si="2"/>
        <v/>
      </c>
      <c r="J28" s="237" t="str">
        <f t="shared" si="3"/>
        <v/>
      </c>
      <c r="K28" s="238" t="str">
        <f>IF(B28="","Pending",IF(M28="","⚠️ Enter Code",IF(IFERROR(VLOOKUP(L28,DB_Agents!$B:$I,8,0),"")=M28,"Pending","🔒 BLOCKED — Wrong Code")))</f>
        <v>Pending</v>
      </c>
      <c r="L28" s="239" t="s">
        <v>136</v>
      </c>
      <c r="M28" s="240"/>
      <c r="N28" s="230"/>
    </row>
    <row r="29" spans="1:14" ht="18" customHeight="1" x14ac:dyDescent="0.25">
      <c r="A29" s="241" t="str">
        <f t="shared" si="0"/>
        <v/>
      </c>
      <c r="B29" s="242"/>
      <c r="C29" s="243" t="str">
        <f>IF(B29="","",IFERROR(VLOOKUP(B29,DB_Customers!$A:$D,4,0),"❌ Account Not Found"))</f>
        <v/>
      </c>
      <c r="D29" s="244" t="str">
        <f t="shared" ca="1" si="1"/>
        <v/>
      </c>
      <c r="E29" s="245"/>
      <c r="F29" s="243"/>
      <c r="G29" s="246"/>
      <c r="H29" s="247">
        <v>2.5</v>
      </c>
      <c r="I29" s="248" t="str">
        <f t="shared" si="2"/>
        <v/>
      </c>
      <c r="J29" s="249" t="str">
        <f t="shared" si="3"/>
        <v/>
      </c>
      <c r="K29" s="250" t="str">
        <f>IF(B29="","Pending",IF(M29="","⚠️ Enter Code",IF(IFERROR(VLOOKUP(L29,DB_Agents!$B:$I,8,0),"")=M29,"Pending","🔒 BLOCKED — Wrong Code")))</f>
        <v>Pending</v>
      </c>
      <c r="L29" s="251" t="s">
        <v>136</v>
      </c>
      <c r="M29" s="252"/>
      <c r="N29" s="242"/>
    </row>
    <row r="30" spans="1:14" ht="18" customHeight="1" x14ac:dyDescent="0.25">
      <c r="A30" s="229" t="str">
        <f t="shared" si="0"/>
        <v/>
      </c>
      <c r="B30" s="230"/>
      <c r="C30" s="231" t="str">
        <f>IF(B30="","",IFERROR(VLOOKUP(B30,DB_Customers!$A:$D,4,0),"❌ Account Not Found"))</f>
        <v/>
      </c>
      <c r="D30" s="232" t="str">
        <f t="shared" ca="1" si="1"/>
        <v/>
      </c>
      <c r="E30" s="233"/>
      <c r="F30" s="231"/>
      <c r="G30" s="234"/>
      <c r="H30" s="235">
        <v>2.5</v>
      </c>
      <c r="I30" s="236" t="str">
        <f t="shared" si="2"/>
        <v/>
      </c>
      <c r="J30" s="237" t="str">
        <f t="shared" si="3"/>
        <v/>
      </c>
      <c r="K30" s="238" t="str">
        <f>IF(B30="","Pending",IF(M30="","⚠️ Enter Code",IF(IFERROR(VLOOKUP(L30,DB_Agents!$B:$I,8,0),"")=M30,"Pending","🔒 BLOCKED — Wrong Code")))</f>
        <v>Pending</v>
      </c>
      <c r="L30" s="239" t="s">
        <v>136</v>
      </c>
      <c r="M30" s="240"/>
      <c r="N30" s="230"/>
    </row>
    <row r="31" spans="1:14" ht="18" customHeight="1" x14ac:dyDescent="0.25">
      <c r="A31" s="241" t="str">
        <f t="shared" si="0"/>
        <v/>
      </c>
      <c r="B31" s="242"/>
      <c r="C31" s="243" t="str">
        <f>IF(B31="","",IFERROR(VLOOKUP(B31,DB_Customers!$A:$D,4,0),"❌ Account Not Found"))</f>
        <v/>
      </c>
      <c r="D31" s="244" t="str">
        <f t="shared" ca="1" si="1"/>
        <v/>
      </c>
      <c r="E31" s="245"/>
      <c r="F31" s="243"/>
      <c r="G31" s="246"/>
      <c r="H31" s="247">
        <v>2.5</v>
      </c>
      <c r="I31" s="248" t="str">
        <f t="shared" si="2"/>
        <v/>
      </c>
      <c r="J31" s="249" t="str">
        <f t="shared" si="3"/>
        <v/>
      </c>
      <c r="K31" s="250" t="str">
        <f>IF(B31="","Pending",IF(M31="","⚠️ Enter Code",IF(IFERROR(VLOOKUP(L31,DB_Agents!$B:$I,8,0),"")=M31,"Pending","🔒 BLOCKED — Wrong Code")))</f>
        <v>Pending</v>
      </c>
      <c r="L31" s="251" t="s">
        <v>136</v>
      </c>
      <c r="M31" s="252"/>
      <c r="N31" s="242"/>
    </row>
    <row r="32" spans="1:14" ht="18" customHeight="1" x14ac:dyDescent="0.25">
      <c r="A32" s="229" t="str">
        <f t="shared" si="0"/>
        <v/>
      </c>
      <c r="B32" s="230"/>
      <c r="C32" s="231" t="str">
        <f>IF(B32="","",IFERROR(VLOOKUP(B32,DB_Customers!$A:$D,4,0),"❌ Account Not Found"))</f>
        <v/>
      </c>
      <c r="D32" s="232" t="str">
        <f t="shared" ca="1" si="1"/>
        <v/>
      </c>
      <c r="E32" s="233"/>
      <c r="F32" s="231"/>
      <c r="G32" s="234"/>
      <c r="H32" s="235">
        <v>2.5</v>
      </c>
      <c r="I32" s="236" t="str">
        <f t="shared" si="2"/>
        <v/>
      </c>
      <c r="J32" s="237" t="str">
        <f t="shared" si="3"/>
        <v/>
      </c>
      <c r="K32" s="238" t="str">
        <f>IF(B32="","Pending",IF(M32="","⚠️ Enter Code",IF(IFERROR(VLOOKUP(L32,DB_Agents!$B:$I,8,0),"")=M32,"Pending","🔒 BLOCKED — Wrong Code")))</f>
        <v>Pending</v>
      </c>
      <c r="L32" s="239" t="s">
        <v>136</v>
      </c>
      <c r="M32" s="240"/>
      <c r="N32" s="230"/>
    </row>
    <row r="33" spans="1:14" ht="18" customHeight="1" x14ac:dyDescent="0.25">
      <c r="A33" s="241" t="str">
        <f t="shared" si="0"/>
        <v/>
      </c>
      <c r="B33" s="242"/>
      <c r="C33" s="243" t="str">
        <f>IF(B33="","",IFERROR(VLOOKUP(B33,DB_Customers!$A:$D,4,0),"❌ Account Not Found"))</f>
        <v/>
      </c>
      <c r="D33" s="244" t="str">
        <f t="shared" ca="1" si="1"/>
        <v/>
      </c>
      <c r="E33" s="245"/>
      <c r="F33" s="243"/>
      <c r="G33" s="246"/>
      <c r="H33" s="247">
        <v>2.5</v>
      </c>
      <c r="I33" s="248" t="str">
        <f t="shared" si="2"/>
        <v/>
      </c>
      <c r="J33" s="249" t="str">
        <f t="shared" si="3"/>
        <v/>
      </c>
      <c r="K33" s="250" t="str">
        <f>IF(B33="","Pending",IF(M33="","⚠️ Enter Code",IF(IFERROR(VLOOKUP(L33,DB_Agents!$B:$I,8,0),"")=M33,"Pending","🔒 BLOCKED — Wrong Code")))</f>
        <v>Pending</v>
      </c>
      <c r="L33" s="251" t="s">
        <v>136</v>
      </c>
      <c r="M33" s="252"/>
      <c r="N33" s="242"/>
    </row>
    <row r="34" spans="1:14" ht="18" customHeight="1" x14ac:dyDescent="0.25">
      <c r="A34" s="229" t="str">
        <f t="shared" si="0"/>
        <v/>
      </c>
      <c r="B34" s="230"/>
      <c r="C34" s="231" t="str">
        <f>IF(B34="","",IFERROR(VLOOKUP(B34,DB_Customers!$A:$D,4,0),"❌ Account Not Found"))</f>
        <v/>
      </c>
      <c r="D34" s="232" t="str">
        <f t="shared" ca="1" si="1"/>
        <v/>
      </c>
      <c r="E34" s="233"/>
      <c r="F34" s="231"/>
      <c r="G34" s="234"/>
      <c r="H34" s="235">
        <v>2.5</v>
      </c>
      <c r="I34" s="236" t="str">
        <f t="shared" si="2"/>
        <v/>
      </c>
      <c r="J34" s="237" t="str">
        <f t="shared" si="3"/>
        <v/>
      </c>
      <c r="K34" s="238" t="str">
        <f>IF(B34="","Pending",IF(M34="","⚠️ Enter Code",IF(IFERROR(VLOOKUP(L34,DB_Agents!$B:$I,8,0),"")=M34,"Pending","🔒 BLOCKED — Wrong Code")))</f>
        <v>Pending</v>
      </c>
      <c r="L34" s="239" t="s">
        <v>136</v>
      </c>
      <c r="M34" s="240"/>
      <c r="N34" s="230"/>
    </row>
    <row r="35" spans="1:14" ht="18" customHeight="1" x14ac:dyDescent="0.25">
      <c r="A35" s="241" t="str">
        <f t="shared" si="0"/>
        <v/>
      </c>
      <c r="B35" s="242"/>
      <c r="C35" s="243" t="str">
        <f>IF(B35="","",IFERROR(VLOOKUP(B35,DB_Customers!$A:$D,4,0),"❌ Account Not Found"))</f>
        <v/>
      </c>
      <c r="D35" s="244" t="str">
        <f t="shared" ca="1" si="1"/>
        <v/>
      </c>
      <c r="E35" s="245"/>
      <c r="F35" s="243"/>
      <c r="G35" s="246"/>
      <c r="H35" s="247">
        <v>2.5</v>
      </c>
      <c r="I35" s="248" t="str">
        <f t="shared" si="2"/>
        <v/>
      </c>
      <c r="J35" s="249" t="str">
        <f t="shared" si="3"/>
        <v/>
      </c>
      <c r="K35" s="250" t="str">
        <f>IF(B35="","Pending",IF(M35="","⚠️ Enter Code",IF(IFERROR(VLOOKUP(L35,DB_Agents!$B:$I,8,0),"")=M35,"Pending","🔒 BLOCKED — Wrong Code")))</f>
        <v>Pending</v>
      </c>
      <c r="L35" s="251" t="s">
        <v>136</v>
      </c>
      <c r="M35" s="252"/>
      <c r="N35" s="242"/>
    </row>
    <row r="36" spans="1:14" ht="18" customHeight="1" x14ac:dyDescent="0.25">
      <c r="A36" s="229" t="str">
        <f t="shared" si="0"/>
        <v/>
      </c>
      <c r="B36" s="230"/>
      <c r="C36" s="231" t="str">
        <f>IF(B36="","",IFERROR(VLOOKUP(B36,DB_Customers!$A:$D,4,0),"❌ Account Not Found"))</f>
        <v/>
      </c>
      <c r="D36" s="232" t="str">
        <f t="shared" ca="1" si="1"/>
        <v/>
      </c>
      <c r="E36" s="233"/>
      <c r="F36" s="231"/>
      <c r="G36" s="234"/>
      <c r="H36" s="235">
        <v>2.5</v>
      </c>
      <c r="I36" s="236" t="str">
        <f t="shared" si="2"/>
        <v/>
      </c>
      <c r="J36" s="237" t="str">
        <f t="shared" si="3"/>
        <v/>
      </c>
      <c r="K36" s="238" t="str">
        <f>IF(B36="","Pending",IF(M36="","⚠️ Enter Code",IF(IFERROR(VLOOKUP(L36,DB_Agents!$B:$I,8,0),"")=M36,"Pending","🔒 BLOCKED — Wrong Code")))</f>
        <v>Pending</v>
      </c>
      <c r="L36" s="239" t="s">
        <v>136</v>
      </c>
      <c r="M36" s="240"/>
      <c r="N36" s="230"/>
    </row>
    <row r="37" spans="1:14" ht="18" customHeight="1" x14ac:dyDescent="0.25">
      <c r="A37" s="241" t="str">
        <f t="shared" si="0"/>
        <v/>
      </c>
      <c r="B37" s="242"/>
      <c r="C37" s="243" t="str">
        <f>IF(B37="","",IFERROR(VLOOKUP(B37,DB_Customers!$A:$D,4,0),"❌ Account Not Found"))</f>
        <v/>
      </c>
      <c r="D37" s="244" t="str">
        <f t="shared" ca="1" si="1"/>
        <v/>
      </c>
      <c r="E37" s="245"/>
      <c r="F37" s="243"/>
      <c r="G37" s="246"/>
      <c r="H37" s="247">
        <v>2.5</v>
      </c>
      <c r="I37" s="248" t="str">
        <f t="shared" si="2"/>
        <v/>
      </c>
      <c r="J37" s="249" t="str">
        <f t="shared" si="3"/>
        <v/>
      </c>
      <c r="K37" s="250" t="str">
        <f>IF(B37="","Pending",IF(M37="","⚠️ Enter Code",IF(IFERROR(VLOOKUP(L37,DB_Agents!$B:$I,8,0),"")=M37,"Pending","🔒 BLOCKED — Wrong Code")))</f>
        <v>Pending</v>
      </c>
      <c r="L37" s="251" t="s">
        <v>136</v>
      </c>
      <c r="M37" s="252"/>
      <c r="N37" s="242"/>
    </row>
    <row r="38" spans="1:14" ht="18" customHeight="1" x14ac:dyDescent="0.25">
      <c r="A38" s="229" t="str">
        <f t="shared" si="0"/>
        <v/>
      </c>
      <c r="B38" s="230"/>
      <c r="C38" s="231" t="str">
        <f>IF(B38="","",IFERROR(VLOOKUP(B38,DB_Customers!$A:$D,4,0),"❌ Account Not Found"))</f>
        <v/>
      </c>
      <c r="D38" s="232" t="str">
        <f t="shared" ca="1" si="1"/>
        <v/>
      </c>
      <c r="E38" s="233"/>
      <c r="F38" s="231"/>
      <c r="G38" s="234"/>
      <c r="H38" s="235">
        <v>2.5</v>
      </c>
      <c r="I38" s="236" t="str">
        <f t="shared" si="2"/>
        <v/>
      </c>
      <c r="J38" s="237" t="str">
        <f t="shared" si="3"/>
        <v/>
      </c>
      <c r="K38" s="238" t="str">
        <f>IF(B38="","Pending",IF(M38="","⚠️ Enter Code",IF(IFERROR(VLOOKUP(L38,DB_Agents!$B:$I,8,0),"")=M38,"Pending","🔒 BLOCKED — Wrong Code")))</f>
        <v>Pending</v>
      </c>
      <c r="L38" s="239" t="s">
        <v>136</v>
      </c>
      <c r="M38" s="240"/>
      <c r="N38" s="230"/>
    </row>
    <row r="39" spans="1:14" ht="18" customHeight="1" x14ac:dyDescent="0.25">
      <c r="A39" s="241" t="str">
        <f t="shared" si="0"/>
        <v/>
      </c>
      <c r="B39" s="242"/>
      <c r="C39" s="243" t="str">
        <f>IF(B39="","",IFERROR(VLOOKUP(B39,DB_Customers!$A:$D,4,0),"❌ Account Not Found"))</f>
        <v/>
      </c>
      <c r="D39" s="244" t="str">
        <f t="shared" ca="1" si="1"/>
        <v/>
      </c>
      <c r="E39" s="245"/>
      <c r="F39" s="243"/>
      <c r="G39" s="246"/>
      <c r="H39" s="247">
        <v>2.5</v>
      </c>
      <c r="I39" s="248" t="str">
        <f t="shared" si="2"/>
        <v/>
      </c>
      <c r="J39" s="249" t="str">
        <f t="shared" si="3"/>
        <v/>
      </c>
      <c r="K39" s="250" t="str">
        <f>IF(B39="","Pending",IF(M39="","⚠️ Enter Code",IF(IFERROR(VLOOKUP(L39,DB_Agents!$B:$I,8,0),"")=M39,"Pending","🔒 BLOCKED — Wrong Code")))</f>
        <v>Pending</v>
      </c>
      <c r="L39" s="251" t="s">
        <v>136</v>
      </c>
      <c r="M39" s="252"/>
      <c r="N39" s="242"/>
    </row>
    <row r="40" spans="1:14" ht="18" customHeight="1" x14ac:dyDescent="0.25">
      <c r="A40" s="229" t="str">
        <f t="shared" si="0"/>
        <v/>
      </c>
      <c r="B40" s="230"/>
      <c r="C40" s="231" t="str">
        <f>IF(B40="","",IFERROR(VLOOKUP(B40,DB_Customers!$A:$D,4,0),"❌ Account Not Found"))</f>
        <v/>
      </c>
      <c r="D40" s="232" t="str">
        <f t="shared" ca="1" si="1"/>
        <v/>
      </c>
      <c r="E40" s="233"/>
      <c r="F40" s="231"/>
      <c r="G40" s="234"/>
      <c r="H40" s="235">
        <v>2.5</v>
      </c>
      <c r="I40" s="236" t="str">
        <f t="shared" si="2"/>
        <v/>
      </c>
      <c r="J40" s="237" t="str">
        <f t="shared" si="3"/>
        <v/>
      </c>
      <c r="K40" s="238" t="str">
        <f>IF(B40="","Pending",IF(M40="","⚠️ Enter Code",IF(IFERROR(VLOOKUP(L40,DB_Agents!$B:$I,8,0),"")=M40,"Pending","🔒 BLOCKED — Wrong Code")))</f>
        <v>Pending</v>
      </c>
      <c r="L40" s="239" t="s">
        <v>136</v>
      </c>
      <c r="M40" s="240"/>
      <c r="N40" s="230"/>
    </row>
    <row r="41" spans="1:14" ht="18" customHeight="1" x14ac:dyDescent="0.25">
      <c r="A41" s="241" t="str">
        <f t="shared" si="0"/>
        <v/>
      </c>
      <c r="B41" s="242"/>
      <c r="C41" s="243" t="str">
        <f>IF(B41="","",IFERROR(VLOOKUP(B41,DB_Customers!$A:$D,4,0),"❌ Account Not Found"))</f>
        <v/>
      </c>
      <c r="D41" s="244" t="str">
        <f t="shared" ca="1" si="1"/>
        <v/>
      </c>
      <c r="E41" s="245"/>
      <c r="F41" s="243"/>
      <c r="G41" s="246"/>
      <c r="H41" s="247">
        <v>2.5</v>
      </c>
      <c r="I41" s="248" t="str">
        <f t="shared" si="2"/>
        <v/>
      </c>
      <c r="J41" s="249" t="str">
        <f t="shared" si="3"/>
        <v/>
      </c>
      <c r="K41" s="250" t="str">
        <f>IF(B41="","Pending",IF(M41="","⚠️ Enter Code",IF(IFERROR(VLOOKUP(L41,DB_Agents!$B:$I,8,0),"")=M41,"Pending","🔒 BLOCKED — Wrong Code")))</f>
        <v>Pending</v>
      </c>
      <c r="L41" s="251" t="s">
        <v>136</v>
      </c>
      <c r="M41" s="252"/>
      <c r="N41" s="242"/>
    </row>
    <row r="42" spans="1:14" ht="18" customHeight="1" x14ac:dyDescent="0.25">
      <c r="A42" s="229" t="str">
        <f t="shared" si="0"/>
        <v/>
      </c>
      <c r="B42" s="230"/>
      <c r="C42" s="231" t="str">
        <f>IF(B42="","",IFERROR(VLOOKUP(B42,DB_Customers!$A:$D,4,0),"❌ Account Not Found"))</f>
        <v/>
      </c>
      <c r="D42" s="232" t="str">
        <f t="shared" ca="1" si="1"/>
        <v/>
      </c>
      <c r="E42" s="233"/>
      <c r="F42" s="231"/>
      <c r="G42" s="234"/>
      <c r="H42" s="235">
        <v>2.5</v>
      </c>
      <c r="I42" s="236" t="str">
        <f t="shared" si="2"/>
        <v/>
      </c>
      <c r="J42" s="237" t="str">
        <f t="shared" si="3"/>
        <v/>
      </c>
      <c r="K42" s="238" t="str">
        <f>IF(B42="","Pending",IF(M42="","⚠️ Enter Code",IF(IFERROR(VLOOKUP(L42,DB_Agents!$B:$I,8,0),"")=M42,"Pending","🔒 BLOCKED — Wrong Code")))</f>
        <v>Pending</v>
      </c>
      <c r="L42" s="239" t="s">
        <v>136</v>
      </c>
      <c r="M42" s="240"/>
      <c r="N42" s="230"/>
    </row>
    <row r="43" spans="1:14" ht="18" customHeight="1" x14ac:dyDescent="0.25">
      <c r="A43" s="241" t="str">
        <f t="shared" si="0"/>
        <v/>
      </c>
      <c r="B43" s="242"/>
      <c r="C43" s="243" t="str">
        <f>IF(B43="","",IFERROR(VLOOKUP(B43,DB_Customers!$A:$D,4,0),"❌ Account Not Found"))</f>
        <v/>
      </c>
      <c r="D43" s="244" t="str">
        <f t="shared" ca="1" si="1"/>
        <v/>
      </c>
      <c r="E43" s="245"/>
      <c r="F43" s="243"/>
      <c r="G43" s="246"/>
      <c r="H43" s="247">
        <v>2.5</v>
      </c>
      <c r="I43" s="248" t="str">
        <f t="shared" si="2"/>
        <v/>
      </c>
      <c r="J43" s="249" t="str">
        <f t="shared" si="3"/>
        <v/>
      </c>
      <c r="K43" s="250" t="str">
        <f>IF(B43="","Pending",IF(M43="","⚠️ Enter Code",IF(IFERROR(VLOOKUP(L43,DB_Agents!$B:$I,8,0),"")=M43,"Pending","🔒 BLOCKED — Wrong Code")))</f>
        <v>Pending</v>
      </c>
      <c r="L43" s="251" t="s">
        <v>136</v>
      </c>
      <c r="M43" s="252"/>
      <c r="N43" s="242"/>
    </row>
    <row r="44" spans="1:14" ht="18" customHeight="1" x14ac:dyDescent="0.25">
      <c r="A44" s="229" t="str">
        <f t="shared" si="0"/>
        <v/>
      </c>
      <c r="B44" s="230"/>
      <c r="C44" s="231" t="str">
        <f>IF(B44="","",IFERROR(VLOOKUP(B44,DB_Customers!$A:$D,4,0),"❌ Account Not Found"))</f>
        <v/>
      </c>
      <c r="D44" s="232" t="str">
        <f t="shared" ca="1" si="1"/>
        <v/>
      </c>
      <c r="E44" s="233"/>
      <c r="F44" s="231"/>
      <c r="G44" s="234"/>
      <c r="H44" s="235">
        <v>2.5</v>
      </c>
      <c r="I44" s="236" t="str">
        <f t="shared" si="2"/>
        <v/>
      </c>
      <c r="J44" s="237" t="str">
        <f t="shared" si="3"/>
        <v/>
      </c>
      <c r="K44" s="238" t="str">
        <f>IF(B44="","Pending",IF(M44="","⚠️ Enter Code",IF(IFERROR(VLOOKUP(L44,DB_Agents!$B:$I,8,0),"")=M44,"Pending","🔒 BLOCKED — Wrong Code")))</f>
        <v>Pending</v>
      </c>
      <c r="L44" s="239" t="s">
        <v>136</v>
      </c>
      <c r="M44" s="240"/>
      <c r="N44" s="230"/>
    </row>
    <row r="45" spans="1:14" ht="18" customHeight="1" x14ac:dyDescent="0.25">
      <c r="A45" s="241" t="str">
        <f t="shared" si="0"/>
        <v/>
      </c>
      <c r="B45" s="242"/>
      <c r="C45" s="243" t="str">
        <f>IF(B45="","",IFERROR(VLOOKUP(B45,DB_Customers!$A:$D,4,0),"❌ Account Not Found"))</f>
        <v/>
      </c>
      <c r="D45" s="244" t="str">
        <f t="shared" ca="1" si="1"/>
        <v/>
      </c>
      <c r="E45" s="245"/>
      <c r="F45" s="243"/>
      <c r="G45" s="246"/>
      <c r="H45" s="247">
        <v>2.5</v>
      </c>
      <c r="I45" s="248" t="str">
        <f t="shared" si="2"/>
        <v/>
      </c>
      <c r="J45" s="249" t="str">
        <f t="shared" si="3"/>
        <v/>
      </c>
      <c r="K45" s="250" t="str">
        <f>IF(B45="","Pending",IF(M45="","⚠️ Enter Code",IF(IFERROR(VLOOKUP(L45,DB_Agents!$B:$I,8,0),"")=M45,"Pending","🔒 BLOCKED — Wrong Code")))</f>
        <v>Pending</v>
      </c>
      <c r="L45" s="251" t="s">
        <v>136</v>
      </c>
      <c r="M45" s="252"/>
      <c r="N45" s="242"/>
    </row>
    <row r="46" spans="1:14" ht="18" customHeight="1" x14ac:dyDescent="0.25">
      <c r="A46" s="229" t="str">
        <f t="shared" ref="A46:A77" si="4">IF(B46="","",IF(C46="❌ Account Not Found","INVALID","LN"&amp;TEXT(D46,"YYYYMMDD")&amp;TEXT(ROW()-13,"0000")))</f>
        <v/>
      </c>
      <c r="B46" s="230"/>
      <c r="C46" s="231" t="str">
        <f>IF(B46="","",IFERROR(VLOOKUP(B46,DB_Customers!$A:$D,4,0),"❌ Account Not Found"))</f>
        <v/>
      </c>
      <c r="D46" s="232" t="str">
        <f t="shared" ref="D46:D77" ca="1" si="5">IF(B46="","",TODAY())</f>
        <v/>
      </c>
      <c r="E46" s="233"/>
      <c r="F46" s="231"/>
      <c r="G46" s="234"/>
      <c r="H46" s="235">
        <v>2.5</v>
      </c>
      <c r="I46" s="236" t="str">
        <f t="shared" ref="I46:I77" si="6">IF(E46="","",E46+(E46*H46/100*G46))</f>
        <v/>
      </c>
      <c r="J46" s="237" t="str">
        <f t="shared" ref="J46:J77" si="7">IFERROR(I46/G46,"")</f>
        <v/>
      </c>
      <c r="K46" s="238" t="str">
        <f>IF(B46="","Pending",IF(M46="","⚠️ Enter Code",IF(IFERROR(VLOOKUP(L46,DB_Agents!$B:$I,8,0),"")=M46,"Pending","🔒 BLOCKED — Wrong Code")))</f>
        <v>Pending</v>
      </c>
      <c r="L46" s="239" t="s">
        <v>136</v>
      </c>
      <c r="M46" s="240"/>
      <c r="N46" s="230"/>
    </row>
    <row r="47" spans="1:14" ht="18" customHeight="1" x14ac:dyDescent="0.25">
      <c r="A47" s="241" t="str">
        <f t="shared" si="4"/>
        <v/>
      </c>
      <c r="B47" s="242"/>
      <c r="C47" s="243" t="str">
        <f>IF(B47="","",IFERROR(VLOOKUP(B47,DB_Customers!$A:$D,4,0),"❌ Account Not Found"))</f>
        <v/>
      </c>
      <c r="D47" s="244" t="str">
        <f t="shared" ca="1" si="5"/>
        <v/>
      </c>
      <c r="E47" s="245"/>
      <c r="F47" s="243"/>
      <c r="G47" s="246"/>
      <c r="H47" s="247">
        <v>2.5</v>
      </c>
      <c r="I47" s="248" t="str">
        <f t="shared" si="6"/>
        <v/>
      </c>
      <c r="J47" s="249" t="str">
        <f t="shared" si="7"/>
        <v/>
      </c>
      <c r="K47" s="250" t="str">
        <f>IF(B47="","Pending",IF(M47="","⚠️ Enter Code",IF(IFERROR(VLOOKUP(L47,DB_Agents!$B:$I,8,0),"")=M47,"Pending","🔒 BLOCKED — Wrong Code")))</f>
        <v>Pending</v>
      </c>
      <c r="L47" s="251" t="s">
        <v>136</v>
      </c>
      <c r="M47" s="252"/>
      <c r="N47" s="242"/>
    </row>
    <row r="48" spans="1:14" ht="18" customHeight="1" x14ac:dyDescent="0.25">
      <c r="A48" s="229" t="str">
        <f t="shared" si="4"/>
        <v/>
      </c>
      <c r="B48" s="230"/>
      <c r="C48" s="231" t="str">
        <f>IF(B48="","",IFERROR(VLOOKUP(B48,DB_Customers!$A:$D,4,0),"❌ Account Not Found"))</f>
        <v/>
      </c>
      <c r="D48" s="232" t="str">
        <f t="shared" ca="1" si="5"/>
        <v/>
      </c>
      <c r="E48" s="233"/>
      <c r="F48" s="231"/>
      <c r="G48" s="234"/>
      <c r="H48" s="235">
        <v>2.5</v>
      </c>
      <c r="I48" s="236" t="str">
        <f t="shared" si="6"/>
        <v/>
      </c>
      <c r="J48" s="237" t="str">
        <f t="shared" si="7"/>
        <v/>
      </c>
      <c r="K48" s="238" t="str">
        <f>IF(B48="","Pending",IF(M48="","⚠️ Enter Code",IF(IFERROR(VLOOKUP(L48,DB_Agents!$B:$I,8,0),"")=M48,"Pending","🔒 BLOCKED — Wrong Code")))</f>
        <v>Pending</v>
      </c>
      <c r="L48" s="239" t="s">
        <v>136</v>
      </c>
      <c r="M48" s="240"/>
      <c r="N48" s="230"/>
    </row>
    <row r="49" spans="1:14" ht="18" customHeight="1" x14ac:dyDescent="0.25">
      <c r="A49" s="241" t="str">
        <f t="shared" si="4"/>
        <v/>
      </c>
      <c r="B49" s="242"/>
      <c r="C49" s="243" t="str">
        <f>IF(B49="","",IFERROR(VLOOKUP(B49,DB_Customers!$A:$D,4,0),"❌ Account Not Found"))</f>
        <v/>
      </c>
      <c r="D49" s="244" t="str">
        <f t="shared" ca="1" si="5"/>
        <v/>
      </c>
      <c r="E49" s="245"/>
      <c r="F49" s="243"/>
      <c r="G49" s="246"/>
      <c r="H49" s="247">
        <v>2.5</v>
      </c>
      <c r="I49" s="248" t="str">
        <f t="shared" si="6"/>
        <v/>
      </c>
      <c r="J49" s="249" t="str">
        <f t="shared" si="7"/>
        <v/>
      </c>
      <c r="K49" s="250" t="str">
        <f>IF(B49="","Pending",IF(M49="","⚠️ Enter Code",IF(IFERROR(VLOOKUP(L49,DB_Agents!$B:$I,8,0),"")=M49,"Pending","🔒 BLOCKED — Wrong Code")))</f>
        <v>Pending</v>
      </c>
      <c r="L49" s="251" t="s">
        <v>136</v>
      </c>
      <c r="M49" s="252"/>
      <c r="N49" s="242"/>
    </row>
    <row r="50" spans="1:14" ht="18" customHeight="1" x14ac:dyDescent="0.25">
      <c r="A50" s="229" t="str">
        <f t="shared" si="4"/>
        <v/>
      </c>
      <c r="B50" s="230"/>
      <c r="C50" s="231" t="str">
        <f>IF(B50="","",IFERROR(VLOOKUP(B50,DB_Customers!$A:$D,4,0),"❌ Account Not Found"))</f>
        <v/>
      </c>
      <c r="D50" s="232" t="str">
        <f t="shared" ca="1" si="5"/>
        <v/>
      </c>
      <c r="E50" s="233"/>
      <c r="F50" s="231"/>
      <c r="G50" s="234"/>
      <c r="H50" s="235">
        <v>2.5</v>
      </c>
      <c r="I50" s="236" t="str">
        <f t="shared" si="6"/>
        <v/>
      </c>
      <c r="J50" s="237" t="str">
        <f t="shared" si="7"/>
        <v/>
      </c>
      <c r="K50" s="238" t="str">
        <f>IF(B50="","Pending",IF(M50="","⚠️ Enter Code",IF(IFERROR(VLOOKUP(L50,DB_Agents!$B:$I,8,0),"")=M50,"Pending","🔒 BLOCKED — Wrong Code")))</f>
        <v>Pending</v>
      </c>
      <c r="L50" s="239" t="s">
        <v>136</v>
      </c>
      <c r="M50" s="240"/>
      <c r="N50" s="230"/>
    </row>
    <row r="51" spans="1:14" ht="18" customHeight="1" x14ac:dyDescent="0.25">
      <c r="A51" s="241" t="str">
        <f t="shared" si="4"/>
        <v/>
      </c>
      <c r="B51" s="242"/>
      <c r="C51" s="243" t="str">
        <f>IF(B51="","",IFERROR(VLOOKUP(B51,DB_Customers!$A:$D,4,0),"❌ Account Not Found"))</f>
        <v/>
      </c>
      <c r="D51" s="244" t="str">
        <f t="shared" ca="1" si="5"/>
        <v/>
      </c>
      <c r="E51" s="245"/>
      <c r="F51" s="243"/>
      <c r="G51" s="246"/>
      <c r="H51" s="247">
        <v>2.5</v>
      </c>
      <c r="I51" s="248" t="str">
        <f t="shared" si="6"/>
        <v/>
      </c>
      <c r="J51" s="249" t="str">
        <f t="shared" si="7"/>
        <v/>
      </c>
      <c r="K51" s="250" t="str">
        <f>IF(B51="","Pending",IF(M51="","⚠️ Enter Code",IF(IFERROR(VLOOKUP(L51,DB_Agents!$B:$I,8,0),"")=M51,"Pending","🔒 BLOCKED — Wrong Code")))</f>
        <v>Pending</v>
      </c>
      <c r="L51" s="251" t="s">
        <v>136</v>
      </c>
      <c r="M51" s="252"/>
      <c r="N51" s="242"/>
    </row>
    <row r="52" spans="1:14" ht="18" customHeight="1" x14ac:dyDescent="0.25">
      <c r="A52" s="229" t="str">
        <f t="shared" si="4"/>
        <v/>
      </c>
      <c r="B52" s="230"/>
      <c r="C52" s="231" t="str">
        <f>IF(B52="","",IFERROR(VLOOKUP(B52,DB_Customers!$A:$D,4,0),"❌ Account Not Found"))</f>
        <v/>
      </c>
      <c r="D52" s="232" t="str">
        <f t="shared" ca="1" si="5"/>
        <v/>
      </c>
      <c r="E52" s="233"/>
      <c r="F52" s="231"/>
      <c r="G52" s="234"/>
      <c r="H52" s="235">
        <v>2.5</v>
      </c>
      <c r="I52" s="236" t="str">
        <f t="shared" si="6"/>
        <v/>
      </c>
      <c r="J52" s="237" t="str">
        <f t="shared" si="7"/>
        <v/>
      </c>
      <c r="K52" s="238" t="str">
        <f>IF(B52="","Pending",IF(M52="","⚠️ Enter Code",IF(IFERROR(VLOOKUP(L52,DB_Agents!$B:$I,8,0),"")=M52,"Pending","🔒 BLOCKED — Wrong Code")))</f>
        <v>Pending</v>
      </c>
      <c r="L52" s="239" t="s">
        <v>136</v>
      </c>
      <c r="M52" s="240"/>
      <c r="N52" s="230"/>
    </row>
    <row r="53" spans="1:14" ht="18" customHeight="1" x14ac:dyDescent="0.25">
      <c r="A53" s="241" t="str">
        <f t="shared" si="4"/>
        <v/>
      </c>
      <c r="B53" s="242"/>
      <c r="C53" s="243" t="str">
        <f>IF(B53="","",IFERROR(VLOOKUP(B53,DB_Customers!$A:$D,4,0),"❌ Account Not Found"))</f>
        <v/>
      </c>
      <c r="D53" s="244" t="str">
        <f t="shared" ca="1" si="5"/>
        <v/>
      </c>
      <c r="E53" s="245"/>
      <c r="F53" s="243"/>
      <c r="G53" s="246"/>
      <c r="H53" s="247">
        <v>2.5</v>
      </c>
      <c r="I53" s="248" t="str">
        <f t="shared" si="6"/>
        <v/>
      </c>
      <c r="J53" s="249" t="str">
        <f t="shared" si="7"/>
        <v/>
      </c>
      <c r="K53" s="250" t="str">
        <f>IF(B53="","Pending",IF(M53="","⚠️ Enter Code",IF(IFERROR(VLOOKUP(L53,DB_Agents!$B:$I,8,0),"")=M53,"Pending","🔒 BLOCKED — Wrong Code")))</f>
        <v>Pending</v>
      </c>
      <c r="L53" s="251" t="s">
        <v>136</v>
      </c>
      <c r="M53" s="252"/>
      <c r="N53" s="242"/>
    </row>
    <row r="54" spans="1:14" ht="18" customHeight="1" x14ac:dyDescent="0.25">
      <c r="A54" s="229" t="str">
        <f t="shared" si="4"/>
        <v/>
      </c>
      <c r="B54" s="230"/>
      <c r="C54" s="231" t="str">
        <f>IF(B54="","",IFERROR(VLOOKUP(B54,DB_Customers!$A:$D,4,0),"❌ Account Not Found"))</f>
        <v/>
      </c>
      <c r="D54" s="232" t="str">
        <f t="shared" ca="1" si="5"/>
        <v/>
      </c>
      <c r="E54" s="233"/>
      <c r="F54" s="231"/>
      <c r="G54" s="234"/>
      <c r="H54" s="235">
        <v>2.5</v>
      </c>
      <c r="I54" s="236" t="str">
        <f t="shared" si="6"/>
        <v/>
      </c>
      <c r="J54" s="237" t="str">
        <f t="shared" si="7"/>
        <v/>
      </c>
      <c r="K54" s="238" t="str">
        <f>IF(B54="","Pending",IF(M54="","⚠️ Enter Code",IF(IFERROR(VLOOKUP(L54,DB_Agents!$B:$I,8,0),"")=M54,"Pending","🔒 BLOCKED — Wrong Code")))</f>
        <v>Pending</v>
      </c>
      <c r="L54" s="239" t="s">
        <v>136</v>
      </c>
      <c r="M54" s="240"/>
      <c r="N54" s="230"/>
    </row>
    <row r="55" spans="1:14" ht="18" customHeight="1" x14ac:dyDescent="0.25">
      <c r="A55" s="241" t="str">
        <f t="shared" si="4"/>
        <v/>
      </c>
      <c r="B55" s="242"/>
      <c r="C55" s="243" t="str">
        <f>IF(B55="","",IFERROR(VLOOKUP(B55,DB_Customers!$A:$D,4,0),"❌ Account Not Found"))</f>
        <v/>
      </c>
      <c r="D55" s="244" t="str">
        <f t="shared" ca="1" si="5"/>
        <v/>
      </c>
      <c r="E55" s="245"/>
      <c r="F55" s="243"/>
      <c r="G55" s="246"/>
      <c r="H55" s="247">
        <v>2.5</v>
      </c>
      <c r="I55" s="248" t="str">
        <f t="shared" si="6"/>
        <v/>
      </c>
      <c r="J55" s="249" t="str">
        <f t="shared" si="7"/>
        <v/>
      </c>
      <c r="K55" s="250" t="str">
        <f>IF(B55="","Pending",IF(M55="","⚠️ Enter Code",IF(IFERROR(VLOOKUP(L55,DB_Agents!$B:$I,8,0),"")=M55,"Pending","🔒 BLOCKED — Wrong Code")))</f>
        <v>Pending</v>
      </c>
      <c r="L55" s="251" t="s">
        <v>136</v>
      </c>
      <c r="M55" s="252"/>
      <c r="N55" s="242"/>
    </row>
    <row r="56" spans="1:14" ht="18" customHeight="1" x14ac:dyDescent="0.25">
      <c r="A56" s="229" t="str">
        <f t="shared" si="4"/>
        <v/>
      </c>
      <c r="B56" s="230"/>
      <c r="C56" s="231" t="str">
        <f>IF(B56="","",IFERROR(VLOOKUP(B56,DB_Customers!$A:$D,4,0),"❌ Account Not Found"))</f>
        <v/>
      </c>
      <c r="D56" s="232" t="str">
        <f t="shared" ca="1" si="5"/>
        <v/>
      </c>
      <c r="E56" s="233"/>
      <c r="F56" s="231"/>
      <c r="G56" s="234"/>
      <c r="H56" s="235">
        <v>2.5</v>
      </c>
      <c r="I56" s="236" t="str">
        <f t="shared" si="6"/>
        <v/>
      </c>
      <c r="J56" s="237" t="str">
        <f t="shared" si="7"/>
        <v/>
      </c>
      <c r="K56" s="238" t="str">
        <f>IF(B56="","Pending",IF(M56="","⚠️ Enter Code",IF(IFERROR(VLOOKUP(L56,DB_Agents!$B:$I,8,0),"")=M56,"Pending","🔒 BLOCKED — Wrong Code")))</f>
        <v>Pending</v>
      </c>
      <c r="L56" s="239" t="s">
        <v>136</v>
      </c>
      <c r="M56" s="240"/>
      <c r="N56" s="230"/>
    </row>
    <row r="57" spans="1:14" ht="18" customHeight="1" x14ac:dyDescent="0.25">
      <c r="A57" s="241" t="str">
        <f t="shared" si="4"/>
        <v/>
      </c>
      <c r="B57" s="242"/>
      <c r="C57" s="243" t="str">
        <f>IF(B57="","",IFERROR(VLOOKUP(B57,DB_Customers!$A:$D,4,0),"❌ Account Not Found"))</f>
        <v/>
      </c>
      <c r="D57" s="244" t="str">
        <f t="shared" ca="1" si="5"/>
        <v/>
      </c>
      <c r="E57" s="245"/>
      <c r="F57" s="243"/>
      <c r="G57" s="246"/>
      <c r="H57" s="247">
        <v>2.5</v>
      </c>
      <c r="I57" s="248" t="str">
        <f t="shared" si="6"/>
        <v/>
      </c>
      <c r="J57" s="249" t="str">
        <f t="shared" si="7"/>
        <v/>
      </c>
      <c r="K57" s="250" t="str">
        <f>IF(B57="","Pending",IF(M57="","⚠️ Enter Code",IF(IFERROR(VLOOKUP(L57,DB_Agents!$B:$I,8,0),"")=M57,"Pending","🔒 BLOCKED — Wrong Code")))</f>
        <v>Pending</v>
      </c>
      <c r="L57" s="251" t="s">
        <v>136</v>
      </c>
      <c r="M57" s="252"/>
      <c r="N57" s="242"/>
    </row>
    <row r="58" spans="1:14" ht="18" customHeight="1" x14ac:dyDescent="0.25">
      <c r="A58" s="229" t="str">
        <f t="shared" si="4"/>
        <v/>
      </c>
      <c r="B58" s="230"/>
      <c r="C58" s="231" t="str">
        <f>IF(B58="","",IFERROR(VLOOKUP(B58,DB_Customers!$A:$D,4,0),"❌ Account Not Found"))</f>
        <v/>
      </c>
      <c r="D58" s="232" t="str">
        <f t="shared" ca="1" si="5"/>
        <v/>
      </c>
      <c r="E58" s="233"/>
      <c r="F58" s="231"/>
      <c r="G58" s="234"/>
      <c r="H58" s="235">
        <v>2.5</v>
      </c>
      <c r="I58" s="236" t="str">
        <f t="shared" si="6"/>
        <v/>
      </c>
      <c r="J58" s="237" t="str">
        <f t="shared" si="7"/>
        <v/>
      </c>
      <c r="K58" s="238" t="str">
        <f>IF(B58="","Pending",IF(M58="","⚠️ Enter Code",IF(IFERROR(VLOOKUP(L58,DB_Agents!$B:$I,8,0),"")=M58,"Pending","🔒 BLOCKED — Wrong Code")))</f>
        <v>Pending</v>
      </c>
      <c r="L58" s="239" t="s">
        <v>136</v>
      </c>
      <c r="M58" s="240"/>
      <c r="N58" s="230"/>
    </row>
    <row r="59" spans="1:14" ht="18" customHeight="1" x14ac:dyDescent="0.25">
      <c r="A59" s="241" t="str">
        <f t="shared" si="4"/>
        <v/>
      </c>
      <c r="B59" s="242"/>
      <c r="C59" s="243" t="str">
        <f>IF(B59="","",IFERROR(VLOOKUP(B59,DB_Customers!$A:$D,4,0),"❌ Account Not Found"))</f>
        <v/>
      </c>
      <c r="D59" s="244" t="str">
        <f t="shared" ca="1" si="5"/>
        <v/>
      </c>
      <c r="E59" s="245"/>
      <c r="F59" s="243"/>
      <c r="G59" s="246"/>
      <c r="H59" s="247">
        <v>2.5</v>
      </c>
      <c r="I59" s="248" t="str">
        <f t="shared" si="6"/>
        <v/>
      </c>
      <c r="J59" s="249" t="str">
        <f t="shared" si="7"/>
        <v/>
      </c>
      <c r="K59" s="250" t="str">
        <f>IF(B59="","Pending",IF(M59="","⚠️ Enter Code",IF(IFERROR(VLOOKUP(L59,DB_Agents!$B:$I,8,0),"")=M59,"Pending","🔒 BLOCKED — Wrong Code")))</f>
        <v>Pending</v>
      </c>
      <c r="L59" s="251" t="s">
        <v>136</v>
      </c>
      <c r="M59" s="252"/>
      <c r="N59" s="242"/>
    </row>
    <row r="60" spans="1:14" ht="18" customHeight="1" x14ac:dyDescent="0.25">
      <c r="A60" s="229" t="str">
        <f t="shared" si="4"/>
        <v/>
      </c>
      <c r="B60" s="230"/>
      <c r="C60" s="231" t="str">
        <f>IF(B60="","",IFERROR(VLOOKUP(B60,DB_Customers!$A:$D,4,0),"❌ Account Not Found"))</f>
        <v/>
      </c>
      <c r="D60" s="232" t="str">
        <f t="shared" ca="1" si="5"/>
        <v/>
      </c>
      <c r="E60" s="233"/>
      <c r="F60" s="231"/>
      <c r="G60" s="234"/>
      <c r="H60" s="235">
        <v>2.5</v>
      </c>
      <c r="I60" s="236" t="str">
        <f t="shared" si="6"/>
        <v/>
      </c>
      <c r="J60" s="237" t="str">
        <f t="shared" si="7"/>
        <v/>
      </c>
      <c r="K60" s="238" t="str">
        <f>IF(B60="","Pending",IF(M60="","⚠️ Enter Code",IF(IFERROR(VLOOKUP(L60,DB_Agents!$B:$I,8,0),"")=M60,"Pending","🔒 BLOCKED — Wrong Code")))</f>
        <v>Pending</v>
      </c>
      <c r="L60" s="239" t="s">
        <v>136</v>
      </c>
      <c r="M60" s="240"/>
      <c r="N60" s="230"/>
    </row>
    <row r="61" spans="1:14" ht="18" customHeight="1" x14ac:dyDescent="0.25">
      <c r="A61" s="241" t="str">
        <f t="shared" si="4"/>
        <v/>
      </c>
      <c r="B61" s="242"/>
      <c r="C61" s="243" t="str">
        <f>IF(B61="","",IFERROR(VLOOKUP(B61,DB_Customers!$A:$D,4,0),"❌ Account Not Found"))</f>
        <v/>
      </c>
      <c r="D61" s="244" t="str">
        <f t="shared" ca="1" si="5"/>
        <v/>
      </c>
      <c r="E61" s="245"/>
      <c r="F61" s="243"/>
      <c r="G61" s="246"/>
      <c r="H61" s="247">
        <v>2.5</v>
      </c>
      <c r="I61" s="248" t="str">
        <f t="shared" si="6"/>
        <v/>
      </c>
      <c r="J61" s="249" t="str">
        <f t="shared" si="7"/>
        <v/>
      </c>
      <c r="K61" s="250" t="str">
        <f>IF(B61="","Pending",IF(M61="","⚠️ Enter Code",IF(IFERROR(VLOOKUP(L61,DB_Agents!$B:$I,8,0),"")=M61,"Pending","🔒 BLOCKED — Wrong Code")))</f>
        <v>Pending</v>
      </c>
      <c r="L61" s="251" t="s">
        <v>136</v>
      </c>
      <c r="M61" s="252"/>
      <c r="N61" s="242"/>
    </row>
    <row r="62" spans="1:14" ht="18" customHeight="1" x14ac:dyDescent="0.25">
      <c r="A62" s="229" t="str">
        <f t="shared" si="4"/>
        <v/>
      </c>
      <c r="B62" s="230"/>
      <c r="C62" s="231" t="str">
        <f>IF(B62="","",IFERROR(VLOOKUP(B62,DB_Customers!$A:$D,4,0),"❌ Account Not Found"))</f>
        <v/>
      </c>
      <c r="D62" s="232" t="str">
        <f t="shared" ca="1" si="5"/>
        <v/>
      </c>
      <c r="E62" s="233"/>
      <c r="F62" s="231"/>
      <c r="G62" s="234"/>
      <c r="H62" s="235">
        <v>2.5</v>
      </c>
      <c r="I62" s="236" t="str">
        <f t="shared" si="6"/>
        <v/>
      </c>
      <c r="J62" s="237" t="str">
        <f t="shared" si="7"/>
        <v/>
      </c>
      <c r="K62" s="238" t="str">
        <f>IF(B62="","Pending",IF(M62="","⚠️ Enter Code",IF(IFERROR(VLOOKUP(L62,DB_Agents!$B:$I,8,0),"")=M62,"Pending","🔒 BLOCKED — Wrong Code")))</f>
        <v>Pending</v>
      </c>
      <c r="L62" s="239" t="s">
        <v>136</v>
      </c>
      <c r="M62" s="240"/>
      <c r="N62" s="230"/>
    </row>
    <row r="63" spans="1:14" ht="18" customHeight="1" x14ac:dyDescent="0.25">
      <c r="A63" s="241" t="str">
        <f t="shared" si="4"/>
        <v/>
      </c>
      <c r="B63" s="242"/>
      <c r="C63" s="243" t="str">
        <f>IF(B63="","",IFERROR(VLOOKUP(B63,DB_Customers!$A:$D,4,0),"❌ Account Not Found"))</f>
        <v/>
      </c>
      <c r="D63" s="244" t="str">
        <f t="shared" ca="1" si="5"/>
        <v/>
      </c>
      <c r="E63" s="245"/>
      <c r="F63" s="243"/>
      <c r="G63" s="246"/>
      <c r="H63" s="247">
        <v>2.5</v>
      </c>
      <c r="I63" s="248" t="str">
        <f t="shared" si="6"/>
        <v/>
      </c>
      <c r="J63" s="249" t="str">
        <f t="shared" si="7"/>
        <v/>
      </c>
      <c r="K63" s="250" t="str">
        <f>IF(B63="","Pending",IF(M63="","⚠️ Enter Code",IF(IFERROR(VLOOKUP(L63,DB_Agents!$B:$I,8,0),"")=M63,"Pending","🔒 BLOCKED — Wrong Code")))</f>
        <v>Pending</v>
      </c>
      <c r="L63" s="251" t="s">
        <v>136</v>
      </c>
      <c r="M63" s="252"/>
      <c r="N63" s="242"/>
    </row>
    <row r="64" spans="1:14" ht="18" customHeight="1" x14ac:dyDescent="0.25">
      <c r="A64" s="229" t="str">
        <f t="shared" si="4"/>
        <v/>
      </c>
      <c r="B64" s="230"/>
      <c r="C64" s="231" t="str">
        <f>IF(B64="","",IFERROR(VLOOKUP(B64,DB_Customers!$A:$D,4,0),"❌ Account Not Found"))</f>
        <v/>
      </c>
      <c r="D64" s="232" t="str">
        <f t="shared" ca="1" si="5"/>
        <v/>
      </c>
      <c r="E64" s="233"/>
      <c r="F64" s="231"/>
      <c r="G64" s="234"/>
      <c r="H64" s="235">
        <v>2.5</v>
      </c>
      <c r="I64" s="236" t="str">
        <f t="shared" si="6"/>
        <v/>
      </c>
      <c r="J64" s="237" t="str">
        <f t="shared" si="7"/>
        <v/>
      </c>
      <c r="K64" s="238" t="str">
        <f>IF(B64="","Pending",IF(M64="","⚠️ Enter Code",IF(IFERROR(VLOOKUP(L64,DB_Agents!$B:$I,8,0),"")=M64,"Pending","🔒 BLOCKED — Wrong Code")))</f>
        <v>Pending</v>
      </c>
      <c r="L64" s="239" t="s">
        <v>136</v>
      </c>
      <c r="M64" s="240"/>
      <c r="N64" s="230"/>
    </row>
    <row r="65" spans="1:14" ht="18" customHeight="1" x14ac:dyDescent="0.25">
      <c r="A65" s="241" t="str">
        <f t="shared" si="4"/>
        <v/>
      </c>
      <c r="B65" s="242"/>
      <c r="C65" s="243" t="str">
        <f>IF(B65="","",IFERROR(VLOOKUP(B65,DB_Customers!$A:$D,4,0),"❌ Account Not Found"))</f>
        <v/>
      </c>
      <c r="D65" s="244" t="str">
        <f t="shared" ca="1" si="5"/>
        <v/>
      </c>
      <c r="E65" s="245"/>
      <c r="F65" s="243"/>
      <c r="G65" s="246"/>
      <c r="H65" s="247">
        <v>2.5</v>
      </c>
      <c r="I65" s="248" t="str">
        <f t="shared" si="6"/>
        <v/>
      </c>
      <c r="J65" s="249" t="str">
        <f t="shared" si="7"/>
        <v/>
      </c>
      <c r="K65" s="250" t="str">
        <f>IF(B65="","Pending",IF(M65="","⚠️ Enter Code",IF(IFERROR(VLOOKUP(L65,DB_Agents!$B:$I,8,0),"")=M65,"Pending","🔒 BLOCKED — Wrong Code")))</f>
        <v>Pending</v>
      </c>
      <c r="L65" s="251" t="s">
        <v>136</v>
      </c>
      <c r="M65" s="252"/>
      <c r="N65" s="242"/>
    </row>
    <row r="66" spans="1:14" ht="18" customHeight="1" x14ac:dyDescent="0.25">
      <c r="A66" s="229" t="str">
        <f t="shared" si="4"/>
        <v/>
      </c>
      <c r="B66" s="230"/>
      <c r="C66" s="231" t="str">
        <f>IF(B66="","",IFERROR(VLOOKUP(B66,DB_Customers!$A:$D,4,0),"❌ Account Not Found"))</f>
        <v/>
      </c>
      <c r="D66" s="232" t="str">
        <f t="shared" ca="1" si="5"/>
        <v/>
      </c>
      <c r="E66" s="233"/>
      <c r="F66" s="231"/>
      <c r="G66" s="234"/>
      <c r="H66" s="235">
        <v>2.5</v>
      </c>
      <c r="I66" s="236" t="str">
        <f t="shared" si="6"/>
        <v/>
      </c>
      <c r="J66" s="237" t="str">
        <f t="shared" si="7"/>
        <v/>
      </c>
      <c r="K66" s="238" t="str">
        <f>IF(B66="","Pending",IF(M66="","⚠️ Enter Code",IF(IFERROR(VLOOKUP(L66,DB_Agents!$B:$I,8,0),"")=M66,"Pending","🔒 BLOCKED — Wrong Code")))</f>
        <v>Pending</v>
      </c>
      <c r="L66" s="239" t="s">
        <v>136</v>
      </c>
      <c r="M66" s="240"/>
      <c r="N66" s="230"/>
    </row>
    <row r="67" spans="1:14" ht="18" customHeight="1" x14ac:dyDescent="0.25">
      <c r="A67" s="241" t="str">
        <f t="shared" si="4"/>
        <v/>
      </c>
      <c r="B67" s="242"/>
      <c r="C67" s="243" t="str">
        <f>IF(B67="","",IFERROR(VLOOKUP(B67,DB_Customers!$A:$D,4,0),"❌ Account Not Found"))</f>
        <v/>
      </c>
      <c r="D67" s="244" t="str">
        <f t="shared" ca="1" si="5"/>
        <v/>
      </c>
      <c r="E67" s="245"/>
      <c r="F67" s="243"/>
      <c r="G67" s="246"/>
      <c r="H67" s="247">
        <v>2.5</v>
      </c>
      <c r="I67" s="248" t="str">
        <f t="shared" si="6"/>
        <v/>
      </c>
      <c r="J67" s="249" t="str">
        <f t="shared" si="7"/>
        <v/>
      </c>
      <c r="K67" s="250" t="str">
        <f>IF(B67="","Pending",IF(M67="","⚠️ Enter Code",IF(IFERROR(VLOOKUP(L67,DB_Agents!$B:$I,8,0),"")=M67,"Pending","🔒 BLOCKED — Wrong Code")))</f>
        <v>Pending</v>
      </c>
      <c r="L67" s="251" t="s">
        <v>136</v>
      </c>
      <c r="M67" s="252"/>
      <c r="N67" s="242"/>
    </row>
    <row r="68" spans="1:14" ht="18" customHeight="1" x14ac:dyDescent="0.25">
      <c r="A68" s="229" t="str">
        <f t="shared" si="4"/>
        <v/>
      </c>
      <c r="B68" s="230"/>
      <c r="C68" s="231" t="str">
        <f>IF(B68="","",IFERROR(VLOOKUP(B68,DB_Customers!$A:$D,4,0),"❌ Account Not Found"))</f>
        <v/>
      </c>
      <c r="D68" s="232" t="str">
        <f t="shared" ca="1" si="5"/>
        <v/>
      </c>
      <c r="E68" s="233"/>
      <c r="F68" s="231"/>
      <c r="G68" s="234"/>
      <c r="H68" s="235">
        <v>2.5</v>
      </c>
      <c r="I68" s="236" t="str">
        <f t="shared" si="6"/>
        <v/>
      </c>
      <c r="J68" s="237" t="str">
        <f t="shared" si="7"/>
        <v/>
      </c>
      <c r="K68" s="238" t="str">
        <f>IF(B68="","Pending",IF(M68="","⚠️ Enter Code",IF(IFERROR(VLOOKUP(L68,DB_Agents!$B:$I,8,0),"")=M68,"Pending","🔒 BLOCKED — Wrong Code")))</f>
        <v>Pending</v>
      </c>
      <c r="L68" s="239" t="s">
        <v>136</v>
      </c>
      <c r="M68" s="240"/>
      <c r="N68" s="230"/>
    </row>
    <row r="69" spans="1:14" ht="18" customHeight="1" x14ac:dyDescent="0.25">
      <c r="A69" s="241" t="str">
        <f t="shared" si="4"/>
        <v/>
      </c>
      <c r="B69" s="242"/>
      <c r="C69" s="243" t="str">
        <f>IF(B69="","",IFERROR(VLOOKUP(B69,DB_Customers!$A:$D,4,0),"❌ Account Not Found"))</f>
        <v/>
      </c>
      <c r="D69" s="244" t="str">
        <f t="shared" ca="1" si="5"/>
        <v/>
      </c>
      <c r="E69" s="245"/>
      <c r="F69" s="243"/>
      <c r="G69" s="246"/>
      <c r="H69" s="247">
        <v>2.5</v>
      </c>
      <c r="I69" s="248" t="str">
        <f t="shared" si="6"/>
        <v/>
      </c>
      <c r="J69" s="249" t="str">
        <f t="shared" si="7"/>
        <v/>
      </c>
      <c r="K69" s="250" t="str">
        <f>IF(B69="","Pending",IF(M69="","⚠️ Enter Code",IF(IFERROR(VLOOKUP(L69,DB_Agents!$B:$I,8,0),"")=M69,"Pending","🔒 BLOCKED — Wrong Code")))</f>
        <v>Pending</v>
      </c>
      <c r="L69" s="251" t="s">
        <v>136</v>
      </c>
      <c r="M69" s="252"/>
      <c r="N69" s="242"/>
    </row>
    <row r="70" spans="1:14" ht="18" customHeight="1" x14ac:dyDescent="0.25">
      <c r="A70" s="229" t="str">
        <f t="shared" si="4"/>
        <v/>
      </c>
      <c r="B70" s="230"/>
      <c r="C70" s="231" t="str">
        <f>IF(B70="","",IFERROR(VLOOKUP(B70,DB_Customers!$A:$D,4,0),"❌ Account Not Found"))</f>
        <v/>
      </c>
      <c r="D70" s="232" t="str">
        <f t="shared" ca="1" si="5"/>
        <v/>
      </c>
      <c r="E70" s="233"/>
      <c r="F70" s="231"/>
      <c r="G70" s="234"/>
      <c r="H70" s="235">
        <v>2.5</v>
      </c>
      <c r="I70" s="236" t="str">
        <f t="shared" si="6"/>
        <v/>
      </c>
      <c r="J70" s="237" t="str">
        <f t="shared" si="7"/>
        <v/>
      </c>
      <c r="K70" s="238" t="str">
        <f>IF(B70="","Pending",IF(M70="","⚠️ Enter Code",IF(IFERROR(VLOOKUP(L70,DB_Agents!$B:$I,8,0),"")=M70,"Pending","🔒 BLOCKED — Wrong Code")))</f>
        <v>Pending</v>
      </c>
      <c r="L70" s="239" t="s">
        <v>136</v>
      </c>
      <c r="M70" s="240"/>
      <c r="N70" s="230"/>
    </row>
    <row r="71" spans="1:14" ht="18" customHeight="1" x14ac:dyDescent="0.25">
      <c r="A71" s="241" t="str">
        <f t="shared" si="4"/>
        <v/>
      </c>
      <c r="B71" s="242"/>
      <c r="C71" s="243" t="str">
        <f>IF(B71="","",IFERROR(VLOOKUP(B71,DB_Customers!$A:$D,4,0),"❌ Account Not Found"))</f>
        <v/>
      </c>
      <c r="D71" s="244" t="str">
        <f t="shared" ca="1" si="5"/>
        <v/>
      </c>
      <c r="E71" s="245"/>
      <c r="F71" s="243"/>
      <c r="G71" s="246"/>
      <c r="H71" s="247">
        <v>2.5</v>
      </c>
      <c r="I71" s="248" t="str">
        <f t="shared" si="6"/>
        <v/>
      </c>
      <c r="J71" s="249" t="str">
        <f t="shared" si="7"/>
        <v/>
      </c>
      <c r="K71" s="250" t="str">
        <f>IF(B71="","Pending",IF(M71="","⚠️ Enter Code",IF(IFERROR(VLOOKUP(L71,DB_Agents!$B:$I,8,0),"")=M71,"Pending","🔒 BLOCKED — Wrong Code")))</f>
        <v>Pending</v>
      </c>
      <c r="L71" s="251" t="s">
        <v>136</v>
      </c>
      <c r="M71" s="252"/>
      <c r="N71" s="242"/>
    </row>
    <row r="72" spans="1:14" ht="18" customHeight="1" x14ac:dyDescent="0.25">
      <c r="A72" s="229" t="str">
        <f t="shared" si="4"/>
        <v/>
      </c>
      <c r="B72" s="230"/>
      <c r="C72" s="231" t="str">
        <f>IF(B72="","",IFERROR(VLOOKUP(B72,DB_Customers!$A:$D,4,0),"❌ Account Not Found"))</f>
        <v/>
      </c>
      <c r="D72" s="232" t="str">
        <f t="shared" ca="1" si="5"/>
        <v/>
      </c>
      <c r="E72" s="233"/>
      <c r="F72" s="231"/>
      <c r="G72" s="234"/>
      <c r="H72" s="235">
        <v>2.5</v>
      </c>
      <c r="I72" s="236" t="str">
        <f t="shared" si="6"/>
        <v/>
      </c>
      <c r="J72" s="237" t="str">
        <f t="shared" si="7"/>
        <v/>
      </c>
      <c r="K72" s="238" t="str">
        <f>IF(B72="","Pending",IF(M72="","⚠️ Enter Code",IF(IFERROR(VLOOKUP(L72,DB_Agents!$B:$I,8,0),"")=M72,"Pending","🔒 BLOCKED — Wrong Code")))</f>
        <v>Pending</v>
      </c>
      <c r="L72" s="239" t="s">
        <v>136</v>
      </c>
      <c r="M72" s="240"/>
      <c r="N72" s="230"/>
    </row>
    <row r="73" spans="1:14" ht="18" customHeight="1" x14ac:dyDescent="0.25">
      <c r="A73" s="241" t="str">
        <f t="shared" si="4"/>
        <v/>
      </c>
      <c r="B73" s="242"/>
      <c r="C73" s="243" t="str">
        <f>IF(B73="","",IFERROR(VLOOKUP(B73,DB_Customers!$A:$D,4,0),"❌ Account Not Found"))</f>
        <v/>
      </c>
      <c r="D73" s="244" t="str">
        <f t="shared" ca="1" si="5"/>
        <v/>
      </c>
      <c r="E73" s="245"/>
      <c r="F73" s="243"/>
      <c r="G73" s="246"/>
      <c r="H73" s="247">
        <v>2.5</v>
      </c>
      <c r="I73" s="248" t="str">
        <f t="shared" si="6"/>
        <v/>
      </c>
      <c r="J73" s="249" t="str">
        <f t="shared" si="7"/>
        <v/>
      </c>
      <c r="K73" s="250" t="str">
        <f>IF(B73="","Pending",IF(M73="","⚠️ Enter Code",IF(IFERROR(VLOOKUP(L73,DB_Agents!$B:$I,8,0),"")=M73,"Pending","🔒 BLOCKED — Wrong Code")))</f>
        <v>Pending</v>
      </c>
      <c r="L73" s="251" t="s">
        <v>136</v>
      </c>
      <c r="M73" s="252"/>
      <c r="N73" s="242"/>
    </row>
    <row r="74" spans="1:14" ht="18" customHeight="1" x14ac:dyDescent="0.25">
      <c r="A74" s="229" t="str">
        <f t="shared" si="4"/>
        <v/>
      </c>
      <c r="B74" s="230"/>
      <c r="C74" s="231" t="str">
        <f>IF(B74="","",IFERROR(VLOOKUP(B74,DB_Customers!$A:$D,4,0),"❌ Account Not Found"))</f>
        <v/>
      </c>
      <c r="D74" s="232" t="str">
        <f t="shared" ca="1" si="5"/>
        <v/>
      </c>
      <c r="E74" s="233"/>
      <c r="F74" s="231"/>
      <c r="G74" s="234"/>
      <c r="H74" s="235">
        <v>2.5</v>
      </c>
      <c r="I74" s="236" t="str">
        <f t="shared" si="6"/>
        <v/>
      </c>
      <c r="J74" s="237" t="str">
        <f t="shared" si="7"/>
        <v/>
      </c>
      <c r="K74" s="238" t="str">
        <f>IF(B74="","Pending",IF(M74="","⚠️ Enter Code",IF(IFERROR(VLOOKUP(L74,DB_Agents!$B:$I,8,0),"")=M74,"Pending","🔒 BLOCKED — Wrong Code")))</f>
        <v>Pending</v>
      </c>
      <c r="L74" s="239" t="s">
        <v>136</v>
      </c>
      <c r="M74" s="240"/>
      <c r="N74" s="230"/>
    </row>
    <row r="75" spans="1:14" ht="18" customHeight="1" x14ac:dyDescent="0.25">
      <c r="A75" s="241" t="str">
        <f t="shared" si="4"/>
        <v/>
      </c>
      <c r="B75" s="242"/>
      <c r="C75" s="243" t="str">
        <f>IF(B75="","",IFERROR(VLOOKUP(B75,DB_Customers!$A:$D,4,0),"❌ Account Not Found"))</f>
        <v/>
      </c>
      <c r="D75" s="244" t="str">
        <f t="shared" ca="1" si="5"/>
        <v/>
      </c>
      <c r="E75" s="245"/>
      <c r="F75" s="243"/>
      <c r="G75" s="246"/>
      <c r="H75" s="247">
        <v>2.5</v>
      </c>
      <c r="I75" s="248" t="str">
        <f t="shared" si="6"/>
        <v/>
      </c>
      <c r="J75" s="249" t="str">
        <f t="shared" si="7"/>
        <v/>
      </c>
      <c r="K75" s="250" t="str">
        <f>IF(B75="","Pending",IF(M75="","⚠️ Enter Code",IF(IFERROR(VLOOKUP(L75,DB_Agents!$B:$I,8,0),"")=M75,"Pending","🔒 BLOCKED — Wrong Code")))</f>
        <v>Pending</v>
      </c>
      <c r="L75" s="251" t="s">
        <v>136</v>
      </c>
      <c r="M75" s="252"/>
      <c r="N75" s="242"/>
    </row>
    <row r="76" spans="1:14" ht="18" customHeight="1" x14ac:dyDescent="0.25">
      <c r="A76" s="229" t="str">
        <f t="shared" si="4"/>
        <v/>
      </c>
      <c r="B76" s="230"/>
      <c r="C76" s="231" t="str">
        <f>IF(B76="","",IFERROR(VLOOKUP(B76,DB_Customers!$A:$D,4,0),"❌ Account Not Found"))</f>
        <v/>
      </c>
      <c r="D76" s="232" t="str">
        <f t="shared" ca="1" si="5"/>
        <v/>
      </c>
      <c r="E76" s="233"/>
      <c r="F76" s="231"/>
      <c r="G76" s="234"/>
      <c r="H76" s="235">
        <v>2.5</v>
      </c>
      <c r="I76" s="236" t="str">
        <f t="shared" si="6"/>
        <v/>
      </c>
      <c r="J76" s="237" t="str">
        <f t="shared" si="7"/>
        <v/>
      </c>
      <c r="K76" s="238" t="str">
        <f>IF(B76="","Pending",IF(M76="","⚠️ Enter Code",IF(IFERROR(VLOOKUP(L76,DB_Agents!$B:$I,8,0),"")=M76,"Pending","🔒 BLOCKED — Wrong Code")))</f>
        <v>Pending</v>
      </c>
      <c r="L76" s="239" t="s">
        <v>136</v>
      </c>
      <c r="M76" s="240"/>
      <c r="N76" s="230"/>
    </row>
    <row r="77" spans="1:14" ht="18" customHeight="1" x14ac:dyDescent="0.25">
      <c r="A77" s="241" t="str">
        <f t="shared" si="4"/>
        <v/>
      </c>
      <c r="B77" s="242"/>
      <c r="C77" s="243" t="str">
        <f>IF(B77="","",IFERROR(VLOOKUP(B77,DB_Customers!$A:$D,4,0),"❌ Account Not Found"))</f>
        <v/>
      </c>
      <c r="D77" s="244" t="str">
        <f t="shared" ca="1" si="5"/>
        <v/>
      </c>
      <c r="E77" s="245"/>
      <c r="F77" s="243"/>
      <c r="G77" s="246"/>
      <c r="H77" s="247">
        <v>2.5</v>
      </c>
      <c r="I77" s="248" t="str">
        <f t="shared" si="6"/>
        <v/>
      </c>
      <c r="J77" s="249" t="str">
        <f t="shared" si="7"/>
        <v/>
      </c>
      <c r="K77" s="250" t="str">
        <f>IF(B77="","Pending",IF(M77="","⚠️ Enter Code",IF(IFERROR(VLOOKUP(L77,DB_Agents!$B:$I,8,0),"")=M77,"Pending","🔒 BLOCKED — Wrong Code")))</f>
        <v>Pending</v>
      </c>
      <c r="L77" s="251" t="s">
        <v>136</v>
      </c>
      <c r="M77" s="252"/>
      <c r="N77" s="242"/>
    </row>
    <row r="78" spans="1:14" ht="18" customHeight="1" x14ac:dyDescent="0.25">
      <c r="A78" s="229" t="str">
        <f t="shared" ref="A78:A109" si="8">IF(B78="","",IF(C78="❌ Account Not Found","INVALID","LN"&amp;TEXT(D78,"YYYYMMDD")&amp;TEXT(ROW()-13,"0000")))</f>
        <v/>
      </c>
      <c r="B78" s="230"/>
      <c r="C78" s="231" t="str">
        <f>IF(B78="","",IFERROR(VLOOKUP(B78,DB_Customers!$A:$D,4,0),"❌ Account Not Found"))</f>
        <v/>
      </c>
      <c r="D78" s="232" t="str">
        <f t="shared" ref="D78:D109" ca="1" si="9">IF(B78="","",TODAY())</f>
        <v/>
      </c>
      <c r="E78" s="233"/>
      <c r="F78" s="231"/>
      <c r="G78" s="234"/>
      <c r="H78" s="235">
        <v>2.5</v>
      </c>
      <c r="I78" s="236" t="str">
        <f t="shared" ref="I78:I109" si="10">IF(E78="","",E78+(E78*H78/100*G78))</f>
        <v/>
      </c>
      <c r="J78" s="237" t="str">
        <f t="shared" ref="J78:J109" si="11">IFERROR(I78/G78,"")</f>
        <v/>
      </c>
      <c r="K78" s="238" t="str">
        <f>IF(B78="","Pending",IF(M78="","⚠️ Enter Code",IF(IFERROR(VLOOKUP(L78,DB_Agents!$B:$I,8,0),"")=M78,"Pending","🔒 BLOCKED — Wrong Code")))</f>
        <v>Pending</v>
      </c>
      <c r="L78" s="239" t="s">
        <v>136</v>
      </c>
      <c r="M78" s="240"/>
      <c r="N78" s="230"/>
    </row>
    <row r="79" spans="1:14" ht="18" customHeight="1" x14ac:dyDescent="0.25">
      <c r="A79" s="241" t="str">
        <f t="shared" si="8"/>
        <v/>
      </c>
      <c r="B79" s="242"/>
      <c r="C79" s="243" t="str">
        <f>IF(B79="","",IFERROR(VLOOKUP(B79,DB_Customers!$A:$D,4,0),"❌ Account Not Found"))</f>
        <v/>
      </c>
      <c r="D79" s="244" t="str">
        <f t="shared" ca="1" si="9"/>
        <v/>
      </c>
      <c r="E79" s="245"/>
      <c r="F79" s="243"/>
      <c r="G79" s="246"/>
      <c r="H79" s="247">
        <v>2.5</v>
      </c>
      <c r="I79" s="248" t="str">
        <f t="shared" si="10"/>
        <v/>
      </c>
      <c r="J79" s="249" t="str">
        <f t="shared" si="11"/>
        <v/>
      </c>
      <c r="K79" s="250" t="str">
        <f>IF(B79="","Pending",IF(M79="","⚠️ Enter Code",IF(IFERROR(VLOOKUP(L79,DB_Agents!$B:$I,8,0),"")=M79,"Pending","🔒 BLOCKED — Wrong Code")))</f>
        <v>Pending</v>
      </c>
      <c r="L79" s="251" t="s">
        <v>136</v>
      </c>
      <c r="M79" s="252"/>
      <c r="N79" s="242"/>
    </row>
    <row r="80" spans="1:14" ht="18" customHeight="1" x14ac:dyDescent="0.25">
      <c r="A80" s="229" t="str">
        <f t="shared" si="8"/>
        <v/>
      </c>
      <c r="B80" s="230"/>
      <c r="C80" s="231" t="str">
        <f>IF(B80="","",IFERROR(VLOOKUP(B80,DB_Customers!$A:$D,4,0),"❌ Account Not Found"))</f>
        <v/>
      </c>
      <c r="D80" s="232" t="str">
        <f t="shared" ca="1" si="9"/>
        <v/>
      </c>
      <c r="E80" s="233"/>
      <c r="F80" s="231"/>
      <c r="G80" s="234"/>
      <c r="H80" s="235">
        <v>2.5</v>
      </c>
      <c r="I80" s="236" t="str">
        <f t="shared" si="10"/>
        <v/>
      </c>
      <c r="J80" s="237" t="str">
        <f t="shared" si="11"/>
        <v/>
      </c>
      <c r="K80" s="238" t="str">
        <f>IF(B80="","Pending",IF(M80="","⚠️ Enter Code",IF(IFERROR(VLOOKUP(L80,DB_Agents!$B:$I,8,0),"")=M80,"Pending","🔒 BLOCKED — Wrong Code")))</f>
        <v>Pending</v>
      </c>
      <c r="L80" s="239" t="s">
        <v>136</v>
      </c>
      <c r="M80" s="240"/>
      <c r="N80" s="230"/>
    </row>
    <row r="81" spans="1:14" ht="18" customHeight="1" x14ac:dyDescent="0.25">
      <c r="A81" s="241" t="str">
        <f t="shared" si="8"/>
        <v/>
      </c>
      <c r="B81" s="242"/>
      <c r="C81" s="243" t="str">
        <f>IF(B81="","",IFERROR(VLOOKUP(B81,DB_Customers!$A:$D,4,0),"❌ Account Not Found"))</f>
        <v/>
      </c>
      <c r="D81" s="244" t="str">
        <f t="shared" ca="1" si="9"/>
        <v/>
      </c>
      <c r="E81" s="245"/>
      <c r="F81" s="243"/>
      <c r="G81" s="246"/>
      <c r="H81" s="247">
        <v>2.5</v>
      </c>
      <c r="I81" s="248" t="str">
        <f t="shared" si="10"/>
        <v/>
      </c>
      <c r="J81" s="249" t="str">
        <f t="shared" si="11"/>
        <v/>
      </c>
      <c r="K81" s="250" t="str">
        <f>IF(B81="","Pending",IF(M81="","⚠️ Enter Code",IF(IFERROR(VLOOKUP(L81,DB_Agents!$B:$I,8,0),"")=M81,"Pending","🔒 BLOCKED — Wrong Code")))</f>
        <v>Pending</v>
      </c>
      <c r="L81" s="251" t="s">
        <v>136</v>
      </c>
      <c r="M81" s="252"/>
      <c r="N81" s="242"/>
    </row>
    <row r="82" spans="1:14" ht="18" customHeight="1" x14ac:dyDescent="0.25">
      <c r="A82" s="229" t="str">
        <f t="shared" si="8"/>
        <v/>
      </c>
      <c r="B82" s="230"/>
      <c r="C82" s="231" t="str">
        <f>IF(B82="","",IFERROR(VLOOKUP(B82,DB_Customers!$A:$D,4,0),"❌ Account Not Found"))</f>
        <v/>
      </c>
      <c r="D82" s="232" t="str">
        <f t="shared" ca="1" si="9"/>
        <v/>
      </c>
      <c r="E82" s="233"/>
      <c r="F82" s="231"/>
      <c r="G82" s="234"/>
      <c r="H82" s="235">
        <v>2.5</v>
      </c>
      <c r="I82" s="236" t="str">
        <f t="shared" si="10"/>
        <v/>
      </c>
      <c r="J82" s="237" t="str">
        <f t="shared" si="11"/>
        <v/>
      </c>
      <c r="K82" s="238" t="str">
        <f>IF(B82="","Pending",IF(M82="","⚠️ Enter Code",IF(IFERROR(VLOOKUP(L82,DB_Agents!$B:$I,8,0),"")=M82,"Pending","🔒 BLOCKED — Wrong Code")))</f>
        <v>Pending</v>
      </c>
      <c r="L82" s="239" t="s">
        <v>136</v>
      </c>
      <c r="M82" s="240"/>
      <c r="N82" s="230"/>
    </row>
    <row r="83" spans="1:14" ht="18" customHeight="1" x14ac:dyDescent="0.25">
      <c r="A83" s="241" t="str">
        <f t="shared" si="8"/>
        <v/>
      </c>
      <c r="B83" s="242"/>
      <c r="C83" s="243" t="str">
        <f>IF(B83="","",IFERROR(VLOOKUP(B83,DB_Customers!$A:$D,4,0),"❌ Account Not Found"))</f>
        <v/>
      </c>
      <c r="D83" s="244" t="str">
        <f t="shared" ca="1" si="9"/>
        <v/>
      </c>
      <c r="E83" s="245"/>
      <c r="F83" s="243"/>
      <c r="G83" s="246"/>
      <c r="H83" s="247">
        <v>2.5</v>
      </c>
      <c r="I83" s="248" t="str">
        <f t="shared" si="10"/>
        <v/>
      </c>
      <c r="J83" s="249" t="str">
        <f t="shared" si="11"/>
        <v/>
      </c>
      <c r="K83" s="250" t="str">
        <f>IF(B83="","Pending",IF(M83="","⚠️ Enter Code",IF(IFERROR(VLOOKUP(L83,DB_Agents!$B:$I,8,0),"")=M83,"Pending","🔒 BLOCKED — Wrong Code")))</f>
        <v>Pending</v>
      </c>
      <c r="L83" s="251" t="s">
        <v>136</v>
      </c>
      <c r="M83" s="252"/>
      <c r="N83" s="242"/>
    </row>
    <row r="84" spans="1:14" ht="18" customHeight="1" x14ac:dyDescent="0.25">
      <c r="A84" s="229" t="str">
        <f t="shared" si="8"/>
        <v/>
      </c>
      <c r="B84" s="230"/>
      <c r="C84" s="231" t="str">
        <f>IF(B84="","",IFERROR(VLOOKUP(B84,DB_Customers!$A:$D,4,0),"❌ Account Not Found"))</f>
        <v/>
      </c>
      <c r="D84" s="232" t="str">
        <f t="shared" ca="1" si="9"/>
        <v/>
      </c>
      <c r="E84" s="233"/>
      <c r="F84" s="231"/>
      <c r="G84" s="234"/>
      <c r="H84" s="235">
        <v>2.5</v>
      </c>
      <c r="I84" s="236" t="str">
        <f t="shared" si="10"/>
        <v/>
      </c>
      <c r="J84" s="237" t="str">
        <f t="shared" si="11"/>
        <v/>
      </c>
      <c r="K84" s="238" t="str">
        <f>IF(B84="","Pending",IF(M84="","⚠️ Enter Code",IF(IFERROR(VLOOKUP(L84,DB_Agents!$B:$I,8,0),"")=M84,"Pending","🔒 BLOCKED — Wrong Code")))</f>
        <v>Pending</v>
      </c>
      <c r="L84" s="239" t="s">
        <v>136</v>
      </c>
      <c r="M84" s="240"/>
      <c r="N84" s="230"/>
    </row>
    <row r="85" spans="1:14" ht="18" customHeight="1" x14ac:dyDescent="0.25">
      <c r="A85" s="241" t="str">
        <f t="shared" si="8"/>
        <v/>
      </c>
      <c r="B85" s="242"/>
      <c r="C85" s="243" t="str">
        <f>IF(B85="","",IFERROR(VLOOKUP(B85,DB_Customers!$A:$D,4,0),"❌ Account Not Found"))</f>
        <v/>
      </c>
      <c r="D85" s="244" t="str">
        <f t="shared" ca="1" si="9"/>
        <v/>
      </c>
      <c r="E85" s="245"/>
      <c r="F85" s="243"/>
      <c r="G85" s="246"/>
      <c r="H85" s="247">
        <v>2.5</v>
      </c>
      <c r="I85" s="248" t="str">
        <f t="shared" si="10"/>
        <v/>
      </c>
      <c r="J85" s="249" t="str">
        <f t="shared" si="11"/>
        <v/>
      </c>
      <c r="K85" s="250" t="str">
        <f>IF(B85="","Pending",IF(M85="","⚠️ Enter Code",IF(IFERROR(VLOOKUP(L85,DB_Agents!$B:$I,8,0),"")=M85,"Pending","🔒 BLOCKED — Wrong Code")))</f>
        <v>Pending</v>
      </c>
      <c r="L85" s="251" t="s">
        <v>136</v>
      </c>
      <c r="M85" s="252"/>
      <c r="N85" s="242"/>
    </row>
    <row r="86" spans="1:14" ht="18" customHeight="1" x14ac:dyDescent="0.25">
      <c r="A86" s="229" t="str">
        <f t="shared" si="8"/>
        <v/>
      </c>
      <c r="B86" s="230"/>
      <c r="C86" s="231" t="str">
        <f>IF(B86="","",IFERROR(VLOOKUP(B86,DB_Customers!$A:$D,4,0),"❌ Account Not Found"))</f>
        <v/>
      </c>
      <c r="D86" s="232" t="str">
        <f t="shared" ca="1" si="9"/>
        <v/>
      </c>
      <c r="E86" s="233"/>
      <c r="F86" s="231"/>
      <c r="G86" s="234"/>
      <c r="H86" s="235">
        <v>2.5</v>
      </c>
      <c r="I86" s="236" t="str">
        <f t="shared" si="10"/>
        <v/>
      </c>
      <c r="J86" s="237" t="str">
        <f t="shared" si="11"/>
        <v/>
      </c>
      <c r="K86" s="238" t="str">
        <f>IF(B86="","Pending",IF(M86="","⚠️ Enter Code",IF(IFERROR(VLOOKUP(L86,DB_Agents!$B:$I,8,0),"")=M86,"Pending","🔒 BLOCKED — Wrong Code")))</f>
        <v>Pending</v>
      </c>
      <c r="L86" s="239" t="s">
        <v>136</v>
      </c>
      <c r="M86" s="240"/>
      <c r="N86" s="230"/>
    </row>
    <row r="87" spans="1:14" ht="18" customHeight="1" x14ac:dyDescent="0.25">
      <c r="A87" s="241" t="str">
        <f t="shared" si="8"/>
        <v/>
      </c>
      <c r="B87" s="242"/>
      <c r="C87" s="243" t="str">
        <f>IF(B87="","",IFERROR(VLOOKUP(B87,DB_Customers!$A:$D,4,0),"❌ Account Not Found"))</f>
        <v/>
      </c>
      <c r="D87" s="244" t="str">
        <f t="shared" ca="1" si="9"/>
        <v/>
      </c>
      <c r="E87" s="245"/>
      <c r="F87" s="243"/>
      <c r="G87" s="246"/>
      <c r="H87" s="247">
        <v>2.5</v>
      </c>
      <c r="I87" s="248" t="str">
        <f t="shared" si="10"/>
        <v/>
      </c>
      <c r="J87" s="249" t="str">
        <f t="shared" si="11"/>
        <v/>
      </c>
      <c r="K87" s="250" t="str">
        <f>IF(B87="","Pending",IF(M87="","⚠️ Enter Code",IF(IFERROR(VLOOKUP(L87,DB_Agents!$B:$I,8,0),"")=M87,"Pending","🔒 BLOCKED — Wrong Code")))</f>
        <v>Pending</v>
      </c>
      <c r="L87" s="251" t="s">
        <v>136</v>
      </c>
      <c r="M87" s="252"/>
      <c r="N87" s="242"/>
    </row>
    <row r="88" spans="1:14" ht="18" customHeight="1" x14ac:dyDescent="0.25">
      <c r="A88" s="229" t="str">
        <f t="shared" si="8"/>
        <v/>
      </c>
      <c r="B88" s="230"/>
      <c r="C88" s="231" t="str">
        <f>IF(B88="","",IFERROR(VLOOKUP(B88,DB_Customers!$A:$D,4,0),"❌ Account Not Found"))</f>
        <v/>
      </c>
      <c r="D88" s="232" t="str">
        <f t="shared" ca="1" si="9"/>
        <v/>
      </c>
      <c r="E88" s="233"/>
      <c r="F88" s="231"/>
      <c r="G88" s="234"/>
      <c r="H88" s="235">
        <v>2.5</v>
      </c>
      <c r="I88" s="236" t="str">
        <f t="shared" si="10"/>
        <v/>
      </c>
      <c r="J88" s="237" t="str">
        <f t="shared" si="11"/>
        <v/>
      </c>
      <c r="K88" s="238" t="str">
        <f>IF(B88="","Pending",IF(M88="","⚠️ Enter Code",IF(IFERROR(VLOOKUP(L88,DB_Agents!$B:$I,8,0),"")=M88,"Pending","🔒 BLOCKED — Wrong Code")))</f>
        <v>Pending</v>
      </c>
      <c r="L88" s="239" t="s">
        <v>136</v>
      </c>
      <c r="M88" s="240"/>
      <c r="N88" s="230"/>
    </row>
    <row r="89" spans="1:14" ht="18" customHeight="1" x14ac:dyDescent="0.25">
      <c r="A89" s="241" t="str">
        <f t="shared" si="8"/>
        <v/>
      </c>
      <c r="B89" s="242"/>
      <c r="C89" s="243" t="str">
        <f>IF(B89="","",IFERROR(VLOOKUP(B89,DB_Customers!$A:$D,4,0),"❌ Account Not Found"))</f>
        <v/>
      </c>
      <c r="D89" s="244" t="str">
        <f t="shared" ca="1" si="9"/>
        <v/>
      </c>
      <c r="E89" s="245"/>
      <c r="F89" s="243"/>
      <c r="G89" s="246"/>
      <c r="H89" s="247">
        <v>2.5</v>
      </c>
      <c r="I89" s="248" t="str">
        <f t="shared" si="10"/>
        <v/>
      </c>
      <c r="J89" s="249" t="str">
        <f t="shared" si="11"/>
        <v/>
      </c>
      <c r="K89" s="250" t="str">
        <f>IF(B89="","Pending",IF(M89="","⚠️ Enter Code",IF(IFERROR(VLOOKUP(L89,DB_Agents!$B:$I,8,0),"")=M89,"Pending","🔒 BLOCKED — Wrong Code")))</f>
        <v>Pending</v>
      </c>
      <c r="L89" s="251" t="s">
        <v>136</v>
      </c>
      <c r="M89" s="252"/>
      <c r="N89" s="242"/>
    </row>
    <row r="90" spans="1:14" ht="18" customHeight="1" x14ac:dyDescent="0.25">
      <c r="A90" s="229" t="str">
        <f t="shared" si="8"/>
        <v/>
      </c>
      <c r="B90" s="230"/>
      <c r="C90" s="231" t="str">
        <f>IF(B90="","",IFERROR(VLOOKUP(B90,DB_Customers!$A:$D,4,0),"❌ Account Not Found"))</f>
        <v/>
      </c>
      <c r="D90" s="232" t="str">
        <f t="shared" ca="1" si="9"/>
        <v/>
      </c>
      <c r="E90" s="233"/>
      <c r="F90" s="231"/>
      <c r="G90" s="234"/>
      <c r="H90" s="235">
        <v>2.5</v>
      </c>
      <c r="I90" s="236" t="str">
        <f t="shared" si="10"/>
        <v/>
      </c>
      <c r="J90" s="237" t="str">
        <f t="shared" si="11"/>
        <v/>
      </c>
      <c r="K90" s="238" t="str">
        <f>IF(B90="","Pending",IF(M90="","⚠️ Enter Code",IF(IFERROR(VLOOKUP(L90,DB_Agents!$B:$I,8,0),"")=M90,"Pending","🔒 BLOCKED — Wrong Code")))</f>
        <v>Pending</v>
      </c>
      <c r="L90" s="239" t="s">
        <v>136</v>
      </c>
      <c r="M90" s="240"/>
      <c r="N90" s="230"/>
    </row>
    <row r="91" spans="1:14" ht="18" customHeight="1" x14ac:dyDescent="0.25">
      <c r="A91" s="241" t="str">
        <f t="shared" si="8"/>
        <v/>
      </c>
      <c r="B91" s="242"/>
      <c r="C91" s="243" t="str">
        <f>IF(B91="","",IFERROR(VLOOKUP(B91,DB_Customers!$A:$D,4,0),"❌ Account Not Found"))</f>
        <v/>
      </c>
      <c r="D91" s="244" t="str">
        <f t="shared" ca="1" si="9"/>
        <v/>
      </c>
      <c r="E91" s="245"/>
      <c r="F91" s="243"/>
      <c r="G91" s="246"/>
      <c r="H91" s="247">
        <v>2.5</v>
      </c>
      <c r="I91" s="248" t="str">
        <f t="shared" si="10"/>
        <v/>
      </c>
      <c r="J91" s="249" t="str">
        <f t="shared" si="11"/>
        <v/>
      </c>
      <c r="K91" s="250" t="str">
        <f>IF(B91="","Pending",IF(M91="","⚠️ Enter Code",IF(IFERROR(VLOOKUP(L91,DB_Agents!$B:$I,8,0),"")=M91,"Pending","🔒 BLOCKED — Wrong Code")))</f>
        <v>Pending</v>
      </c>
      <c r="L91" s="251" t="s">
        <v>136</v>
      </c>
      <c r="M91" s="252"/>
      <c r="N91" s="242"/>
    </row>
    <row r="92" spans="1:14" ht="18" customHeight="1" x14ac:dyDescent="0.25">
      <c r="A92" s="229" t="str">
        <f t="shared" si="8"/>
        <v/>
      </c>
      <c r="B92" s="230"/>
      <c r="C92" s="231" t="str">
        <f>IF(B92="","",IFERROR(VLOOKUP(B92,DB_Customers!$A:$D,4,0),"❌ Account Not Found"))</f>
        <v/>
      </c>
      <c r="D92" s="232" t="str">
        <f t="shared" ca="1" si="9"/>
        <v/>
      </c>
      <c r="E92" s="233"/>
      <c r="F92" s="231"/>
      <c r="G92" s="234"/>
      <c r="H92" s="235">
        <v>2.5</v>
      </c>
      <c r="I92" s="236" t="str">
        <f t="shared" si="10"/>
        <v/>
      </c>
      <c r="J92" s="237" t="str">
        <f t="shared" si="11"/>
        <v/>
      </c>
      <c r="K92" s="238" t="str">
        <f>IF(B92="","Pending",IF(M92="","⚠️ Enter Code",IF(IFERROR(VLOOKUP(L92,DB_Agents!$B:$I,8,0),"")=M92,"Pending","🔒 BLOCKED — Wrong Code")))</f>
        <v>Pending</v>
      </c>
      <c r="L92" s="239" t="s">
        <v>136</v>
      </c>
      <c r="M92" s="240"/>
      <c r="N92" s="230"/>
    </row>
    <row r="93" spans="1:14" ht="18" customHeight="1" x14ac:dyDescent="0.25">
      <c r="A93" s="241" t="str">
        <f t="shared" si="8"/>
        <v/>
      </c>
      <c r="B93" s="242"/>
      <c r="C93" s="243" t="str">
        <f>IF(B93="","",IFERROR(VLOOKUP(B93,DB_Customers!$A:$D,4,0),"❌ Account Not Found"))</f>
        <v/>
      </c>
      <c r="D93" s="244" t="str">
        <f t="shared" ca="1" si="9"/>
        <v/>
      </c>
      <c r="E93" s="245"/>
      <c r="F93" s="243"/>
      <c r="G93" s="246"/>
      <c r="H93" s="247">
        <v>2.5</v>
      </c>
      <c r="I93" s="248" t="str">
        <f t="shared" si="10"/>
        <v/>
      </c>
      <c r="J93" s="249" t="str">
        <f t="shared" si="11"/>
        <v/>
      </c>
      <c r="K93" s="250" t="str">
        <f>IF(B93="","Pending",IF(M93="","⚠️ Enter Code",IF(IFERROR(VLOOKUP(L93,DB_Agents!$B:$I,8,0),"")=M93,"Pending","🔒 BLOCKED — Wrong Code")))</f>
        <v>Pending</v>
      </c>
      <c r="L93" s="251" t="s">
        <v>136</v>
      </c>
      <c r="M93" s="252"/>
      <c r="N93" s="242"/>
    </row>
    <row r="94" spans="1:14" ht="18" customHeight="1" x14ac:dyDescent="0.25">
      <c r="A94" s="229" t="str">
        <f t="shared" si="8"/>
        <v/>
      </c>
      <c r="B94" s="230"/>
      <c r="C94" s="231" t="str">
        <f>IF(B94="","",IFERROR(VLOOKUP(B94,DB_Customers!$A:$D,4,0),"❌ Account Not Found"))</f>
        <v/>
      </c>
      <c r="D94" s="232" t="str">
        <f t="shared" ca="1" si="9"/>
        <v/>
      </c>
      <c r="E94" s="233"/>
      <c r="F94" s="231"/>
      <c r="G94" s="234"/>
      <c r="H94" s="235">
        <v>2.5</v>
      </c>
      <c r="I94" s="236" t="str">
        <f t="shared" si="10"/>
        <v/>
      </c>
      <c r="J94" s="237" t="str">
        <f t="shared" si="11"/>
        <v/>
      </c>
      <c r="K94" s="238" t="str">
        <f>IF(B94="","Pending",IF(M94="","⚠️ Enter Code",IF(IFERROR(VLOOKUP(L94,DB_Agents!$B:$I,8,0),"")=M94,"Pending","🔒 BLOCKED — Wrong Code")))</f>
        <v>Pending</v>
      </c>
      <c r="L94" s="239" t="s">
        <v>136</v>
      </c>
      <c r="M94" s="240"/>
      <c r="N94" s="230"/>
    </row>
    <row r="95" spans="1:14" ht="18" customHeight="1" x14ac:dyDescent="0.25">
      <c r="A95" s="241" t="str">
        <f t="shared" si="8"/>
        <v/>
      </c>
      <c r="B95" s="242"/>
      <c r="C95" s="243" t="str">
        <f>IF(B95="","",IFERROR(VLOOKUP(B95,DB_Customers!$A:$D,4,0),"❌ Account Not Found"))</f>
        <v/>
      </c>
      <c r="D95" s="244" t="str">
        <f t="shared" ca="1" si="9"/>
        <v/>
      </c>
      <c r="E95" s="245"/>
      <c r="F95" s="243"/>
      <c r="G95" s="246"/>
      <c r="H95" s="247">
        <v>2.5</v>
      </c>
      <c r="I95" s="248" t="str">
        <f t="shared" si="10"/>
        <v/>
      </c>
      <c r="J95" s="249" t="str">
        <f t="shared" si="11"/>
        <v/>
      </c>
      <c r="K95" s="250" t="str">
        <f>IF(B95="","Pending",IF(M95="","⚠️ Enter Code",IF(IFERROR(VLOOKUP(L95,DB_Agents!$B:$I,8,0),"")=M95,"Pending","🔒 BLOCKED — Wrong Code")))</f>
        <v>Pending</v>
      </c>
      <c r="L95" s="251" t="s">
        <v>136</v>
      </c>
      <c r="M95" s="252"/>
      <c r="N95" s="242"/>
    </row>
    <row r="96" spans="1:14" ht="18" customHeight="1" x14ac:dyDescent="0.25">
      <c r="A96" s="229" t="str">
        <f t="shared" si="8"/>
        <v/>
      </c>
      <c r="B96" s="230"/>
      <c r="C96" s="231" t="str">
        <f>IF(B96="","",IFERROR(VLOOKUP(B96,DB_Customers!$A:$D,4,0),"❌ Account Not Found"))</f>
        <v/>
      </c>
      <c r="D96" s="232" t="str">
        <f t="shared" ca="1" si="9"/>
        <v/>
      </c>
      <c r="E96" s="233"/>
      <c r="F96" s="231"/>
      <c r="G96" s="234"/>
      <c r="H96" s="235">
        <v>2.5</v>
      </c>
      <c r="I96" s="236" t="str">
        <f t="shared" si="10"/>
        <v/>
      </c>
      <c r="J96" s="237" t="str">
        <f t="shared" si="11"/>
        <v/>
      </c>
      <c r="K96" s="238" t="str">
        <f>IF(B96="","Pending",IF(M96="","⚠️ Enter Code",IF(IFERROR(VLOOKUP(L96,DB_Agents!$B:$I,8,0),"")=M96,"Pending","🔒 BLOCKED — Wrong Code")))</f>
        <v>Pending</v>
      </c>
      <c r="L96" s="239" t="s">
        <v>136</v>
      </c>
      <c r="M96" s="240"/>
      <c r="N96" s="230"/>
    </row>
    <row r="97" spans="1:14" ht="18" customHeight="1" x14ac:dyDescent="0.25">
      <c r="A97" s="241" t="str">
        <f t="shared" si="8"/>
        <v/>
      </c>
      <c r="B97" s="242"/>
      <c r="C97" s="243" t="str">
        <f>IF(B97="","",IFERROR(VLOOKUP(B97,DB_Customers!$A:$D,4,0),"❌ Account Not Found"))</f>
        <v/>
      </c>
      <c r="D97" s="244" t="str">
        <f t="shared" ca="1" si="9"/>
        <v/>
      </c>
      <c r="E97" s="245"/>
      <c r="F97" s="243"/>
      <c r="G97" s="246"/>
      <c r="H97" s="247">
        <v>2.5</v>
      </c>
      <c r="I97" s="248" t="str">
        <f t="shared" si="10"/>
        <v/>
      </c>
      <c r="J97" s="249" t="str">
        <f t="shared" si="11"/>
        <v/>
      </c>
      <c r="K97" s="250" t="str">
        <f>IF(B97="","Pending",IF(M97="","⚠️ Enter Code",IF(IFERROR(VLOOKUP(L97,DB_Agents!$B:$I,8,0),"")=M97,"Pending","🔒 BLOCKED — Wrong Code")))</f>
        <v>Pending</v>
      </c>
      <c r="L97" s="251" t="s">
        <v>136</v>
      </c>
      <c r="M97" s="252"/>
      <c r="N97" s="242"/>
    </row>
    <row r="98" spans="1:14" ht="18" customHeight="1" x14ac:dyDescent="0.25">
      <c r="A98" s="229" t="str">
        <f t="shared" si="8"/>
        <v/>
      </c>
      <c r="B98" s="230"/>
      <c r="C98" s="231" t="str">
        <f>IF(B98="","",IFERROR(VLOOKUP(B98,DB_Customers!$A:$D,4,0),"❌ Account Not Found"))</f>
        <v/>
      </c>
      <c r="D98" s="232" t="str">
        <f t="shared" ca="1" si="9"/>
        <v/>
      </c>
      <c r="E98" s="233"/>
      <c r="F98" s="231"/>
      <c r="G98" s="234"/>
      <c r="H98" s="235">
        <v>2.5</v>
      </c>
      <c r="I98" s="236" t="str">
        <f t="shared" si="10"/>
        <v/>
      </c>
      <c r="J98" s="237" t="str">
        <f t="shared" si="11"/>
        <v/>
      </c>
      <c r="K98" s="238" t="str">
        <f>IF(B98="","Pending",IF(M98="","⚠️ Enter Code",IF(IFERROR(VLOOKUP(L98,DB_Agents!$B:$I,8,0),"")=M98,"Pending","🔒 BLOCKED — Wrong Code")))</f>
        <v>Pending</v>
      </c>
      <c r="L98" s="239" t="s">
        <v>136</v>
      </c>
      <c r="M98" s="240"/>
      <c r="N98" s="230"/>
    </row>
    <row r="99" spans="1:14" ht="18" customHeight="1" x14ac:dyDescent="0.25">
      <c r="A99" s="241" t="str">
        <f t="shared" si="8"/>
        <v/>
      </c>
      <c r="B99" s="242"/>
      <c r="C99" s="243" t="str">
        <f>IF(B99="","",IFERROR(VLOOKUP(B99,DB_Customers!$A:$D,4,0),"❌ Account Not Found"))</f>
        <v/>
      </c>
      <c r="D99" s="244" t="str">
        <f t="shared" ca="1" si="9"/>
        <v/>
      </c>
      <c r="E99" s="245"/>
      <c r="F99" s="243"/>
      <c r="G99" s="246"/>
      <c r="H99" s="247">
        <v>2.5</v>
      </c>
      <c r="I99" s="248" t="str">
        <f t="shared" si="10"/>
        <v/>
      </c>
      <c r="J99" s="249" t="str">
        <f t="shared" si="11"/>
        <v/>
      </c>
      <c r="K99" s="250" t="str">
        <f>IF(B99="","Pending",IF(M99="","⚠️ Enter Code",IF(IFERROR(VLOOKUP(L99,DB_Agents!$B:$I,8,0),"")=M99,"Pending","🔒 BLOCKED — Wrong Code")))</f>
        <v>Pending</v>
      </c>
      <c r="L99" s="251" t="s">
        <v>136</v>
      </c>
      <c r="M99" s="252"/>
      <c r="N99" s="242"/>
    </row>
    <row r="100" spans="1:14" ht="18" customHeight="1" x14ac:dyDescent="0.25">
      <c r="A100" s="229" t="str">
        <f t="shared" si="8"/>
        <v/>
      </c>
      <c r="B100" s="230"/>
      <c r="C100" s="231" t="str">
        <f>IF(B100="","",IFERROR(VLOOKUP(B100,DB_Customers!$A:$D,4,0),"❌ Account Not Found"))</f>
        <v/>
      </c>
      <c r="D100" s="232" t="str">
        <f t="shared" ca="1" si="9"/>
        <v/>
      </c>
      <c r="E100" s="233"/>
      <c r="F100" s="231"/>
      <c r="G100" s="234"/>
      <c r="H100" s="235">
        <v>2.5</v>
      </c>
      <c r="I100" s="236" t="str">
        <f t="shared" si="10"/>
        <v/>
      </c>
      <c r="J100" s="237" t="str">
        <f t="shared" si="11"/>
        <v/>
      </c>
      <c r="K100" s="238" t="str">
        <f>IF(B100="","Pending",IF(M100="","⚠️ Enter Code",IF(IFERROR(VLOOKUP(L100,DB_Agents!$B:$I,8,0),"")=M100,"Pending","🔒 BLOCKED — Wrong Code")))</f>
        <v>Pending</v>
      </c>
      <c r="L100" s="239" t="s">
        <v>136</v>
      </c>
      <c r="M100" s="240"/>
      <c r="N100" s="230"/>
    </row>
    <row r="101" spans="1:14" ht="18" customHeight="1" x14ac:dyDescent="0.25">
      <c r="A101" s="241" t="str">
        <f t="shared" si="8"/>
        <v/>
      </c>
      <c r="B101" s="242"/>
      <c r="C101" s="243" t="str">
        <f>IF(B101="","",IFERROR(VLOOKUP(B101,DB_Customers!$A:$D,4,0),"❌ Account Not Found"))</f>
        <v/>
      </c>
      <c r="D101" s="244" t="str">
        <f t="shared" ca="1" si="9"/>
        <v/>
      </c>
      <c r="E101" s="245"/>
      <c r="F101" s="243"/>
      <c r="G101" s="246"/>
      <c r="H101" s="247">
        <v>2.5</v>
      </c>
      <c r="I101" s="248" t="str">
        <f t="shared" si="10"/>
        <v/>
      </c>
      <c r="J101" s="249" t="str">
        <f t="shared" si="11"/>
        <v/>
      </c>
      <c r="K101" s="250" t="str">
        <f>IF(B101="","Pending",IF(M101="","⚠️ Enter Code",IF(IFERROR(VLOOKUP(L101,DB_Agents!$B:$I,8,0),"")=M101,"Pending","🔒 BLOCKED — Wrong Code")))</f>
        <v>Pending</v>
      </c>
      <c r="L101" s="251" t="s">
        <v>136</v>
      </c>
      <c r="M101" s="252"/>
      <c r="N101" s="242"/>
    </row>
    <row r="102" spans="1:14" ht="18" customHeight="1" x14ac:dyDescent="0.25">
      <c r="A102" s="229" t="str">
        <f t="shared" si="8"/>
        <v/>
      </c>
      <c r="B102" s="230"/>
      <c r="C102" s="231" t="str">
        <f>IF(B102="","",IFERROR(VLOOKUP(B102,DB_Customers!$A:$D,4,0),"❌ Account Not Found"))</f>
        <v/>
      </c>
      <c r="D102" s="232" t="str">
        <f t="shared" ca="1" si="9"/>
        <v/>
      </c>
      <c r="E102" s="233"/>
      <c r="F102" s="231"/>
      <c r="G102" s="234"/>
      <c r="H102" s="235">
        <v>2.5</v>
      </c>
      <c r="I102" s="236" t="str">
        <f t="shared" si="10"/>
        <v/>
      </c>
      <c r="J102" s="237" t="str">
        <f t="shared" si="11"/>
        <v/>
      </c>
      <c r="K102" s="238" t="str">
        <f>IF(B102="","Pending",IF(M102="","⚠️ Enter Code",IF(IFERROR(VLOOKUP(L102,DB_Agents!$B:$I,8,0),"")=M102,"Pending","🔒 BLOCKED — Wrong Code")))</f>
        <v>Pending</v>
      </c>
      <c r="L102" s="239" t="s">
        <v>136</v>
      </c>
      <c r="M102" s="240"/>
      <c r="N102" s="230"/>
    </row>
    <row r="103" spans="1:14" ht="18" customHeight="1" x14ac:dyDescent="0.25">
      <c r="A103" s="241" t="str">
        <f t="shared" si="8"/>
        <v/>
      </c>
      <c r="B103" s="242"/>
      <c r="C103" s="243" t="str">
        <f>IF(B103="","",IFERROR(VLOOKUP(B103,DB_Customers!$A:$D,4,0),"❌ Account Not Found"))</f>
        <v/>
      </c>
      <c r="D103" s="244" t="str">
        <f t="shared" ca="1" si="9"/>
        <v/>
      </c>
      <c r="E103" s="245"/>
      <c r="F103" s="243"/>
      <c r="G103" s="246"/>
      <c r="H103" s="247">
        <v>2.5</v>
      </c>
      <c r="I103" s="248" t="str">
        <f t="shared" si="10"/>
        <v/>
      </c>
      <c r="J103" s="249" t="str">
        <f t="shared" si="11"/>
        <v/>
      </c>
      <c r="K103" s="250" t="str">
        <f>IF(B103="","Pending",IF(M103="","⚠️ Enter Code",IF(IFERROR(VLOOKUP(L103,DB_Agents!$B:$I,8,0),"")=M103,"Pending","🔒 BLOCKED — Wrong Code")))</f>
        <v>Pending</v>
      </c>
      <c r="L103" s="251" t="s">
        <v>136</v>
      </c>
      <c r="M103" s="252"/>
      <c r="N103" s="242"/>
    </row>
    <row r="104" spans="1:14" ht="18" customHeight="1" x14ac:dyDescent="0.25">
      <c r="A104" s="229" t="str">
        <f t="shared" si="8"/>
        <v/>
      </c>
      <c r="B104" s="230"/>
      <c r="C104" s="231" t="str">
        <f>IF(B104="","",IFERROR(VLOOKUP(B104,DB_Customers!$A:$D,4,0),"❌ Account Not Found"))</f>
        <v/>
      </c>
      <c r="D104" s="232" t="str">
        <f t="shared" ca="1" si="9"/>
        <v/>
      </c>
      <c r="E104" s="233"/>
      <c r="F104" s="231"/>
      <c r="G104" s="234"/>
      <c r="H104" s="235">
        <v>2.5</v>
      </c>
      <c r="I104" s="236" t="str">
        <f t="shared" si="10"/>
        <v/>
      </c>
      <c r="J104" s="237" t="str">
        <f t="shared" si="11"/>
        <v/>
      </c>
      <c r="K104" s="238" t="str">
        <f>IF(B104="","Pending",IF(M104="","⚠️ Enter Code",IF(IFERROR(VLOOKUP(L104,DB_Agents!$B:$I,8,0),"")=M104,"Pending","🔒 BLOCKED — Wrong Code")))</f>
        <v>Pending</v>
      </c>
      <c r="L104" s="239" t="s">
        <v>136</v>
      </c>
      <c r="M104" s="240"/>
      <c r="N104" s="230"/>
    </row>
    <row r="105" spans="1:14" ht="18" customHeight="1" x14ac:dyDescent="0.25">
      <c r="A105" s="241" t="str">
        <f t="shared" si="8"/>
        <v/>
      </c>
      <c r="B105" s="242"/>
      <c r="C105" s="243" t="str">
        <f>IF(B105="","",IFERROR(VLOOKUP(B105,DB_Customers!$A:$D,4,0),"❌ Account Not Found"))</f>
        <v/>
      </c>
      <c r="D105" s="244" t="str">
        <f t="shared" ca="1" si="9"/>
        <v/>
      </c>
      <c r="E105" s="245"/>
      <c r="F105" s="243"/>
      <c r="G105" s="246"/>
      <c r="H105" s="247">
        <v>2.5</v>
      </c>
      <c r="I105" s="248" t="str">
        <f t="shared" si="10"/>
        <v/>
      </c>
      <c r="J105" s="249" t="str">
        <f t="shared" si="11"/>
        <v/>
      </c>
      <c r="K105" s="250" t="str">
        <f>IF(B105="","Pending",IF(M105="","⚠️ Enter Code",IF(IFERROR(VLOOKUP(L105,DB_Agents!$B:$I,8,0),"")=M105,"Pending","🔒 BLOCKED — Wrong Code")))</f>
        <v>Pending</v>
      </c>
      <c r="L105" s="251" t="s">
        <v>136</v>
      </c>
      <c r="M105" s="252"/>
      <c r="N105" s="242"/>
    </row>
    <row r="106" spans="1:14" ht="18" customHeight="1" x14ac:dyDescent="0.25">
      <c r="A106" s="229" t="str">
        <f t="shared" si="8"/>
        <v/>
      </c>
      <c r="B106" s="230"/>
      <c r="C106" s="231" t="str">
        <f>IF(B106="","",IFERROR(VLOOKUP(B106,DB_Customers!$A:$D,4,0),"❌ Account Not Found"))</f>
        <v/>
      </c>
      <c r="D106" s="232" t="str">
        <f t="shared" ca="1" si="9"/>
        <v/>
      </c>
      <c r="E106" s="233"/>
      <c r="F106" s="231"/>
      <c r="G106" s="234"/>
      <c r="H106" s="235">
        <v>2.5</v>
      </c>
      <c r="I106" s="236" t="str">
        <f t="shared" si="10"/>
        <v/>
      </c>
      <c r="J106" s="237" t="str">
        <f t="shared" si="11"/>
        <v/>
      </c>
      <c r="K106" s="238" t="str">
        <f>IF(B106="","Pending",IF(M106="","⚠️ Enter Code",IF(IFERROR(VLOOKUP(L106,DB_Agents!$B:$I,8,0),"")=M106,"Pending","🔒 BLOCKED — Wrong Code")))</f>
        <v>Pending</v>
      </c>
      <c r="L106" s="239" t="s">
        <v>136</v>
      </c>
      <c r="M106" s="240"/>
      <c r="N106" s="230"/>
    </row>
    <row r="107" spans="1:14" ht="18" customHeight="1" x14ac:dyDescent="0.25">
      <c r="A107" s="241" t="str">
        <f t="shared" si="8"/>
        <v/>
      </c>
      <c r="B107" s="242"/>
      <c r="C107" s="243" t="str">
        <f>IF(B107="","",IFERROR(VLOOKUP(B107,DB_Customers!$A:$D,4,0),"❌ Account Not Found"))</f>
        <v/>
      </c>
      <c r="D107" s="244" t="str">
        <f t="shared" ca="1" si="9"/>
        <v/>
      </c>
      <c r="E107" s="245"/>
      <c r="F107" s="243"/>
      <c r="G107" s="246"/>
      <c r="H107" s="247">
        <v>2.5</v>
      </c>
      <c r="I107" s="248" t="str">
        <f t="shared" si="10"/>
        <v/>
      </c>
      <c r="J107" s="249" t="str">
        <f t="shared" si="11"/>
        <v/>
      </c>
      <c r="K107" s="250" t="str">
        <f>IF(B107="","Pending",IF(M107="","⚠️ Enter Code",IF(IFERROR(VLOOKUP(L107,DB_Agents!$B:$I,8,0),"")=M107,"Pending","🔒 BLOCKED — Wrong Code")))</f>
        <v>Pending</v>
      </c>
      <c r="L107" s="251" t="s">
        <v>136</v>
      </c>
      <c r="M107" s="252"/>
      <c r="N107" s="242"/>
    </row>
    <row r="108" spans="1:14" ht="18" customHeight="1" x14ac:dyDescent="0.25">
      <c r="A108" s="229" t="str">
        <f t="shared" si="8"/>
        <v/>
      </c>
      <c r="B108" s="230"/>
      <c r="C108" s="231" t="str">
        <f>IF(B108="","",IFERROR(VLOOKUP(B108,DB_Customers!$A:$D,4,0),"❌ Account Not Found"))</f>
        <v/>
      </c>
      <c r="D108" s="232" t="str">
        <f t="shared" ca="1" si="9"/>
        <v/>
      </c>
      <c r="E108" s="233"/>
      <c r="F108" s="231"/>
      <c r="G108" s="234"/>
      <c r="H108" s="235">
        <v>2.5</v>
      </c>
      <c r="I108" s="236" t="str">
        <f t="shared" si="10"/>
        <v/>
      </c>
      <c r="J108" s="237" t="str">
        <f t="shared" si="11"/>
        <v/>
      </c>
      <c r="K108" s="238" t="str">
        <f>IF(B108="","Pending",IF(M108="","⚠️ Enter Code",IF(IFERROR(VLOOKUP(L108,DB_Agents!$B:$I,8,0),"")=M108,"Pending","🔒 BLOCKED — Wrong Code")))</f>
        <v>Pending</v>
      </c>
      <c r="L108" s="239" t="s">
        <v>136</v>
      </c>
      <c r="M108" s="240"/>
      <c r="N108" s="230"/>
    </row>
    <row r="109" spans="1:14" ht="18" customHeight="1" x14ac:dyDescent="0.25">
      <c r="A109" s="241" t="str">
        <f t="shared" si="8"/>
        <v/>
      </c>
      <c r="B109" s="242"/>
      <c r="C109" s="243" t="str">
        <f>IF(B109="","",IFERROR(VLOOKUP(B109,DB_Customers!$A:$D,4,0),"❌ Account Not Found"))</f>
        <v/>
      </c>
      <c r="D109" s="244" t="str">
        <f t="shared" ca="1" si="9"/>
        <v/>
      </c>
      <c r="E109" s="245"/>
      <c r="F109" s="243"/>
      <c r="G109" s="246"/>
      <c r="H109" s="247">
        <v>2.5</v>
      </c>
      <c r="I109" s="248" t="str">
        <f t="shared" si="10"/>
        <v/>
      </c>
      <c r="J109" s="249" t="str">
        <f t="shared" si="11"/>
        <v/>
      </c>
      <c r="K109" s="250" t="str">
        <f>IF(B109="","Pending",IF(M109="","⚠️ Enter Code",IF(IFERROR(VLOOKUP(L109,DB_Agents!$B:$I,8,0),"")=M109,"Pending","🔒 BLOCKED — Wrong Code")))</f>
        <v>Pending</v>
      </c>
      <c r="L109" s="251" t="s">
        <v>136</v>
      </c>
      <c r="M109" s="252"/>
      <c r="N109" s="242"/>
    </row>
    <row r="110" spans="1:14" ht="18" customHeight="1" x14ac:dyDescent="0.25">
      <c r="A110" s="229" t="str">
        <f t="shared" ref="A110:A141" si="12">IF(B110="","",IF(C110="❌ Account Not Found","INVALID","LN"&amp;TEXT(D110,"YYYYMMDD")&amp;TEXT(ROW()-13,"0000")))</f>
        <v/>
      </c>
      <c r="B110" s="230"/>
      <c r="C110" s="231" t="str">
        <f>IF(B110="","",IFERROR(VLOOKUP(B110,DB_Customers!$A:$D,4,0),"❌ Account Not Found"))</f>
        <v/>
      </c>
      <c r="D110" s="232" t="str">
        <f t="shared" ref="D110:D141" ca="1" si="13">IF(B110="","",TODAY())</f>
        <v/>
      </c>
      <c r="E110" s="233"/>
      <c r="F110" s="231"/>
      <c r="G110" s="234"/>
      <c r="H110" s="235">
        <v>2.5</v>
      </c>
      <c r="I110" s="236" t="str">
        <f t="shared" ref="I110:I141" si="14">IF(E110="","",E110+(E110*H110/100*G110))</f>
        <v/>
      </c>
      <c r="J110" s="237" t="str">
        <f t="shared" ref="J110:J141" si="15">IFERROR(I110/G110,"")</f>
        <v/>
      </c>
      <c r="K110" s="238" t="str">
        <f>IF(B110="","Pending",IF(M110="","⚠️ Enter Code",IF(IFERROR(VLOOKUP(L110,DB_Agents!$B:$I,8,0),"")=M110,"Pending","🔒 BLOCKED — Wrong Code")))</f>
        <v>Pending</v>
      </c>
      <c r="L110" s="239" t="s">
        <v>136</v>
      </c>
      <c r="M110" s="240"/>
      <c r="N110" s="230"/>
    </row>
    <row r="111" spans="1:14" ht="18" customHeight="1" x14ac:dyDescent="0.25">
      <c r="A111" s="241" t="str">
        <f t="shared" si="12"/>
        <v/>
      </c>
      <c r="B111" s="242"/>
      <c r="C111" s="243" t="str">
        <f>IF(B111="","",IFERROR(VLOOKUP(B111,DB_Customers!$A:$D,4,0),"❌ Account Not Found"))</f>
        <v/>
      </c>
      <c r="D111" s="244" t="str">
        <f t="shared" ca="1" si="13"/>
        <v/>
      </c>
      <c r="E111" s="245"/>
      <c r="F111" s="243"/>
      <c r="G111" s="246"/>
      <c r="H111" s="247">
        <v>2.5</v>
      </c>
      <c r="I111" s="248" t="str">
        <f t="shared" si="14"/>
        <v/>
      </c>
      <c r="J111" s="249" t="str">
        <f t="shared" si="15"/>
        <v/>
      </c>
      <c r="K111" s="250" t="str">
        <f>IF(B111="","Pending",IF(M111="","⚠️ Enter Code",IF(IFERROR(VLOOKUP(L111,DB_Agents!$B:$I,8,0),"")=M111,"Pending","🔒 BLOCKED — Wrong Code")))</f>
        <v>Pending</v>
      </c>
      <c r="L111" s="251" t="s">
        <v>136</v>
      </c>
      <c r="M111" s="252"/>
      <c r="N111" s="242"/>
    </row>
    <row r="112" spans="1:14" ht="18" customHeight="1" x14ac:dyDescent="0.25">
      <c r="A112" s="229" t="str">
        <f t="shared" si="12"/>
        <v/>
      </c>
      <c r="B112" s="230"/>
      <c r="C112" s="231" t="str">
        <f>IF(B112="","",IFERROR(VLOOKUP(B112,DB_Customers!$A:$D,4,0),"❌ Account Not Found"))</f>
        <v/>
      </c>
      <c r="D112" s="232" t="str">
        <f t="shared" ca="1" si="13"/>
        <v/>
      </c>
      <c r="E112" s="233"/>
      <c r="F112" s="231"/>
      <c r="G112" s="234"/>
      <c r="H112" s="235">
        <v>2.5</v>
      </c>
      <c r="I112" s="236" t="str">
        <f t="shared" si="14"/>
        <v/>
      </c>
      <c r="J112" s="237" t="str">
        <f t="shared" si="15"/>
        <v/>
      </c>
      <c r="K112" s="238" t="str">
        <f>IF(B112="","Pending",IF(M112="","⚠️ Enter Code",IF(IFERROR(VLOOKUP(L112,DB_Agents!$B:$I,8,0),"")=M112,"Pending","🔒 BLOCKED — Wrong Code")))</f>
        <v>Pending</v>
      </c>
      <c r="L112" s="239" t="s">
        <v>136</v>
      </c>
      <c r="M112" s="240"/>
      <c r="N112" s="230"/>
    </row>
    <row r="113" spans="1:14" ht="18" customHeight="1" x14ac:dyDescent="0.25">
      <c r="A113" s="241" t="str">
        <f t="shared" si="12"/>
        <v/>
      </c>
      <c r="B113" s="242"/>
      <c r="C113" s="243" t="str">
        <f>IF(B113="","",IFERROR(VLOOKUP(B113,DB_Customers!$A:$D,4,0),"❌ Account Not Found"))</f>
        <v/>
      </c>
      <c r="D113" s="244" t="str">
        <f t="shared" ca="1" si="13"/>
        <v/>
      </c>
      <c r="E113" s="245"/>
      <c r="F113" s="243"/>
      <c r="G113" s="246"/>
      <c r="H113" s="247">
        <v>2.5</v>
      </c>
      <c r="I113" s="248" t="str">
        <f t="shared" si="14"/>
        <v/>
      </c>
      <c r="J113" s="249" t="str">
        <f t="shared" si="15"/>
        <v/>
      </c>
      <c r="K113" s="250" t="str">
        <f>IF(B113="","Pending",IF(M113="","⚠️ Enter Code",IF(IFERROR(VLOOKUP(L113,DB_Agents!$B:$I,8,0),"")=M113,"Pending","🔒 BLOCKED — Wrong Code")))</f>
        <v>Pending</v>
      </c>
      <c r="L113" s="251" t="s">
        <v>136</v>
      </c>
      <c r="M113" s="252"/>
      <c r="N113" s="242"/>
    </row>
    <row r="114" spans="1:14" ht="18" customHeight="1" x14ac:dyDescent="0.25">
      <c r="A114" s="253" t="str">
        <f t="shared" si="12"/>
        <v/>
      </c>
      <c r="B114" s="254"/>
      <c r="C114" s="254" t="str">
        <f>IF(B114="","",IFERROR(VLOOKUP(B114,DB_Customers!$A:$D,4,0),"❌ Account Not Found"))</f>
        <v/>
      </c>
      <c r="D114" s="253" t="str">
        <f t="shared" ca="1" si="13"/>
        <v/>
      </c>
      <c r="E114" s="254"/>
      <c r="F114" s="254"/>
      <c r="G114" s="253"/>
      <c r="H114" s="255">
        <v>2.5</v>
      </c>
      <c r="I114" s="253" t="str">
        <f t="shared" si="14"/>
        <v/>
      </c>
      <c r="J114" s="253" t="str">
        <f t="shared" si="15"/>
        <v/>
      </c>
      <c r="K114" s="253" t="str">
        <f>IF(B114="","Pending",IF(M114="","⚠️ Enter Code",IF(IFERROR(VLOOKUP(L114,DB_Agents!$B:$I,8,0),"")=M114,"Pending","🔒 BLOCKED — Wrong Code")))</f>
        <v>Pending</v>
      </c>
      <c r="L114" s="253" t="s">
        <v>136</v>
      </c>
      <c r="M114" s="240"/>
      <c r="N114" s="254"/>
    </row>
    <row r="115" spans="1:14" ht="18" customHeight="1" x14ac:dyDescent="0.25">
      <c r="A115" s="256" t="str">
        <f t="shared" si="12"/>
        <v/>
      </c>
      <c r="B115" s="257"/>
      <c r="C115" s="257" t="str">
        <f>IF(B115="","",IFERROR(VLOOKUP(B115,DB_Customers!$A:$D,4,0),"❌ Account Not Found"))</f>
        <v/>
      </c>
      <c r="D115" s="256" t="str">
        <f t="shared" ca="1" si="13"/>
        <v/>
      </c>
      <c r="E115" s="257"/>
      <c r="F115" s="257"/>
      <c r="G115" s="256"/>
      <c r="H115" s="258">
        <v>2.5</v>
      </c>
      <c r="I115" s="256" t="str">
        <f t="shared" si="14"/>
        <v/>
      </c>
      <c r="J115" s="256" t="str">
        <f t="shared" si="15"/>
        <v/>
      </c>
      <c r="K115" s="256" t="str">
        <f>IF(B115="","Pending",IF(M115="","⚠️ Enter Code",IF(IFERROR(VLOOKUP(L115,DB_Agents!$B:$I,8,0),"")=M115,"Pending","🔒 BLOCKED — Wrong Code")))</f>
        <v>Pending</v>
      </c>
      <c r="L115" s="256" t="s">
        <v>136</v>
      </c>
      <c r="M115" s="252"/>
      <c r="N115" s="257"/>
    </row>
    <row r="116" spans="1:14" ht="18" customHeight="1" x14ac:dyDescent="0.25">
      <c r="A116" s="253" t="str">
        <f t="shared" si="12"/>
        <v/>
      </c>
      <c r="B116" s="254"/>
      <c r="C116" s="254" t="str">
        <f>IF(B116="","",IFERROR(VLOOKUP(B116,DB_Customers!$A:$D,4,0),"❌ Account Not Found"))</f>
        <v/>
      </c>
      <c r="D116" s="253" t="str">
        <f t="shared" ca="1" si="13"/>
        <v/>
      </c>
      <c r="E116" s="254"/>
      <c r="F116" s="254"/>
      <c r="G116" s="253"/>
      <c r="H116" s="255">
        <v>2.5</v>
      </c>
      <c r="I116" s="253" t="str">
        <f t="shared" si="14"/>
        <v/>
      </c>
      <c r="J116" s="253" t="str">
        <f t="shared" si="15"/>
        <v/>
      </c>
      <c r="K116" s="253" t="str">
        <f>IF(B116="","Pending",IF(M116="","⚠️ Enter Code",IF(IFERROR(VLOOKUP(L116,DB_Agents!$B:$I,8,0),"")=M116,"Pending","🔒 BLOCKED — Wrong Code")))</f>
        <v>Pending</v>
      </c>
      <c r="L116" s="253" t="s">
        <v>136</v>
      </c>
      <c r="M116" s="240"/>
      <c r="N116" s="254"/>
    </row>
    <row r="117" spans="1:14" ht="18" customHeight="1" x14ac:dyDescent="0.25">
      <c r="A117" s="256" t="str">
        <f t="shared" si="12"/>
        <v/>
      </c>
      <c r="B117" s="257"/>
      <c r="C117" s="257" t="str">
        <f>IF(B117="","",IFERROR(VLOOKUP(B117,DB_Customers!$A:$D,4,0),"❌ Account Not Found"))</f>
        <v/>
      </c>
      <c r="D117" s="256" t="str">
        <f t="shared" ca="1" si="13"/>
        <v/>
      </c>
      <c r="E117" s="257"/>
      <c r="F117" s="257"/>
      <c r="G117" s="256"/>
      <c r="H117" s="258">
        <v>2.5</v>
      </c>
      <c r="I117" s="256" t="str">
        <f t="shared" si="14"/>
        <v/>
      </c>
      <c r="J117" s="256" t="str">
        <f t="shared" si="15"/>
        <v/>
      </c>
      <c r="K117" s="256" t="str">
        <f>IF(B117="","Pending",IF(M117="","⚠️ Enter Code",IF(IFERROR(VLOOKUP(L117,DB_Agents!$B:$I,8,0),"")=M117,"Pending","🔒 BLOCKED — Wrong Code")))</f>
        <v>Pending</v>
      </c>
      <c r="L117" s="256" t="s">
        <v>136</v>
      </c>
      <c r="M117" s="252"/>
      <c r="N117" s="257"/>
    </row>
    <row r="118" spans="1:14" ht="18" customHeight="1" x14ac:dyDescent="0.25">
      <c r="A118" s="253" t="str">
        <f t="shared" si="12"/>
        <v/>
      </c>
      <c r="B118" s="254"/>
      <c r="C118" s="254" t="str">
        <f>IF(B118="","",IFERROR(VLOOKUP(B118,DB_Customers!$A:$D,4,0),"❌ Account Not Found"))</f>
        <v/>
      </c>
      <c r="D118" s="253" t="str">
        <f t="shared" ca="1" si="13"/>
        <v/>
      </c>
      <c r="E118" s="254"/>
      <c r="F118" s="254"/>
      <c r="G118" s="253"/>
      <c r="H118" s="255">
        <v>2.5</v>
      </c>
      <c r="I118" s="253" t="str">
        <f t="shared" si="14"/>
        <v/>
      </c>
      <c r="J118" s="253" t="str">
        <f t="shared" si="15"/>
        <v/>
      </c>
      <c r="K118" s="253" t="str">
        <f>IF(B118="","Pending",IF(M118="","⚠️ Enter Code",IF(IFERROR(VLOOKUP(L118,DB_Agents!$B:$I,8,0),"")=M118,"Pending","🔒 BLOCKED — Wrong Code")))</f>
        <v>Pending</v>
      </c>
      <c r="L118" s="253" t="s">
        <v>136</v>
      </c>
      <c r="M118" s="240"/>
      <c r="N118" s="254"/>
    </row>
    <row r="119" spans="1:14" ht="18" customHeight="1" x14ac:dyDescent="0.25">
      <c r="A119" s="256" t="str">
        <f t="shared" si="12"/>
        <v/>
      </c>
      <c r="B119" s="257"/>
      <c r="C119" s="257" t="str">
        <f>IF(B119="","",IFERROR(VLOOKUP(B119,DB_Customers!$A:$D,4,0),"❌ Account Not Found"))</f>
        <v/>
      </c>
      <c r="D119" s="256" t="str">
        <f t="shared" ca="1" si="13"/>
        <v/>
      </c>
      <c r="E119" s="257"/>
      <c r="F119" s="257"/>
      <c r="G119" s="256"/>
      <c r="H119" s="258">
        <v>2.5</v>
      </c>
      <c r="I119" s="256" t="str">
        <f t="shared" si="14"/>
        <v/>
      </c>
      <c r="J119" s="256" t="str">
        <f t="shared" si="15"/>
        <v/>
      </c>
      <c r="K119" s="256" t="str">
        <f>IF(B119="","Pending",IF(M119="","⚠️ Enter Code",IF(IFERROR(VLOOKUP(L119,DB_Agents!$B:$I,8,0),"")=M119,"Pending","🔒 BLOCKED — Wrong Code")))</f>
        <v>Pending</v>
      </c>
      <c r="L119" s="256" t="s">
        <v>136</v>
      </c>
      <c r="M119" s="252"/>
      <c r="N119" s="257"/>
    </row>
    <row r="120" spans="1:14" ht="18" customHeight="1" x14ac:dyDescent="0.25">
      <c r="A120" s="253" t="str">
        <f t="shared" si="12"/>
        <v/>
      </c>
      <c r="B120" s="254"/>
      <c r="C120" s="254" t="str">
        <f>IF(B120="","",IFERROR(VLOOKUP(B120,DB_Customers!$A:$D,4,0),"❌ Account Not Found"))</f>
        <v/>
      </c>
      <c r="D120" s="253" t="str">
        <f t="shared" ca="1" si="13"/>
        <v/>
      </c>
      <c r="E120" s="254"/>
      <c r="F120" s="254"/>
      <c r="G120" s="253"/>
      <c r="H120" s="255">
        <v>2.5</v>
      </c>
      <c r="I120" s="253" t="str">
        <f t="shared" si="14"/>
        <v/>
      </c>
      <c r="J120" s="253" t="str">
        <f t="shared" si="15"/>
        <v/>
      </c>
      <c r="K120" s="253" t="str">
        <f>IF(B120="","Pending",IF(M120="","⚠️ Enter Code",IF(IFERROR(VLOOKUP(L120,DB_Agents!$B:$I,8,0),"")=M120,"Pending","🔒 BLOCKED — Wrong Code")))</f>
        <v>Pending</v>
      </c>
      <c r="L120" s="253" t="s">
        <v>136</v>
      </c>
      <c r="M120" s="240"/>
      <c r="N120" s="254"/>
    </row>
    <row r="121" spans="1:14" ht="18" customHeight="1" x14ac:dyDescent="0.25">
      <c r="A121" s="256" t="str">
        <f t="shared" si="12"/>
        <v/>
      </c>
      <c r="B121" s="257"/>
      <c r="C121" s="257" t="str">
        <f>IF(B121="","",IFERROR(VLOOKUP(B121,DB_Customers!$A:$D,4,0),"❌ Account Not Found"))</f>
        <v/>
      </c>
      <c r="D121" s="256" t="str">
        <f t="shared" ca="1" si="13"/>
        <v/>
      </c>
      <c r="E121" s="257"/>
      <c r="F121" s="257"/>
      <c r="G121" s="256"/>
      <c r="H121" s="258">
        <v>2.5</v>
      </c>
      <c r="I121" s="256" t="str">
        <f t="shared" si="14"/>
        <v/>
      </c>
      <c r="J121" s="256" t="str">
        <f t="shared" si="15"/>
        <v/>
      </c>
      <c r="K121" s="256" t="str">
        <f>IF(B121="","Pending",IF(M121="","⚠️ Enter Code",IF(IFERROR(VLOOKUP(L121,DB_Agents!$B:$I,8,0),"")=M121,"Pending","🔒 BLOCKED — Wrong Code")))</f>
        <v>Pending</v>
      </c>
      <c r="L121" s="256" t="s">
        <v>136</v>
      </c>
      <c r="M121" s="252"/>
      <c r="N121" s="257"/>
    </row>
    <row r="122" spans="1:14" ht="18" customHeight="1" x14ac:dyDescent="0.25">
      <c r="A122" s="253" t="str">
        <f t="shared" si="12"/>
        <v/>
      </c>
      <c r="B122" s="254"/>
      <c r="C122" s="254" t="str">
        <f>IF(B122="","",IFERROR(VLOOKUP(B122,DB_Customers!$A:$D,4,0),"❌ Account Not Found"))</f>
        <v/>
      </c>
      <c r="D122" s="253" t="str">
        <f t="shared" ca="1" si="13"/>
        <v/>
      </c>
      <c r="E122" s="254"/>
      <c r="F122" s="254"/>
      <c r="G122" s="253"/>
      <c r="H122" s="255">
        <v>2.5</v>
      </c>
      <c r="I122" s="253" t="str">
        <f t="shared" si="14"/>
        <v/>
      </c>
      <c r="J122" s="253" t="str">
        <f t="shared" si="15"/>
        <v/>
      </c>
      <c r="K122" s="253" t="str">
        <f>IF(B122="","Pending",IF(M122="","⚠️ Enter Code",IF(IFERROR(VLOOKUP(L122,DB_Agents!$B:$I,8,0),"")=M122,"Pending","🔒 BLOCKED — Wrong Code")))</f>
        <v>Pending</v>
      </c>
      <c r="L122" s="253" t="s">
        <v>136</v>
      </c>
      <c r="M122" s="240"/>
      <c r="N122" s="254"/>
    </row>
    <row r="123" spans="1:14" ht="18" customHeight="1" x14ac:dyDescent="0.25">
      <c r="A123" s="256" t="str">
        <f t="shared" si="12"/>
        <v/>
      </c>
      <c r="B123" s="257"/>
      <c r="C123" s="257" t="str">
        <f>IF(B123="","",IFERROR(VLOOKUP(B123,DB_Customers!$A:$D,4,0),"❌ Account Not Found"))</f>
        <v/>
      </c>
      <c r="D123" s="256" t="str">
        <f t="shared" ca="1" si="13"/>
        <v/>
      </c>
      <c r="E123" s="257"/>
      <c r="F123" s="257"/>
      <c r="G123" s="256"/>
      <c r="H123" s="258">
        <v>2.5</v>
      </c>
      <c r="I123" s="256" t="str">
        <f t="shared" si="14"/>
        <v/>
      </c>
      <c r="J123" s="256" t="str">
        <f t="shared" si="15"/>
        <v/>
      </c>
      <c r="K123" s="256" t="str">
        <f>IF(B123="","Pending",IF(M123="","⚠️ Enter Code",IF(IFERROR(VLOOKUP(L123,DB_Agents!$B:$I,8,0),"")=M123,"Pending","🔒 BLOCKED — Wrong Code")))</f>
        <v>Pending</v>
      </c>
      <c r="L123" s="256" t="s">
        <v>136</v>
      </c>
      <c r="M123" s="252"/>
      <c r="N123" s="257"/>
    </row>
    <row r="124" spans="1:14" ht="18" customHeight="1" x14ac:dyDescent="0.25">
      <c r="A124" s="253" t="str">
        <f t="shared" si="12"/>
        <v/>
      </c>
      <c r="B124" s="254"/>
      <c r="C124" s="254" t="str">
        <f>IF(B124="","",IFERROR(VLOOKUP(B124,DB_Customers!$A:$D,4,0),"❌ Account Not Found"))</f>
        <v/>
      </c>
      <c r="D124" s="253" t="str">
        <f t="shared" ca="1" si="13"/>
        <v/>
      </c>
      <c r="E124" s="254"/>
      <c r="F124" s="254"/>
      <c r="G124" s="253"/>
      <c r="H124" s="255">
        <v>2.5</v>
      </c>
      <c r="I124" s="253" t="str">
        <f t="shared" si="14"/>
        <v/>
      </c>
      <c r="J124" s="253" t="str">
        <f t="shared" si="15"/>
        <v/>
      </c>
      <c r="K124" s="253" t="str">
        <f>IF(B124="","Pending",IF(M124="","⚠️ Enter Code",IF(IFERROR(VLOOKUP(L124,DB_Agents!$B:$I,8,0),"")=M124,"Pending","🔒 BLOCKED — Wrong Code")))</f>
        <v>Pending</v>
      </c>
      <c r="L124" s="253" t="s">
        <v>136</v>
      </c>
      <c r="M124" s="240"/>
      <c r="N124" s="254"/>
    </row>
    <row r="125" spans="1:14" ht="18" customHeight="1" x14ac:dyDescent="0.25">
      <c r="A125" s="256" t="str">
        <f t="shared" si="12"/>
        <v/>
      </c>
      <c r="B125" s="257"/>
      <c r="C125" s="257" t="str">
        <f>IF(B125="","",IFERROR(VLOOKUP(B125,DB_Customers!$A:$D,4,0),"❌ Account Not Found"))</f>
        <v/>
      </c>
      <c r="D125" s="256" t="str">
        <f t="shared" ca="1" si="13"/>
        <v/>
      </c>
      <c r="E125" s="257"/>
      <c r="F125" s="257"/>
      <c r="G125" s="256"/>
      <c r="H125" s="258">
        <v>2.5</v>
      </c>
      <c r="I125" s="256" t="str">
        <f t="shared" si="14"/>
        <v/>
      </c>
      <c r="J125" s="256" t="str">
        <f t="shared" si="15"/>
        <v/>
      </c>
      <c r="K125" s="256" t="str">
        <f>IF(B125="","Pending",IF(M125="","⚠️ Enter Code",IF(IFERROR(VLOOKUP(L125,DB_Agents!$B:$I,8,0),"")=M125,"Pending","🔒 BLOCKED — Wrong Code")))</f>
        <v>Pending</v>
      </c>
      <c r="L125" s="256" t="s">
        <v>136</v>
      </c>
      <c r="M125" s="252"/>
      <c r="N125" s="257"/>
    </row>
    <row r="126" spans="1:14" ht="18" customHeight="1" x14ac:dyDescent="0.25">
      <c r="A126" s="253" t="str">
        <f t="shared" si="12"/>
        <v/>
      </c>
      <c r="B126" s="254"/>
      <c r="C126" s="254" t="str">
        <f>IF(B126="","",IFERROR(VLOOKUP(B126,DB_Customers!$A:$D,4,0),"❌ Account Not Found"))</f>
        <v/>
      </c>
      <c r="D126" s="253" t="str">
        <f t="shared" ca="1" si="13"/>
        <v/>
      </c>
      <c r="E126" s="254"/>
      <c r="F126" s="254"/>
      <c r="G126" s="253"/>
      <c r="H126" s="255">
        <v>2.5</v>
      </c>
      <c r="I126" s="253" t="str">
        <f t="shared" si="14"/>
        <v/>
      </c>
      <c r="J126" s="253" t="str">
        <f t="shared" si="15"/>
        <v/>
      </c>
      <c r="K126" s="253" t="str">
        <f>IF(B126="","Pending",IF(M126="","⚠️ Enter Code",IF(IFERROR(VLOOKUP(L126,DB_Agents!$B:$I,8,0),"")=M126,"Pending","🔒 BLOCKED — Wrong Code")))</f>
        <v>Pending</v>
      </c>
      <c r="L126" s="253" t="s">
        <v>136</v>
      </c>
      <c r="M126" s="240"/>
      <c r="N126" s="254"/>
    </row>
    <row r="127" spans="1:14" ht="18" customHeight="1" x14ac:dyDescent="0.25">
      <c r="A127" s="256" t="str">
        <f t="shared" si="12"/>
        <v/>
      </c>
      <c r="B127" s="257"/>
      <c r="C127" s="257" t="str">
        <f>IF(B127="","",IFERROR(VLOOKUP(B127,DB_Customers!$A:$D,4,0),"❌ Account Not Found"))</f>
        <v/>
      </c>
      <c r="D127" s="256" t="str">
        <f t="shared" ca="1" si="13"/>
        <v/>
      </c>
      <c r="E127" s="257"/>
      <c r="F127" s="257"/>
      <c r="G127" s="256"/>
      <c r="H127" s="258">
        <v>2.5</v>
      </c>
      <c r="I127" s="256" t="str">
        <f t="shared" si="14"/>
        <v/>
      </c>
      <c r="J127" s="256" t="str">
        <f t="shared" si="15"/>
        <v/>
      </c>
      <c r="K127" s="256" t="str">
        <f>IF(B127="","Pending",IF(M127="","⚠️ Enter Code",IF(IFERROR(VLOOKUP(L127,DB_Agents!$B:$I,8,0),"")=M127,"Pending","🔒 BLOCKED — Wrong Code")))</f>
        <v>Pending</v>
      </c>
      <c r="L127" s="256" t="s">
        <v>136</v>
      </c>
      <c r="M127" s="252"/>
      <c r="N127" s="257"/>
    </row>
    <row r="128" spans="1:14" ht="18" customHeight="1" x14ac:dyDescent="0.25">
      <c r="A128" s="253" t="str">
        <f t="shared" si="12"/>
        <v/>
      </c>
      <c r="B128" s="254"/>
      <c r="C128" s="254" t="str">
        <f>IF(B128="","",IFERROR(VLOOKUP(B128,DB_Customers!$A:$D,4,0),"❌ Account Not Found"))</f>
        <v/>
      </c>
      <c r="D128" s="253" t="str">
        <f t="shared" ca="1" si="13"/>
        <v/>
      </c>
      <c r="E128" s="254"/>
      <c r="F128" s="254"/>
      <c r="G128" s="253"/>
      <c r="H128" s="255">
        <v>2.5</v>
      </c>
      <c r="I128" s="253" t="str">
        <f t="shared" si="14"/>
        <v/>
      </c>
      <c r="J128" s="253" t="str">
        <f t="shared" si="15"/>
        <v/>
      </c>
      <c r="K128" s="253" t="str">
        <f>IF(B128="","Pending",IF(M128="","⚠️ Enter Code",IF(IFERROR(VLOOKUP(L128,DB_Agents!$B:$I,8,0),"")=M128,"Pending","🔒 BLOCKED — Wrong Code")))</f>
        <v>Pending</v>
      </c>
      <c r="L128" s="253" t="s">
        <v>136</v>
      </c>
      <c r="M128" s="240"/>
      <c r="N128" s="254"/>
    </row>
    <row r="129" spans="1:14" ht="18" customHeight="1" x14ac:dyDescent="0.25">
      <c r="A129" s="256" t="str">
        <f t="shared" si="12"/>
        <v/>
      </c>
      <c r="B129" s="257"/>
      <c r="C129" s="257" t="str">
        <f>IF(B129="","",IFERROR(VLOOKUP(B129,DB_Customers!$A:$D,4,0),"❌ Account Not Found"))</f>
        <v/>
      </c>
      <c r="D129" s="256" t="str">
        <f t="shared" ca="1" si="13"/>
        <v/>
      </c>
      <c r="E129" s="257"/>
      <c r="F129" s="257"/>
      <c r="G129" s="256"/>
      <c r="H129" s="258">
        <v>2.5</v>
      </c>
      <c r="I129" s="256" t="str">
        <f t="shared" si="14"/>
        <v/>
      </c>
      <c r="J129" s="256" t="str">
        <f t="shared" si="15"/>
        <v/>
      </c>
      <c r="K129" s="256" t="str">
        <f>IF(B129="","Pending",IF(M129="","⚠️ Enter Code",IF(IFERROR(VLOOKUP(L129,DB_Agents!$B:$I,8,0),"")=M129,"Pending","🔒 BLOCKED — Wrong Code")))</f>
        <v>Pending</v>
      </c>
      <c r="L129" s="256" t="s">
        <v>136</v>
      </c>
      <c r="M129" s="252"/>
      <c r="N129" s="257"/>
    </row>
    <row r="130" spans="1:14" ht="18" customHeight="1" x14ac:dyDescent="0.25">
      <c r="A130" s="253" t="str">
        <f t="shared" si="12"/>
        <v/>
      </c>
      <c r="B130" s="254"/>
      <c r="C130" s="254" t="str">
        <f>IF(B130="","",IFERROR(VLOOKUP(B130,DB_Customers!$A:$D,4,0),"❌ Account Not Found"))</f>
        <v/>
      </c>
      <c r="D130" s="253" t="str">
        <f t="shared" ca="1" si="13"/>
        <v/>
      </c>
      <c r="E130" s="254"/>
      <c r="F130" s="254"/>
      <c r="G130" s="253"/>
      <c r="H130" s="255">
        <v>2.5</v>
      </c>
      <c r="I130" s="253" t="str">
        <f t="shared" si="14"/>
        <v/>
      </c>
      <c r="J130" s="253" t="str">
        <f t="shared" si="15"/>
        <v/>
      </c>
      <c r="K130" s="253" t="str">
        <f>IF(B130="","Pending",IF(M130="","⚠️ Enter Code",IF(IFERROR(VLOOKUP(L130,DB_Agents!$B:$I,8,0),"")=M130,"Pending","🔒 BLOCKED — Wrong Code")))</f>
        <v>Pending</v>
      </c>
      <c r="L130" s="253" t="s">
        <v>136</v>
      </c>
      <c r="M130" s="240"/>
      <c r="N130" s="254"/>
    </row>
    <row r="131" spans="1:14" ht="18" customHeight="1" x14ac:dyDescent="0.25">
      <c r="A131" s="256" t="str">
        <f t="shared" si="12"/>
        <v/>
      </c>
      <c r="B131" s="257"/>
      <c r="C131" s="257" t="str">
        <f>IF(B131="","",IFERROR(VLOOKUP(B131,DB_Customers!$A:$D,4,0),"❌ Account Not Found"))</f>
        <v/>
      </c>
      <c r="D131" s="256" t="str">
        <f t="shared" ca="1" si="13"/>
        <v/>
      </c>
      <c r="E131" s="257"/>
      <c r="F131" s="257"/>
      <c r="G131" s="256"/>
      <c r="H131" s="258">
        <v>2.5</v>
      </c>
      <c r="I131" s="256" t="str">
        <f t="shared" si="14"/>
        <v/>
      </c>
      <c r="J131" s="256" t="str">
        <f t="shared" si="15"/>
        <v/>
      </c>
      <c r="K131" s="256" t="str">
        <f>IF(B131="","Pending",IF(M131="","⚠️ Enter Code",IF(IFERROR(VLOOKUP(L131,DB_Agents!$B:$I,8,0),"")=M131,"Pending","🔒 BLOCKED — Wrong Code")))</f>
        <v>Pending</v>
      </c>
      <c r="L131" s="256" t="s">
        <v>136</v>
      </c>
      <c r="M131" s="252"/>
      <c r="N131" s="257"/>
    </row>
    <row r="132" spans="1:14" ht="18" customHeight="1" x14ac:dyDescent="0.25">
      <c r="A132" s="253" t="str">
        <f t="shared" si="12"/>
        <v/>
      </c>
      <c r="B132" s="254"/>
      <c r="C132" s="254" t="str">
        <f>IF(B132="","",IFERROR(VLOOKUP(B132,DB_Customers!$A:$D,4,0),"❌ Account Not Found"))</f>
        <v/>
      </c>
      <c r="D132" s="253" t="str">
        <f t="shared" ca="1" si="13"/>
        <v/>
      </c>
      <c r="E132" s="254"/>
      <c r="F132" s="254"/>
      <c r="G132" s="253"/>
      <c r="H132" s="255">
        <v>2.5</v>
      </c>
      <c r="I132" s="253" t="str">
        <f t="shared" si="14"/>
        <v/>
      </c>
      <c r="J132" s="253" t="str">
        <f t="shared" si="15"/>
        <v/>
      </c>
      <c r="K132" s="253" t="str">
        <f>IF(B132="","Pending",IF(M132="","⚠️ Enter Code",IF(IFERROR(VLOOKUP(L132,DB_Agents!$B:$I,8,0),"")=M132,"Pending","🔒 BLOCKED — Wrong Code")))</f>
        <v>Pending</v>
      </c>
      <c r="L132" s="253" t="s">
        <v>136</v>
      </c>
      <c r="M132" s="240"/>
      <c r="N132" s="254"/>
    </row>
    <row r="133" spans="1:14" ht="18" customHeight="1" x14ac:dyDescent="0.25">
      <c r="A133" s="256" t="str">
        <f t="shared" si="12"/>
        <v/>
      </c>
      <c r="B133" s="257"/>
      <c r="C133" s="257" t="str">
        <f>IF(B133="","",IFERROR(VLOOKUP(B133,DB_Customers!$A:$D,4,0),"❌ Account Not Found"))</f>
        <v/>
      </c>
      <c r="D133" s="256" t="str">
        <f t="shared" ca="1" si="13"/>
        <v/>
      </c>
      <c r="E133" s="257"/>
      <c r="F133" s="257"/>
      <c r="G133" s="256"/>
      <c r="H133" s="258">
        <v>2.5</v>
      </c>
      <c r="I133" s="256" t="str">
        <f t="shared" si="14"/>
        <v/>
      </c>
      <c r="J133" s="256" t="str">
        <f t="shared" si="15"/>
        <v/>
      </c>
      <c r="K133" s="256" t="str">
        <f>IF(B133="","Pending",IF(M133="","⚠️ Enter Code",IF(IFERROR(VLOOKUP(L133,DB_Agents!$B:$I,8,0),"")=M133,"Pending","🔒 BLOCKED — Wrong Code")))</f>
        <v>Pending</v>
      </c>
      <c r="L133" s="256" t="s">
        <v>136</v>
      </c>
      <c r="M133" s="252"/>
      <c r="N133" s="257"/>
    </row>
    <row r="134" spans="1:14" ht="18" customHeight="1" x14ac:dyDescent="0.25">
      <c r="A134" s="253" t="str">
        <f t="shared" si="12"/>
        <v/>
      </c>
      <c r="B134" s="254"/>
      <c r="C134" s="254" t="str">
        <f>IF(B134="","",IFERROR(VLOOKUP(B134,DB_Customers!$A:$D,4,0),"❌ Account Not Found"))</f>
        <v/>
      </c>
      <c r="D134" s="253" t="str">
        <f t="shared" ca="1" si="13"/>
        <v/>
      </c>
      <c r="E134" s="254"/>
      <c r="F134" s="254"/>
      <c r="G134" s="253"/>
      <c r="H134" s="255">
        <v>2.5</v>
      </c>
      <c r="I134" s="253" t="str">
        <f t="shared" si="14"/>
        <v/>
      </c>
      <c r="J134" s="253" t="str">
        <f t="shared" si="15"/>
        <v/>
      </c>
      <c r="K134" s="253" t="str">
        <f>IF(B134="","Pending",IF(M134="","⚠️ Enter Code",IF(IFERROR(VLOOKUP(L134,DB_Agents!$B:$I,8,0),"")=M134,"Pending","🔒 BLOCKED — Wrong Code")))</f>
        <v>Pending</v>
      </c>
      <c r="L134" s="253" t="s">
        <v>136</v>
      </c>
      <c r="M134" s="240"/>
      <c r="N134" s="254"/>
    </row>
    <row r="135" spans="1:14" ht="18" customHeight="1" x14ac:dyDescent="0.25">
      <c r="A135" s="256" t="str">
        <f t="shared" si="12"/>
        <v/>
      </c>
      <c r="B135" s="257"/>
      <c r="C135" s="257" t="str">
        <f>IF(B135="","",IFERROR(VLOOKUP(B135,DB_Customers!$A:$D,4,0),"❌ Account Not Found"))</f>
        <v/>
      </c>
      <c r="D135" s="256" t="str">
        <f t="shared" ca="1" si="13"/>
        <v/>
      </c>
      <c r="E135" s="257"/>
      <c r="F135" s="257"/>
      <c r="G135" s="256"/>
      <c r="H135" s="258">
        <v>2.5</v>
      </c>
      <c r="I135" s="256" t="str">
        <f t="shared" si="14"/>
        <v/>
      </c>
      <c r="J135" s="256" t="str">
        <f t="shared" si="15"/>
        <v/>
      </c>
      <c r="K135" s="256" t="str">
        <f>IF(B135="","Pending",IF(M135="","⚠️ Enter Code",IF(IFERROR(VLOOKUP(L135,DB_Agents!$B:$I,8,0),"")=M135,"Pending","🔒 BLOCKED — Wrong Code")))</f>
        <v>Pending</v>
      </c>
      <c r="L135" s="256" t="s">
        <v>136</v>
      </c>
      <c r="M135" s="252"/>
      <c r="N135" s="257"/>
    </row>
    <row r="136" spans="1:14" ht="18" customHeight="1" x14ac:dyDescent="0.25">
      <c r="A136" s="253" t="str">
        <f t="shared" si="12"/>
        <v/>
      </c>
      <c r="B136" s="254"/>
      <c r="C136" s="254" t="str">
        <f>IF(B136="","",IFERROR(VLOOKUP(B136,DB_Customers!$A:$D,4,0),"❌ Account Not Found"))</f>
        <v/>
      </c>
      <c r="D136" s="253" t="str">
        <f t="shared" ca="1" si="13"/>
        <v/>
      </c>
      <c r="E136" s="254"/>
      <c r="F136" s="254"/>
      <c r="G136" s="253"/>
      <c r="H136" s="255">
        <v>2.5</v>
      </c>
      <c r="I136" s="253" t="str">
        <f t="shared" si="14"/>
        <v/>
      </c>
      <c r="J136" s="253" t="str">
        <f t="shared" si="15"/>
        <v/>
      </c>
      <c r="K136" s="253" t="str">
        <f>IF(B136="","Pending",IF(M136="","⚠️ Enter Code",IF(IFERROR(VLOOKUP(L136,DB_Agents!$B:$I,8,0),"")=M136,"Pending","🔒 BLOCKED — Wrong Code")))</f>
        <v>Pending</v>
      </c>
      <c r="L136" s="253" t="s">
        <v>136</v>
      </c>
      <c r="M136" s="240"/>
      <c r="N136" s="254"/>
    </row>
    <row r="137" spans="1:14" ht="18" customHeight="1" x14ac:dyDescent="0.25">
      <c r="A137" s="256" t="str">
        <f t="shared" si="12"/>
        <v/>
      </c>
      <c r="B137" s="257"/>
      <c r="C137" s="257" t="str">
        <f>IF(B137="","",IFERROR(VLOOKUP(B137,DB_Customers!$A:$D,4,0),"❌ Account Not Found"))</f>
        <v/>
      </c>
      <c r="D137" s="256" t="str">
        <f t="shared" ca="1" si="13"/>
        <v/>
      </c>
      <c r="E137" s="257"/>
      <c r="F137" s="257"/>
      <c r="G137" s="256"/>
      <c r="H137" s="258">
        <v>2.5</v>
      </c>
      <c r="I137" s="256" t="str">
        <f t="shared" si="14"/>
        <v/>
      </c>
      <c r="J137" s="256" t="str">
        <f t="shared" si="15"/>
        <v/>
      </c>
      <c r="K137" s="256" t="str">
        <f>IF(B137="","Pending",IF(M137="","⚠️ Enter Code",IF(IFERROR(VLOOKUP(L137,DB_Agents!$B:$I,8,0),"")=M137,"Pending","🔒 BLOCKED — Wrong Code")))</f>
        <v>Pending</v>
      </c>
      <c r="L137" s="256" t="s">
        <v>136</v>
      </c>
      <c r="M137" s="252"/>
      <c r="N137" s="257"/>
    </row>
    <row r="138" spans="1:14" ht="18" customHeight="1" x14ac:dyDescent="0.25">
      <c r="A138" s="253" t="str">
        <f t="shared" si="12"/>
        <v/>
      </c>
      <c r="B138" s="254"/>
      <c r="C138" s="254" t="str">
        <f>IF(B138="","",IFERROR(VLOOKUP(B138,DB_Customers!$A:$D,4,0),"❌ Account Not Found"))</f>
        <v/>
      </c>
      <c r="D138" s="253" t="str">
        <f t="shared" ca="1" si="13"/>
        <v/>
      </c>
      <c r="E138" s="254"/>
      <c r="F138" s="254"/>
      <c r="G138" s="253"/>
      <c r="H138" s="255">
        <v>2.5</v>
      </c>
      <c r="I138" s="253" t="str">
        <f t="shared" si="14"/>
        <v/>
      </c>
      <c r="J138" s="253" t="str">
        <f t="shared" si="15"/>
        <v/>
      </c>
      <c r="K138" s="253" t="str">
        <f>IF(B138="","Pending",IF(M138="","⚠️ Enter Code",IF(IFERROR(VLOOKUP(L138,DB_Agents!$B:$I,8,0),"")=M138,"Pending","🔒 BLOCKED — Wrong Code")))</f>
        <v>Pending</v>
      </c>
      <c r="L138" s="253" t="s">
        <v>136</v>
      </c>
      <c r="M138" s="240"/>
      <c r="N138" s="254"/>
    </row>
    <row r="139" spans="1:14" ht="18" customHeight="1" x14ac:dyDescent="0.25">
      <c r="A139" s="256" t="str">
        <f t="shared" si="12"/>
        <v/>
      </c>
      <c r="B139" s="257"/>
      <c r="C139" s="257" t="str">
        <f>IF(B139="","",IFERROR(VLOOKUP(B139,DB_Customers!$A:$D,4,0),"❌ Account Not Found"))</f>
        <v/>
      </c>
      <c r="D139" s="256" t="str">
        <f t="shared" ca="1" si="13"/>
        <v/>
      </c>
      <c r="E139" s="257"/>
      <c r="F139" s="257"/>
      <c r="G139" s="256"/>
      <c r="H139" s="258">
        <v>2.5</v>
      </c>
      <c r="I139" s="256" t="str">
        <f t="shared" si="14"/>
        <v/>
      </c>
      <c r="J139" s="256" t="str">
        <f t="shared" si="15"/>
        <v/>
      </c>
      <c r="K139" s="256" t="str">
        <f>IF(B139="","Pending",IF(M139="","⚠️ Enter Code",IF(IFERROR(VLOOKUP(L139,DB_Agents!$B:$I,8,0),"")=M139,"Pending","🔒 BLOCKED — Wrong Code")))</f>
        <v>Pending</v>
      </c>
      <c r="L139" s="256" t="s">
        <v>136</v>
      </c>
      <c r="M139" s="252"/>
      <c r="N139" s="257"/>
    </row>
    <row r="140" spans="1:14" ht="18" customHeight="1" x14ac:dyDescent="0.25">
      <c r="A140" s="253" t="str">
        <f t="shared" si="12"/>
        <v/>
      </c>
      <c r="B140" s="254"/>
      <c r="C140" s="254" t="str">
        <f>IF(B140="","",IFERROR(VLOOKUP(B140,DB_Customers!$A:$D,4,0),"❌ Account Not Found"))</f>
        <v/>
      </c>
      <c r="D140" s="253" t="str">
        <f t="shared" ca="1" si="13"/>
        <v/>
      </c>
      <c r="E140" s="254"/>
      <c r="F140" s="254"/>
      <c r="G140" s="253"/>
      <c r="H140" s="255">
        <v>2.5</v>
      </c>
      <c r="I140" s="253" t="str">
        <f t="shared" si="14"/>
        <v/>
      </c>
      <c r="J140" s="253" t="str">
        <f t="shared" si="15"/>
        <v/>
      </c>
      <c r="K140" s="253" t="str">
        <f>IF(B140="","Pending",IF(M140="","⚠️ Enter Code",IF(IFERROR(VLOOKUP(L140,DB_Agents!$B:$I,8,0),"")=M140,"Pending","🔒 BLOCKED — Wrong Code")))</f>
        <v>Pending</v>
      </c>
      <c r="L140" s="253" t="s">
        <v>136</v>
      </c>
      <c r="M140" s="240"/>
      <c r="N140" s="254"/>
    </row>
    <row r="141" spans="1:14" ht="18" customHeight="1" x14ac:dyDescent="0.25">
      <c r="A141" s="256" t="str">
        <f t="shared" si="12"/>
        <v/>
      </c>
      <c r="B141" s="257"/>
      <c r="C141" s="257" t="str">
        <f>IF(B141="","",IFERROR(VLOOKUP(B141,DB_Customers!$A:$D,4,0),"❌ Account Not Found"))</f>
        <v/>
      </c>
      <c r="D141" s="256" t="str">
        <f t="shared" ca="1" si="13"/>
        <v/>
      </c>
      <c r="E141" s="257"/>
      <c r="F141" s="257"/>
      <c r="G141" s="256"/>
      <c r="H141" s="258">
        <v>2.5</v>
      </c>
      <c r="I141" s="256" t="str">
        <f t="shared" si="14"/>
        <v/>
      </c>
      <c r="J141" s="256" t="str">
        <f t="shared" si="15"/>
        <v/>
      </c>
      <c r="K141" s="256" t="str">
        <f>IF(B141="","Pending",IF(M141="","⚠️ Enter Code",IF(IFERROR(VLOOKUP(L141,DB_Agents!$B:$I,8,0),"")=M141,"Pending","🔒 BLOCKED — Wrong Code")))</f>
        <v>Pending</v>
      </c>
      <c r="L141" s="256" t="s">
        <v>136</v>
      </c>
      <c r="M141" s="252"/>
      <c r="N141" s="257"/>
    </row>
    <row r="142" spans="1:14" ht="18" customHeight="1" x14ac:dyDescent="0.25">
      <c r="A142" s="253" t="str">
        <f t="shared" ref="A142:A173" si="16">IF(B142="","",IF(C142="❌ Account Not Found","INVALID","LN"&amp;TEXT(D142,"YYYYMMDD")&amp;TEXT(ROW()-13,"0000")))</f>
        <v/>
      </c>
      <c r="B142" s="254"/>
      <c r="C142" s="254" t="str">
        <f>IF(B142="","",IFERROR(VLOOKUP(B142,DB_Customers!$A:$D,4,0),"❌ Account Not Found"))</f>
        <v/>
      </c>
      <c r="D142" s="253" t="str">
        <f t="shared" ref="D142:D173" ca="1" si="17">IF(B142="","",TODAY())</f>
        <v/>
      </c>
      <c r="E142" s="254"/>
      <c r="F142" s="254"/>
      <c r="G142" s="253"/>
      <c r="H142" s="255">
        <v>2.5</v>
      </c>
      <c r="I142" s="253" t="str">
        <f t="shared" ref="I142:I173" si="18">IF(E142="","",E142+(E142*H142/100*G142))</f>
        <v/>
      </c>
      <c r="J142" s="253" t="str">
        <f t="shared" ref="J142:J173" si="19">IFERROR(I142/G142,"")</f>
        <v/>
      </c>
      <c r="K142" s="253" t="str">
        <f>IF(B142="","Pending",IF(M142="","⚠️ Enter Code",IF(IFERROR(VLOOKUP(L142,DB_Agents!$B:$I,8,0),"")=M142,"Pending","🔒 BLOCKED — Wrong Code")))</f>
        <v>Pending</v>
      </c>
      <c r="L142" s="253" t="s">
        <v>136</v>
      </c>
      <c r="M142" s="240"/>
      <c r="N142" s="254"/>
    </row>
    <row r="143" spans="1:14" ht="18" customHeight="1" x14ac:dyDescent="0.25">
      <c r="A143" s="256" t="str">
        <f t="shared" si="16"/>
        <v/>
      </c>
      <c r="B143" s="257"/>
      <c r="C143" s="257" t="str">
        <f>IF(B143="","",IFERROR(VLOOKUP(B143,DB_Customers!$A:$D,4,0),"❌ Account Not Found"))</f>
        <v/>
      </c>
      <c r="D143" s="256" t="str">
        <f t="shared" ca="1" si="17"/>
        <v/>
      </c>
      <c r="E143" s="257"/>
      <c r="F143" s="257"/>
      <c r="G143" s="256"/>
      <c r="H143" s="258">
        <v>2.5</v>
      </c>
      <c r="I143" s="256" t="str">
        <f t="shared" si="18"/>
        <v/>
      </c>
      <c r="J143" s="256" t="str">
        <f t="shared" si="19"/>
        <v/>
      </c>
      <c r="K143" s="256" t="str">
        <f>IF(B143="","Pending",IF(M143="","⚠️ Enter Code",IF(IFERROR(VLOOKUP(L143,DB_Agents!$B:$I,8,0),"")=M143,"Pending","🔒 BLOCKED — Wrong Code")))</f>
        <v>Pending</v>
      </c>
      <c r="L143" s="256" t="s">
        <v>136</v>
      </c>
      <c r="M143" s="252"/>
      <c r="N143" s="257"/>
    </row>
    <row r="144" spans="1:14" ht="18" customHeight="1" x14ac:dyDescent="0.25">
      <c r="A144" s="253" t="str">
        <f t="shared" si="16"/>
        <v/>
      </c>
      <c r="B144" s="254"/>
      <c r="C144" s="254" t="str">
        <f>IF(B144="","",IFERROR(VLOOKUP(B144,DB_Customers!$A:$D,4,0),"❌ Account Not Found"))</f>
        <v/>
      </c>
      <c r="D144" s="253" t="str">
        <f t="shared" ca="1" si="17"/>
        <v/>
      </c>
      <c r="E144" s="254"/>
      <c r="F144" s="254"/>
      <c r="G144" s="253"/>
      <c r="H144" s="255">
        <v>2.5</v>
      </c>
      <c r="I144" s="253" t="str">
        <f t="shared" si="18"/>
        <v/>
      </c>
      <c r="J144" s="253" t="str">
        <f t="shared" si="19"/>
        <v/>
      </c>
      <c r="K144" s="253" t="str">
        <f>IF(B144="","Pending",IF(M144="","⚠️ Enter Code",IF(IFERROR(VLOOKUP(L144,DB_Agents!$B:$I,8,0),"")=M144,"Pending","🔒 BLOCKED — Wrong Code")))</f>
        <v>Pending</v>
      </c>
      <c r="L144" s="253" t="s">
        <v>136</v>
      </c>
      <c r="M144" s="240"/>
      <c r="N144" s="254"/>
    </row>
    <row r="145" spans="1:14" ht="18" customHeight="1" x14ac:dyDescent="0.25">
      <c r="A145" s="256" t="str">
        <f t="shared" si="16"/>
        <v/>
      </c>
      <c r="B145" s="257"/>
      <c r="C145" s="257" t="str">
        <f>IF(B145="","",IFERROR(VLOOKUP(B145,DB_Customers!$A:$D,4,0),"❌ Account Not Found"))</f>
        <v/>
      </c>
      <c r="D145" s="256" t="str">
        <f t="shared" ca="1" si="17"/>
        <v/>
      </c>
      <c r="E145" s="257"/>
      <c r="F145" s="257"/>
      <c r="G145" s="256"/>
      <c r="H145" s="258">
        <v>2.5</v>
      </c>
      <c r="I145" s="256" t="str">
        <f t="shared" si="18"/>
        <v/>
      </c>
      <c r="J145" s="256" t="str">
        <f t="shared" si="19"/>
        <v/>
      </c>
      <c r="K145" s="256" t="str">
        <f>IF(B145="","Pending",IF(M145="","⚠️ Enter Code",IF(IFERROR(VLOOKUP(L145,DB_Agents!$B:$I,8,0),"")=M145,"Pending","🔒 BLOCKED — Wrong Code")))</f>
        <v>Pending</v>
      </c>
      <c r="L145" s="256" t="s">
        <v>136</v>
      </c>
      <c r="M145" s="252"/>
      <c r="N145" s="257"/>
    </row>
    <row r="146" spans="1:14" ht="18" customHeight="1" x14ac:dyDescent="0.25">
      <c r="A146" s="253" t="str">
        <f t="shared" si="16"/>
        <v/>
      </c>
      <c r="B146" s="254"/>
      <c r="C146" s="254" t="str">
        <f>IF(B146="","",IFERROR(VLOOKUP(B146,DB_Customers!$A:$D,4,0),"❌ Account Not Found"))</f>
        <v/>
      </c>
      <c r="D146" s="253" t="str">
        <f t="shared" ca="1" si="17"/>
        <v/>
      </c>
      <c r="E146" s="254"/>
      <c r="F146" s="254"/>
      <c r="G146" s="253"/>
      <c r="H146" s="255">
        <v>2.5</v>
      </c>
      <c r="I146" s="253" t="str">
        <f t="shared" si="18"/>
        <v/>
      </c>
      <c r="J146" s="253" t="str">
        <f t="shared" si="19"/>
        <v/>
      </c>
      <c r="K146" s="253" t="str">
        <f>IF(B146="","Pending",IF(M146="","⚠️ Enter Code",IF(IFERROR(VLOOKUP(L146,DB_Agents!$B:$I,8,0),"")=M146,"Pending","🔒 BLOCKED — Wrong Code")))</f>
        <v>Pending</v>
      </c>
      <c r="L146" s="253" t="s">
        <v>136</v>
      </c>
      <c r="M146" s="240"/>
      <c r="N146" s="254"/>
    </row>
    <row r="147" spans="1:14" ht="18" customHeight="1" x14ac:dyDescent="0.25">
      <c r="A147" s="256" t="str">
        <f t="shared" si="16"/>
        <v/>
      </c>
      <c r="B147" s="257"/>
      <c r="C147" s="257" t="str">
        <f>IF(B147="","",IFERROR(VLOOKUP(B147,DB_Customers!$A:$D,4,0),"❌ Account Not Found"))</f>
        <v/>
      </c>
      <c r="D147" s="256" t="str">
        <f t="shared" ca="1" si="17"/>
        <v/>
      </c>
      <c r="E147" s="257"/>
      <c r="F147" s="257"/>
      <c r="G147" s="256"/>
      <c r="H147" s="258">
        <v>2.5</v>
      </c>
      <c r="I147" s="256" t="str">
        <f t="shared" si="18"/>
        <v/>
      </c>
      <c r="J147" s="256" t="str">
        <f t="shared" si="19"/>
        <v/>
      </c>
      <c r="K147" s="256" t="str">
        <f>IF(B147="","Pending",IF(M147="","⚠️ Enter Code",IF(IFERROR(VLOOKUP(L147,DB_Agents!$B:$I,8,0),"")=M147,"Pending","🔒 BLOCKED — Wrong Code")))</f>
        <v>Pending</v>
      </c>
      <c r="L147" s="256" t="s">
        <v>136</v>
      </c>
      <c r="M147" s="252"/>
      <c r="N147" s="257"/>
    </row>
    <row r="148" spans="1:14" ht="18" customHeight="1" x14ac:dyDescent="0.25">
      <c r="A148" s="253" t="str">
        <f t="shared" si="16"/>
        <v/>
      </c>
      <c r="B148" s="254"/>
      <c r="C148" s="254" t="str">
        <f>IF(B148="","",IFERROR(VLOOKUP(B148,DB_Customers!$A:$D,4,0),"❌ Account Not Found"))</f>
        <v/>
      </c>
      <c r="D148" s="253" t="str">
        <f t="shared" ca="1" si="17"/>
        <v/>
      </c>
      <c r="E148" s="254"/>
      <c r="F148" s="254"/>
      <c r="G148" s="253"/>
      <c r="H148" s="255">
        <v>2.5</v>
      </c>
      <c r="I148" s="253" t="str">
        <f t="shared" si="18"/>
        <v/>
      </c>
      <c r="J148" s="253" t="str">
        <f t="shared" si="19"/>
        <v/>
      </c>
      <c r="K148" s="253" t="str">
        <f>IF(B148="","Pending",IF(M148="","⚠️ Enter Code",IF(IFERROR(VLOOKUP(L148,DB_Agents!$B:$I,8,0),"")=M148,"Pending","🔒 BLOCKED — Wrong Code")))</f>
        <v>Pending</v>
      </c>
      <c r="L148" s="253" t="s">
        <v>136</v>
      </c>
      <c r="M148" s="240"/>
      <c r="N148" s="254"/>
    </row>
    <row r="149" spans="1:14" ht="18" customHeight="1" x14ac:dyDescent="0.25">
      <c r="A149" s="256" t="str">
        <f t="shared" si="16"/>
        <v/>
      </c>
      <c r="B149" s="257"/>
      <c r="C149" s="257" t="str">
        <f>IF(B149="","",IFERROR(VLOOKUP(B149,DB_Customers!$A:$D,4,0),"❌ Account Not Found"))</f>
        <v/>
      </c>
      <c r="D149" s="256" t="str">
        <f t="shared" ca="1" si="17"/>
        <v/>
      </c>
      <c r="E149" s="257"/>
      <c r="F149" s="257"/>
      <c r="G149" s="256"/>
      <c r="H149" s="258">
        <v>2.5</v>
      </c>
      <c r="I149" s="256" t="str">
        <f t="shared" si="18"/>
        <v/>
      </c>
      <c r="J149" s="256" t="str">
        <f t="shared" si="19"/>
        <v/>
      </c>
      <c r="K149" s="256" t="str">
        <f>IF(B149="","Pending",IF(M149="","⚠️ Enter Code",IF(IFERROR(VLOOKUP(L149,DB_Agents!$B:$I,8,0),"")=M149,"Pending","🔒 BLOCKED — Wrong Code")))</f>
        <v>Pending</v>
      </c>
      <c r="L149" s="256" t="s">
        <v>136</v>
      </c>
      <c r="M149" s="252"/>
      <c r="N149" s="257"/>
    </row>
    <row r="150" spans="1:14" ht="18" customHeight="1" x14ac:dyDescent="0.25">
      <c r="A150" s="253" t="str">
        <f t="shared" si="16"/>
        <v/>
      </c>
      <c r="B150" s="254"/>
      <c r="C150" s="254" t="str">
        <f>IF(B150="","",IFERROR(VLOOKUP(B150,DB_Customers!$A:$D,4,0),"❌ Account Not Found"))</f>
        <v/>
      </c>
      <c r="D150" s="253" t="str">
        <f t="shared" ca="1" si="17"/>
        <v/>
      </c>
      <c r="E150" s="254"/>
      <c r="F150" s="254"/>
      <c r="G150" s="253"/>
      <c r="H150" s="255">
        <v>2.5</v>
      </c>
      <c r="I150" s="253" t="str">
        <f t="shared" si="18"/>
        <v/>
      </c>
      <c r="J150" s="253" t="str">
        <f t="shared" si="19"/>
        <v/>
      </c>
      <c r="K150" s="253" t="str">
        <f>IF(B150="","Pending",IF(M150="","⚠️ Enter Code",IF(IFERROR(VLOOKUP(L150,DB_Agents!$B:$I,8,0),"")=M150,"Pending","🔒 BLOCKED — Wrong Code")))</f>
        <v>Pending</v>
      </c>
      <c r="L150" s="253" t="s">
        <v>136</v>
      </c>
      <c r="M150" s="240"/>
      <c r="N150" s="254"/>
    </row>
    <row r="151" spans="1:14" ht="18" customHeight="1" x14ac:dyDescent="0.25">
      <c r="A151" s="256" t="str">
        <f t="shared" si="16"/>
        <v/>
      </c>
      <c r="B151" s="257"/>
      <c r="C151" s="257" t="str">
        <f>IF(B151="","",IFERROR(VLOOKUP(B151,DB_Customers!$A:$D,4,0),"❌ Account Not Found"))</f>
        <v/>
      </c>
      <c r="D151" s="256" t="str">
        <f t="shared" ca="1" si="17"/>
        <v/>
      </c>
      <c r="E151" s="257"/>
      <c r="F151" s="257"/>
      <c r="G151" s="256"/>
      <c r="H151" s="258">
        <v>2.5</v>
      </c>
      <c r="I151" s="256" t="str">
        <f t="shared" si="18"/>
        <v/>
      </c>
      <c r="J151" s="256" t="str">
        <f t="shared" si="19"/>
        <v/>
      </c>
      <c r="K151" s="256" t="str">
        <f>IF(B151="","Pending",IF(M151="","⚠️ Enter Code",IF(IFERROR(VLOOKUP(L151,DB_Agents!$B:$I,8,0),"")=M151,"Pending","🔒 BLOCKED — Wrong Code")))</f>
        <v>Pending</v>
      </c>
      <c r="L151" s="256" t="s">
        <v>136</v>
      </c>
      <c r="M151" s="252"/>
      <c r="N151" s="257"/>
    </row>
    <row r="152" spans="1:14" ht="18" customHeight="1" x14ac:dyDescent="0.25">
      <c r="A152" s="253" t="str">
        <f t="shared" si="16"/>
        <v/>
      </c>
      <c r="B152" s="254"/>
      <c r="C152" s="254" t="str">
        <f>IF(B152="","",IFERROR(VLOOKUP(B152,DB_Customers!$A:$D,4,0),"❌ Account Not Found"))</f>
        <v/>
      </c>
      <c r="D152" s="253" t="str">
        <f t="shared" ca="1" si="17"/>
        <v/>
      </c>
      <c r="E152" s="254"/>
      <c r="F152" s="254"/>
      <c r="G152" s="253"/>
      <c r="H152" s="255">
        <v>2.5</v>
      </c>
      <c r="I152" s="253" t="str">
        <f t="shared" si="18"/>
        <v/>
      </c>
      <c r="J152" s="253" t="str">
        <f t="shared" si="19"/>
        <v/>
      </c>
      <c r="K152" s="253" t="str">
        <f>IF(B152="","Pending",IF(M152="","⚠️ Enter Code",IF(IFERROR(VLOOKUP(L152,DB_Agents!$B:$I,8,0),"")=M152,"Pending","🔒 BLOCKED — Wrong Code")))</f>
        <v>Pending</v>
      </c>
      <c r="L152" s="253" t="s">
        <v>136</v>
      </c>
      <c r="M152" s="240"/>
      <c r="N152" s="254"/>
    </row>
    <row r="153" spans="1:14" ht="18" customHeight="1" x14ac:dyDescent="0.25">
      <c r="A153" s="256" t="str">
        <f t="shared" si="16"/>
        <v/>
      </c>
      <c r="B153" s="257"/>
      <c r="C153" s="257" t="str">
        <f>IF(B153="","",IFERROR(VLOOKUP(B153,DB_Customers!$A:$D,4,0),"❌ Account Not Found"))</f>
        <v/>
      </c>
      <c r="D153" s="256" t="str">
        <f t="shared" ca="1" si="17"/>
        <v/>
      </c>
      <c r="E153" s="257"/>
      <c r="F153" s="257"/>
      <c r="G153" s="256"/>
      <c r="H153" s="258">
        <v>2.5</v>
      </c>
      <c r="I153" s="256" t="str">
        <f t="shared" si="18"/>
        <v/>
      </c>
      <c r="J153" s="256" t="str">
        <f t="shared" si="19"/>
        <v/>
      </c>
      <c r="K153" s="256" t="str">
        <f>IF(B153="","Pending",IF(M153="","⚠️ Enter Code",IF(IFERROR(VLOOKUP(L153,DB_Agents!$B:$I,8,0),"")=M153,"Pending","🔒 BLOCKED — Wrong Code")))</f>
        <v>Pending</v>
      </c>
      <c r="L153" s="256" t="s">
        <v>136</v>
      </c>
      <c r="M153" s="252"/>
      <c r="N153" s="257"/>
    </row>
    <row r="154" spans="1:14" ht="18" customHeight="1" x14ac:dyDescent="0.25">
      <c r="A154" s="253" t="str">
        <f t="shared" si="16"/>
        <v/>
      </c>
      <c r="B154" s="254"/>
      <c r="C154" s="254" t="str">
        <f>IF(B154="","",IFERROR(VLOOKUP(B154,DB_Customers!$A:$D,4,0),"❌ Account Not Found"))</f>
        <v/>
      </c>
      <c r="D154" s="253" t="str">
        <f t="shared" ca="1" si="17"/>
        <v/>
      </c>
      <c r="E154" s="254"/>
      <c r="F154" s="254"/>
      <c r="G154" s="253"/>
      <c r="H154" s="255">
        <v>2.5</v>
      </c>
      <c r="I154" s="253" t="str">
        <f t="shared" si="18"/>
        <v/>
      </c>
      <c r="J154" s="253" t="str">
        <f t="shared" si="19"/>
        <v/>
      </c>
      <c r="K154" s="253" t="str">
        <f>IF(B154="","Pending",IF(M154="","⚠️ Enter Code",IF(IFERROR(VLOOKUP(L154,DB_Agents!$B:$I,8,0),"")=M154,"Pending","🔒 BLOCKED — Wrong Code")))</f>
        <v>Pending</v>
      </c>
      <c r="L154" s="253" t="s">
        <v>136</v>
      </c>
      <c r="M154" s="240"/>
      <c r="N154" s="254"/>
    </row>
    <row r="155" spans="1:14" ht="18" customHeight="1" x14ac:dyDescent="0.25">
      <c r="A155" s="256" t="str">
        <f t="shared" si="16"/>
        <v/>
      </c>
      <c r="B155" s="257"/>
      <c r="C155" s="257" t="str">
        <f>IF(B155="","",IFERROR(VLOOKUP(B155,DB_Customers!$A:$D,4,0),"❌ Account Not Found"))</f>
        <v/>
      </c>
      <c r="D155" s="256" t="str">
        <f t="shared" ca="1" si="17"/>
        <v/>
      </c>
      <c r="E155" s="257"/>
      <c r="F155" s="257"/>
      <c r="G155" s="256"/>
      <c r="H155" s="258">
        <v>2.5</v>
      </c>
      <c r="I155" s="256" t="str">
        <f t="shared" si="18"/>
        <v/>
      </c>
      <c r="J155" s="256" t="str">
        <f t="shared" si="19"/>
        <v/>
      </c>
      <c r="K155" s="256" t="str">
        <f>IF(B155="","Pending",IF(M155="","⚠️ Enter Code",IF(IFERROR(VLOOKUP(L155,DB_Agents!$B:$I,8,0),"")=M155,"Pending","🔒 BLOCKED — Wrong Code")))</f>
        <v>Pending</v>
      </c>
      <c r="L155" s="256" t="s">
        <v>136</v>
      </c>
      <c r="M155" s="252"/>
      <c r="N155" s="257"/>
    </row>
    <row r="156" spans="1:14" ht="18" customHeight="1" x14ac:dyDescent="0.25">
      <c r="A156" s="253" t="str">
        <f t="shared" si="16"/>
        <v/>
      </c>
      <c r="B156" s="254"/>
      <c r="C156" s="254" t="str">
        <f>IF(B156="","",IFERROR(VLOOKUP(B156,DB_Customers!$A:$D,4,0),"❌ Account Not Found"))</f>
        <v/>
      </c>
      <c r="D156" s="253" t="str">
        <f t="shared" ca="1" si="17"/>
        <v/>
      </c>
      <c r="E156" s="254"/>
      <c r="F156" s="254"/>
      <c r="G156" s="253"/>
      <c r="H156" s="255">
        <v>2.5</v>
      </c>
      <c r="I156" s="253" t="str">
        <f t="shared" si="18"/>
        <v/>
      </c>
      <c r="J156" s="253" t="str">
        <f t="shared" si="19"/>
        <v/>
      </c>
      <c r="K156" s="253" t="str">
        <f>IF(B156="","Pending",IF(M156="","⚠️ Enter Code",IF(IFERROR(VLOOKUP(L156,DB_Agents!$B:$I,8,0),"")=M156,"Pending","🔒 BLOCKED — Wrong Code")))</f>
        <v>Pending</v>
      </c>
      <c r="L156" s="253" t="s">
        <v>136</v>
      </c>
      <c r="M156" s="240"/>
      <c r="N156" s="254"/>
    </row>
    <row r="157" spans="1:14" ht="18" customHeight="1" x14ac:dyDescent="0.25">
      <c r="A157" s="256" t="str">
        <f t="shared" si="16"/>
        <v/>
      </c>
      <c r="B157" s="257"/>
      <c r="C157" s="257" t="str">
        <f>IF(B157="","",IFERROR(VLOOKUP(B157,DB_Customers!$A:$D,4,0),"❌ Account Not Found"))</f>
        <v/>
      </c>
      <c r="D157" s="256" t="str">
        <f t="shared" ca="1" si="17"/>
        <v/>
      </c>
      <c r="E157" s="257"/>
      <c r="F157" s="257"/>
      <c r="G157" s="256"/>
      <c r="H157" s="258">
        <v>2.5</v>
      </c>
      <c r="I157" s="256" t="str">
        <f t="shared" si="18"/>
        <v/>
      </c>
      <c r="J157" s="256" t="str">
        <f t="shared" si="19"/>
        <v/>
      </c>
      <c r="K157" s="256" t="str">
        <f>IF(B157="","Pending",IF(M157="","⚠️ Enter Code",IF(IFERROR(VLOOKUP(L157,DB_Agents!$B:$I,8,0),"")=M157,"Pending","🔒 BLOCKED — Wrong Code")))</f>
        <v>Pending</v>
      </c>
      <c r="L157" s="256" t="s">
        <v>136</v>
      </c>
      <c r="M157" s="252"/>
      <c r="N157" s="257"/>
    </row>
    <row r="158" spans="1:14" ht="18" customHeight="1" x14ac:dyDescent="0.25">
      <c r="A158" s="253" t="str">
        <f t="shared" si="16"/>
        <v/>
      </c>
      <c r="B158" s="254"/>
      <c r="C158" s="254" t="str">
        <f>IF(B158="","",IFERROR(VLOOKUP(B158,DB_Customers!$A:$D,4,0),"❌ Account Not Found"))</f>
        <v/>
      </c>
      <c r="D158" s="253" t="str">
        <f t="shared" ca="1" si="17"/>
        <v/>
      </c>
      <c r="E158" s="254"/>
      <c r="F158" s="254"/>
      <c r="G158" s="253"/>
      <c r="H158" s="255">
        <v>2.5</v>
      </c>
      <c r="I158" s="253" t="str">
        <f t="shared" si="18"/>
        <v/>
      </c>
      <c r="J158" s="253" t="str">
        <f t="shared" si="19"/>
        <v/>
      </c>
      <c r="K158" s="253" t="str">
        <f>IF(B158="","Pending",IF(M158="","⚠️ Enter Code",IF(IFERROR(VLOOKUP(L158,DB_Agents!$B:$I,8,0),"")=M158,"Pending","🔒 BLOCKED — Wrong Code")))</f>
        <v>Pending</v>
      </c>
      <c r="L158" s="253" t="s">
        <v>136</v>
      </c>
      <c r="M158" s="240"/>
      <c r="N158" s="254"/>
    </row>
    <row r="159" spans="1:14" ht="18" customHeight="1" x14ac:dyDescent="0.25">
      <c r="A159" s="256" t="str">
        <f t="shared" si="16"/>
        <v/>
      </c>
      <c r="B159" s="257"/>
      <c r="C159" s="257" t="str">
        <f>IF(B159="","",IFERROR(VLOOKUP(B159,DB_Customers!$A:$D,4,0),"❌ Account Not Found"))</f>
        <v/>
      </c>
      <c r="D159" s="256" t="str">
        <f t="shared" ca="1" si="17"/>
        <v/>
      </c>
      <c r="E159" s="257"/>
      <c r="F159" s="257"/>
      <c r="G159" s="256"/>
      <c r="H159" s="258">
        <v>2.5</v>
      </c>
      <c r="I159" s="256" t="str">
        <f t="shared" si="18"/>
        <v/>
      </c>
      <c r="J159" s="256" t="str">
        <f t="shared" si="19"/>
        <v/>
      </c>
      <c r="K159" s="256" t="str">
        <f>IF(B159="","Pending",IF(M159="","⚠️ Enter Code",IF(IFERROR(VLOOKUP(L159,DB_Agents!$B:$I,8,0),"")=M159,"Pending","🔒 BLOCKED — Wrong Code")))</f>
        <v>Pending</v>
      </c>
      <c r="L159" s="256" t="s">
        <v>136</v>
      </c>
      <c r="M159" s="252"/>
      <c r="N159" s="257"/>
    </row>
    <row r="160" spans="1:14" ht="18" customHeight="1" x14ac:dyDescent="0.25">
      <c r="A160" s="253" t="str">
        <f t="shared" si="16"/>
        <v/>
      </c>
      <c r="B160" s="254"/>
      <c r="C160" s="254" t="str">
        <f>IF(B160="","",IFERROR(VLOOKUP(B160,DB_Customers!$A:$D,4,0),"❌ Account Not Found"))</f>
        <v/>
      </c>
      <c r="D160" s="253" t="str">
        <f t="shared" ca="1" si="17"/>
        <v/>
      </c>
      <c r="E160" s="254"/>
      <c r="F160" s="254"/>
      <c r="G160" s="253"/>
      <c r="H160" s="255">
        <v>2.5</v>
      </c>
      <c r="I160" s="253" t="str">
        <f t="shared" si="18"/>
        <v/>
      </c>
      <c r="J160" s="253" t="str">
        <f t="shared" si="19"/>
        <v/>
      </c>
      <c r="K160" s="253" t="str">
        <f>IF(B160="","Pending",IF(M160="","⚠️ Enter Code",IF(IFERROR(VLOOKUP(L160,DB_Agents!$B:$I,8,0),"")=M160,"Pending","🔒 BLOCKED — Wrong Code")))</f>
        <v>Pending</v>
      </c>
      <c r="L160" s="253" t="s">
        <v>136</v>
      </c>
      <c r="M160" s="240"/>
      <c r="N160" s="254"/>
    </row>
    <row r="161" spans="1:14" ht="18" customHeight="1" x14ac:dyDescent="0.25">
      <c r="A161" s="256" t="str">
        <f t="shared" si="16"/>
        <v/>
      </c>
      <c r="B161" s="257"/>
      <c r="C161" s="257" t="str">
        <f>IF(B161="","",IFERROR(VLOOKUP(B161,DB_Customers!$A:$D,4,0),"❌ Account Not Found"))</f>
        <v/>
      </c>
      <c r="D161" s="256" t="str">
        <f t="shared" ca="1" si="17"/>
        <v/>
      </c>
      <c r="E161" s="257"/>
      <c r="F161" s="257"/>
      <c r="G161" s="256"/>
      <c r="H161" s="258">
        <v>2.5</v>
      </c>
      <c r="I161" s="256" t="str">
        <f t="shared" si="18"/>
        <v/>
      </c>
      <c r="J161" s="256" t="str">
        <f t="shared" si="19"/>
        <v/>
      </c>
      <c r="K161" s="256" t="str">
        <f>IF(B161="","Pending",IF(M161="","⚠️ Enter Code",IF(IFERROR(VLOOKUP(L161,DB_Agents!$B:$I,8,0),"")=M161,"Pending","🔒 BLOCKED — Wrong Code")))</f>
        <v>Pending</v>
      </c>
      <c r="L161" s="256" t="s">
        <v>136</v>
      </c>
      <c r="M161" s="252"/>
      <c r="N161" s="257"/>
    </row>
    <row r="162" spans="1:14" ht="18" customHeight="1" x14ac:dyDescent="0.25">
      <c r="A162" s="253" t="str">
        <f t="shared" si="16"/>
        <v/>
      </c>
      <c r="B162" s="254"/>
      <c r="C162" s="254" t="str">
        <f>IF(B162="","",IFERROR(VLOOKUP(B162,DB_Customers!$A:$D,4,0),"❌ Account Not Found"))</f>
        <v/>
      </c>
      <c r="D162" s="253" t="str">
        <f t="shared" ca="1" si="17"/>
        <v/>
      </c>
      <c r="E162" s="254"/>
      <c r="F162" s="254"/>
      <c r="G162" s="253"/>
      <c r="H162" s="255">
        <v>2.5</v>
      </c>
      <c r="I162" s="253" t="str">
        <f t="shared" si="18"/>
        <v/>
      </c>
      <c r="J162" s="253" t="str">
        <f t="shared" si="19"/>
        <v/>
      </c>
      <c r="K162" s="253" t="str">
        <f>IF(B162="","Pending",IF(M162="","⚠️ Enter Code",IF(IFERROR(VLOOKUP(L162,DB_Agents!$B:$I,8,0),"")=M162,"Pending","🔒 BLOCKED — Wrong Code")))</f>
        <v>Pending</v>
      </c>
      <c r="L162" s="253" t="s">
        <v>136</v>
      </c>
      <c r="M162" s="240"/>
      <c r="N162" s="254"/>
    </row>
    <row r="163" spans="1:14" ht="18" customHeight="1" x14ac:dyDescent="0.25">
      <c r="A163" s="256" t="str">
        <f t="shared" si="16"/>
        <v/>
      </c>
      <c r="B163" s="257"/>
      <c r="C163" s="257" t="str">
        <f>IF(B163="","",IFERROR(VLOOKUP(B163,DB_Customers!$A:$D,4,0),"❌ Account Not Found"))</f>
        <v/>
      </c>
      <c r="D163" s="256" t="str">
        <f t="shared" ca="1" si="17"/>
        <v/>
      </c>
      <c r="E163" s="257"/>
      <c r="F163" s="257"/>
      <c r="G163" s="256"/>
      <c r="H163" s="258">
        <v>2.5</v>
      </c>
      <c r="I163" s="256" t="str">
        <f t="shared" si="18"/>
        <v/>
      </c>
      <c r="J163" s="256" t="str">
        <f t="shared" si="19"/>
        <v/>
      </c>
      <c r="K163" s="256" t="str">
        <f>IF(B163="","Pending",IF(M163="","⚠️ Enter Code",IF(IFERROR(VLOOKUP(L163,DB_Agents!$B:$I,8,0),"")=M163,"Pending","🔒 BLOCKED — Wrong Code")))</f>
        <v>Pending</v>
      </c>
      <c r="L163" s="256" t="s">
        <v>136</v>
      </c>
      <c r="M163" s="252"/>
      <c r="N163" s="257"/>
    </row>
    <row r="164" spans="1:14" ht="18" customHeight="1" x14ac:dyDescent="0.25">
      <c r="A164" s="253" t="str">
        <f t="shared" si="16"/>
        <v/>
      </c>
      <c r="B164" s="254"/>
      <c r="C164" s="254" t="str">
        <f>IF(B164="","",IFERROR(VLOOKUP(B164,DB_Customers!$A:$D,4,0),"❌ Account Not Found"))</f>
        <v/>
      </c>
      <c r="D164" s="253" t="str">
        <f t="shared" ca="1" si="17"/>
        <v/>
      </c>
      <c r="E164" s="254"/>
      <c r="F164" s="254"/>
      <c r="G164" s="253"/>
      <c r="H164" s="255">
        <v>2.5</v>
      </c>
      <c r="I164" s="253" t="str">
        <f t="shared" si="18"/>
        <v/>
      </c>
      <c r="J164" s="253" t="str">
        <f t="shared" si="19"/>
        <v/>
      </c>
      <c r="K164" s="253" t="str">
        <f>IF(B164="","Pending",IF(M164="","⚠️ Enter Code",IF(IFERROR(VLOOKUP(L164,DB_Agents!$B:$I,8,0),"")=M164,"Pending","🔒 BLOCKED — Wrong Code")))</f>
        <v>Pending</v>
      </c>
      <c r="L164" s="253" t="s">
        <v>136</v>
      </c>
      <c r="M164" s="240"/>
      <c r="N164" s="254"/>
    </row>
    <row r="165" spans="1:14" ht="18" customHeight="1" x14ac:dyDescent="0.25">
      <c r="A165" s="256" t="str">
        <f t="shared" si="16"/>
        <v/>
      </c>
      <c r="B165" s="257"/>
      <c r="C165" s="257" t="str">
        <f>IF(B165="","",IFERROR(VLOOKUP(B165,DB_Customers!$A:$D,4,0),"❌ Account Not Found"))</f>
        <v/>
      </c>
      <c r="D165" s="256" t="str">
        <f t="shared" ca="1" si="17"/>
        <v/>
      </c>
      <c r="E165" s="257"/>
      <c r="F165" s="257"/>
      <c r="G165" s="256"/>
      <c r="H165" s="258">
        <v>2.5</v>
      </c>
      <c r="I165" s="256" t="str">
        <f t="shared" si="18"/>
        <v/>
      </c>
      <c r="J165" s="256" t="str">
        <f t="shared" si="19"/>
        <v/>
      </c>
      <c r="K165" s="256" t="str">
        <f>IF(B165="","Pending",IF(M165="","⚠️ Enter Code",IF(IFERROR(VLOOKUP(L165,DB_Agents!$B:$I,8,0),"")=M165,"Pending","🔒 BLOCKED — Wrong Code")))</f>
        <v>Pending</v>
      </c>
      <c r="L165" s="256" t="s">
        <v>136</v>
      </c>
      <c r="M165" s="252"/>
      <c r="N165" s="257"/>
    </row>
    <row r="166" spans="1:14" ht="18" customHeight="1" x14ac:dyDescent="0.25">
      <c r="A166" s="253" t="str">
        <f t="shared" si="16"/>
        <v/>
      </c>
      <c r="B166" s="254"/>
      <c r="C166" s="254" t="str">
        <f>IF(B166="","",IFERROR(VLOOKUP(B166,DB_Customers!$A:$D,4,0),"❌ Account Not Found"))</f>
        <v/>
      </c>
      <c r="D166" s="253" t="str">
        <f t="shared" ca="1" si="17"/>
        <v/>
      </c>
      <c r="E166" s="254"/>
      <c r="F166" s="254"/>
      <c r="G166" s="253"/>
      <c r="H166" s="255">
        <v>2.5</v>
      </c>
      <c r="I166" s="253" t="str">
        <f t="shared" si="18"/>
        <v/>
      </c>
      <c r="J166" s="253" t="str">
        <f t="shared" si="19"/>
        <v/>
      </c>
      <c r="K166" s="253" t="str">
        <f>IF(B166="","Pending",IF(M166="","⚠️ Enter Code",IF(IFERROR(VLOOKUP(L166,DB_Agents!$B:$I,8,0),"")=M166,"Pending","🔒 BLOCKED — Wrong Code")))</f>
        <v>Pending</v>
      </c>
      <c r="L166" s="253" t="s">
        <v>136</v>
      </c>
      <c r="M166" s="240"/>
      <c r="N166" s="254"/>
    </row>
    <row r="167" spans="1:14" ht="18" customHeight="1" x14ac:dyDescent="0.25">
      <c r="A167" s="256" t="str">
        <f t="shared" si="16"/>
        <v/>
      </c>
      <c r="B167" s="257"/>
      <c r="C167" s="257" t="str">
        <f>IF(B167="","",IFERROR(VLOOKUP(B167,DB_Customers!$A:$D,4,0),"❌ Account Not Found"))</f>
        <v/>
      </c>
      <c r="D167" s="256" t="str">
        <f t="shared" ca="1" si="17"/>
        <v/>
      </c>
      <c r="E167" s="257"/>
      <c r="F167" s="257"/>
      <c r="G167" s="256"/>
      <c r="H167" s="258">
        <v>2.5</v>
      </c>
      <c r="I167" s="256" t="str">
        <f t="shared" si="18"/>
        <v/>
      </c>
      <c r="J167" s="256" t="str">
        <f t="shared" si="19"/>
        <v/>
      </c>
      <c r="K167" s="256" t="str">
        <f>IF(B167="","Pending",IF(M167="","⚠️ Enter Code",IF(IFERROR(VLOOKUP(L167,DB_Agents!$B:$I,8,0),"")=M167,"Pending","🔒 BLOCKED — Wrong Code")))</f>
        <v>Pending</v>
      </c>
      <c r="L167" s="256" t="s">
        <v>136</v>
      </c>
      <c r="M167" s="252"/>
      <c r="N167" s="257"/>
    </row>
    <row r="168" spans="1:14" ht="18" customHeight="1" x14ac:dyDescent="0.25">
      <c r="A168" s="253" t="str">
        <f t="shared" si="16"/>
        <v/>
      </c>
      <c r="B168" s="254"/>
      <c r="C168" s="254" t="str">
        <f>IF(B168="","",IFERROR(VLOOKUP(B168,DB_Customers!$A:$D,4,0),"❌ Account Not Found"))</f>
        <v/>
      </c>
      <c r="D168" s="253" t="str">
        <f t="shared" ca="1" si="17"/>
        <v/>
      </c>
      <c r="E168" s="254"/>
      <c r="F168" s="254"/>
      <c r="G168" s="253"/>
      <c r="H168" s="255">
        <v>2.5</v>
      </c>
      <c r="I168" s="253" t="str">
        <f t="shared" si="18"/>
        <v/>
      </c>
      <c r="J168" s="253" t="str">
        <f t="shared" si="19"/>
        <v/>
      </c>
      <c r="K168" s="253" t="str">
        <f>IF(B168="","Pending",IF(M168="","⚠️ Enter Code",IF(IFERROR(VLOOKUP(L168,DB_Agents!$B:$I,8,0),"")=M168,"Pending","🔒 BLOCKED — Wrong Code")))</f>
        <v>Pending</v>
      </c>
      <c r="L168" s="253" t="s">
        <v>136</v>
      </c>
      <c r="M168" s="240"/>
      <c r="N168" s="254"/>
    </row>
    <row r="169" spans="1:14" ht="18" customHeight="1" x14ac:dyDescent="0.25">
      <c r="A169" s="256" t="str">
        <f t="shared" si="16"/>
        <v/>
      </c>
      <c r="B169" s="257"/>
      <c r="C169" s="257" t="str">
        <f>IF(B169="","",IFERROR(VLOOKUP(B169,DB_Customers!$A:$D,4,0),"❌ Account Not Found"))</f>
        <v/>
      </c>
      <c r="D169" s="256" t="str">
        <f t="shared" ca="1" si="17"/>
        <v/>
      </c>
      <c r="E169" s="257"/>
      <c r="F169" s="257"/>
      <c r="G169" s="256"/>
      <c r="H169" s="258">
        <v>2.5</v>
      </c>
      <c r="I169" s="256" t="str">
        <f t="shared" si="18"/>
        <v/>
      </c>
      <c r="J169" s="256" t="str">
        <f t="shared" si="19"/>
        <v/>
      </c>
      <c r="K169" s="256" t="str">
        <f>IF(B169="","Pending",IF(M169="","⚠️ Enter Code",IF(IFERROR(VLOOKUP(L169,DB_Agents!$B:$I,8,0),"")=M169,"Pending","🔒 BLOCKED — Wrong Code")))</f>
        <v>Pending</v>
      </c>
      <c r="L169" s="256" t="s">
        <v>136</v>
      </c>
      <c r="M169" s="252"/>
      <c r="N169" s="257"/>
    </row>
    <row r="170" spans="1:14" ht="18" customHeight="1" x14ac:dyDescent="0.25">
      <c r="A170" s="253" t="str">
        <f t="shared" si="16"/>
        <v/>
      </c>
      <c r="B170" s="254"/>
      <c r="C170" s="254" t="str">
        <f>IF(B170="","",IFERROR(VLOOKUP(B170,DB_Customers!$A:$D,4,0),"❌ Account Not Found"))</f>
        <v/>
      </c>
      <c r="D170" s="253" t="str">
        <f t="shared" ca="1" si="17"/>
        <v/>
      </c>
      <c r="E170" s="254"/>
      <c r="F170" s="254"/>
      <c r="G170" s="253"/>
      <c r="H170" s="255">
        <v>2.5</v>
      </c>
      <c r="I170" s="253" t="str">
        <f t="shared" si="18"/>
        <v/>
      </c>
      <c r="J170" s="253" t="str">
        <f t="shared" si="19"/>
        <v/>
      </c>
      <c r="K170" s="253" t="str">
        <f>IF(B170="","Pending",IF(M170="","⚠️ Enter Code",IF(IFERROR(VLOOKUP(L170,DB_Agents!$B:$I,8,0),"")=M170,"Pending","🔒 BLOCKED — Wrong Code")))</f>
        <v>Pending</v>
      </c>
      <c r="L170" s="253" t="s">
        <v>136</v>
      </c>
      <c r="M170" s="240"/>
      <c r="N170" s="254"/>
    </row>
    <row r="171" spans="1:14" ht="18" customHeight="1" x14ac:dyDescent="0.25">
      <c r="A171" s="256" t="str">
        <f t="shared" si="16"/>
        <v/>
      </c>
      <c r="B171" s="257"/>
      <c r="C171" s="257" t="str">
        <f>IF(B171="","",IFERROR(VLOOKUP(B171,DB_Customers!$A:$D,4,0),"❌ Account Not Found"))</f>
        <v/>
      </c>
      <c r="D171" s="256" t="str">
        <f t="shared" ca="1" si="17"/>
        <v/>
      </c>
      <c r="E171" s="257"/>
      <c r="F171" s="257"/>
      <c r="G171" s="256"/>
      <c r="H171" s="258">
        <v>2.5</v>
      </c>
      <c r="I171" s="256" t="str">
        <f t="shared" si="18"/>
        <v/>
      </c>
      <c r="J171" s="256" t="str">
        <f t="shared" si="19"/>
        <v/>
      </c>
      <c r="K171" s="256" t="str">
        <f>IF(B171="","Pending",IF(M171="","⚠️ Enter Code",IF(IFERROR(VLOOKUP(L171,DB_Agents!$B:$I,8,0),"")=M171,"Pending","🔒 BLOCKED — Wrong Code")))</f>
        <v>Pending</v>
      </c>
      <c r="L171" s="256" t="s">
        <v>136</v>
      </c>
      <c r="M171" s="252"/>
      <c r="N171" s="257"/>
    </row>
    <row r="172" spans="1:14" ht="18" customHeight="1" x14ac:dyDescent="0.25">
      <c r="A172" s="253" t="str">
        <f t="shared" si="16"/>
        <v/>
      </c>
      <c r="B172" s="254"/>
      <c r="C172" s="254" t="str">
        <f>IF(B172="","",IFERROR(VLOOKUP(B172,DB_Customers!$A:$D,4,0),"❌ Account Not Found"))</f>
        <v/>
      </c>
      <c r="D172" s="253" t="str">
        <f t="shared" ca="1" si="17"/>
        <v/>
      </c>
      <c r="E172" s="254"/>
      <c r="F172" s="254"/>
      <c r="G172" s="253"/>
      <c r="H172" s="255">
        <v>2.5</v>
      </c>
      <c r="I172" s="253" t="str">
        <f t="shared" si="18"/>
        <v/>
      </c>
      <c r="J172" s="253" t="str">
        <f t="shared" si="19"/>
        <v/>
      </c>
      <c r="K172" s="253" t="str">
        <f>IF(B172="","Pending",IF(M172="","⚠️ Enter Code",IF(IFERROR(VLOOKUP(L172,DB_Agents!$B:$I,8,0),"")=M172,"Pending","🔒 BLOCKED — Wrong Code")))</f>
        <v>Pending</v>
      </c>
      <c r="L172" s="253" t="s">
        <v>136</v>
      </c>
      <c r="M172" s="240"/>
      <c r="N172" s="254"/>
    </row>
    <row r="173" spans="1:14" ht="18" customHeight="1" x14ac:dyDescent="0.25">
      <c r="A173" s="256" t="str">
        <f t="shared" si="16"/>
        <v/>
      </c>
      <c r="B173" s="257"/>
      <c r="C173" s="257" t="str">
        <f>IF(B173="","",IFERROR(VLOOKUP(B173,DB_Customers!$A:$D,4,0),"❌ Account Not Found"))</f>
        <v/>
      </c>
      <c r="D173" s="256" t="str">
        <f t="shared" ca="1" si="17"/>
        <v/>
      </c>
      <c r="E173" s="257"/>
      <c r="F173" s="257"/>
      <c r="G173" s="256"/>
      <c r="H173" s="258">
        <v>2.5</v>
      </c>
      <c r="I173" s="256" t="str">
        <f t="shared" si="18"/>
        <v/>
      </c>
      <c r="J173" s="256" t="str">
        <f t="shared" si="19"/>
        <v/>
      </c>
      <c r="K173" s="256" t="str">
        <f>IF(B173="","Pending",IF(M173="","⚠️ Enter Code",IF(IFERROR(VLOOKUP(L173,DB_Agents!$B:$I,8,0),"")=M173,"Pending","🔒 BLOCKED — Wrong Code")))</f>
        <v>Pending</v>
      </c>
      <c r="L173" s="256" t="s">
        <v>136</v>
      </c>
      <c r="M173" s="252"/>
      <c r="N173" s="257"/>
    </row>
    <row r="174" spans="1:14" ht="18" customHeight="1" x14ac:dyDescent="0.25">
      <c r="A174" s="253" t="str">
        <f t="shared" ref="A174:A205" si="20">IF(B174="","",IF(C174="❌ Account Not Found","INVALID","LN"&amp;TEXT(D174,"YYYYMMDD")&amp;TEXT(ROW()-13,"0000")))</f>
        <v/>
      </c>
      <c r="B174" s="254"/>
      <c r="C174" s="254" t="str">
        <f>IF(B174="","",IFERROR(VLOOKUP(B174,DB_Customers!$A:$D,4,0),"❌ Account Not Found"))</f>
        <v/>
      </c>
      <c r="D174" s="253" t="str">
        <f t="shared" ref="D174:D205" ca="1" si="21">IF(B174="","",TODAY())</f>
        <v/>
      </c>
      <c r="E174" s="254"/>
      <c r="F174" s="254"/>
      <c r="G174" s="253"/>
      <c r="H174" s="255">
        <v>2.5</v>
      </c>
      <c r="I174" s="253" t="str">
        <f t="shared" ref="I174:I205" si="22">IF(E174="","",E174+(E174*H174/100*G174))</f>
        <v/>
      </c>
      <c r="J174" s="253" t="str">
        <f t="shared" ref="J174:J205" si="23">IFERROR(I174/G174,"")</f>
        <v/>
      </c>
      <c r="K174" s="253" t="str">
        <f>IF(B174="","Pending",IF(M174="","⚠️ Enter Code",IF(IFERROR(VLOOKUP(L174,DB_Agents!$B:$I,8,0),"")=M174,"Pending","🔒 BLOCKED — Wrong Code")))</f>
        <v>Pending</v>
      </c>
      <c r="L174" s="253" t="s">
        <v>136</v>
      </c>
      <c r="M174" s="240"/>
      <c r="N174" s="254"/>
    </row>
    <row r="175" spans="1:14" ht="18" customHeight="1" x14ac:dyDescent="0.25">
      <c r="A175" s="256" t="str">
        <f t="shared" si="20"/>
        <v/>
      </c>
      <c r="B175" s="257"/>
      <c r="C175" s="257" t="str">
        <f>IF(B175="","",IFERROR(VLOOKUP(B175,DB_Customers!$A:$D,4,0),"❌ Account Not Found"))</f>
        <v/>
      </c>
      <c r="D175" s="256" t="str">
        <f t="shared" ca="1" si="21"/>
        <v/>
      </c>
      <c r="E175" s="257"/>
      <c r="F175" s="257"/>
      <c r="G175" s="256"/>
      <c r="H175" s="258">
        <v>2.5</v>
      </c>
      <c r="I175" s="256" t="str">
        <f t="shared" si="22"/>
        <v/>
      </c>
      <c r="J175" s="256" t="str">
        <f t="shared" si="23"/>
        <v/>
      </c>
      <c r="K175" s="256" t="str">
        <f>IF(B175="","Pending",IF(M175="","⚠️ Enter Code",IF(IFERROR(VLOOKUP(L175,DB_Agents!$B:$I,8,0),"")=M175,"Pending","🔒 BLOCKED — Wrong Code")))</f>
        <v>Pending</v>
      </c>
      <c r="L175" s="256" t="s">
        <v>136</v>
      </c>
      <c r="M175" s="252"/>
      <c r="N175" s="257"/>
    </row>
    <row r="176" spans="1:14" ht="18" customHeight="1" x14ac:dyDescent="0.25">
      <c r="A176" s="253" t="str">
        <f t="shared" si="20"/>
        <v/>
      </c>
      <c r="B176" s="254"/>
      <c r="C176" s="254" t="str">
        <f>IF(B176="","",IFERROR(VLOOKUP(B176,DB_Customers!$A:$D,4,0),"❌ Account Not Found"))</f>
        <v/>
      </c>
      <c r="D176" s="253" t="str">
        <f t="shared" ca="1" si="21"/>
        <v/>
      </c>
      <c r="E176" s="254"/>
      <c r="F176" s="254"/>
      <c r="G176" s="253"/>
      <c r="H176" s="255">
        <v>2.5</v>
      </c>
      <c r="I176" s="253" t="str">
        <f t="shared" si="22"/>
        <v/>
      </c>
      <c r="J176" s="253" t="str">
        <f t="shared" si="23"/>
        <v/>
      </c>
      <c r="K176" s="253" t="str">
        <f>IF(B176="","Pending",IF(M176="","⚠️ Enter Code",IF(IFERROR(VLOOKUP(L176,DB_Agents!$B:$I,8,0),"")=M176,"Pending","🔒 BLOCKED — Wrong Code")))</f>
        <v>Pending</v>
      </c>
      <c r="L176" s="253" t="s">
        <v>136</v>
      </c>
      <c r="M176" s="240"/>
      <c r="N176" s="254"/>
    </row>
    <row r="177" spans="1:14" ht="18" customHeight="1" x14ac:dyDescent="0.25">
      <c r="A177" s="256" t="str">
        <f t="shared" si="20"/>
        <v/>
      </c>
      <c r="B177" s="257"/>
      <c r="C177" s="257" t="str">
        <f>IF(B177="","",IFERROR(VLOOKUP(B177,DB_Customers!$A:$D,4,0),"❌ Account Not Found"))</f>
        <v/>
      </c>
      <c r="D177" s="256" t="str">
        <f t="shared" ca="1" si="21"/>
        <v/>
      </c>
      <c r="E177" s="257"/>
      <c r="F177" s="257"/>
      <c r="G177" s="256"/>
      <c r="H177" s="258">
        <v>2.5</v>
      </c>
      <c r="I177" s="256" t="str">
        <f t="shared" si="22"/>
        <v/>
      </c>
      <c r="J177" s="256" t="str">
        <f t="shared" si="23"/>
        <v/>
      </c>
      <c r="K177" s="256" t="str">
        <f>IF(B177="","Pending",IF(M177="","⚠️ Enter Code",IF(IFERROR(VLOOKUP(L177,DB_Agents!$B:$I,8,0),"")=M177,"Pending","🔒 BLOCKED — Wrong Code")))</f>
        <v>Pending</v>
      </c>
      <c r="L177" s="256" t="s">
        <v>136</v>
      </c>
      <c r="M177" s="252"/>
      <c r="N177" s="257"/>
    </row>
    <row r="178" spans="1:14" ht="18" customHeight="1" x14ac:dyDescent="0.25">
      <c r="A178" s="253" t="str">
        <f t="shared" si="20"/>
        <v/>
      </c>
      <c r="B178" s="254"/>
      <c r="C178" s="254" t="str">
        <f>IF(B178="","",IFERROR(VLOOKUP(B178,DB_Customers!$A:$D,4,0),"❌ Account Not Found"))</f>
        <v/>
      </c>
      <c r="D178" s="253" t="str">
        <f t="shared" ca="1" si="21"/>
        <v/>
      </c>
      <c r="E178" s="254"/>
      <c r="F178" s="254"/>
      <c r="G178" s="253"/>
      <c r="H178" s="255">
        <v>2.5</v>
      </c>
      <c r="I178" s="253" t="str">
        <f t="shared" si="22"/>
        <v/>
      </c>
      <c r="J178" s="253" t="str">
        <f t="shared" si="23"/>
        <v/>
      </c>
      <c r="K178" s="253" t="str">
        <f>IF(B178="","Pending",IF(M178="","⚠️ Enter Code",IF(IFERROR(VLOOKUP(L178,DB_Agents!$B:$I,8,0),"")=M178,"Pending","🔒 BLOCKED — Wrong Code")))</f>
        <v>Pending</v>
      </c>
      <c r="L178" s="253" t="s">
        <v>136</v>
      </c>
      <c r="M178" s="240"/>
      <c r="N178" s="254"/>
    </row>
    <row r="179" spans="1:14" ht="18" customHeight="1" x14ac:dyDescent="0.25">
      <c r="A179" s="256" t="str">
        <f t="shared" si="20"/>
        <v/>
      </c>
      <c r="B179" s="257"/>
      <c r="C179" s="257" t="str">
        <f>IF(B179="","",IFERROR(VLOOKUP(B179,DB_Customers!$A:$D,4,0),"❌ Account Not Found"))</f>
        <v/>
      </c>
      <c r="D179" s="256" t="str">
        <f t="shared" ca="1" si="21"/>
        <v/>
      </c>
      <c r="E179" s="257"/>
      <c r="F179" s="257"/>
      <c r="G179" s="256"/>
      <c r="H179" s="258">
        <v>2.5</v>
      </c>
      <c r="I179" s="256" t="str">
        <f t="shared" si="22"/>
        <v/>
      </c>
      <c r="J179" s="256" t="str">
        <f t="shared" si="23"/>
        <v/>
      </c>
      <c r="K179" s="256" t="str">
        <f>IF(B179="","Pending",IF(M179="","⚠️ Enter Code",IF(IFERROR(VLOOKUP(L179,DB_Agents!$B:$I,8,0),"")=M179,"Pending","🔒 BLOCKED — Wrong Code")))</f>
        <v>Pending</v>
      </c>
      <c r="L179" s="256" t="s">
        <v>136</v>
      </c>
      <c r="M179" s="252"/>
      <c r="N179" s="257"/>
    </row>
    <row r="180" spans="1:14" ht="18" customHeight="1" x14ac:dyDescent="0.25">
      <c r="A180" s="253" t="str">
        <f t="shared" si="20"/>
        <v/>
      </c>
      <c r="B180" s="254"/>
      <c r="C180" s="254" t="str">
        <f>IF(B180="","",IFERROR(VLOOKUP(B180,DB_Customers!$A:$D,4,0),"❌ Account Not Found"))</f>
        <v/>
      </c>
      <c r="D180" s="253" t="str">
        <f t="shared" ca="1" si="21"/>
        <v/>
      </c>
      <c r="E180" s="254"/>
      <c r="F180" s="254"/>
      <c r="G180" s="253"/>
      <c r="H180" s="255">
        <v>2.5</v>
      </c>
      <c r="I180" s="253" t="str">
        <f t="shared" si="22"/>
        <v/>
      </c>
      <c r="J180" s="253" t="str">
        <f t="shared" si="23"/>
        <v/>
      </c>
      <c r="K180" s="253" t="str">
        <f>IF(B180="","Pending",IF(M180="","⚠️ Enter Code",IF(IFERROR(VLOOKUP(L180,DB_Agents!$B:$I,8,0),"")=M180,"Pending","🔒 BLOCKED — Wrong Code")))</f>
        <v>Pending</v>
      </c>
      <c r="L180" s="253" t="s">
        <v>136</v>
      </c>
      <c r="M180" s="240"/>
      <c r="N180" s="254"/>
    </row>
    <row r="181" spans="1:14" ht="18" customHeight="1" x14ac:dyDescent="0.25">
      <c r="A181" s="256" t="str">
        <f t="shared" si="20"/>
        <v/>
      </c>
      <c r="B181" s="257"/>
      <c r="C181" s="257" t="str">
        <f>IF(B181="","",IFERROR(VLOOKUP(B181,DB_Customers!$A:$D,4,0),"❌ Account Not Found"))</f>
        <v/>
      </c>
      <c r="D181" s="256" t="str">
        <f t="shared" ca="1" si="21"/>
        <v/>
      </c>
      <c r="E181" s="257"/>
      <c r="F181" s="257"/>
      <c r="G181" s="256"/>
      <c r="H181" s="258">
        <v>2.5</v>
      </c>
      <c r="I181" s="256" t="str">
        <f t="shared" si="22"/>
        <v/>
      </c>
      <c r="J181" s="256" t="str">
        <f t="shared" si="23"/>
        <v/>
      </c>
      <c r="K181" s="256" t="str">
        <f>IF(B181="","Pending",IF(M181="","⚠️ Enter Code",IF(IFERROR(VLOOKUP(L181,DB_Agents!$B:$I,8,0),"")=M181,"Pending","🔒 BLOCKED — Wrong Code")))</f>
        <v>Pending</v>
      </c>
      <c r="L181" s="256" t="s">
        <v>136</v>
      </c>
      <c r="M181" s="252"/>
      <c r="N181" s="257"/>
    </row>
    <row r="182" spans="1:14" ht="18" customHeight="1" x14ac:dyDescent="0.25">
      <c r="A182" s="253" t="str">
        <f t="shared" si="20"/>
        <v/>
      </c>
      <c r="B182" s="254"/>
      <c r="C182" s="254" t="str">
        <f>IF(B182="","",IFERROR(VLOOKUP(B182,DB_Customers!$A:$D,4,0),"❌ Account Not Found"))</f>
        <v/>
      </c>
      <c r="D182" s="253" t="str">
        <f t="shared" ca="1" si="21"/>
        <v/>
      </c>
      <c r="E182" s="254"/>
      <c r="F182" s="254"/>
      <c r="G182" s="253"/>
      <c r="H182" s="255">
        <v>2.5</v>
      </c>
      <c r="I182" s="253" t="str">
        <f t="shared" si="22"/>
        <v/>
      </c>
      <c r="J182" s="253" t="str">
        <f t="shared" si="23"/>
        <v/>
      </c>
      <c r="K182" s="253" t="str">
        <f>IF(B182="","Pending",IF(M182="","⚠️ Enter Code",IF(IFERROR(VLOOKUP(L182,DB_Agents!$B:$I,8,0),"")=M182,"Pending","🔒 BLOCKED — Wrong Code")))</f>
        <v>Pending</v>
      </c>
      <c r="L182" s="253" t="s">
        <v>136</v>
      </c>
      <c r="M182" s="240"/>
      <c r="N182" s="254"/>
    </row>
    <row r="183" spans="1:14" ht="18" customHeight="1" x14ac:dyDescent="0.25">
      <c r="A183" s="256" t="str">
        <f t="shared" si="20"/>
        <v/>
      </c>
      <c r="B183" s="257"/>
      <c r="C183" s="257" t="str">
        <f>IF(B183="","",IFERROR(VLOOKUP(B183,DB_Customers!$A:$D,4,0),"❌ Account Not Found"))</f>
        <v/>
      </c>
      <c r="D183" s="256" t="str">
        <f t="shared" ca="1" si="21"/>
        <v/>
      </c>
      <c r="E183" s="257"/>
      <c r="F183" s="257"/>
      <c r="G183" s="256"/>
      <c r="H183" s="258">
        <v>2.5</v>
      </c>
      <c r="I183" s="256" t="str">
        <f t="shared" si="22"/>
        <v/>
      </c>
      <c r="J183" s="256" t="str">
        <f t="shared" si="23"/>
        <v/>
      </c>
      <c r="K183" s="256" t="str">
        <f>IF(B183="","Pending",IF(M183="","⚠️ Enter Code",IF(IFERROR(VLOOKUP(L183,DB_Agents!$B:$I,8,0),"")=M183,"Pending","🔒 BLOCKED — Wrong Code")))</f>
        <v>Pending</v>
      </c>
      <c r="L183" s="256" t="s">
        <v>136</v>
      </c>
      <c r="M183" s="252"/>
      <c r="N183" s="257"/>
    </row>
    <row r="184" spans="1:14" ht="18" customHeight="1" x14ac:dyDescent="0.25">
      <c r="A184" s="253" t="str">
        <f t="shared" si="20"/>
        <v/>
      </c>
      <c r="B184" s="254"/>
      <c r="C184" s="254" t="str">
        <f>IF(B184="","",IFERROR(VLOOKUP(B184,DB_Customers!$A:$D,4,0),"❌ Account Not Found"))</f>
        <v/>
      </c>
      <c r="D184" s="253" t="str">
        <f t="shared" ca="1" si="21"/>
        <v/>
      </c>
      <c r="E184" s="254"/>
      <c r="F184" s="254"/>
      <c r="G184" s="253"/>
      <c r="H184" s="255">
        <v>2.5</v>
      </c>
      <c r="I184" s="253" t="str">
        <f t="shared" si="22"/>
        <v/>
      </c>
      <c r="J184" s="253" t="str">
        <f t="shared" si="23"/>
        <v/>
      </c>
      <c r="K184" s="253" t="str">
        <f>IF(B184="","Pending",IF(M184="","⚠️ Enter Code",IF(IFERROR(VLOOKUP(L184,DB_Agents!$B:$I,8,0),"")=M184,"Pending","🔒 BLOCKED — Wrong Code")))</f>
        <v>Pending</v>
      </c>
      <c r="L184" s="253" t="s">
        <v>136</v>
      </c>
      <c r="M184" s="240"/>
      <c r="N184" s="254"/>
    </row>
    <row r="185" spans="1:14" ht="18" customHeight="1" x14ac:dyDescent="0.25">
      <c r="A185" s="256" t="str">
        <f t="shared" si="20"/>
        <v/>
      </c>
      <c r="B185" s="257"/>
      <c r="C185" s="257" t="str">
        <f>IF(B185="","",IFERROR(VLOOKUP(B185,DB_Customers!$A:$D,4,0),"❌ Account Not Found"))</f>
        <v/>
      </c>
      <c r="D185" s="256" t="str">
        <f t="shared" ca="1" si="21"/>
        <v/>
      </c>
      <c r="E185" s="257"/>
      <c r="F185" s="257"/>
      <c r="G185" s="256"/>
      <c r="H185" s="258">
        <v>2.5</v>
      </c>
      <c r="I185" s="256" t="str">
        <f t="shared" si="22"/>
        <v/>
      </c>
      <c r="J185" s="256" t="str">
        <f t="shared" si="23"/>
        <v/>
      </c>
      <c r="K185" s="256" t="str">
        <f>IF(B185="","Pending",IF(M185="","⚠️ Enter Code",IF(IFERROR(VLOOKUP(L185,DB_Agents!$B:$I,8,0),"")=M185,"Pending","🔒 BLOCKED — Wrong Code")))</f>
        <v>Pending</v>
      </c>
      <c r="L185" s="256" t="s">
        <v>136</v>
      </c>
      <c r="M185" s="252"/>
      <c r="N185" s="257"/>
    </row>
    <row r="186" spans="1:14" ht="18" customHeight="1" x14ac:dyDescent="0.25">
      <c r="A186" s="253" t="str">
        <f t="shared" si="20"/>
        <v/>
      </c>
      <c r="B186" s="254"/>
      <c r="C186" s="254" t="str">
        <f>IF(B186="","",IFERROR(VLOOKUP(B186,DB_Customers!$A:$D,4,0),"❌ Account Not Found"))</f>
        <v/>
      </c>
      <c r="D186" s="253" t="str">
        <f t="shared" ca="1" si="21"/>
        <v/>
      </c>
      <c r="E186" s="254"/>
      <c r="F186" s="254"/>
      <c r="G186" s="253"/>
      <c r="H186" s="255">
        <v>2.5</v>
      </c>
      <c r="I186" s="253" t="str">
        <f t="shared" si="22"/>
        <v/>
      </c>
      <c r="J186" s="253" t="str">
        <f t="shared" si="23"/>
        <v/>
      </c>
      <c r="K186" s="253" t="str">
        <f>IF(B186="","Pending",IF(M186="","⚠️ Enter Code",IF(IFERROR(VLOOKUP(L186,DB_Agents!$B:$I,8,0),"")=M186,"Pending","🔒 BLOCKED — Wrong Code")))</f>
        <v>Pending</v>
      </c>
      <c r="L186" s="253" t="s">
        <v>136</v>
      </c>
      <c r="M186" s="240"/>
      <c r="N186" s="254"/>
    </row>
    <row r="187" spans="1:14" ht="18" customHeight="1" x14ac:dyDescent="0.25">
      <c r="A187" s="256" t="str">
        <f t="shared" si="20"/>
        <v/>
      </c>
      <c r="B187" s="257"/>
      <c r="C187" s="257" t="str">
        <f>IF(B187="","",IFERROR(VLOOKUP(B187,DB_Customers!$A:$D,4,0),"❌ Account Not Found"))</f>
        <v/>
      </c>
      <c r="D187" s="256" t="str">
        <f t="shared" ca="1" si="21"/>
        <v/>
      </c>
      <c r="E187" s="257"/>
      <c r="F187" s="257"/>
      <c r="G187" s="256"/>
      <c r="H187" s="258">
        <v>2.5</v>
      </c>
      <c r="I187" s="256" t="str">
        <f t="shared" si="22"/>
        <v/>
      </c>
      <c r="J187" s="256" t="str">
        <f t="shared" si="23"/>
        <v/>
      </c>
      <c r="K187" s="256" t="str">
        <f>IF(B187="","Pending",IF(M187="","⚠️ Enter Code",IF(IFERROR(VLOOKUP(L187,DB_Agents!$B:$I,8,0),"")=M187,"Pending","🔒 BLOCKED — Wrong Code")))</f>
        <v>Pending</v>
      </c>
      <c r="L187" s="256" t="s">
        <v>136</v>
      </c>
      <c r="M187" s="252"/>
      <c r="N187" s="257"/>
    </row>
    <row r="188" spans="1:14" ht="18" customHeight="1" x14ac:dyDescent="0.25">
      <c r="A188" s="253" t="str">
        <f t="shared" si="20"/>
        <v/>
      </c>
      <c r="B188" s="254"/>
      <c r="C188" s="254" t="str">
        <f>IF(B188="","",IFERROR(VLOOKUP(B188,DB_Customers!$A:$D,4,0),"❌ Account Not Found"))</f>
        <v/>
      </c>
      <c r="D188" s="253" t="str">
        <f t="shared" ca="1" si="21"/>
        <v/>
      </c>
      <c r="E188" s="254"/>
      <c r="F188" s="254"/>
      <c r="G188" s="253"/>
      <c r="H188" s="255">
        <v>2.5</v>
      </c>
      <c r="I188" s="253" t="str">
        <f t="shared" si="22"/>
        <v/>
      </c>
      <c r="J188" s="253" t="str">
        <f t="shared" si="23"/>
        <v/>
      </c>
      <c r="K188" s="253" t="str">
        <f>IF(B188="","Pending",IF(M188="","⚠️ Enter Code",IF(IFERROR(VLOOKUP(L188,DB_Agents!$B:$I,8,0),"")=M188,"Pending","🔒 BLOCKED — Wrong Code")))</f>
        <v>Pending</v>
      </c>
      <c r="L188" s="253" t="s">
        <v>136</v>
      </c>
      <c r="M188" s="240"/>
      <c r="N188" s="254"/>
    </row>
    <row r="189" spans="1:14" ht="18" customHeight="1" x14ac:dyDescent="0.25">
      <c r="A189" s="256" t="str">
        <f t="shared" si="20"/>
        <v/>
      </c>
      <c r="B189" s="257"/>
      <c r="C189" s="257" t="str">
        <f>IF(B189="","",IFERROR(VLOOKUP(B189,DB_Customers!$A:$D,4,0),"❌ Account Not Found"))</f>
        <v/>
      </c>
      <c r="D189" s="256" t="str">
        <f t="shared" ca="1" si="21"/>
        <v/>
      </c>
      <c r="E189" s="257"/>
      <c r="F189" s="257"/>
      <c r="G189" s="256"/>
      <c r="H189" s="258">
        <v>2.5</v>
      </c>
      <c r="I189" s="256" t="str">
        <f t="shared" si="22"/>
        <v/>
      </c>
      <c r="J189" s="256" t="str">
        <f t="shared" si="23"/>
        <v/>
      </c>
      <c r="K189" s="256" t="str">
        <f>IF(B189="","Pending",IF(M189="","⚠️ Enter Code",IF(IFERROR(VLOOKUP(L189,DB_Agents!$B:$I,8,0),"")=M189,"Pending","🔒 BLOCKED — Wrong Code")))</f>
        <v>Pending</v>
      </c>
      <c r="L189" s="256" t="s">
        <v>136</v>
      </c>
      <c r="M189" s="252"/>
      <c r="N189" s="257"/>
    </row>
    <row r="190" spans="1:14" ht="18" customHeight="1" x14ac:dyDescent="0.25">
      <c r="A190" s="253" t="str">
        <f t="shared" si="20"/>
        <v/>
      </c>
      <c r="B190" s="254"/>
      <c r="C190" s="254" t="str">
        <f>IF(B190="","",IFERROR(VLOOKUP(B190,DB_Customers!$A:$D,4,0),"❌ Account Not Found"))</f>
        <v/>
      </c>
      <c r="D190" s="253" t="str">
        <f t="shared" ca="1" si="21"/>
        <v/>
      </c>
      <c r="E190" s="254"/>
      <c r="F190" s="254"/>
      <c r="G190" s="253"/>
      <c r="H190" s="255">
        <v>2.5</v>
      </c>
      <c r="I190" s="253" t="str">
        <f t="shared" si="22"/>
        <v/>
      </c>
      <c r="J190" s="253" t="str">
        <f t="shared" si="23"/>
        <v/>
      </c>
      <c r="K190" s="253" t="str">
        <f>IF(B190="","Pending",IF(M190="","⚠️ Enter Code",IF(IFERROR(VLOOKUP(L190,DB_Agents!$B:$I,8,0),"")=M190,"Pending","🔒 BLOCKED — Wrong Code")))</f>
        <v>Pending</v>
      </c>
      <c r="L190" s="253" t="s">
        <v>136</v>
      </c>
      <c r="M190" s="240"/>
      <c r="N190" s="254"/>
    </row>
    <row r="191" spans="1:14" ht="18" customHeight="1" x14ac:dyDescent="0.25">
      <c r="A191" s="256" t="str">
        <f t="shared" si="20"/>
        <v/>
      </c>
      <c r="B191" s="257"/>
      <c r="C191" s="257" t="str">
        <f>IF(B191="","",IFERROR(VLOOKUP(B191,DB_Customers!$A:$D,4,0),"❌ Account Not Found"))</f>
        <v/>
      </c>
      <c r="D191" s="256" t="str">
        <f t="shared" ca="1" si="21"/>
        <v/>
      </c>
      <c r="E191" s="257"/>
      <c r="F191" s="257"/>
      <c r="G191" s="256"/>
      <c r="H191" s="258">
        <v>2.5</v>
      </c>
      <c r="I191" s="256" t="str">
        <f t="shared" si="22"/>
        <v/>
      </c>
      <c r="J191" s="256" t="str">
        <f t="shared" si="23"/>
        <v/>
      </c>
      <c r="K191" s="256" t="str">
        <f>IF(B191="","Pending",IF(M191="","⚠️ Enter Code",IF(IFERROR(VLOOKUP(L191,DB_Agents!$B:$I,8,0),"")=M191,"Pending","🔒 BLOCKED — Wrong Code")))</f>
        <v>Pending</v>
      </c>
      <c r="L191" s="256" t="s">
        <v>136</v>
      </c>
      <c r="M191" s="252"/>
      <c r="N191" s="257"/>
    </row>
    <row r="192" spans="1:14" ht="18" customHeight="1" x14ac:dyDescent="0.25">
      <c r="A192" s="253" t="str">
        <f t="shared" si="20"/>
        <v/>
      </c>
      <c r="B192" s="254"/>
      <c r="C192" s="254" t="str">
        <f>IF(B192="","",IFERROR(VLOOKUP(B192,DB_Customers!$A:$D,4,0),"❌ Account Not Found"))</f>
        <v/>
      </c>
      <c r="D192" s="253" t="str">
        <f t="shared" ca="1" si="21"/>
        <v/>
      </c>
      <c r="E192" s="254"/>
      <c r="F192" s="254"/>
      <c r="G192" s="253"/>
      <c r="H192" s="255">
        <v>2.5</v>
      </c>
      <c r="I192" s="253" t="str">
        <f t="shared" si="22"/>
        <v/>
      </c>
      <c r="J192" s="253" t="str">
        <f t="shared" si="23"/>
        <v/>
      </c>
      <c r="K192" s="253" t="str">
        <f>IF(B192="","Pending",IF(M192="","⚠️ Enter Code",IF(IFERROR(VLOOKUP(L192,DB_Agents!$B:$I,8,0),"")=M192,"Pending","🔒 BLOCKED — Wrong Code")))</f>
        <v>Pending</v>
      </c>
      <c r="L192" s="253" t="s">
        <v>136</v>
      </c>
      <c r="M192" s="240"/>
      <c r="N192" s="254"/>
    </row>
    <row r="193" spans="1:14" ht="18" customHeight="1" x14ac:dyDescent="0.25">
      <c r="A193" s="256" t="str">
        <f t="shared" si="20"/>
        <v/>
      </c>
      <c r="B193" s="257"/>
      <c r="C193" s="257" t="str">
        <f>IF(B193="","",IFERROR(VLOOKUP(B193,DB_Customers!$A:$D,4,0),"❌ Account Not Found"))</f>
        <v/>
      </c>
      <c r="D193" s="256" t="str">
        <f t="shared" ca="1" si="21"/>
        <v/>
      </c>
      <c r="E193" s="257"/>
      <c r="F193" s="257"/>
      <c r="G193" s="256"/>
      <c r="H193" s="258">
        <v>2.5</v>
      </c>
      <c r="I193" s="256" t="str">
        <f t="shared" si="22"/>
        <v/>
      </c>
      <c r="J193" s="256" t="str">
        <f t="shared" si="23"/>
        <v/>
      </c>
      <c r="K193" s="256" t="str">
        <f>IF(B193="","Pending",IF(M193="","⚠️ Enter Code",IF(IFERROR(VLOOKUP(L193,DB_Agents!$B:$I,8,0),"")=M193,"Pending","🔒 BLOCKED — Wrong Code")))</f>
        <v>Pending</v>
      </c>
      <c r="L193" s="256" t="s">
        <v>136</v>
      </c>
      <c r="M193" s="252"/>
      <c r="N193" s="257"/>
    </row>
    <row r="194" spans="1:14" ht="18" customHeight="1" x14ac:dyDescent="0.25">
      <c r="A194" s="253" t="str">
        <f t="shared" si="20"/>
        <v/>
      </c>
      <c r="B194" s="254"/>
      <c r="C194" s="254" t="str">
        <f>IF(B194="","",IFERROR(VLOOKUP(B194,DB_Customers!$A:$D,4,0),"❌ Account Not Found"))</f>
        <v/>
      </c>
      <c r="D194" s="253" t="str">
        <f t="shared" ca="1" si="21"/>
        <v/>
      </c>
      <c r="E194" s="254"/>
      <c r="F194" s="254"/>
      <c r="G194" s="253"/>
      <c r="H194" s="255">
        <v>2.5</v>
      </c>
      <c r="I194" s="253" t="str">
        <f t="shared" si="22"/>
        <v/>
      </c>
      <c r="J194" s="253" t="str">
        <f t="shared" si="23"/>
        <v/>
      </c>
      <c r="K194" s="253" t="str">
        <f>IF(B194="","Pending",IF(M194="","⚠️ Enter Code",IF(IFERROR(VLOOKUP(L194,DB_Agents!$B:$I,8,0),"")=M194,"Pending","🔒 BLOCKED — Wrong Code")))</f>
        <v>Pending</v>
      </c>
      <c r="L194" s="253" t="s">
        <v>136</v>
      </c>
      <c r="M194" s="240"/>
      <c r="N194" s="254"/>
    </row>
    <row r="195" spans="1:14" ht="18" customHeight="1" x14ac:dyDescent="0.25">
      <c r="A195" s="256" t="str">
        <f t="shared" si="20"/>
        <v/>
      </c>
      <c r="B195" s="257"/>
      <c r="C195" s="257" t="str">
        <f>IF(B195="","",IFERROR(VLOOKUP(B195,DB_Customers!$A:$D,4,0),"❌ Account Not Found"))</f>
        <v/>
      </c>
      <c r="D195" s="256" t="str">
        <f t="shared" ca="1" si="21"/>
        <v/>
      </c>
      <c r="E195" s="257"/>
      <c r="F195" s="257"/>
      <c r="G195" s="256"/>
      <c r="H195" s="258">
        <v>2.5</v>
      </c>
      <c r="I195" s="256" t="str">
        <f t="shared" si="22"/>
        <v/>
      </c>
      <c r="J195" s="256" t="str">
        <f t="shared" si="23"/>
        <v/>
      </c>
      <c r="K195" s="256" t="str">
        <f>IF(B195="","Pending",IF(M195="","⚠️ Enter Code",IF(IFERROR(VLOOKUP(L195,DB_Agents!$B:$I,8,0),"")=M195,"Pending","🔒 BLOCKED — Wrong Code")))</f>
        <v>Pending</v>
      </c>
      <c r="L195" s="256" t="s">
        <v>136</v>
      </c>
      <c r="M195" s="252"/>
      <c r="N195" s="257"/>
    </row>
    <row r="196" spans="1:14" ht="18" customHeight="1" x14ac:dyDescent="0.25">
      <c r="A196" s="253" t="str">
        <f t="shared" si="20"/>
        <v/>
      </c>
      <c r="B196" s="254"/>
      <c r="C196" s="254" t="str">
        <f>IF(B196="","",IFERROR(VLOOKUP(B196,DB_Customers!$A:$D,4,0),"❌ Account Not Found"))</f>
        <v/>
      </c>
      <c r="D196" s="253" t="str">
        <f t="shared" ca="1" si="21"/>
        <v/>
      </c>
      <c r="E196" s="254"/>
      <c r="F196" s="254"/>
      <c r="G196" s="253"/>
      <c r="H196" s="255">
        <v>2.5</v>
      </c>
      <c r="I196" s="253" t="str">
        <f t="shared" si="22"/>
        <v/>
      </c>
      <c r="J196" s="253" t="str">
        <f t="shared" si="23"/>
        <v/>
      </c>
      <c r="K196" s="253" t="str">
        <f>IF(B196="","Pending",IF(M196="","⚠️ Enter Code",IF(IFERROR(VLOOKUP(L196,DB_Agents!$B:$I,8,0),"")=M196,"Pending","🔒 BLOCKED — Wrong Code")))</f>
        <v>Pending</v>
      </c>
      <c r="L196" s="253" t="s">
        <v>136</v>
      </c>
      <c r="M196" s="240"/>
      <c r="N196" s="254"/>
    </row>
    <row r="197" spans="1:14" ht="18" customHeight="1" x14ac:dyDescent="0.25">
      <c r="A197" s="256" t="str">
        <f t="shared" si="20"/>
        <v/>
      </c>
      <c r="B197" s="257"/>
      <c r="C197" s="257" t="str">
        <f>IF(B197="","",IFERROR(VLOOKUP(B197,DB_Customers!$A:$D,4,0),"❌ Account Not Found"))</f>
        <v/>
      </c>
      <c r="D197" s="256" t="str">
        <f t="shared" ca="1" si="21"/>
        <v/>
      </c>
      <c r="E197" s="257"/>
      <c r="F197" s="257"/>
      <c r="G197" s="256"/>
      <c r="H197" s="258">
        <v>2.5</v>
      </c>
      <c r="I197" s="256" t="str">
        <f t="shared" si="22"/>
        <v/>
      </c>
      <c r="J197" s="256" t="str">
        <f t="shared" si="23"/>
        <v/>
      </c>
      <c r="K197" s="256" t="str">
        <f>IF(B197="","Pending",IF(M197="","⚠️ Enter Code",IF(IFERROR(VLOOKUP(L197,DB_Agents!$B:$I,8,0),"")=M197,"Pending","🔒 BLOCKED — Wrong Code")))</f>
        <v>Pending</v>
      </c>
      <c r="L197" s="256" t="s">
        <v>136</v>
      </c>
      <c r="M197" s="252"/>
      <c r="N197" s="257"/>
    </row>
    <row r="198" spans="1:14" ht="18" customHeight="1" x14ac:dyDescent="0.25">
      <c r="A198" s="253" t="str">
        <f t="shared" si="20"/>
        <v/>
      </c>
      <c r="B198" s="254"/>
      <c r="C198" s="254" t="str">
        <f>IF(B198="","",IFERROR(VLOOKUP(B198,DB_Customers!$A:$D,4,0),"❌ Account Not Found"))</f>
        <v/>
      </c>
      <c r="D198" s="253" t="str">
        <f t="shared" ca="1" si="21"/>
        <v/>
      </c>
      <c r="E198" s="254"/>
      <c r="F198" s="254"/>
      <c r="G198" s="253"/>
      <c r="H198" s="255">
        <v>2.5</v>
      </c>
      <c r="I198" s="253" t="str">
        <f t="shared" si="22"/>
        <v/>
      </c>
      <c r="J198" s="253" t="str">
        <f t="shared" si="23"/>
        <v/>
      </c>
      <c r="K198" s="253" t="str">
        <f>IF(B198="","Pending",IF(M198="","⚠️ Enter Code",IF(IFERROR(VLOOKUP(L198,DB_Agents!$B:$I,8,0),"")=M198,"Pending","🔒 BLOCKED — Wrong Code")))</f>
        <v>Pending</v>
      </c>
      <c r="L198" s="253" t="s">
        <v>136</v>
      </c>
      <c r="M198" s="240"/>
      <c r="N198" s="254"/>
    </row>
    <row r="199" spans="1:14" ht="18" customHeight="1" x14ac:dyDescent="0.25">
      <c r="A199" s="256" t="str">
        <f t="shared" si="20"/>
        <v/>
      </c>
      <c r="B199" s="257"/>
      <c r="C199" s="257" t="str">
        <f>IF(B199="","",IFERROR(VLOOKUP(B199,DB_Customers!$A:$D,4,0),"❌ Account Not Found"))</f>
        <v/>
      </c>
      <c r="D199" s="256" t="str">
        <f t="shared" ca="1" si="21"/>
        <v/>
      </c>
      <c r="E199" s="257"/>
      <c r="F199" s="257"/>
      <c r="G199" s="256"/>
      <c r="H199" s="258">
        <v>2.5</v>
      </c>
      <c r="I199" s="256" t="str">
        <f t="shared" si="22"/>
        <v/>
      </c>
      <c r="J199" s="256" t="str">
        <f t="shared" si="23"/>
        <v/>
      </c>
      <c r="K199" s="256" t="str">
        <f>IF(B199="","Pending",IF(M199="","⚠️ Enter Code",IF(IFERROR(VLOOKUP(L199,DB_Agents!$B:$I,8,0),"")=M199,"Pending","🔒 BLOCKED — Wrong Code")))</f>
        <v>Pending</v>
      </c>
      <c r="L199" s="256" t="s">
        <v>136</v>
      </c>
      <c r="M199" s="252"/>
      <c r="N199" s="257"/>
    </row>
    <row r="200" spans="1:14" ht="18" customHeight="1" x14ac:dyDescent="0.25">
      <c r="A200" s="253" t="str">
        <f t="shared" si="20"/>
        <v/>
      </c>
      <c r="B200" s="254"/>
      <c r="C200" s="254" t="str">
        <f>IF(B200="","",IFERROR(VLOOKUP(B200,DB_Customers!$A:$D,4,0),"❌ Account Not Found"))</f>
        <v/>
      </c>
      <c r="D200" s="253" t="str">
        <f t="shared" ca="1" si="21"/>
        <v/>
      </c>
      <c r="E200" s="254"/>
      <c r="F200" s="254"/>
      <c r="G200" s="253"/>
      <c r="H200" s="255">
        <v>2.5</v>
      </c>
      <c r="I200" s="253" t="str">
        <f t="shared" si="22"/>
        <v/>
      </c>
      <c r="J200" s="253" t="str">
        <f t="shared" si="23"/>
        <v/>
      </c>
      <c r="K200" s="253" t="str">
        <f>IF(B200="","Pending",IF(M200="","⚠️ Enter Code",IF(IFERROR(VLOOKUP(L200,DB_Agents!$B:$I,8,0),"")=M200,"Pending","🔒 BLOCKED — Wrong Code")))</f>
        <v>Pending</v>
      </c>
      <c r="L200" s="253" t="s">
        <v>136</v>
      </c>
      <c r="M200" s="240"/>
      <c r="N200" s="254"/>
    </row>
    <row r="201" spans="1:14" ht="18" customHeight="1" x14ac:dyDescent="0.25">
      <c r="A201" s="256" t="str">
        <f t="shared" si="20"/>
        <v/>
      </c>
      <c r="B201" s="257"/>
      <c r="C201" s="257" t="str">
        <f>IF(B201="","",IFERROR(VLOOKUP(B201,DB_Customers!$A:$D,4,0),"❌ Account Not Found"))</f>
        <v/>
      </c>
      <c r="D201" s="256" t="str">
        <f t="shared" ca="1" si="21"/>
        <v/>
      </c>
      <c r="E201" s="257"/>
      <c r="F201" s="257"/>
      <c r="G201" s="256"/>
      <c r="H201" s="256">
        <v>2.5</v>
      </c>
      <c r="I201" s="256" t="str">
        <f t="shared" si="22"/>
        <v/>
      </c>
      <c r="J201" s="256" t="str">
        <f t="shared" si="23"/>
        <v/>
      </c>
      <c r="K201" s="256" t="str">
        <f>IF(B201="","Pending",IF(M201="","⚠️ Enter Code",IF(IFERROR(VLOOKUP(L201,DB_Agents!$B:$I,8,0),"")=M201,"Pending","🔒 BLOCKED — Wrong Code")))</f>
        <v>Pending</v>
      </c>
      <c r="L201" s="256" t="s">
        <v>136</v>
      </c>
      <c r="M201" s="252"/>
      <c r="N201" s="257"/>
    </row>
    <row r="202" spans="1:14" ht="18" customHeight="1" x14ac:dyDescent="0.25">
      <c r="A202" s="253" t="str">
        <f t="shared" si="20"/>
        <v/>
      </c>
      <c r="B202" s="254"/>
      <c r="C202" s="254" t="str">
        <f>IF(B202="","",IFERROR(VLOOKUP(B202,DB_Customers!$A:$D,4,0),"❌ Account Not Found"))</f>
        <v/>
      </c>
      <c r="D202" s="253" t="str">
        <f t="shared" ca="1" si="21"/>
        <v/>
      </c>
      <c r="E202" s="254"/>
      <c r="F202" s="254"/>
      <c r="G202" s="253"/>
      <c r="H202" s="253">
        <v>2.5</v>
      </c>
      <c r="I202" s="253" t="str">
        <f t="shared" si="22"/>
        <v/>
      </c>
      <c r="J202" s="253" t="str">
        <f t="shared" si="23"/>
        <v/>
      </c>
      <c r="K202" s="253" t="str">
        <f>IF(B202="","Pending",IF(M202="","⚠️ Enter Code",IF(IFERROR(VLOOKUP(L202,DB_Agents!$B:$I,8,0),"")=M202,"Pending","🔒 BLOCKED — Wrong Code")))</f>
        <v>Pending</v>
      </c>
      <c r="L202" s="253" t="s">
        <v>136</v>
      </c>
      <c r="M202" s="240"/>
      <c r="N202" s="254"/>
    </row>
    <row r="203" spans="1:14" ht="18" customHeight="1" x14ac:dyDescent="0.25">
      <c r="A203" s="256" t="str">
        <f t="shared" si="20"/>
        <v/>
      </c>
      <c r="B203" s="257"/>
      <c r="C203" s="257" t="str">
        <f>IF(B203="","",IFERROR(VLOOKUP(B203,DB_Customers!$A:$D,4,0),"❌ Account Not Found"))</f>
        <v/>
      </c>
      <c r="D203" s="256" t="str">
        <f t="shared" ca="1" si="21"/>
        <v/>
      </c>
      <c r="E203" s="257"/>
      <c r="F203" s="257"/>
      <c r="G203" s="256"/>
      <c r="H203" s="256">
        <v>2.5</v>
      </c>
      <c r="I203" s="256" t="str">
        <f t="shared" si="22"/>
        <v/>
      </c>
      <c r="J203" s="256" t="str">
        <f t="shared" si="23"/>
        <v/>
      </c>
      <c r="K203" s="256" t="str">
        <f>IF(B203="","Pending",IF(M203="","⚠️ Enter Code",IF(IFERROR(VLOOKUP(L203,DB_Agents!$B:$I,8,0),"")=M203,"Pending","🔒 BLOCKED — Wrong Code")))</f>
        <v>Pending</v>
      </c>
      <c r="L203" s="256" t="s">
        <v>136</v>
      </c>
      <c r="M203" s="252"/>
      <c r="N203" s="257"/>
    </row>
    <row r="204" spans="1:14" ht="18" customHeight="1" x14ac:dyDescent="0.25">
      <c r="A204" s="253" t="str">
        <f t="shared" si="20"/>
        <v/>
      </c>
      <c r="B204" s="254"/>
      <c r="C204" s="254" t="str">
        <f>IF(B204="","",IFERROR(VLOOKUP(B204,DB_Customers!$A:$D,4,0),"❌ Account Not Found"))</f>
        <v/>
      </c>
      <c r="D204" s="253" t="str">
        <f t="shared" ca="1" si="21"/>
        <v/>
      </c>
      <c r="E204" s="254"/>
      <c r="F204" s="254"/>
      <c r="G204" s="253"/>
      <c r="H204" s="253">
        <v>2.5</v>
      </c>
      <c r="I204" s="253" t="str">
        <f t="shared" si="22"/>
        <v/>
      </c>
      <c r="J204" s="253" t="str">
        <f t="shared" si="23"/>
        <v/>
      </c>
      <c r="K204" s="253" t="str">
        <f>IF(B204="","Pending",IF(M204="","⚠️ Enter Code",IF(IFERROR(VLOOKUP(L204,DB_Agents!$B:$I,8,0),"")=M204,"Pending","🔒 BLOCKED — Wrong Code")))</f>
        <v>Pending</v>
      </c>
      <c r="L204" s="253" t="s">
        <v>136</v>
      </c>
      <c r="M204" s="240"/>
      <c r="N204" s="254"/>
    </row>
    <row r="205" spans="1:14" ht="18" customHeight="1" x14ac:dyDescent="0.25">
      <c r="A205" s="256" t="str">
        <f t="shared" si="20"/>
        <v/>
      </c>
      <c r="B205" s="257"/>
      <c r="C205" s="257" t="str">
        <f>IF(B205="","",IFERROR(VLOOKUP(B205,DB_Customers!$A:$D,4,0),"❌ Account Not Found"))</f>
        <v/>
      </c>
      <c r="D205" s="256" t="str">
        <f t="shared" ca="1" si="21"/>
        <v/>
      </c>
      <c r="E205" s="257"/>
      <c r="F205" s="257"/>
      <c r="G205" s="256"/>
      <c r="H205" s="256">
        <v>2.5</v>
      </c>
      <c r="I205" s="256" t="str">
        <f t="shared" si="22"/>
        <v/>
      </c>
      <c r="J205" s="256" t="str">
        <f t="shared" si="23"/>
        <v/>
      </c>
      <c r="K205" s="256" t="str">
        <f>IF(B205="","Pending",IF(M205="","⚠️ Enter Code",IF(IFERROR(VLOOKUP(L205,DB_Agents!$B:$I,8,0),"")=M205,"Pending","🔒 BLOCKED — Wrong Code")))</f>
        <v>Pending</v>
      </c>
      <c r="L205" s="256" t="s">
        <v>136</v>
      </c>
      <c r="M205" s="252"/>
      <c r="N205" s="257"/>
    </row>
    <row r="206" spans="1:14" ht="18" customHeight="1" x14ac:dyDescent="0.25">
      <c r="A206" s="253" t="str">
        <f t="shared" ref="A206:A213" si="24">IF(B206="","",IF(C206="❌ Account Not Found","INVALID","LN"&amp;TEXT(D206,"YYYYMMDD")&amp;TEXT(ROW()-13,"0000")))</f>
        <v/>
      </c>
      <c r="B206" s="254"/>
      <c r="C206" s="254" t="str">
        <f>IF(B206="","",IFERROR(VLOOKUP(B206,DB_Customers!$A:$D,4,0),"❌ Account Not Found"))</f>
        <v/>
      </c>
      <c r="D206" s="253" t="str">
        <f t="shared" ref="D206:D213" ca="1" si="25">IF(B206="","",TODAY())</f>
        <v/>
      </c>
      <c r="E206" s="254"/>
      <c r="F206" s="254"/>
      <c r="G206" s="253"/>
      <c r="H206" s="253">
        <v>2.5</v>
      </c>
      <c r="I206" s="253" t="str">
        <f t="shared" ref="I206:I213" si="26">IF(E206="","",E206+(E206*H206/100*G206))</f>
        <v/>
      </c>
      <c r="J206" s="253" t="str">
        <f t="shared" ref="J206:J213" si="27">IFERROR(I206/G206,"")</f>
        <v/>
      </c>
      <c r="K206" s="253" t="str">
        <f>IF(B206="","Pending",IF(M206="","⚠️ Enter Code",IF(IFERROR(VLOOKUP(L206,DB_Agents!$B:$I,8,0),"")=M206,"Pending","🔒 BLOCKED — Wrong Code")))</f>
        <v>Pending</v>
      </c>
      <c r="L206" s="253" t="s">
        <v>136</v>
      </c>
      <c r="M206" s="240"/>
      <c r="N206" s="254"/>
    </row>
    <row r="207" spans="1:14" ht="18" customHeight="1" x14ac:dyDescent="0.25">
      <c r="A207" s="256" t="str">
        <f t="shared" si="24"/>
        <v/>
      </c>
      <c r="B207" s="257"/>
      <c r="C207" s="257" t="str">
        <f>IF(B207="","",IFERROR(VLOOKUP(B207,DB_Customers!$A:$D,4,0),"❌ Account Not Found"))</f>
        <v/>
      </c>
      <c r="D207" s="256" t="str">
        <f t="shared" ca="1" si="25"/>
        <v/>
      </c>
      <c r="E207" s="257"/>
      <c r="F207" s="257"/>
      <c r="G207" s="256"/>
      <c r="H207" s="256">
        <v>2.5</v>
      </c>
      <c r="I207" s="256" t="str">
        <f t="shared" si="26"/>
        <v/>
      </c>
      <c r="J207" s="256" t="str">
        <f t="shared" si="27"/>
        <v/>
      </c>
      <c r="K207" s="256" t="str">
        <f>IF(B207="","Pending",IF(M207="","⚠️ Enter Code",IF(IFERROR(VLOOKUP(L207,DB_Agents!$B:$I,8,0),"")=M207,"Pending","🔒 BLOCKED — Wrong Code")))</f>
        <v>Pending</v>
      </c>
      <c r="L207" s="256" t="s">
        <v>136</v>
      </c>
      <c r="M207" s="252"/>
      <c r="N207" s="257"/>
    </row>
    <row r="208" spans="1:14" ht="18" customHeight="1" x14ac:dyDescent="0.25">
      <c r="A208" s="253" t="str">
        <f t="shared" si="24"/>
        <v/>
      </c>
      <c r="B208" s="254"/>
      <c r="C208" s="254" t="str">
        <f>IF(B208="","",IFERROR(VLOOKUP(B208,DB_Customers!$A:$D,4,0),"❌ Account Not Found"))</f>
        <v/>
      </c>
      <c r="D208" s="253" t="str">
        <f t="shared" ca="1" si="25"/>
        <v/>
      </c>
      <c r="E208" s="254"/>
      <c r="F208" s="254"/>
      <c r="G208" s="253"/>
      <c r="H208" s="253">
        <v>2.5</v>
      </c>
      <c r="I208" s="253" t="str">
        <f t="shared" si="26"/>
        <v/>
      </c>
      <c r="J208" s="253" t="str">
        <f t="shared" si="27"/>
        <v/>
      </c>
      <c r="K208" s="253" t="str">
        <f>IF(B208="","Pending",IF(M208="","⚠️ Enter Code",IF(IFERROR(VLOOKUP(L208,DB_Agents!$B:$I,8,0),"")=M208,"Pending","🔒 BLOCKED — Wrong Code")))</f>
        <v>Pending</v>
      </c>
      <c r="L208" s="253" t="s">
        <v>136</v>
      </c>
      <c r="M208" s="240"/>
      <c r="N208" s="254"/>
    </row>
    <row r="209" spans="1:14" ht="18" customHeight="1" x14ac:dyDescent="0.25">
      <c r="A209" s="256" t="str">
        <f t="shared" si="24"/>
        <v/>
      </c>
      <c r="B209" s="257"/>
      <c r="C209" s="257" t="str">
        <f>IF(B209="","",IFERROR(VLOOKUP(B209,DB_Customers!$A:$D,4,0),"❌ Account Not Found"))</f>
        <v/>
      </c>
      <c r="D209" s="256" t="str">
        <f t="shared" ca="1" si="25"/>
        <v/>
      </c>
      <c r="E209" s="257"/>
      <c r="F209" s="257"/>
      <c r="G209" s="256"/>
      <c r="H209" s="256">
        <v>2.5</v>
      </c>
      <c r="I209" s="256" t="str">
        <f t="shared" si="26"/>
        <v/>
      </c>
      <c r="J209" s="256" t="str">
        <f t="shared" si="27"/>
        <v/>
      </c>
      <c r="K209" s="256" t="str">
        <f>IF(B209="","Pending",IF(M209="","⚠️ Enter Code",IF(IFERROR(VLOOKUP(L209,DB_Agents!$B:$I,8,0),"")=M209,"Pending","🔒 BLOCKED — Wrong Code")))</f>
        <v>Pending</v>
      </c>
      <c r="L209" s="256" t="s">
        <v>136</v>
      </c>
      <c r="M209" s="252"/>
      <c r="N209" s="257"/>
    </row>
    <row r="210" spans="1:14" ht="18" customHeight="1" x14ac:dyDescent="0.25">
      <c r="A210" s="253" t="str">
        <f t="shared" si="24"/>
        <v/>
      </c>
      <c r="B210" s="254"/>
      <c r="C210" s="254" t="str">
        <f>IF(B210="","",IFERROR(VLOOKUP(B210,DB_Customers!$A:$D,4,0),"❌ Account Not Found"))</f>
        <v/>
      </c>
      <c r="D210" s="253" t="str">
        <f t="shared" ca="1" si="25"/>
        <v/>
      </c>
      <c r="E210" s="254"/>
      <c r="F210" s="254"/>
      <c r="G210" s="253"/>
      <c r="H210" s="253">
        <v>2.5</v>
      </c>
      <c r="I210" s="253" t="str">
        <f t="shared" si="26"/>
        <v/>
      </c>
      <c r="J210" s="253" t="str">
        <f t="shared" si="27"/>
        <v/>
      </c>
      <c r="K210" s="253" t="str">
        <f>IF(B210="","Pending",IF(M210="","⚠️ Enter Code",IF(IFERROR(VLOOKUP(L210,DB_Agents!$B:$I,8,0),"")=M210,"Pending","🔒 BLOCKED — Wrong Code")))</f>
        <v>Pending</v>
      </c>
      <c r="L210" s="253" t="s">
        <v>136</v>
      </c>
      <c r="M210" s="240"/>
      <c r="N210" s="254"/>
    </row>
    <row r="211" spans="1:14" ht="18" customHeight="1" x14ac:dyDescent="0.25">
      <c r="A211" s="256" t="str">
        <f t="shared" si="24"/>
        <v/>
      </c>
      <c r="B211" s="257"/>
      <c r="C211" s="257" t="str">
        <f>IF(B211="","",IFERROR(VLOOKUP(B211,DB_Customers!$A:$D,4,0),"❌ Account Not Found"))</f>
        <v/>
      </c>
      <c r="D211" s="256" t="str">
        <f t="shared" ca="1" si="25"/>
        <v/>
      </c>
      <c r="E211" s="257"/>
      <c r="F211" s="257"/>
      <c r="G211" s="256"/>
      <c r="H211" s="256">
        <v>2.5</v>
      </c>
      <c r="I211" s="256" t="str">
        <f t="shared" si="26"/>
        <v/>
      </c>
      <c r="J211" s="256" t="str">
        <f t="shared" si="27"/>
        <v/>
      </c>
      <c r="K211" s="256" t="str">
        <f>IF(B211="","Pending",IF(M211="","⚠️ Enter Code",IF(IFERROR(VLOOKUP(L211,DB_Agents!$B:$I,8,0),"")=M211,"Pending","🔒 BLOCKED — Wrong Code")))</f>
        <v>Pending</v>
      </c>
      <c r="L211" s="256" t="s">
        <v>136</v>
      </c>
      <c r="M211" s="252"/>
      <c r="N211" s="257"/>
    </row>
    <row r="212" spans="1:14" ht="18" customHeight="1" x14ac:dyDescent="0.25">
      <c r="A212" s="253" t="str">
        <f t="shared" si="24"/>
        <v/>
      </c>
      <c r="B212" s="254"/>
      <c r="C212" s="254" t="str">
        <f>IF(B212="","",IFERROR(VLOOKUP(B212,DB_Customers!$A:$D,4,0),"❌ Account Not Found"))</f>
        <v/>
      </c>
      <c r="D212" s="253" t="str">
        <f t="shared" ca="1" si="25"/>
        <v/>
      </c>
      <c r="E212" s="254"/>
      <c r="F212" s="254"/>
      <c r="G212" s="253"/>
      <c r="H212" s="253">
        <v>2.5</v>
      </c>
      <c r="I212" s="253" t="str">
        <f t="shared" si="26"/>
        <v/>
      </c>
      <c r="J212" s="253" t="str">
        <f t="shared" si="27"/>
        <v/>
      </c>
      <c r="K212" s="253" t="str">
        <f>IF(B212="","Pending",IF(M212="","⚠️ Enter Code",IF(IFERROR(VLOOKUP(L212,DB_Agents!$B:$I,8,0),"")=M212,"Pending","🔒 BLOCKED — Wrong Code")))</f>
        <v>Pending</v>
      </c>
      <c r="L212" s="253" t="s">
        <v>136</v>
      </c>
      <c r="M212" s="240"/>
      <c r="N212" s="254"/>
    </row>
    <row r="213" spans="1:14" ht="18" customHeight="1" x14ac:dyDescent="0.25">
      <c r="A213" s="256" t="str">
        <f t="shared" si="24"/>
        <v/>
      </c>
      <c r="B213" s="257"/>
      <c r="C213" s="257" t="str">
        <f>IF(B213="","",IFERROR(VLOOKUP(B213,DB_Customers!$A:$D,4,0),"❌ Account Not Found"))</f>
        <v/>
      </c>
      <c r="D213" s="256" t="str">
        <f t="shared" ca="1" si="25"/>
        <v/>
      </c>
      <c r="E213" s="257"/>
      <c r="F213" s="257"/>
      <c r="G213" s="256"/>
      <c r="H213" s="256">
        <v>2.5</v>
      </c>
      <c r="I213" s="256" t="str">
        <f t="shared" si="26"/>
        <v/>
      </c>
      <c r="J213" s="256" t="str">
        <f t="shared" si="27"/>
        <v/>
      </c>
      <c r="K213" s="256" t="str">
        <f>IF(B213="","Pending",IF(M213="","⚠️ Enter Code",IF(IFERROR(VLOOKUP(L213,DB_Agents!$B:$I,8,0),"")=M213,"Pending","🔒 BLOCKED — Wrong Code")))</f>
        <v>Pending</v>
      </c>
      <c r="L213" s="256" t="s">
        <v>136</v>
      </c>
      <c r="M213" s="252"/>
      <c r="N213" s="257"/>
    </row>
  </sheetData>
  <conditionalFormatting sqref="K14:K113">
    <cfRule type="cellIs" dxfId="65" priority="2" operator="equal">
      <formula>"Approved"</formula>
    </cfRule>
    <cfRule type="cellIs" dxfId="64" priority="3" operator="equal">
      <formula>"Pending"</formula>
    </cfRule>
    <cfRule type="cellIs" dxfId="63" priority="4" operator="equal">
      <formula>"Rejected"</formula>
    </cfRule>
  </conditionalFormatting>
  <dataValidations count="2">
    <dataValidation type="whole" showErrorMessage="1" error="Enter 1-36 months" sqref="G14:G113" xr:uid="{00000000-0002-0000-1400-000000000000}">
      <formula1>1</formula1>
      <formula2>36</formula2>
    </dataValidation>
    <dataValidation type="list" sqref="L14:L113" xr:uid="{00000000-0002-0000-14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359" t="s">
        <v>358</v>
      </c>
      <c r="B1" s="265"/>
      <c r="C1" s="265"/>
      <c r="D1" s="265"/>
      <c r="E1" s="265"/>
      <c r="F1" s="265"/>
      <c r="G1" s="265"/>
      <c r="H1" s="265"/>
      <c r="I1" s="265"/>
      <c r="J1" s="265"/>
      <c r="K1" s="265"/>
      <c r="L1" s="265"/>
    </row>
    <row r="2" spans="1:12" ht="19.5" customHeight="1" x14ac:dyDescent="0.25">
      <c r="A2" s="357" t="s">
        <v>359</v>
      </c>
      <c r="B2" s="265"/>
      <c r="C2" s="265"/>
      <c r="D2" s="265"/>
      <c r="E2" s="265"/>
      <c r="F2" s="265"/>
      <c r="G2" s="265"/>
      <c r="H2" s="265"/>
      <c r="I2" s="265"/>
      <c r="J2" s="265"/>
      <c r="K2" s="265"/>
      <c r="L2" s="265"/>
    </row>
    <row r="3" spans="1:12" ht="18" customHeight="1" x14ac:dyDescent="0.25">
      <c r="A3" s="323" t="s">
        <v>311</v>
      </c>
      <c r="B3" s="265"/>
      <c r="C3" s="265"/>
      <c r="D3" s="324" t="s">
        <v>312</v>
      </c>
      <c r="E3" s="265"/>
      <c r="F3" s="265"/>
      <c r="G3" s="351" t="s">
        <v>313</v>
      </c>
      <c r="H3" s="265"/>
      <c r="I3" s="265"/>
      <c r="J3" s="265"/>
      <c r="K3" s="265"/>
      <c r="L3" s="265"/>
    </row>
    <row r="4" spans="1:12" ht="27.75" customHeight="1" x14ac:dyDescent="0.25">
      <c r="A4" s="363">
        <f ca="1">SUMIFS(DB_Savings!$F:$F,DB_Savings!$G:$G,"Agent 05",DB_Savings!$E:$E,TODAY())</f>
        <v>0</v>
      </c>
      <c r="B4" s="265"/>
      <c r="C4" s="265"/>
      <c r="D4" s="361">
        <f ca="1">COUNTIFS(DB_Savings!$G:$G,"Agent 05",DB_Savings!$E:$E,TODAY())</f>
        <v>0</v>
      </c>
      <c r="E4" s="265"/>
      <c r="F4" s="265"/>
      <c r="G4" s="362" t="str">
        <f ca="1">TEXT(TODAY(),"DDDD, DD MMMM YYYY")</f>
        <v>Friday, 24 April 2026</v>
      </c>
      <c r="H4" s="265"/>
      <c r="I4" s="265"/>
      <c r="J4" s="265"/>
      <c r="K4" s="265"/>
      <c r="L4" s="265"/>
    </row>
    <row r="5" spans="1:12" ht="21.75" customHeight="1" x14ac:dyDescent="0.25">
      <c r="A5" s="360" t="str">
        <f ca="1">IF(SUMIFS(DB_Savings!$F:$F,DB_Savings!$G:$G,"Agent 05",DB_Savings!$E:$E,TODAY())&gt;=J4,"✅ DAILY TARGET ACHIEVED! Well done Agent 05!","⏳ Collection in progress — Keep going! Remaining: GHC "&amp;TEXT(J4-SUMIFS(DB_Savings!$F:$F,DB_Savings!$G:$G,"Agent 05",DB_Savings!$E:$E,TODAY()),"#,##0.00"))</f>
        <v>✅ DAILY TARGET ACHIEVED! Well done Agent 05!</v>
      </c>
      <c r="B5" s="265"/>
      <c r="C5" s="265"/>
      <c r="D5" s="265"/>
      <c r="E5" s="265"/>
      <c r="F5" s="265"/>
      <c r="G5" s="265"/>
      <c r="H5" s="265"/>
      <c r="I5" s="265"/>
      <c r="J5" s="265"/>
      <c r="K5" s="265"/>
      <c r="L5" s="265"/>
    </row>
    <row r="6" spans="1:12" ht="7.5" customHeight="1" x14ac:dyDescent="0.25"/>
    <row r="7" spans="1:12" ht="19.5" customHeight="1" x14ac:dyDescent="0.25">
      <c r="A7" s="358" t="s">
        <v>314</v>
      </c>
      <c r="B7" s="265"/>
      <c r="C7" s="265"/>
      <c r="D7" s="265"/>
      <c r="E7" s="265"/>
      <c r="F7" s="265"/>
      <c r="G7" s="265"/>
      <c r="H7" s="265"/>
      <c r="I7" s="265"/>
      <c r="J7" s="265"/>
      <c r="K7" s="265"/>
      <c r="L7" s="265"/>
    </row>
    <row r="8" spans="1:12" ht="19.5" customHeight="1" x14ac:dyDescent="0.25">
      <c r="A8" s="36" t="s">
        <v>315</v>
      </c>
      <c r="B8" s="36" t="s">
        <v>77</v>
      </c>
      <c r="C8" s="36" t="s">
        <v>316</v>
      </c>
      <c r="D8" s="36" t="s">
        <v>78</v>
      </c>
      <c r="E8" s="36" t="s">
        <v>317</v>
      </c>
      <c r="F8" s="36" t="s">
        <v>318</v>
      </c>
      <c r="G8" s="36" t="s">
        <v>14</v>
      </c>
      <c r="H8" s="75" t="s">
        <v>319</v>
      </c>
      <c r="I8" s="36" t="s">
        <v>13</v>
      </c>
      <c r="J8" s="36" t="s">
        <v>320</v>
      </c>
      <c r="K8" s="36" t="s">
        <v>321</v>
      </c>
    </row>
    <row r="9" spans="1:12" ht="15" customHeight="1" x14ac:dyDescent="0.25">
      <c r="A9" s="76"/>
      <c r="B9" s="37" t="str">
        <f>IF(A9="","",IFERROR(VLOOKUP(A9,DB_Customers!$A:$D,4,0),"❌ Account Not Found"))</f>
        <v/>
      </c>
      <c r="C9" s="77" t="str">
        <f>IF(A9="","",IFERROR(IF(SUMIF(DB_Savings!$C:$C,A9,DB_Savings!$F:$F)=0,VLOOKUP(A9,DB_Customers!$A:$I,9,0),VLOOKUP(A9,DB_Customers!$A:$N,14,0)),"❌ Acct Not Found"))</f>
        <v/>
      </c>
      <c r="D9" s="78" t="str">
        <f t="shared" ref="D9:D40" ca="1" si="0">IF(A9="","",TODAY())</f>
        <v/>
      </c>
      <c r="E9" s="79"/>
      <c r="F9" s="80" t="str">
        <f t="shared" ref="F9:F40" si="1">IF(OR(A9="",E9=""),"",IF(C9="","",C9+E9))</f>
        <v/>
      </c>
      <c r="G9" s="39" t="s">
        <v>137</v>
      </c>
      <c r="H9" s="81"/>
      <c r="I9" s="82" t="str">
        <f>IF(A9="","Pending",IF(H9="","⚠️ Enter Agent Code",IF(IFERROR(VLOOKUP(G9,DB_Agents!$B:$I,8,0),"")=H9,IF(AND(A9&lt;&gt;"",E9&lt;&gt;""),"Saved","Pending"),"🔒 BLOCKED — Wrong Code")))</f>
        <v>Pending</v>
      </c>
      <c r="J9" s="83" t="str">
        <f t="shared" ref="J9:J40" ca="1" si="2">IF(I9="Saved",TEXT(TODAY(),"YYYY-MM-DD")&amp;" Auto","—")</f>
        <v>—</v>
      </c>
      <c r="K9" s="84"/>
    </row>
    <row r="10" spans="1:12" ht="15" customHeight="1" x14ac:dyDescent="0.25">
      <c r="A10" s="85"/>
      <c r="B10" s="41" t="str">
        <f>IF(A10="","",IFERROR(VLOOKUP(A10,DB_Customers!$A:$D,4,0),"❌ Account Not Found"))</f>
        <v/>
      </c>
      <c r="C10" s="86" t="str">
        <f>IF(A10="","",IFERROR(IF(SUMIF(DB_Savings!$C:$C,A10,DB_Savings!$F:$F)=0,VLOOKUP(A10,DB_Customers!$A:$I,9,0),VLOOKUP(A10,DB_Customers!$A:$N,14,0)),"❌ Acct Not Found"))</f>
        <v/>
      </c>
      <c r="D10" s="87" t="str">
        <f t="shared" ca="1" si="0"/>
        <v/>
      </c>
      <c r="E10" s="79"/>
      <c r="F10" s="88" t="str">
        <f t="shared" si="1"/>
        <v/>
      </c>
      <c r="G10" s="43" t="s">
        <v>137</v>
      </c>
      <c r="H10" s="81"/>
      <c r="I10" s="89" t="str">
        <f>IF(A10="","Pending",IF(H10="","⚠️ Enter Agent Code",IF(IFERROR(VLOOKUP(G10,DB_Agents!$B:$I,8,0),"")=H10,IF(AND(A10&lt;&gt;"",E10&lt;&gt;""),"Saved","Pending"),"🔒 BLOCKED — Wrong Code")))</f>
        <v>Pending</v>
      </c>
      <c r="J10" s="90" t="str">
        <f t="shared" ca="1" si="2"/>
        <v>—</v>
      </c>
      <c r="K10" s="91"/>
    </row>
    <row r="11" spans="1:12" ht="15" customHeight="1" x14ac:dyDescent="0.25">
      <c r="A11" s="76"/>
      <c r="B11" s="37" t="str">
        <f>IF(A11="","",IFERROR(VLOOKUP(A11,DB_Customers!$A:$D,4,0),"❌ Account Not Found"))</f>
        <v/>
      </c>
      <c r="C11" s="77" t="str">
        <f>IF(A11="","",IFERROR(IF(SUMIF(DB_Savings!$C:$C,A11,DB_Savings!$F:$F)=0,VLOOKUP(A11,DB_Customers!$A:$I,9,0),VLOOKUP(A11,DB_Customers!$A:$N,14,0)),"❌ Acct Not Found"))</f>
        <v/>
      </c>
      <c r="D11" s="78" t="str">
        <f t="shared" ca="1" si="0"/>
        <v/>
      </c>
      <c r="E11" s="79"/>
      <c r="F11" s="80" t="str">
        <f t="shared" si="1"/>
        <v/>
      </c>
      <c r="G11" s="39" t="s">
        <v>137</v>
      </c>
      <c r="H11" s="81"/>
      <c r="I11" s="82" t="str">
        <f>IF(A11="","Pending",IF(H11="","⚠️ Enter Agent Code",IF(IFERROR(VLOOKUP(G11,DB_Agents!$B:$I,8,0),"")=H11,IF(AND(A11&lt;&gt;"",E11&lt;&gt;""),"Saved","Pending"),"🔒 BLOCKED — Wrong Code")))</f>
        <v>Pending</v>
      </c>
      <c r="J11" s="83" t="str">
        <f t="shared" ca="1" si="2"/>
        <v>—</v>
      </c>
      <c r="K11" s="84"/>
    </row>
    <row r="12" spans="1:12" ht="15" customHeight="1" x14ac:dyDescent="0.25">
      <c r="A12" s="85"/>
      <c r="B12" s="41" t="str">
        <f>IF(A12="","",IFERROR(VLOOKUP(A12,DB_Customers!$A:$D,4,0),"❌ Account Not Found"))</f>
        <v/>
      </c>
      <c r="C12" s="86" t="str">
        <f>IF(A12="","",IFERROR(IF(SUMIF(DB_Savings!$C:$C,A12,DB_Savings!$F:$F)=0,VLOOKUP(A12,DB_Customers!$A:$I,9,0),VLOOKUP(A12,DB_Customers!$A:$N,14,0)),"❌ Acct Not Found"))</f>
        <v/>
      </c>
      <c r="D12" s="87" t="str">
        <f t="shared" ca="1" si="0"/>
        <v/>
      </c>
      <c r="E12" s="79"/>
      <c r="F12" s="88" t="str">
        <f t="shared" si="1"/>
        <v/>
      </c>
      <c r="G12" s="43" t="s">
        <v>137</v>
      </c>
      <c r="H12" s="81"/>
      <c r="I12" s="89" t="str">
        <f>IF(A12="","Pending",IF(H12="","⚠️ Enter Agent Code",IF(IFERROR(VLOOKUP(G12,DB_Agents!$B:$I,8,0),"")=H12,IF(AND(A12&lt;&gt;"",E12&lt;&gt;""),"Saved","Pending"),"🔒 BLOCKED — Wrong Code")))</f>
        <v>Pending</v>
      </c>
      <c r="J12" s="90" t="str">
        <f t="shared" ca="1" si="2"/>
        <v>—</v>
      </c>
      <c r="K12" s="91"/>
    </row>
    <row r="13" spans="1:12" ht="15" customHeight="1" x14ac:dyDescent="0.25">
      <c r="A13" s="76"/>
      <c r="B13" s="37" t="str">
        <f>IF(A13="","",IFERROR(VLOOKUP(A13,DB_Customers!$A:$D,4,0),"❌ Account Not Found"))</f>
        <v/>
      </c>
      <c r="C13" s="77" t="str">
        <f>IF(A13="","",IFERROR(IF(SUMIF(DB_Savings!$C:$C,A13,DB_Savings!$F:$F)=0,VLOOKUP(A13,DB_Customers!$A:$I,9,0),VLOOKUP(A13,DB_Customers!$A:$N,14,0)),"❌ Acct Not Found"))</f>
        <v/>
      </c>
      <c r="D13" s="78" t="str">
        <f t="shared" ca="1" si="0"/>
        <v/>
      </c>
      <c r="E13" s="79"/>
      <c r="F13" s="80" t="str">
        <f t="shared" si="1"/>
        <v/>
      </c>
      <c r="G13" s="39" t="s">
        <v>137</v>
      </c>
      <c r="H13" s="81"/>
      <c r="I13" s="82" t="str">
        <f>IF(A13="","Pending",IF(H13="","⚠️ Enter Agent Code",IF(IFERROR(VLOOKUP(G13,DB_Agents!$B:$I,8,0),"")=H13,IF(AND(A13&lt;&gt;"",E13&lt;&gt;""),"Saved","Pending"),"🔒 BLOCKED — Wrong Code")))</f>
        <v>Pending</v>
      </c>
      <c r="J13" s="83" t="str">
        <f t="shared" ca="1" si="2"/>
        <v>—</v>
      </c>
      <c r="K13" s="84"/>
    </row>
    <row r="14" spans="1:12" ht="15" customHeight="1" x14ac:dyDescent="0.25">
      <c r="A14" s="85"/>
      <c r="B14" s="41" t="str">
        <f>IF(A14="","",IFERROR(VLOOKUP(A14,DB_Customers!$A:$D,4,0),"❌ Account Not Found"))</f>
        <v/>
      </c>
      <c r="C14" s="86" t="str">
        <f>IF(A14="","",IFERROR(IF(SUMIF(DB_Savings!$C:$C,A14,DB_Savings!$F:$F)=0,VLOOKUP(A14,DB_Customers!$A:$I,9,0),VLOOKUP(A14,DB_Customers!$A:$N,14,0)),"❌ Acct Not Found"))</f>
        <v/>
      </c>
      <c r="D14" s="87" t="str">
        <f t="shared" ca="1" si="0"/>
        <v/>
      </c>
      <c r="E14" s="79"/>
      <c r="F14" s="88" t="str">
        <f t="shared" si="1"/>
        <v/>
      </c>
      <c r="G14" s="43" t="s">
        <v>137</v>
      </c>
      <c r="H14" s="81"/>
      <c r="I14" s="89" t="str">
        <f>IF(A14="","Pending",IF(H14="","⚠️ Enter Agent Code",IF(IFERROR(VLOOKUP(G14,DB_Agents!$B:$I,8,0),"")=H14,IF(AND(A14&lt;&gt;"",E14&lt;&gt;""),"Saved","Pending"),"🔒 BLOCKED — Wrong Code")))</f>
        <v>Pending</v>
      </c>
      <c r="J14" s="90" t="str">
        <f t="shared" ca="1" si="2"/>
        <v>—</v>
      </c>
      <c r="K14" s="91"/>
    </row>
    <row r="15" spans="1:12" ht="15" customHeight="1" x14ac:dyDescent="0.25">
      <c r="A15" s="76"/>
      <c r="B15" s="37" t="str">
        <f>IF(A15="","",IFERROR(VLOOKUP(A15,DB_Customers!$A:$D,4,0),"❌ Account Not Found"))</f>
        <v/>
      </c>
      <c r="C15" s="77" t="str">
        <f>IF(A15="","",IFERROR(IF(SUMIF(DB_Savings!$C:$C,A15,DB_Savings!$F:$F)=0,VLOOKUP(A15,DB_Customers!$A:$I,9,0),VLOOKUP(A15,DB_Customers!$A:$N,14,0)),"❌ Acct Not Found"))</f>
        <v/>
      </c>
      <c r="D15" s="78" t="str">
        <f t="shared" ca="1" si="0"/>
        <v/>
      </c>
      <c r="E15" s="79"/>
      <c r="F15" s="80" t="str">
        <f t="shared" si="1"/>
        <v/>
      </c>
      <c r="G15" s="39" t="s">
        <v>137</v>
      </c>
      <c r="H15" s="81"/>
      <c r="I15" s="82" t="str">
        <f>IF(A15="","Pending",IF(H15="","⚠️ Enter Agent Code",IF(IFERROR(VLOOKUP(G15,DB_Agents!$B:$I,8,0),"")=H15,IF(AND(A15&lt;&gt;"",E15&lt;&gt;""),"Saved","Pending"),"🔒 BLOCKED — Wrong Code")))</f>
        <v>Pending</v>
      </c>
      <c r="J15" s="83" t="str">
        <f t="shared" ca="1" si="2"/>
        <v>—</v>
      </c>
      <c r="K15" s="84"/>
    </row>
    <row r="16" spans="1:12" ht="15" customHeight="1" x14ac:dyDescent="0.25">
      <c r="A16" s="85"/>
      <c r="B16" s="41" t="str">
        <f>IF(A16="","",IFERROR(VLOOKUP(A16,DB_Customers!$A:$D,4,0),"❌ Account Not Found"))</f>
        <v/>
      </c>
      <c r="C16" s="86" t="str">
        <f>IF(A16="","",IFERROR(IF(SUMIF(DB_Savings!$C:$C,A16,DB_Savings!$F:$F)=0,VLOOKUP(A16,DB_Customers!$A:$I,9,0),VLOOKUP(A16,DB_Customers!$A:$N,14,0)),"❌ Acct Not Found"))</f>
        <v/>
      </c>
      <c r="D16" s="87" t="str">
        <f t="shared" ca="1" si="0"/>
        <v/>
      </c>
      <c r="E16" s="79"/>
      <c r="F16" s="88" t="str">
        <f t="shared" si="1"/>
        <v/>
      </c>
      <c r="G16" s="43" t="s">
        <v>137</v>
      </c>
      <c r="H16" s="81"/>
      <c r="I16" s="89" t="str">
        <f>IF(A16="","Pending",IF(H16="","⚠️ Enter Agent Code",IF(IFERROR(VLOOKUP(G16,DB_Agents!$B:$I,8,0),"")=H16,IF(AND(A16&lt;&gt;"",E16&lt;&gt;""),"Saved","Pending"),"🔒 BLOCKED — Wrong Code")))</f>
        <v>Pending</v>
      </c>
      <c r="J16" s="90" t="str">
        <f t="shared" ca="1" si="2"/>
        <v>—</v>
      </c>
      <c r="K16" s="91"/>
    </row>
    <row r="17" spans="1:11" ht="15" customHeight="1" x14ac:dyDescent="0.25">
      <c r="A17" s="76"/>
      <c r="B17" s="37" t="str">
        <f>IF(A17="","",IFERROR(VLOOKUP(A17,DB_Customers!$A:$D,4,0),"❌ Account Not Found"))</f>
        <v/>
      </c>
      <c r="C17" s="77" t="str">
        <f>IF(A17="","",IFERROR(IF(SUMIF(DB_Savings!$C:$C,A17,DB_Savings!$F:$F)=0,VLOOKUP(A17,DB_Customers!$A:$I,9,0),VLOOKUP(A17,DB_Customers!$A:$N,14,0)),"❌ Acct Not Found"))</f>
        <v/>
      </c>
      <c r="D17" s="78" t="str">
        <f t="shared" ca="1" si="0"/>
        <v/>
      </c>
      <c r="E17" s="79"/>
      <c r="F17" s="80" t="str">
        <f t="shared" si="1"/>
        <v/>
      </c>
      <c r="G17" s="39" t="s">
        <v>137</v>
      </c>
      <c r="H17" s="81"/>
      <c r="I17" s="82" t="str">
        <f>IF(A17="","Pending",IF(H17="","⚠️ Enter Agent Code",IF(IFERROR(VLOOKUP(G17,DB_Agents!$B:$I,8,0),"")=H17,IF(AND(A17&lt;&gt;"",E17&lt;&gt;""),"Saved","Pending"),"🔒 BLOCKED — Wrong Code")))</f>
        <v>Pending</v>
      </c>
      <c r="J17" s="83" t="str">
        <f t="shared" ca="1" si="2"/>
        <v>—</v>
      </c>
      <c r="K17" s="84"/>
    </row>
    <row r="18" spans="1:11" ht="15" customHeight="1" x14ac:dyDescent="0.25">
      <c r="A18" s="85"/>
      <c r="B18" s="41" t="str">
        <f>IF(A18="","",IFERROR(VLOOKUP(A18,DB_Customers!$A:$D,4,0),"❌ Account Not Found"))</f>
        <v/>
      </c>
      <c r="C18" s="86" t="str">
        <f>IF(A18="","",IFERROR(IF(SUMIF(DB_Savings!$C:$C,A18,DB_Savings!$F:$F)=0,VLOOKUP(A18,DB_Customers!$A:$I,9,0),VLOOKUP(A18,DB_Customers!$A:$N,14,0)),"❌ Acct Not Found"))</f>
        <v/>
      </c>
      <c r="D18" s="87" t="str">
        <f t="shared" ca="1" si="0"/>
        <v/>
      </c>
      <c r="E18" s="79"/>
      <c r="F18" s="88" t="str">
        <f t="shared" si="1"/>
        <v/>
      </c>
      <c r="G18" s="43" t="s">
        <v>137</v>
      </c>
      <c r="H18" s="81"/>
      <c r="I18" s="89" t="str">
        <f>IF(A18="","Pending",IF(H18="","⚠️ Enter Agent Code",IF(IFERROR(VLOOKUP(G18,DB_Agents!$B:$I,8,0),"")=H18,IF(AND(A18&lt;&gt;"",E18&lt;&gt;""),"Saved","Pending"),"🔒 BLOCKED — Wrong Code")))</f>
        <v>Pending</v>
      </c>
      <c r="J18" s="90" t="str">
        <f t="shared" ca="1" si="2"/>
        <v>—</v>
      </c>
      <c r="K18" s="91"/>
    </row>
    <row r="19" spans="1:11" ht="15" customHeight="1" x14ac:dyDescent="0.25">
      <c r="A19" s="76"/>
      <c r="B19" s="37" t="str">
        <f>IF(A19="","",IFERROR(VLOOKUP(A19,DB_Customers!$A:$D,4,0),"❌ Account Not Found"))</f>
        <v/>
      </c>
      <c r="C19" s="77" t="str">
        <f>IF(A19="","",IFERROR(IF(SUMIF(DB_Savings!$C:$C,A19,DB_Savings!$F:$F)=0,VLOOKUP(A19,DB_Customers!$A:$I,9,0),VLOOKUP(A19,DB_Customers!$A:$N,14,0)),"❌ Acct Not Found"))</f>
        <v/>
      </c>
      <c r="D19" s="78" t="str">
        <f t="shared" ca="1" si="0"/>
        <v/>
      </c>
      <c r="E19" s="79"/>
      <c r="F19" s="80" t="str">
        <f t="shared" si="1"/>
        <v/>
      </c>
      <c r="G19" s="39" t="s">
        <v>137</v>
      </c>
      <c r="H19" s="81"/>
      <c r="I19" s="82" t="str">
        <f>IF(A19="","Pending",IF(H19="","⚠️ Enter Agent Code",IF(IFERROR(VLOOKUP(G19,DB_Agents!$B:$I,8,0),"")=H19,IF(AND(A19&lt;&gt;"",E19&lt;&gt;""),"Saved","Pending"),"🔒 BLOCKED — Wrong Code")))</f>
        <v>Pending</v>
      </c>
      <c r="J19" s="83" t="str">
        <f t="shared" ca="1" si="2"/>
        <v>—</v>
      </c>
      <c r="K19" s="84"/>
    </row>
    <row r="20" spans="1:11" ht="15" customHeight="1" x14ac:dyDescent="0.25">
      <c r="A20" s="85"/>
      <c r="B20" s="41" t="str">
        <f>IF(A20="","",IFERROR(VLOOKUP(A20,DB_Customers!$A:$D,4,0),"❌ Account Not Found"))</f>
        <v/>
      </c>
      <c r="C20" s="86" t="str">
        <f>IF(A20="","",IFERROR(IF(SUMIF(DB_Savings!$C:$C,A20,DB_Savings!$F:$F)=0,VLOOKUP(A20,DB_Customers!$A:$I,9,0),VLOOKUP(A20,DB_Customers!$A:$N,14,0)),"❌ Acct Not Found"))</f>
        <v/>
      </c>
      <c r="D20" s="87" t="str">
        <f t="shared" ca="1" si="0"/>
        <v/>
      </c>
      <c r="E20" s="79"/>
      <c r="F20" s="88" t="str">
        <f t="shared" si="1"/>
        <v/>
      </c>
      <c r="G20" s="43" t="s">
        <v>137</v>
      </c>
      <c r="H20" s="81"/>
      <c r="I20" s="89" t="str">
        <f>IF(A20="","Pending",IF(H20="","⚠️ Enter Agent Code",IF(IFERROR(VLOOKUP(G20,DB_Agents!$B:$I,8,0),"")=H20,IF(AND(A20&lt;&gt;"",E20&lt;&gt;""),"Saved","Pending"),"🔒 BLOCKED — Wrong Code")))</f>
        <v>Pending</v>
      </c>
      <c r="J20" s="90" t="str">
        <f t="shared" ca="1" si="2"/>
        <v>—</v>
      </c>
      <c r="K20" s="91"/>
    </row>
    <row r="21" spans="1:11" ht="15" customHeight="1" x14ac:dyDescent="0.25">
      <c r="A21" s="76"/>
      <c r="B21" s="37" t="str">
        <f>IF(A21="","",IFERROR(VLOOKUP(A21,DB_Customers!$A:$D,4,0),"❌ Account Not Found"))</f>
        <v/>
      </c>
      <c r="C21" s="77" t="str">
        <f>IF(A21="","",IFERROR(IF(SUMIF(DB_Savings!$C:$C,A21,DB_Savings!$F:$F)=0,VLOOKUP(A21,DB_Customers!$A:$I,9,0),VLOOKUP(A21,DB_Customers!$A:$N,14,0)),"❌ Acct Not Found"))</f>
        <v/>
      </c>
      <c r="D21" s="78" t="str">
        <f t="shared" ca="1" si="0"/>
        <v/>
      </c>
      <c r="E21" s="79"/>
      <c r="F21" s="80" t="str">
        <f t="shared" si="1"/>
        <v/>
      </c>
      <c r="G21" s="39" t="s">
        <v>137</v>
      </c>
      <c r="H21" s="81"/>
      <c r="I21" s="82" t="str">
        <f>IF(A21="","Pending",IF(H21="","⚠️ Enter Agent Code",IF(IFERROR(VLOOKUP(G21,DB_Agents!$B:$I,8,0),"")=H21,IF(AND(A21&lt;&gt;"",E21&lt;&gt;""),"Saved","Pending"),"🔒 BLOCKED — Wrong Code")))</f>
        <v>Pending</v>
      </c>
      <c r="J21" s="83" t="str">
        <f t="shared" ca="1" si="2"/>
        <v>—</v>
      </c>
      <c r="K21" s="84"/>
    </row>
    <row r="22" spans="1:11" ht="15" customHeight="1" x14ac:dyDescent="0.25">
      <c r="A22" s="85"/>
      <c r="B22" s="41" t="str">
        <f>IF(A22="","",IFERROR(VLOOKUP(A22,DB_Customers!$A:$D,4,0),"❌ Account Not Found"))</f>
        <v/>
      </c>
      <c r="C22" s="86" t="str">
        <f>IF(A22="","",IFERROR(IF(SUMIF(DB_Savings!$C:$C,A22,DB_Savings!$F:$F)=0,VLOOKUP(A22,DB_Customers!$A:$I,9,0),VLOOKUP(A22,DB_Customers!$A:$N,14,0)),"❌ Acct Not Found"))</f>
        <v/>
      </c>
      <c r="D22" s="87" t="str">
        <f t="shared" ca="1" si="0"/>
        <v/>
      </c>
      <c r="E22" s="79"/>
      <c r="F22" s="88" t="str">
        <f t="shared" si="1"/>
        <v/>
      </c>
      <c r="G22" s="43" t="s">
        <v>137</v>
      </c>
      <c r="H22" s="81"/>
      <c r="I22" s="89" t="str">
        <f>IF(A22="","Pending",IF(H22="","⚠️ Enter Agent Code",IF(IFERROR(VLOOKUP(G22,DB_Agents!$B:$I,8,0),"")=H22,IF(AND(A22&lt;&gt;"",E22&lt;&gt;""),"Saved","Pending"),"🔒 BLOCKED — Wrong Code")))</f>
        <v>Pending</v>
      </c>
      <c r="J22" s="90" t="str">
        <f t="shared" ca="1" si="2"/>
        <v>—</v>
      </c>
      <c r="K22" s="91"/>
    </row>
    <row r="23" spans="1:11" ht="15" customHeight="1" x14ac:dyDescent="0.25">
      <c r="A23" s="76"/>
      <c r="B23" s="37" t="str">
        <f>IF(A23="","",IFERROR(VLOOKUP(A23,DB_Customers!$A:$D,4,0),"❌ Account Not Found"))</f>
        <v/>
      </c>
      <c r="C23" s="77" t="str">
        <f>IF(A23="","",IFERROR(IF(SUMIF(DB_Savings!$C:$C,A23,DB_Savings!$F:$F)=0,VLOOKUP(A23,DB_Customers!$A:$I,9,0),VLOOKUP(A23,DB_Customers!$A:$N,14,0)),"❌ Acct Not Found"))</f>
        <v/>
      </c>
      <c r="D23" s="78" t="str">
        <f t="shared" ca="1" si="0"/>
        <v/>
      </c>
      <c r="E23" s="79"/>
      <c r="F23" s="80" t="str">
        <f t="shared" si="1"/>
        <v/>
      </c>
      <c r="G23" s="39" t="s">
        <v>137</v>
      </c>
      <c r="H23" s="81"/>
      <c r="I23" s="82" t="str">
        <f>IF(A23="","Pending",IF(H23="","⚠️ Enter Agent Code",IF(IFERROR(VLOOKUP(G23,DB_Agents!$B:$I,8,0),"")=H23,IF(AND(A23&lt;&gt;"",E23&lt;&gt;""),"Saved","Pending"),"🔒 BLOCKED — Wrong Code")))</f>
        <v>Pending</v>
      </c>
      <c r="J23" s="83" t="str">
        <f t="shared" ca="1" si="2"/>
        <v>—</v>
      </c>
      <c r="K23" s="84"/>
    </row>
    <row r="24" spans="1:11" ht="15" customHeight="1" x14ac:dyDescent="0.25">
      <c r="A24" s="85"/>
      <c r="B24" s="41" t="str">
        <f>IF(A24="","",IFERROR(VLOOKUP(A24,DB_Customers!$A:$D,4,0),"❌ Account Not Found"))</f>
        <v/>
      </c>
      <c r="C24" s="86" t="str">
        <f>IF(A24="","",IFERROR(IF(SUMIF(DB_Savings!$C:$C,A24,DB_Savings!$F:$F)=0,VLOOKUP(A24,DB_Customers!$A:$I,9,0),VLOOKUP(A24,DB_Customers!$A:$N,14,0)),"❌ Acct Not Found"))</f>
        <v/>
      </c>
      <c r="D24" s="87" t="str">
        <f t="shared" ca="1" si="0"/>
        <v/>
      </c>
      <c r="E24" s="79"/>
      <c r="F24" s="88" t="str">
        <f t="shared" si="1"/>
        <v/>
      </c>
      <c r="G24" s="43" t="s">
        <v>137</v>
      </c>
      <c r="H24" s="81"/>
      <c r="I24" s="89" t="str">
        <f>IF(A24="","Pending",IF(H24="","⚠️ Enter Agent Code",IF(IFERROR(VLOOKUP(G24,DB_Agents!$B:$I,8,0),"")=H24,IF(AND(A24&lt;&gt;"",E24&lt;&gt;""),"Saved","Pending"),"🔒 BLOCKED — Wrong Code")))</f>
        <v>Pending</v>
      </c>
      <c r="J24" s="90" t="str">
        <f t="shared" ca="1" si="2"/>
        <v>—</v>
      </c>
      <c r="K24" s="91"/>
    </row>
    <row r="25" spans="1:11" ht="15" customHeight="1" x14ac:dyDescent="0.25">
      <c r="A25" s="76"/>
      <c r="B25" s="37" t="str">
        <f>IF(A25="","",IFERROR(VLOOKUP(A25,DB_Customers!$A:$D,4,0),"❌ Account Not Found"))</f>
        <v/>
      </c>
      <c r="C25" s="77" t="str">
        <f>IF(A25="","",IFERROR(IF(SUMIF(DB_Savings!$C:$C,A25,DB_Savings!$F:$F)=0,VLOOKUP(A25,DB_Customers!$A:$I,9,0),VLOOKUP(A25,DB_Customers!$A:$N,14,0)),"❌ Acct Not Found"))</f>
        <v/>
      </c>
      <c r="D25" s="78" t="str">
        <f t="shared" ca="1" si="0"/>
        <v/>
      </c>
      <c r="E25" s="79"/>
      <c r="F25" s="80" t="str">
        <f t="shared" si="1"/>
        <v/>
      </c>
      <c r="G25" s="39" t="s">
        <v>137</v>
      </c>
      <c r="H25" s="81"/>
      <c r="I25" s="82" t="str">
        <f>IF(A25="","Pending",IF(H25="","⚠️ Enter Agent Code",IF(IFERROR(VLOOKUP(G25,DB_Agents!$B:$I,8,0),"")=H25,IF(AND(A25&lt;&gt;"",E25&lt;&gt;""),"Saved","Pending"),"🔒 BLOCKED — Wrong Code")))</f>
        <v>Pending</v>
      </c>
      <c r="J25" s="83" t="str">
        <f t="shared" ca="1" si="2"/>
        <v>—</v>
      </c>
      <c r="K25" s="84"/>
    </row>
    <row r="26" spans="1:11" ht="15" customHeight="1" x14ac:dyDescent="0.25">
      <c r="A26" s="85"/>
      <c r="B26" s="41" t="str">
        <f>IF(A26="","",IFERROR(VLOOKUP(A26,DB_Customers!$A:$D,4,0),"❌ Account Not Found"))</f>
        <v/>
      </c>
      <c r="C26" s="86" t="str">
        <f>IF(A26="","",IFERROR(IF(SUMIF(DB_Savings!$C:$C,A26,DB_Savings!$F:$F)=0,VLOOKUP(A26,DB_Customers!$A:$I,9,0),VLOOKUP(A26,DB_Customers!$A:$N,14,0)),"❌ Acct Not Found"))</f>
        <v/>
      </c>
      <c r="D26" s="87" t="str">
        <f t="shared" ca="1" si="0"/>
        <v/>
      </c>
      <c r="E26" s="79"/>
      <c r="F26" s="88" t="str">
        <f t="shared" si="1"/>
        <v/>
      </c>
      <c r="G26" s="43" t="s">
        <v>137</v>
      </c>
      <c r="H26" s="81"/>
      <c r="I26" s="89" t="str">
        <f>IF(A26="","Pending",IF(H26="","⚠️ Enter Agent Code",IF(IFERROR(VLOOKUP(G26,DB_Agents!$B:$I,8,0),"")=H26,IF(AND(A26&lt;&gt;"",E26&lt;&gt;""),"Saved","Pending"),"🔒 BLOCKED — Wrong Code")))</f>
        <v>Pending</v>
      </c>
      <c r="J26" s="90" t="str">
        <f t="shared" ca="1" si="2"/>
        <v>—</v>
      </c>
      <c r="K26" s="91"/>
    </row>
    <row r="27" spans="1:11" ht="15" customHeight="1" x14ac:dyDescent="0.25">
      <c r="A27" s="76"/>
      <c r="B27" s="37" t="str">
        <f>IF(A27="","",IFERROR(VLOOKUP(A27,DB_Customers!$A:$D,4,0),"❌ Account Not Found"))</f>
        <v/>
      </c>
      <c r="C27" s="77" t="str">
        <f>IF(A27="","",IFERROR(IF(SUMIF(DB_Savings!$C:$C,A27,DB_Savings!$F:$F)=0,VLOOKUP(A27,DB_Customers!$A:$I,9,0),VLOOKUP(A27,DB_Customers!$A:$N,14,0)),"❌ Acct Not Found"))</f>
        <v/>
      </c>
      <c r="D27" s="78" t="str">
        <f t="shared" ca="1" si="0"/>
        <v/>
      </c>
      <c r="E27" s="79"/>
      <c r="F27" s="80" t="str">
        <f t="shared" si="1"/>
        <v/>
      </c>
      <c r="G27" s="39" t="s">
        <v>137</v>
      </c>
      <c r="H27" s="81"/>
      <c r="I27" s="82" t="str">
        <f>IF(A27="","Pending",IF(H27="","⚠️ Enter Agent Code",IF(IFERROR(VLOOKUP(G27,DB_Agents!$B:$I,8,0),"")=H27,IF(AND(A27&lt;&gt;"",E27&lt;&gt;""),"Saved","Pending"),"🔒 BLOCKED — Wrong Code")))</f>
        <v>Pending</v>
      </c>
      <c r="J27" s="83" t="str">
        <f t="shared" ca="1" si="2"/>
        <v>—</v>
      </c>
      <c r="K27" s="84"/>
    </row>
    <row r="28" spans="1:11" ht="15" customHeight="1" x14ac:dyDescent="0.25">
      <c r="A28" s="85"/>
      <c r="B28" s="41" t="str">
        <f>IF(A28="","",IFERROR(VLOOKUP(A28,DB_Customers!$A:$D,4,0),"❌ Account Not Found"))</f>
        <v/>
      </c>
      <c r="C28" s="86" t="str">
        <f>IF(A28="","",IFERROR(IF(SUMIF(DB_Savings!$C:$C,A28,DB_Savings!$F:$F)=0,VLOOKUP(A28,DB_Customers!$A:$I,9,0),VLOOKUP(A28,DB_Customers!$A:$N,14,0)),"❌ Acct Not Found"))</f>
        <v/>
      </c>
      <c r="D28" s="87" t="str">
        <f t="shared" ca="1" si="0"/>
        <v/>
      </c>
      <c r="E28" s="79"/>
      <c r="F28" s="88" t="str">
        <f t="shared" si="1"/>
        <v/>
      </c>
      <c r="G28" s="43" t="s">
        <v>137</v>
      </c>
      <c r="H28" s="81"/>
      <c r="I28" s="89" t="str">
        <f>IF(A28="","Pending",IF(H28="","⚠️ Enter Agent Code",IF(IFERROR(VLOOKUP(G28,DB_Agents!$B:$I,8,0),"")=H28,IF(AND(A28&lt;&gt;"",E28&lt;&gt;""),"Saved","Pending"),"🔒 BLOCKED — Wrong Code")))</f>
        <v>Pending</v>
      </c>
      <c r="J28" s="90" t="str">
        <f t="shared" ca="1" si="2"/>
        <v>—</v>
      </c>
      <c r="K28" s="91"/>
    </row>
    <row r="29" spans="1:11" ht="15" customHeight="1" x14ac:dyDescent="0.25">
      <c r="A29" s="76"/>
      <c r="B29" s="37" t="str">
        <f>IF(A29="","",IFERROR(VLOOKUP(A29,DB_Customers!$A:$D,4,0),"❌ Account Not Found"))</f>
        <v/>
      </c>
      <c r="C29" s="77" t="str">
        <f>IF(A29="","",IFERROR(IF(SUMIF(DB_Savings!$C:$C,A29,DB_Savings!$F:$F)=0,VLOOKUP(A29,DB_Customers!$A:$I,9,0),VLOOKUP(A29,DB_Customers!$A:$N,14,0)),"❌ Acct Not Found"))</f>
        <v/>
      </c>
      <c r="D29" s="78" t="str">
        <f t="shared" ca="1" si="0"/>
        <v/>
      </c>
      <c r="E29" s="79"/>
      <c r="F29" s="80" t="str">
        <f t="shared" si="1"/>
        <v/>
      </c>
      <c r="G29" s="39" t="s">
        <v>137</v>
      </c>
      <c r="H29" s="81"/>
      <c r="I29" s="82" t="str">
        <f>IF(A29="","Pending",IF(H29="","⚠️ Enter Agent Code",IF(IFERROR(VLOOKUP(G29,DB_Agents!$B:$I,8,0),"")=H29,IF(AND(A29&lt;&gt;"",E29&lt;&gt;""),"Saved","Pending"),"🔒 BLOCKED — Wrong Code")))</f>
        <v>Pending</v>
      </c>
      <c r="J29" s="83" t="str">
        <f t="shared" ca="1" si="2"/>
        <v>—</v>
      </c>
      <c r="K29" s="84"/>
    </row>
    <row r="30" spans="1:11" ht="15" customHeight="1" x14ac:dyDescent="0.25">
      <c r="A30" s="85"/>
      <c r="B30" s="41" t="str">
        <f>IF(A30="","",IFERROR(VLOOKUP(A30,DB_Customers!$A:$D,4,0),"❌ Account Not Found"))</f>
        <v/>
      </c>
      <c r="C30" s="86" t="str">
        <f>IF(A30="","",IFERROR(IF(SUMIF(DB_Savings!$C:$C,A30,DB_Savings!$F:$F)=0,VLOOKUP(A30,DB_Customers!$A:$I,9,0),VLOOKUP(A30,DB_Customers!$A:$N,14,0)),"❌ Acct Not Found"))</f>
        <v/>
      </c>
      <c r="D30" s="87" t="str">
        <f t="shared" ca="1" si="0"/>
        <v/>
      </c>
      <c r="E30" s="79"/>
      <c r="F30" s="88" t="str">
        <f t="shared" si="1"/>
        <v/>
      </c>
      <c r="G30" s="43" t="s">
        <v>137</v>
      </c>
      <c r="H30" s="81"/>
      <c r="I30" s="89" t="str">
        <f>IF(A30="","Pending",IF(H30="","⚠️ Enter Agent Code",IF(IFERROR(VLOOKUP(G30,DB_Agents!$B:$I,8,0),"")=H30,IF(AND(A30&lt;&gt;"",E30&lt;&gt;""),"Saved","Pending"),"🔒 BLOCKED — Wrong Code")))</f>
        <v>Pending</v>
      </c>
      <c r="J30" s="90" t="str">
        <f t="shared" ca="1" si="2"/>
        <v>—</v>
      </c>
      <c r="K30" s="91"/>
    </row>
    <row r="31" spans="1:11" ht="15" customHeight="1" x14ac:dyDescent="0.25">
      <c r="A31" s="76"/>
      <c r="B31" s="37" t="str">
        <f>IF(A31="","",IFERROR(VLOOKUP(A31,DB_Customers!$A:$D,4,0),"❌ Account Not Found"))</f>
        <v/>
      </c>
      <c r="C31" s="77" t="str">
        <f>IF(A31="","",IFERROR(IF(SUMIF(DB_Savings!$C:$C,A31,DB_Savings!$F:$F)=0,VLOOKUP(A31,DB_Customers!$A:$I,9,0),VLOOKUP(A31,DB_Customers!$A:$N,14,0)),"❌ Acct Not Found"))</f>
        <v/>
      </c>
      <c r="D31" s="78" t="str">
        <f t="shared" ca="1" si="0"/>
        <v/>
      </c>
      <c r="E31" s="79"/>
      <c r="F31" s="80" t="str">
        <f t="shared" si="1"/>
        <v/>
      </c>
      <c r="G31" s="39" t="s">
        <v>137</v>
      </c>
      <c r="H31" s="81"/>
      <c r="I31" s="82" t="str">
        <f>IF(A31="","Pending",IF(H31="","⚠️ Enter Agent Code",IF(IFERROR(VLOOKUP(G31,DB_Agents!$B:$I,8,0),"")=H31,IF(AND(A31&lt;&gt;"",E31&lt;&gt;""),"Saved","Pending"),"🔒 BLOCKED — Wrong Code")))</f>
        <v>Pending</v>
      </c>
      <c r="J31" s="83" t="str">
        <f t="shared" ca="1" si="2"/>
        <v>—</v>
      </c>
      <c r="K31" s="84"/>
    </row>
    <row r="32" spans="1:11" ht="15" customHeight="1" x14ac:dyDescent="0.25">
      <c r="A32" s="85"/>
      <c r="B32" s="41" t="str">
        <f>IF(A32="","",IFERROR(VLOOKUP(A32,DB_Customers!$A:$D,4,0),"❌ Account Not Found"))</f>
        <v/>
      </c>
      <c r="C32" s="86" t="str">
        <f>IF(A32="","",IFERROR(IF(SUMIF(DB_Savings!$C:$C,A32,DB_Savings!$F:$F)=0,VLOOKUP(A32,DB_Customers!$A:$I,9,0),VLOOKUP(A32,DB_Customers!$A:$N,14,0)),"❌ Acct Not Found"))</f>
        <v/>
      </c>
      <c r="D32" s="87" t="str">
        <f t="shared" ca="1" si="0"/>
        <v/>
      </c>
      <c r="E32" s="79"/>
      <c r="F32" s="88" t="str">
        <f t="shared" si="1"/>
        <v/>
      </c>
      <c r="G32" s="43" t="s">
        <v>137</v>
      </c>
      <c r="H32" s="81"/>
      <c r="I32" s="89" t="str">
        <f>IF(A32="","Pending",IF(H32="","⚠️ Enter Agent Code",IF(IFERROR(VLOOKUP(G32,DB_Agents!$B:$I,8,0),"")=H32,IF(AND(A32&lt;&gt;"",E32&lt;&gt;""),"Saved","Pending"),"🔒 BLOCKED — Wrong Code")))</f>
        <v>Pending</v>
      </c>
      <c r="J32" s="90" t="str">
        <f t="shared" ca="1" si="2"/>
        <v>—</v>
      </c>
      <c r="K32" s="91"/>
    </row>
    <row r="33" spans="1:11" ht="15" customHeight="1" x14ac:dyDescent="0.25">
      <c r="A33" s="76"/>
      <c r="B33" s="37" t="str">
        <f>IF(A33="","",IFERROR(VLOOKUP(A33,DB_Customers!$A:$D,4,0),"❌ Account Not Found"))</f>
        <v/>
      </c>
      <c r="C33" s="77" t="str">
        <f>IF(A33="","",IFERROR(IF(SUMIF(DB_Savings!$C:$C,A33,DB_Savings!$F:$F)=0,VLOOKUP(A33,DB_Customers!$A:$I,9,0),VLOOKUP(A33,DB_Customers!$A:$N,14,0)),"❌ Acct Not Found"))</f>
        <v/>
      </c>
      <c r="D33" s="78" t="str">
        <f t="shared" ca="1" si="0"/>
        <v/>
      </c>
      <c r="E33" s="79"/>
      <c r="F33" s="80" t="str">
        <f t="shared" si="1"/>
        <v/>
      </c>
      <c r="G33" s="39" t="s">
        <v>137</v>
      </c>
      <c r="H33" s="81"/>
      <c r="I33" s="82" t="str">
        <f>IF(A33="","Pending",IF(H33="","⚠️ Enter Agent Code",IF(IFERROR(VLOOKUP(G33,DB_Agents!$B:$I,8,0),"")=H33,IF(AND(A33&lt;&gt;"",E33&lt;&gt;""),"Saved","Pending"),"🔒 BLOCKED — Wrong Code")))</f>
        <v>Pending</v>
      </c>
      <c r="J33" s="83" t="str">
        <f t="shared" ca="1" si="2"/>
        <v>—</v>
      </c>
      <c r="K33" s="84"/>
    </row>
    <row r="34" spans="1:11" ht="15" customHeight="1" x14ac:dyDescent="0.25">
      <c r="A34" s="85"/>
      <c r="B34" s="41" t="str">
        <f>IF(A34="","",IFERROR(VLOOKUP(A34,DB_Customers!$A:$D,4,0),"❌ Account Not Found"))</f>
        <v/>
      </c>
      <c r="C34" s="86" t="str">
        <f>IF(A34="","",IFERROR(IF(SUMIF(DB_Savings!$C:$C,A34,DB_Savings!$F:$F)=0,VLOOKUP(A34,DB_Customers!$A:$I,9,0),VLOOKUP(A34,DB_Customers!$A:$N,14,0)),"❌ Acct Not Found"))</f>
        <v/>
      </c>
      <c r="D34" s="87" t="str">
        <f t="shared" ca="1" si="0"/>
        <v/>
      </c>
      <c r="E34" s="79"/>
      <c r="F34" s="88" t="str">
        <f t="shared" si="1"/>
        <v/>
      </c>
      <c r="G34" s="43" t="s">
        <v>137</v>
      </c>
      <c r="H34" s="81"/>
      <c r="I34" s="89" t="str">
        <f>IF(A34="","Pending",IF(H34="","⚠️ Enter Agent Code",IF(IFERROR(VLOOKUP(G34,DB_Agents!$B:$I,8,0),"")=H34,IF(AND(A34&lt;&gt;"",E34&lt;&gt;""),"Saved","Pending"),"🔒 BLOCKED — Wrong Code")))</f>
        <v>Pending</v>
      </c>
      <c r="J34" s="90" t="str">
        <f t="shared" ca="1" si="2"/>
        <v>—</v>
      </c>
      <c r="K34" s="91"/>
    </row>
    <row r="35" spans="1:11" ht="15" customHeight="1" x14ac:dyDescent="0.25">
      <c r="A35" s="76"/>
      <c r="B35" s="37" t="str">
        <f>IF(A35="","",IFERROR(VLOOKUP(A35,DB_Customers!$A:$D,4,0),"❌ Account Not Found"))</f>
        <v/>
      </c>
      <c r="C35" s="77" t="str">
        <f>IF(A35="","",IFERROR(IF(SUMIF(DB_Savings!$C:$C,A35,DB_Savings!$F:$F)=0,VLOOKUP(A35,DB_Customers!$A:$I,9,0),VLOOKUP(A35,DB_Customers!$A:$N,14,0)),"❌ Acct Not Found"))</f>
        <v/>
      </c>
      <c r="D35" s="78" t="str">
        <f t="shared" ca="1" si="0"/>
        <v/>
      </c>
      <c r="E35" s="79"/>
      <c r="F35" s="80" t="str">
        <f t="shared" si="1"/>
        <v/>
      </c>
      <c r="G35" s="39" t="s">
        <v>137</v>
      </c>
      <c r="H35" s="81"/>
      <c r="I35" s="82" t="str">
        <f>IF(A35="","Pending",IF(H35="","⚠️ Enter Agent Code",IF(IFERROR(VLOOKUP(G35,DB_Agents!$B:$I,8,0),"")=H35,IF(AND(A35&lt;&gt;"",E35&lt;&gt;""),"Saved","Pending"),"🔒 BLOCKED — Wrong Code")))</f>
        <v>Pending</v>
      </c>
      <c r="J35" s="83" t="str">
        <f t="shared" ca="1" si="2"/>
        <v>—</v>
      </c>
      <c r="K35" s="84"/>
    </row>
    <row r="36" spans="1:11" ht="15" customHeight="1" x14ac:dyDescent="0.25">
      <c r="A36" s="85"/>
      <c r="B36" s="41" t="str">
        <f>IF(A36="","",IFERROR(VLOOKUP(A36,DB_Customers!$A:$D,4,0),"❌ Account Not Found"))</f>
        <v/>
      </c>
      <c r="C36" s="86" t="str">
        <f>IF(A36="","",IFERROR(IF(SUMIF(DB_Savings!$C:$C,A36,DB_Savings!$F:$F)=0,VLOOKUP(A36,DB_Customers!$A:$I,9,0),VLOOKUP(A36,DB_Customers!$A:$N,14,0)),"❌ Acct Not Found"))</f>
        <v/>
      </c>
      <c r="D36" s="87" t="str">
        <f t="shared" ca="1" si="0"/>
        <v/>
      </c>
      <c r="E36" s="79"/>
      <c r="F36" s="88" t="str">
        <f t="shared" si="1"/>
        <v/>
      </c>
      <c r="G36" s="43" t="s">
        <v>137</v>
      </c>
      <c r="H36" s="81"/>
      <c r="I36" s="89" t="str">
        <f>IF(A36="","Pending",IF(H36="","⚠️ Enter Agent Code",IF(IFERROR(VLOOKUP(G36,DB_Agents!$B:$I,8,0),"")=H36,IF(AND(A36&lt;&gt;"",E36&lt;&gt;""),"Saved","Pending"),"🔒 BLOCKED — Wrong Code")))</f>
        <v>Pending</v>
      </c>
      <c r="J36" s="90" t="str">
        <f t="shared" ca="1" si="2"/>
        <v>—</v>
      </c>
      <c r="K36" s="91"/>
    </row>
    <row r="37" spans="1:11" ht="15" customHeight="1" x14ac:dyDescent="0.25">
      <c r="A37" s="76"/>
      <c r="B37" s="37" t="str">
        <f>IF(A37="","",IFERROR(VLOOKUP(A37,DB_Customers!$A:$D,4,0),"❌ Account Not Found"))</f>
        <v/>
      </c>
      <c r="C37" s="77" t="str">
        <f>IF(A37="","",IFERROR(IF(SUMIF(DB_Savings!$C:$C,A37,DB_Savings!$F:$F)=0,VLOOKUP(A37,DB_Customers!$A:$I,9,0),VLOOKUP(A37,DB_Customers!$A:$N,14,0)),"❌ Acct Not Found"))</f>
        <v/>
      </c>
      <c r="D37" s="78" t="str">
        <f t="shared" ca="1" si="0"/>
        <v/>
      </c>
      <c r="E37" s="79"/>
      <c r="F37" s="80" t="str">
        <f t="shared" si="1"/>
        <v/>
      </c>
      <c r="G37" s="39" t="s">
        <v>137</v>
      </c>
      <c r="H37" s="81"/>
      <c r="I37" s="82" t="str">
        <f>IF(A37="","Pending",IF(H37="","⚠️ Enter Agent Code",IF(IFERROR(VLOOKUP(G37,DB_Agents!$B:$I,8,0),"")=H37,IF(AND(A37&lt;&gt;"",E37&lt;&gt;""),"Saved","Pending"),"🔒 BLOCKED — Wrong Code")))</f>
        <v>Pending</v>
      </c>
      <c r="J37" s="83" t="str">
        <f t="shared" ca="1" si="2"/>
        <v>—</v>
      </c>
      <c r="K37" s="84"/>
    </row>
    <row r="38" spans="1:11" ht="15" customHeight="1" x14ac:dyDescent="0.25">
      <c r="A38" s="85"/>
      <c r="B38" s="41" t="str">
        <f>IF(A38="","",IFERROR(VLOOKUP(A38,DB_Customers!$A:$D,4,0),"❌ Account Not Found"))</f>
        <v/>
      </c>
      <c r="C38" s="86" t="str">
        <f>IF(A38="","",IFERROR(IF(SUMIF(DB_Savings!$C:$C,A38,DB_Savings!$F:$F)=0,VLOOKUP(A38,DB_Customers!$A:$I,9,0),VLOOKUP(A38,DB_Customers!$A:$N,14,0)),"❌ Acct Not Found"))</f>
        <v/>
      </c>
      <c r="D38" s="87" t="str">
        <f t="shared" ca="1" si="0"/>
        <v/>
      </c>
      <c r="E38" s="79"/>
      <c r="F38" s="88" t="str">
        <f t="shared" si="1"/>
        <v/>
      </c>
      <c r="G38" s="43" t="s">
        <v>137</v>
      </c>
      <c r="H38" s="81"/>
      <c r="I38" s="89" t="str">
        <f>IF(A38="","Pending",IF(H38="","⚠️ Enter Agent Code",IF(IFERROR(VLOOKUP(G38,DB_Agents!$B:$I,8,0),"")=H38,IF(AND(A38&lt;&gt;"",E38&lt;&gt;""),"Saved","Pending"),"🔒 BLOCKED — Wrong Code")))</f>
        <v>Pending</v>
      </c>
      <c r="J38" s="90" t="str">
        <f t="shared" ca="1" si="2"/>
        <v>—</v>
      </c>
      <c r="K38" s="91"/>
    </row>
    <row r="39" spans="1:11" ht="15" customHeight="1" x14ac:dyDescent="0.25">
      <c r="A39" s="76"/>
      <c r="B39" s="37" t="str">
        <f>IF(A39="","",IFERROR(VLOOKUP(A39,DB_Customers!$A:$D,4,0),"❌ Account Not Found"))</f>
        <v/>
      </c>
      <c r="C39" s="77" t="str">
        <f>IF(A39="","",IFERROR(IF(SUMIF(DB_Savings!$C:$C,A39,DB_Savings!$F:$F)=0,VLOOKUP(A39,DB_Customers!$A:$I,9,0),VLOOKUP(A39,DB_Customers!$A:$N,14,0)),"❌ Acct Not Found"))</f>
        <v/>
      </c>
      <c r="D39" s="78" t="str">
        <f t="shared" ca="1" si="0"/>
        <v/>
      </c>
      <c r="E39" s="79"/>
      <c r="F39" s="80" t="str">
        <f t="shared" si="1"/>
        <v/>
      </c>
      <c r="G39" s="39" t="s">
        <v>137</v>
      </c>
      <c r="H39" s="81"/>
      <c r="I39" s="82" t="str">
        <f>IF(A39="","Pending",IF(H39="","⚠️ Enter Agent Code",IF(IFERROR(VLOOKUP(G39,DB_Agents!$B:$I,8,0),"")=H39,IF(AND(A39&lt;&gt;"",E39&lt;&gt;""),"Saved","Pending"),"🔒 BLOCKED — Wrong Code")))</f>
        <v>Pending</v>
      </c>
      <c r="J39" s="83" t="str">
        <f t="shared" ca="1" si="2"/>
        <v>—</v>
      </c>
      <c r="K39" s="84"/>
    </row>
    <row r="40" spans="1:11" ht="15" customHeight="1" x14ac:dyDescent="0.25">
      <c r="A40" s="85"/>
      <c r="B40" s="41" t="str">
        <f>IF(A40="","",IFERROR(VLOOKUP(A40,DB_Customers!$A:$D,4,0),"❌ Account Not Found"))</f>
        <v/>
      </c>
      <c r="C40" s="86" t="str">
        <f>IF(A40="","",IFERROR(IF(SUMIF(DB_Savings!$C:$C,A40,DB_Savings!$F:$F)=0,VLOOKUP(A40,DB_Customers!$A:$I,9,0),VLOOKUP(A40,DB_Customers!$A:$N,14,0)),"❌ Acct Not Found"))</f>
        <v/>
      </c>
      <c r="D40" s="87" t="str">
        <f t="shared" ca="1" si="0"/>
        <v/>
      </c>
      <c r="E40" s="79"/>
      <c r="F40" s="88" t="str">
        <f t="shared" si="1"/>
        <v/>
      </c>
      <c r="G40" s="43" t="s">
        <v>137</v>
      </c>
      <c r="H40" s="81"/>
      <c r="I40" s="89" t="str">
        <f>IF(A40="","Pending",IF(H40="","⚠️ Enter Agent Code",IF(IFERROR(VLOOKUP(G40,DB_Agents!$B:$I,8,0),"")=H40,IF(AND(A40&lt;&gt;"",E40&lt;&gt;""),"Saved","Pending"),"🔒 BLOCKED — Wrong Code")))</f>
        <v>Pending</v>
      </c>
      <c r="J40" s="90" t="str">
        <f t="shared" ca="1" si="2"/>
        <v>—</v>
      </c>
      <c r="K40" s="91"/>
    </row>
    <row r="41" spans="1:11" ht="15" customHeight="1" x14ac:dyDescent="0.25">
      <c r="A41" s="76"/>
      <c r="B41" s="37" t="str">
        <f>IF(A41="","",IFERROR(VLOOKUP(A41,DB_Customers!$A:$D,4,0),"❌ Account Not Found"))</f>
        <v/>
      </c>
      <c r="C41" s="77" t="str">
        <f>IF(A41="","",IFERROR(IF(SUMIF(DB_Savings!$C:$C,A41,DB_Savings!$F:$F)=0,VLOOKUP(A41,DB_Customers!$A:$I,9,0),VLOOKUP(A41,DB_Customers!$A:$N,14,0)),"❌ Acct Not Found"))</f>
        <v/>
      </c>
      <c r="D41" s="78" t="str">
        <f t="shared" ref="D41:D72" ca="1" si="3">IF(A41="","",TODAY())</f>
        <v/>
      </c>
      <c r="E41" s="79"/>
      <c r="F41" s="80" t="str">
        <f t="shared" ref="F41:F72" si="4">IF(OR(A41="",E41=""),"",IF(C41="","",C41+E41))</f>
        <v/>
      </c>
      <c r="G41" s="39" t="s">
        <v>137</v>
      </c>
      <c r="H41" s="81"/>
      <c r="I41" s="82" t="str">
        <f>IF(A41="","Pending",IF(H41="","⚠️ Enter Agent Code",IF(IFERROR(VLOOKUP(G41,DB_Agents!$B:$I,8,0),"")=H41,IF(AND(A41&lt;&gt;"",E41&lt;&gt;""),"Saved","Pending"),"🔒 BLOCKED — Wrong Code")))</f>
        <v>Pending</v>
      </c>
      <c r="J41" s="83" t="str">
        <f t="shared" ref="J41:J72" ca="1" si="5">IF(I41="Saved",TEXT(TODAY(),"YYYY-MM-DD")&amp;" Auto","—")</f>
        <v>—</v>
      </c>
      <c r="K41" s="84"/>
    </row>
    <row r="42" spans="1:11" ht="15" customHeight="1" x14ac:dyDescent="0.25">
      <c r="A42" s="85"/>
      <c r="B42" s="41" t="str">
        <f>IF(A42="","",IFERROR(VLOOKUP(A42,DB_Customers!$A:$D,4,0),"❌ Account Not Found"))</f>
        <v/>
      </c>
      <c r="C42" s="86" t="str">
        <f>IF(A42="","",IFERROR(IF(SUMIF(DB_Savings!$C:$C,A42,DB_Savings!$F:$F)=0,VLOOKUP(A42,DB_Customers!$A:$I,9,0),VLOOKUP(A42,DB_Customers!$A:$N,14,0)),"❌ Acct Not Found"))</f>
        <v/>
      </c>
      <c r="D42" s="87" t="str">
        <f t="shared" ca="1" si="3"/>
        <v/>
      </c>
      <c r="E42" s="79"/>
      <c r="F42" s="88" t="str">
        <f t="shared" si="4"/>
        <v/>
      </c>
      <c r="G42" s="43" t="s">
        <v>137</v>
      </c>
      <c r="H42" s="81"/>
      <c r="I42" s="89" t="str">
        <f>IF(A42="","Pending",IF(H42="","⚠️ Enter Agent Code",IF(IFERROR(VLOOKUP(G42,DB_Agents!$B:$I,8,0),"")=H42,IF(AND(A42&lt;&gt;"",E42&lt;&gt;""),"Saved","Pending"),"🔒 BLOCKED — Wrong Code")))</f>
        <v>Pending</v>
      </c>
      <c r="J42" s="90" t="str">
        <f t="shared" ca="1" si="5"/>
        <v>—</v>
      </c>
      <c r="K42" s="91"/>
    </row>
    <row r="43" spans="1:11" ht="15" customHeight="1" x14ac:dyDescent="0.25">
      <c r="A43" s="76"/>
      <c r="B43" s="37" t="str">
        <f>IF(A43="","",IFERROR(VLOOKUP(A43,DB_Customers!$A:$D,4,0),"❌ Account Not Found"))</f>
        <v/>
      </c>
      <c r="C43" s="77" t="str">
        <f>IF(A43="","",IFERROR(IF(SUMIF(DB_Savings!$C:$C,A43,DB_Savings!$F:$F)=0,VLOOKUP(A43,DB_Customers!$A:$I,9,0),VLOOKUP(A43,DB_Customers!$A:$N,14,0)),"❌ Acct Not Found"))</f>
        <v/>
      </c>
      <c r="D43" s="78" t="str">
        <f t="shared" ca="1" si="3"/>
        <v/>
      </c>
      <c r="E43" s="79"/>
      <c r="F43" s="80" t="str">
        <f t="shared" si="4"/>
        <v/>
      </c>
      <c r="G43" s="39" t="s">
        <v>137</v>
      </c>
      <c r="H43" s="81"/>
      <c r="I43" s="82" t="str">
        <f>IF(A43="","Pending",IF(H43="","⚠️ Enter Agent Code",IF(IFERROR(VLOOKUP(G43,DB_Agents!$B:$I,8,0),"")=H43,IF(AND(A43&lt;&gt;"",E43&lt;&gt;""),"Saved","Pending"),"🔒 BLOCKED — Wrong Code")))</f>
        <v>Pending</v>
      </c>
      <c r="J43" s="83" t="str">
        <f t="shared" ca="1" si="5"/>
        <v>—</v>
      </c>
      <c r="K43" s="84"/>
    </row>
    <row r="44" spans="1:11" ht="15" customHeight="1" x14ac:dyDescent="0.25">
      <c r="A44" s="85"/>
      <c r="B44" s="41" t="str">
        <f>IF(A44="","",IFERROR(VLOOKUP(A44,DB_Customers!$A:$D,4,0),"❌ Account Not Found"))</f>
        <v/>
      </c>
      <c r="C44" s="86" t="str">
        <f>IF(A44="","",IFERROR(IF(SUMIF(DB_Savings!$C:$C,A44,DB_Savings!$F:$F)=0,VLOOKUP(A44,DB_Customers!$A:$I,9,0),VLOOKUP(A44,DB_Customers!$A:$N,14,0)),"❌ Acct Not Found"))</f>
        <v/>
      </c>
      <c r="D44" s="87" t="str">
        <f t="shared" ca="1" si="3"/>
        <v/>
      </c>
      <c r="E44" s="79"/>
      <c r="F44" s="88" t="str">
        <f t="shared" si="4"/>
        <v/>
      </c>
      <c r="G44" s="43" t="s">
        <v>137</v>
      </c>
      <c r="H44" s="81"/>
      <c r="I44" s="89" t="str">
        <f>IF(A44="","Pending",IF(H44="","⚠️ Enter Agent Code",IF(IFERROR(VLOOKUP(G44,DB_Agents!$B:$I,8,0),"")=H44,IF(AND(A44&lt;&gt;"",E44&lt;&gt;""),"Saved","Pending"),"🔒 BLOCKED — Wrong Code")))</f>
        <v>Pending</v>
      </c>
      <c r="J44" s="90" t="str">
        <f t="shared" ca="1" si="5"/>
        <v>—</v>
      </c>
      <c r="K44" s="91"/>
    </row>
    <row r="45" spans="1:11" ht="15" customHeight="1" x14ac:dyDescent="0.25">
      <c r="A45" s="76"/>
      <c r="B45" s="37" t="str">
        <f>IF(A45="","",IFERROR(VLOOKUP(A45,DB_Customers!$A:$D,4,0),"❌ Account Not Found"))</f>
        <v/>
      </c>
      <c r="C45" s="77" t="str">
        <f>IF(A45="","",IFERROR(IF(SUMIF(DB_Savings!$C:$C,A45,DB_Savings!$F:$F)=0,VLOOKUP(A45,DB_Customers!$A:$I,9,0),VLOOKUP(A45,DB_Customers!$A:$N,14,0)),"❌ Acct Not Found"))</f>
        <v/>
      </c>
      <c r="D45" s="78" t="str">
        <f t="shared" ca="1" si="3"/>
        <v/>
      </c>
      <c r="E45" s="79"/>
      <c r="F45" s="80" t="str">
        <f t="shared" si="4"/>
        <v/>
      </c>
      <c r="G45" s="39" t="s">
        <v>137</v>
      </c>
      <c r="H45" s="81"/>
      <c r="I45" s="82" t="str">
        <f>IF(A45="","Pending",IF(H45="","⚠️ Enter Agent Code",IF(IFERROR(VLOOKUP(G45,DB_Agents!$B:$I,8,0),"")=H45,IF(AND(A45&lt;&gt;"",E45&lt;&gt;""),"Saved","Pending"),"🔒 BLOCKED — Wrong Code")))</f>
        <v>Pending</v>
      </c>
      <c r="J45" s="83" t="str">
        <f t="shared" ca="1" si="5"/>
        <v>—</v>
      </c>
      <c r="K45" s="84"/>
    </row>
    <row r="46" spans="1:11" ht="15" customHeight="1" x14ac:dyDescent="0.25">
      <c r="A46" s="85"/>
      <c r="B46" s="41" t="str">
        <f>IF(A46="","",IFERROR(VLOOKUP(A46,DB_Customers!$A:$D,4,0),"❌ Account Not Found"))</f>
        <v/>
      </c>
      <c r="C46" s="86" t="str">
        <f>IF(A46="","",IFERROR(IF(SUMIF(DB_Savings!$C:$C,A46,DB_Savings!$F:$F)=0,VLOOKUP(A46,DB_Customers!$A:$I,9,0),VLOOKUP(A46,DB_Customers!$A:$N,14,0)),"❌ Acct Not Found"))</f>
        <v/>
      </c>
      <c r="D46" s="87" t="str">
        <f t="shared" ca="1" si="3"/>
        <v/>
      </c>
      <c r="E46" s="79"/>
      <c r="F46" s="88" t="str">
        <f t="shared" si="4"/>
        <v/>
      </c>
      <c r="G46" s="43" t="s">
        <v>137</v>
      </c>
      <c r="H46" s="81"/>
      <c r="I46" s="89" t="str">
        <f>IF(A46="","Pending",IF(H46="","⚠️ Enter Agent Code",IF(IFERROR(VLOOKUP(G46,DB_Agents!$B:$I,8,0),"")=H46,IF(AND(A46&lt;&gt;"",E46&lt;&gt;""),"Saved","Pending"),"🔒 BLOCKED — Wrong Code")))</f>
        <v>Pending</v>
      </c>
      <c r="J46" s="90" t="str">
        <f t="shared" ca="1" si="5"/>
        <v>—</v>
      </c>
      <c r="K46" s="91"/>
    </row>
    <row r="47" spans="1:11" ht="15" customHeight="1" x14ac:dyDescent="0.25">
      <c r="A47" s="76"/>
      <c r="B47" s="37" t="str">
        <f>IF(A47="","",IFERROR(VLOOKUP(A47,DB_Customers!$A:$D,4,0),"❌ Account Not Found"))</f>
        <v/>
      </c>
      <c r="C47" s="77" t="str">
        <f>IF(A47="","",IFERROR(IF(SUMIF(DB_Savings!$C:$C,A47,DB_Savings!$F:$F)=0,VLOOKUP(A47,DB_Customers!$A:$I,9,0),VLOOKUP(A47,DB_Customers!$A:$N,14,0)),"❌ Acct Not Found"))</f>
        <v/>
      </c>
      <c r="D47" s="78" t="str">
        <f t="shared" ca="1" si="3"/>
        <v/>
      </c>
      <c r="E47" s="79"/>
      <c r="F47" s="80" t="str">
        <f t="shared" si="4"/>
        <v/>
      </c>
      <c r="G47" s="39" t="s">
        <v>137</v>
      </c>
      <c r="H47" s="81"/>
      <c r="I47" s="82" t="str">
        <f>IF(A47="","Pending",IF(H47="","⚠️ Enter Agent Code",IF(IFERROR(VLOOKUP(G47,DB_Agents!$B:$I,8,0),"")=H47,IF(AND(A47&lt;&gt;"",E47&lt;&gt;""),"Saved","Pending"),"🔒 BLOCKED — Wrong Code")))</f>
        <v>Pending</v>
      </c>
      <c r="J47" s="83" t="str">
        <f t="shared" ca="1" si="5"/>
        <v>—</v>
      </c>
      <c r="K47" s="84"/>
    </row>
    <row r="48" spans="1:11" ht="15" customHeight="1" x14ac:dyDescent="0.25">
      <c r="A48" s="85"/>
      <c r="B48" s="41" t="str">
        <f>IF(A48="","",IFERROR(VLOOKUP(A48,DB_Customers!$A:$D,4,0),"❌ Account Not Found"))</f>
        <v/>
      </c>
      <c r="C48" s="86" t="str">
        <f>IF(A48="","",IFERROR(IF(SUMIF(DB_Savings!$C:$C,A48,DB_Savings!$F:$F)=0,VLOOKUP(A48,DB_Customers!$A:$I,9,0),VLOOKUP(A48,DB_Customers!$A:$N,14,0)),"❌ Acct Not Found"))</f>
        <v/>
      </c>
      <c r="D48" s="87" t="str">
        <f t="shared" ca="1" si="3"/>
        <v/>
      </c>
      <c r="E48" s="79"/>
      <c r="F48" s="88" t="str">
        <f t="shared" si="4"/>
        <v/>
      </c>
      <c r="G48" s="43" t="s">
        <v>137</v>
      </c>
      <c r="H48" s="81"/>
      <c r="I48" s="89" t="str">
        <f>IF(A48="","Pending",IF(H48="","⚠️ Enter Agent Code",IF(IFERROR(VLOOKUP(G48,DB_Agents!$B:$I,8,0),"")=H48,IF(AND(A48&lt;&gt;"",E48&lt;&gt;""),"Saved","Pending"),"🔒 BLOCKED — Wrong Code")))</f>
        <v>Pending</v>
      </c>
      <c r="J48" s="90" t="str">
        <f t="shared" ca="1" si="5"/>
        <v>—</v>
      </c>
      <c r="K48" s="91"/>
    </row>
    <row r="49" spans="1:11" ht="15" customHeight="1" x14ac:dyDescent="0.25">
      <c r="A49" s="76"/>
      <c r="B49" s="37" t="str">
        <f>IF(A49="","",IFERROR(VLOOKUP(A49,DB_Customers!$A:$D,4,0),"❌ Account Not Found"))</f>
        <v/>
      </c>
      <c r="C49" s="77" t="str">
        <f>IF(A49="","",IFERROR(IF(SUMIF(DB_Savings!$C:$C,A49,DB_Savings!$F:$F)=0,VLOOKUP(A49,DB_Customers!$A:$I,9,0),VLOOKUP(A49,DB_Customers!$A:$N,14,0)),"❌ Acct Not Found"))</f>
        <v/>
      </c>
      <c r="D49" s="78" t="str">
        <f t="shared" ca="1" si="3"/>
        <v/>
      </c>
      <c r="E49" s="79"/>
      <c r="F49" s="80" t="str">
        <f t="shared" si="4"/>
        <v/>
      </c>
      <c r="G49" s="39" t="s">
        <v>137</v>
      </c>
      <c r="H49" s="81"/>
      <c r="I49" s="82" t="str">
        <f>IF(A49="","Pending",IF(H49="","⚠️ Enter Agent Code",IF(IFERROR(VLOOKUP(G49,DB_Agents!$B:$I,8,0),"")=H49,IF(AND(A49&lt;&gt;"",E49&lt;&gt;""),"Saved","Pending"),"🔒 BLOCKED — Wrong Code")))</f>
        <v>Pending</v>
      </c>
      <c r="J49" s="83" t="str">
        <f t="shared" ca="1" si="5"/>
        <v>—</v>
      </c>
      <c r="K49" s="84"/>
    </row>
    <row r="50" spans="1:11" ht="15" customHeight="1" x14ac:dyDescent="0.25">
      <c r="A50" s="85"/>
      <c r="B50" s="41" t="str">
        <f>IF(A50="","",IFERROR(VLOOKUP(A50,DB_Customers!$A:$D,4,0),"❌ Account Not Found"))</f>
        <v/>
      </c>
      <c r="C50" s="86" t="str">
        <f>IF(A50="","",IFERROR(IF(SUMIF(DB_Savings!$C:$C,A50,DB_Savings!$F:$F)=0,VLOOKUP(A50,DB_Customers!$A:$I,9,0),VLOOKUP(A50,DB_Customers!$A:$N,14,0)),"❌ Acct Not Found"))</f>
        <v/>
      </c>
      <c r="D50" s="87" t="str">
        <f t="shared" ca="1" si="3"/>
        <v/>
      </c>
      <c r="E50" s="79"/>
      <c r="F50" s="88" t="str">
        <f t="shared" si="4"/>
        <v/>
      </c>
      <c r="G50" s="43" t="s">
        <v>137</v>
      </c>
      <c r="H50" s="81"/>
      <c r="I50" s="89" t="str">
        <f>IF(A50="","Pending",IF(H50="","⚠️ Enter Agent Code",IF(IFERROR(VLOOKUP(G50,DB_Agents!$B:$I,8,0),"")=H50,IF(AND(A50&lt;&gt;"",E50&lt;&gt;""),"Saved","Pending"),"🔒 BLOCKED — Wrong Code")))</f>
        <v>Pending</v>
      </c>
      <c r="J50" s="90" t="str">
        <f t="shared" ca="1" si="5"/>
        <v>—</v>
      </c>
      <c r="K50" s="91"/>
    </row>
    <row r="51" spans="1:11" ht="15" customHeight="1" x14ac:dyDescent="0.25">
      <c r="A51" s="76"/>
      <c r="B51" s="37" t="str">
        <f>IF(A51="","",IFERROR(VLOOKUP(A51,DB_Customers!$A:$D,4,0),"❌ Account Not Found"))</f>
        <v/>
      </c>
      <c r="C51" s="77" t="str">
        <f>IF(A51="","",IFERROR(IF(SUMIF(DB_Savings!$C:$C,A51,DB_Savings!$F:$F)=0,VLOOKUP(A51,DB_Customers!$A:$I,9,0),VLOOKUP(A51,DB_Customers!$A:$N,14,0)),"❌ Acct Not Found"))</f>
        <v/>
      </c>
      <c r="D51" s="78" t="str">
        <f t="shared" ca="1" si="3"/>
        <v/>
      </c>
      <c r="E51" s="79"/>
      <c r="F51" s="80" t="str">
        <f t="shared" si="4"/>
        <v/>
      </c>
      <c r="G51" s="39" t="s">
        <v>137</v>
      </c>
      <c r="H51" s="81"/>
      <c r="I51" s="82" t="str">
        <f>IF(A51="","Pending",IF(H51="","⚠️ Enter Agent Code",IF(IFERROR(VLOOKUP(G51,DB_Agents!$B:$I,8,0),"")=H51,IF(AND(A51&lt;&gt;"",E51&lt;&gt;""),"Saved","Pending"),"🔒 BLOCKED — Wrong Code")))</f>
        <v>Pending</v>
      </c>
      <c r="J51" s="83" t="str">
        <f t="shared" ca="1" si="5"/>
        <v>—</v>
      </c>
      <c r="K51" s="84"/>
    </row>
    <row r="52" spans="1:11" ht="15" customHeight="1" x14ac:dyDescent="0.25">
      <c r="A52" s="85"/>
      <c r="B52" s="41" t="str">
        <f>IF(A52="","",IFERROR(VLOOKUP(A52,DB_Customers!$A:$D,4,0),"❌ Account Not Found"))</f>
        <v/>
      </c>
      <c r="C52" s="86" t="str">
        <f>IF(A52="","",IFERROR(IF(SUMIF(DB_Savings!$C:$C,A52,DB_Savings!$F:$F)=0,VLOOKUP(A52,DB_Customers!$A:$I,9,0),VLOOKUP(A52,DB_Customers!$A:$N,14,0)),"❌ Acct Not Found"))</f>
        <v/>
      </c>
      <c r="D52" s="87" t="str">
        <f t="shared" ca="1" si="3"/>
        <v/>
      </c>
      <c r="E52" s="79"/>
      <c r="F52" s="88" t="str">
        <f t="shared" si="4"/>
        <v/>
      </c>
      <c r="G52" s="43" t="s">
        <v>137</v>
      </c>
      <c r="H52" s="81"/>
      <c r="I52" s="89" t="str">
        <f>IF(A52="","Pending",IF(H52="","⚠️ Enter Agent Code",IF(IFERROR(VLOOKUP(G52,DB_Agents!$B:$I,8,0),"")=H52,IF(AND(A52&lt;&gt;"",E52&lt;&gt;""),"Saved","Pending"),"🔒 BLOCKED — Wrong Code")))</f>
        <v>Pending</v>
      </c>
      <c r="J52" s="90" t="str">
        <f t="shared" ca="1" si="5"/>
        <v>—</v>
      </c>
      <c r="K52" s="91"/>
    </row>
    <row r="53" spans="1:11" ht="15" customHeight="1" x14ac:dyDescent="0.25">
      <c r="A53" s="76"/>
      <c r="B53" s="37" t="str">
        <f>IF(A53="","",IFERROR(VLOOKUP(A53,DB_Customers!$A:$D,4,0),"❌ Account Not Found"))</f>
        <v/>
      </c>
      <c r="C53" s="77" t="str">
        <f>IF(A53="","",IFERROR(IF(SUMIF(DB_Savings!$C:$C,A53,DB_Savings!$F:$F)=0,VLOOKUP(A53,DB_Customers!$A:$I,9,0),VLOOKUP(A53,DB_Customers!$A:$N,14,0)),"❌ Acct Not Found"))</f>
        <v/>
      </c>
      <c r="D53" s="78" t="str">
        <f t="shared" ca="1" si="3"/>
        <v/>
      </c>
      <c r="E53" s="79"/>
      <c r="F53" s="80" t="str">
        <f t="shared" si="4"/>
        <v/>
      </c>
      <c r="G53" s="39" t="s">
        <v>137</v>
      </c>
      <c r="H53" s="81"/>
      <c r="I53" s="82" t="str">
        <f>IF(A53="","Pending",IF(H53="","⚠️ Enter Agent Code",IF(IFERROR(VLOOKUP(G53,DB_Agents!$B:$I,8,0),"")=H53,IF(AND(A53&lt;&gt;"",E53&lt;&gt;""),"Saved","Pending"),"🔒 BLOCKED — Wrong Code")))</f>
        <v>Pending</v>
      </c>
      <c r="J53" s="83" t="str">
        <f t="shared" ca="1" si="5"/>
        <v>—</v>
      </c>
      <c r="K53" s="84"/>
    </row>
    <row r="54" spans="1:11" ht="15" customHeight="1" x14ac:dyDescent="0.25">
      <c r="A54" s="85"/>
      <c r="B54" s="41" t="str">
        <f>IF(A54="","",IFERROR(VLOOKUP(A54,DB_Customers!$A:$D,4,0),"❌ Account Not Found"))</f>
        <v/>
      </c>
      <c r="C54" s="86" t="str">
        <f>IF(A54="","",IFERROR(IF(SUMIF(DB_Savings!$C:$C,A54,DB_Savings!$F:$F)=0,VLOOKUP(A54,DB_Customers!$A:$I,9,0),VLOOKUP(A54,DB_Customers!$A:$N,14,0)),"❌ Acct Not Found"))</f>
        <v/>
      </c>
      <c r="D54" s="87" t="str">
        <f t="shared" ca="1" si="3"/>
        <v/>
      </c>
      <c r="E54" s="79"/>
      <c r="F54" s="88" t="str">
        <f t="shared" si="4"/>
        <v/>
      </c>
      <c r="G54" s="43" t="s">
        <v>137</v>
      </c>
      <c r="H54" s="81"/>
      <c r="I54" s="89" t="str">
        <f>IF(A54="","Pending",IF(H54="","⚠️ Enter Agent Code",IF(IFERROR(VLOOKUP(G54,DB_Agents!$B:$I,8,0),"")=H54,IF(AND(A54&lt;&gt;"",E54&lt;&gt;""),"Saved","Pending"),"🔒 BLOCKED — Wrong Code")))</f>
        <v>Pending</v>
      </c>
      <c r="J54" s="90" t="str">
        <f t="shared" ca="1" si="5"/>
        <v>—</v>
      </c>
      <c r="K54" s="91"/>
    </row>
    <row r="55" spans="1:11" ht="15" customHeight="1" x14ac:dyDescent="0.25">
      <c r="A55" s="76"/>
      <c r="B55" s="37" t="str">
        <f>IF(A55="","",IFERROR(VLOOKUP(A55,DB_Customers!$A:$D,4,0),"❌ Account Not Found"))</f>
        <v/>
      </c>
      <c r="C55" s="77" t="str">
        <f>IF(A55="","",IFERROR(IF(SUMIF(DB_Savings!$C:$C,A55,DB_Savings!$F:$F)=0,VLOOKUP(A55,DB_Customers!$A:$I,9,0),VLOOKUP(A55,DB_Customers!$A:$N,14,0)),"❌ Acct Not Found"))</f>
        <v/>
      </c>
      <c r="D55" s="78" t="str">
        <f t="shared" ca="1" si="3"/>
        <v/>
      </c>
      <c r="E55" s="79"/>
      <c r="F55" s="80" t="str">
        <f t="shared" si="4"/>
        <v/>
      </c>
      <c r="G55" s="39" t="s">
        <v>137</v>
      </c>
      <c r="H55" s="81"/>
      <c r="I55" s="82" t="str">
        <f>IF(A55="","Pending",IF(H55="","⚠️ Enter Agent Code",IF(IFERROR(VLOOKUP(G55,DB_Agents!$B:$I,8,0),"")=H55,IF(AND(A55&lt;&gt;"",E55&lt;&gt;""),"Saved","Pending"),"🔒 BLOCKED — Wrong Code")))</f>
        <v>Pending</v>
      </c>
      <c r="J55" s="83" t="str">
        <f t="shared" ca="1" si="5"/>
        <v>—</v>
      </c>
      <c r="K55" s="84"/>
    </row>
    <row r="56" spans="1:11" ht="15" customHeight="1" x14ac:dyDescent="0.25">
      <c r="A56" s="85"/>
      <c r="B56" s="41" t="str">
        <f>IF(A56="","",IFERROR(VLOOKUP(A56,DB_Customers!$A:$D,4,0),"❌ Account Not Found"))</f>
        <v/>
      </c>
      <c r="C56" s="86" t="str">
        <f>IF(A56="","",IFERROR(IF(SUMIF(DB_Savings!$C:$C,A56,DB_Savings!$F:$F)=0,VLOOKUP(A56,DB_Customers!$A:$I,9,0),VLOOKUP(A56,DB_Customers!$A:$N,14,0)),"❌ Acct Not Found"))</f>
        <v/>
      </c>
      <c r="D56" s="87" t="str">
        <f t="shared" ca="1" si="3"/>
        <v/>
      </c>
      <c r="E56" s="79"/>
      <c r="F56" s="88" t="str">
        <f t="shared" si="4"/>
        <v/>
      </c>
      <c r="G56" s="43" t="s">
        <v>137</v>
      </c>
      <c r="H56" s="81"/>
      <c r="I56" s="89" t="str">
        <f>IF(A56="","Pending",IF(H56="","⚠️ Enter Agent Code",IF(IFERROR(VLOOKUP(G56,DB_Agents!$B:$I,8,0),"")=H56,IF(AND(A56&lt;&gt;"",E56&lt;&gt;""),"Saved","Pending"),"🔒 BLOCKED — Wrong Code")))</f>
        <v>Pending</v>
      </c>
      <c r="J56" s="90" t="str">
        <f t="shared" ca="1" si="5"/>
        <v>—</v>
      </c>
      <c r="K56" s="91"/>
    </row>
    <row r="57" spans="1:11" ht="15" customHeight="1" x14ac:dyDescent="0.25">
      <c r="A57" s="76"/>
      <c r="B57" s="37" t="str">
        <f>IF(A57="","",IFERROR(VLOOKUP(A57,DB_Customers!$A:$D,4,0),"❌ Account Not Found"))</f>
        <v/>
      </c>
      <c r="C57" s="77" t="str">
        <f>IF(A57="","",IFERROR(IF(SUMIF(DB_Savings!$C:$C,A57,DB_Savings!$F:$F)=0,VLOOKUP(A57,DB_Customers!$A:$I,9,0),VLOOKUP(A57,DB_Customers!$A:$N,14,0)),"❌ Acct Not Found"))</f>
        <v/>
      </c>
      <c r="D57" s="78" t="str">
        <f t="shared" ca="1" si="3"/>
        <v/>
      </c>
      <c r="E57" s="79"/>
      <c r="F57" s="80" t="str">
        <f t="shared" si="4"/>
        <v/>
      </c>
      <c r="G57" s="39" t="s">
        <v>137</v>
      </c>
      <c r="H57" s="81"/>
      <c r="I57" s="82" t="str">
        <f>IF(A57="","Pending",IF(H57="","⚠️ Enter Agent Code",IF(IFERROR(VLOOKUP(G57,DB_Agents!$B:$I,8,0),"")=H57,IF(AND(A57&lt;&gt;"",E57&lt;&gt;""),"Saved","Pending"),"🔒 BLOCKED — Wrong Code")))</f>
        <v>Pending</v>
      </c>
      <c r="J57" s="83" t="str">
        <f t="shared" ca="1" si="5"/>
        <v>—</v>
      </c>
      <c r="K57" s="84"/>
    </row>
    <row r="58" spans="1:11" ht="15" customHeight="1" x14ac:dyDescent="0.25">
      <c r="A58" s="85"/>
      <c r="B58" s="41" t="str">
        <f>IF(A58="","",IFERROR(VLOOKUP(A58,DB_Customers!$A:$D,4,0),"❌ Account Not Found"))</f>
        <v/>
      </c>
      <c r="C58" s="86" t="str">
        <f>IF(A58="","",IFERROR(IF(SUMIF(DB_Savings!$C:$C,A58,DB_Savings!$F:$F)=0,VLOOKUP(A58,DB_Customers!$A:$I,9,0),VLOOKUP(A58,DB_Customers!$A:$N,14,0)),"❌ Acct Not Found"))</f>
        <v/>
      </c>
      <c r="D58" s="87" t="str">
        <f t="shared" ca="1" si="3"/>
        <v/>
      </c>
      <c r="E58" s="79"/>
      <c r="F58" s="88" t="str">
        <f t="shared" si="4"/>
        <v/>
      </c>
      <c r="G58" s="43" t="s">
        <v>137</v>
      </c>
      <c r="H58" s="81"/>
      <c r="I58" s="89" t="str">
        <f>IF(A58="","Pending",IF(H58="","⚠️ Enter Agent Code",IF(IFERROR(VLOOKUP(G58,DB_Agents!$B:$I,8,0),"")=H58,IF(AND(A58&lt;&gt;"",E58&lt;&gt;""),"Saved","Pending"),"🔒 BLOCKED — Wrong Code")))</f>
        <v>Pending</v>
      </c>
      <c r="J58" s="90" t="str">
        <f t="shared" ca="1" si="5"/>
        <v>—</v>
      </c>
      <c r="K58" s="91"/>
    </row>
    <row r="59" spans="1:11" ht="15" customHeight="1" x14ac:dyDescent="0.25">
      <c r="A59" s="76"/>
      <c r="B59" s="37" t="str">
        <f>IF(A59="","",IFERROR(VLOOKUP(A59,DB_Customers!$A:$D,4,0),"❌ Account Not Found"))</f>
        <v/>
      </c>
      <c r="C59" s="77" t="str">
        <f>IF(A59="","",IFERROR(IF(SUMIF(DB_Savings!$C:$C,A59,DB_Savings!$F:$F)=0,VLOOKUP(A59,DB_Customers!$A:$I,9,0),VLOOKUP(A59,DB_Customers!$A:$N,14,0)),"❌ Acct Not Found"))</f>
        <v/>
      </c>
      <c r="D59" s="78" t="str">
        <f t="shared" ca="1" si="3"/>
        <v/>
      </c>
      <c r="E59" s="79"/>
      <c r="F59" s="80" t="str">
        <f t="shared" si="4"/>
        <v/>
      </c>
      <c r="G59" s="39" t="s">
        <v>137</v>
      </c>
      <c r="H59" s="81"/>
      <c r="I59" s="82" t="str">
        <f>IF(A59="","Pending",IF(H59="","⚠️ Enter Agent Code",IF(IFERROR(VLOOKUP(G59,DB_Agents!$B:$I,8,0),"")=H59,IF(AND(A59&lt;&gt;"",E59&lt;&gt;""),"Saved","Pending"),"🔒 BLOCKED — Wrong Code")))</f>
        <v>Pending</v>
      </c>
      <c r="J59" s="83" t="str">
        <f t="shared" ca="1" si="5"/>
        <v>—</v>
      </c>
      <c r="K59" s="84"/>
    </row>
    <row r="60" spans="1:11" ht="15" customHeight="1" x14ac:dyDescent="0.25">
      <c r="A60" s="85"/>
      <c r="B60" s="41" t="str">
        <f>IF(A60="","",IFERROR(VLOOKUP(A60,DB_Customers!$A:$D,4,0),"❌ Account Not Found"))</f>
        <v/>
      </c>
      <c r="C60" s="86" t="str">
        <f>IF(A60="","",IFERROR(IF(SUMIF(DB_Savings!$C:$C,A60,DB_Savings!$F:$F)=0,VLOOKUP(A60,DB_Customers!$A:$I,9,0),VLOOKUP(A60,DB_Customers!$A:$N,14,0)),"❌ Acct Not Found"))</f>
        <v/>
      </c>
      <c r="D60" s="87" t="str">
        <f t="shared" ca="1" si="3"/>
        <v/>
      </c>
      <c r="E60" s="79"/>
      <c r="F60" s="88" t="str">
        <f t="shared" si="4"/>
        <v/>
      </c>
      <c r="G60" s="43" t="s">
        <v>137</v>
      </c>
      <c r="H60" s="81"/>
      <c r="I60" s="89" t="str">
        <f>IF(A60="","Pending",IF(H60="","⚠️ Enter Agent Code",IF(IFERROR(VLOOKUP(G60,DB_Agents!$B:$I,8,0),"")=H60,IF(AND(A60&lt;&gt;"",E60&lt;&gt;""),"Saved","Pending"),"🔒 BLOCKED — Wrong Code")))</f>
        <v>Pending</v>
      </c>
      <c r="J60" s="90" t="str">
        <f t="shared" ca="1" si="5"/>
        <v>—</v>
      </c>
      <c r="K60" s="91"/>
    </row>
    <row r="61" spans="1:11" ht="15" customHeight="1" x14ac:dyDescent="0.25">
      <c r="A61" s="76"/>
      <c r="B61" s="37" t="str">
        <f>IF(A61="","",IFERROR(VLOOKUP(A61,DB_Customers!$A:$D,4,0),"❌ Account Not Found"))</f>
        <v/>
      </c>
      <c r="C61" s="77" t="str">
        <f>IF(A61="","",IFERROR(IF(SUMIF(DB_Savings!$C:$C,A61,DB_Savings!$F:$F)=0,VLOOKUP(A61,DB_Customers!$A:$I,9,0),VLOOKUP(A61,DB_Customers!$A:$N,14,0)),"❌ Acct Not Found"))</f>
        <v/>
      </c>
      <c r="D61" s="78" t="str">
        <f t="shared" ca="1" si="3"/>
        <v/>
      </c>
      <c r="E61" s="79"/>
      <c r="F61" s="80" t="str">
        <f t="shared" si="4"/>
        <v/>
      </c>
      <c r="G61" s="39" t="s">
        <v>137</v>
      </c>
      <c r="H61" s="81"/>
      <c r="I61" s="82" t="str">
        <f>IF(A61="","Pending",IF(H61="","⚠️ Enter Agent Code",IF(IFERROR(VLOOKUP(G61,DB_Agents!$B:$I,8,0),"")=H61,IF(AND(A61&lt;&gt;"",E61&lt;&gt;""),"Saved","Pending"),"🔒 BLOCKED — Wrong Code")))</f>
        <v>Pending</v>
      </c>
      <c r="J61" s="83" t="str">
        <f t="shared" ca="1" si="5"/>
        <v>—</v>
      </c>
      <c r="K61" s="84"/>
    </row>
    <row r="62" spans="1:11" ht="15" customHeight="1" x14ac:dyDescent="0.25">
      <c r="A62" s="85"/>
      <c r="B62" s="41" t="str">
        <f>IF(A62="","",IFERROR(VLOOKUP(A62,DB_Customers!$A:$D,4,0),"❌ Account Not Found"))</f>
        <v/>
      </c>
      <c r="C62" s="86" t="str">
        <f>IF(A62="","",IFERROR(IF(SUMIF(DB_Savings!$C:$C,A62,DB_Savings!$F:$F)=0,VLOOKUP(A62,DB_Customers!$A:$I,9,0),VLOOKUP(A62,DB_Customers!$A:$N,14,0)),"❌ Acct Not Found"))</f>
        <v/>
      </c>
      <c r="D62" s="87" t="str">
        <f t="shared" ca="1" si="3"/>
        <v/>
      </c>
      <c r="E62" s="79"/>
      <c r="F62" s="88" t="str">
        <f t="shared" si="4"/>
        <v/>
      </c>
      <c r="G62" s="43" t="s">
        <v>137</v>
      </c>
      <c r="H62" s="81"/>
      <c r="I62" s="89" t="str">
        <f>IF(A62="","Pending",IF(H62="","⚠️ Enter Agent Code",IF(IFERROR(VLOOKUP(G62,DB_Agents!$B:$I,8,0),"")=H62,IF(AND(A62&lt;&gt;"",E62&lt;&gt;""),"Saved","Pending"),"🔒 BLOCKED — Wrong Code")))</f>
        <v>Pending</v>
      </c>
      <c r="J62" s="90" t="str">
        <f t="shared" ca="1" si="5"/>
        <v>—</v>
      </c>
      <c r="K62" s="91"/>
    </row>
    <row r="63" spans="1:11" ht="15" customHeight="1" x14ac:dyDescent="0.25">
      <c r="A63" s="76"/>
      <c r="B63" s="37" t="str">
        <f>IF(A63="","",IFERROR(VLOOKUP(A63,DB_Customers!$A:$D,4,0),"❌ Account Not Found"))</f>
        <v/>
      </c>
      <c r="C63" s="77" t="str">
        <f>IF(A63="","",IFERROR(IF(SUMIF(DB_Savings!$C:$C,A63,DB_Savings!$F:$F)=0,VLOOKUP(A63,DB_Customers!$A:$I,9,0),VLOOKUP(A63,DB_Customers!$A:$N,14,0)),"❌ Acct Not Found"))</f>
        <v/>
      </c>
      <c r="D63" s="78" t="str">
        <f t="shared" ca="1" si="3"/>
        <v/>
      </c>
      <c r="E63" s="79"/>
      <c r="F63" s="80" t="str">
        <f t="shared" si="4"/>
        <v/>
      </c>
      <c r="G63" s="39" t="s">
        <v>137</v>
      </c>
      <c r="H63" s="81"/>
      <c r="I63" s="82" t="str">
        <f>IF(A63="","Pending",IF(H63="","⚠️ Enter Agent Code",IF(IFERROR(VLOOKUP(G63,DB_Agents!$B:$I,8,0),"")=H63,IF(AND(A63&lt;&gt;"",E63&lt;&gt;""),"Saved","Pending"),"🔒 BLOCKED — Wrong Code")))</f>
        <v>Pending</v>
      </c>
      <c r="J63" s="83" t="str">
        <f t="shared" ca="1" si="5"/>
        <v>—</v>
      </c>
      <c r="K63" s="84"/>
    </row>
    <row r="64" spans="1:11" ht="15" customHeight="1" x14ac:dyDescent="0.25">
      <c r="A64" s="85"/>
      <c r="B64" s="41" t="str">
        <f>IF(A64="","",IFERROR(VLOOKUP(A64,DB_Customers!$A:$D,4,0),"❌ Account Not Found"))</f>
        <v/>
      </c>
      <c r="C64" s="86" t="str">
        <f>IF(A64="","",IFERROR(IF(SUMIF(DB_Savings!$C:$C,A64,DB_Savings!$F:$F)=0,VLOOKUP(A64,DB_Customers!$A:$I,9,0),VLOOKUP(A64,DB_Customers!$A:$N,14,0)),"❌ Acct Not Found"))</f>
        <v/>
      </c>
      <c r="D64" s="87" t="str">
        <f t="shared" ca="1" si="3"/>
        <v/>
      </c>
      <c r="E64" s="79"/>
      <c r="F64" s="88" t="str">
        <f t="shared" si="4"/>
        <v/>
      </c>
      <c r="G64" s="43" t="s">
        <v>137</v>
      </c>
      <c r="H64" s="81"/>
      <c r="I64" s="89" t="str">
        <f>IF(A64="","Pending",IF(H64="","⚠️ Enter Agent Code",IF(IFERROR(VLOOKUP(G64,DB_Agents!$B:$I,8,0),"")=H64,IF(AND(A64&lt;&gt;"",E64&lt;&gt;""),"Saved","Pending"),"🔒 BLOCKED — Wrong Code")))</f>
        <v>Pending</v>
      </c>
      <c r="J64" s="90" t="str">
        <f t="shared" ca="1" si="5"/>
        <v>—</v>
      </c>
      <c r="K64" s="91"/>
    </row>
    <row r="65" spans="1:11" ht="15" customHeight="1" x14ac:dyDescent="0.25">
      <c r="A65" s="76"/>
      <c r="B65" s="37" t="str">
        <f>IF(A65="","",IFERROR(VLOOKUP(A65,DB_Customers!$A:$D,4,0),"❌ Account Not Found"))</f>
        <v/>
      </c>
      <c r="C65" s="77" t="str">
        <f>IF(A65="","",IFERROR(IF(SUMIF(DB_Savings!$C:$C,A65,DB_Savings!$F:$F)=0,VLOOKUP(A65,DB_Customers!$A:$I,9,0),VLOOKUP(A65,DB_Customers!$A:$N,14,0)),"❌ Acct Not Found"))</f>
        <v/>
      </c>
      <c r="D65" s="78" t="str">
        <f t="shared" ca="1" si="3"/>
        <v/>
      </c>
      <c r="E65" s="79"/>
      <c r="F65" s="80" t="str">
        <f t="shared" si="4"/>
        <v/>
      </c>
      <c r="G65" s="39" t="s">
        <v>137</v>
      </c>
      <c r="H65" s="81"/>
      <c r="I65" s="82" t="str">
        <f>IF(A65="","Pending",IF(H65="","⚠️ Enter Agent Code",IF(IFERROR(VLOOKUP(G65,DB_Agents!$B:$I,8,0),"")=H65,IF(AND(A65&lt;&gt;"",E65&lt;&gt;""),"Saved","Pending"),"🔒 BLOCKED — Wrong Code")))</f>
        <v>Pending</v>
      </c>
      <c r="J65" s="83" t="str">
        <f t="shared" ca="1" si="5"/>
        <v>—</v>
      </c>
      <c r="K65" s="84"/>
    </row>
    <row r="66" spans="1:11" ht="15" customHeight="1" x14ac:dyDescent="0.25">
      <c r="A66" s="85"/>
      <c r="B66" s="41" t="str">
        <f>IF(A66="","",IFERROR(VLOOKUP(A66,DB_Customers!$A:$D,4,0),"❌ Account Not Found"))</f>
        <v/>
      </c>
      <c r="C66" s="86" t="str">
        <f>IF(A66="","",IFERROR(IF(SUMIF(DB_Savings!$C:$C,A66,DB_Savings!$F:$F)=0,VLOOKUP(A66,DB_Customers!$A:$I,9,0),VLOOKUP(A66,DB_Customers!$A:$N,14,0)),"❌ Acct Not Found"))</f>
        <v/>
      </c>
      <c r="D66" s="87" t="str">
        <f t="shared" ca="1" si="3"/>
        <v/>
      </c>
      <c r="E66" s="79"/>
      <c r="F66" s="88" t="str">
        <f t="shared" si="4"/>
        <v/>
      </c>
      <c r="G66" s="43" t="s">
        <v>137</v>
      </c>
      <c r="H66" s="81"/>
      <c r="I66" s="89" t="str">
        <f>IF(A66="","Pending",IF(H66="","⚠️ Enter Agent Code",IF(IFERROR(VLOOKUP(G66,DB_Agents!$B:$I,8,0),"")=H66,IF(AND(A66&lt;&gt;"",E66&lt;&gt;""),"Saved","Pending"),"🔒 BLOCKED — Wrong Code")))</f>
        <v>Pending</v>
      </c>
      <c r="J66" s="90" t="str">
        <f t="shared" ca="1" si="5"/>
        <v>—</v>
      </c>
      <c r="K66" s="91"/>
    </row>
    <row r="67" spans="1:11" ht="15" customHeight="1" x14ac:dyDescent="0.25">
      <c r="A67" s="76"/>
      <c r="B67" s="37" t="str">
        <f>IF(A67="","",IFERROR(VLOOKUP(A67,DB_Customers!$A:$D,4,0),"❌ Account Not Found"))</f>
        <v/>
      </c>
      <c r="C67" s="77" t="str">
        <f>IF(A67="","",IFERROR(IF(SUMIF(DB_Savings!$C:$C,A67,DB_Savings!$F:$F)=0,VLOOKUP(A67,DB_Customers!$A:$I,9,0),VLOOKUP(A67,DB_Customers!$A:$N,14,0)),"❌ Acct Not Found"))</f>
        <v/>
      </c>
      <c r="D67" s="78" t="str">
        <f t="shared" ca="1" si="3"/>
        <v/>
      </c>
      <c r="E67" s="79"/>
      <c r="F67" s="80" t="str">
        <f t="shared" si="4"/>
        <v/>
      </c>
      <c r="G67" s="39" t="s">
        <v>137</v>
      </c>
      <c r="H67" s="81"/>
      <c r="I67" s="82" t="str">
        <f>IF(A67="","Pending",IF(H67="","⚠️ Enter Agent Code",IF(IFERROR(VLOOKUP(G67,DB_Agents!$B:$I,8,0),"")=H67,IF(AND(A67&lt;&gt;"",E67&lt;&gt;""),"Saved","Pending"),"🔒 BLOCKED — Wrong Code")))</f>
        <v>Pending</v>
      </c>
      <c r="J67" s="83" t="str">
        <f t="shared" ca="1" si="5"/>
        <v>—</v>
      </c>
      <c r="K67" s="84"/>
    </row>
    <row r="68" spans="1:11" ht="15" customHeight="1" x14ac:dyDescent="0.25">
      <c r="A68" s="85"/>
      <c r="B68" s="41" t="str">
        <f>IF(A68="","",IFERROR(VLOOKUP(A68,DB_Customers!$A:$D,4,0),"❌ Account Not Found"))</f>
        <v/>
      </c>
      <c r="C68" s="86" t="str">
        <f>IF(A68="","",IFERROR(IF(SUMIF(DB_Savings!$C:$C,A68,DB_Savings!$F:$F)=0,VLOOKUP(A68,DB_Customers!$A:$I,9,0),VLOOKUP(A68,DB_Customers!$A:$N,14,0)),"❌ Acct Not Found"))</f>
        <v/>
      </c>
      <c r="D68" s="87" t="str">
        <f t="shared" ca="1" si="3"/>
        <v/>
      </c>
      <c r="E68" s="79"/>
      <c r="F68" s="88" t="str">
        <f t="shared" si="4"/>
        <v/>
      </c>
      <c r="G68" s="43" t="s">
        <v>137</v>
      </c>
      <c r="H68" s="81"/>
      <c r="I68" s="89" t="str">
        <f>IF(A68="","Pending",IF(H68="","⚠️ Enter Agent Code",IF(IFERROR(VLOOKUP(G68,DB_Agents!$B:$I,8,0),"")=H68,IF(AND(A68&lt;&gt;"",E68&lt;&gt;""),"Saved","Pending"),"🔒 BLOCKED — Wrong Code")))</f>
        <v>Pending</v>
      </c>
      <c r="J68" s="90" t="str">
        <f t="shared" ca="1" si="5"/>
        <v>—</v>
      </c>
      <c r="K68" s="91"/>
    </row>
    <row r="69" spans="1:11" ht="15" customHeight="1" x14ac:dyDescent="0.25">
      <c r="A69" s="76"/>
      <c r="B69" s="37" t="str">
        <f>IF(A69="","",IFERROR(VLOOKUP(A69,DB_Customers!$A:$D,4,0),"❌ Account Not Found"))</f>
        <v/>
      </c>
      <c r="C69" s="77" t="str">
        <f>IF(A69="","",IFERROR(IF(SUMIF(DB_Savings!$C:$C,A69,DB_Savings!$F:$F)=0,VLOOKUP(A69,DB_Customers!$A:$I,9,0),VLOOKUP(A69,DB_Customers!$A:$N,14,0)),"❌ Acct Not Found"))</f>
        <v/>
      </c>
      <c r="D69" s="78" t="str">
        <f t="shared" ca="1" si="3"/>
        <v/>
      </c>
      <c r="E69" s="79"/>
      <c r="F69" s="80" t="str">
        <f t="shared" si="4"/>
        <v/>
      </c>
      <c r="G69" s="39" t="s">
        <v>137</v>
      </c>
      <c r="H69" s="81"/>
      <c r="I69" s="82" t="str">
        <f>IF(A69="","Pending",IF(H69="","⚠️ Enter Agent Code",IF(IFERROR(VLOOKUP(G69,DB_Agents!$B:$I,8,0),"")=H69,IF(AND(A69&lt;&gt;"",E69&lt;&gt;""),"Saved","Pending"),"🔒 BLOCKED — Wrong Code")))</f>
        <v>Pending</v>
      </c>
      <c r="J69" s="83" t="str">
        <f t="shared" ca="1" si="5"/>
        <v>—</v>
      </c>
      <c r="K69" s="84"/>
    </row>
    <row r="70" spans="1:11" ht="15" customHeight="1" x14ac:dyDescent="0.25">
      <c r="A70" s="85"/>
      <c r="B70" s="41" t="str">
        <f>IF(A70="","",IFERROR(VLOOKUP(A70,DB_Customers!$A:$D,4,0),"❌ Account Not Found"))</f>
        <v/>
      </c>
      <c r="C70" s="86" t="str">
        <f>IF(A70="","",IFERROR(IF(SUMIF(DB_Savings!$C:$C,A70,DB_Savings!$F:$F)=0,VLOOKUP(A70,DB_Customers!$A:$I,9,0),VLOOKUP(A70,DB_Customers!$A:$N,14,0)),"❌ Acct Not Found"))</f>
        <v/>
      </c>
      <c r="D70" s="87" t="str">
        <f t="shared" ca="1" si="3"/>
        <v/>
      </c>
      <c r="E70" s="79"/>
      <c r="F70" s="88" t="str">
        <f t="shared" si="4"/>
        <v/>
      </c>
      <c r="G70" s="43" t="s">
        <v>137</v>
      </c>
      <c r="H70" s="81"/>
      <c r="I70" s="89" t="str">
        <f>IF(A70="","Pending",IF(H70="","⚠️ Enter Agent Code",IF(IFERROR(VLOOKUP(G70,DB_Agents!$B:$I,8,0),"")=H70,IF(AND(A70&lt;&gt;"",E70&lt;&gt;""),"Saved","Pending"),"🔒 BLOCKED — Wrong Code")))</f>
        <v>Pending</v>
      </c>
      <c r="J70" s="90" t="str">
        <f t="shared" ca="1" si="5"/>
        <v>—</v>
      </c>
      <c r="K70" s="91"/>
    </row>
    <row r="71" spans="1:11" ht="15" customHeight="1" x14ac:dyDescent="0.25">
      <c r="A71" s="76"/>
      <c r="B71" s="37" t="str">
        <f>IF(A71="","",IFERROR(VLOOKUP(A71,DB_Customers!$A:$D,4,0),"❌ Account Not Found"))</f>
        <v/>
      </c>
      <c r="C71" s="77" t="str">
        <f>IF(A71="","",IFERROR(IF(SUMIF(DB_Savings!$C:$C,A71,DB_Savings!$F:$F)=0,VLOOKUP(A71,DB_Customers!$A:$I,9,0),VLOOKUP(A71,DB_Customers!$A:$N,14,0)),"❌ Acct Not Found"))</f>
        <v/>
      </c>
      <c r="D71" s="78" t="str">
        <f t="shared" ca="1" si="3"/>
        <v/>
      </c>
      <c r="E71" s="79"/>
      <c r="F71" s="80" t="str">
        <f t="shared" si="4"/>
        <v/>
      </c>
      <c r="G71" s="39" t="s">
        <v>137</v>
      </c>
      <c r="H71" s="81"/>
      <c r="I71" s="82" t="str">
        <f>IF(A71="","Pending",IF(H71="","⚠️ Enter Agent Code",IF(IFERROR(VLOOKUP(G71,DB_Agents!$B:$I,8,0),"")=H71,IF(AND(A71&lt;&gt;"",E71&lt;&gt;""),"Saved","Pending"),"🔒 BLOCKED — Wrong Code")))</f>
        <v>Pending</v>
      </c>
      <c r="J71" s="83" t="str">
        <f t="shared" ca="1" si="5"/>
        <v>—</v>
      </c>
      <c r="K71" s="84"/>
    </row>
    <row r="72" spans="1:11" ht="15" customHeight="1" x14ac:dyDescent="0.25">
      <c r="A72" s="85"/>
      <c r="B72" s="41" t="str">
        <f>IF(A72="","",IFERROR(VLOOKUP(A72,DB_Customers!$A:$D,4,0),"❌ Account Not Found"))</f>
        <v/>
      </c>
      <c r="C72" s="86" t="str">
        <f>IF(A72="","",IFERROR(IF(SUMIF(DB_Savings!$C:$C,A72,DB_Savings!$F:$F)=0,VLOOKUP(A72,DB_Customers!$A:$I,9,0),VLOOKUP(A72,DB_Customers!$A:$N,14,0)),"❌ Acct Not Found"))</f>
        <v/>
      </c>
      <c r="D72" s="87" t="str">
        <f t="shared" ca="1" si="3"/>
        <v/>
      </c>
      <c r="E72" s="79"/>
      <c r="F72" s="88" t="str">
        <f t="shared" si="4"/>
        <v/>
      </c>
      <c r="G72" s="43" t="s">
        <v>137</v>
      </c>
      <c r="H72" s="81"/>
      <c r="I72" s="89" t="str">
        <f>IF(A72="","Pending",IF(H72="","⚠️ Enter Agent Code",IF(IFERROR(VLOOKUP(G72,DB_Agents!$B:$I,8,0),"")=H72,IF(AND(A72&lt;&gt;"",E72&lt;&gt;""),"Saved","Pending"),"🔒 BLOCKED — Wrong Code")))</f>
        <v>Pending</v>
      </c>
      <c r="J72" s="90" t="str">
        <f t="shared" ca="1" si="5"/>
        <v>—</v>
      </c>
      <c r="K72" s="91"/>
    </row>
    <row r="73" spans="1:11" ht="15" customHeight="1" x14ac:dyDescent="0.25">
      <c r="A73" s="76"/>
      <c r="B73" s="37" t="str">
        <f>IF(A73="","",IFERROR(VLOOKUP(A73,DB_Customers!$A:$D,4,0),"❌ Account Not Found"))</f>
        <v/>
      </c>
      <c r="C73" s="77" t="str">
        <f>IF(A73="","",IFERROR(IF(SUMIF(DB_Savings!$C:$C,A73,DB_Savings!$F:$F)=0,VLOOKUP(A73,DB_Customers!$A:$I,9,0),VLOOKUP(A73,DB_Customers!$A:$N,14,0)),"❌ Acct Not Found"))</f>
        <v/>
      </c>
      <c r="D73" s="78" t="str">
        <f t="shared" ref="D73:D104" ca="1" si="6">IF(A73="","",TODAY())</f>
        <v/>
      </c>
      <c r="E73" s="79"/>
      <c r="F73" s="80" t="str">
        <f t="shared" ref="F73:F104" si="7">IF(OR(A73="",E73=""),"",IF(C73="","",C73+E73))</f>
        <v/>
      </c>
      <c r="G73" s="39" t="s">
        <v>137</v>
      </c>
      <c r="H73" s="81"/>
      <c r="I73" s="82" t="str">
        <f>IF(A73="","Pending",IF(H73="","⚠️ Enter Agent Code",IF(IFERROR(VLOOKUP(G73,DB_Agents!$B:$I,8,0),"")=H73,IF(AND(A73&lt;&gt;"",E73&lt;&gt;""),"Saved","Pending"),"🔒 BLOCKED — Wrong Code")))</f>
        <v>Pending</v>
      </c>
      <c r="J73" s="83" t="str">
        <f t="shared" ref="J73:J104" ca="1" si="8">IF(I73="Saved",TEXT(TODAY(),"YYYY-MM-DD")&amp;" Auto","—")</f>
        <v>—</v>
      </c>
      <c r="K73" s="84"/>
    </row>
    <row r="74" spans="1:11" ht="15" customHeight="1" x14ac:dyDescent="0.25">
      <c r="A74" s="85"/>
      <c r="B74" s="41" t="str">
        <f>IF(A74="","",IFERROR(VLOOKUP(A74,DB_Customers!$A:$D,4,0),"❌ Account Not Found"))</f>
        <v/>
      </c>
      <c r="C74" s="86" t="str">
        <f>IF(A74="","",IFERROR(IF(SUMIF(DB_Savings!$C:$C,A74,DB_Savings!$F:$F)=0,VLOOKUP(A74,DB_Customers!$A:$I,9,0),VLOOKUP(A74,DB_Customers!$A:$N,14,0)),"❌ Acct Not Found"))</f>
        <v/>
      </c>
      <c r="D74" s="87" t="str">
        <f t="shared" ca="1" si="6"/>
        <v/>
      </c>
      <c r="E74" s="79"/>
      <c r="F74" s="88" t="str">
        <f t="shared" si="7"/>
        <v/>
      </c>
      <c r="G74" s="43" t="s">
        <v>137</v>
      </c>
      <c r="H74" s="81"/>
      <c r="I74" s="89" t="str">
        <f>IF(A74="","Pending",IF(H74="","⚠️ Enter Agent Code",IF(IFERROR(VLOOKUP(G74,DB_Agents!$B:$I,8,0),"")=H74,IF(AND(A74&lt;&gt;"",E74&lt;&gt;""),"Saved","Pending"),"🔒 BLOCKED — Wrong Code")))</f>
        <v>Pending</v>
      </c>
      <c r="J74" s="90" t="str">
        <f t="shared" ca="1" si="8"/>
        <v>—</v>
      </c>
      <c r="K74" s="91"/>
    </row>
    <row r="75" spans="1:11" ht="15" customHeight="1" x14ac:dyDescent="0.25">
      <c r="A75" s="76"/>
      <c r="B75" s="37" t="str">
        <f>IF(A75="","",IFERROR(VLOOKUP(A75,DB_Customers!$A:$D,4,0),"❌ Account Not Found"))</f>
        <v/>
      </c>
      <c r="C75" s="77" t="str">
        <f>IF(A75="","",IFERROR(IF(SUMIF(DB_Savings!$C:$C,A75,DB_Savings!$F:$F)=0,VLOOKUP(A75,DB_Customers!$A:$I,9,0),VLOOKUP(A75,DB_Customers!$A:$N,14,0)),"❌ Acct Not Found"))</f>
        <v/>
      </c>
      <c r="D75" s="78" t="str">
        <f t="shared" ca="1" si="6"/>
        <v/>
      </c>
      <c r="E75" s="79"/>
      <c r="F75" s="80" t="str">
        <f t="shared" si="7"/>
        <v/>
      </c>
      <c r="G75" s="39" t="s">
        <v>137</v>
      </c>
      <c r="H75" s="81"/>
      <c r="I75" s="82" t="str">
        <f>IF(A75="","Pending",IF(H75="","⚠️ Enter Agent Code",IF(IFERROR(VLOOKUP(G75,DB_Agents!$B:$I,8,0),"")=H75,IF(AND(A75&lt;&gt;"",E75&lt;&gt;""),"Saved","Pending"),"🔒 BLOCKED — Wrong Code")))</f>
        <v>Pending</v>
      </c>
      <c r="J75" s="83" t="str">
        <f t="shared" ca="1" si="8"/>
        <v>—</v>
      </c>
      <c r="K75" s="84"/>
    </row>
    <row r="76" spans="1:11" ht="15" customHeight="1" x14ac:dyDescent="0.25">
      <c r="A76" s="85"/>
      <c r="B76" s="41" t="str">
        <f>IF(A76="","",IFERROR(VLOOKUP(A76,DB_Customers!$A:$D,4,0),"❌ Account Not Found"))</f>
        <v/>
      </c>
      <c r="C76" s="86" t="str">
        <f>IF(A76="","",IFERROR(IF(SUMIF(DB_Savings!$C:$C,A76,DB_Savings!$F:$F)=0,VLOOKUP(A76,DB_Customers!$A:$I,9,0),VLOOKUP(A76,DB_Customers!$A:$N,14,0)),"❌ Acct Not Found"))</f>
        <v/>
      </c>
      <c r="D76" s="87" t="str">
        <f t="shared" ca="1" si="6"/>
        <v/>
      </c>
      <c r="E76" s="79"/>
      <c r="F76" s="88" t="str">
        <f t="shared" si="7"/>
        <v/>
      </c>
      <c r="G76" s="43" t="s">
        <v>137</v>
      </c>
      <c r="H76" s="81"/>
      <c r="I76" s="89" t="str">
        <f>IF(A76="","Pending",IF(H76="","⚠️ Enter Agent Code",IF(IFERROR(VLOOKUP(G76,DB_Agents!$B:$I,8,0),"")=H76,IF(AND(A76&lt;&gt;"",E76&lt;&gt;""),"Saved","Pending"),"🔒 BLOCKED — Wrong Code")))</f>
        <v>Pending</v>
      </c>
      <c r="J76" s="90" t="str">
        <f t="shared" ca="1" si="8"/>
        <v>—</v>
      </c>
      <c r="K76" s="91"/>
    </row>
    <row r="77" spans="1:11" ht="15" customHeight="1" x14ac:dyDescent="0.25">
      <c r="A77" s="76"/>
      <c r="B77" s="37" t="str">
        <f>IF(A77="","",IFERROR(VLOOKUP(A77,DB_Customers!$A:$D,4,0),"❌ Account Not Found"))</f>
        <v/>
      </c>
      <c r="C77" s="77" t="str">
        <f>IF(A77="","",IFERROR(IF(SUMIF(DB_Savings!$C:$C,A77,DB_Savings!$F:$F)=0,VLOOKUP(A77,DB_Customers!$A:$I,9,0),VLOOKUP(A77,DB_Customers!$A:$N,14,0)),"❌ Acct Not Found"))</f>
        <v/>
      </c>
      <c r="D77" s="78" t="str">
        <f t="shared" ca="1" si="6"/>
        <v/>
      </c>
      <c r="E77" s="79"/>
      <c r="F77" s="80" t="str">
        <f t="shared" si="7"/>
        <v/>
      </c>
      <c r="G77" s="39" t="s">
        <v>137</v>
      </c>
      <c r="H77" s="81"/>
      <c r="I77" s="82" t="str">
        <f>IF(A77="","Pending",IF(H77="","⚠️ Enter Agent Code",IF(IFERROR(VLOOKUP(G77,DB_Agents!$B:$I,8,0),"")=H77,IF(AND(A77&lt;&gt;"",E77&lt;&gt;""),"Saved","Pending"),"🔒 BLOCKED — Wrong Code")))</f>
        <v>Pending</v>
      </c>
      <c r="J77" s="83" t="str">
        <f t="shared" ca="1" si="8"/>
        <v>—</v>
      </c>
      <c r="K77" s="84"/>
    </row>
    <row r="78" spans="1:11" ht="15" customHeight="1" x14ac:dyDescent="0.25">
      <c r="A78" s="85"/>
      <c r="B78" s="41" t="str">
        <f>IF(A78="","",IFERROR(VLOOKUP(A78,DB_Customers!$A:$D,4,0),"❌ Account Not Found"))</f>
        <v/>
      </c>
      <c r="C78" s="86" t="str">
        <f>IF(A78="","",IFERROR(IF(SUMIF(DB_Savings!$C:$C,A78,DB_Savings!$F:$F)=0,VLOOKUP(A78,DB_Customers!$A:$I,9,0),VLOOKUP(A78,DB_Customers!$A:$N,14,0)),"❌ Acct Not Found"))</f>
        <v/>
      </c>
      <c r="D78" s="87" t="str">
        <f t="shared" ca="1" si="6"/>
        <v/>
      </c>
      <c r="E78" s="79"/>
      <c r="F78" s="88" t="str">
        <f t="shared" si="7"/>
        <v/>
      </c>
      <c r="G78" s="43" t="s">
        <v>137</v>
      </c>
      <c r="H78" s="81"/>
      <c r="I78" s="89" t="str">
        <f>IF(A78="","Pending",IF(H78="","⚠️ Enter Agent Code",IF(IFERROR(VLOOKUP(G78,DB_Agents!$B:$I,8,0),"")=H78,IF(AND(A78&lt;&gt;"",E78&lt;&gt;""),"Saved","Pending"),"🔒 BLOCKED — Wrong Code")))</f>
        <v>Pending</v>
      </c>
      <c r="J78" s="90" t="str">
        <f t="shared" ca="1" si="8"/>
        <v>—</v>
      </c>
      <c r="K78" s="91"/>
    </row>
    <row r="79" spans="1:11" ht="15" customHeight="1" x14ac:dyDescent="0.25">
      <c r="A79" s="76"/>
      <c r="B79" s="37" t="str">
        <f>IF(A79="","",IFERROR(VLOOKUP(A79,DB_Customers!$A:$D,4,0),"❌ Account Not Found"))</f>
        <v/>
      </c>
      <c r="C79" s="77" t="str">
        <f>IF(A79="","",IFERROR(IF(SUMIF(DB_Savings!$C:$C,A79,DB_Savings!$F:$F)=0,VLOOKUP(A79,DB_Customers!$A:$I,9,0),VLOOKUP(A79,DB_Customers!$A:$N,14,0)),"❌ Acct Not Found"))</f>
        <v/>
      </c>
      <c r="D79" s="78" t="str">
        <f t="shared" ca="1" si="6"/>
        <v/>
      </c>
      <c r="E79" s="79"/>
      <c r="F79" s="80" t="str">
        <f t="shared" si="7"/>
        <v/>
      </c>
      <c r="G79" s="39" t="s">
        <v>137</v>
      </c>
      <c r="H79" s="81"/>
      <c r="I79" s="82" t="str">
        <f>IF(A79="","Pending",IF(H79="","⚠️ Enter Agent Code",IF(IFERROR(VLOOKUP(G79,DB_Agents!$B:$I,8,0),"")=H79,IF(AND(A79&lt;&gt;"",E79&lt;&gt;""),"Saved","Pending"),"🔒 BLOCKED — Wrong Code")))</f>
        <v>Pending</v>
      </c>
      <c r="J79" s="83" t="str">
        <f t="shared" ca="1" si="8"/>
        <v>—</v>
      </c>
      <c r="K79" s="84"/>
    </row>
    <row r="80" spans="1:11" ht="15" customHeight="1" x14ac:dyDescent="0.25">
      <c r="A80" s="85"/>
      <c r="B80" s="41" t="str">
        <f>IF(A80="","",IFERROR(VLOOKUP(A80,DB_Customers!$A:$D,4,0),"❌ Account Not Found"))</f>
        <v/>
      </c>
      <c r="C80" s="86" t="str">
        <f>IF(A80="","",IFERROR(IF(SUMIF(DB_Savings!$C:$C,A80,DB_Savings!$F:$F)=0,VLOOKUP(A80,DB_Customers!$A:$I,9,0),VLOOKUP(A80,DB_Customers!$A:$N,14,0)),"❌ Acct Not Found"))</f>
        <v/>
      </c>
      <c r="D80" s="87" t="str">
        <f t="shared" ca="1" si="6"/>
        <v/>
      </c>
      <c r="E80" s="79"/>
      <c r="F80" s="88" t="str">
        <f t="shared" si="7"/>
        <v/>
      </c>
      <c r="G80" s="43" t="s">
        <v>137</v>
      </c>
      <c r="H80" s="81"/>
      <c r="I80" s="89" t="str">
        <f>IF(A80="","Pending",IF(H80="","⚠️ Enter Agent Code",IF(IFERROR(VLOOKUP(G80,DB_Agents!$B:$I,8,0),"")=H80,IF(AND(A80&lt;&gt;"",E80&lt;&gt;""),"Saved","Pending"),"🔒 BLOCKED — Wrong Code")))</f>
        <v>Pending</v>
      </c>
      <c r="J80" s="90" t="str">
        <f t="shared" ca="1" si="8"/>
        <v>—</v>
      </c>
      <c r="K80" s="91"/>
    </row>
    <row r="81" spans="1:11" ht="15" customHeight="1" x14ac:dyDescent="0.25">
      <c r="A81" s="76"/>
      <c r="B81" s="37" t="str">
        <f>IF(A81="","",IFERROR(VLOOKUP(A81,DB_Customers!$A:$D,4,0),"❌ Account Not Found"))</f>
        <v/>
      </c>
      <c r="C81" s="77" t="str">
        <f>IF(A81="","",IFERROR(IF(SUMIF(DB_Savings!$C:$C,A81,DB_Savings!$F:$F)=0,VLOOKUP(A81,DB_Customers!$A:$I,9,0),VLOOKUP(A81,DB_Customers!$A:$N,14,0)),"❌ Acct Not Found"))</f>
        <v/>
      </c>
      <c r="D81" s="78" t="str">
        <f t="shared" ca="1" si="6"/>
        <v/>
      </c>
      <c r="E81" s="79"/>
      <c r="F81" s="80" t="str">
        <f t="shared" si="7"/>
        <v/>
      </c>
      <c r="G81" s="39" t="s">
        <v>137</v>
      </c>
      <c r="H81" s="81"/>
      <c r="I81" s="82" t="str">
        <f>IF(A81="","Pending",IF(H81="","⚠️ Enter Agent Code",IF(IFERROR(VLOOKUP(G81,DB_Agents!$B:$I,8,0),"")=H81,IF(AND(A81&lt;&gt;"",E81&lt;&gt;""),"Saved","Pending"),"🔒 BLOCKED — Wrong Code")))</f>
        <v>Pending</v>
      </c>
      <c r="J81" s="83" t="str">
        <f t="shared" ca="1" si="8"/>
        <v>—</v>
      </c>
      <c r="K81" s="84"/>
    </row>
    <row r="82" spans="1:11" ht="15" customHeight="1" x14ac:dyDescent="0.25">
      <c r="A82" s="85"/>
      <c r="B82" s="41" t="str">
        <f>IF(A82="","",IFERROR(VLOOKUP(A82,DB_Customers!$A:$D,4,0),"❌ Account Not Found"))</f>
        <v/>
      </c>
      <c r="C82" s="86" t="str">
        <f>IF(A82="","",IFERROR(IF(SUMIF(DB_Savings!$C:$C,A82,DB_Savings!$F:$F)=0,VLOOKUP(A82,DB_Customers!$A:$I,9,0),VLOOKUP(A82,DB_Customers!$A:$N,14,0)),"❌ Acct Not Found"))</f>
        <v/>
      </c>
      <c r="D82" s="87" t="str">
        <f t="shared" ca="1" si="6"/>
        <v/>
      </c>
      <c r="E82" s="79"/>
      <c r="F82" s="88" t="str">
        <f t="shared" si="7"/>
        <v/>
      </c>
      <c r="G82" s="43" t="s">
        <v>137</v>
      </c>
      <c r="H82" s="81"/>
      <c r="I82" s="89" t="str">
        <f>IF(A82="","Pending",IF(H82="","⚠️ Enter Agent Code",IF(IFERROR(VLOOKUP(G82,DB_Agents!$B:$I,8,0),"")=H82,IF(AND(A82&lt;&gt;"",E82&lt;&gt;""),"Saved","Pending"),"🔒 BLOCKED — Wrong Code")))</f>
        <v>Pending</v>
      </c>
      <c r="J82" s="90" t="str">
        <f t="shared" ca="1" si="8"/>
        <v>—</v>
      </c>
      <c r="K82" s="91"/>
    </row>
    <row r="83" spans="1:11" ht="15" customHeight="1" x14ac:dyDescent="0.25">
      <c r="A83" s="76"/>
      <c r="B83" s="37" t="str">
        <f>IF(A83="","",IFERROR(VLOOKUP(A83,DB_Customers!$A:$D,4,0),"❌ Account Not Found"))</f>
        <v/>
      </c>
      <c r="C83" s="77" t="str">
        <f>IF(A83="","",IFERROR(IF(SUMIF(DB_Savings!$C:$C,A83,DB_Savings!$F:$F)=0,VLOOKUP(A83,DB_Customers!$A:$I,9,0),VLOOKUP(A83,DB_Customers!$A:$N,14,0)),"❌ Acct Not Found"))</f>
        <v/>
      </c>
      <c r="D83" s="78" t="str">
        <f t="shared" ca="1" si="6"/>
        <v/>
      </c>
      <c r="E83" s="79"/>
      <c r="F83" s="80" t="str">
        <f t="shared" si="7"/>
        <v/>
      </c>
      <c r="G83" s="39" t="s">
        <v>137</v>
      </c>
      <c r="H83" s="81"/>
      <c r="I83" s="82" t="str">
        <f>IF(A83="","Pending",IF(H83="","⚠️ Enter Agent Code",IF(IFERROR(VLOOKUP(G83,DB_Agents!$B:$I,8,0),"")=H83,IF(AND(A83&lt;&gt;"",E83&lt;&gt;""),"Saved","Pending"),"🔒 BLOCKED — Wrong Code")))</f>
        <v>Pending</v>
      </c>
      <c r="J83" s="83" t="str">
        <f t="shared" ca="1" si="8"/>
        <v>—</v>
      </c>
      <c r="K83" s="84"/>
    </row>
    <row r="84" spans="1:11" ht="15" customHeight="1" x14ac:dyDescent="0.25">
      <c r="A84" s="85"/>
      <c r="B84" s="41" t="str">
        <f>IF(A84="","",IFERROR(VLOOKUP(A84,DB_Customers!$A:$D,4,0),"❌ Account Not Found"))</f>
        <v/>
      </c>
      <c r="C84" s="86" t="str">
        <f>IF(A84="","",IFERROR(IF(SUMIF(DB_Savings!$C:$C,A84,DB_Savings!$F:$F)=0,VLOOKUP(A84,DB_Customers!$A:$I,9,0),VLOOKUP(A84,DB_Customers!$A:$N,14,0)),"❌ Acct Not Found"))</f>
        <v/>
      </c>
      <c r="D84" s="87" t="str">
        <f t="shared" ca="1" si="6"/>
        <v/>
      </c>
      <c r="E84" s="79"/>
      <c r="F84" s="88" t="str">
        <f t="shared" si="7"/>
        <v/>
      </c>
      <c r="G84" s="43" t="s">
        <v>137</v>
      </c>
      <c r="H84" s="81"/>
      <c r="I84" s="89" t="str">
        <f>IF(A84="","Pending",IF(H84="","⚠️ Enter Agent Code",IF(IFERROR(VLOOKUP(G84,DB_Agents!$B:$I,8,0),"")=H84,IF(AND(A84&lt;&gt;"",E84&lt;&gt;""),"Saved","Pending"),"🔒 BLOCKED — Wrong Code")))</f>
        <v>Pending</v>
      </c>
      <c r="J84" s="90" t="str">
        <f t="shared" ca="1" si="8"/>
        <v>—</v>
      </c>
      <c r="K84" s="91"/>
    </row>
    <row r="85" spans="1:11" ht="15" customHeight="1" x14ac:dyDescent="0.25">
      <c r="A85" s="76"/>
      <c r="B85" s="37" t="str">
        <f>IF(A85="","",IFERROR(VLOOKUP(A85,DB_Customers!$A:$D,4,0),"❌ Account Not Found"))</f>
        <v/>
      </c>
      <c r="C85" s="77" t="str">
        <f>IF(A85="","",IFERROR(IF(SUMIF(DB_Savings!$C:$C,A85,DB_Savings!$F:$F)=0,VLOOKUP(A85,DB_Customers!$A:$I,9,0),VLOOKUP(A85,DB_Customers!$A:$N,14,0)),"❌ Acct Not Found"))</f>
        <v/>
      </c>
      <c r="D85" s="78" t="str">
        <f t="shared" ca="1" si="6"/>
        <v/>
      </c>
      <c r="E85" s="79"/>
      <c r="F85" s="80" t="str">
        <f t="shared" si="7"/>
        <v/>
      </c>
      <c r="G85" s="39" t="s">
        <v>137</v>
      </c>
      <c r="H85" s="81"/>
      <c r="I85" s="82" t="str">
        <f>IF(A85="","Pending",IF(H85="","⚠️ Enter Agent Code",IF(IFERROR(VLOOKUP(G85,DB_Agents!$B:$I,8,0),"")=H85,IF(AND(A85&lt;&gt;"",E85&lt;&gt;""),"Saved","Pending"),"🔒 BLOCKED — Wrong Code")))</f>
        <v>Pending</v>
      </c>
      <c r="J85" s="83" t="str">
        <f t="shared" ca="1" si="8"/>
        <v>—</v>
      </c>
      <c r="K85" s="84"/>
    </row>
    <row r="86" spans="1:11" ht="15" customHeight="1" x14ac:dyDescent="0.25">
      <c r="A86" s="85"/>
      <c r="B86" s="41" t="str">
        <f>IF(A86="","",IFERROR(VLOOKUP(A86,DB_Customers!$A:$D,4,0),"❌ Account Not Found"))</f>
        <v/>
      </c>
      <c r="C86" s="86" t="str">
        <f>IF(A86="","",IFERROR(IF(SUMIF(DB_Savings!$C:$C,A86,DB_Savings!$F:$F)=0,VLOOKUP(A86,DB_Customers!$A:$I,9,0),VLOOKUP(A86,DB_Customers!$A:$N,14,0)),"❌ Acct Not Found"))</f>
        <v/>
      </c>
      <c r="D86" s="87" t="str">
        <f t="shared" ca="1" si="6"/>
        <v/>
      </c>
      <c r="E86" s="79"/>
      <c r="F86" s="88" t="str">
        <f t="shared" si="7"/>
        <v/>
      </c>
      <c r="G86" s="43" t="s">
        <v>137</v>
      </c>
      <c r="H86" s="81"/>
      <c r="I86" s="89" t="str">
        <f>IF(A86="","Pending",IF(H86="","⚠️ Enter Agent Code",IF(IFERROR(VLOOKUP(G86,DB_Agents!$B:$I,8,0),"")=H86,IF(AND(A86&lt;&gt;"",E86&lt;&gt;""),"Saved","Pending"),"🔒 BLOCKED — Wrong Code")))</f>
        <v>Pending</v>
      </c>
      <c r="J86" s="90" t="str">
        <f t="shared" ca="1" si="8"/>
        <v>—</v>
      </c>
      <c r="K86" s="91"/>
    </row>
    <row r="87" spans="1:11" ht="15" customHeight="1" x14ac:dyDescent="0.25">
      <c r="A87" s="76"/>
      <c r="B87" s="37" t="str">
        <f>IF(A87="","",IFERROR(VLOOKUP(A87,DB_Customers!$A:$D,4,0),"❌ Account Not Found"))</f>
        <v/>
      </c>
      <c r="C87" s="77" t="str">
        <f>IF(A87="","",IFERROR(IF(SUMIF(DB_Savings!$C:$C,A87,DB_Savings!$F:$F)=0,VLOOKUP(A87,DB_Customers!$A:$I,9,0),VLOOKUP(A87,DB_Customers!$A:$N,14,0)),"❌ Acct Not Found"))</f>
        <v/>
      </c>
      <c r="D87" s="78" t="str">
        <f t="shared" ca="1" si="6"/>
        <v/>
      </c>
      <c r="E87" s="79"/>
      <c r="F87" s="80" t="str">
        <f t="shared" si="7"/>
        <v/>
      </c>
      <c r="G87" s="39" t="s">
        <v>137</v>
      </c>
      <c r="H87" s="81"/>
      <c r="I87" s="82" t="str">
        <f>IF(A87="","Pending",IF(H87="","⚠️ Enter Agent Code",IF(IFERROR(VLOOKUP(G87,DB_Agents!$B:$I,8,0),"")=H87,IF(AND(A87&lt;&gt;"",E87&lt;&gt;""),"Saved","Pending"),"🔒 BLOCKED — Wrong Code")))</f>
        <v>Pending</v>
      </c>
      <c r="J87" s="83" t="str">
        <f t="shared" ca="1" si="8"/>
        <v>—</v>
      </c>
      <c r="K87" s="84"/>
    </row>
    <row r="88" spans="1:11" ht="15" customHeight="1" x14ac:dyDescent="0.25">
      <c r="A88" s="85"/>
      <c r="B88" s="41" t="str">
        <f>IF(A88="","",IFERROR(VLOOKUP(A88,DB_Customers!$A:$D,4,0),"❌ Account Not Found"))</f>
        <v/>
      </c>
      <c r="C88" s="86" t="str">
        <f>IF(A88="","",IFERROR(IF(SUMIF(DB_Savings!$C:$C,A88,DB_Savings!$F:$F)=0,VLOOKUP(A88,DB_Customers!$A:$I,9,0),VLOOKUP(A88,DB_Customers!$A:$N,14,0)),"❌ Acct Not Found"))</f>
        <v/>
      </c>
      <c r="D88" s="87" t="str">
        <f t="shared" ca="1" si="6"/>
        <v/>
      </c>
      <c r="E88" s="79"/>
      <c r="F88" s="88" t="str">
        <f t="shared" si="7"/>
        <v/>
      </c>
      <c r="G88" s="43" t="s">
        <v>137</v>
      </c>
      <c r="H88" s="81"/>
      <c r="I88" s="89" t="str">
        <f>IF(A88="","Pending",IF(H88="","⚠️ Enter Agent Code",IF(IFERROR(VLOOKUP(G88,DB_Agents!$B:$I,8,0),"")=H88,IF(AND(A88&lt;&gt;"",E88&lt;&gt;""),"Saved","Pending"),"🔒 BLOCKED — Wrong Code")))</f>
        <v>Pending</v>
      </c>
      <c r="J88" s="90" t="str">
        <f t="shared" ca="1" si="8"/>
        <v>—</v>
      </c>
      <c r="K88" s="91"/>
    </row>
    <row r="89" spans="1:11" ht="15" customHeight="1" x14ac:dyDescent="0.25">
      <c r="A89" s="76"/>
      <c r="B89" s="37" t="str">
        <f>IF(A89="","",IFERROR(VLOOKUP(A89,DB_Customers!$A:$D,4,0),"❌ Account Not Found"))</f>
        <v/>
      </c>
      <c r="C89" s="77" t="str">
        <f>IF(A89="","",IFERROR(IF(SUMIF(DB_Savings!$C:$C,A89,DB_Savings!$F:$F)=0,VLOOKUP(A89,DB_Customers!$A:$I,9,0),VLOOKUP(A89,DB_Customers!$A:$N,14,0)),"❌ Acct Not Found"))</f>
        <v/>
      </c>
      <c r="D89" s="78" t="str">
        <f t="shared" ca="1" si="6"/>
        <v/>
      </c>
      <c r="E89" s="79"/>
      <c r="F89" s="80" t="str">
        <f t="shared" si="7"/>
        <v/>
      </c>
      <c r="G89" s="39" t="s">
        <v>137</v>
      </c>
      <c r="H89" s="81"/>
      <c r="I89" s="82" t="str">
        <f>IF(A89="","Pending",IF(H89="","⚠️ Enter Agent Code",IF(IFERROR(VLOOKUP(G89,DB_Agents!$B:$I,8,0),"")=H89,IF(AND(A89&lt;&gt;"",E89&lt;&gt;""),"Saved","Pending"),"🔒 BLOCKED — Wrong Code")))</f>
        <v>Pending</v>
      </c>
      <c r="J89" s="83" t="str">
        <f t="shared" ca="1" si="8"/>
        <v>—</v>
      </c>
      <c r="K89" s="84"/>
    </row>
    <row r="90" spans="1:11" ht="15" customHeight="1" x14ac:dyDescent="0.25">
      <c r="A90" s="85"/>
      <c r="B90" s="41" t="str">
        <f>IF(A90="","",IFERROR(VLOOKUP(A90,DB_Customers!$A:$D,4,0),"❌ Account Not Found"))</f>
        <v/>
      </c>
      <c r="C90" s="86" t="str">
        <f>IF(A90="","",IFERROR(IF(SUMIF(DB_Savings!$C:$C,A90,DB_Savings!$F:$F)=0,VLOOKUP(A90,DB_Customers!$A:$I,9,0),VLOOKUP(A90,DB_Customers!$A:$N,14,0)),"❌ Acct Not Found"))</f>
        <v/>
      </c>
      <c r="D90" s="87" t="str">
        <f t="shared" ca="1" si="6"/>
        <v/>
      </c>
      <c r="E90" s="79"/>
      <c r="F90" s="88" t="str">
        <f t="shared" si="7"/>
        <v/>
      </c>
      <c r="G90" s="43" t="s">
        <v>137</v>
      </c>
      <c r="H90" s="81"/>
      <c r="I90" s="89" t="str">
        <f>IF(A90="","Pending",IF(H90="","⚠️ Enter Agent Code",IF(IFERROR(VLOOKUP(G90,DB_Agents!$B:$I,8,0),"")=H90,IF(AND(A90&lt;&gt;"",E90&lt;&gt;""),"Saved","Pending"),"🔒 BLOCKED — Wrong Code")))</f>
        <v>Pending</v>
      </c>
      <c r="J90" s="90" t="str">
        <f t="shared" ca="1" si="8"/>
        <v>—</v>
      </c>
      <c r="K90" s="91"/>
    </row>
    <row r="91" spans="1:11" ht="15" customHeight="1" x14ac:dyDescent="0.25">
      <c r="A91" s="76"/>
      <c r="B91" s="37" t="str">
        <f>IF(A91="","",IFERROR(VLOOKUP(A91,DB_Customers!$A:$D,4,0),"❌ Account Not Found"))</f>
        <v/>
      </c>
      <c r="C91" s="77" t="str">
        <f>IF(A91="","",IFERROR(IF(SUMIF(DB_Savings!$C:$C,A91,DB_Savings!$F:$F)=0,VLOOKUP(A91,DB_Customers!$A:$I,9,0),VLOOKUP(A91,DB_Customers!$A:$N,14,0)),"❌ Acct Not Found"))</f>
        <v/>
      </c>
      <c r="D91" s="78" t="str">
        <f t="shared" ca="1" si="6"/>
        <v/>
      </c>
      <c r="E91" s="79"/>
      <c r="F91" s="80" t="str">
        <f t="shared" si="7"/>
        <v/>
      </c>
      <c r="G91" s="39" t="s">
        <v>137</v>
      </c>
      <c r="H91" s="81"/>
      <c r="I91" s="82" t="str">
        <f>IF(A91="","Pending",IF(H91="","⚠️ Enter Agent Code",IF(IFERROR(VLOOKUP(G91,DB_Agents!$B:$I,8,0),"")=H91,IF(AND(A91&lt;&gt;"",E91&lt;&gt;""),"Saved","Pending"),"🔒 BLOCKED — Wrong Code")))</f>
        <v>Pending</v>
      </c>
      <c r="J91" s="83" t="str">
        <f t="shared" ca="1" si="8"/>
        <v>—</v>
      </c>
      <c r="K91" s="84"/>
    </row>
    <row r="92" spans="1:11" ht="15" customHeight="1" x14ac:dyDescent="0.25">
      <c r="A92" s="85"/>
      <c r="B92" s="41" t="str">
        <f>IF(A92="","",IFERROR(VLOOKUP(A92,DB_Customers!$A:$D,4,0),"❌ Account Not Found"))</f>
        <v/>
      </c>
      <c r="C92" s="86" t="str">
        <f>IF(A92="","",IFERROR(IF(SUMIF(DB_Savings!$C:$C,A92,DB_Savings!$F:$F)=0,VLOOKUP(A92,DB_Customers!$A:$I,9,0),VLOOKUP(A92,DB_Customers!$A:$N,14,0)),"❌ Acct Not Found"))</f>
        <v/>
      </c>
      <c r="D92" s="87" t="str">
        <f t="shared" ca="1" si="6"/>
        <v/>
      </c>
      <c r="E92" s="79"/>
      <c r="F92" s="88" t="str">
        <f t="shared" si="7"/>
        <v/>
      </c>
      <c r="G92" s="43" t="s">
        <v>137</v>
      </c>
      <c r="H92" s="81"/>
      <c r="I92" s="89" t="str">
        <f>IF(A92="","Pending",IF(H92="","⚠️ Enter Agent Code",IF(IFERROR(VLOOKUP(G92,DB_Agents!$B:$I,8,0),"")=H92,IF(AND(A92&lt;&gt;"",E92&lt;&gt;""),"Saved","Pending"),"🔒 BLOCKED — Wrong Code")))</f>
        <v>Pending</v>
      </c>
      <c r="J92" s="90" t="str">
        <f t="shared" ca="1" si="8"/>
        <v>—</v>
      </c>
      <c r="K92" s="91"/>
    </row>
    <row r="93" spans="1:11" ht="15" customHeight="1" x14ac:dyDescent="0.25">
      <c r="A93" s="76"/>
      <c r="B93" s="37" t="str">
        <f>IF(A93="","",IFERROR(VLOOKUP(A93,DB_Customers!$A:$D,4,0),"❌ Account Not Found"))</f>
        <v/>
      </c>
      <c r="C93" s="77" t="str">
        <f>IF(A93="","",IFERROR(IF(SUMIF(DB_Savings!$C:$C,A93,DB_Savings!$F:$F)=0,VLOOKUP(A93,DB_Customers!$A:$I,9,0),VLOOKUP(A93,DB_Customers!$A:$N,14,0)),"❌ Acct Not Found"))</f>
        <v/>
      </c>
      <c r="D93" s="78" t="str">
        <f t="shared" ca="1" si="6"/>
        <v/>
      </c>
      <c r="E93" s="79"/>
      <c r="F93" s="80" t="str">
        <f t="shared" si="7"/>
        <v/>
      </c>
      <c r="G93" s="39" t="s">
        <v>137</v>
      </c>
      <c r="H93" s="81"/>
      <c r="I93" s="82" t="str">
        <f>IF(A93="","Pending",IF(H93="","⚠️ Enter Agent Code",IF(IFERROR(VLOOKUP(G93,DB_Agents!$B:$I,8,0),"")=H93,IF(AND(A93&lt;&gt;"",E93&lt;&gt;""),"Saved","Pending"),"🔒 BLOCKED — Wrong Code")))</f>
        <v>Pending</v>
      </c>
      <c r="J93" s="83" t="str">
        <f t="shared" ca="1" si="8"/>
        <v>—</v>
      </c>
      <c r="K93" s="84"/>
    </row>
    <row r="94" spans="1:11" ht="15" customHeight="1" x14ac:dyDescent="0.25">
      <c r="A94" s="85"/>
      <c r="B94" s="41" t="str">
        <f>IF(A94="","",IFERROR(VLOOKUP(A94,DB_Customers!$A:$D,4,0),"❌ Account Not Found"))</f>
        <v/>
      </c>
      <c r="C94" s="86" t="str">
        <f>IF(A94="","",IFERROR(IF(SUMIF(DB_Savings!$C:$C,A94,DB_Savings!$F:$F)=0,VLOOKUP(A94,DB_Customers!$A:$I,9,0),VLOOKUP(A94,DB_Customers!$A:$N,14,0)),"❌ Acct Not Found"))</f>
        <v/>
      </c>
      <c r="D94" s="87" t="str">
        <f t="shared" ca="1" si="6"/>
        <v/>
      </c>
      <c r="E94" s="79"/>
      <c r="F94" s="88" t="str">
        <f t="shared" si="7"/>
        <v/>
      </c>
      <c r="G94" s="43" t="s">
        <v>137</v>
      </c>
      <c r="H94" s="81"/>
      <c r="I94" s="89" t="str">
        <f>IF(A94="","Pending",IF(H94="","⚠️ Enter Agent Code",IF(IFERROR(VLOOKUP(G94,DB_Agents!$B:$I,8,0),"")=H94,IF(AND(A94&lt;&gt;"",E94&lt;&gt;""),"Saved","Pending"),"🔒 BLOCKED — Wrong Code")))</f>
        <v>Pending</v>
      </c>
      <c r="J94" s="90" t="str">
        <f t="shared" ca="1" si="8"/>
        <v>—</v>
      </c>
      <c r="K94" s="91"/>
    </row>
    <row r="95" spans="1:11" ht="15" customHeight="1" x14ac:dyDescent="0.25">
      <c r="A95" s="76"/>
      <c r="B95" s="37" t="str">
        <f>IF(A95="","",IFERROR(VLOOKUP(A95,DB_Customers!$A:$D,4,0),"❌ Account Not Found"))</f>
        <v/>
      </c>
      <c r="C95" s="77" t="str">
        <f>IF(A95="","",IFERROR(IF(SUMIF(DB_Savings!$C:$C,A95,DB_Savings!$F:$F)=0,VLOOKUP(A95,DB_Customers!$A:$I,9,0),VLOOKUP(A95,DB_Customers!$A:$N,14,0)),"❌ Acct Not Found"))</f>
        <v/>
      </c>
      <c r="D95" s="78" t="str">
        <f t="shared" ca="1" si="6"/>
        <v/>
      </c>
      <c r="E95" s="79"/>
      <c r="F95" s="80" t="str">
        <f t="shared" si="7"/>
        <v/>
      </c>
      <c r="G95" s="39" t="s">
        <v>137</v>
      </c>
      <c r="H95" s="81"/>
      <c r="I95" s="82" t="str">
        <f>IF(A95="","Pending",IF(H95="","⚠️ Enter Agent Code",IF(IFERROR(VLOOKUP(G95,DB_Agents!$B:$I,8,0),"")=H95,IF(AND(A95&lt;&gt;"",E95&lt;&gt;""),"Saved","Pending"),"🔒 BLOCKED — Wrong Code")))</f>
        <v>Pending</v>
      </c>
      <c r="J95" s="83" t="str">
        <f t="shared" ca="1" si="8"/>
        <v>—</v>
      </c>
      <c r="K95" s="84"/>
    </row>
    <row r="96" spans="1:11" ht="15" customHeight="1" x14ac:dyDescent="0.25">
      <c r="A96" s="85"/>
      <c r="B96" s="41" t="str">
        <f>IF(A96="","",IFERROR(VLOOKUP(A96,DB_Customers!$A:$D,4,0),"❌ Account Not Found"))</f>
        <v/>
      </c>
      <c r="C96" s="86" t="str">
        <f>IF(A96="","",IFERROR(IF(SUMIF(DB_Savings!$C:$C,A96,DB_Savings!$F:$F)=0,VLOOKUP(A96,DB_Customers!$A:$I,9,0),VLOOKUP(A96,DB_Customers!$A:$N,14,0)),"❌ Acct Not Found"))</f>
        <v/>
      </c>
      <c r="D96" s="87" t="str">
        <f t="shared" ca="1" si="6"/>
        <v/>
      </c>
      <c r="E96" s="79"/>
      <c r="F96" s="88" t="str">
        <f t="shared" si="7"/>
        <v/>
      </c>
      <c r="G96" s="43" t="s">
        <v>137</v>
      </c>
      <c r="H96" s="81"/>
      <c r="I96" s="89" t="str">
        <f>IF(A96="","Pending",IF(H96="","⚠️ Enter Agent Code",IF(IFERROR(VLOOKUP(G96,DB_Agents!$B:$I,8,0),"")=H96,IF(AND(A96&lt;&gt;"",E96&lt;&gt;""),"Saved","Pending"),"🔒 BLOCKED — Wrong Code")))</f>
        <v>Pending</v>
      </c>
      <c r="J96" s="90" t="str">
        <f t="shared" ca="1" si="8"/>
        <v>—</v>
      </c>
      <c r="K96" s="91"/>
    </row>
    <row r="97" spans="1:11" ht="15" customHeight="1" x14ac:dyDescent="0.25">
      <c r="A97" s="76"/>
      <c r="B97" s="37" t="str">
        <f>IF(A97="","",IFERROR(VLOOKUP(A97,DB_Customers!$A:$D,4,0),"❌ Account Not Found"))</f>
        <v/>
      </c>
      <c r="C97" s="77" t="str">
        <f>IF(A97="","",IFERROR(IF(SUMIF(DB_Savings!$C:$C,A97,DB_Savings!$F:$F)=0,VLOOKUP(A97,DB_Customers!$A:$I,9,0),VLOOKUP(A97,DB_Customers!$A:$N,14,0)),"❌ Acct Not Found"))</f>
        <v/>
      </c>
      <c r="D97" s="78" t="str">
        <f t="shared" ca="1" si="6"/>
        <v/>
      </c>
      <c r="E97" s="79"/>
      <c r="F97" s="80" t="str">
        <f t="shared" si="7"/>
        <v/>
      </c>
      <c r="G97" s="39" t="s">
        <v>137</v>
      </c>
      <c r="H97" s="81"/>
      <c r="I97" s="82" t="str">
        <f>IF(A97="","Pending",IF(H97="","⚠️ Enter Agent Code",IF(IFERROR(VLOOKUP(G97,DB_Agents!$B:$I,8,0),"")=H97,IF(AND(A97&lt;&gt;"",E97&lt;&gt;""),"Saved","Pending"),"🔒 BLOCKED — Wrong Code")))</f>
        <v>Pending</v>
      </c>
      <c r="J97" s="83" t="str">
        <f t="shared" ca="1" si="8"/>
        <v>—</v>
      </c>
      <c r="K97" s="84"/>
    </row>
    <row r="98" spans="1:11" ht="15" customHeight="1" x14ac:dyDescent="0.25">
      <c r="A98" s="85"/>
      <c r="B98" s="41" t="str">
        <f>IF(A98="","",IFERROR(VLOOKUP(A98,DB_Customers!$A:$D,4,0),"❌ Account Not Found"))</f>
        <v/>
      </c>
      <c r="C98" s="86" t="str">
        <f>IF(A98="","",IFERROR(IF(SUMIF(DB_Savings!$C:$C,A98,DB_Savings!$F:$F)=0,VLOOKUP(A98,DB_Customers!$A:$I,9,0),VLOOKUP(A98,DB_Customers!$A:$N,14,0)),"❌ Acct Not Found"))</f>
        <v/>
      </c>
      <c r="D98" s="87" t="str">
        <f t="shared" ca="1" si="6"/>
        <v/>
      </c>
      <c r="E98" s="79"/>
      <c r="F98" s="88" t="str">
        <f t="shared" si="7"/>
        <v/>
      </c>
      <c r="G98" s="43" t="s">
        <v>137</v>
      </c>
      <c r="H98" s="81"/>
      <c r="I98" s="89" t="str">
        <f>IF(A98="","Pending",IF(H98="","⚠️ Enter Agent Code",IF(IFERROR(VLOOKUP(G98,DB_Agents!$B:$I,8,0),"")=H98,IF(AND(A98&lt;&gt;"",E98&lt;&gt;""),"Saved","Pending"),"🔒 BLOCKED — Wrong Code")))</f>
        <v>Pending</v>
      </c>
      <c r="J98" s="90" t="str">
        <f t="shared" ca="1" si="8"/>
        <v>—</v>
      </c>
      <c r="K98" s="91"/>
    </row>
    <row r="99" spans="1:11" ht="15" customHeight="1" x14ac:dyDescent="0.25">
      <c r="A99" s="76"/>
      <c r="B99" s="37" t="str">
        <f>IF(A99="","",IFERROR(VLOOKUP(A99,DB_Customers!$A:$D,4,0),"❌ Account Not Found"))</f>
        <v/>
      </c>
      <c r="C99" s="77" t="str">
        <f>IF(A99="","",IFERROR(IF(SUMIF(DB_Savings!$C:$C,A99,DB_Savings!$F:$F)=0,VLOOKUP(A99,DB_Customers!$A:$I,9,0),VLOOKUP(A99,DB_Customers!$A:$N,14,0)),"❌ Acct Not Found"))</f>
        <v/>
      </c>
      <c r="D99" s="78" t="str">
        <f t="shared" ca="1" si="6"/>
        <v/>
      </c>
      <c r="E99" s="79"/>
      <c r="F99" s="80" t="str">
        <f t="shared" si="7"/>
        <v/>
      </c>
      <c r="G99" s="39" t="s">
        <v>137</v>
      </c>
      <c r="H99" s="81"/>
      <c r="I99" s="82" t="str">
        <f>IF(A99="","Pending",IF(H99="","⚠️ Enter Agent Code",IF(IFERROR(VLOOKUP(G99,DB_Agents!$B:$I,8,0),"")=H99,IF(AND(A99&lt;&gt;"",E99&lt;&gt;""),"Saved","Pending"),"🔒 BLOCKED — Wrong Code")))</f>
        <v>Pending</v>
      </c>
      <c r="J99" s="83" t="str">
        <f t="shared" ca="1" si="8"/>
        <v>—</v>
      </c>
      <c r="K99" s="84"/>
    </row>
    <row r="100" spans="1:11" ht="15" customHeight="1" x14ac:dyDescent="0.25">
      <c r="A100" s="85"/>
      <c r="B100" s="41" t="str">
        <f>IF(A100="","",IFERROR(VLOOKUP(A100,DB_Customers!$A:$D,4,0),"❌ Account Not Found"))</f>
        <v/>
      </c>
      <c r="C100" s="86" t="str">
        <f>IF(A100="","",IFERROR(IF(SUMIF(DB_Savings!$C:$C,A100,DB_Savings!$F:$F)=0,VLOOKUP(A100,DB_Customers!$A:$I,9,0),VLOOKUP(A100,DB_Customers!$A:$N,14,0)),"❌ Acct Not Found"))</f>
        <v/>
      </c>
      <c r="D100" s="87" t="str">
        <f t="shared" ca="1" si="6"/>
        <v/>
      </c>
      <c r="E100" s="79"/>
      <c r="F100" s="88" t="str">
        <f t="shared" si="7"/>
        <v/>
      </c>
      <c r="G100" s="43" t="s">
        <v>137</v>
      </c>
      <c r="H100" s="81"/>
      <c r="I100" s="89" t="str">
        <f>IF(A100="","Pending",IF(H100="","⚠️ Enter Agent Code",IF(IFERROR(VLOOKUP(G100,DB_Agents!$B:$I,8,0),"")=H100,IF(AND(A100&lt;&gt;"",E100&lt;&gt;""),"Saved","Pending"),"🔒 BLOCKED — Wrong Code")))</f>
        <v>Pending</v>
      </c>
      <c r="J100" s="90" t="str">
        <f t="shared" ca="1" si="8"/>
        <v>—</v>
      </c>
      <c r="K100" s="91"/>
    </row>
    <row r="101" spans="1:11" ht="15" customHeight="1" x14ac:dyDescent="0.25">
      <c r="A101" s="76"/>
      <c r="B101" s="37" t="str">
        <f>IF(A101="","",IFERROR(VLOOKUP(A101,DB_Customers!$A:$D,4,0),"❌ Account Not Found"))</f>
        <v/>
      </c>
      <c r="C101" s="77" t="str">
        <f>IF(A101="","",IFERROR(IF(SUMIF(DB_Savings!$C:$C,A101,DB_Savings!$F:$F)=0,VLOOKUP(A101,DB_Customers!$A:$I,9,0),VLOOKUP(A101,DB_Customers!$A:$N,14,0)),"❌ Acct Not Found"))</f>
        <v/>
      </c>
      <c r="D101" s="78" t="str">
        <f t="shared" ca="1" si="6"/>
        <v/>
      </c>
      <c r="E101" s="79"/>
      <c r="F101" s="80" t="str">
        <f t="shared" si="7"/>
        <v/>
      </c>
      <c r="G101" s="39" t="s">
        <v>137</v>
      </c>
      <c r="H101" s="81"/>
      <c r="I101" s="82" t="str">
        <f>IF(A101="","Pending",IF(H101="","⚠️ Enter Agent Code",IF(IFERROR(VLOOKUP(G101,DB_Agents!$B:$I,8,0),"")=H101,IF(AND(A101&lt;&gt;"",E101&lt;&gt;""),"Saved","Pending"),"🔒 BLOCKED — Wrong Code")))</f>
        <v>Pending</v>
      </c>
      <c r="J101" s="83" t="str">
        <f t="shared" ca="1" si="8"/>
        <v>—</v>
      </c>
      <c r="K101" s="84"/>
    </row>
    <row r="102" spans="1:11" ht="15" customHeight="1" x14ac:dyDescent="0.25">
      <c r="A102" s="85"/>
      <c r="B102" s="41" t="str">
        <f>IF(A102="","",IFERROR(VLOOKUP(A102,DB_Customers!$A:$D,4,0),"❌ Account Not Found"))</f>
        <v/>
      </c>
      <c r="C102" s="86" t="str">
        <f>IF(A102="","",IFERROR(IF(SUMIF(DB_Savings!$C:$C,A102,DB_Savings!$F:$F)=0,VLOOKUP(A102,DB_Customers!$A:$I,9,0),VLOOKUP(A102,DB_Customers!$A:$N,14,0)),"❌ Acct Not Found"))</f>
        <v/>
      </c>
      <c r="D102" s="87" t="str">
        <f t="shared" ca="1" si="6"/>
        <v/>
      </c>
      <c r="E102" s="79"/>
      <c r="F102" s="88" t="str">
        <f t="shared" si="7"/>
        <v/>
      </c>
      <c r="G102" s="43" t="s">
        <v>137</v>
      </c>
      <c r="H102" s="81"/>
      <c r="I102" s="89" t="str">
        <f>IF(A102="","Pending",IF(H102="","⚠️ Enter Agent Code",IF(IFERROR(VLOOKUP(G102,DB_Agents!$B:$I,8,0),"")=H102,IF(AND(A102&lt;&gt;"",E102&lt;&gt;""),"Saved","Pending"),"🔒 BLOCKED — Wrong Code")))</f>
        <v>Pending</v>
      </c>
      <c r="J102" s="90" t="str">
        <f t="shared" ca="1" si="8"/>
        <v>—</v>
      </c>
      <c r="K102" s="91"/>
    </row>
    <row r="103" spans="1:11" ht="15" customHeight="1" x14ac:dyDescent="0.25">
      <c r="A103" s="76"/>
      <c r="B103" s="37" t="str">
        <f>IF(A103="","",IFERROR(VLOOKUP(A103,DB_Customers!$A:$D,4,0),"❌ Account Not Found"))</f>
        <v/>
      </c>
      <c r="C103" s="77" t="str">
        <f>IF(A103="","",IFERROR(IF(SUMIF(DB_Savings!$C:$C,A103,DB_Savings!$F:$F)=0,VLOOKUP(A103,DB_Customers!$A:$I,9,0),VLOOKUP(A103,DB_Customers!$A:$N,14,0)),"❌ Acct Not Found"))</f>
        <v/>
      </c>
      <c r="D103" s="78" t="str">
        <f t="shared" ca="1" si="6"/>
        <v/>
      </c>
      <c r="E103" s="79"/>
      <c r="F103" s="80" t="str">
        <f t="shared" si="7"/>
        <v/>
      </c>
      <c r="G103" s="39" t="s">
        <v>137</v>
      </c>
      <c r="H103" s="81"/>
      <c r="I103" s="82" t="str">
        <f>IF(A103="","Pending",IF(H103="","⚠️ Enter Agent Code",IF(IFERROR(VLOOKUP(G103,DB_Agents!$B:$I,8,0),"")=H103,IF(AND(A103&lt;&gt;"",E103&lt;&gt;""),"Saved","Pending"),"🔒 BLOCKED — Wrong Code")))</f>
        <v>Pending</v>
      </c>
      <c r="J103" s="83" t="str">
        <f t="shared" ca="1" si="8"/>
        <v>—</v>
      </c>
      <c r="K103" s="84"/>
    </row>
    <row r="104" spans="1:11" ht="15" customHeight="1" x14ac:dyDescent="0.25">
      <c r="A104" s="85"/>
      <c r="B104" s="41" t="str">
        <f>IF(A104="","",IFERROR(VLOOKUP(A104,DB_Customers!$A:$D,4,0),"❌ Account Not Found"))</f>
        <v/>
      </c>
      <c r="C104" s="86" t="str">
        <f>IF(A104="","",IFERROR(IF(SUMIF(DB_Savings!$C:$C,A104,DB_Savings!$F:$F)=0,VLOOKUP(A104,DB_Customers!$A:$I,9,0),VLOOKUP(A104,DB_Customers!$A:$N,14,0)),"❌ Acct Not Found"))</f>
        <v/>
      </c>
      <c r="D104" s="87" t="str">
        <f t="shared" ca="1" si="6"/>
        <v/>
      </c>
      <c r="E104" s="79"/>
      <c r="F104" s="88" t="str">
        <f t="shared" si="7"/>
        <v/>
      </c>
      <c r="G104" s="43" t="s">
        <v>137</v>
      </c>
      <c r="H104" s="81"/>
      <c r="I104" s="89" t="str">
        <f>IF(A104="","Pending",IF(H104="","⚠️ Enter Agent Code",IF(IFERROR(VLOOKUP(G104,DB_Agents!$B:$I,8,0),"")=H104,IF(AND(A104&lt;&gt;"",E104&lt;&gt;""),"Saved","Pending"),"🔒 BLOCKED — Wrong Code")))</f>
        <v>Pending</v>
      </c>
      <c r="J104" s="90" t="str">
        <f t="shared" ca="1" si="8"/>
        <v>—</v>
      </c>
      <c r="K104" s="91"/>
    </row>
    <row r="105" spans="1:11" ht="15" customHeight="1" x14ac:dyDescent="0.25">
      <c r="A105" s="76"/>
      <c r="B105" s="37" t="str">
        <f>IF(A105="","",IFERROR(VLOOKUP(A105,DB_Customers!$A:$D,4,0),"❌ Account Not Found"))</f>
        <v/>
      </c>
      <c r="C105" s="77" t="str">
        <f>IF(A105="","",IFERROR(IF(SUMIF(DB_Savings!$C:$C,A105,DB_Savings!$F:$F)=0,VLOOKUP(A105,DB_Customers!$A:$I,9,0),VLOOKUP(A105,DB_Customers!$A:$N,14,0)),"❌ Acct Not Found"))</f>
        <v/>
      </c>
      <c r="D105" s="78" t="str">
        <f t="shared" ref="D105:D136" ca="1" si="9">IF(A105="","",TODAY())</f>
        <v/>
      </c>
      <c r="E105" s="79"/>
      <c r="F105" s="80" t="str">
        <f t="shared" ref="F105:F136" si="10">IF(OR(A105="",E105=""),"",IF(C105="","",C105+E105))</f>
        <v/>
      </c>
      <c r="G105" s="39" t="s">
        <v>137</v>
      </c>
      <c r="H105" s="81"/>
      <c r="I105" s="82" t="str">
        <f>IF(A105="","Pending",IF(H105="","⚠️ Enter Agent Code",IF(IFERROR(VLOOKUP(G105,DB_Agents!$B:$I,8,0),"")=H105,IF(AND(A105&lt;&gt;"",E105&lt;&gt;""),"Saved","Pending"),"🔒 BLOCKED — Wrong Code")))</f>
        <v>Pending</v>
      </c>
      <c r="J105" s="83" t="str">
        <f t="shared" ref="J105:J136" ca="1" si="11">IF(I105="Saved",TEXT(TODAY(),"YYYY-MM-DD")&amp;" Auto","—")</f>
        <v>—</v>
      </c>
      <c r="K105" s="84"/>
    </row>
    <row r="106" spans="1:11" ht="15" customHeight="1" x14ac:dyDescent="0.25">
      <c r="A106" s="85"/>
      <c r="B106" s="41" t="str">
        <f>IF(A106="","",IFERROR(VLOOKUP(A106,DB_Customers!$A:$D,4,0),"❌ Account Not Found"))</f>
        <v/>
      </c>
      <c r="C106" s="86" t="str">
        <f>IF(A106="","",IFERROR(IF(SUMIF(DB_Savings!$C:$C,A106,DB_Savings!$F:$F)=0,VLOOKUP(A106,DB_Customers!$A:$I,9,0),VLOOKUP(A106,DB_Customers!$A:$N,14,0)),"❌ Acct Not Found"))</f>
        <v/>
      </c>
      <c r="D106" s="87" t="str">
        <f t="shared" ca="1" si="9"/>
        <v/>
      </c>
      <c r="E106" s="79"/>
      <c r="F106" s="88" t="str">
        <f t="shared" si="10"/>
        <v/>
      </c>
      <c r="G106" s="43" t="s">
        <v>137</v>
      </c>
      <c r="H106" s="81"/>
      <c r="I106" s="89" t="str">
        <f>IF(A106="","Pending",IF(H106="","⚠️ Enter Agent Code",IF(IFERROR(VLOOKUP(G106,DB_Agents!$B:$I,8,0),"")=H106,IF(AND(A106&lt;&gt;"",E106&lt;&gt;""),"Saved","Pending"),"🔒 BLOCKED — Wrong Code")))</f>
        <v>Pending</v>
      </c>
      <c r="J106" s="90" t="str">
        <f t="shared" ca="1" si="11"/>
        <v>—</v>
      </c>
      <c r="K106" s="91"/>
    </row>
    <row r="107" spans="1:11" ht="15" customHeight="1" x14ac:dyDescent="0.25">
      <c r="A107" s="76"/>
      <c r="B107" s="37" t="str">
        <f>IF(A107="","",IFERROR(VLOOKUP(A107,DB_Customers!$A:$D,4,0),"❌ Account Not Found"))</f>
        <v/>
      </c>
      <c r="C107" s="77" t="str">
        <f>IF(A107="","",IFERROR(IF(SUMIF(DB_Savings!$C:$C,A107,DB_Savings!$F:$F)=0,VLOOKUP(A107,DB_Customers!$A:$I,9,0),VLOOKUP(A107,DB_Customers!$A:$N,14,0)),"❌ Acct Not Found"))</f>
        <v/>
      </c>
      <c r="D107" s="78" t="str">
        <f t="shared" ca="1" si="9"/>
        <v/>
      </c>
      <c r="E107" s="79"/>
      <c r="F107" s="80" t="str">
        <f t="shared" si="10"/>
        <v/>
      </c>
      <c r="G107" s="39" t="s">
        <v>137</v>
      </c>
      <c r="H107" s="81"/>
      <c r="I107" s="82" t="str">
        <f>IF(A107="","Pending",IF(H107="","⚠️ Enter Agent Code",IF(IFERROR(VLOOKUP(G107,DB_Agents!$B:$I,8,0),"")=H107,IF(AND(A107&lt;&gt;"",E107&lt;&gt;""),"Saved","Pending"),"🔒 BLOCKED — Wrong Code")))</f>
        <v>Pending</v>
      </c>
      <c r="J107" s="83" t="str">
        <f t="shared" ca="1" si="11"/>
        <v>—</v>
      </c>
      <c r="K107" s="84"/>
    </row>
    <row r="108" spans="1:11" ht="15" customHeight="1" x14ac:dyDescent="0.25">
      <c r="A108" s="85"/>
      <c r="B108" s="41" t="str">
        <f>IF(A108="","",IFERROR(VLOOKUP(A108,DB_Customers!$A:$D,4,0),"❌ Account Not Found"))</f>
        <v/>
      </c>
      <c r="C108" s="86" t="str">
        <f>IF(A108="","",IFERROR(IF(SUMIF(DB_Savings!$C:$C,A108,DB_Savings!$F:$F)=0,VLOOKUP(A108,DB_Customers!$A:$I,9,0),VLOOKUP(A108,DB_Customers!$A:$N,14,0)),"❌ Acct Not Found"))</f>
        <v/>
      </c>
      <c r="D108" s="87" t="str">
        <f t="shared" ca="1" si="9"/>
        <v/>
      </c>
      <c r="E108" s="79"/>
      <c r="F108" s="88" t="str">
        <f t="shared" si="10"/>
        <v/>
      </c>
      <c r="G108" s="43" t="s">
        <v>137</v>
      </c>
      <c r="H108" s="81"/>
      <c r="I108" s="89" t="str">
        <f>IF(A108="","Pending",IF(H108="","⚠️ Enter Agent Code",IF(IFERROR(VLOOKUP(G108,DB_Agents!$B:$I,8,0),"")=H108,IF(AND(A108&lt;&gt;"",E108&lt;&gt;""),"Saved","Pending"),"🔒 BLOCKED — Wrong Code")))</f>
        <v>Pending</v>
      </c>
      <c r="J108" s="90" t="str">
        <f t="shared" ca="1" si="11"/>
        <v>—</v>
      </c>
      <c r="K108" s="91"/>
    </row>
    <row r="109" spans="1:11" ht="15" customHeight="1" x14ac:dyDescent="0.25">
      <c r="A109" s="76"/>
      <c r="B109" s="37" t="str">
        <f>IF(A109="","",IFERROR(VLOOKUP(A109,DB_Customers!$A:$D,4,0),"❌ Account Not Found"))</f>
        <v/>
      </c>
      <c r="C109" s="77" t="str">
        <f>IF(A109="","",IFERROR(IF(SUMIF(DB_Savings!$C:$C,A109,DB_Savings!$F:$F)=0,VLOOKUP(A109,DB_Customers!$A:$I,9,0),VLOOKUP(A109,DB_Customers!$A:$N,14,0)),"❌ Acct Not Found"))</f>
        <v/>
      </c>
      <c r="D109" s="78" t="str">
        <f t="shared" ca="1" si="9"/>
        <v/>
      </c>
      <c r="E109" s="79"/>
      <c r="F109" s="80" t="str">
        <f t="shared" si="10"/>
        <v/>
      </c>
      <c r="G109" s="39" t="s">
        <v>137</v>
      </c>
      <c r="H109" s="81"/>
      <c r="I109" s="82" t="str">
        <f>IF(A109="","Pending",IF(H109="","⚠️ Enter Agent Code",IF(IFERROR(VLOOKUP(G109,DB_Agents!$B:$I,8,0),"")=H109,IF(AND(A109&lt;&gt;"",E109&lt;&gt;""),"Saved","Pending"),"🔒 BLOCKED — Wrong Code")))</f>
        <v>Pending</v>
      </c>
      <c r="J109" s="83" t="str">
        <f t="shared" ca="1" si="11"/>
        <v>—</v>
      </c>
      <c r="K109" s="84"/>
    </row>
    <row r="110" spans="1:11" ht="15" customHeight="1" x14ac:dyDescent="0.25">
      <c r="A110" s="85"/>
      <c r="B110" s="41" t="str">
        <f>IF(A110="","",IFERROR(VLOOKUP(A110,DB_Customers!$A:$D,4,0),"❌ Account Not Found"))</f>
        <v/>
      </c>
      <c r="C110" s="86" t="str">
        <f>IF(A110="","",IFERROR(IF(SUMIF(DB_Savings!$C:$C,A110,DB_Savings!$F:$F)=0,VLOOKUP(A110,DB_Customers!$A:$I,9,0),VLOOKUP(A110,DB_Customers!$A:$N,14,0)),"❌ Acct Not Found"))</f>
        <v/>
      </c>
      <c r="D110" s="87" t="str">
        <f t="shared" ca="1" si="9"/>
        <v/>
      </c>
      <c r="E110" s="79"/>
      <c r="F110" s="88" t="str">
        <f t="shared" si="10"/>
        <v/>
      </c>
      <c r="G110" s="43" t="s">
        <v>137</v>
      </c>
      <c r="H110" s="81"/>
      <c r="I110" s="89" t="str">
        <f>IF(A110="","Pending",IF(H110="","⚠️ Enter Agent Code",IF(IFERROR(VLOOKUP(G110,DB_Agents!$B:$I,8,0),"")=H110,IF(AND(A110&lt;&gt;"",E110&lt;&gt;""),"Saved","Pending"),"🔒 BLOCKED — Wrong Code")))</f>
        <v>Pending</v>
      </c>
      <c r="J110" s="90" t="str">
        <f t="shared" ca="1" si="11"/>
        <v>—</v>
      </c>
      <c r="K110" s="91"/>
    </row>
    <row r="111" spans="1:11" ht="15" customHeight="1" x14ac:dyDescent="0.25">
      <c r="A111" s="76"/>
      <c r="B111" s="37" t="str">
        <f>IF(A111="","",IFERROR(VLOOKUP(A111,DB_Customers!$A:$D,4,0),"❌ Account Not Found"))</f>
        <v/>
      </c>
      <c r="C111" s="77" t="str">
        <f>IF(A111="","",IFERROR(IF(SUMIF(DB_Savings!$C:$C,A111,DB_Savings!$F:$F)=0,VLOOKUP(A111,DB_Customers!$A:$I,9,0),VLOOKUP(A111,DB_Customers!$A:$N,14,0)),"❌ Acct Not Found"))</f>
        <v/>
      </c>
      <c r="D111" s="78" t="str">
        <f t="shared" ca="1" si="9"/>
        <v/>
      </c>
      <c r="E111" s="79"/>
      <c r="F111" s="80" t="str">
        <f t="shared" si="10"/>
        <v/>
      </c>
      <c r="G111" s="39" t="s">
        <v>137</v>
      </c>
      <c r="H111" s="81"/>
      <c r="I111" s="82" t="str">
        <f>IF(A111="","Pending",IF(H111="","⚠️ Enter Agent Code",IF(IFERROR(VLOOKUP(G111,DB_Agents!$B:$I,8,0),"")=H111,IF(AND(A111&lt;&gt;"",E111&lt;&gt;""),"Saved","Pending"),"🔒 BLOCKED — Wrong Code")))</f>
        <v>Pending</v>
      </c>
      <c r="J111" s="83" t="str">
        <f t="shared" ca="1" si="11"/>
        <v>—</v>
      </c>
      <c r="K111" s="84"/>
    </row>
    <row r="112" spans="1:11" ht="15" customHeight="1" x14ac:dyDescent="0.25">
      <c r="A112" s="85"/>
      <c r="B112" s="41" t="str">
        <f>IF(A112="","",IFERROR(VLOOKUP(A112,DB_Customers!$A:$D,4,0),"❌ Account Not Found"))</f>
        <v/>
      </c>
      <c r="C112" s="86" t="str">
        <f>IF(A112="","",IFERROR(IF(SUMIF(DB_Savings!$C:$C,A112,DB_Savings!$F:$F)=0,VLOOKUP(A112,DB_Customers!$A:$I,9,0),VLOOKUP(A112,DB_Customers!$A:$N,14,0)),"❌ Acct Not Found"))</f>
        <v/>
      </c>
      <c r="D112" s="87" t="str">
        <f t="shared" ca="1" si="9"/>
        <v/>
      </c>
      <c r="E112" s="79"/>
      <c r="F112" s="88" t="str">
        <f t="shared" si="10"/>
        <v/>
      </c>
      <c r="G112" s="43" t="s">
        <v>137</v>
      </c>
      <c r="H112" s="81"/>
      <c r="I112" s="89" t="str">
        <f>IF(A112="","Pending",IF(H112="","⚠️ Enter Agent Code",IF(IFERROR(VLOOKUP(G112,DB_Agents!$B:$I,8,0),"")=H112,IF(AND(A112&lt;&gt;"",E112&lt;&gt;""),"Saved","Pending"),"🔒 BLOCKED — Wrong Code")))</f>
        <v>Pending</v>
      </c>
      <c r="J112" s="90" t="str">
        <f t="shared" ca="1" si="11"/>
        <v>—</v>
      </c>
      <c r="K112" s="91"/>
    </row>
    <row r="113" spans="1:11" ht="15" customHeight="1" x14ac:dyDescent="0.25">
      <c r="A113" s="76"/>
      <c r="B113" s="37" t="str">
        <f>IF(A113="","",IFERROR(VLOOKUP(A113,DB_Customers!$A:$D,4,0),"❌ Account Not Found"))</f>
        <v/>
      </c>
      <c r="C113" s="77" t="str">
        <f>IF(A113="","",IFERROR(IF(SUMIF(DB_Savings!$C:$C,A113,DB_Savings!$F:$F)=0,VLOOKUP(A113,DB_Customers!$A:$I,9,0),VLOOKUP(A113,DB_Customers!$A:$N,14,0)),"❌ Acct Not Found"))</f>
        <v/>
      </c>
      <c r="D113" s="78" t="str">
        <f t="shared" ca="1" si="9"/>
        <v/>
      </c>
      <c r="E113" s="79"/>
      <c r="F113" s="80" t="str">
        <f t="shared" si="10"/>
        <v/>
      </c>
      <c r="G113" s="39" t="s">
        <v>137</v>
      </c>
      <c r="H113" s="81"/>
      <c r="I113" s="82" t="str">
        <f>IF(A113="","Pending",IF(H113="","⚠️ Enter Agent Code",IF(IFERROR(VLOOKUP(G113,DB_Agents!$B:$I,8,0),"")=H113,IF(AND(A113&lt;&gt;"",E113&lt;&gt;""),"Saved","Pending"),"🔒 BLOCKED — Wrong Code")))</f>
        <v>Pending</v>
      </c>
      <c r="J113" s="83" t="str">
        <f t="shared" ca="1" si="11"/>
        <v>—</v>
      </c>
      <c r="K113" s="84"/>
    </row>
    <row r="114" spans="1:11" ht="15" customHeight="1" x14ac:dyDescent="0.25">
      <c r="A114" s="85"/>
      <c r="B114" s="41" t="str">
        <f>IF(A114="","",IFERROR(VLOOKUP(A114,DB_Customers!$A:$D,4,0),"❌ Account Not Found"))</f>
        <v/>
      </c>
      <c r="C114" s="86" t="str">
        <f>IF(A114="","",IFERROR(IF(SUMIF(DB_Savings!$C:$C,A114,DB_Savings!$F:$F)=0,VLOOKUP(A114,DB_Customers!$A:$I,9,0),VLOOKUP(A114,DB_Customers!$A:$N,14,0)),"❌ Acct Not Found"))</f>
        <v/>
      </c>
      <c r="D114" s="87" t="str">
        <f t="shared" ca="1" si="9"/>
        <v/>
      </c>
      <c r="E114" s="79"/>
      <c r="F114" s="88" t="str">
        <f t="shared" si="10"/>
        <v/>
      </c>
      <c r="G114" s="43" t="s">
        <v>137</v>
      </c>
      <c r="H114" s="81"/>
      <c r="I114" s="89" t="str">
        <f>IF(A114="","Pending",IF(H114="","⚠️ Enter Agent Code",IF(IFERROR(VLOOKUP(G114,DB_Agents!$B:$I,8,0),"")=H114,IF(AND(A114&lt;&gt;"",E114&lt;&gt;""),"Saved","Pending"),"🔒 BLOCKED — Wrong Code")))</f>
        <v>Pending</v>
      </c>
      <c r="J114" s="90" t="str">
        <f t="shared" ca="1" si="11"/>
        <v>—</v>
      </c>
      <c r="K114" s="91"/>
    </row>
    <row r="115" spans="1:11" ht="15" customHeight="1" x14ac:dyDescent="0.25">
      <c r="A115" s="76"/>
      <c r="B115" s="37" t="str">
        <f>IF(A115="","",IFERROR(VLOOKUP(A115,DB_Customers!$A:$D,4,0),"❌ Account Not Found"))</f>
        <v/>
      </c>
      <c r="C115" s="77" t="str">
        <f>IF(A115="","",IFERROR(IF(SUMIF(DB_Savings!$C:$C,A115,DB_Savings!$F:$F)=0,VLOOKUP(A115,DB_Customers!$A:$I,9,0),VLOOKUP(A115,DB_Customers!$A:$N,14,0)),"❌ Acct Not Found"))</f>
        <v/>
      </c>
      <c r="D115" s="78" t="str">
        <f t="shared" ca="1" si="9"/>
        <v/>
      </c>
      <c r="E115" s="79"/>
      <c r="F115" s="80" t="str">
        <f t="shared" si="10"/>
        <v/>
      </c>
      <c r="G115" s="39" t="s">
        <v>137</v>
      </c>
      <c r="H115" s="81"/>
      <c r="I115" s="82" t="str">
        <f>IF(A115="","Pending",IF(H115="","⚠️ Enter Agent Code",IF(IFERROR(VLOOKUP(G115,DB_Agents!$B:$I,8,0),"")=H115,IF(AND(A115&lt;&gt;"",E115&lt;&gt;""),"Saved","Pending"),"🔒 BLOCKED — Wrong Code")))</f>
        <v>Pending</v>
      </c>
      <c r="J115" s="83" t="str">
        <f t="shared" ca="1" si="11"/>
        <v>—</v>
      </c>
      <c r="K115" s="84"/>
    </row>
    <row r="116" spans="1:11" ht="15" customHeight="1" x14ac:dyDescent="0.25">
      <c r="A116" s="85"/>
      <c r="B116" s="41" t="str">
        <f>IF(A116="","",IFERROR(VLOOKUP(A116,DB_Customers!$A:$D,4,0),"❌ Account Not Found"))</f>
        <v/>
      </c>
      <c r="C116" s="86" t="str">
        <f>IF(A116="","",IFERROR(IF(SUMIF(DB_Savings!$C:$C,A116,DB_Savings!$F:$F)=0,VLOOKUP(A116,DB_Customers!$A:$I,9,0),VLOOKUP(A116,DB_Customers!$A:$N,14,0)),"❌ Acct Not Found"))</f>
        <v/>
      </c>
      <c r="D116" s="87" t="str">
        <f t="shared" ca="1" si="9"/>
        <v/>
      </c>
      <c r="E116" s="79"/>
      <c r="F116" s="88" t="str">
        <f t="shared" si="10"/>
        <v/>
      </c>
      <c r="G116" s="43" t="s">
        <v>137</v>
      </c>
      <c r="H116" s="81"/>
      <c r="I116" s="89" t="str">
        <f>IF(A116="","Pending",IF(H116="","⚠️ Enter Agent Code",IF(IFERROR(VLOOKUP(G116,DB_Agents!$B:$I,8,0),"")=H116,IF(AND(A116&lt;&gt;"",E116&lt;&gt;""),"Saved","Pending"),"🔒 BLOCKED — Wrong Code")))</f>
        <v>Pending</v>
      </c>
      <c r="J116" s="90" t="str">
        <f t="shared" ca="1" si="11"/>
        <v>—</v>
      </c>
      <c r="K116" s="91"/>
    </row>
    <row r="117" spans="1:11" ht="15" customHeight="1" x14ac:dyDescent="0.25">
      <c r="A117" s="76"/>
      <c r="B117" s="37" t="str">
        <f>IF(A117="","",IFERROR(VLOOKUP(A117,DB_Customers!$A:$D,4,0),"❌ Account Not Found"))</f>
        <v/>
      </c>
      <c r="C117" s="77" t="str">
        <f>IF(A117="","",IFERROR(IF(SUMIF(DB_Savings!$C:$C,A117,DB_Savings!$F:$F)=0,VLOOKUP(A117,DB_Customers!$A:$I,9,0),VLOOKUP(A117,DB_Customers!$A:$N,14,0)),"❌ Acct Not Found"))</f>
        <v/>
      </c>
      <c r="D117" s="78" t="str">
        <f t="shared" ca="1" si="9"/>
        <v/>
      </c>
      <c r="E117" s="79"/>
      <c r="F117" s="80" t="str">
        <f t="shared" si="10"/>
        <v/>
      </c>
      <c r="G117" s="39" t="s">
        <v>137</v>
      </c>
      <c r="H117" s="81"/>
      <c r="I117" s="82" t="str">
        <f>IF(A117="","Pending",IF(H117="","⚠️ Enter Agent Code",IF(IFERROR(VLOOKUP(G117,DB_Agents!$B:$I,8,0),"")=H117,IF(AND(A117&lt;&gt;"",E117&lt;&gt;""),"Saved","Pending"),"🔒 BLOCKED — Wrong Code")))</f>
        <v>Pending</v>
      </c>
      <c r="J117" s="83" t="str">
        <f t="shared" ca="1" si="11"/>
        <v>—</v>
      </c>
      <c r="K117" s="84"/>
    </row>
    <row r="118" spans="1:11" ht="15" customHeight="1" x14ac:dyDescent="0.25">
      <c r="A118" s="85"/>
      <c r="B118" s="41" t="str">
        <f>IF(A118="","",IFERROR(VLOOKUP(A118,DB_Customers!$A:$D,4,0),"❌ Account Not Found"))</f>
        <v/>
      </c>
      <c r="C118" s="86" t="str">
        <f>IF(A118="","",IFERROR(IF(SUMIF(DB_Savings!$C:$C,A118,DB_Savings!$F:$F)=0,VLOOKUP(A118,DB_Customers!$A:$I,9,0),VLOOKUP(A118,DB_Customers!$A:$N,14,0)),"❌ Acct Not Found"))</f>
        <v/>
      </c>
      <c r="D118" s="87" t="str">
        <f t="shared" ca="1" si="9"/>
        <v/>
      </c>
      <c r="E118" s="79"/>
      <c r="F118" s="88" t="str">
        <f t="shared" si="10"/>
        <v/>
      </c>
      <c r="G118" s="43" t="s">
        <v>137</v>
      </c>
      <c r="H118" s="81"/>
      <c r="I118" s="89" t="str">
        <f>IF(A118="","Pending",IF(H118="","⚠️ Enter Agent Code",IF(IFERROR(VLOOKUP(G118,DB_Agents!$B:$I,8,0),"")=H118,IF(AND(A118&lt;&gt;"",E118&lt;&gt;""),"Saved","Pending"),"🔒 BLOCKED — Wrong Code")))</f>
        <v>Pending</v>
      </c>
      <c r="J118" s="90" t="str">
        <f t="shared" ca="1" si="11"/>
        <v>—</v>
      </c>
      <c r="K118" s="91"/>
    </row>
    <row r="119" spans="1:11" ht="15" customHeight="1" x14ac:dyDescent="0.25">
      <c r="A119" s="76"/>
      <c r="B119" s="37" t="str">
        <f>IF(A119="","",IFERROR(VLOOKUP(A119,DB_Customers!$A:$D,4,0),"❌ Account Not Found"))</f>
        <v/>
      </c>
      <c r="C119" s="77" t="str">
        <f>IF(A119="","",IFERROR(IF(SUMIF(DB_Savings!$C:$C,A119,DB_Savings!$F:$F)=0,VLOOKUP(A119,DB_Customers!$A:$I,9,0),VLOOKUP(A119,DB_Customers!$A:$N,14,0)),"❌ Acct Not Found"))</f>
        <v/>
      </c>
      <c r="D119" s="78" t="str">
        <f t="shared" ca="1" si="9"/>
        <v/>
      </c>
      <c r="E119" s="79"/>
      <c r="F119" s="80" t="str">
        <f t="shared" si="10"/>
        <v/>
      </c>
      <c r="G119" s="39" t="s">
        <v>137</v>
      </c>
      <c r="H119" s="81"/>
      <c r="I119" s="82" t="str">
        <f>IF(A119="","Pending",IF(H119="","⚠️ Enter Agent Code",IF(IFERROR(VLOOKUP(G119,DB_Agents!$B:$I,8,0),"")=H119,IF(AND(A119&lt;&gt;"",E119&lt;&gt;""),"Saved","Pending"),"🔒 BLOCKED — Wrong Code")))</f>
        <v>Pending</v>
      </c>
      <c r="J119" s="83" t="str">
        <f t="shared" ca="1" si="11"/>
        <v>—</v>
      </c>
      <c r="K119" s="84"/>
    </row>
    <row r="120" spans="1:11" ht="15" customHeight="1" x14ac:dyDescent="0.25">
      <c r="A120" s="85"/>
      <c r="B120" s="41" t="str">
        <f>IF(A120="","",IFERROR(VLOOKUP(A120,DB_Customers!$A:$D,4,0),"❌ Account Not Found"))</f>
        <v/>
      </c>
      <c r="C120" s="86" t="str">
        <f>IF(A120="","",IFERROR(IF(SUMIF(DB_Savings!$C:$C,A120,DB_Savings!$F:$F)=0,VLOOKUP(A120,DB_Customers!$A:$I,9,0),VLOOKUP(A120,DB_Customers!$A:$N,14,0)),"❌ Acct Not Found"))</f>
        <v/>
      </c>
      <c r="D120" s="87" t="str">
        <f t="shared" ca="1" si="9"/>
        <v/>
      </c>
      <c r="E120" s="79"/>
      <c r="F120" s="88" t="str">
        <f t="shared" si="10"/>
        <v/>
      </c>
      <c r="G120" s="43" t="s">
        <v>137</v>
      </c>
      <c r="H120" s="81"/>
      <c r="I120" s="89" t="str">
        <f>IF(A120="","Pending",IF(H120="","⚠️ Enter Agent Code",IF(IFERROR(VLOOKUP(G120,DB_Agents!$B:$I,8,0),"")=H120,IF(AND(A120&lt;&gt;"",E120&lt;&gt;""),"Saved","Pending"),"🔒 BLOCKED — Wrong Code")))</f>
        <v>Pending</v>
      </c>
      <c r="J120" s="90" t="str">
        <f t="shared" ca="1" si="11"/>
        <v>—</v>
      </c>
      <c r="K120" s="91"/>
    </row>
    <row r="121" spans="1:11" ht="15" customHeight="1" x14ac:dyDescent="0.25">
      <c r="A121" s="76"/>
      <c r="B121" s="37" t="str">
        <f>IF(A121="","",IFERROR(VLOOKUP(A121,DB_Customers!$A:$D,4,0),"❌ Account Not Found"))</f>
        <v/>
      </c>
      <c r="C121" s="77" t="str">
        <f>IF(A121="","",IFERROR(IF(SUMIF(DB_Savings!$C:$C,A121,DB_Savings!$F:$F)=0,VLOOKUP(A121,DB_Customers!$A:$I,9,0),VLOOKUP(A121,DB_Customers!$A:$N,14,0)),"❌ Acct Not Found"))</f>
        <v/>
      </c>
      <c r="D121" s="78" t="str">
        <f t="shared" ca="1" si="9"/>
        <v/>
      </c>
      <c r="E121" s="79"/>
      <c r="F121" s="80" t="str">
        <f t="shared" si="10"/>
        <v/>
      </c>
      <c r="G121" s="39" t="s">
        <v>137</v>
      </c>
      <c r="H121" s="81"/>
      <c r="I121" s="82" t="str">
        <f>IF(A121="","Pending",IF(H121="","⚠️ Enter Agent Code",IF(IFERROR(VLOOKUP(G121,DB_Agents!$B:$I,8,0),"")=H121,IF(AND(A121&lt;&gt;"",E121&lt;&gt;""),"Saved","Pending"),"🔒 BLOCKED — Wrong Code")))</f>
        <v>Pending</v>
      </c>
      <c r="J121" s="83" t="str">
        <f t="shared" ca="1" si="11"/>
        <v>—</v>
      </c>
      <c r="K121" s="84"/>
    </row>
    <row r="122" spans="1:11" ht="15" customHeight="1" x14ac:dyDescent="0.25">
      <c r="A122" s="85"/>
      <c r="B122" s="41" t="str">
        <f>IF(A122="","",IFERROR(VLOOKUP(A122,DB_Customers!$A:$D,4,0),"❌ Account Not Found"))</f>
        <v/>
      </c>
      <c r="C122" s="86" t="str">
        <f>IF(A122="","",IFERROR(IF(SUMIF(DB_Savings!$C:$C,A122,DB_Savings!$F:$F)=0,VLOOKUP(A122,DB_Customers!$A:$I,9,0),VLOOKUP(A122,DB_Customers!$A:$N,14,0)),"❌ Acct Not Found"))</f>
        <v/>
      </c>
      <c r="D122" s="87" t="str">
        <f t="shared" ca="1" si="9"/>
        <v/>
      </c>
      <c r="E122" s="79"/>
      <c r="F122" s="88" t="str">
        <f t="shared" si="10"/>
        <v/>
      </c>
      <c r="G122" s="43" t="s">
        <v>137</v>
      </c>
      <c r="H122" s="81"/>
      <c r="I122" s="89" t="str">
        <f>IF(A122="","Pending",IF(H122="","⚠️ Enter Agent Code",IF(IFERROR(VLOOKUP(G122,DB_Agents!$B:$I,8,0),"")=H122,IF(AND(A122&lt;&gt;"",E122&lt;&gt;""),"Saved","Pending"),"🔒 BLOCKED — Wrong Code")))</f>
        <v>Pending</v>
      </c>
      <c r="J122" s="90" t="str">
        <f t="shared" ca="1" si="11"/>
        <v>—</v>
      </c>
      <c r="K122" s="91"/>
    </row>
    <row r="123" spans="1:11" ht="15" customHeight="1" x14ac:dyDescent="0.25">
      <c r="A123" s="76"/>
      <c r="B123" s="37" t="str">
        <f>IF(A123="","",IFERROR(VLOOKUP(A123,DB_Customers!$A:$D,4,0),"❌ Account Not Found"))</f>
        <v/>
      </c>
      <c r="C123" s="77" t="str">
        <f>IF(A123="","",IFERROR(IF(SUMIF(DB_Savings!$C:$C,A123,DB_Savings!$F:$F)=0,VLOOKUP(A123,DB_Customers!$A:$I,9,0),VLOOKUP(A123,DB_Customers!$A:$N,14,0)),"❌ Acct Not Found"))</f>
        <v/>
      </c>
      <c r="D123" s="78" t="str">
        <f t="shared" ca="1" si="9"/>
        <v/>
      </c>
      <c r="E123" s="79"/>
      <c r="F123" s="80" t="str">
        <f t="shared" si="10"/>
        <v/>
      </c>
      <c r="G123" s="39" t="s">
        <v>137</v>
      </c>
      <c r="H123" s="81"/>
      <c r="I123" s="82" t="str">
        <f>IF(A123="","Pending",IF(H123="","⚠️ Enter Agent Code",IF(IFERROR(VLOOKUP(G123,DB_Agents!$B:$I,8,0),"")=H123,IF(AND(A123&lt;&gt;"",E123&lt;&gt;""),"Saved","Pending"),"🔒 BLOCKED — Wrong Code")))</f>
        <v>Pending</v>
      </c>
      <c r="J123" s="83" t="str">
        <f t="shared" ca="1" si="11"/>
        <v>—</v>
      </c>
      <c r="K123" s="84"/>
    </row>
    <row r="124" spans="1:11" ht="15" customHeight="1" x14ac:dyDescent="0.25">
      <c r="A124" s="85"/>
      <c r="B124" s="41" t="str">
        <f>IF(A124="","",IFERROR(VLOOKUP(A124,DB_Customers!$A:$D,4,0),"❌ Account Not Found"))</f>
        <v/>
      </c>
      <c r="C124" s="86" t="str">
        <f>IF(A124="","",IFERROR(IF(SUMIF(DB_Savings!$C:$C,A124,DB_Savings!$F:$F)=0,VLOOKUP(A124,DB_Customers!$A:$I,9,0),VLOOKUP(A124,DB_Customers!$A:$N,14,0)),"❌ Acct Not Found"))</f>
        <v/>
      </c>
      <c r="D124" s="87" t="str">
        <f t="shared" ca="1" si="9"/>
        <v/>
      </c>
      <c r="E124" s="79"/>
      <c r="F124" s="88" t="str">
        <f t="shared" si="10"/>
        <v/>
      </c>
      <c r="G124" s="43" t="s">
        <v>137</v>
      </c>
      <c r="H124" s="81"/>
      <c r="I124" s="89" t="str">
        <f>IF(A124="","Pending",IF(H124="","⚠️ Enter Agent Code",IF(IFERROR(VLOOKUP(G124,DB_Agents!$B:$I,8,0),"")=H124,IF(AND(A124&lt;&gt;"",E124&lt;&gt;""),"Saved","Pending"),"🔒 BLOCKED — Wrong Code")))</f>
        <v>Pending</v>
      </c>
      <c r="J124" s="90" t="str">
        <f t="shared" ca="1" si="11"/>
        <v>—</v>
      </c>
      <c r="K124" s="91"/>
    </row>
    <row r="125" spans="1:11" ht="15" customHeight="1" x14ac:dyDescent="0.25">
      <c r="A125" s="76"/>
      <c r="B125" s="37" t="str">
        <f>IF(A125="","",IFERROR(VLOOKUP(A125,DB_Customers!$A:$D,4,0),"❌ Account Not Found"))</f>
        <v/>
      </c>
      <c r="C125" s="77" t="str">
        <f>IF(A125="","",IFERROR(IF(SUMIF(DB_Savings!$C:$C,A125,DB_Savings!$F:$F)=0,VLOOKUP(A125,DB_Customers!$A:$I,9,0),VLOOKUP(A125,DB_Customers!$A:$N,14,0)),"❌ Acct Not Found"))</f>
        <v/>
      </c>
      <c r="D125" s="78" t="str">
        <f t="shared" ca="1" si="9"/>
        <v/>
      </c>
      <c r="E125" s="79"/>
      <c r="F125" s="80" t="str">
        <f t="shared" si="10"/>
        <v/>
      </c>
      <c r="G125" s="39" t="s">
        <v>137</v>
      </c>
      <c r="H125" s="81"/>
      <c r="I125" s="82" t="str">
        <f>IF(A125="","Pending",IF(H125="","⚠️ Enter Agent Code",IF(IFERROR(VLOOKUP(G125,DB_Agents!$B:$I,8,0),"")=H125,IF(AND(A125&lt;&gt;"",E125&lt;&gt;""),"Saved","Pending"),"🔒 BLOCKED — Wrong Code")))</f>
        <v>Pending</v>
      </c>
      <c r="J125" s="83" t="str">
        <f t="shared" ca="1" si="11"/>
        <v>—</v>
      </c>
      <c r="K125" s="84"/>
    </row>
    <row r="126" spans="1:11" ht="15" customHeight="1" x14ac:dyDescent="0.25">
      <c r="A126" s="85"/>
      <c r="B126" s="41" t="str">
        <f>IF(A126="","",IFERROR(VLOOKUP(A126,DB_Customers!$A:$D,4,0),"❌ Account Not Found"))</f>
        <v/>
      </c>
      <c r="C126" s="86" t="str">
        <f>IF(A126="","",IFERROR(IF(SUMIF(DB_Savings!$C:$C,A126,DB_Savings!$F:$F)=0,VLOOKUP(A126,DB_Customers!$A:$I,9,0),VLOOKUP(A126,DB_Customers!$A:$N,14,0)),"❌ Acct Not Found"))</f>
        <v/>
      </c>
      <c r="D126" s="87" t="str">
        <f t="shared" ca="1" si="9"/>
        <v/>
      </c>
      <c r="E126" s="79"/>
      <c r="F126" s="88" t="str">
        <f t="shared" si="10"/>
        <v/>
      </c>
      <c r="G126" s="43" t="s">
        <v>137</v>
      </c>
      <c r="H126" s="81"/>
      <c r="I126" s="89" t="str">
        <f>IF(A126="","Pending",IF(H126="","⚠️ Enter Agent Code",IF(IFERROR(VLOOKUP(G126,DB_Agents!$B:$I,8,0),"")=H126,IF(AND(A126&lt;&gt;"",E126&lt;&gt;""),"Saved","Pending"),"🔒 BLOCKED — Wrong Code")))</f>
        <v>Pending</v>
      </c>
      <c r="J126" s="90" t="str">
        <f t="shared" ca="1" si="11"/>
        <v>—</v>
      </c>
      <c r="K126" s="91"/>
    </row>
    <row r="127" spans="1:11" ht="15" customHeight="1" x14ac:dyDescent="0.25">
      <c r="A127" s="76"/>
      <c r="B127" s="37" t="str">
        <f>IF(A127="","",IFERROR(VLOOKUP(A127,DB_Customers!$A:$D,4,0),"❌ Account Not Found"))</f>
        <v/>
      </c>
      <c r="C127" s="77" t="str">
        <f>IF(A127="","",IFERROR(IF(SUMIF(DB_Savings!$C:$C,A127,DB_Savings!$F:$F)=0,VLOOKUP(A127,DB_Customers!$A:$I,9,0),VLOOKUP(A127,DB_Customers!$A:$N,14,0)),"❌ Acct Not Found"))</f>
        <v/>
      </c>
      <c r="D127" s="78" t="str">
        <f t="shared" ca="1" si="9"/>
        <v/>
      </c>
      <c r="E127" s="79"/>
      <c r="F127" s="80" t="str">
        <f t="shared" si="10"/>
        <v/>
      </c>
      <c r="G127" s="39" t="s">
        <v>137</v>
      </c>
      <c r="H127" s="81"/>
      <c r="I127" s="82" t="str">
        <f>IF(A127="","Pending",IF(H127="","⚠️ Enter Agent Code",IF(IFERROR(VLOOKUP(G127,DB_Agents!$B:$I,8,0),"")=H127,IF(AND(A127&lt;&gt;"",E127&lt;&gt;""),"Saved","Pending"),"🔒 BLOCKED — Wrong Code")))</f>
        <v>Pending</v>
      </c>
      <c r="J127" s="83" t="str">
        <f t="shared" ca="1" si="11"/>
        <v>—</v>
      </c>
      <c r="K127" s="84"/>
    </row>
    <row r="128" spans="1:11" ht="15" customHeight="1" x14ac:dyDescent="0.25">
      <c r="A128" s="85"/>
      <c r="B128" s="41" t="str">
        <f>IF(A128="","",IFERROR(VLOOKUP(A128,DB_Customers!$A:$D,4,0),"❌ Account Not Found"))</f>
        <v/>
      </c>
      <c r="C128" s="86" t="str">
        <f>IF(A128="","",IFERROR(IF(SUMIF(DB_Savings!$C:$C,A128,DB_Savings!$F:$F)=0,VLOOKUP(A128,DB_Customers!$A:$I,9,0),VLOOKUP(A128,DB_Customers!$A:$N,14,0)),"❌ Acct Not Found"))</f>
        <v/>
      </c>
      <c r="D128" s="87" t="str">
        <f t="shared" ca="1" si="9"/>
        <v/>
      </c>
      <c r="E128" s="79"/>
      <c r="F128" s="88" t="str">
        <f t="shared" si="10"/>
        <v/>
      </c>
      <c r="G128" s="43" t="s">
        <v>137</v>
      </c>
      <c r="H128" s="81"/>
      <c r="I128" s="89" t="str">
        <f>IF(A128="","Pending",IF(H128="","⚠️ Enter Agent Code",IF(IFERROR(VLOOKUP(G128,DB_Agents!$B:$I,8,0),"")=H128,IF(AND(A128&lt;&gt;"",E128&lt;&gt;""),"Saved","Pending"),"🔒 BLOCKED — Wrong Code")))</f>
        <v>Pending</v>
      </c>
      <c r="J128" s="90" t="str">
        <f t="shared" ca="1" si="11"/>
        <v>—</v>
      </c>
      <c r="K128" s="91"/>
    </row>
    <row r="129" spans="1:11" ht="15" customHeight="1" x14ac:dyDescent="0.25">
      <c r="A129" s="76"/>
      <c r="B129" s="37" t="str">
        <f>IF(A129="","",IFERROR(VLOOKUP(A129,DB_Customers!$A:$D,4,0),"❌ Account Not Found"))</f>
        <v/>
      </c>
      <c r="C129" s="77" t="str">
        <f>IF(A129="","",IFERROR(IF(SUMIF(DB_Savings!$C:$C,A129,DB_Savings!$F:$F)=0,VLOOKUP(A129,DB_Customers!$A:$I,9,0),VLOOKUP(A129,DB_Customers!$A:$N,14,0)),"❌ Acct Not Found"))</f>
        <v/>
      </c>
      <c r="D129" s="78" t="str">
        <f t="shared" ca="1" si="9"/>
        <v/>
      </c>
      <c r="E129" s="79"/>
      <c r="F129" s="80" t="str">
        <f t="shared" si="10"/>
        <v/>
      </c>
      <c r="G129" s="39" t="s">
        <v>137</v>
      </c>
      <c r="H129" s="81"/>
      <c r="I129" s="82" t="str">
        <f>IF(A129="","Pending",IF(H129="","⚠️ Enter Agent Code",IF(IFERROR(VLOOKUP(G129,DB_Agents!$B:$I,8,0),"")=H129,IF(AND(A129&lt;&gt;"",E129&lt;&gt;""),"Saved","Pending"),"🔒 BLOCKED — Wrong Code")))</f>
        <v>Pending</v>
      </c>
      <c r="J129" s="83" t="str">
        <f t="shared" ca="1" si="11"/>
        <v>—</v>
      </c>
      <c r="K129" s="84"/>
    </row>
    <row r="130" spans="1:11" ht="15" customHeight="1" x14ac:dyDescent="0.25">
      <c r="A130" s="85"/>
      <c r="B130" s="41" t="str">
        <f>IF(A130="","",IFERROR(VLOOKUP(A130,DB_Customers!$A:$D,4,0),"❌ Account Not Found"))</f>
        <v/>
      </c>
      <c r="C130" s="86" t="str">
        <f>IF(A130="","",IFERROR(IF(SUMIF(DB_Savings!$C:$C,A130,DB_Savings!$F:$F)=0,VLOOKUP(A130,DB_Customers!$A:$I,9,0),VLOOKUP(A130,DB_Customers!$A:$N,14,0)),"❌ Acct Not Found"))</f>
        <v/>
      </c>
      <c r="D130" s="87" t="str">
        <f t="shared" ca="1" si="9"/>
        <v/>
      </c>
      <c r="E130" s="79"/>
      <c r="F130" s="88" t="str">
        <f t="shared" si="10"/>
        <v/>
      </c>
      <c r="G130" s="43" t="s">
        <v>137</v>
      </c>
      <c r="H130" s="81"/>
      <c r="I130" s="89" t="str">
        <f>IF(A130="","Pending",IF(H130="","⚠️ Enter Agent Code",IF(IFERROR(VLOOKUP(G130,DB_Agents!$B:$I,8,0),"")=H130,IF(AND(A130&lt;&gt;"",E130&lt;&gt;""),"Saved","Pending"),"🔒 BLOCKED — Wrong Code")))</f>
        <v>Pending</v>
      </c>
      <c r="J130" s="90" t="str">
        <f t="shared" ca="1" si="11"/>
        <v>—</v>
      </c>
      <c r="K130" s="91"/>
    </row>
    <row r="131" spans="1:11" ht="15" customHeight="1" x14ac:dyDescent="0.25">
      <c r="A131" s="76"/>
      <c r="B131" s="37" t="str">
        <f>IF(A131="","",IFERROR(VLOOKUP(A131,DB_Customers!$A:$D,4,0),"❌ Account Not Found"))</f>
        <v/>
      </c>
      <c r="C131" s="77" t="str">
        <f>IF(A131="","",IFERROR(IF(SUMIF(DB_Savings!$C:$C,A131,DB_Savings!$F:$F)=0,VLOOKUP(A131,DB_Customers!$A:$I,9,0),VLOOKUP(A131,DB_Customers!$A:$N,14,0)),"❌ Acct Not Found"))</f>
        <v/>
      </c>
      <c r="D131" s="78" t="str">
        <f t="shared" ca="1" si="9"/>
        <v/>
      </c>
      <c r="E131" s="79"/>
      <c r="F131" s="80" t="str">
        <f t="shared" si="10"/>
        <v/>
      </c>
      <c r="G131" s="39" t="s">
        <v>137</v>
      </c>
      <c r="H131" s="81"/>
      <c r="I131" s="82" t="str">
        <f>IF(A131="","Pending",IF(H131="","⚠️ Enter Agent Code",IF(IFERROR(VLOOKUP(G131,DB_Agents!$B:$I,8,0),"")=H131,IF(AND(A131&lt;&gt;"",E131&lt;&gt;""),"Saved","Pending"),"🔒 BLOCKED — Wrong Code")))</f>
        <v>Pending</v>
      </c>
      <c r="J131" s="83" t="str">
        <f t="shared" ca="1" si="11"/>
        <v>—</v>
      </c>
      <c r="K131" s="84"/>
    </row>
    <row r="132" spans="1:11" ht="15" customHeight="1" x14ac:dyDescent="0.25">
      <c r="A132" s="85"/>
      <c r="B132" s="41" t="str">
        <f>IF(A132="","",IFERROR(VLOOKUP(A132,DB_Customers!$A:$D,4,0),"❌ Account Not Found"))</f>
        <v/>
      </c>
      <c r="C132" s="86" t="str">
        <f>IF(A132="","",IFERROR(IF(SUMIF(DB_Savings!$C:$C,A132,DB_Savings!$F:$F)=0,VLOOKUP(A132,DB_Customers!$A:$I,9,0),VLOOKUP(A132,DB_Customers!$A:$N,14,0)),"❌ Acct Not Found"))</f>
        <v/>
      </c>
      <c r="D132" s="87" t="str">
        <f t="shared" ca="1" si="9"/>
        <v/>
      </c>
      <c r="E132" s="79"/>
      <c r="F132" s="88" t="str">
        <f t="shared" si="10"/>
        <v/>
      </c>
      <c r="G132" s="43" t="s">
        <v>137</v>
      </c>
      <c r="H132" s="81"/>
      <c r="I132" s="89" t="str">
        <f>IF(A132="","Pending",IF(H132="","⚠️ Enter Agent Code",IF(IFERROR(VLOOKUP(G132,DB_Agents!$B:$I,8,0),"")=H132,IF(AND(A132&lt;&gt;"",E132&lt;&gt;""),"Saved","Pending"),"🔒 BLOCKED — Wrong Code")))</f>
        <v>Pending</v>
      </c>
      <c r="J132" s="90" t="str">
        <f t="shared" ca="1" si="11"/>
        <v>—</v>
      </c>
      <c r="K132" s="91"/>
    </row>
    <row r="133" spans="1:11" ht="15" customHeight="1" x14ac:dyDescent="0.25">
      <c r="A133" s="76"/>
      <c r="B133" s="37" t="str">
        <f>IF(A133="","",IFERROR(VLOOKUP(A133,DB_Customers!$A:$D,4,0),"❌ Account Not Found"))</f>
        <v/>
      </c>
      <c r="C133" s="77" t="str">
        <f>IF(A133="","",IFERROR(IF(SUMIF(DB_Savings!$C:$C,A133,DB_Savings!$F:$F)=0,VLOOKUP(A133,DB_Customers!$A:$I,9,0),VLOOKUP(A133,DB_Customers!$A:$N,14,0)),"❌ Acct Not Found"))</f>
        <v/>
      </c>
      <c r="D133" s="78" t="str">
        <f t="shared" ca="1" si="9"/>
        <v/>
      </c>
      <c r="E133" s="79"/>
      <c r="F133" s="80" t="str">
        <f t="shared" si="10"/>
        <v/>
      </c>
      <c r="G133" s="39" t="s">
        <v>137</v>
      </c>
      <c r="H133" s="81"/>
      <c r="I133" s="82" t="str">
        <f>IF(A133="","Pending",IF(H133="","⚠️ Enter Agent Code",IF(IFERROR(VLOOKUP(G133,DB_Agents!$B:$I,8,0),"")=H133,IF(AND(A133&lt;&gt;"",E133&lt;&gt;""),"Saved","Pending"),"🔒 BLOCKED — Wrong Code")))</f>
        <v>Pending</v>
      </c>
      <c r="J133" s="83" t="str">
        <f t="shared" ca="1" si="11"/>
        <v>—</v>
      </c>
      <c r="K133" s="84"/>
    </row>
    <row r="134" spans="1:11" ht="15" customHeight="1" x14ac:dyDescent="0.25">
      <c r="A134" s="85"/>
      <c r="B134" s="41" t="str">
        <f>IF(A134="","",IFERROR(VLOOKUP(A134,DB_Customers!$A:$D,4,0),"❌ Account Not Found"))</f>
        <v/>
      </c>
      <c r="C134" s="86" t="str">
        <f>IF(A134="","",IFERROR(IF(SUMIF(DB_Savings!$C:$C,A134,DB_Savings!$F:$F)=0,VLOOKUP(A134,DB_Customers!$A:$I,9,0),VLOOKUP(A134,DB_Customers!$A:$N,14,0)),"❌ Acct Not Found"))</f>
        <v/>
      </c>
      <c r="D134" s="87" t="str">
        <f t="shared" ca="1" si="9"/>
        <v/>
      </c>
      <c r="E134" s="79"/>
      <c r="F134" s="88" t="str">
        <f t="shared" si="10"/>
        <v/>
      </c>
      <c r="G134" s="43" t="s">
        <v>137</v>
      </c>
      <c r="H134" s="81"/>
      <c r="I134" s="89" t="str">
        <f>IF(A134="","Pending",IF(H134="","⚠️ Enter Agent Code",IF(IFERROR(VLOOKUP(G134,DB_Agents!$B:$I,8,0),"")=H134,IF(AND(A134&lt;&gt;"",E134&lt;&gt;""),"Saved","Pending"),"🔒 BLOCKED — Wrong Code")))</f>
        <v>Pending</v>
      </c>
      <c r="J134" s="90" t="str">
        <f t="shared" ca="1" si="11"/>
        <v>—</v>
      </c>
      <c r="K134" s="91"/>
    </row>
    <row r="135" spans="1:11" ht="15" customHeight="1" x14ac:dyDescent="0.25">
      <c r="A135" s="76"/>
      <c r="B135" s="37" t="str">
        <f>IF(A135="","",IFERROR(VLOOKUP(A135,DB_Customers!$A:$D,4,0),"❌ Account Not Found"))</f>
        <v/>
      </c>
      <c r="C135" s="77" t="str">
        <f>IF(A135="","",IFERROR(IF(SUMIF(DB_Savings!$C:$C,A135,DB_Savings!$F:$F)=0,VLOOKUP(A135,DB_Customers!$A:$I,9,0),VLOOKUP(A135,DB_Customers!$A:$N,14,0)),"❌ Acct Not Found"))</f>
        <v/>
      </c>
      <c r="D135" s="78" t="str">
        <f t="shared" ca="1" si="9"/>
        <v/>
      </c>
      <c r="E135" s="79"/>
      <c r="F135" s="80" t="str">
        <f t="shared" si="10"/>
        <v/>
      </c>
      <c r="G135" s="39" t="s">
        <v>137</v>
      </c>
      <c r="H135" s="81"/>
      <c r="I135" s="82" t="str">
        <f>IF(A135="","Pending",IF(H135="","⚠️ Enter Agent Code",IF(IFERROR(VLOOKUP(G135,DB_Agents!$B:$I,8,0),"")=H135,IF(AND(A135&lt;&gt;"",E135&lt;&gt;""),"Saved","Pending"),"🔒 BLOCKED — Wrong Code")))</f>
        <v>Pending</v>
      </c>
      <c r="J135" s="83" t="str">
        <f t="shared" ca="1" si="11"/>
        <v>—</v>
      </c>
      <c r="K135" s="84"/>
    </row>
    <row r="136" spans="1:11" ht="15" customHeight="1" x14ac:dyDescent="0.25">
      <c r="A136" s="85"/>
      <c r="B136" s="41" t="str">
        <f>IF(A136="","",IFERROR(VLOOKUP(A136,DB_Customers!$A:$D,4,0),"❌ Account Not Found"))</f>
        <v/>
      </c>
      <c r="C136" s="86" t="str">
        <f>IF(A136="","",IFERROR(IF(SUMIF(DB_Savings!$C:$C,A136,DB_Savings!$F:$F)=0,VLOOKUP(A136,DB_Customers!$A:$I,9,0),VLOOKUP(A136,DB_Customers!$A:$N,14,0)),"❌ Acct Not Found"))</f>
        <v/>
      </c>
      <c r="D136" s="87" t="str">
        <f t="shared" ca="1" si="9"/>
        <v/>
      </c>
      <c r="E136" s="79"/>
      <c r="F136" s="88" t="str">
        <f t="shared" si="10"/>
        <v/>
      </c>
      <c r="G136" s="43" t="s">
        <v>137</v>
      </c>
      <c r="H136" s="81"/>
      <c r="I136" s="89" t="str">
        <f>IF(A136="","Pending",IF(H136="","⚠️ Enter Agent Code",IF(IFERROR(VLOOKUP(G136,DB_Agents!$B:$I,8,0),"")=H136,IF(AND(A136&lt;&gt;"",E136&lt;&gt;""),"Saved","Pending"),"🔒 BLOCKED — Wrong Code")))</f>
        <v>Pending</v>
      </c>
      <c r="J136" s="90" t="str">
        <f t="shared" ca="1" si="11"/>
        <v>—</v>
      </c>
      <c r="K136" s="91"/>
    </row>
    <row r="137" spans="1:11" ht="15" customHeight="1" x14ac:dyDescent="0.25">
      <c r="A137" s="76"/>
      <c r="B137" s="37" t="str">
        <f>IF(A137="","",IFERROR(VLOOKUP(A137,DB_Customers!$A:$D,4,0),"❌ Account Not Found"))</f>
        <v/>
      </c>
      <c r="C137" s="77" t="str">
        <f>IF(A137="","",IFERROR(IF(SUMIF(DB_Savings!$C:$C,A137,DB_Savings!$F:$F)=0,VLOOKUP(A137,DB_Customers!$A:$I,9,0),VLOOKUP(A137,DB_Customers!$A:$N,14,0)),"❌ Acct Not Found"))</f>
        <v/>
      </c>
      <c r="D137" s="78" t="str">
        <f t="shared" ref="D137:D168" ca="1" si="12">IF(A137="","",TODAY())</f>
        <v/>
      </c>
      <c r="E137" s="79"/>
      <c r="F137" s="80" t="str">
        <f t="shared" ref="F137:F168" si="13">IF(OR(A137="",E137=""),"",IF(C137="","",C137+E137))</f>
        <v/>
      </c>
      <c r="G137" s="39" t="s">
        <v>137</v>
      </c>
      <c r="H137" s="81"/>
      <c r="I137" s="82" t="str">
        <f>IF(A137="","Pending",IF(H137="","⚠️ Enter Agent Code",IF(IFERROR(VLOOKUP(G137,DB_Agents!$B:$I,8,0),"")=H137,IF(AND(A137&lt;&gt;"",E137&lt;&gt;""),"Saved","Pending"),"🔒 BLOCKED — Wrong Code")))</f>
        <v>Pending</v>
      </c>
      <c r="J137" s="83" t="str">
        <f t="shared" ref="J137:J168" ca="1" si="14">IF(I137="Saved",TEXT(TODAY(),"YYYY-MM-DD")&amp;" Auto","—")</f>
        <v>—</v>
      </c>
      <c r="K137" s="84"/>
    </row>
    <row r="138" spans="1:11" ht="15" customHeight="1" x14ac:dyDescent="0.25">
      <c r="A138" s="85"/>
      <c r="B138" s="41" t="str">
        <f>IF(A138="","",IFERROR(VLOOKUP(A138,DB_Customers!$A:$D,4,0),"❌ Account Not Found"))</f>
        <v/>
      </c>
      <c r="C138" s="86" t="str">
        <f>IF(A138="","",IFERROR(IF(SUMIF(DB_Savings!$C:$C,A138,DB_Savings!$F:$F)=0,VLOOKUP(A138,DB_Customers!$A:$I,9,0),VLOOKUP(A138,DB_Customers!$A:$N,14,0)),"❌ Acct Not Found"))</f>
        <v/>
      </c>
      <c r="D138" s="87" t="str">
        <f t="shared" ca="1" si="12"/>
        <v/>
      </c>
      <c r="E138" s="79"/>
      <c r="F138" s="88" t="str">
        <f t="shared" si="13"/>
        <v/>
      </c>
      <c r="G138" s="43" t="s">
        <v>137</v>
      </c>
      <c r="H138" s="81"/>
      <c r="I138" s="89" t="str">
        <f>IF(A138="","Pending",IF(H138="","⚠️ Enter Agent Code",IF(IFERROR(VLOOKUP(G138,DB_Agents!$B:$I,8,0),"")=H138,IF(AND(A138&lt;&gt;"",E138&lt;&gt;""),"Saved","Pending"),"🔒 BLOCKED — Wrong Code")))</f>
        <v>Pending</v>
      </c>
      <c r="J138" s="90" t="str">
        <f t="shared" ca="1" si="14"/>
        <v>—</v>
      </c>
      <c r="K138" s="91"/>
    </row>
    <row r="139" spans="1:11" ht="15" customHeight="1" x14ac:dyDescent="0.25">
      <c r="A139" s="76"/>
      <c r="B139" s="37" t="str">
        <f>IF(A139="","",IFERROR(VLOOKUP(A139,DB_Customers!$A:$D,4,0),"❌ Account Not Found"))</f>
        <v/>
      </c>
      <c r="C139" s="77" t="str">
        <f>IF(A139="","",IFERROR(IF(SUMIF(DB_Savings!$C:$C,A139,DB_Savings!$F:$F)=0,VLOOKUP(A139,DB_Customers!$A:$I,9,0),VLOOKUP(A139,DB_Customers!$A:$N,14,0)),"❌ Acct Not Found"))</f>
        <v/>
      </c>
      <c r="D139" s="78" t="str">
        <f t="shared" ca="1" si="12"/>
        <v/>
      </c>
      <c r="E139" s="79"/>
      <c r="F139" s="80" t="str">
        <f t="shared" si="13"/>
        <v/>
      </c>
      <c r="G139" s="39" t="s">
        <v>137</v>
      </c>
      <c r="H139" s="81"/>
      <c r="I139" s="82" t="str">
        <f>IF(A139="","Pending",IF(H139="","⚠️ Enter Agent Code",IF(IFERROR(VLOOKUP(G139,DB_Agents!$B:$I,8,0),"")=H139,IF(AND(A139&lt;&gt;"",E139&lt;&gt;""),"Saved","Pending"),"🔒 BLOCKED — Wrong Code")))</f>
        <v>Pending</v>
      </c>
      <c r="J139" s="83" t="str">
        <f t="shared" ca="1" si="14"/>
        <v>—</v>
      </c>
      <c r="K139" s="84"/>
    </row>
    <row r="140" spans="1:11" ht="15" customHeight="1" x14ac:dyDescent="0.25">
      <c r="A140" s="85"/>
      <c r="B140" s="41" t="str">
        <f>IF(A140="","",IFERROR(VLOOKUP(A140,DB_Customers!$A:$D,4,0),"❌ Account Not Found"))</f>
        <v/>
      </c>
      <c r="C140" s="86" t="str">
        <f>IF(A140="","",IFERROR(IF(SUMIF(DB_Savings!$C:$C,A140,DB_Savings!$F:$F)=0,VLOOKUP(A140,DB_Customers!$A:$I,9,0),VLOOKUP(A140,DB_Customers!$A:$N,14,0)),"❌ Acct Not Found"))</f>
        <v/>
      </c>
      <c r="D140" s="87" t="str">
        <f t="shared" ca="1" si="12"/>
        <v/>
      </c>
      <c r="E140" s="79"/>
      <c r="F140" s="88" t="str">
        <f t="shared" si="13"/>
        <v/>
      </c>
      <c r="G140" s="43" t="s">
        <v>137</v>
      </c>
      <c r="H140" s="81"/>
      <c r="I140" s="89" t="str">
        <f>IF(A140="","Pending",IF(H140="","⚠️ Enter Agent Code",IF(IFERROR(VLOOKUP(G140,DB_Agents!$B:$I,8,0),"")=H140,IF(AND(A140&lt;&gt;"",E140&lt;&gt;""),"Saved","Pending"),"🔒 BLOCKED — Wrong Code")))</f>
        <v>Pending</v>
      </c>
      <c r="J140" s="90" t="str">
        <f t="shared" ca="1" si="14"/>
        <v>—</v>
      </c>
      <c r="K140" s="91"/>
    </row>
    <row r="141" spans="1:11" ht="15" customHeight="1" x14ac:dyDescent="0.25">
      <c r="A141" s="76"/>
      <c r="B141" s="37" t="str">
        <f>IF(A141="","",IFERROR(VLOOKUP(A141,DB_Customers!$A:$D,4,0),"❌ Account Not Found"))</f>
        <v/>
      </c>
      <c r="C141" s="77" t="str">
        <f>IF(A141="","",IFERROR(IF(SUMIF(DB_Savings!$C:$C,A141,DB_Savings!$F:$F)=0,VLOOKUP(A141,DB_Customers!$A:$I,9,0),VLOOKUP(A141,DB_Customers!$A:$N,14,0)),"❌ Acct Not Found"))</f>
        <v/>
      </c>
      <c r="D141" s="78" t="str">
        <f t="shared" ca="1" si="12"/>
        <v/>
      </c>
      <c r="E141" s="79"/>
      <c r="F141" s="80" t="str">
        <f t="shared" si="13"/>
        <v/>
      </c>
      <c r="G141" s="39" t="s">
        <v>137</v>
      </c>
      <c r="H141" s="81"/>
      <c r="I141" s="82" t="str">
        <f>IF(A141="","Pending",IF(H141="","⚠️ Enter Agent Code",IF(IFERROR(VLOOKUP(G141,DB_Agents!$B:$I,8,0),"")=H141,IF(AND(A141&lt;&gt;"",E141&lt;&gt;""),"Saved","Pending"),"🔒 BLOCKED — Wrong Code")))</f>
        <v>Pending</v>
      </c>
      <c r="J141" s="83" t="str">
        <f t="shared" ca="1" si="14"/>
        <v>—</v>
      </c>
      <c r="K141" s="84"/>
    </row>
    <row r="142" spans="1:11" ht="15" customHeight="1" x14ac:dyDescent="0.25">
      <c r="A142" s="85"/>
      <c r="B142" s="41" t="str">
        <f>IF(A142="","",IFERROR(VLOOKUP(A142,DB_Customers!$A:$D,4,0),"❌ Account Not Found"))</f>
        <v/>
      </c>
      <c r="C142" s="86" t="str">
        <f>IF(A142="","",IFERROR(IF(SUMIF(DB_Savings!$C:$C,A142,DB_Savings!$F:$F)=0,VLOOKUP(A142,DB_Customers!$A:$I,9,0),VLOOKUP(A142,DB_Customers!$A:$N,14,0)),"❌ Acct Not Found"))</f>
        <v/>
      </c>
      <c r="D142" s="87" t="str">
        <f t="shared" ca="1" si="12"/>
        <v/>
      </c>
      <c r="E142" s="79"/>
      <c r="F142" s="88" t="str">
        <f t="shared" si="13"/>
        <v/>
      </c>
      <c r="G142" s="43" t="s">
        <v>137</v>
      </c>
      <c r="H142" s="81"/>
      <c r="I142" s="89" t="str">
        <f>IF(A142="","Pending",IF(H142="","⚠️ Enter Agent Code",IF(IFERROR(VLOOKUP(G142,DB_Agents!$B:$I,8,0),"")=H142,IF(AND(A142&lt;&gt;"",E142&lt;&gt;""),"Saved","Pending"),"🔒 BLOCKED — Wrong Code")))</f>
        <v>Pending</v>
      </c>
      <c r="J142" s="90" t="str">
        <f t="shared" ca="1" si="14"/>
        <v>—</v>
      </c>
      <c r="K142" s="91"/>
    </row>
    <row r="143" spans="1:11" ht="15" customHeight="1" x14ac:dyDescent="0.25">
      <c r="A143" s="76"/>
      <c r="B143" s="37" t="str">
        <f>IF(A143="","",IFERROR(VLOOKUP(A143,DB_Customers!$A:$D,4,0),"❌ Account Not Found"))</f>
        <v/>
      </c>
      <c r="C143" s="77" t="str">
        <f>IF(A143="","",IFERROR(IF(SUMIF(DB_Savings!$C:$C,A143,DB_Savings!$F:$F)=0,VLOOKUP(A143,DB_Customers!$A:$I,9,0),VLOOKUP(A143,DB_Customers!$A:$N,14,0)),"❌ Acct Not Found"))</f>
        <v/>
      </c>
      <c r="D143" s="78" t="str">
        <f t="shared" ca="1" si="12"/>
        <v/>
      </c>
      <c r="E143" s="79"/>
      <c r="F143" s="80" t="str">
        <f t="shared" si="13"/>
        <v/>
      </c>
      <c r="G143" s="39" t="s">
        <v>137</v>
      </c>
      <c r="H143" s="81"/>
      <c r="I143" s="82" t="str">
        <f>IF(A143="","Pending",IF(H143="","⚠️ Enter Agent Code",IF(IFERROR(VLOOKUP(G143,DB_Agents!$B:$I,8,0),"")=H143,IF(AND(A143&lt;&gt;"",E143&lt;&gt;""),"Saved","Pending"),"🔒 BLOCKED — Wrong Code")))</f>
        <v>Pending</v>
      </c>
      <c r="J143" s="83" t="str">
        <f t="shared" ca="1" si="14"/>
        <v>—</v>
      </c>
      <c r="K143" s="84"/>
    </row>
    <row r="144" spans="1:11" ht="15" customHeight="1" x14ac:dyDescent="0.25">
      <c r="A144" s="85"/>
      <c r="B144" s="41" t="str">
        <f>IF(A144="","",IFERROR(VLOOKUP(A144,DB_Customers!$A:$D,4,0),"❌ Account Not Found"))</f>
        <v/>
      </c>
      <c r="C144" s="86" t="str">
        <f>IF(A144="","",IFERROR(IF(SUMIF(DB_Savings!$C:$C,A144,DB_Savings!$F:$F)=0,VLOOKUP(A144,DB_Customers!$A:$I,9,0),VLOOKUP(A144,DB_Customers!$A:$N,14,0)),"❌ Acct Not Found"))</f>
        <v/>
      </c>
      <c r="D144" s="87" t="str">
        <f t="shared" ca="1" si="12"/>
        <v/>
      </c>
      <c r="E144" s="79"/>
      <c r="F144" s="88" t="str">
        <f t="shared" si="13"/>
        <v/>
      </c>
      <c r="G144" s="43" t="s">
        <v>137</v>
      </c>
      <c r="H144" s="81"/>
      <c r="I144" s="89" t="str">
        <f>IF(A144="","Pending",IF(H144="","⚠️ Enter Agent Code",IF(IFERROR(VLOOKUP(G144,DB_Agents!$B:$I,8,0),"")=H144,IF(AND(A144&lt;&gt;"",E144&lt;&gt;""),"Saved","Pending"),"🔒 BLOCKED — Wrong Code")))</f>
        <v>Pending</v>
      </c>
      <c r="J144" s="90" t="str">
        <f t="shared" ca="1" si="14"/>
        <v>—</v>
      </c>
      <c r="K144" s="91"/>
    </row>
    <row r="145" spans="1:11" ht="15" customHeight="1" x14ac:dyDescent="0.25">
      <c r="A145" s="76"/>
      <c r="B145" s="37" t="str">
        <f>IF(A145="","",IFERROR(VLOOKUP(A145,DB_Customers!$A:$D,4,0),"❌ Account Not Found"))</f>
        <v/>
      </c>
      <c r="C145" s="77" t="str">
        <f>IF(A145="","",IFERROR(IF(SUMIF(DB_Savings!$C:$C,A145,DB_Savings!$F:$F)=0,VLOOKUP(A145,DB_Customers!$A:$I,9,0),VLOOKUP(A145,DB_Customers!$A:$N,14,0)),"❌ Acct Not Found"))</f>
        <v/>
      </c>
      <c r="D145" s="78" t="str">
        <f t="shared" ca="1" si="12"/>
        <v/>
      </c>
      <c r="E145" s="79"/>
      <c r="F145" s="80" t="str">
        <f t="shared" si="13"/>
        <v/>
      </c>
      <c r="G145" s="39" t="s">
        <v>137</v>
      </c>
      <c r="H145" s="81"/>
      <c r="I145" s="82" t="str">
        <f>IF(A145="","Pending",IF(H145="","⚠️ Enter Agent Code",IF(IFERROR(VLOOKUP(G145,DB_Agents!$B:$I,8,0),"")=H145,IF(AND(A145&lt;&gt;"",E145&lt;&gt;""),"Saved","Pending"),"🔒 BLOCKED — Wrong Code")))</f>
        <v>Pending</v>
      </c>
      <c r="J145" s="83" t="str">
        <f t="shared" ca="1" si="14"/>
        <v>—</v>
      </c>
      <c r="K145" s="84"/>
    </row>
    <row r="146" spans="1:11" ht="15" customHeight="1" x14ac:dyDescent="0.25">
      <c r="A146" s="85"/>
      <c r="B146" s="41" t="str">
        <f>IF(A146="","",IFERROR(VLOOKUP(A146,DB_Customers!$A:$D,4,0),"❌ Account Not Found"))</f>
        <v/>
      </c>
      <c r="C146" s="86" t="str">
        <f>IF(A146="","",IFERROR(IF(SUMIF(DB_Savings!$C:$C,A146,DB_Savings!$F:$F)=0,VLOOKUP(A146,DB_Customers!$A:$I,9,0),VLOOKUP(A146,DB_Customers!$A:$N,14,0)),"❌ Acct Not Found"))</f>
        <v/>
      </c>
      <c r="D146" s="87" t="str">
        <f t="shared" ca="1" si="12"/>
        <v/>
      </c>
      <c r="E146" s="79"/>
      <c r="F146" s="88" t="str">
        <f t="shared" si="13"/>
        <v/>
      </c>
      <c r="G146" s="43" t="s">
        <v>137</v>
      </c>
      <c r="H146" s="81"/>
      <c r="I146" s="89" t="str">
        <f>IF(A146="","Pending",IF(H146="","⚠️ Enter Agent Code",IF(IFERROR(VLOOKUP(G146,DB_Agents!$B:$I,8,0),"")=H146,IF(AND(A146&lt;&gt;"",E146&lt;&gt;""),"Saved","Pending"),"🔒 BLOCKED — Wrong Code")))</f>
        <v>Pending</v>
      </c>
      <c r="J146" s="90" t="str">
        <f t="shared" ca="1" si="14"/>
        <v>—</v>
      </c>
      <c r="K146" s="91"/>
    </row>
    <row r="147" spans="1:11" ht="15" customHeight="1" x14ac:dyDescent="0.25">
      <c r="A147" s="76"/>
      <c r="B147" s="37" t="str">
        <f>IF(A147="","",IFERROR(VLOOKUP(A147,DB_Customers!$A:$D,4,0),"❌ Account Not Found"))</f>
        <v/>
      </c>
      <c r="C147" s="77" t="str">
        <f>IF(A147="","",IFERROR(IF(SUMIF(DB_Savings!$C:$C,A147,DB_Savings!$F:$F)=0,VLOOKUP(A147,DB_Customers!$A:$I,9,0),VLOOKUP(A147,DB_Customers!$A:$N,14,0)),"❌ Acct Not Found"))</f>
        <v/>
      </c>
      <c r="D147" s="78" t="str">
        <f t="shared" ca="1" si="12"/>
        <v/>
      </c>
      <c r="E147" s="79"/>
      <c r="F147" s="80" t="str">
        <f t="shared" si="13"/>
        <v/>
      </c>
      <c r="G147" s="39" t="s">
        <v>137</v>
      </c>
      <c r="H147" s="81"/>
      <c r="I147" s="82" t="str">
        <f>IF(A147="","Pending",IF(H147="","⚠️ Enter Agent Code",IF(IFERROR(VLOOKUP(G147,DB_Agents!$B:$I,8,0),"")=H147,IF(AND(A147&lt;&gt;"",E147&lt;&gt;""),"Saved","Pending"),"🔒 BLOCKED — Wrong Code")))</f>
        <v>Pending</v>
      </c>
      <c r="J147" s="83" t="str">
        <f t="shared" ca="1" si="14"/>
        <v>—</v>
      </c>
      <c r="K147" s="84"/>
    </row>
    <row r="148" spans="1:11" ht="15" customHeight="1" x14ac:dyDescent="0.25">
      <c r="A148" s="85"/>
      <c r="B148" s="41" t="str">
        <f>IF(A148="","",IFERROR(VLOOKUP(A148,DB_Customers!$A:$D,4,0),"❌ Account Not Found"))</f>
        <v/>
      </c>
      <c r="C148" s="86" t="str">
        <f>IF(A148="","",IFERROR(IF(SUMIF(DB_Savings!$C:$C,A148,DB_Savings!$F:$F)=0,VLOOKUP(A148,DB_Customers!$A:$I,9,0),VLOOKUP(A148,DB_Customers!$A:$N,14,0)),"❌ Acct Not Found"))</f>
        <v/>
      </c>
      <c r="D148" s="87" t="str">
        <f t="shared" ca="1" si="12"/>
        <v/>
      </c>
      <c r="E148" s="79"/>
      <c r="F148" s="88" t="str">
        <f t="shared" si="13"/>
        <v/>
      </c>
      <c r="G148" s="43" t="s">
        <v>137</v>
      </c>
      <c r="H148" s="81"/>
      <c r="I148" s="89" t="str">
        <f>IF(A148="","Pending",IF(H148="","⚠️ Enter Agent Code",IF(IFERROR(VLOOKUP(G148,DB_Agents!$B:$I,8,0),"")=H148,IF(AND(A148&lt;&gt;"",E148&lt;&gt;""),"Saved","Pending"),"🔒 BLOCKED — Wrong Code")))</f>
        <v>Pending</v>
      </c>
      <c r="J148" s="90" t="str">
        <f t="shared" ca="1" si="14"/>
        <v>—</v>
      </c>
      <c r="K148" s="91"/>
    </row>
    <row r="149" spans="1:11" ht="15" customHeight="1" x14ac:dyDescent="0.25">
      <c r="A149" s="76"/>
      <c r="B149" s="37" t="str">
        <f>IF(A149="","",IFERROR(VLOOKUP(A149,DB_Customers!$A:$D,4,0),"❌ Account Not Found"))</f>
        <v/>
      </c>
      <c r="C149" s="77" t="str">
        <f>IF(A149="","",IFERROR(IF(SUMIF(DB_Savings!$C:$C,A149,DB_Savings!$F:$F)=0,VLOOKUP(A149,DB_Customers!$A:$I,9,0),VLOOKUP(A149,DB_Customers!$A:$N,14,0)),"❌ Acct Not Found"))</f>
        <v/>
      </c>
      <c r="D149" s="78" t="str">
        <f t="shared" ca="1" si="12"/>
        <v/>
      </c>
      <c r="E149" s="79"/>
      <c r="F149" s="80" t="str">
        <f t="shared" si="13"/>
        <v/>
      </c>
      <c r="G149" s="39" t="s">
        <v>137</v>
      </c>
      <c r="H149" s="81"/>
      <c r="I149" s="82" t="str">
        <f>IF(A149="","Pending",IF(H149="","⚠️ Enter Agent Code",IF(IFERROR(VLOOKUP(G149,DB_Agents!$B:$I,8,0),"")=H149,IF(AND(A149&lt;&gt;"",E149&lt;&gt;""),"Saved","Pending"),"🔒 BLOCKED — Wrong Code")))</f>
        <v>Pending</v>
      </c>
      <c r="J149" s="83" t="str">
        <f t="shared" ca="1" si="14"/>
        <v>—</v>
      </c>
      <c r="K149" s="84"/>
    </row>
    <row r="150" spans="1:11" ht="15" customHeight="1" x14ac:dyDescent="0.25">
      <c r="A150" s="85"/>
      <c r="B150" s="41" t="str">
        <f>IF(A150="","",IFERROR(VLOOKUP(A150,DB_Customers!$A:$D,4,0),"❌ Account Not Found"))</f>
        <v/>
      </c>
      <c r="C150" s="86" t="str">
        <f>IF(A150="","",IFERROR(IF(SUMIF(DB_Savings!$C:$C,A150,DB_Savings!$F:$F)=0,VLOOKUP(A150,DB_Customers!$A:$I,9,0),VLOOKUP(A150,DB_Customers!$A:$N,14,0)),"❌ Acct Not Found"))</f>
        <v/>
      </c>
      <c r="D150" s="87" t="str">
        <f t="shared" ca="1" si="12"/>
        <v/>
      </c>
      <c r="E150" s="79"/>
      <c r="F150" s="88" t="str">
        <f t="shared" si="13"/>
        <v/>
      </c>
      <c r="G150" s="43" t="s">
        <v>137</v>
      </c>
      <c r="H150" s="81"/>
      <c r="I150" s="89" t="str">
        <f>IF(A150="","Pending",IF(H150="","⚠️ Enter Agent Code",IF(IFERROR(VLOOKUP(G150,DB_Agents!$B:$I,8,0),"")=H150,IF(AND(A150&lt;&gt;"",E150&lt;&gt;""),"Saved","Pending"),"🔒 BLOCKED — Wrong Code")))</f>
        <v>Pending</v>
      </c>
      <c r="J150" s="90" t="str">
        <f t="shared" ca="1" si="14"/>
        <v>—</v>
      </c>
      <c r="K150" s="91"/>
    </row>
    <row r="151" spans="1:11" ht="15" customHeight="1" x14ac:dyDescent="0.25">
      <c r="A151" s="76"/>
      <c r="B151" s="37" t="str">
        <f>IF(A151="","",IFERROR(VLOOKUP(A151,DB_Customers!$A:$D,4,0),"❌ Account Not Found"))</f>
        <v/>
      </c>
      <c r="C151" s="77" t="str">
        <f>IF(A151="","",IFERROR(IF(SUMIF(DB_Savings!$C:$C,A151,DB_Savings!$F:$F)=0,VLOOKUP(A151,DB_Customers!$A:$I,9,0),VLOOKUP(A151,DB_Customers!$A:$N,14,0)),"❌ Acct Not Found"))</f>
        <v/>
      </c>
      <c r="D151" s="78" t="str">
        <f t="shared" ca="1" si="12"/>
        <v/>
      </c>
      <c r="E151" s="79"/>
      <c r="F151" s="80" t="str">
        <f t="shared" si="13"/>
        <v/>
      </c>
      <c r="G151" s="39" t="s">
        <v>137</v>
      </c>
      <c r="H151" s="81"/>
      <c r="I151" s="82" t="str">
        <f>IF(A151="","Pending",IF(H151="","⚠️ Enter Agent Code",IF(IFERROR(VLOOKUP(G151,DB_Agents!$B:$I,8,0),"")=H151,IF(AND(A151&lt;&gt;"",E151&lt;&gt;""),"Saved","Pending"),"🔒 BLOCKED — Wrong Code")))</f>
        <v>Pending</v>
      </c>
      <c r="J151" s="83" t="str">
        <f t="shared" ca="1" si="14"/>
        <v>—</v>
      </c>
      <c r="K151" s="84"/>
    </row>
    <row r="152" spans="1:11" ht="15" customHeight="1" x14ac:dyDescent="0.25">
      <c r="A152" s="85"/>
      <c r="B152" s="41" t="str">
        <f>IF(A152="","",IFERROR(VLOOKUP(A152,DB_Customers!$A:$D,4,0),"❌ Account Not Found"))</f>
        <v/>
      </c>
      <c r="C152" s="86" t="str">
        <f>IF(A152="","",IFERROR(IF(SUMIF(DB_Savings!$C:$C,A152,DB_Savings!$F:$F)=0,VLOOKUP(A152,DB_Customers!$A:$I,9,0),VLOOKUP(A152,DB_Customers!$A:$N,14,0)),"❌ Acct Not Found"))</f>
        <v/>
      </c>
      <c r="D152" s="87" t="str">
        <f t="shared" ca="1" si="12"/>
        <v/>
      </c>
      <c r="E152" s="79"/>
      <c r="F152" s="88" t="str">
        <f t="shared" si="13"/>
        <v/>
      </c>
      <c r="G152" s="43" t="s">
        <v>137</v>
      </c>
      <c r="H152" s="81"/>
      <c r="I152" s="89" t="str">
        <f>IF(A152="","Pending",IF(H152="","⚠️ Enter Agent Code",IF(IFERROR(VLOOKUP(G152,DB_Agents!$B:$I,8,0),"")=H152,IF(AND(A152&lt;&gt;"",E152&lt;&gt;""),"Saved","Pending"),"🔒 BLOCKED — Wrong Code")))</f>
        <v>Pending</v>
      </c>
      <c r="J152" s="90" t="str">
        <f t="shared" ca="1" si="14"/>
        <v>—</v>
      </c>
      <c r="K152" s="91"/>
    </row>
    <row r="153" spans="1:11" ht="15" customHeight="1" x14ac:dyDescent="0.25">
      <c r="A153" s="76"/>
      <c r="B153" s="37" t="str">
        <f>IF(A153="","",IFERROR(VLOOKUP(A153,DB_Customers!$A:$D,4,0),"❌ Account Not Found"))</f>
        <v/>
      </c>
      <c r="C153" s="77" t="str">
        <f>IF(A153="","",IFERROR(IF(SUMIF(DB_Savings!$C:$C,A153,DB_Savings!$F:$F)=0,VLOOKUP(A153,DB_Customers!$A:$I,9,0),VLOOKUP(A153,DB_Customers!$A:$N,14,0)),"❌ Acct Not Found"))</f>
        <v/>
      </c>
      <c r="D153" s="78" t="str">
        <f t="shared" ca="1" si="12"/>
        <v/>
      </c>
      <c r="E153" s="79"/>
      <c r="F153" s="80" t="str">
        <f t="shared" si="13"/>
        <v/>
      </c>
      <c r="G153" s="39" t="s">
        <v>137</v>
      </c>
      <c r="H153" s="81"/>
      <c r="I153" s="82" t="str">
        <f>IF(A153="","Pending",IF(H153="","⚠️ Enter Agent Code",IF(IFERROR(VLOOKUP(G153,DB_Agents!$B:$I,8,0),"")=H153,IF(AND(A153&lt;&gt;"",E153&lt;&gt;""),"Saved","Pending"),"🔒 BLOCKED — Wrong Code")))</f>
        <v>Pending</v>
      </c>
      <c r="J153" s="83" t="str">
        <f t="shared" ca="1" si="14"/>
        <v>—</v>
      </c>
      <c r="K153" s="84"/>
    </row>
    <row r="154" spans="1:11" ht="15" customHeight="1" x14ac:dyDescent="0.25">
      <c r="A154" s="85"/>
      <c r="B154" s="41" t="str">
        <f>IF(A154="","",IFERROR(VLOOKUP(A154,DB_Customers!$A:$D,4,0),"❌ Account Not Found"))</f>
        <v/>
      </c>
      <c r="C154" s="86" t="str">
        <f>IF(A154="","",IFERROR(IF(SUMIF(DB_Savings!$C:$C,A154,DB_Savings!$F:$F)=0,VLOOKUP(A154,DB_Customers!$A:$I,9,0),VLOOKUP(A154,DB_Customers!$A:$N,14,0)),"❌ Acct Not Found"))</f>
        <v/>
      </c>
      <c r="D154" s="87" t="str">
        <f t="shared" ca="1" si="12"/>
        <v/>
      </c>
      <c r="E154" s="79"/>
      <c r="F154" s="88" t="str">
        <f t="shared" si="13"/>
        <v/>
      </c>
      <c r="G154" s="43" t="s">
        <v>137</v>
      </c>
      <c r="H154" s="81"/>
      <c r="I154" s="89" t="str">
        <f>IF(A154="","Pending",IF(H154="","⚠️ Enter Agent Code",IF(IFERROR(VLOOKUP(G154,DB_Agents!$B:$I,8,0),"")=H154,IF(AND(A154&lt;&gt;"",E154&lt;&gt;""),"Saved","Pending"),"🔒 BLOCKED — Wrong Code")))</f>
        <v>Pending</v>
      </c>
      <c r="J154" s="90" t="str">
        <f t="shared" ca="1" si="14"/>
        <v>—</v>
      </c>
      <c r="K154" s="91"/>
    </row>
    <row r="155" spans="1:11" ht="15" customHeight="1" x14ac:dyDescent="0.25">
      <c r="A155" s="76"/>
      <c r="B155" s="37" t="str">
        <f>IF(A155="","",IFERROR(VLOOKUP(A155,DB_Customers!$A:$D,4,0),"❌ Account Not Found"))</f>
        <v/>
      </c>
      <c r="C155" s="77" t="str">
        <f>IF(A155="","",IFERROR(IF(SUMIF(DB_Savings!$C:$C,A155,DB_Savings!$F:$F)=0,VLOOKUP(A155,DB_Customers!$A:$I,9,0),VLOOKUP(A155,DB_Customers!$A:$N,14,0)),"❌ Acct Not Found"))</f>
        <v/>
      </c>
      <c r="D155" s="78" t="str">
        <f t="shared" ca="1" si="12"/>
        <v/>
      </c>
      <c r="E155" s="79"/>
      <c r="F155" s="80" t="str">
        <f t="shared" si="13"/>
        <v/>
      </c>
      <c r="G155" s="39" t="s">
        <v>137</v>
      </c>
      <c r="H155" s="81"/>
      <c r="I155" s="82" t="str">
        <f>IF(A155="","Pending",IF(H155="","⚠️ Enter Agent Code",IF(IFERROR(VLOOKUP(G155,DB_Agents!$B:$I,8,0),"")=H155,IF(AND(A155&lt;&gt;"",E155&lt;&gt;""),"Saved","Pending"),"🔒 BLOCKED — Wrong Code")))</f>
        <v>Pending</v>
      </c>
      <c r="J155" s="83" t="str">
        <f t="shared" ca="1" si="14"/>
        <v>—</v>
      </c>
      <c r="K155" s="84"/>
    </row>
    <row r="156" spans="1:11" ht="15" customHeight="1" x14ac:dyDescent="0.25">
      <c r="A156" s="85"/>
      <c r="B156" s="41" t="str">
        <f>IF(A156="","",IFERROR(VLOOKUP(A156,DB_Customers!$A:$D,4,0),"❌ Account Not Found"))</f>
        <v/>
      </c>
      <c r="C156" s="86" t="str">
        <f>IF(A156="","",IFERROR(IF(SUMIF(DB_Savings!$C:$C,A156,DB_Savings!$F:$F)=0,VLOOKUP(A156,DB_Customers!$A:$I,9,0),VLOOKUP(A156,DB_Customers!$A:$N,14,0)),"❌ Acct Not Found"))</f>
        <v/>
      </c>
      <c r="D156" s="87" t="str">
        <f t="shared" ca="1" si="12"/>
        <v/>
      </c>
      <c r="E156" s="79"/>
      <c r="F156" s="88" t="str">
        <f t="shared" si="13"/>
        <v/>
      </c>
      <c r="G156" s="43" t="s">
        <v>137</v>
      </c>
      <c r="H156" s="81"/>
      <c r="I156" s="89" t="str">
        <f>IF(A156="","Pending",IF(H156="","⚠️ Enter Agent Code",IF(IFERROR(VLOOKUP(G156,DB_Agents!$B:$I,8,0),"")=H156,IF(AND(A156&lt;&gt;"",E156&lt;&gt;""),"Saved","Pending"),"🔒 BLOCKED — Wrong Code")))</f>
        <v>Pending</v>
      </c>
      <c r="J156" s="90" t="str">
        <f t="shared" ca="1" si="14"/>
        <v>—</v>
      </c>
      <c r="K156" s="91"/>
    </row>
    <row r="157" spans="1:11" ht="15" customHeight="1" x14ac:dyDescent="0.25">
      <c r="A157" s="76"/>
      <c r="B157" s="37" t="str">
        <f>IF(A157="","",IFERROR(VLOOKUP(A157,DB_Customers!$A:$D,4,0),"❌ Account Not Found"))</f>
        <v/>
      </c>
      <c r="C157" s="77" t="str">
        <f>IF(A157="","",IFERROR(IF(SUMIF(DB_Savings!$C:$C,A157,DB_Savings!$F:$F)=0,VLOOKUP(A157,DB_Customers!$A:$I,9,0),VLOOKUP(A157,DB_Customers!$A:$N,14,0)),"❌ Acct Not Found"))</f>
        <v/>
      </c>
      <c r="D157" s="78" t="str">
        <f t="shared" ca="1" si="12"/>
        <v/>
      </c>
      <c r="E157" s="79"/>
      <c r="F157" s="80" t="str">
        <f t="shared" si="13"/>
        <v/>
      </c>
      <c r="G157" s="39" t="s">
        <v>137</v>
      </c>
      <c r="H157" s="81"/>
      <c r="I157" s="82" t="str">
        <f>IF(A157="","Pending",IF(H157="","⚠️ Enter Agent Code",IF(IFERROR(VLOOKUP(G157,DB_Agents!$B:$I,8,0),"")=H157,IF(AND(A157&lt;&gt;"",E157&lt;&gt;""),"Saved","Pending"),"🔒 BLOCKED — Wrong Code")))</f>
        <v>Pending</v>
      </c>
      <c r="J157" s="83" t="str">
        <f t="shared" ca="1" si="14"/>
        <v>—</v>
      </c>
      <c r="K157" s="84"/>
    </row>
    <row r="158" spans="1:11" ht="15" customHeight="1" x14ac:dyDescent="0.25">
      <c r="A158" s="85"/>
      <c r="B158" s="41" t="str">
        <f>IF(A158="","",IFERROR(VLOOKUP(A158,DB_Customers!$A:$D,4,0),"❌ Account Not Found"))</f>
        <v/>
      </c>
      <c r="C158" s="86" t="str">
        <f>IF(A158="","",IFERROR(IF(SUMIF(DB_Savings!$C:$C,A158,DB_Savings!$F:$F)=0,VLOOKUP(A158,DB_Customers!$A:$I,9,0),VLOOKUP(A158,DB_Customers!$A:$N,14,0)),"❌ Acct Not Found"))</f>
        <v/>
      </c>
      <c r="D158" s="87" t="str">
        <f t="shared" ca="1" si="12"/>
        <v/>
      </c>
      <c r="E158" s="79"/>
      <c r="F158" s="88" t="str">
        <f t="shared" si="13"/>
        <v/>
      </c>
      <c r="G158" s="43" t="s">
        <v>137</v>
      </c>
      <c r="H158" s="81"/>
      <c r="I158" s="89" t="str">
        <f>IF(A158="","Pending",IF(H158="","⚠️ Enter Agent Code",IF(IFERROR(VLOOKUP(G158,DB_Agents!$B:$I,8,0),"")=H158,IF(AND(A158&lt;&gt;"",E158&lt;&gt;""),"Saved","Pending"),"🔒 BLOCKED — Wrong Code")))</f>
        <v>Pending</v>
      </c>
      <c r="J158" s="90" t="str">
        <f t="shared" ca="1" si="14"/>
        <v>—</v>
      </c>
      <c r="K158" s="91"/>
    </row>
    <row r="159" spans="1:11" ht="15" customHeight="1" x14ac:dyDescent="0.25">
      <c r="A159" s="76"/>
      <c r="B159" s="37" t="str">
        <f>IF(A159="","",IFERROR(VLOOKUP(A159,DB_Customers!$A:$D,4,0),"❌ Account Not Found"))</f>
        <v/>
      </c>
      <c r="C159" s="77" t="str">
        <f>IF(A159="","",IFERROR(IF(SUMIF(DB_Savings!$C:$C,A159,DB_Savings!$F:$F)=0,VLOOKUP(A159,DB_Customers!$A:$I,9,0),VLOOKUP(A159,DB_Customers!$A:$N,14,0)),"❌ Acct Not Found"))</f>
        <v/>
      </c>
      <c r="D159" s="78" t="str">
        <f t="shared" ca="1" si="12"/>
        <v/>
      </c>
      <c r="E159" s="79"/>
      <c r="F159" s="80" t="str">
        <f t="shared" si="13"/>
        <v/>
      </c>
      <c r="G159" s="39" t="s">
        <v>137</v>
      </c>
      <c r="H159" s="81"/>
      <c r="I159" s="82" t="str">
        <f>IF(A159="","Pending",IF(H159="","⚠️ Enter Agent Code",IF(IFERROR(VLOOKUP(G159,DB_Agents!$B:$I,8,0),"")=H159,IF(AND(A159&lt;&gt;"",E159&lt;&gt;""),"Saved","Pending"),"🔒 BLOCKED — Wrong Code")))</f>
        <v>Pending</v>
      </c>
      <c r="J159" s="83" t="str">
        <f t="shared" ca="1" si="14"/>
        <v>—</v>
      </c>
      <c r="K159" s="84"/>
    </row>
    <row r="160" spans="1:11" ht="15" customHeight="1" x14ac:dyDescent="0.25">
      <c r="A160" s="85"/>
      <c r="B160" s="41" t="str">
        <f>IF(A160="","",IFERROR(VLOOKUP(A160,DB_Customers!$A:$D,4,0),"❌ Account Not Found"))</f>
        <v/>
      </c>
      <c r="C160" s="86" t="str">
        <f>IF(A160="","",IFERROR(IF(SUMIF(DB_Savings!$C:$C,A160,DB_Savings!$F:$F)=0,VLOOKUP(A160,DB_Customers!$A:$I,9,0),VLOOKUP(A160,DB_Customers!$A:$N,14,0)),"❌ Acct Not Found"))</f>
        <v/>
      </c>
      <c r="D160" s="87" t="str">
        <f t="shared" ca="1" si="12"/>
        <v/>
      </c>
      <c r="E160" s="79"/>
      <c r="F160" s="88" t="str">
        <f t="shared" si="13"/>
        <v/>
      </c>
      <c r="G160" s="43" t="s">
        <v>137</v>
      </c>
      <c r="H160" s="81"/>
      <c r="I160" s="89" t="str">
        <f>IF(A160="","Pending",IF(H160="","⚠️ Enter Agent Code",IF(IFERROR(VLOOKUP(G160,DB_Agents!$B:$I,8,0),"")=H160,IF(AND(A160&lt;&gt;"",E160&lt;&gt;""),"Saved","Pending"),"🔒 BLOCKED — Wrong Code")))</f>
        <v>Pending</v>
      </c>
      <c r="J160" s="90" t="str">
        <f t="shared" ca="1" si="14"/>
        <v>—</v>
      </c>
      <c r="K160" s="91"/>
    </row>
    <row r="161" spans="1:11" ht="15" customHeight="1" x14ac:dyDescent="0.25">
      <c r="A161" s="76"/>
      <c r="B161" s="37" t="str">
        <f>IF(A161="","",IFERROR(VLOOKUP(A161,DB_Customers!$A:$D,4,0),"❌ Account Not Found"))</f>
        <v/>
      </c>
      <c r="C161" s="77" t="str">
        <f>IF(A161="","",IFERROR(IF(SUMIF(DB_Savings!$C:$C,A161,DB_Savings!$F:$F)=0,VLOOKUP(A161,DB_Customers!$A:$I,9,0),VLOOKUP(A161,DB_Customers!$A:$N,14,0)),"❌ Acct Not Found"))</f>
        <v/>
      </c>
      <c r="D161" s="78" t="str">
        <f t="shared" ca="1" si="12"/>
        <v/>
      </c>
      <c r="E161" s="79"/>
      <c r="F161" s="80" t="str">
        <f t="shared" si="13"/>
        <v/>
      </c>
      <c r="G161" s="39" t="s">
        <v>137</v>
      </c>
      <c r="H161" s="81"/>
      <c r="I161" s="82" t="str">
        <f>IF(A161="","Pending",IF(H161="","⚠️ Enter Agent Code",IF(IFERROR(VLOOKUP(G161,DB_Agents!$B:$I,8,0),"")=H161,IF(AND(A161&lt;&gt;"",E161&lt;&gt;""),"Saved","Pending"),"🔒 BLOCKED — Wrong Code")))</f>
        <v>Pending</v>
      </c>
      <c r="J161" s="83" t="str">
        <f t="shared" ca="1" si="14"/>
        <v>—</v>
      </c>
      <c r="K161" s="84"/>
    </row>
    <row r="162" spans="1:11" ht="15" customHeight="1" x14ac:dyDescent="0.25">
      <c r="A162" s="85"/>
      <c r="B162" s="41" t="str">
        <f>IF(A162="","",IFERROR(VLOOKUP(A162,DB_Customers!$A:$D,4,0),"❌ Account Not Found"))</f>
        <v/>
      </c>
      <c r="C162" s="86" t="str">
        <f>IF(A162="","",IFERROR(IF(SUMIF(DB_Savings!$C:$C,A162,DB_Savings!$F:$F)=0,VLOOKUP(A162,DB_Customers!$A:$I,9,0),VLOOKUP(A162,DB_Customers!$A:$N,14,0)),"❌ Acct Not Found"))</f>
        <v/>
      </c>
      <c r="D162" s="87" t="str">
        <f t="shared" ca="1" si="12"/>
        <v/>
      </c>
      <c r="E162" s="79"/>
      <c r="F162" s="88" t="str">
        <f t="shared" si="13"/>
        <v/>
      </c>
      <c r="G162" s="43" t="s">
        <v>137</v>
      </c>
      <c r="H162" s="81"/>
      <c r="I162" s="89" t="str">
        <f>IF(A162="","Pending",IF(H162="","⚠️ Enter Agent Code",IF(IFERROR(VLOOKUP(G162,DB_Agents!$B:$I,8,0),"")=H162,IF(AND(A162&lt;&gt;"",E162&lt;&gt;""),"Saved","Pending"),"🔒 BLOCKED — Wrong Code")))</f>
        <v>Pending</v>
      </c>
      <c r="J162" s="90" t="str">
        <f t="shared" ca="1" si="14"/>
        <v>—</v>
      </c>
      <c r="K162" s="91"/>
    </row>
    <row r="163" spans="1:11" ht="15" customHeight="1" x14ac:dyDescent="0.25">
      <c r="A163" s="76"/>
      <c r="B163" s="37" t="str">
        <f>IF(A163="","",IFERROR(VLOOKUP(A163,DB_Customers!$A:$D,4,0),"❌ Account Not Found"))</f>
        <v/>
      </c>
      <c r="C163" s="77" t="str">
        <f>IF(A163="","",IFERROR(IF(SUMIF(DB_Savings!$C:$C,A163,DB_Savings!$F:$F)=0,VLOOKUP(A163,DB_Customers!$A:$I,9,0),VLOOKUP(A163,DB_Customers!$A:$N,14,0)),"❌ Acct Not Found"))</f>
        <v/>
      </c>
      <c r="D163" s="78" t="str">
        <f t="shared" ca="1" si="12"/>
        <v/>
      </c>
      <c r="E163" s="79"/>
      <c r="F163" s="80" t="str">
        <f t="shared" si="13"/>
        <v/>
      </c>
      <c r="G163" s="39" t="s">
        <v>137</v>
      </c>
      <c r="H163" s="81"/>
      <c r="I163" s="82" t="str">
        <f>IF(A163="","Pending",IF(H163="","⚠️ Enter Agent Code",IF(IFERROR(VLOOKUP(G163,DB_Agents!$B:$I,8,0),"")=H163,IF(AND(A163&lt;&gt;"",E163&lt;&gt;""),"Saved","Pending"),"🔒 BLOCKED — Wrong Code")))</f>
        <v>Pending</v>
      </c>
      <c r="J163" s="83" t="str">
        <f t="shared" ca="1" si="14"/>
        <v>—</v>
      </c>
      <c r="K163" s="84"/>
    </row>
    <row r="164" spans="1:11" ht="15" customHeight="1" x14ac:dyDescent="0.25">
      <c r="A164" s="85"/>
      <c r="B164" s="41" t="str">
        <f>IF(A164="","",IFERROR(VLOOKUP(A164,DB_Customers!$A:$D,4,0),"❌ Account Not Found"))</f>
        <v/>
      </c>
      <c r="C164" s="86" t="str">
        <f>IF(A164="","",IFERROR(IF(SUMIF(DB_Savings!$C:$C,A164,DB_Savings!$F:$F)=0,VLOOKUP(A164,DB_Customers!$A:$I,9,0),VLOOKUP(A164,DB_Customers!$A:$N,14,0)),"❌ Acct Not Found"))</f>
        <v/>
      </c>
      <c r="D164" s="87" t="str">
        <f t="shared" ca="1" si="12"/>
        <v/>
      </c>
      <c r="E164" s="79"/>
      <c r="F164" s="88" t="str">
        <f t="shared" si="13"/>
        <v/>
      </c>
      <c r="G164" s="43" t="s">
        <v>137</v>
      </c>
      <c r="H164" s="81"/>
      <c r="I164" s="89" t="str">
        <f>IF(A164="","Pending",IF(H164="","⚠️ Enter Agent Code",IF(IFERROR(VLOOKUP(G164,DB_Agents!$B:$I,8,0),"")=H164,IF(AND(A164&lt;&gt;"",E164&lt;&gt;""),"Saved","Pending"),"🔒 BLOCKED — Wrong Code")))</f>
        <v>Pending</v>
      </c>
      <c r="J164" s="90" t="str">
        <f t="shared" ca="1" si="14"/>
        <v>—</v>
      </c>
      <c r="K164" s="91"/>
    </row>
    <row r="165" spans="1:11" ht="15" customHeight="1" x14ac:dyDescent="0.25">
      <c r="A165" s="76"/>
      <c r="B165" s="37" t="str">
        <f>IF(A165="","",IFERROR(VLOOKUP(A165,DB_Customers!$A:$D,4,0),"❌ Account Not Found"))</f>
        <v/>
      </c>
      <c r="C165" s="77" t="str">
        <f>IF(A165="","",IFERROR(IF(SUMIF(DB_Savings!$C:$C,A165,DB_Savings!$F:$F)=0,VLOOKUP(A165,DB_Customers!$A:$I,9,0),VLOOKUP(A165,DB_Customers!$A:$N,14,0)),"❌ Acct Not Found"))</f>
        <v/>
      </c>
      <c r="D165" s="78" t="str">
        <f t="shared" ca="1" si="12"/>
        <v/>
      </c>
      <c r="E165" s="79"/>
      <c r="F165" s="80" t="str">
        <f t="shared" si="13"/>
        <v/>
      </c>
      <c r="G165" s="39" t="s">
        <v>137</v>
      </c>
      <c r="H165" s="81"/>
      <c r="I165" s="82" t="str">
        <f>IF(A165="","Pending",IF(H165="","⚠️ Enter Agent Code",IF(IFERROR(VLOOKUP(G165,DB_Agents!$B:$I,8,0),"")=H165,IF(AND(A165&lt;&gt;"",E165&lt;&gt;""),"Saved","Pending"),"🔒 BLOCKED — Wrong Code")))</f>
        <v>Pending</v>
      </c>
      <c r="J165" s="83" t="str">
        <f t="shared" ca="1" si="14"/>
        <v>—</v>
      </c>
      <c r="K165" s="84"/>
    </row>
    <row r="166" spans="1:11" ht="15" customHeight="1" x14ac:dyDescent="0.25">
      <c r="A166" s="85"/>
      <c r="B166" s="41" t="str">
        <f>IF(A166="","",IFERROR(VLOOKUP(A166,DB_Customers!$A:$D,4,0),"❌ Account Not Found"))</f>
        <v/>
      </c>
      <c r="C166" s="86" t="str">
        <f>IF(A166="","",IFERROR(IF(SUMIF(DB_Savings!$C:$C,A166,DB_Savings!$F:$F)=0,VLOOKUP(A166,DB_Customers!$A:$I,9,0),VLOOKUP(A166,DB_Customers!$A:$N,14,0)),"❌ Acct Not Found"))</f>
        <v/>
      </c>
      <c r="D166" s="87" t="str">
        <f t="shared" ca="1" si="12"/>
        <v/>
      </c>
      <c r="E166" s="79"/>
      <c r="F166" s="88" t="str">
        <f t="shared" si="13"/>
        <v/>
      </c>
      <c r="G166" s="43" t="s">
        <v>137</v>
      </c>
      <c r="H166" s="81"/>
      <c r="I166" s="89" t="str">
        <f>IF(A166="","Pending",IF(H166="","⚠️ Enter Agent Code",IF(IFERROR(VLOOKUP(G166,DB_Agents!$B:$I,8,0),"")=H166,IF(AND(A166&lt;&gt;"",E166&lt;&gt;""),"Saved","Pending"),"🔒 BLOCKED — Wrong Code")))</f>
        <v>Pending</v>
      </c>
      <c r="J166" s="90" t="str">
        <f t="shared" ca="1" si="14"/>
        <v>—</v>
      </c>
      <c r="K166" s="91"/>
    </row>
    <row r="167" spans="1:11" ht="15" customHeight="1" x14ac:dyDescent="0.25">
      <c r="A167" s="76"/>
      <c r="B167" s="37" t="str">
        <f>IF(A167="","",IFERROR(VLOOKUP(A167,DB_Customers!$A:$D,4,0),"❌ Account Not Found"))</f>
        <v/>
      </c>
      <c r="C167" s="77" t="str">
        <f>IF(A167="","",IFERROR(IF(SUMIF(DB_Savings!$C:$C,A167,DB_Savings!$F:$F)=0,VLOOKUP(A167,DB_Customers!$A:$I,9,0),VLOOKUP(A167,DB_Customers!$A:$N,14,0)),"❌ Acct Not Found"))</f>
        <v/>
      </c>
      <c r="D167" s="78" t="str">
        <f t="shared" ca="1" si="12"/>
        <v/>
      </c>
      <c r="E167" s="79"/>
      <c r="F167" s="80" t="str">
        <f t="shared" si="13"/>
        <v/>
      </c>
      <c r="G167" s="39" t="s">
        <v>137</v>
      </c>
      <c r="H167" s="81"/>
      <c r="I167" s="82" t="str">
        <f>IF(A167="","Pending",IF(H167="","⚠️ Enter Agent Code",IF(IFERROR(VLOOKUP(G167,DB_Agents!$B:$I,8,0),"")=H167,IF(AND(A167&lt;&gt;"",E167&lt;&gt;""),"Saved","Pending"),"🔒 BLOCKED — Wrong Code")))</f>
        <v>Pending</v>
      </c>
      <c r="J167" s="83" t="str">
        <f t="shared" ca="1" si="14"/>
        <v>—</v>
      </c>
      <c r="K167" s="84"/>
    </row>
    <row r="168" spans="1:11" ht="15" customHeight="1" x14ac:dyDescent="0.25">
      <c r="A168" s="85"/>
      <c r="B168" s="41" t="str">
        <f>IF(A168="","",IFERROR(VLOOKUP(A168,DB_Customers!$A:$D,4,0),"❌ Account Not Found"))</f>
        <v/>
      </c>
      <c r="C168" s="86" t="str">
        <f>IF(A168="","",IFERROR(IF(SUMIF(DB_Savings!$C:$C,A168,DB_Savings!$F:$F)=0,VLOOKUP(A168,DB_Customers!$A:$I,9,0),VLOOKUP(A168,DB_Customers!$A:$N,14,0)),"❌ Acct Not Found"))</f>
        <v/>
      </c>
      <c r="D168" s="87" t="str">
        <f t="shared" ca="1" si="12"/>
        <v/>
      </c>
      <c r="E168" s="79"/>
      <c r="F168" s="88" t="str">
        <f t="shared" si="13"/>
        <v/>
      </c>
      <c r="G168" s="43" t="s">
        <v>137</v>
      </c>
      <c r="H168" s="81"/>
      <c r="I168" s="89" t="str">
        <f>IF(A168="","Pending",IF(H168="","⚠️ Enter Agent Code",IF(IFERROR(VLOOKUP(G168,DB_Agents!$B:$I,8,0),"")=H168,IF(AND(A168&lt;&gt;"",E168&lt;&gt;""),"Saved","Pending"),"🔒 BLOCKED — Wrong Code")))</f>
        <v>Pending</v>
      </c>
      <c r="J168" s="90" t="str">
        <f t="shared" ca="1" si="14"/>
        <v>—</v>
      </c>
      <c r="K168" s="91"/>
    </row>
    <row r="169" spans="1:11" ht="15" customHeight="1" x14ac:dyDescent="0.25">
      <c r="A169" s="76"/>
      <c r="B169" s="37" t="str">
        <f>IF(A169="","",IFERROR(VLOOKUP(A169,DB_Customers!$A:$D,4,0),"❌ Account Not Found"))</f>
        <v/>
      </c>
      <c r="C169" s="77" t="str">
        <f>IF(A169="","",IFERROR(IF(SUMIF(DB_Savings!$C:$C,A169,DB_Savings!$F:$F)=0,VLOOKUP(A169,DB_Customers!$A:$I,9,0),VLOOKUP(A169,DB_Customers!$A:$N,14,0)),"❌ Acct Not Found"))</f>
        <v/>
      </c>
      <c r="D169" s="78" t="str">
        <f t="shared" ref="D169:D200" ca="1" si="15">IF(A169="","",TODAY())</f>
        <v/>
      </c>
      <c r="E169" s="79"/>
      <c r="F169" s="80" t="str">
        <f t="shared" ref="F169:F200" si="16">IF(OR(A169="",E169=""),"",IF(C169="","",C169+E169))</f>
        <v/>
      </c>
      <c r="G169" s="39" t="s">
        <v>137</v>
      </c>
      <c r="H169" s="81"/>
      <c r="I169" s="82" t="str">
        <f>IF(A169="","Pending",IF(H169="","⚠️ Enter Agent Code",IF(IFERROR(VLOOKUP(G169,DB_Agents!$B:$I,8,0),"")=H169,IF(AND(A169&lt;&gt;"",E169&lt;&gt;""),"Saved","Pending"),"🔒 BLOCKED — Wrong Code")))</f>
        <v>Pending</v>
      </c>
      <c r="J169" s="83" t="str">
        <f t="shared" ref="J169:J200" ca="1" si="17">IF(I169="Saved",TEXT(TODAY(),"YYYY-MM-DD")&amp;" Auto","—")</f>
        <v>—</v>
      </c>
      <c r="K169" s="84"/>
    </row>
    <row r="170" spans="1:11" ht="15" customHeight="1" x14ac:dyDescent="0.25">
      <c r="A170" s="85"/>
      <c r="B170" s="41" t="str">
        <f>IF(A170="","",IFERROR(VLOOKUP(A170,DB_Customers!$A:$D,4,0),"❌ Account Not Found"))</f>
        <v/>
      </c>
      <c r="C170" s="86" t="str">
        <f>IF(A170="","",IFERROR(IF(SUMIF(DB_Savings!$C:$C,A170,DB_Savings!$F:$F)=0,VLOOKUP(A170,DB_Customers!$A:$I,9,0),VLOOKUP(A170,DB_Customers!$A:$N,14,0)),"❌ Acct Not Found"))</f>
        <v/>
      </c>
      <c r="D170" s="87" t="str">
        <f t="shared" ca="1" si="15"/>
        <v/>
      </c>
      <c r="E170" s="79"/>
      <c r="F170" s="88" t="str">
        <f t="shared" si="16"/>
        <v/>
      </c>
      <c r="G170" s="43" t="s">
        <v>137</v>
      </c>
      <c r="H170" s="81"/>
      <c r="I170" s="89" t="str">
        <f>IF(A170="","Pending",IF(H170="","⚠️ Enter Agent Code",IF(IFERROR(VLOOKUP(G170,DB_Agents!$B:$I,8,0),"")=H170,IF(AND(A170&lt;&gt;"",E170&lt;&gt;""),"Saved","Pending"),"🔒 BLOCKED — Wrong Code")))</f>
        <v>Pending</v>
      </c>
      <c r="J170" s="90" t="str">
        <f t="shared" ca="1" si="17"/>
        <v>—</v>
      </c>
      <c r="K170" s="91"/>
    </row>
    <row r="171" spans="1:11" ht="15" customHeight="1" x14ac:dyDescent="0.25">
      <c r="A171" s="76"/>
      <c r="B171" s="37" t="str">
        <f>IF(A171="","",IFERROR(VLOOKUP(A171,DB_Customers!$A:$D,4,0),"❌ Account Not Found"))</f>
        <v/>
      </c>
      <c r="C171" s="77" t="str">
        <f>IF(A171="","",IFERROR(IF(SUMIF(DB_Savings!$C:$C,A171,DB_Savings!$F:$F)=0,VLOOKUP(A171,DB_Customers!$A:$I,9,0),VLOOKUP(A171,DB_Customers!$A:$N,14,0)),"❌ Acct Not Found"))</f>
        <v/>
      </c>
      <c r="D171" s="78" t="str">
        <f t="shared" ca="1" si="15"/>
        <v/>
      </c>
      <c r="E171" s="79"/>
      <c r="F171" s="80" t="str">
        <f t="shared" si="16"/>
        <v/>
      </c>
      <c r="G171" s="39" t="s">
        <v>137</v>
      </c>
      <c r="H171" s="81"/>
      <c r="I171" s="82" t="str">
        <f>IF(A171="","Pending",IF(H171="","⚠️ Enter Agent Code",IF(IFERROR(VLOOKUP(G171,DB_Agents!$B:$I,8,0),"")=H171,IF(AND(A171&lt;&gt;"",E171&lt;&gt;""),"Saved","Pending"),"🔒 BLOCKED — Wrong Code")))</f>
        <v>Pending</v>
      </c>
      <c r="J171" s="83" t="str">
        <f t="shared" ca="1" si="17"/>
        <v>—</v>
      </c>
      <c r="K171" s="84"/>
    </row>
    <row r="172" spans="1:11" ht="15" customHeight="1" x14ac:dyDescent="0.25">
      <c r="A172" s="85"/>
      <c r="B172" s="41" t="str">
        <f>IF(A172="","",IFERROR(VLOOKUP(A172,DB_Customers!$A:$D,4,0),"❌ Account Not Found"))</f>
        <v/>
      </c>
      <c r="C172" s="86" t="str">
        <f>IF(A172="","",IFERROR(IF(SUMIF(DB_Savings!$C:$C,A172,DB_Savings!$F:$F)=0,VLOOKUP(A172,DB_Customers!$A:$I,9,0),VLOOKUP(A172,DB_Customers!$A:$N,14,0)),"❌ Acct Not Found"))</f>
        <v/>
      </c>
      <c r="D172" s="87" t="str">
        <f t="shared" ca="1" si="15"/>
        <v/>
      </c>
      <c r="E172" s="79"/>
      <c r="F172" s="88" t="str">
        <f t="shared" si="16"/>
        <v/>
      </c>
      <c r="G172" s="43" t="s">
        <v>137</v>
      </c>
      <c r="H172" s="81"/>
      <c r="I172" s="89" t="str">
        <f>IF(A172="","Pending",IF(H172="","⚠️ Enter Agent Code",IF(IFERROR(VLOOKUP(G172,DB_Agents!$B:$I,8,0),"")=H172,IF(AND(A172&lt;&gt;"",E172&lt;&gt;""),"Saved","Pending"),"🔒 BLOCKED — Wrong Code")))</f>
        <v>Pending</v>
      </c>
      <c r="J172" s="90" t="str">
        <f t="shared" ca="1" si="17"/>
        <v>—</v>
      </c>
      <c r="K172" s="91"/>
    </row>
    <row r="173" spans="1:11" ht="15" customHeight="1" x14ac:dyDescent="0.25">
      <c r="A173" s="76"/>
      <c r="B173" s="37" t="str">
        <f>IF(A173="","",IFERROR(VLOOKUP(A173,DB_Customers!$A:$D,4,0),"❌ Account Not Found"))</f>
        <v/>
      </c>
      <c r="C173" s="77" t="str">
        <f>IF(A173="","",IFERROR(IF(SUMIF(DB_Savings!$C:$C,A173,DB_Savings!$F:$F)=0,VLOOKUP(A173,DB_Customers!$A:$I,9,0),VLOOKUP(A173,DB_Customers!$A:$N,14,0)),"❌ Acct Not Found"))</f>
        <v/>
      </c>
      <c r="D173" s="78" t="str">
        <f t="shared" ca="1" si="15"/>
        <v/>
      </c>
      <c r="E173" s="79"/>
      <c r="F173" s="80" t="str">
        <f t="shared" si="16"/>
        <v/>
      </c>
      <c r="G173" s="39" t="s">
        <v>137</v>
      </c>
      <c r="H173" s="81"/>
      <c r="I173" s="82" t="str">
        <f>IF(A173="","Pending",IF(H173="","⚠️ Enter Agent Code",IF(IFERROR(VLOOKUP(G173,DB_Agents!$B:$I,8,0),"")=H173,IF(AND(A173&lt;&gt;"",E173&lt;&gt;""),"Saved","Pending"),"🔒 BLOCKED — Wrong Code")))</f>
        <v>Pending</v>
      </c>
      <c r="J173" s="83" t="str">
        <f t="shared" ca="1" si="17"/>
        <v>—</v>
      </c>
      <c r="K173" s="84"/>
    </row>
    <row r="174" spans="1:11" ht="15" customHeight="1" x14ac:dyDescent="0.25">
      <c r="A174" s="85"/>
      <c r="B174" s="41" t="str">
        <f>IF(A174="","",IFERROR(VLOOKUP(A174,DB_Customers!$A:$D,4,0),"❌ Account Not Found"))</f>
        <v/>
      </c>
      <c r="C174" s="86" t="str">
        <f>IF(A174="","",IFERROR(IF(SUMIF(DB_Savings!$C:$C,A174,DB_Savings!$F:$F)=0,VLOOKUP(A174,DB_Customers!$A:$I,9,0),VLOOKUP(A174,DB_Customers!$A:$N,14,0)),"❌ Acct Not Found"))</f>
        <v/>
      </c>
      <c r="D174" s="87" t="str">
        <f t="shared" ca="1" si="15"/>
        <v/>
      </c>
      <c r="E174" s="79"/>
      <c r="F174" s="88" t="str">
        <f t="shared" si="16"/>
        <v/>
      </c>
      <c r="G174" s="43" t="s">
        <v>137</v>
      </c>
      <c r="H174" s="81"/>
      <c r="I174" s="89" t="str">
        <f>IF(A174="","Pending",IF(H174="","⚠️ Enter Agent Code",IF(IFERROR(VLOOKUP(G174,DB_Agents!$B:$I,8,0),"")=H174,IF(AND(A174&lt;&gt;"",E174&lt;&gt;""),"Saved","Pending"),"🔒 BLOCKED — Wrong Code")))</f>
        <v>Pending</v>
      </c>
      <c r="J174" s="90" t="str">
        <f t="shared" ca="1" si="17"/>
        <v>—</v>
      </c>
      <c r="K174" s="91"/>
    </row>
    <row r="175" spans="1:11" ht="15" customHeight="1" x14ac:dyDescent="0.25">
      <c r="A175" s="76"/>
      <c r="B175" s="37" t="str">
        <f>IF(A175="","",IFERROR(VLOOKUP(A175,DB_Customers!$A:$D,4,0),"❌ Account Not Found"))</f>
        <v/>
      </c>
      <c r="C175" s="77" t="str">
        <f>IF(A175="","",IFERROR(IF(SUMIF(DB_Savings!$C:$C,A175,DB_Savings!$F:$F)=0,VLOOKUP(A175,DB_Customers!$A:$I,9,0),VLOOKUP(A175,DB_Customers!$A:$N,14,0)),"❌ Acct Not Found"))</f>
        <v/>
      </c>
      <c r="D175" s="78" t="str">
        <f t="shared" ca="1" si="15"/>
        <v/>
      </c>
      <c r="E175" s="79"/>
      <c r="F175" s="80" t="str">
        <f t="shared" si="16"/>
        <v/>
      </c>
      <c r="G175" s="39" t="s">
        <v>137</v>
      </c>
      <c r="H175" s="81"/>
      <c r="I175" s="82" t="str">
        <f>IF(A175="","Pending",IF(H175="","⚠️ Enter Agent Code",IF(IFERROR(VLOOKUP(G175,DB_Agents!$B:$I,8,0),"")=H175,IF(AND(A175&lt;&gt;"",E175&lt;&gt;""),"Saved","Pending"),"🔒 BLOCKED — Wrong Code")))</f>
        <v>Pending</v>
      </c>
      <c r="J175" s="83" t="str">
        <f t="shared" ca="1" si="17"/>
        <v>—</v>
      </c>
      <c r="K175" s="84"/>
    </row>
    <row r="176" spans="1:11" ht="15" customHeight="1" x14ac:dyDescent="0.25">
      <c r="A176" s="85"/>
      <c r="B176" s="41" t="str">
        <f>IF(A176="","",IFERROR(VLOOKUP(A176,DB_Customers!$A:$D,4,0),"❌ Account Not Found"))</f>
        <v/>
      </c>
      <c r="C176" s="86" t="str">
        <f>IF(A176="","",IFERROR(IF(SUMIF(DB_Savings!$C:$C,A176,DB_Savings!$F:$F)=0,VLOOKUP(A176,DB_Customers!$A:$I,9,0),VLOOKUP(A176,DB_Customers!$A:$N,14,0)),"❌ Acct Not Found"))</f>
        <v/>
      </c>
      <c r="D176" s="87" t="str">
        <f t="shared" ca="1" si="15"/>
        <v/>
      </c>
      <c r="E176" s="79"/>
      <c r="F176" s="88" t="str">
        <f t="shared" si="16"/>
        <v/>
      </c>
      <c r="G176" s="43" t="s">
        <v>137</v>
      </c>
      <c r="H176" s="81"/>
      <c r="I176" s="89" t="str">
        <f>IF(A176="","Pending",IF(H176="","⚠️ Enter Agent Code",IF(IFERROR(VLOOKUP(G176,DB_Agents!$B:$I,8,0),"")=H176,IF(AND(A176&lt;&gt;"",E176&lt;&gt;""),"Saved","Pending"),"🔒 BLOCKED — Wrong Code")))</f>
        <v>Pending</v>
      </c>
      <c r="J176" s="90" t="str">
        <f t="shared" ca="1" si="17"/>
        <v>—</v>
      </c>
      <c r="K176" s="91"/>
    </row>
    <row r="177" spans="1:11" ht="15" customHeight="1" x14ac:dyDescent="0.25">
      <c r="A177" s="76"/>
      <c r="B177" s="37" t="str">
        <f>IF(A177="","",IFERROR(VLOOKUP(A177,DB_Customers!$A:$D,4,0),"❌ Account Not Found"))</f>
        <v/>
      </c>
      <c r="C177" s="77" t="str">
        <f>IF(A177="","",IFERROR(IF(SUMIF(DB_Savings!$C:$C,A177,DB_Savings!$F:$F)=0,VLOOKUP(A177,DB_Customers!$A:$I,9,0),VLOOKUP(A177,DB_Customers!$A:$N,14,0)),"❌ Acct Not Found"))</f>
        <v/>
      </c>
      <c r="D177" s="78" t="str">
        <f t="shared" ca="1" si="15"/>
        <v/>
      </c>
      <c r="E177" s="79"/>
      <c r="F177" s="80" t="str">
        <f t="shared" si="16"/>
        <v/>
      </c>
      <c r="G177" s="39" t="s">
        <v>137</v>
      </c>
      <c r="H177" s="81"/>
      <c r="I177" s="82" t="str">
        <f>IF(A177="","Pending",IF(H177="","⚠️ Enter Agent Code",IF(IFERROR(VLOOKUP(G177,DB_Agents!$B:$I,8,0),"")=H177,IF(AND(A177&lt;&gt;"",E177&lt;&gt;""),"Saved","Pending"),"🔒 BLOCKED — Wrong Code")))</f>
        <v>Pending</v>
      </c>
      <c r="J177" s="83" t="str">
        <f t="shared" ca="1" si="17"/>
        <v>—</v>
      </c>
      <c r="K177" s="84"/>
    </row>
    <row r="178" spans="1:11" ht="15" customHeight="1" x14ac:dyDescent="0.25">
      <c r="A178" s="85"/>
      <c r="B178" s="41" t="str">
        <f>IF(A178="","",IFERROR(VLOOKUP(A178,DB_Customers!$A:$D,4,0),"❌ Account Not Found"))</f>
        <v/>
      </c>
      <c r="C178" s="86" t="str">
        <f>IF(A178="","",IFERROR(IF(SUMIF(DB_Savings!$C:$C,A178,DB_Savings!$F:$F)=0,VLOOKUP(A178,DB_Customers!$A:$I,9,0),VLOOKUP(A178,DB_Customers!$A:$N,14,0)),"❌ Acct Not Found"))</f>
        <v/>
      </c>
      <c r="D178" s="87" t="str">
        <f t="shared" ca="1" si="15"/>
        <v/>
      </c>
      <c r="E178" s="79"/>
      <c r="F178" s="88" t="str">
        <f t="shared" si="16"/>
        <v/>
      </c>
      <c r="G178" s="43" t="s">
        <v>137</v>
      </c>
      <c r="H178" s="81"/>
      <c r="I178" s="89" t="str">
        <f>IF(A178="","Pending",IF(H178="","⚠️ Enter Agent Code",IF(IFERROR(VLOOKUP(G178,DB_Agents!$B:$I,8,0),"")=H178,IF(AND(A178&lt;&gt;"",E178&lt;&gt;""),"Saved","Pending"),"🔒 BLOCKED — Wrong Code")))</f>
        <v>Pending</v>
      </c>
      <c r="J178" s="90" t="str">
        <f t="shared" ca="1" si="17"/>
        <v>—</v>
      </c>
      <c r="K178" s="91"/>
    </row>
    <row r="179" spans="1:11" ht="15" customHeight="1" x14ac:dyDescent="0.25">
      <c r="A179" s="76"/>
      <c r="B179" s="37" t="str">
        <f>IF(A179="","",IFERROR(VLOOKUP(A179,DB_Customers!$A:$D,4,0),"❌ Account Not Found"))</f>
        <v/>
      </c>
      <c r="C179" s="77" t="str">
        <f>IF(A179="","",IFERROR(IF(SUMIF(DB_Savings!$C:$C,A179,DB_Savings!$F:$F)=0,VLOOKUP(A179,DB_Customers!$A:$I,9,0),VLOOKUP(A179,DB_Customers!$A:$N,14,0)),"❌ Acct Not Found"))</f>
        <v/>
      </c>
      <c r="D179" s="78" t="str">
        <f t="shared" ca="1" si="15"/>
        <v/>
      </c>
      <c r="E179" s="79"/>
      <c r="F179" s="80" t="str">
        <f t="shared" si="16"/>
        <v/>
      </c>
      <c r="G179" s="39" t="s">
        <v>137</v>
      </c>
      <c r="H179" s="81"/>
      <c r="I179" s="82" t="str">
        <f>IF(A179="","Pending",IF(H179="","⚠️ Enter Agent Code",IF(IFERROR(VLOOKUP(G179,DB_Agents!$B:$I,8,0),"")=H179,IF(AND(A179&lt;&gt;"",E179&lt;&gt;""),"Saved","Pending"),"🔒 BLOCKED — Wrong Code")))</f>
        <v>Pending</v>
      </c>
      <c r="J179" s="83" t="str">
        <f t="shared" ca="1" si="17"/>
        <v>—</v>
      </c>
      <c r="K179" s="84"/>
    </row>
    <row r="180" spans="1:11" ht="15" customHeight="1" x14ac:dyDescent="0.25">
      <c r="A180" s="85"/>
      <c r="B180" s="41" t="str">
        <f>IF(A180="","",IFERROR(VLOOKUP(A180,DB_Customers!$A:$D,4,0),"❌ Account Not Found"))</f>
        <v/>
      </c>
      <c r="C180" s="86" t="str">
        <f>IF(A180="","",IFERROR(IF(SUMIF(DB_Savings!$C:$C,A180,DB_Savings!$F:$F)=0,VLOOKUP(A180,DB_Customers!$A:$I,9,0),VLOOKUP(A180,DB_Customers!$A:$N,14,0)),"❌ Acct Not Found"))</f>
        <v/>
      </c>
      <c r="D180" s="87" t="str">
        <f t="shared" ca="1" si="15"/>
        <v/>
      </c>
      <c r="E180" s="79"/>
      <c r="F180" s="88" t="str">
        <f t="shared" si="16"/>
        <v/>
      </c>
      <c r="G180" s="43" t="s">
        <v>137</v>
      </c>
      <c r="H180" s="81"/>
      <c r="I180" s="89" t="str">
        <f>IF(A180="","Pending",IF(H180="","⚠️ Enter Agent Code",IF(IFERROR(VLOOKUP(G180,DB_Agents!$B:$I,8,0),"")=H180,IF(AND(A180&lt;&gt;"",E180&lt;&gt;""),"Saved","Pending"),"🔒 BLOCKED — Wrong Code")))</f>
        <v>Pending</v>
      </c>
      <c r="J180" s="90" t="str">
        <f t="shared" ca="1" si="17"/>
        <v>—</v>
      </c>
      <c r="K180" s="91"/>
    </row>
    <row r="181" spans="1:11" ht="15" customHeight="1" x14ac:dyDescent="0.25">
      <c r="A181" s="76"/>
      <c r="B181" s="37" t="str">
        <f>IF(A181="","",IFERROR(VLOOKUP(A181,DB_Customers!$A:$D,4,0),"❌ Account Not Found"))</f>
        <v/>
      </c>
      <c r="C181" s="77" t="str">
        <f>IF(A181="","",IFERROR(IF(SUMIF(DB_Savings!$C:$C,A181,DB_Savings!$F:$F)=0,VLOOKUP(A181,DB_Customers!$A:$I,9,0),VLOOKUP(A181,DB_Customers!$A:$N,14,0)),"❌ Acct Not Found"))</f>
        <v/>
      </c>
      <c r="D181" s="78" t="str">
        <f t="shared" ca="1" si="15"/>
        <v/>
      </c>
      <c r="E181" s="79"/>
      <c r="F181" s="80" t="str">
        <f t="shared" si="16"/>
        <v/>
      </c>
      <c r="G181" s="39" t="s">
        <v>137</v>
      </c>
      <c r="H181" s="81"/>
      <c r="I181" s="82" t="str">
        <f>IF(A181="","Pending",IF(H181="","⚠️ Enter Agent Code",IF(IFERROR(VLOOKUP(G181,DB_Agents!$B:$I,8,0),"")=H181,IF(AND(A181&lt;&gt;"",E181&lt;&gt;""),"Saved","Pending"),"🔒 BLOCKED — Wrong Code")))</f>
        <v>Pending</v>
      </c>
      <c r="J181" s="83" t="str">
        <f t="shared" ca="1" si="17"/>
        <v>—</v>
      </c>
      <c r="K181" s="84"/>
    </row>
    <row r="182" spans="1:11" ht="15" customHeight="1" x14ac:dyDescent="0.25">
      <c r="A182" s="85"/>
      <c r="B182" s="41" t="str">
        <f>IF(A182="","",IFERROR(VLOOKUP(A182,DB_Customers!$A:$D,4,0),"❌ Account Not Found"))</f>
        <v/>
      </c>
      <c r="C182" s="86" t="str">
        <f>IF(A182="","",IFERROR(IF(SUMIF(DB_Savings!$C:$C,A182,DB_Savings!$F:$F)=0,VLOOKUP(A182,DB_Customers!$A:$I,9,0),VLOOKUP(A182,DB_Customers!$A:$N,14,0)),"❌ Acct Not Found"))</f>
        <v/>
      </c>
      <c r="D182" s="87" t="str">
        <f t="shared" ca="1" si="15"/>
        <v/>
      </c>
      <c r="E182" s="79"/>
      <c r="F182" s="88" t="str">
        <f t="shared" si="16"/>
        <v/>
      </c>
      <c r="G182" s="43" t="s">
        <v>137</v>
      </c>
      <c r="H182" s="81"/>
      <c r="I182" s="89" t="str">
        <f>IF(A182="","Pending",IF(H182="","⚠️ Enter Agent Code",IF(IFERROR(VLOOKUP(G182,DB_Agents!$B:$I,8,0),"")=H182,IF(AND(A182&lt;&gt;"",E182&lt;&gt;""),"Saved","Pending"),"🔒 BLOCKED — Wrong Code")))</f>
        <v>Pending</v>
      </c>
      <c r="J182" s="90" t="str">
        <f t="shared" ca="1" si="17"/>
        <v>—</v>
      </c>
      <c r="K182" s="91"/>
    </row>
    <row r="183" spans="1:11" ht="15" customHeight="1" x14ac:dyDescent="0.25">
      <c r="A183" s="76"/>
      <c r="B183" s="37" t="str">
        <f>IF(A183="","",IFERROR(VLOOKUP(A183,DB_Customers!$A:$D,4,0),"❌ Account Not Found"))</f>
        <v/>
      </c>
      <c r="C183" s="77" t="str">
        <f>IF(A183="","",IFERROR(IF(SUMIF(DB_Savings!$C:$C,A183,DB_Savings!$F:$F)=0,VLOOKUP(A183,DB_Customers!$A:$I,9,0),VLOOKUP(A183,DB_Customers!$A:$N,14,0)),"❌ Acct Not Found"))</f>
        <v/>
      </c>
      <c r="D183" s="78" t="str">
        <f t="shared" ca="1" si="15"/>
        <v/>
      </c>
      <c r="E183" s="79"/>
      <c r="F183" s="80" t="str">
        <f t="shared" si="16"/>
        <v/>
      </c>
      <c r="G183" s="39" t="s">
        <v>137</v>
      </c>
      <c r="H183" s="81"/>
      <c r="I183" s="82" t="str">
        <f>IF(A183="","Pending",IF(H183="","⚠️ Enter Agent Code",IF(IFERROR(VLOOKUP(G183,DB_Agents!$B:$I,8,0),"")=H183,IF(AND(A183&lt;&gt;"",E183&lt;&gt;""),"Saved","Pending"),"🔒 BLOCKED — Wrong Code")))</f>
        <v>Pending</v>
      </c>
      <c r="J183" s="83" t="str">
        <f t="shared" ca="1" si="17"/>
        <v>—</v>
      </c>
      <c r="K183" s="84"/>
    </row>
    <row r="184" spans="1:11" ht="15" customHeight="1" x14ac:dyDescent="0.25">
      <c r="A184" s="85"/>
      <c r="B184" s="41" t="str">
        <f>IF(A184="","",IFERROR(VLOOKUP(A184,DB_Customers!$A:$D,4,0),"❌ Account Not Found"))</f>
        <v/>
      </c>
      <c r="C184" s="86" t="str">
        <f>IF(A184="","",IFERROR(IF(SUMIF(DB_Savings!$C:$C,A184,DB_Savings!$F:$F)=0,VLOOKUP(A184,DB_Customers!$A:$I,9,0),VLOOKUP(A184,DB_Customers!$A:$N,14,0)),"❌ Acct Not Found"))</f>
        <v/>
      </c>
      <c r="D184" s="87" t="str">
        <f t="shared" ca="1" si="15"/>
        <v/>
      </c>
      <c r="E184" s="79"/>
      <c r="F184" s="88" t="str">
        <f t="shared" si="16"/>
        <v/>
      </c>
      <c r="G184" s="43" t="s">
        <v>137</v>
      </c>
      <c r="H184" s="81"/>
      <c r="I184" s="89" t="str">
        <f>IF(A184="","Pending",IF(H184="","⚠️ Enter Agent Code",IF(IFERROR(VLOOKUP(G184,DB_Agents!$B:$I,8,0),"")=H184,IF(AND(A184&lt;&gt;"",E184&lt;&gt;""),"Saved","Pending"),"🔒 BLOCKED — Wrong Code")))</f>
        <v>Pending</v>
      </c>
      <c r="J184" s="90" t="str">
        <f t="shared" ca="1" si="17"/>
        <v>—</v>
      </c>
      <c r="K184" s="91"/>
    </row>
    <row r="185" spans="1:11" ht="15" customHeight="1" x14ac:dyDescent="0.25">
      <c r="A185" s="76"/>
      <c r="B185" s="37" t="str">
        <f>IF(A185="","",IFERROR(VLOOKUP(A185,DB_Customers!$A:$D,4,0),"❌ Account Not Found"))</f>
        <v/>
      </c>
      <c r="C185" s="77" t="str">
        <f>IF(A185="","",IFERROR(IF(SUMIF(DB_Savings!$C:$C,A185,DB_Savings!$F:$F)=0,VLOOKUP(A185,DB_Customers!$A:$I,9,0),VLOOKUP(A185,DB_Customers!$A:$N,14,0)),"❌ Acct Not Found"))</f>
        <v/>
      </c>
      <c r="D185" s="78" t="str">
        <f t="shared" ca="1" si="15"/>
        <v/>
      </c>
      <c r="E185" s="79"/>
      <c r="F185" s="80" t="str">
        <f t="shared" si="16"/>
        <v/>
      </c>
      <c r="G185" s="39" t="s">
        <v>137</v>
      </c>
      <c r="H185" s="81"/>
      <c r="I185" s="82" t="str">
        <f>IF(A185="","Pending",IF(H185="","⚠️ Enter Agent Code",IF(IFERROR(VLOOKUP(G185,DB_Agents!$B:$I,8,0),"")=H185,IF(AND(A185&lt;&gt;"",E185&lt;&gt;""),"Saved","Pending"),"🔒 BLOCKED — Wrong Code")))</f>
        <v>Pending</v>
      </c>
      <c r="J185" s="83" t="str">
        <f t="shared" ca="1" si="17"/>
        <v>—</v>
      </c>
      <c r="K185" s="84"/>
    </row>
    <row r="186" spans="1:11" ht="15" customHeight="1" x14ac:dyDescent="0.25">
      <c r="A186" s="85"/>
      <c r="B186" s="41" t="str">
        <f>IF(A186="","",IFERROR(VLOOKUP(A186,DB_Customers!$A:$D,4,0),"❌ Account Not Found"))</f>
        <v/>
      </c>
      <c r="C186" s="86" t="str">
        <f>IF(A186="","",IFERROR(IF(SUMIF(DB_Savings!$C:$C,A186,DB_Savings!$F:$F)=0,VLOOKUP(A186,DB_Customers!$A:$I,9,0),VLOOKUP(A186,DB_Customers!$A:$N,14,0)),"❌ Acct Not Found"))</f>
        <v/>
      </c>
      <c r="D186" s="87" t="str">
        <f t="shared" ca="1" si="15"/>
        <v/>
      </c>
      <c r="E186" s="79"/>
      <c r="F186" s="88" t="str">
        <f t="shared" si="16"/>
        <v/>
      </c>
      <c r="G186" s="43" t="s">
        <v>137</v>
      </c>
      <c r="H186" s="81"/>
      <c r="I186" s="89" t="str">
        <f>IF(A186="","Pending",IF(H186="","⚠️ Enter Agent Code",IF(IFERROR(VLOOKUP(G186,DB_Agents!$B:$I,8,0),"")=H186,IF(AND(A186&lt;&gt;"",E186&lt;&gt;""),"Saved","Pending"),"🔒 BLOCKED — Wrong Code")))</f>
        <v>Pending</v>
      </c>
      <c r="J186" s="90" t="str">
        <f t="shared" ca="1" si="17"/>
        <v>—</v>
      </c>
      <c r="K186" s="91"/>
    </row>
    <row r="187" spans="1:11" ht="15" customHeight="1" x14ac:dyDescent="0.25">
      <c r="A187" s="76"/>
      <c r="B187" s="37" t="str">
        <f>IF(A187="","",IFERROR(VLOOKUP(A187,DB_Customers!$A:$D,4,0),"❌ Account Not Found"))</f>
        <v/>
      </c>
      <c r="C187" s="77" t="str">
        <f>IF(A187="","",IFERROR(IF(SUMIF(DB_Savings!$C:$C,A187,DB_Savings!$F:$F)=0,VLOOKUP(A187,DB_Customers!$A:$I,9,0),VLOOKUP(A187,DB_Customers!$A:$N,14,0)),"❌ Acct Not Found"))</f>
        <v/>
      </c>
      <c r="D187" s="78" t="str">
        <f t="shared" ca="1" si="15"/>
        <v/>
      </c>
      <c r="E187" s="79"/>
      <c r="F187" s="80" t="str">
        <f t="shared" si="16"/>
        <v/>
      </c>
      <c r="G187" s="39" t="s">
        <v>137</v>
      </c>
      <c r="H187" s="81"/>
      <c r="I187" s="82" t="str">
        <f>IF(A187="","Pending",IF(H187="","⚠️ Enter Agent Code",IF(IFERROR(VLOOKUP(G187,DB_Agents!$B:$I,8,0),"")=H187,IF(AND(A187&lt;&gt;"",E187&lt;&gt;""),"Saved","Pending"),"🔒 BLOCKED — Wrong Code")))</f>
        <v>Pending</v>
      </c>
      <c r="J187" s="83" t="str">
        <f t="shared" ca="1" si="17"/>
        <v>—</v>
      </c>
      <c r="K187" s="84"/>
    </row>
    <row r="188" spans="1:11" ht="15" customHeight="1" x14ac:dyDescent="0.25">
      <c r="A188" s="85"/>
      <c r="B188" s="41" t="str">
        <f>IF(A188="","",IFERROR(VLOOKUP(A188,DB_Customers!$A:$D,4,0),"❌ Account Not Found"))</f>
        <v/>
      </c>
      <c r="C188" s="86" t="str">
        <f>IF(A188="","",IFERROR(IF(SUMIF(DB_Savings!$C:$C,A188,DB_Savings!$F:$F)=0,VLOOKUP(A188,DB_Customers!$A:$I,9,0),VLOOKUP(A188,DB_Customers!$A:$N,14,0)),"❌ Acct Not Found"))</f>
        <v/>
      </c>
      <c r="D188" s="87" t="str">
        <f t="shared" ca="1" si="15"/>
        <v/>
      </c>
      <c r="E188" s="79"/>
      <c r="F188" s="88" t="str">
        <f t="shared" si="16"/>
        <v/>
      </c>
      <c r="G188" s="43" t="s">
        <v>137</v>
      </c>
      <c r="H188" s="81"/>
      <c r="I188" s="89" t="str">
        <f>IF(A188="","Pending",IF(H188="","⚠️ Enter Agent Code",IF(IFERROR(VLOOKUP(G188,DB_Agents!$B:$I,8,0),"")=H188,IF(AND(A188&lt;&gt;"",E188&lt;&gt;""),"Saved","Pending"),"🔒 BLOCKED — Wrong Code")))</f>
        <v>Pending</v>
      </c>
      <c r="J188" s="90" t="str">
        <f t="shared" ca="1" si="17"/>
        <v>—</v>
      </c>
      <c r="K188" s="91"/>
    </row>
    <row r="189" spans="1:11" ht="15" customHeight="1" x14ac:dyDescent="0.25">
      <c r="A189" s="76"/>
      <c r="B189" s="37" t="str">
        <f>IF(A189="","",IFERROR(VLOOKUP(A189,DB_Customers!$A:$D,4,0),"❌ Account Not Found"))</f>
        <v/>
      </c>
      <c r="C189" s="77" t="str">
        <f>IF(A189="","",IFERROR(IF(SUMIF(DB_Savings!$C:$C,A189,DB_Savings!$F:$F)=0,VLOOKUP(A189,DB_Customers!$A:$I,9,0),VLOOKUP(A189,DB_Customers!$A:$N,14,0)),"❌ Acct Not Found"))</f>
        <v/>
      </c>
      <c r="D189" s="78" t="str">
        <f t="shared" ca="1" si="15"/>
        <v/>
      </c>
      <c r="E189" s="79"/>
      <c r="F189" s="80" t="str">
        <f t="shared" si="16"/>
        <v/>
      </c>
      <c r="G189" s="39" t="s">
        <v>137</v>
      </c>
      <c r="H189" s="81"/>
      <c r="I189" s="82" t="str">
        <f>IF(A189="","Pending",IF(H189="","⚠️ Enter Agent Code",IF(IFERROR(VLOOKUP(G189,DB_Agents!$B:$I,8,0),"")=H189,IF(AND(A189&lt;&gt;"",E189&lt;&gt;""),"Saved","Pending"),"🔒 BLOCKED — Wrong Code")))</f>
        <v>Pending</v>
      </c>
      <c r="J189" s="83" t="str">
        <f t="shared" ca="1" si="17"/>
        <v>—</v>
      </c>
      <c r="K189" s="84"/>
    </row>
    <row r="190" spans="1:11" ht="15" customHeight="1" x14ac:dyDescent="0.25">
      <c r="A190" s="85"/>
      <c r="B190" s="41" t="str">
        <f>IF(A190="","",IFERROR(VLOOKUP(A190,DB_Customers!$A:$D,4,0),"❌ Account Not Found"))</f>
        <v/>
      </c>
      <c r="C190" s="86" t="str">
        <f>IF(A190="","",IFERROR(IF(SUMIF(DB_Savings!$C:$C,A190,DB_Savings!$F:$F)=0,VLOOKUP(A190,DB_Customers!$A:$I,9,0),VLOOKUP(A190,DB_Customers!$A:$N,14,0)),"❌ Acct Not Found"))</f>
        <v/>
      </c>
      <c r="D190" s="87" t="str">
        <f t="shared" ca="1" si="15"/>
        <v/>
      </c>
      <c r="E190" s="79"/>
      <c r="F190" s="88" t="str">
        <f t="shared" si="16"/>
        <v/>
      </c>
      <c r="G190" s="43" t="s">
        <v>137</v>
      </c>
      <c r="H190" s="81"/>
      <c r="I190" s="89" t="str">
        <f>IF(A190="","Pending",IF(H190="","⚠️ Enter Agent Code",IF(IFERROR(VLOOKUP(G190,DB_Agents!$B:$I,8,0),"")=H190,IF(AND(A190&lt;&gt;"",E190&lt;&gt;""),"Saved","Pending"),"🔒 BLOCKED — Wrong Code")))</f>
        <v>Pending</v>
      </c>
      <c r="J190" s="90" t="str">
        <f t="shared" ca="1" si="17"/>
        <v>—</v>
      </c>
      <c r="K190" s="91"/>
    </row>
    <row r="191" spans="1:11" ht="15" customHeight="1" x14ac:dyDescent="0.25">
      <c r="A191" s="76"/>
      <c r="B191" s="37" t="str">
        <f>IF(A191="","",IFERROR(VLOOKUP(A191,DB_Customers!$A:$D,4,0),"❌ Account Not Found"))</f>
        <v/>
      </c>
      <c r="C191" s="77" t="str">
        <f>IF(A191="","",IFERROR(IF(SUMIF(DB_Savings!$C:$C,A191,DB_Savings!$F:$F)=0,VLOOKUP(A191,DB_Customers!$A:$I,9,0),VLOOKUP(A191,DB_Customers!$A:$N,14,0)),"❌ Acct Not Found"))</f>
        <v/>
      </c>
      <c r="D191" s="78" t="str">
        <f t="shared" ca="1" si="15"/>
        <v/>
      </c>
      <c r="E191" s="79"/>
      <c r="F191" s="80" t="str">
        <f t="shared" si="16"/>
        <v/>
      </c>
      <c r="G191" s="39" t="s">
        <v>137</v>
      </c>
      <c r="H191" s="81"/>
      <c r="I191" s="82" t="str">
        <f>IF(A191="","Pending",IF(H191="","⚠️ Enter Agent Code",IF(IFERROR(VLOOKUP(G191,DB_Agents!$B:$I,8,0),"")=H191,IF(AND(A191&lt;&gt;"",E191&lt;&gt;""),"Saved","Pending"),"🔒 BLOCKED — Wrong Code")))</f>
        <v>Pending</v>
      </c>
      <c r="J191" s="83" t="str">
        <f t="shared" ca="1" si="17"/>
        <v>—</v>
      </c>
      <c r="K191" s="84"/>
    </row>
    <row r="192" spans="1:11" ht="15" customHeight="1" x14ac:dyDescent="0.25">
      <c r="A192" s="85"/>
      <c r="B192" s="41" t="str">
        <f>IF(A192="","",IFERROR(VLOOKUP(A192,DB_Customers!$A:$D,4,0),"❌ Account Not Found"))</f>
        <v/>
      </c>
      <c r="C192" s="86" t="str">
        <f>IF(A192="","",IFERROR(IF(SUMIF(DB_Savings!$C:$C,A192,DB_Savings!$F:$F)=0,VLOOKUP(A192,DB_Customers!$A:$I,9,0),VLOOKUP(A192,DB_Customers!$A:$N,14,0)),"❌ Acct Not Found"))</f>
        <v/>
      </c>
      <c r="D192" s="87" t="str">
        <f t="shared" ca="1" si="15"/>
        <v/>
      </c>
      <c r="E192" s="79"/>
      <c r="F192" s="88" t="str">
        <f t="shared" si="16"/>
        <v/>
      </c>
      <c r="G192" s="43" t="s">
        <v>137</v>
      </c>
      <c r="H192" s="81"/>
      <c r="I192" s="89" t="str">
        <f>IF(A192="","Pending",IF(H192="","⚠️ Enter Agent Code",IF(IFERROR(VLOOKUP(G192,DB_Agents!$B:$I,8,0),"")=H192,IF(AND(A192&lt;&gt;"",E192&lt;&gt;""),"Saved","Pending"),"🔒 BLOCKED — Wrong Code")))</f>
        <v>Pending</v>
      </c>
      <c r="J192" s="90" t="str">
        <f t="shared" ca="1" si="17"/>
        <v>—</v>
      </c>
      <c r="K192" s="91"/>
    </row>
    <row r="193" spans="1:11" ht="15" customHeight="1" x14ac:dyDescent="0.25">
      <c r="A193" s="76"/>
      <c r="B193" s="37" t="str">
        <f>IF(A193="","",IFERROR(VLOOKUP(A193,DB_Customers!$A:$D,4,0),"❌ Account Not Found"))</f>
        <v/>
      </c>
      <c r="C193" s="77" t="str">
        <f>IF(A193="","",IFERROR(IF(SUMIF(DB_Savings!$C:$C,A193,DB_Savings!$F:$F)=0,VLOOKUP(A193,DB_Customers!$A:$I,9,0),VLOOKUP(A193,DB_Customers!$A:$N,14,0)),"❌ Acct Not Found"))</f>
        <v/>
      </c>
      <c r="D193" s="78" t="str">
        <f t="shared" ca="1" si="15"/>
        <v/>
      </c>
      <c r="E193" s="79"/>
      <c r="F193" s="80" t="str">
        <f t="shared" si="16"/>
        <v/>
      </c>
      <c r="G193" s="39" t="s">
        <v>137</v>
      </c>
      <c r="H193" s="81"/>
      <c r="I193" s="82" t="str">
        <f>IF(A193="","Pending",IF(H193="","⚠️ Enter Agent Code",IF(IFERROR(VLOOKUP(G193,DB_Agents!$B:$I,8,0),"")=H193,IF(AND(A193&lt;&gt;"",E193&lt;&gt;""),"Saved","Pending"),"🔒 BLOCKED — Wrong Code")))</f>
        <v>Pending</v>
      </c>
      <c r="J193" s="83" t="str">
        <f t="shared" ca="1" si="17"/>
        <v>—</v>
      </c>
      <c r="K193" s="84"/>
    </row>
    <row r="194" spans="1:11" ht="15" customHeight="1" x14ac:dyDescent="0.25">
      <c r="A194" s="85"/>
      <c r="B194" s="41" t="str">
        <f>IF(A194="","",IFERROR(VLOOKUP(A194,DB_Customers!$A:$D,4,0),"❌ Account Not Found"))</f>
        <v/>
      </c>
      <c r="C194" s="86" t="str">
        <f>IF(A194="","",IFERROR(IF(SUMIF(DB_Savings!$C:$C,A194,DB_Savings!$F:$F)=0,VLOOKUP(A194,DB_Customers!$A:$I,9,0),VLOOKUP(A194,DB_Customers!$A:$N,14,0)),"❌ Acct Not Found"))</f>
        <v/>
      </c>
      <c r="D194" s="87" t="str">
        <f t="shared" ca="1" si="15"/>
        <v/>
      </c>
      <c r="E194" s="79"/>
      <c r="F194" s="88" t="str">
        <f t="shared" si="16"/>
        <v/>
      </c>
      <c r="G194" s="43" t="s">
        <v>137</v>
      </c>
      <c r="H194" s="81"/>
      <c r="I194" s="89" t="str">
        <f>IF(A194="","Pending",IF(H194="","⚠️ Enter Agent Code",IF(IFERROR(VLOOKUP(G194,DB_Agents!$B:$I,8,0),"")=H194,IF(AND(A194&lt;&gt;"",E194&lt;&gt;""),"Saved","Pending"),"🔒 BLOCKED — Wrong Code")))</f>
        <v>Pending</v>
      </c>
      <c r="J194" s="90" t="str">
        <f t="shared" ca="1" si="17"/>
        <v>—</v>
      </c>
      <c r="K194" s="91"/>
    </row>
    <row r="195" spans="1:11" ht="15" customHeight="1" x14ac:dyDescent="0.25">
      <c r="A195" s="76"/>
      <c r="B195" s="37" t="str">
        <f>IF(A195="","",IFERROR(VLOOKUP(A195,DB_Customers!$A:$D,4,0),"❌ Account Not Found"))</f>
        <v/>
      </c>
      <c r="C195" s="77" t="str">
        <f>IF(A195="","",IFERROR(IF(SUMIF(DB_Savings!$C:$C,A195,DB_Savings!$F:$F)=0,VLOOKUP(A195,DB_Customers!$A:$I,9,0),VLOOKUP(A195,DB_Customers!$A:$N,14,0)),"❌ Acct Not Found"))</f>
        <v/>
      </c>
      <c r="D195" s="78" t="str">
        <f t="shared" ca="1" si="15"/>
        <v/>
      </c>
      <c r="E195" s="79"/>
      <c r="F195" s="80" t="str">
        <f t="shared" si="16"/>
        <v/>
      </c>
      <c r="G195" s="39" t="s">
        <v>137</v>
      </c>
      <c r="H195" s="81"/>
      <c r="I195" s="82" t="str">
        <f>IF(A195="","Pending",IF(H195="","⚠️ Enter Agent Code",IF(IFERROR(VLOOKUP(G195,DB_Agents!$B:$I,8,0),"")=H195,IF(AND(A195&lt;&gt;"",E195&lt;&gt;""),"Saved","Pending"),"🔒 BLOCKED — Wrong Code")))</f>
        <v>Pending</v>
      </c>
      <c r="J195" s="83" t="str">
        <f t="shared" ca="1" si="17"/>
        <v>—</v>
      </c>
      <c r="K195" s="84"/>
    </row>
    <row r="196" spans="1:11" ht="15" customHeight="1" x14ac:dyDescent="0.25">
      <c r="A196" s="85"/>
      <c r="B196" s="41" t="str">
        <f>IF(A196="","",IFERROR(VLOOKUP(A196,DB_Customers!$A:$D,4,0),"❌ Account Not Found"))</f>
        <v/>
      </c>
      <c r="C196" s="86" t="str">
        <f>IF(A196="","",IFERROR(IF(SUMIF(DB_Savings!$C:$C,A196,DB_Savings!$F:$F)=0,VLOOKUP(A196,DB_Customers!$A:$I,9,0),VLOOKUP(A196,DB_Customers!$A:$N,14,0)),"❌ Acct Not Found"))</f>
        <v/>
      </c>
      <c r="D196" s="87" t="str">
        <f t="shared" ca="1" si="15"/>
        <v/>
      </c>
      <c r="E196" s="79"/>
      <c r="F196" s="88" t="str">
        <f t="shared" si="16"/>
        <v/>
      </c>
      <c r="G196" s="43" t="s">
        <v>137</v>
      </c>
      <c r="H196" s="81"/>
      <c r="I196" s="89" t="str">
        <f>IF(A196="","Pending",IF(H196="","⚠️ Enter Agent Code",IF(IFERROR(VLOOKUP(G196,DB_Agents!$B:$I,8,0),"")=H196,IF(AND(A196&lt;&gt;"",E196&lt;&gt;""),"Saved","Pending"),"🔒 BLOCKED — Wrong Code")))</f>
        <v>Pending</v>
      </c>
      <c r="J196" s="90" t="str">
        <f t="shared" ca="1" si="17"/>
        <v>—</v>
      </c>
      <c r="K196" s="91"/>
    </row>
    <row r="197" spans="1:11" ht="15" customHeight="1" x14ac:dyDescent="0.25">
      <c r="A197" s="76"/>
      <c r="B197" s="37" t="str">
        <f>IF(A197="","",IFERROR(VLOOKUP(A197,DB_Customers!$A:$D,4,0),"❌ Account Not Found"))</f>
        <v/>
      </c>
      <c r="C197" s="77" t="str">
        <f>IF(A197="","",IFERROR(IF(SUMIF(DB_Savings!$C:$C,A197,DB_Savings!$F:$F)=0,VLOOKUP(A197,DB_Customers!$A:$I,9,0),VLOOKUP(A197,DB_Customers!$A:$N,14,0)),"❌ Acct Not Found"))</f>
        <v/>
      </c>
      <c r="D197" s="78" t="str">
        <f t="shared" ca="1" si="15"/>
        <v/>
      </c>
      <c r="E197" s="79"/>
      <c r="F197" s="80" t="str">
        <f t="shared" si="16"/>
        <v/>
      </c>
      <c r="G197" s="39" t="s">
        <v>137</v>
      </c>
      <c r="H197" s="81"/>
      <c r="I197" s="82" t="str">
        <f>IF(A197="","Pending",IF(H197="","⚠️ Enter Agent Code",IF(IFERROR(VLOOKUP(G197,DB_Agents!$B:$I,8,0),"")=H197,IF(AND(A197&lt;&gt;"",E197&lt;&gt;""),"Saved","Pending"),"🔒 BLOCKED — Wrong Code")))</f>
        <v>Pending</v>
      </c>
      <c r="J197" s="83" t="str">
        <f t="shared" ca="1" si="17"/>
        <v>—</v>
      </c>
      <c r="K197" s="84"/>
    </row>
    <row r="198" spans="1:11" ht="15" customHeight="1" x14ac:dyDescent="0.25">
      <c r="A198" s="85"/>
      <c r="B198" s="41" t="str">
        <f>IF(A198="","",IFERROR(VLOOKUP(A198,DB_Customers!$A:$D,4,0),"❌ Account Not Found"))</f>
        <v/>
      </c>
      <c r="C198" s="86" t="str">
        <f>IF(A198="","",IFERROR(IF(SUMIF(DB_Savings!$C:$C,A198,DB_Savings!$F:$F)=0,VLOOKUP(A198,DB_Customers!$A:$I,9,0),VLOOKUP(A198,DB_Customers!$A:$N,14,0)),"❌ Acct Not Found"))</f>
        <v/>
      </c>
      <c r="D198" s="87" t="str">
        <f t="shared" ca="1" si="15"/>
        <v/>
      </c>
      <c r="E198" s="79"/>
      <c r="F198" s="88" t="str">
        <f t="shared" si="16"/>
        <v/>
      </c>
      <c r="G198" s="43" t="s">
        <v>137</v>
      </c>
      <c r="H198" s="81"/>
      <c r="I198" s="89" t="str">
        <f>IF(A198="","Pending",IF(H198="","⚠️ Enter Agent Code",IF(IFERROR(VLOOKUP(G198,DB_Agents!$B:$I,8,0),"")=H198,IF(AND(A198&lt;&gt;"",E198&lt;&gt;""),"Saved","Pending"),"🔒 BLOCKED — Wrong Code")))</f>
        <v>Pending</v>
      </c>
      <c r="J198" s="90" t="str">
        <f t="shared" ca="1" si="17"/>
        <v>—</v>
      </c>
      <c r="K198" s="91"/>
    </row>
    <row r="199" spans="1:11" ht="15" customHeight="1" x14ac:dyDescent="0.25">
      <c r="A199" s="76"/>
      <c r="B199" s="37" t="str">
        <f>IF(A199="","",IFERROR(VLOOKUP(A199,DB_Customers!$A:$D,4,0),"❌ Account Not Found"))</f>
        <v/>
      </c>
      <c r="C199" s="77" t="str">
        <f>IF(A199="","",IFERROR(IF(SUMIF(DB_Savings!$C:$C,A199,DB_Savings!$F:$F)=0,VLOOKUP(A199,DB_Customers!$A:$I,9,0),VLOOKUP(A199,DB_Customers!$A:$N,14,0)),"❌ Acct Not Found"))</f>
        <v/>
      </c>
      <c r="D199" s="78" t="str">
        <f t="shared" ca="1" si="15"/>
        <v/>
      </c>
      <c r="E199" s="79"/>
      <c r="F199" s="80" t="str">
        <f t="shared" si="16"/>
        <v/>
      </c>
      <c r="G199" s="39" t="s">
        <v>137</v>
      </c>
      <c r="H199" s="81"/>
      <c r="I199" s="82" t="str">
        <f>IF(A199="","Pending",IF(H199="","⚠️ Enter Agent Code",IF(IFERROR(VLOOKUP(G199,DB_Agents!$B:$I,8,0),"")=H199,IF(AND(A199&lt;&gt;"",E199&lt;&gt;""),"Saved","Pending"),"🔒 BLOCKED — Wrong Code")))</f>
        <v>Pending</v>
      </c>
      <c r="J199" s="83" t="str">
        <f t="shared" ca="1" si="17"/>
        <v>—</v>
      </c>
      <c r="K199" s="84"/>
    </row>
    <row r="200" spans="1:11" ht="15" customHeight="1" x14ac:dyDescent="0.25">
      <c r="A200" s="85"/>
      <c r="B200" s="41" t="str">
        <f>IF(A200="","",IFERROR(VLOOKUP(A200,DB_Customers!$A:$D,4,0),"❌ Account Not Found"))</f>
        <v/>
      </c>
      <c r="C200" s="86" t="str">
        <f>IF(A200="","",IFERROR(IF(SUMIF(DB_Savings!$C:$C,A200,DB_Savings!$F:$F)=0,VLOOKUP(A200,DB_Customers!$A:$I,9,0),VLOOKUP(A200,DB_Customers!$A:$N,14,0)),"❌ Acct Not Found"))</f>
        <v/>
      </c>
      <c r="D200" s="87" t="str">
        <f t="shared" ca="1" si="15"/>
        <v/>
      </c>
      <c r="E200" s="79"/>
      <c r="F200" s="88" t="str">
        <f t="shared" si="16"/>
        <v/>
      </c>
      <c r="G200" s="43" t="s">
        <v>137</v>
      </c>
      <c r="H200" s="81"/>
      <c r="I200" s="89" t="str">
        <f>IF(A200="","Pending",IF(H200="","⚠️ Enter Agent Code",IF(IFERROR(VLOOKUP(G200,DB_Agents!$B:$I,8,0),"")=H200,IF(AND(A200&lt;&gt;"",E200&lt;&gt;""),"Saved","Pending"),"🔒 BLOCKED — Wrong Code")))</f>
        <v>Pending</v>
      </c>
      <c r="J200" s="90" t="str">
        <f t="shared" ca="1" si="17"/>
        <v>—</v>
      </c>
      <c r="K200" s="91"/>
    </row>
    <row r="201" spans="1:11" ht="15" customHeight="1" x14ac:dyDescent="0.25">
      <c r="A201" s="76"/>
      <c r="B201" s="37" t="str">
        <f>IF(A201="","",IFERROR(VLOOKUP(A201,DB_Customers!$A:$D,4,0),"❌ Account Not Found"))</f>
        <v/>
      </c>
      <c r="C201" s="77" t="str">
        <f>IF(A201="","",IFERROR(IF(SUMIF(DB_Savings!$C:$C,A201,DB_Savings!$F:$F)=0,VLOOKUP(A201,DB_Customers!$A:$I,9,0),VLOOKUP(A201,DB_Customers!$A:$N,14,0)),"❌ Acct Not Found"))</f>
        <v/>
      </c>
      <c r="D201" s="78" t="str">
        <f t="shared" ref="D201:D208" ca="1" si="18">IF(A201="","",TODAY())</f>
        <v/>
      </c>
      <c r="E201" s="79"/>
      <c r="F201" s="80" t="str">
        <f t="shared" ref="F201:F208" si="19">IF(OR(A201="",E201=""),"",IF(C201="","",C201+E201))</f>
        <v/>
      </c>
      <c r="G201" s="39" t="s">
        <v>137</v>
      </c>
      <c r="H201" s="81"/>
      <c r="I201" s="82" t="str">
        <f>IF(A201="","Pending",IF(H201="","⚠️ Enter Agent Code",IF(IFERROR(VLOOKUP(G201,DB_Agents!$B:$I,8,0),"")=H201,IF(AND(A201&lt;&gt;"",E201&lt;&gt;""),"Saved","Pending"),"🔒 BLOCKED — Wrong Code")))</f>
        <v>Pending</v>
      </c>
      <c r="J201" s="83" t="str">
        <f t="shared" ref="J201:J208" ca="1" si="20">IF(I201="Saved",TEXT(TODAY(),"YYYY-MM-DD")&amp;" Auto","—")</f>
        <v>—</v>
      </c>
      <c r="K201" s="84"/>
    </row>
    <row r="202" spans="1:11" ht="15" customHeight="1" x14ac:dyDescent="0.25">
      <c r="A202" s="85"/>
      <c r="B202" s="41" t="str">
        <f>IF(A202="","",IFERROR(VLOOKUP(A202,DB_Customers!$A:$D,4,0),"❌ Account Not Found"))</f>
        <v/>
      </c>
      <c r="C202" s="86" t="str">
        <f>IF(A202="","",IFERROR(IF(SUMIF(DB_Savings!$C:$C,A202,DB_Savings!$F:$F)=0,VLOOKUP(A202,DB_Customers!$A:$I,9,0),VLOOKUP(A202,DB_Customers!$A:$N,14,0)),"❌ Acct Not Found"))</f>
        <v/>
      </c>
      <c r="D202" s="87" t="str">
        <f t="shared" ca="1" si="18"/>
        <v/>
      </c>
      <c r="E202" s="79"/>
      <c r="F202" s="88" t="str">
        <f t="shared" si="19"/>
        <v/>
      </c>
      <c r="G202" s="43" t="s">
        <v>137</v>
      </c>
      <c r="H202" s="81"/>
      <c r="I202" s="89" t="str">
        <f>IF(A202="","Pending",IF(H202="","⚠️ Enter Agent Code",IF(IFERROR(VLOOKUP(G202,DB_Agents!$B:$I,8,0),"")=H202,IF(AND(A202&lt;&gt;"",E202&lt;&gt;""),"Saved","Pending"),"🔒 BLOCKED — Wrong Code")))</f>
        <v>Pending</v>
      </c>
      <c r="J202" s="90" t="str">
        <f t="shared" ca="1" si="20"/>
        <v>—</v>
      </c>
      <c r="K202" s="91"/>
    </row>
    <row r="203" spans="1:11" ht="15" customHeight="1" x14ac:dyDescent="0.25">
      <c r="A203" s="76"/>
      <c r="B203" s="37" t="str">
        <f>IF(A203="","",IFERROR(VLOOKUP(A203,DB_Customers!$A:$D,4,0),"❌ Account Not Found"))</f>
        <v/>
      </c>
      <c r="C203" s="77" t="str">
        <f>IF(A203="","",IFERROR(IF(SUMIF(DB_Savings!$C:$C,A203,DB_Savings!$F:$F)=0,VLOOKUP(A203,DB_Customers!$A:$I,9,0),VLOOKUP(A203,DB_Customers!$A:$N,14,0)),"❌ Acct Not Found"))</f>
        <v/>
      </c>
      <c r="D203" s="78" t="str">
        <f t="shared" ca="1" si="18"/>
        <v/>
      </c>
      <c r="E203" s="79"/>
      <c r="F203" s="80" t="str">
        <f t="shared" si="19"/>
        <v/>
      </c>
      <c r="G203" s="39" t="s">
        <v>137</v>
      </c>
      <c r="H203" s="81"/>
      <c r="I203" s="82" t="str">
        <f>IF(A203="","Pending",IF(H203="","⚠️ Enter Agent Code",IF(IFERROR(VLOOKUP(G203,DB_Agents!$B:$I,8,0),"")=H203,IF(AND(A203&lt;&gt;"",E203&lt;&gt;""),"Saved","Pending"),"🔒 BLOCKED — Wrong Code")))</f>
        <v>Pending</v>
      </c>
      <c r="J203" s="83" t="str">
        <f t="shared" ca="1" si="20"/>
        <v>—</v>
      </c>
      <c r="K203" s="84"/>
    </row>
    <row r="204" spans="1:11" ht="15" customHeight="1" x14ac:dyDescent="0.25">
      <c r="A204" s="85"/>
      <c r="B204" s="41" t="str">
        <f>IF(A204="","",IFERROR(VLOOKUP(A204,DB_Customers!$A:$D,4,0),"❌ Account Not Found"))</f>
        <v/>
      </c>
      <c r="C204" s="86" t="str">
        <f>IF(A204="","",IFERROR(IF(SUMIF(DB_Savings!$C:$C,A204,DB_Savings!$F:$F)=0,VLOOKUP(A204,DB_Customers!$A:$I,9,0),VLOOKUP(A204,DB_Customers!$A:$N,14,0)),"❌ Acct Not Found"))</f>
        <v/>
      </c>
      <c r="D204" s="87" t="str">
        <f t="shared" ca="1" si="18"/>
        <v/>
      </c>
      <c r="E204" s="79"/>
      <c r="F204" s="88" t="str">
        <f t="shared" si="19"/>
        <v/>
      </c>
      <c r="G204" s="43" t="s">
        <v>137</v>
      </c>
      <c r="H204" s="81"/>
      <c r="I204" s="89" t="str">
        <f>IF(A204="","Pending",IF(H204="","⚠️ Enter Agent Code",IF(IFERROR(VLOOKUP(G204,DB_Agents!$B:$I,8,0),"")=H204,IF(AND(A204&lt;&gt;"",E204&lt;&gt;""),"Saved","Pending"),"🔒 BLOCKED — Wrong Code")))</f>
        <v>Pending</v>
      </c>
      <c r="J204" s="90" t="str">
        <f t="shared" ca="1" si="20"/>
        <v>—</v>
      </c>
      <c r="K204" s="91"/>
    </row>
    <row r="205" spans="1:11" ht="15" customHeight="1" x14ac:dyDescent="0.25">
      <c r="A205" s="76"/>
      <c r="B205" s="37" t="str">
        <f>IF(A205="","",IFERROR(VLOOKUP(A205,DB_Customers!$A:$D,4,0),"❌ Account Not Found"))</f>
        <v/>
      </c>
      <c r="C205" s="77" t="str">
        <f>IF(A205="","",IFERROR(IF(SUMIF(DB_Savings!$C:$C,A205,DB_Savings!$F:$F)=0,VLOOKUP(A205,DB_Customers!$A:$I,9,0),VLOOKUP(A205,DB_Customers!$A:$N,14,0)),"❌ Acct Not Found"))</f>
        <v/>
      </c>
      <c r="D205" s="78" t="str">
        <f t="shared" ca="1" si="18"/>
        <v/>
      </c>
      <c r="E205" s="79"/>
      <c r="F205" s="80" t="str">
        <f t="shared" si="19"/>
        <v/>
      </c>
      <c r="G205" s="39" t="s">
        <v>137</v>
      </c>
      <c r="H205" s="81"/>
      <c r="I205" s="82" t="str">
        <f>IF(A205="","Pending",IF(H205="","⚠️ Enter Agent Code",IF(IFERROR(VLOOKUP(G205,DB_Agents!$B:$I,8,0),"")=H205,IF(AND(A205&lt;&gt;"",E205&lt;&gt;""),"Saved","Pending"),"🔒 BLOCKED — Wrong Code")))</f>
        <v>Pending</v>
      </c>
      <c r="J205" s="83" t="str">
        <f t="shared" ca="1" si="20"/>
        <v>—</v>
      </c>
      <c r="K205" s="84"/>
    </row>
    <row r="206" spans="1:11" ht="15" customHeight="1" x14ac:dyDescent="0.25">
      <c r="A206" s="85"/>
      <c r="B206" s="41" t="str">
        <f>IF(A206="","",IFERROR(VLOOKUP(A206,DB_Customers!$A:$D,4,0),"❌ Account Not Found"))</f>
        <v/>
      </c>
      <c r="C206" s="86" t="str">
        <f>IF(A206="","",IFERROR(IF(SUMIF(DB_Savings!$C:$C,A206,DB_Savings!$F:$F)=0,VLOOKUP(A206,DB_Customers!$A:$I,9,0),VLOOKUP(A206,DB_Customers!$A:$N,14,0)),"❌ Acct Not Found"))</f>
        <v/>
      </c>
      <c r="D206" s="87" t="str">
        <f t="shared" ca="1" si="18"/>
        <v/>
      </c>
      <c r="E206" s="79"/>
      <c r="F206" s="88" t="str">
        <f t="shared" si="19"/>
        <v/>
      </c>
      <c r="G206" s="43" t="s">
        <v>137</v>
      </c>
      <c r="H206" s="81"/>
      <c r="I206" s="89" t="str">
        <f>IF(A206="","Pending",IF(H206="","⚠️ Enter Agent Code",IF(IFERROR(VLOOKUP(G206,DB_Agents!$B:$I,8,0),"")=H206,IF(AND(A206&lt;&gt;"",E206&lt;&gt;""),"Saved","Pending"),"🔒 BLOCKED — Wrong Code")))</f>
        <v>Pending</v>
      </c>
      <c r="J206" s="90" t="str">
        <f t="shared" ca="1" si="20"/>
        <v>—</v>
      </c>
      <c r="K206" s="91"/>
    </row>
    <row r="207" spans="1:11" ht="15" customHeight="1" x14ac:dyDescent="0.25">
      <c r="A207" s="76"/>
      <c r="B207" s="37" t="str">
        <f>IF(A207="","",IFERROR(VLOOKUP(A207,DB_Customers!$A:$D,4,0),"❌ Account Not Found"))</f>
        <v/>
      </c>
      <c r="C207" s="77" t="str">
        <f>IF(A207="","",IFERROR(IF(SUMIF(DB_Savings!$C:$C,A207,DB_Savings!$F:$F)=0,VLOOKUP(A207,DB_Customers!$A:$I,9,0),VLOOKUP(A207,DB_Customers!$A:$N,14,0)),"❌ Acct Not Found"))</f>
        <v/>
      </c>
      <c r="D207" s="78" t="str">
        <f t="shared" ca="1" si="18"/>
        <v/>
      </c>
      <c r="E207" s="79"/>
      <c r="F207" s="80" t="str">
        <f t="shared" si="19"/>
        <v/>
      </c>
      <c r="G207" s="39" t="s">
        <v>137</v>
      </c>
      <c r="H207" s="81"/>
      <c r="I207" s="82" t="str">
        <f>IF(A207="","Pending",IF(H207="","⚠️ Enter Agent Code",IF(IFERROR(VLOOKUP(G207,DB_Agents!$B:$I,8,0),"")=H207,IF(AND(A207&lt;&gt;"",E207&lt;&gt;""),"Saved","Pending"),"🔒 BLOCKED — Wrong Code")))</f>
        <v>Pending</v>
      </c>
      <c r="J207" s="83" t="str">
        <f t="shared" ca="1" si="20"/>
        <v>—</v>
      </c>
      <c r="K207" s="84"/>
    </row>
    <row r="208" spans="1:11" ht="15" customHeight="1" x14ac:dyDescent="0.25">
      <c r="A208" s="85"/>
      <c r="B208" s="41" t="str">
        <f>IF(A208="","",IFERROR(VLOOKUP(A208,DB_Customers!$A:$D,4,0),"❌ Account Not Found"))</f>
        <v/>
      </c>
      <c r="C208" s="86" t="str">
        <f>IF(A208="","",IFERROR(IF(SUMIF(DB_Savings!$C:$C,A208,DB_Savings!$F:$F)=0,VLOOKUP(A208,DB_Customers!$A:$I,9,0),VLOOKUP(A208,DB_Customers!$A:$N,14,0)),"❌ Acct Not Found"))</f>
        <v/>
      </c>
      <c r="D208" s="87" t="str">
        <f t="shared" ca="1" si="18"/>
        <v/>
      </c>
      <c r="E208" s="79"/>
      <c r="F208" s="88" t="str">
        <f t="shared" si="19"/>
        <v/>
      </c>
      <c r="G208" s="43" t="s">
        <v>137</v>
      </c>
      <c r="H208" s="81"/>
      <c r="I208" s="89" t="str">
        <f>IF(A208="","Pending",IF(H208="","⚠️ Enter Agent Code",IF(IFERROR(VLOOKUP(G208,DB_Agents!$B:$I,8,0),"")=H208,IF(AND(A208&lt;&gt;"",E208&lt;&gt;""),"Saved","Pending"),"🔒 BLOCKED — Wrong Code")))</f>
        <v>Pending</v>
      </c>
      <c r="J208" s="90" t="str">
        <f t="shared" ca="1" si="20"/>
        <v>—</v>
      </c>
      <c r="K208" s="91"/>
    </row>
  </sheetData>
  <mergeCells count="12">
    <mergeCell ref="A2:L2"/>
    <mergeCell ref="A7:L7"/>
    <mergeCell ref="A1:L1"/>
    <mergeCell ref="A5:L5"/>
    <mergeCell ref="D4:F4"/>
    <mergeCell ref="G4:I4"/>
    <mergeCell ref="A3:C3"/>
    <mergeCell ref="J4:L4"/>
    <mergeCell ref="D3:F3"/>
    <mergeCell ref="G3:I3"/>
    <mergeCell ref="A4:C4"/>
    <mergeCell ref="J3:L3"/>
  </mergeCells>
  <conditionalFormatting sqref="H9:H208">
    <cfRule type="cellIs" dxfId="62" priority="2" operator="equal">
      <formula>"Saved"</formula>
    </cfRule>
    <cfRule type="cellIs" dxfId="61" priority="3" operator="equal">
      <formula>"Pending"</formula>
    </cfRule>
  </conditionalFormatting>
  <conditionalFormatting sqref="A9:J208">
    <cfRule type="expression" dxfId="60" priority="4">
      <formula>$H9="Saved"</formula>
    </cfRule>
  </conditionalFormatting>
  <dataValidations count="2">
    <dataValidation type="decimal" operator="greaterThan" showErrorMessage="1" error="Must be &gt; 0" sqref="E9:E208" xr:uid="{00000000-0002-0000-1500-000000000000}">
      <formula1>0</formula1>
      <formula2>0</formula2>
    </dataValidation>
    <dataValidation type="list" sqref="G9:G208" xr:uid="{00000000-0002-0000-15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67" t="s">
        <v>360</v>
      </c>
      <c r="B1" s="265"/>
      <c r="C1" s="265"/>
      <c r="D1" s="265"/>
      <c r="E1" s="265"/>
      <c r="F1" s="265"/>
      <c r="G1" s="265"/>
      <c r="H1" s="265"/>
      <c r="I1" s="265"/>
      <c r="J1" s="265"/>
      <c r="K1" s="265"/>
      <c r="L1" s="265"/>
      <c r="M1" s="265"/>
    </row>
    <row r="2" spans="1:13" ht="19.5" customHeight="1" x14ac:dyDescent="0.25">
      <c r="A2" s="366" t="s">
        <v>361</v>
      </c>
      <c r="B2" s="265"/>
      <c r="C2" s="265"/>
      <c r="D2" s="265"/>
      <c r="E2" s="265"/>
      <c r="F2" s="265"/>
      <c r="G2" s="265"/>
      <c r="H2" s="265"/>
      <c r="I2" s="265"/>
      <c r="J2" s="265"/>
      <c r="K2" s="265"/>
      <c r="L2" s="265"/>
      <c r="M2" s="265"/>
    </row>
    <row r="3" spans="1:13" ht="18" customHeight="1" x14ac:dyDescent="0.25">
      <c r="A3" s="328" t="s">
        <v>324</v>
      </c>
      <c r="B3" s="265"/>
      <c r="C3" s="265"/>
      <c r="D3" s="323" t="s">
        <v>325</v>
      </c>
      <c r="E3" s="265"/>
      <c r="F3" s="265"/>
      <c r="G3" s="35" t="s">
        <v>326</v>
      </c>
      <c r="K3" s="66" t="s">
        <v>313</v>
      </c>
    </row>
    <row r="4" spans="1:13" ht="27.75" customHeight="1" x14ac:dyDescent="0.25">
      <c r="A4" s="365">
        <f ca="1">SUMIFS(DB_Withdrawals!$G:$G,DB_Withdrawals!$J:$J,"Agent 05",DB_Withdrawals!$F:$F,TODAY())</f>
        <v>0</v>
      </c>
      <c r="B4" s="265"/>
      <c r="C4" s="265"/>
      <c r="D4" s="369">
        <f ca="1">COUNTIFS(DB_Withdrawals!$J:$J,"Agent 05",DB_Withdrawals!$K:$K,"Successful",DB_Withdrawals!$F:$F,TODAY())</f>
        <v>0</v>
      </c>
      <c r="E4" s="265"/>
      <c r="F4" s="265"/>
      <c r="G4" s="92">
        <f ca="1">COUNTIFS(DB_Withdrawals!$J:$J,"Agent 05",DB_Withdrawals!$K:$K,"Unsuccessful",DB_Withdrawals!$F:$F,TODAY())</f>
        <v>0</v>
      </c>
      <c r="K4" s="74" t="str">
        <f ca="1">TEXT(TODAY(),"DD MMM YYYY")</f>
        <v>24 Apr 2026</v>
      </c>
    </row>
    <row r="5" spans="1:13" ht="19.5" customHeight="1" x14ac:dyDescent="0.25">
      <c r="A5" s="368" t="s">
        <v>327</v>
      </c>
      <c r="B5" s="265"/>
      <c r="C5" s="265"/>
      <c r="D5" s="265"/>
      <c r="E5" s="265"/>
      <c r="F5" s="265"/>
      <c r="G5" s="265"/>
      <c r="H5" s="265"/>
      <c r="I5" s="265"/>
      <c r="J5" s="265"/>
      <c r="K5" s="265"/>
      <c r="L5" s="265"/>
      <c r="M5" s="265"/>
    </row>
    <row r="6" spans="1:13" ht="7.5" customHeight="1" x14ac:dyDescent="0.25"/>
    <row r="7" spans="1:13" ht="19.5" customHeight="1" x14ac:dyDescent="0.25">
      <c r="A7" s="364" t="s">
        <v>328</v>
      </c>
      <c r="B7" s="265"/>
      <c r="C7" s="265"/>
      <c r="D7" s="265"/>
      <c r="E7" s="265"/>
      <c r="F7" s="265"/>
      <c r="G7" s="265"/>
      <c r="H7" s="265"/>
      <c r="I7" s="265"/>
      <c r="J7" s="265"/>
      <c r="K7" s="265"/>
      <c r="L7" s="265"/>
      <c r="M7" s="265"/>
    </row>
    <row r="8" spans="1:13" ht="19.5" customHeight="1" x14ac:dyDescent="0.25">
      <c r="A8" s="93" t="s">
        <v>315</v>
      </c>
      <c r="B8" s="93" t="s">
        <v>77</v>
      </c>
      <c r="C8" s="93" t="s">
        <v>329</v>
      </c>
      <c r="D8" s="93" t="s">
        <v>78</v>
      </c>
      <c r="E8" s="93" t="s">
        <v>330</v>
      </c>
      <c r="F8" s="93" t="s">
        <v>331</v>
      </c>
      <c r="G8" s="93" t="s">
        <v>318</v>
      </c>
      <c r="H8" s="93" t="s">
        <v>14</v>
      </c>
      <c r="I8" s="75" t="s">
        <v>319</v>
      </c>
      <c r="J8" s="93" t="s">
        <v>13</v>
      </c>
      <c r="K8" s="93" t="s">
        <v>320</v>
      </c>
      <c r="L8" s="93" t="s">
        <v>321</v>
      </c>
    </row>
    <row r="9" spans="1:13" ht="15" customHeight="1" x14ac:dyDescent="0.25">
      <c r="A9" s="76"/>
      <c r="B9" s="37" t="str">
        <f>IF(A9="","",IFERROR(VLOOKUP(A9,DB_Customers!$A:$D,4,0),"❌ Account Not Found"))</f>
        <v/>
      </c>
      <c r="C9" s="77" t="str">
        <f>IF(A9="","",IFERROR(VLOOKUP(A9,DB_Customers!$A:$N,14,0),"❌ Acct Not Found"))</f>
        <v/>
      </c>
      <c r="D9" s="78" t="str">
        <f t="shared" ref="D9:D40" ca="1" si="0">IF(A9="","",TODAY())</f>
        <v/>
      </c>
      <c r="E9" s="94"/>
      <c r="F9" s="37"/>
      <c r="G9" s="95" t="str">
        <f t="shared" ref="G9:G40" si="1">IF(OR(A9="",E9=""),"",IF(C9="","",C9-E9))</f>
        <v/>
      </c>
      <c r="H9" s="39" t="s">
        <v>137</v>
      </c>
      <c r="I9" s="81"/>
      <c r="J9" s="82" t="str">
        <f>IF(AND(A9&lt;&gt;"",E9&lt;&gt;""),IF(I9="","⚠️ Enter Code",IF(IFERROR(VLOOKUP(H9,DB_Agents!$B:$I,8,0),"")=I9,IF(C9&gt;=E9,"Successful","Unsuccessful"),"🔒 BLOCKED — Wrong Code")),"Pending")</f>
        <v>Pending</v>
      </c>
      <c r="K9" s="83" t="str">
        <f t="shared" ref="K9:K40" ca="1" si="2">IF(J9="Successful",TEXT(TODAY(),"YYYY-MM-DD")&amp;" Auto","—")</f>
        <v>—</v>
      </c>
      <c r="L9" s="84"/>
    </row>
    <row r="10" spans="1:13" ht="15" customHeight="1" x14ac:dyDescent="0.25">
      <c r="A10" s="85"/>
      <c r="B10" s="41" t="str">
        <f>IF(A10="","",IFERROR(VLOOKUP(A10,DB_Customers!$A:$D,4,0),"❌ Account Not Found"))</f>
        <v/>
      </c>
      <c r="C10" s="86" t="str">
        <f>IF(A10="","",IFERROR(VLOOKUP(A10,DB_Customers!$A:$N,14,0),"❌ Acct Not Found"))</f>
        <v/>
      </c>
      <c r="D10" s="87" t="str">
        <f t="shared" ca="1" si="0"/>
        <v/>
      </c>
      <c r="E10" s="94"/>
      <c r="F10" s="41"/>
      <c r="G10" s="96" t="str">
        <f t="shared" si="1"/>
        <v/>
      </c>
      <c r="H10" s="43" t="s">
        <v>137</v>
      </c>
      <c r="I10" s="81"/>
      <c r="J10" s="89" t="str">
        <f>IF(AND(A10&lt;&gt;"",E10&lt;&gt;""),IF(I10="","⚠️ Enter Code",IF(IFERROR(VLOOKUP(H10,DB_Agents!$B:$I,8,0),"")=I10,IF(C10&gt;=E10,"Successful","Unsuccessful"),"🔒 BLOCKED — Wrong Code")),"Pending")</f>
        <v>Pending</v>
      </c>
      <c r="K10" s="90" t="str">
        <f t="shared" ca="1" si="2"/>
        <v>—</v>
      </c>
      <c r="L10" s="91"/>
    </row>
    <row r="11" spans="1:13" ht="15" customHeight="1" x14ac:dyDescent="0.25">
      <c r="A11" s="76"/>
      <c r="B11" s="37" t="str">
        <f>IF(A11="","",IFERROR(VLOOKUP(A11,DB_Customers!$A:$D,4,0),"❌ Account Not Found"))</f>
        <v/>
      </c>
      <c r="C11" s="77" t="str">
        <f>IF(A11="","",IFERROR(VLOOKUP(A11,DB_Customers!$A:$N,14,0),"❌ Acct Not Found"))</f>
        <v/>
      </c>
      <c r="D11" s="78" t="str">
        <f t="shared" ca="1" si="0"/>
        <v/>
      </c>
      <c r="E11" s="94"/>
      <c r="F11" s="37"/>
      <c r="G11" s="95" t="str">
        <f t="shared" si="1"/>
        <v/>
      </c>
      <c r="H11" s="39" t="s">
        <v>137</v>
      </c>
      <c r="I11" s="81"/>
      <c r="J11" s="82" t="str">
        <f>IF(AND(A11&lt;&gt;"",E11&lt;&gt;""),IF(I11="","⚠️ Enter Code",IF(IFERROR(VLOOKUP(H11,DB_Agents!$B:$I,8,0),"")=I11,IF(C11&gt;=E11,"Successful","Unsuccessful"),"🔒 BLOCKED — Wrong Code")),"Pending")</f>
        <v>Pending</v>
      </c>
      <c r="K11" s="83" t="str">
        <f t="shared" ca="1" si="2"/>
        <v>—</v>
      </c>
      <c r="L11" s="84"/>
    </row>
    <row r="12" spans="1:13" ht="15" customHeight="1" x14ac:dyDescent="0.25">
      <c r="A12" s="85"/>
      <c r="B12" s="41" t="str">
        <f>IF(A12="","",IFERROR(VLOOKUP(A12,DB_Customers!$A:$D,4,0),"❌ Account Not Found"))</f>
        <v/>
      </c>
      <c r="C12" s="86" t="str">
        <f>IF(A12="","",IFERROR(VLOOKUP(A12,DB_Customers!$A:$N,14,0),"❌ Acct Not Found"))</f>
        <v/>
      </c>
      <c r="D12" s="87" t="str">
        <f t="shared" ca="1" si="0"/>
        <v/>
      </c>
      <c r="E12" s="94"/>
      <c r="F12" s="41"/>
      <c r="G12" s="96" t="str">
        <f t="shared" si="1"/>
        <v/>
      </c>
      <c r="H12" s="43" t="s">
        <v>137</v>
      </c>
      <c r="I12" s="81"/>
      <c r="J12" s="89" t="str">
        <f>IF(AND(A12&lt;&gt;"",E12&lt;&gt;""),IF(I12="","⚠️ Enter Code",IF(IFERROR(VLOOKUP(H12,DB_Agents!$B:$I,8,0),"")=I12,IF(C12&gt;=E12,"Successful","Unsuccessful"),"🔒 BLOCKED — Wrong Code")),"Pending")</f>
        <v>Pending</v>
      </c>
      <c r="K12" s="90" t="str">
        <f t="shared" ca="1" si="2"/>
        <v>—</v>
      </c>
      <c r="L12" s="91"/>
    </row>
    <row r="13" spans="1:13" ht="15" customHeight="1" x14ac:dyDescent="0.25">
      <c r="A13" s="76"/>
      <c r="B13" s="37" t="str">
        <f>IF(A13="","",IFERROR(VLOOKUP(A13,DB_Customers!$A:$D,4,0),"❌ Account Not Found"))</f>
        <v/>
      </c>
      <c r="C13" s="77" t="str">
        <f>IF(A13="","",IFERROR(VLOOKUP(A13,DB_Customers!$A:$N,14,0),"❌ Acct Not Found"))</f>
        <v/>
      </c>
      <c r="D13" s="78" t="str">
        <f t="shared" ca="1" si="0"/>
        <v/>
      </c>
      <c r="E13" s="94"/>
      <c r="F13" s="37"/>
      <c r="G13" s="95" t="str">
        <f t="shared" si="1"/>
        <v/>
      </c>
      <c r="H13" s="39" t="s">
        <v>137</v>
      </c>
      <c r="I13" s="81"/>
      <c r="J13" s="82" t="str">
        <f>IF(AND(A13&lt;&gt;"",E13&lt;&gt;""),IF(I13="","⚠️ Enter Code",IF(IFERROR(VLOOKUP(H13,DB_Agents!$B:$I,8,0),"")=I13,IF(C13&gt;=E13,"Successful","Unsuccessful"),"🔒 BLOCKED — Wrong Code")),"Pending")</f>
        <v>Pending</v>
      </c>
      <c r="K13" s="83" t="str">
        <f t="shared" ca="1" si="2"/>
        <v>—</v>
      </c>
      <c r="L13" s="84"/>
    </row>
    <row r="14" spans="1:13" ht="15" customHeight="1" x14ac:dyDescent="0.25">
      <c r="A14" s="85"/>
      <c r="B14" s="41" t="str">
        <f>IF(A14="","",IFERROR(VLOOKUP(A14,DB_Customers!$A:$D,4,0),"❌ Account Not Found"))</f>
        <v/>
      </c>
      <c r="C14" s="86" t="str">
        <f>IF(A14="","",IFERROR(VLOOKUP(A14,DB_Customers!$A:$N,14,0),"❌ Acct Not Found"))</f>
        <v/>
      </c>
      <c r="D14" s="87" t="str">
        <f t="shared" ca="1" si="0"/>
        <v/>
      </c>
      <c r="E14" s="94"/>
      <c r="F14" s="41"/>
      <c r="G14" s="96" t="str">
        <f t="shared" si="1"/>
        <v/>
      </c>
      <c r="H14" s="43" t="s">
        <v>137</v>
      </c>
      <c r="I14" s="81"/>
      <c r="J14" s="89" t="str">
        <f>IF(AND(A14&lt;&gt;"",E14&lt;&gt;""),IF(I14="","⚠️ Enter Code",IF(IFERROR(VLOOKUP(H14,DB_Agents!$B:$I,8,0),"")=I14,IF(C14&gt;=E14,"Successful","Unsuccessful"),"🔒 BLOCKED — Wrong Code")),"Pending")</f>
        <v>Pending</v>
      </c>
      <c r="K14" s="90" t="str">
        <f t="shared" ca="1" si="2"/>
        <v>—</v>
      </c>
      <c r="L14" s="91"/>
    </row>
    <row r="15" spans="1:13" ht="15" customHeight="1" x14ac:dyDescent="0.25">
      <c r="A15" s="76"/>
      <c r="B15" s="37" t="str">
        <f>IF(A15="","",IFERROR(VLOOKUP(A15,DB_Customers!$A:$D,4,0),"❌ Account Not Found"))</f>
        <v/>
      </c>
      <c r="C15" s="77" t="str">
        <f>IF(A15="","",IFERROR(VLOOKUP(A15,DB_Customers!$A:$N,14,0),"❌ Acct Not Found"))</f>
        <v/>
      </c>
      <c r="D15" s="78" t="str">
        <f t="shared" ca="1" si="0"/>
        <v/>
      </c>
      <c r="E15" s="94"/>
      <c r="F15" s="37"/>
      <c r="G15" s="95" t="str">
        <f t="shared" si="1"/>
        <v/>
      </c>
      <c r="H15" s="39" t="s">
        <v>137</v>
      </c>
      <c r="I15" s="81"/>
      <c r="J15" s="82" t="str">
        <f>IF(AND(A15&lt;&gt;"",E15&lt;&gt;""),IF(I15="","⚠️ Enter Code",IF(IFERROR(VLOOKUP(H15,DB_Agents!$B:$I,8,0),"")=I15,IF(C15&gt;=E15,"Successful","Unsuccessful"),"🔒 BLOCKED — Wrong Code")),"Pending")</f>
        <v>Pending</v>
      </c>
      <c r="K15" s="83" t="str">
        <f t="shared" ca="1" si="2"/>
        <v>—</v>
      </c>
      <c r="L15" s="84"/>
    </row>
    <row r="16" spans="1:13" ht="15" customHeight="1" x14ac:dyDescent="0.25">
      <c r="A16" s="85"/>
      <c r="B16" s="41" t="str">
        <f>IF(A16="","",IFERROR(VLOOKUP(A16,DB_Customers!$A:$D,4,0),"❌ Account Not Found"))</f>
        <v/>
      </c>
      <c r="C16" s="86" t="str">
        <f>IF(A16="","",IFERROR(VLOOKUP(A16,DB_Customers!$A:$N,14,0),"❌ Acct Not Found"))</f>
        <v/>
      </c>
      <c r="D16" s="87" t="str">
        <f t="shared" ca="1" si="0"/>
        <v/>
      </c>
      <c r="E16" s="94"/>
      <c r="F16" s="41"/>
      <c r="G16" s="96" t="str">
        <f t="shared" si="1"/>
        <v/>
      </c>
      <c r="H16" s="43" t="s">
        <v>137</v>
      </c>
      <c r="I16" s="81"/>
      <c r="J16" s="89" t="str">
        <f>IF(AND(A16&lt;&gt;"",E16&lt;&gt;""),IF(I16="","⚠️ Enter Code",IF(IFERROR(VLOOKUP(H16,DB_Agents!$B:$I,8,0),"")=I16,IF(C16&gt;=E16,"Successful","Unsuccessful"),"🔒 BLOCKED — Wrong Code")),"Pending")</f>
        <v>Pending</v>
      </c>
      <c r="K16" s="90" t="str">
        <f t="shared" ca="1" si="2"/>
        <v>—</v>
      </c>
      <c r="L16" s="91"/>
    </row>
    <row r="17" spans="1:12" ht="15" customHeight="1" x14ac:dyDescent="0.25">
      <c r="A17" s="76"/>
      <c r="B17" s="37" t="str">
        <f>IF(A17="","",IFERROR(VLOOKUP(A17,DB_Customers!$A:$D,4,0),"❌ Account Not Found"))</f>
        <v/>
      </c>
      <c r="C17" s="77" t="str">
        <f>IF(A17="","",IFERROR(VLOOKUP(A17,DB_Customers!$A:$N,14,0),"❌ Acct Not Found"))</f>
        <v/>
      </c>
      <c r="D17" s="78" t="str">
        <f t="shared" ca="1" si="0"/>
        <v/>
      </c>
      <c r="E17" s="94"/>
      <c r="F17" s="37"/>
      <c r="G17" s="95" t="str">
        <f t="shared" si="1"/>
        <v/>
      </c>
      <c r="H17" s="39" t="s">
        <v>137</v>
      </c>
      <c r="I17" s="81"/>
      <c r="J17" s="82" t="str">
        <f>IF(AND(A17&lt;&gt;"",E17&lt;&gt;""),IF(I17="","⚠️ Enter Code",IF(IFERROR(VLOOKUP(H17,DB_Agents!$B:$I,8,0),"")=I17,IF(C17&gt;=E17,"Successful","Unsuccessful"),"🔒 BLOCKED — Wrong Code")),"Pending")</f>
        <v>Pending</v>
      </c>
      <c r="K17" s="83" t="str">
        <f t="shared" ca="1" si="2"/>
        <v>—</v>
      </c>
      <c r="L17" s="84"/>
    </row>
    <row r="18" spans="1:12" ht="15" customHeight="1" x14ac:dyDescent="0.25">
      <c r="A18" s="85"/>
      <c r="B18" s="41" t="str">
        <f>IF(A18="","",IFERROR(VLOOKUP(A18,DB_Customers!$A:$D,4,0),"❌ Account Not Found"))</f>
        <v/>
      </c>
      <c r="C18" s="86" t="str">
        <f>IF(A18="","",IFERROR(VLOOKUP(A18,DB_Customers!$A:$N,14,0),"❌ Acct Not Found"))</f>
        <v/>
      </c>
      <c r="D18" s="87" t="str">
        <f t="shared" ca="1" si="0"/>
        <v/>
      </c>
      <c r="E18" s="94"/>
      <c r="F18" s="41"/>
      <c r="G18" s="96" t="str">
        <f t="shared" si="1"/>
        <v/>
      </c>
      <c r="H18" s="43" t="s">
        <v>137</v>
      </c>
      <c r="I18" s="81"/>
      <c r="J18" s="89" t="str">
        <f>IF(AND(A18&lt;&gt;"",E18&lt;&gt;""),IF(I18="","⚠️ Enter Code",IF(IFERROR(VLOOKUP(H18,DB_Agents!$B:$I,8,0),"")=I18,IF(C18&gt;=E18,"Successful","Unsuccessful"),"🔒 BLOCKED — Wrong Code")),"Pending")</f>
        <v>Pending</v>
      </c>
      <c r="K18" s="90" t="str">
        <f t="shared" ca="1" si="2"/>
        <v>—</v>
      </c>
      <c r="L18" s="91"/>
    </row>
    <row r="19" spans="1:12" ht="15" customHeight="1" x14ac:dyDescent="0.25">
      <c r="A19" s="76"/>
      <c r="B19" s="37" t="str">
        <f>IF(A19="","",IFERROR(VLOOKUP(A19,DB_Customers!$A:$D,4,0),"❌ Account Not Found"))</f>
        <v/>
      </c>
      <c r="C19" s="77" t="str">
        <f>IF(A19="","",IFERROR(VLOOKUP(A19,DB_Customers!$A:$N,14,0),"❌ Acct Not Found"))</f>
        <v/>
      </c>
      <c r="D19" s="78" t="str">
        <f t="shared" ca="1" si="0"/>
        <v/>
      </c>
      <c r="E19" s="94"/>
      <c r="F19" s="37"/>
      <c r="G19" s="95" t="str">
        <f t="shared" si="1"/>
        <v/>
      </c>
      <c r="H19" s="39" t="s">
        <v>137</v>
      </c>
      <c r="I19" s="81"/>
      <c r="J19" s="82" t="str">
        <f>IF(AND(A19&lt;&gt;"",E19&lt;&gt;""),IF(I19="","⚠️ Enter Code",IF(IFERROR(VLOOKUP(H19,DB_Agents!$B:$I,8,0),"")=I19,IF(C19&gt;=E19,"Successful","Unsuccessful"),"🔒 BLOCKED — Wrong Code")),"Pending")</f>
        <v>Pending</v>
      </c>
      <c r="K19" s="83" t="str">
        <f t="shared" ca="1" si="2"/>
        <v>—</v>
      </c>
      <c r="L19" s="84"/>
    </row>
    <row r="20" spans="1:12" ht="15" customHeight="1" x14ac:dyDescent="0.25">
      <c r="A20" s="85"/>
      <c r="B20" s="41" t="str">
        <f>IF(A20="","",IFERROR(VLOOKUP(A20,DB_Customers!$A:$D,4,0),"❌ Account Not Found"))</f>
        <v/>
      </c>
      <c r="C20" s="86" t="str">
        <f>IF(A20="","",IFERROR(VLOOKUP(A20,DB_Customers!$A:$N,14,0),"❌ Acct Not Found"))</f>
        <v/>
      </c>
      <c r="D20" s="87" t="str">
        <f t="shared" ca="1" si="0"/>
        <v/>
      </c>
      <c r="E20" s="94"/>
      <c r="F20" s="41"/>
      <c r="G20" s="96" t="str">
        <f t="shared" si="1"/>
        <v/>
      </c>
      <c r="H20" s="43" t="s">
        <v>137</v>
      </c>
      <c r="I20" s="81"/>
      <c r="J20" s="89" t="str">
        <f>IF(AND(A20&lt;&gt;"",E20&lt;&gt;""),IF(I20="","⚠️ Enter Code",IF(IFERROR(VLOOKUP(H20,DB_Agents!$B:$I,8,0),"")=I20,IF(C20&gt;=E20,"Successful","Unsuccessful"),"🔒 BLOCKED — Wrong Code")),"Pending")</f>
        <v>Pending</v>
      </c>
      <c r="K20" s="90" t="str">
        <f t="shared" ca="1" si="2"/>
        <v>—</v>
      </c>
      <c r="L20" s="91"/>
    </row>
    <row r="21" spans="1:12" ht="15" customHeight="1" x14ac:dyDescent="0.25">
      <c r="A21" s="76"/>
      <c r="B21" s="37" t="str">
        <f>IF(A21="","",IFERROR(VLOOKUP(A21,DB_Customers!$A:$D,4,0),"❌ Account Not Found"))</f>
        <v/>
      </c>
      <c r="C21" s="77" t="str">
        <f>IF(A21="","",IFERROR(VLOOKUP(A21,DB_Customers!$A:$N,14,0),"❌ Acct Not Found"))</f>
        <v/>
      </c>
      <c r="D21" s="78" t="str">
        <f t="shared" ca="1" si="0"/>
        <v/>
      </c>
      <c r="E21" s="94"/>
      <c r="F21" s="37"/>
      <c r="G21" s="95" t="str">
        <f t="shared" si="1"/>
        <v/>
      </c>
      <c r="H21" s="39" t="s">
        <v>137</v>
      </c>
      <c r="I21" s="81"/>
      <c r="J21" s="82" t="str">
        <f>IF(AND(A21&lt;&gt;"",E21&lt;&gt;""),IF(I21="","⚠️ Enter Code",IF(IFERROR(VLOOKUP(H21,DB_Agents!$B:$I,8,0),"")=I21,IF(C21&gt;=E21,"Successful","Unsuccessful"),"🔒 BLOCKED — Wrong Code")),"Pending")</f>
        <v>Pending</v>
      </c>
      <c r="K21" s="83" t="str">
        <f t="shared" ca="1" si="2"/>
        <v>—</v>
      </c>
      <c r="L21" s="84"/>
    </row>
    <row r="22" spans="1:12" ht="15" customHeight="1" x14ac:dyDescent="0.25">
      <c r="A22" s="85"/>
      <c r="B22" s="41" t="str">
        <f>IF(A22="","",IFERROR(VLOOKUP(A22,DB_Customers!$A:$D,4,0),"❌ Account Not Found"))</f>
        <v/>
      </c>
      <c r="C22" s="86" t="str">
        <f>IF(A22="","",IFERROR(VLOOKUP(A22,DB_Customers!$A:$N,14,0),"❌ Acct Not Found"))</f>
        <v/>
      </c>
      <c r="D22" s="87" t="str">
        <f t="shared" ca="1" si="0"/>
        <v/>
      </c>
      <c r="E22" s="94"/>
      <c r="F22" s="41"/>
      <c r="G22" s="96" t="str">
        <f t="shared" si="1"/>
        <v/>
      </c>
      <c r="H22" s="43" t="s">
        <v>137</v>
      </c>
      <c r="I22" s="81"/>
      <c r="J22" s="89" t="str">
        <f>IF(AND(A22&lt;&gt;"",E22&lt;&gt;""),IF(I22="","⚠️ Enter Code",IF(IFERROR(VLOOKUP(H22,DB_Agents!$B:$I,8,0),"")=I22,IF(C22&gt;=E22,"Successful","Unsuccessful"),"🔒 BLOCKED — Wrong Code")),"Pending")</f>
        <v>Pending</v>
      </c>
      <c r="K22" s="90" t="str">
        <f t="shared" ca="1" si="2"/>
        <v>—</v>
      </c>
      <c r="L22" s="91"/>
    </row>
    <row r="23" spans="1:12" ht="15" customHeight="1" x14ac:dyDescent="0.25">
      <c r="A23" s="76"/>
      <c r="B23" s="37" t="str">
        <f>IF(A23="","",IFERROR(VLOOKUP(A23,DB_Customers!$A:$D,4,0),"❌ Account Not Found"))</f>
        <v/>
      </c>
      <c r="C23" s="77" t="str">
        <f>IF(A23="","",IFERROR(VLOOKUP(A23,DB_Customers!$A:$N,14,0),"❌ Acct Not Found"))</f>
        <v/>
      </c>
      <c r="D23" s="78" t="str">
        <f t="shared" ca="1" si="0"/>
        <v/>
      </c>
      <c r="E23" s="94"/>
      <c r="F23" s="37"/>
      <c r="G23" s="95" t="str">
        <f t="shared" si="1"/>
        <v/>
      </c>
      <c r="H23" s="39" t="s">
        <v>137</v>
      </c>
      <c r="I23" s="81"/>
      <c r="J23" s="82" t="str">
        <f>IF(AND(A23&lt;&gt;"",E23&lt;&gt;""),IF(I23="","⚠️ Enter Code",IF(IFERROR(VLOOKUP(H23,DB_Agents!$B:$I,8,0),"")=I23,IF(C23&gt;=E23,"Successful","Unsuccessful"),"🔒 BLOCKED — Wrong Code")),"Pending")</f>
        <v>Pending</v>
      </c>
      <c r="K23" s="83" t="str">
        <f t="shared" ca="1" si="2"/>
        <v>—</v>
      </c>
      <c r="L23" s="84"/>
    </row>
    <row r="24" spans="1:12" ht="15" customHeight="1" x14ac:dyDescent="0.25">
      <c r="A24" s="85"/>
      <c r="B24" s="41" t="str">
        <f>IF(A24="","",IFERROR(VLOOKUP(A24,DB_Customers!$A:$D,4,0),"❌ Account Not Found"))</f>
        <v/>
      </c>
      <c r="C24" s="86" t="str">
        <f>IF(A24="","",IFERROR(VLOOKUP(A24,DB_Customers!$A:$N,14,0),"❌ Acct Not Found"))</f>
        <v/>
      </c>
      <c r="D24" s="87" t="str">
        <f t="shared" ca="1" si="0"/>
        <v/>
      </c>
      <c r="E24" s="94"/>
      <c r="F24" s="41"/>
      <c r="G24" s="96" t="str">
        <f t="shared" si="1"/>
        <v/>
      </c>
      <c r="H24" s="43" t="s">
        <v>137</v>
      </c>
      <c r="I24" s="81"/>
      <c r="J24" s="89" t="str">
        <f>IF(AND(A24&lt;&gt;"",E24&lt;&gt;""),IF(I24="","⚠️ Enter Code",IF(IFERROR(VLOOKUP(H24,DB_Agents!$B:$I,8,0),"")=I24,IF(C24&gt;=E24,"Successful","Unsuccessful"),"🔒 BLOCKED — Wrong Code")),"Pending")</f>
        <v>Pending</v>
      </c>
      <c r="K24" s="90" t="str">
        <f t="shared" ca="1" si="2"/>
        <v>—</v>
      </c>
      <c r="L24" s="91"/>
    </row>
    <row r="25" spans="1:12" ht="15" customHeight="1" x14ac:dyDescent="0.25">
      <c r="A25" s="76"/>
      <c r="B25" s="37" t="str">
        <f>IF(A25="","",IFERROR(VLOOKUP(A25,DB_Customers!$A:$D,4,0),"❌ Account Not Found"))</f>
        <v/>
      </c>
      <c r="C25" s="77" t="str">
        <f>IF(A25="","",IFERROR(VLOOKUP(A25,DB_Customers!$A:$N,14,0),"❌ Acct Not Found"))</f>
        <v/>
      </c>
      <c r="D25" s="78" t="str">
        <f t="shared" ca="1" si="0"/>
        <v/>
      </c>
      <c r="E25" s="94"/>
      <c r="F25" s="37"/>
      <c r="G25" s="95" t="str">
        <f t="shared" si="1"/>
        <v/>
      </c>
      <c r="H25" s="39" t="s">
        <v>137</v>
      </c>
      <c r="I25" s="81"/>
      <c r="J25" s="82" t="str">
        <f>IF(AND(A25&lt;&gt;"",E25&lt;&gt;""),IF(I25="","⚠️ Enter Code",IF(IFERROR(VLOOKUP(H25,DB_Agents!$B:$I,8,0),"")=I25,IF(C25&gt;=E25,"Successful","Unsuccessful"),"🔒 BLOCKED — Wrong Code")),"Pending")</f>
        <v>Pending</v>
      </c>
      <c r="K25" s="83" t="str">
        <f t="shared" ca="1" si="2"/>
        <v>—</v>
      </c>
      <c r="L25" s="84"/>
    </row>
    <row r="26" spans="1:12" ht="15" customHeight="1" x14ac:dyDescent="0.25">
      <c r="A26" s="85"/>
      <c r="B26" s="41" t="str">
        <f>IF(A26="","",IFERROR(VLOOKUP(A26,DB_Customers!$A:$D,4,0),"❌ Account Not Found"))</f>
        <v/>
      </c>
      <c r="C26" s="86" t="str">
        <f>IF(A26="","",IFERROR(VLOOKUP(A26,DB_Customers!$A:$N,14,0),"❌ Acct Not Found"))</f>
        <v/>
      </c>
      <c r="D26" s="87" t="str">
        <f t="shared" ca="1" si="0"/>
        <v/>
      </c>
      <c r="E26" s="94"/>
      <c r="F26" s="41"/>
      <c r="G26" s="96" t="str">
        <f t="shared" si="1"/>
        <v/>
      </c>
      <c r="H26" s="43" t="s">
        <v>137</v>
      </c>
      <c r="I26" s="81"/>
      <c r="J26" s="89" t="str">
        <f>IF(AND(A26&lt;&gt;"",E26&lt;&gt;""),IF(I26="","⚠️ Enter Code",IF(IFERROR(VLOOKUP(H26,DB_Agents!$B:$I,8,0),"")=I26,IF(C26&gt;=E26,"Successful","Unsuccessful"),"🔒 BLOCKED — Wrong Code")),"Pending")</f>
        <v>Pending</v>
      </c>
      <c r="K26" s="90" t="str">
        <f t="shared" ca="1" si="2"/>
        <v>—</v>
      </c>
      <c r="L26" s="91"/>
    </row>
    <row r="27" spans="1:12" ht="15" customHeight="1" x14ac:dyDescent="0.25">
      <c r="A27" s="76"/>
      <c r="B27" s="37" t="str">
        <f>IF(A27="","",IFERROR(VLOOKUP(A27,DB_Customers!$A:$D,4,0),"❌ Account Not Found"))</f>
        <v/>
      </c>
      <c r="C27" s="77" t="str">
        <f>IF(A27="","",IFERROR(VLOOKUP(A27,DB_Customers!$A:$N,14,0),"❌ Acct Not Found"))</f>
        <v/>
      </c>
      <c r="D27" s="78" t="str">
        <f t="shared" ca="1" si="0"/>
        <v/>
      </c>
      <c r="E27" s="94"/>
      <c r="F27" s="37"/>
      <c r="G27" s="95" t="str">
        <f t="shared" si="1"/>
        <v/>
      </c>
      <c r="H27" s="39" t="s">
        <v>137</v>
      </c>
      <c r="I27" s="81"/>
      <c r="J27" s="82" t="str">
        <f>IF(AND(A27&lt;&gt;"",E27&lt;&gt;""),IF(I27="","⚠️ Enter Code",IF(IFERROR(VLOOKUP(H27,DB_Agents!$B:$I,8,0),"")=I27,IF(C27&gt;=E27,"Successful","Unsuccessful"),"🔒 BLOCKED — Wrong Code")),"Pending")</f>
        <v>Pending</v>
      </c>
      <c r="K27" s="83" t="str">
        <f t="shared" ca="1" si="2"/>
        <v>—</v>
      </c>
      <c r="L27" s="84"/>
    </row>
    <row r="28" spans="1:12" ht="15" customHeight="1" x14ac:dyDescent="0.25">
      <c r="A28" s="85"/>
      <c r="B28" s="41" t="str">
        <f>IF(A28="","",IFERROR(VLOOKUP(A28,DB_Customers!$A:$D,4,0),"❌ Account Not Found"))</f>
        <v/>
      </c>
      <c r="C28" s="86" t="str">
        <f>IF(A28="","",IFERROR(VLOOKUP(A28,DB_Customers!$A:$N,14,0),"❌ Acct Not Found"))</f>
        <v/>
      </c>
      <c r="D28" s="87" t="str">
        <f t="shared" ca="1" si="0"/>
        <v/>
      </c>
      <c r="E28" s="94"/>
      <c r="F28" s="41"/>
      <c r="G28" s="96" t="str">
        <f t="shared" si="1"/>
        <v/>
      </c>
      <c r="H28" s="43" t="s">
        <v>137</v>
      </c>
      <c r="I28" s="81"/>
      <c r="J28" s="89" t="str">
        <f>IF(AND(A28&lt;&gt;"",E28&lt;&gt;""),IF(I28="","⚠️ Enter Code",IF(IFERROR(VLOOKUP(H28,DB_Agents!$B:$I,8,0),"")=I28,IF(C28&gt;=E28,"Successful","Unsuccessful"),"🔒 BLOCKED — Wrong Code")),"Pending")</f>
        <v>Pending</v>
      </c>
      <c r="K28" s="90" t="str">
        <f t="shared" ca="1" si="2"/>
        <v>—</v>
      </c>
      <c r="L28" s="91"/>
    </row>
    <row r="29" spans="1:12" ht="15" customHeight="1" x14ac:dyDescent="0.25">
      <c r="A29" s="76"/>
      <c r="B29" s="37" t="str">
        <f>IF(A29="","",IFERROR(VLOOKUP(A29,DB_Customers!$A:$D,4,0),"❌ Account Not Found"))</f>
        <v/>
      </c>
      <c r="C29" s="77" t="str">
        <f>IF(A29="","",IFERROR(VLOOKUP(A29,DB_Customers!$A:$N,14,0),"❌ Acct Not Found"))</f>
        <v/>
      </c>
      <c r="D29" s="78" t="str">
        <f t="shared" ca="1" si="0"/>
        <v/>
      </c>
      <c r="E29" s="94"/>
      <c r="F29" s="37"/>
      <c r="G29" s="95" t="str">
        <f t="shared" si="1"/>
        <v/>
      </c>
      <c r="H29" s="39" t="s">
        <v>137</v>
      </c>
      <c r="I29" s="81"/>
      <c r="J29" s="82" t="str">
        <f>IF(AND(A29&lt;&gt;"",E29&lt;&gt;""),IF(I29="","⚠️ Enter Code",IF(IFERROR(VLOOKUP(H29,DB_Agents!$B:$I,8,0),"")=I29,IF(C29&gt;=E29,"Successful","Unsuccessful"),"🔒 BLOCKED — Wrong Code")),"Pending")</f>
        <v>Pending</v>
      </c>
      <c r="K29" s="83" t="str">
        <f t="shared" ca="1" si="2"/>
        <v>—</v>
      </c>
      <c r="L29" s="84"/>
    </row>
    <row r="30" spans="1:12" ht="15" customHeight="1" x14ac:dyDescent="0.25">
      <c r="A30" s="85"/>
      <c r="B30" s="41" t="str">
        <f>IF(A30="","",IFERROR(VLOOKUP(A30,DB_Customers!$A:$D,4,0),"❌ Account Not Found"))</f>
        <v/>
      </c>
      <c r="C30" s="86" t="str">
        <f>IF(A30="","",IFERROR(VLOOKUP(A30,DB_Customers!$A:$N,14,0),"❌ Acct Not Found"))</f>
        <v/>
      </c>
      <c r="D30" s="87" t="str">
        <f t="shared" ca="1" si="0"/>
        <v/>
      </c>
      <c r="E30" s="94"/>
      <c r="F30" s="41"/>
      <c r="G30" s="96" t="str">
        <f t="shared" si="1"/>
        <v/>
      </c>
      <c r="H30" s="43" t="s">
        <v>137</v>
      </c>
      <c r="I30" s="81"/>
      <c r="J30" s="89" t="str">
        <f>IF(AND(A30&lt;&gt;"",E30&lt;&gt;""),IF(I30="","⚠️ Enter Code",IF(IFERROR(VLOOKUP(H30,DB_Agents!$B:$I,8,0),"")=I30,IF(C30&gt;=E30,"Successful","Unsuccessful"),"🔒 BLOCKED — Wrong Code")),"Pending")</f>
        <v>Pending</v>
      </c>
      <c r="K30" s="90" t="str">
        <f t="shared" ca="1" si="2"/>
        <v>—</v>
      </c>
      <c r="L30" s="91"/>
    </row>
    <row r="31" spans="1:12" ht="15" customHeight="1" x14ac:dyDescent="0.25">
      <c r="A31" s="76"/>
      <c r="B31" s="37" t="str">
        <f>IF(A31="","",IFERROR(VLOOKUP(A31,DB_Customers!$A:$D,4,0),"❌ Account Not Found"))</f>
        <v/>
      </c>
      <c r="C31" s="77" t="str">
        <f>IF(A31="","",IFERROR(VLOOKUP(A31,DB_Customers!$A:$N,14,0),"❌ Acct Not Found"))</f>
        <v/>
      </c>
      <c r="D31" s="78" t="str">
        <f t="shared" ca="1" si="0"/>
        <v/>
      </c>
      <c r="E31" s="94"/>
      <c r="F31" s="37"/>
      <c r="G31" s="95" t="str">
        <f t="shared" si="1"/>
        <v/>
      </c>
      <c r="H31" s="39" t="s">
        <v>137</v>
      </c>
      <c r="I31" s="81"/>
      <c r="J31" s="82" t="str">
        <f>IF(AND(A31&lt;&gt;"",E31&lt;&gt;""),IF(I31="","⚠️ Enter Code",IF(IFERROR(VLOOKUP(H31,DB_Agents!$B:$I,8,0),"")=I31,IF(C31&gt;=E31,"Successful","Unsuccessful"),"🔒 BLOCKED — Wrong Code")),"Pending")</f>
        <v>Pending</v>
      </c>
      <c r="K31" s="83" t="str">
        <f t="shared" ca="1" si="2"/>
        <v>—</v>
      </c>
      <c r="L31" s="84"/>
    </row>
    <row r="32" spans="1:12" ht="15" customHeight="1" x14ac:dyDescent="0.25">
      <c r="A32" s="85"/>
      <c r="B32" s="41" t="str">
        <f>IF(A32="","",IFERROR(VLOOKUP(A32,DB_Customers!$A:$D,4,0),"❌ Account Not Found"))</f>
        <v/>
      </c>
      <c r="C32" s="86" t="str">
        <f>IF(A32="","",IFERROR(VLOOKUP(A32,DB_Customers!$A:$N,14,0),"❌ Acct Not Found"))</f>
        <v/>
      </c>
      <c r="D32" s="87" t="str">
        <f t="shared" ca="1" si="0"/>
        <v/>
      </c>
      <c r="E32" s="94"/>
      <c r="F32" s="41"/>
      <c r="G32" s="96" t="str">
        <f t="shared" si="1"/>
        <v/>
      </c>
      <c r="H32" s="43" t="s">
        <v>137</v>
      </c>
      <c r="I32" s="81"/>
      <c r="J32" s="89" t="str">
        <f>IF(AND(A32&lt;&gt;"",E32&lt;&gt;""),IF(I32="","⚠️ Enter Code",IF(IFERROR(VLOOKUP(H32,DB_Agents!$B:$I,8,0),"")=I32,IF(C32&gt;=E32,"Successful","Unsuccessful"),"🔒 BLOCKED — Wrong Code")),"Pending")</f>
        <v>Pending</v>
      </c>
      <c r="K32" s="90" t="str">
        <f t="shared" ca="1" si="2"/>
        <v>—</v>
      </c>
      <c r="L32" s="91"/>
    </row>
    <row r="33" spans="1:12" ht="15" customHeight="1" x14ac:dyDescent="0.25">
      <c r="A33" s="76"/>
      <c r="B33" s="37" t="str">
        <f>IF(A33="","",IFERROR(VLOOKUP(A33,DB_Customers!$A:$D,4,0),"❌ Account Not Found"))</f>
        <v/>
      </c>
      <c r="C33" s="77" t="str">
        <f>IF(A33="","",IFERROR(VLOOKUP(A33,DB_Customers!$A:$N,14,0),"❌ Acct Not Found"))</f>
        <v/>
      </c>
      <c r="D33" s="78" t="str">
        <f t="shared" ca="1" si="0"/>
        <v/>
      </c>
      <c r="E33" s="94"/>
      <c r="F33" s="37"/>
      <c r="G33" s="95" t="str">
        <f t="shared" si="1"/>
        <v/>
      </c>
      <c r="H33" s="39" t="s">
        <v>137</v>
      </c>
      <c r="I33" s="81"/>
      <c r="J33" s="82" t="str">
        <f>IF(AND(A33&lt;&gt;"",E33&lt;&gt;""),IF(I33="","⚠️ Enter Code",IF(IFERROR(VLOOKUP(H33,DB_Agents!$B:$I,8,0),"")=I33,IF(C33&gt;=E33,"Successful","Unsuccessful"),"🔒 BLOCKED — Wrong Code")),"Pending")</f>
        <v>Pending</v>
      </c>
      <c r="K33" s="83" t="str">
        <f t="shared" ca="1" si="2"/>
        <v>—</v>
      </c>
      <c r="L33" s="84"/>
    </row>
    <row r="34" spans="1:12" ht="15" customHeight="1" x14ac:dyDescent="0.25">
      <c r="A34" s="85"/>
      <c r="B34" s="41" t="str">
        <f>IF(A34="","",IFERROR(VLOOKUP(A34,DB_Customers!$A:$D,4,0),"❌ Account Not Found"))</f>
        <v/>
      </c>
      <c r="C34" s="86" t="str">
        <f>IF(A34="","",IFERROR(VLOOKUP(A34,DB_Customers!$A:$N,14,0),"❌ Acct Not Found"))</f>
        <v/>
      </c>
      <c r="D34" s="87" t="str">
        <f t="shared" ca="1" si="0"/>
        <v/>
      </c>
      <c r="E34" s="94"/>
      <c r="F34" s="41"/>
      <c r="G34" s="96" t="str">
        <f t="shared" si="1"/>
        <v/>
      </c>
      <c r="H34" s="43" t="s">
        <v>137</v>
      </c>
      <c r="I34" s="81"/>
      <c r="J34" s="89" t="str">
        <f>IF(AND(A34&lt;&gt;"",E34&lt;&gt;""),IF(I34="","⚠️ Enter Code",IF(IFERROR(VLOOKUP(H34,DB_Agents!$B:$I,8,0),"")=I34,IF(C34&gt;=E34,"Successful","Unsuccessful"),"🔒 BLOCKED — Wrong Code")),"Pending")</f>
        <v>Pending</v>
      </c>
      <c r="K34" s="90" t="str">
        <f t="shared" ca="1" si="2"/>
        <v>—</v>
      </c>
      <c r="L34" s="91"/>
    </row>
    <row r="35" spans="1:12" ht="15" customHeight="1" x14ac:dyDescent="0.25">
      <c r="A35" s="76"/>
      <c r="B35" s="37" t="str">
        <f>IF(A35="","",IFERROR(VLOOKUP(A35,DB_Customers!$A:$D,4,0),"❌ Account Not Found"))</f>
        <v/>
      </c>
      <c r="C35" s="77" t="str">
        <f>IF(A35="","",IFERROR(VLOOKUP(A35,DB_Customers!$A:$N,14,0),"❌ Acct Not Found"))</f>
        <v/>
      </c>
      <c r="D35" s="78" t="str">
        <f t="shared" ca="1" si="0"/>
        <v/>
      </c>
      <c r="E35" s="94"/>
      <c r="F35" s="37"/>
      <c r="G35" s="95" t="str">
        <f t="shared" si="1"/>
        <v/>
      </c>
      <c r="H35" s="39" t="s">
        <v>137</v>
      </c>
      <c r="I35" s="81"/>
      <c r="J35" s="82" t="str">
        <f>IF(AND(A35&lt;&gt;"",E35&lt;&gt;""),IF(I35="","⚠️ Enter Code",IF(IFERROR(VLOOKUP(H35,DB_Agents!$B:$I,8,0),"")=I35,IF(C35&gt;=E35,"Successful","Unsuccessful"),"🔒 BLOCKED — Wrong Code")),"Pending")</f>
        <v>Pending</v>
      </c>
      <c r="K35" s="83" t="str">
        <f t="shared" ca="1" si="2"/>
        <v>—</v>
      </c>
      <c r="L35" s="84"/>
    </row>
    <row r="36" spans="1:12" ht="15" customHeight="1" x14ac:dyDescent="0.25">
      <c r="A36" s="85"/>
      <c r="B36" s="41" t="str">
        <f>IF(A36="","",IFERROR(VLOOKUP(A36,DB_Customers!$A:$D,4,0),"❌ Account Not Found"))</f>
        <v/>
      </c>
      <c r="C36" s="86" t="str">
        <f>IF(A36="","",IFERROR(VLOOKUP(A36,DB_Customers!$A:$N,14,0),"❌ Acct Not Found"))</f>
        <v/>
      </c>
      <c r="D36" s="87" t="str">
        <f t="shared" ca="1" si="0"/>
        <v/>
      </c>
      <c r="E36" s="94"/>
      <c r="F36" s="41"/>
      <c r="G36" s="96" t="str">
        <f t="shared" si="1"/>
        <v/>
      </c>
      <c r="H36" s="43" t="s">
        <v>137</v>
      </c>
      <c r="I36" s="81"/>
      <c r="J36" s="89" t="str">
        <f>IF(AND(A36&lt;&gt;"",E36&lt;&gt;""),IF(I36="","⚠️ Enter Code",IF(IFERROR(VLOOKUP(H36,DB_Agents!$B:$I,8,0),"")=I36,IF(C36&gt;=E36,"Successful","Unsuccessful"),"🔒 BLOCKED — Wrong Code")),"Pending")</f>
        <v>Pending</v>
      </c>
      <c r="K36" s="90" t="str">
        <f t="shared" ca="1" si="2"/>
        <v>—</v>
      </c>
      <c r="L36" s="91"/>
    </row>
    <row r="37" spans="1:12" ht="15" customHeight="1" x14ac:dyDescent="0.25">
      <c r="A37" s="76"/>
      <c r="B37" s="37" t="str">
        <f>IF(A37="","",IFERROR(VLOOKUP(A37,DB_Customers!$A:$D,4,0),"❌ Account Not Found"))</f>
        <v/>
      </c>
      <c r="C37" s="77" t="str">
        <f>IF(A37="","",IFERROR(VLOOKUP(A37,DB_Customers!$A:$N,14,0),"❌ Acct Not Found"))</f>
        <v/>
      </c>
      <c r="D37" s="78" t="str">
        <f t="shared" ca="1" si="0"/>
        <v/>
      </c>
      <c r="E37" s="94"/>
      <c r="F37" s="37"/>
      <c r="G37" s="95" t="str">
        <f t="shared" si="1"/>
        <v/>
      </c>
      <c r="H37" s="39" t="s">
        <v>137</v>
      </c>
      <c r="I37" s="81"/>
      <c r="J37" s="82" t="str">
        <f>IF(AND(A37&lt;&gt;"",E37&lt;&gt;""),IF(I37="","⚠️ Enter Code",IF(IFERROR(VLOOKUP(H37,DB_Agents!$B:$I,8,0),"")=I37,IF(C37&gt;=E37,"Successful","Unsuccessful"),"🔒 BLOCKED — Wrong Code")),"Pending")</f>
        <v>Pending</v>
      </c>
      <c r="K37" s="83" t="str">
        <f t="shared" ca="1" si="2"/>
        <v>—</v>
      </c>
      <c r="L37" s="84"/>
    </row>
    <row r="38" spans="1:12" ht="15" customHeight="1" x14ac:dyDescent="0.25">
      <c r="A38" s="85"/>
      <c r="B38" s="41" t="str">
        <f>IF(A38="","",IFERROR(VLOOKUP(A38,DB_Customers!$A:$D,4,0),"❌ Account Not Found"))</f>
        <v/>
      </c>
      <c r="C38" s="86" t="str">
        <f>IF(A38="","",IFERROR(VLOOKUP(A38,DB_Customers!$A:$N,14,0),"❌ Acct Not Found"))</f>
        <v/>
      </c>
      <c r="D38" s="87" t="str">
        <f t="shared" ca="1" si="0"/>
        <v/>
      </c>
      <c r="E38" s="94"/>
      <c r="F38" s="41"/>
      <c r="G38" s="96" t="str">
        <f t="shared" si="1"/>
        <v/>
      </c>
      <c r="H38" s="43" t="s">
        <v>137</v>
      </c>
      <c r="I38" s="81"/>
      <c r="J38" s="89" t="str">
        <f>IF(AND(A38&lt;&gt;"",E38&lt;&gt;""),IF(I38="","⚠️ Enter Code",IF(IFERROR(VLOOKUP(H38,DB_Agents!$B:$I,8,0),"")=I38,IF(C38&gt;=E38,"Successful","Unsuccessful"),"🔒 BLOCKED — Wrong Code")),"Pending")</f>
        <v>Pending</v>
      </c>
      <c r="K38" s="90" t="str">
        <f t="shared" ca="1" si="2"/>
        <v>—</v>
      </c>
      <c r="L38" s="91"/>
    </row>
    <row r="39" spans="1:12" ht="15" customHeight="1" x14ac:dyDescent="0.25">
      <c r="A39" s="76"/>
      <c r="B39" s="37" t="str">
        <f>IF(A39="","",IFERROR(VLOOKUP(A39,DB_Customers!$A:$D,4,0),"❌ Account Not Found"))</f>
        <v/>
      </c>
      <c r="C39" s="77" t="str">
        <f>IF(A39="","",IFERROR(VLOOKUP(A39,DB_Customers!$A:$N,14,0),"❌ Acct Not Found"))</f>
        <v/>
      </c>
      <c r="D39" s="78" t="str">
        <f t="shared" ca="1" si="0"/>
        <v/>
      </c>
      <c r="E39" s="94"/>
      <c r="F39" s="37"/>
      <c r="G39" s="95" t="str">
        <f t="shared" si="1"/>
        <v/>
      </c>
      <c r="H39" s="39" t="s">
        <v>137</v>
      </c>
      <c r="I39" s="81"/>
      <c r="J39" s="82" t="str">
        <f>IF(AND(A39&lt;&gt;"",E39&lt;&gt;""),IF(I39="","⚠️ Enter Code",IF(IFERROR(VLOOKUP(H39,DB_Agents!$B:$I,8,0),"")=I39,IF(C39&gt;=E39,"Successful","Unsuccessful"),"🔒 BLOCKED — Wrong Code")),"Pending")</f>
        <v>Pending</v>
      </c>
      <c r="K39" s="83" t="str">
        <f t="shared" ca="1" si="2"/>
        <v>—</v>
      </c>
      <c r="L39" s="84"/>
    </row>
    <row r="40" spans="1:12" ht="15" customHeight="1" x14ac:dyDescent="0.25">
      <c r="A40" s="85"/>
      <c r="B40" s="41" t="str">
        <f>IF(A40="","",IFERROR(VLOOKUP(A40,DB_Customers!$A:$D,4,0),"❌ Account Not Found"))</f>
        <v/>
      </c>
      <c r="C40" s="86" t="str">
        <f>IF(A40="","",IFERROR(VLOOKUP(A40,DB_Customers!$A:$N,14,0),"❌ Acct Not Found"))</f>
        <v/>
      </c>
      <c r="D40" s="87" t="str">
        <f t="shared" ca="1" si="0"/>
        <v/>
      </c>
      <c r="E40" s="94"/>
      <c r="F40" s="41"/>
      <c r="G40" s="96" t="str">
        <f t="shared" si="1"/>
        <v/>
      </c>
      <c r="H40" s="43" t="s">
        <v>137</v>
      </c>
      <c r="I40" s="81"/>
      <c r="J40" s="89" t="str">
        <f>IF(AND(A40&lt;&gt;"",E40&lt;&gt;""),IF(I40="","⚠️ Enter Code",IF(IFERROR(VLOOKUP(H40,DB_Agents!$B:$I,8,0),"")=I40,IF(C40&gt;=E40,"Successful","Unsuccessful"),"🔒 BLOCKED — Wrong Code")),"Pending")</f>
        <v>Pending</v>
      </c>
      <c r="K40" s="90" t="str">
        <f t="shared" ca="1" si="2"/>
        <v>—</v>
      </c>
      <c r="L40" s="91"/>
    </row>
    <row r="41" spans="1:12" ht="15" customHeight="1" x14ac:dyDescent="0.25">
      <c r="A41" s="76"/>
      <c r="B41" s="37" t="str">
        <f>IF(A41="","",IFERROR(VLOOKUP(A41,DB_Customers!$A:$D,4,0),"❌ Account Not Found"))</f>
        <v/>
      </c>
      <c r="C41" s="77" t="str">
        <f>IF(A41="","",IFERROR(VLOOKUP(A41,DB_Customers!$A:$N,14,0),"❌ Acct Not Found"))</f>
        <v/>
      </c>
      <c r="D41" s="78" t="str">
        <f t="shared" ref="D41:D72" ca="1" si="3">IF(A41="","",TODAY())</f>
        <v/>
      </c>
      <c r="E41" s="94"/>
      <c r="F41" s="37"/>
      <c r="G41" s="95" t="str">
        <f t="shared" ref="G41:G72" si="4">IF(OR(A41="",E41=""),"",IF(C41="","",C41-E41))</f>
        <v/>
      </c>
      <c r="H41" s="39" t="s">
        <v>137</v>
      </c>
      <c r="I41" s="81"/>
      <c r="J41" s="82" t="str">
        <f>IF(AND(A41&lt;&gt;"",E41&lt;&gt;""),IF(I41="","⚠️ Enter Code",IF(IFERROR(VLOOKUP(H41,DB_Agents!$B:$I,8,0),"")=I41,IF(C41&gt;=E41,"Successful","Unsuccessful"),"🔒 BLOCKED — Wrong Code")),"Pending")</f>
        <v>Pending</v>
      </c>
      <c r="K41" s="83" t="str">
        <f t="shared" ref="K41:K72" ca="1" si="5">IF(J41="Successful",TEXT(TODAY(),"YYYY-MM-DD")&amp;" Auto","—")</f>
        <v>—</v>
      </c>
      <c r="L41" s="84"/>
    </row>
    <row r="42" spans="1:12" ht="15" customHeight="1" x14ac:dyDescent="0.25">
      <c r="A42" s="85"/>
      <c r="B42" s="41" t="str">
        <f>IF(A42="","",IFERROR(VLOOKUP(A42,DB_Customers!$A:$D,4,0),"❌ Account Not Found"))</f>
        <v/>
      </c>
      <c r="C42" s="86" t="str">
        <f>IF(A42="","",IFERROR(VLOOKUP(A42,DB_Customers!$A:$N,14,0),"❌ Acct Not Found"))</f>
        <v/>
      </c>
      <c r="D42" s="87" t="str">
        <f t="shared" ca="1" si="3"/>
        <v/>
      </c>
      <c r="E42" s="94"/>
      <c r="F42" s="41"/>
      <c r="G42" s="96" t="str">
        <f t="shared" si="4"/>
        <v/>
      </c>
      <c r="H42" s="43" t="s">
        <v>137</v>
      </c>
      <c r="I42" s="81"/>
      <c r="J42" s="89" t="str">
        <f>IF(AND(A42&lt;&gt;"",E42&lt;&gt;""),IF(I42="","⚠️ Enter Code",IF(IFERROR(VLOOKUP(H42,DB_Agents!$B:$I,8,0),"")=I42,IF(C42&gt;=E42,"Successful","Unsuccessful"),"🔒 BLOCKED — Wrong Code")),"Pending")</f>
        <v>Pending</v>
      </c>
      <c r="K42" s="90" t="str">
        <f t="shared" ca="1" si="5"/>
        <v>—</v>
      </c>
      <c r="L42" s="91"/>
    </row>
    <row r="43" spans="1:12" ht="15" customHeight="1" x14ac:dyDescent="0.25">
      <c r="A43" s="76"/>
      <c r="B43" s="37" t="str">
        <f>IF(A43="","",IFERROR(VLOOKUP(A43,DB_Customers!$A:$D,4,0),"❌ Account Not Found"))</f>
        <v/>
      </c>
      <c r="C43" s="77" t="str">
        <f>IF(A43="","",IFERROR(VLOOKUP(A43,DB_Customers!$A:$N,14,0),"❌ Acct Not Found"))</f>
        <v/>
      </c>
      <c r="D43" s="78" t="str">
        <f t="shared" ca="1" si="3"/>
        <v/>
      </c>
      <c r="E43" s="94"/>
      <c r="F43" s="37"/>
      <c r="G43" s="95" t="str">
        <f t="shared" si="4"/>
        <v/>
      </c>
      <c r="H43" s="39" t="s">
        <v>137</v>
      </c>
      <c r="I43" s="81"/>
      <c r="J43" s="82" t="str">
        <f>IF(AND(A43&lt;&gt;"",E43&lt;&gt;""),IF(I43="","⚠️ Enter Code",IF(IFERROR(VLOOKUP(H43,DB_Agents!$B:$I,8,0),"")=I43,IF(C43&gt;=E43,"Successful","Unsuccessful"),"🔒 BLOCKED — Wrong Code")),"Pending")</f>
        <v>Pending</v>
      </c>
      <c r="K43" s="83" t="str">
        <f t="shared" ca="1" si="5"/>
        <v>—</v>
      </c>
      <c r="L43" s="84"/>
    </row>
    <row r="44" spans="1:12" ht="15" customHeight="1" x14ac:dyDescent="0.25">
      <c r="A44" s="85"/>
      <c r="B44" s="41" t="str">
        <f>IF(A44="","",IFERROR(VLOOKUP(A44,DB_Customers!$A:$D,4,0),"❌ Account Not Found"))</f>
        <v/>
      </c>
      <c r="C44" s="86" t="str">
        <f>IF(A44="","",IFERROR(VLOOKUP(A44,DB_Customers!$A:$N,14,0),"❌ Acct Not Found"))</f>
        <v/>
      </c>
      <c r="D44" s="87" t="str">
        <f t="shared" ca="1" si="3"/>
        <v/>
      </c>
      <c r="E44" s="94"/>
      <c r="F44" s="41"/>
      <c r="G44" s="96" t="str">
        <f t="shared" si="4"/>
        <v/>
      </c>
      <c r="H44" s="43" t="s">
        <v>137</v>
      </c>
      <c r="I44" s="81"/>
      <c r="J44" s="89" t="str">
        <f>IF(AND(A44&lt;&gt;"",E44&lt;&gt;""),IF(I44="","⚠️ Enter Code",IF(IFERROR(VLOOKUP(H44,DB_Agents!$B:$I,8,0),"")=I44,IF(C44&gt;=E44,"Successful","Unsuccessful"),"🔒 BLOCKED — Wrong Code")),"Pending")</f>
        <v>Pending</v>
      </c>
      <c r="K44" s="90" t="str">
        <f t="shared" ca="1" si="5"/>
        <v>—</v>
      </c>
      <c r="L44" s="91"/>
    </row>
    <row r="45" spans="1:12" ht="15" customHeight="1" x14ac:dyDescent="0.25">
      <c r="A45" s="76"/>
      <c r="B45" s="37" t="str">
        <f>IF(A45="","",IFERROR(VLOOKUP(A45,DB_Customers!$A:$D,4,0),"❌ Account Not Found"))</f>
        <v/>
      </c>
      <c r="C45" s="77" t="str">
        <f>IF(A45="","",IFERROR(VLOOKUP(A45,DB_Customers!$A:$N,14,0),"❌ Acct Not Found"))</f>
        <v/>
      </c>
      <c r="D45" s="78" t="str">
        <f t="shared" ca="1" si="3"/>
        <v/>
      </c>
      <c r="E45" s="94"/>
      <c r="F45" s="37"/>
      <c r="G45" s="95" t="str">
        <f t="shared" si="4"/>
        <v/>
      </c>
      <c r="H45" s="39" t="s">
        <v>137</v>
      </c>
      <c r="I45" s="81"/>
      <c r="J45" s="82" t="str">
        <f>IF(AND(A45&lt;&gt;"",E45&lt;&gt;""),IF(I45="","⚠️ Enter Code",IF(IFERROR(VLOOKUP(H45,DB_Agents!$B:$I,8,0),"")=I45,IF(C45&gt;=E45,"Successful","Unsuccessful"),"🔒 BLOCKED — Wrong Code")),"Pending")</f>
        <v>Pending</v>
      </c>
      <c r="K45" s="83" t="str">
        <f t="shared" ca="1" si="5"/>
        <v>—</v>
      </c>
      <c r="L45" s="84"/>
    </row>
    <row r="46" spans="1:12" ht="15" customHeight="1" x14ac:dyDescent="0.25">
      <c r="A46" s="85"/>
      <c r="B46" s="41" t="str">
        <f>IF(A46="","",IFERROR(VLOOKUP(A46,DB_Customers!$A:$D,4,0),"❌ Account Not Found"))</f>
        <v/>
      </c>
      <c r="C46" s="86" t="str">
        <f>IF(A46="","",IFERROR(VLOOKUP(A46,DB_Customers!$A:$N,14,0),"❌ Acct Not Found"))</f>
        <v/>
      </c>
      <c r="D46" s="87" t="str">
        <f t="shared" ca="1" si="3"/>
        <v/>
      </c>
      <c r="E46" s="94"/>
      <c r="F46" s="41"/>
      <c r="G46" s="96" t="str">
        <f t="shared" si="4"/>
        <v/>
      </c>
      <c r="H46" s="43" t="s">
        <v>137</v>
      </c>
      <c r="I46" s="81"/>
      <c r="J46" s="89" t="str">
        <f>IF(AND(A46&lt;&gt;"",E46&lt;&gt;""),IF(I46="","⚠️ Enter Code",IF(IFERROR(VLOOKUP(H46,DB_Agents!$B:$I,8,0),"")=I46,IF(C46&gt;=E46,"Successful","Unsuccessful"),"🔒 BLOCKED — Wrong Code")),"Pending")</f>
        <v>Pending</v>
      </c>
      <c r="K46" s="90" t="str">
        <f t="shared" ca="1" si="5"/>
        <v>—</v>
      </c>
      <c r="L46" s="91"/>
    </row>
    <row r="47" spans="1:12" ht="15" customHeight="1" x14ac:dyDescent="0.25">
      <c r="A47" s="76"/>
      <c r="B47" s="37" t="str">
        <f>IF(A47="","",IFERROR(VLOOKUP(A47,DB_Customers!$A:$D,4,0),"❌ Account Not Found"))</f>
        <v/>
      </c>
      <c r="C47" s="77" t="str">
        <f>IF(A47="","",IFERROR(VLOOKUP(A47,DB_Customers!$A:$N,14,0),"❌ Acct Not Found"))</f>
        <v/>
      </c>
      <c r="D47" s="78" t="str">
        <f t="shared" ca="1" si="3"/>
        <v/>
      </c>
      <c r="E47" s="94"/>
      <c r="F47" s="37"/>
      <c r="G47" s="95" t="str">
        <f t="shared" si="4"/>
        <v/>
      </c>
      <c r="H47" s="39" t="s">
        <v>137</v>
      </c>
      <c r="I47" s="81"/>
      <c r="J47" s="82" t="str">
        <f>IF(AND(A47&lt;&gt;"",E47&lt;&gt;""),IF(I47="","⚠️ Enter Code",IF(IFERROR(VLOOKUP(H47,DB_Agents!$B:$I,8,0),"")=I47,IF(C47&gt;=E47,"Successful","Unsuccessful"),"🔒 BLOCKED — Wrong Code")),"Pending")</f>
        <v>Pending</v>
      </c>
      <c r="K47" s="83" t="str">
        <f t="shared" ca="1" si="5"/>
        <v>—</v>
      </c>
      <c r="L47" s="84"/>
    </row>
    <row r="48" spans="1:12" ht="15" customHeight="1" x14ac:dyDescent="0.25">
      <c r="A48" s="85"/>
      <c r="B48" s="41" t="str">
        <f>IF(A48="","",IFERROR(VLOOKUP(A48,DB_Customers!$A:$D,4,0),"❌ Account Not Found"))</f>
        <v/>
      </c>
      <c r="C48" s="86" t="str">
        <f>IF(A48="","",IFERROR(VLOOKUP(A48,DB_Customers!$A:$N,14,0),"❌ Acct Not Found"))</f>
        <v/>
      </c>
      <c r="D48" s="87" t="str">
        <f t="shared" ca="1" si="3"/>
        <v/>
      </c>
      <c r="E48" s="94"/>
      <c r="F48" s="41"/>
      <c r="G48" s="96" t="str">
        <f t="shared" si="4"/>
        <v/>
      </c>
      <c r="H48" s="43" t="s">
        <v>137</v>
      </c>
      <c r="I48" s="81"/>
      <c r="J48" s="89" t="str">
        <f>IF(AND(A48&lt;&gt;"",E48&lt;&gt;""),IF(I48="","⚠️ Enter Code",IF(IFERROR(VLOOKUP(H48,DB_Agents!$B:$I,8,0),"")=I48,IF(C48&gt;=E48,"Successful","Unsuccessful"),"🔒 BLOCKED — Wrong Code")),"Pending")</f>
        <v>Pending</v>
      </c>
      <c r="K48" s="90" t="str">
        <f t="shared" ca="1" si="5"/>
        <v>—</v>
      </c>
      <c r="L48" s="91"/>
    </row>
    <row r="49" spans="1:12" ht="15" customHeight="1" x14ac:dyDescent="0.25">
      <c r="A49" s="76"/>
      <c r="B49" s="37" t="str">
        <f>IF(A49="","",IFERROR(VLOOKUP(A49,DB_Customers!$A:$D,4,0),"❌ Account Not Found"))</f>
        <v/>
      </c>
      <c r="C49" s="77" t="str">
        <f>IF(A49="","",IFERROR(VLOOKUP(A49,DB_Customers!$A:$N,14,0),"❌ Acct Not Found"))</f>
        <v/>
      </c>
      <c r="D49" s="78" t="str">
        <f t="shared" ca="1" si="3"/>
        <v/>
      </c>
      <c r="E49" s="94"/>
      <c r="F49" s="37"/>
      <c r="G49" s="95" t="str">
        <f t="shared" si="4"/>
        <v/>
      </c>
      <c r="H49" s="39" t="s">
        <v>137</v>
      </c>
      <c r="I49" s="81"/>
      <c r="J49" s="82" t="str">
        <f>IF(AND(A49&lt;&gt;"",E49&lt;&gt;""),IF(I49="","⚠️ Enter Code",IF(IFERROR(VLOOKUP(H49,DB_Agents!$B:$I,8,0),"")=I49,IF(C49&gt;=E49,"Successful","Unsuccessful"),"🔒 BLOCKED — Wrong Code")),"Pending")</f>
        <v>Pending</v>
      </c>
      <c r="K49" s="83" t="str">
        <f t="shared" ca="1" si="5"/>
        <v>—</v>
      </c>
      <c r="L49" s="84"/>
    </row>
    <row r="50" spans="1:12" ht="15" customHeight="1" x14ac:dyDescent="0.25">
      <c r="A50" s="85"/>
      <c r="B50" s="41" t="str">
        <f>IF(A50="","",IFERROR(VLOOKUP(A50,DB_Customers!$A:$D,4,0),"❌ Account Not Found"))</f>
        <v/>
      </c>
      <c r="C50" s="86" t="str">
        <f>IF(A50="","",IFERROR(VLOOKUP(A50,DB_Customers!$A:$N,14,0),"❌ Acct Not Found"))</f>
        <v/>
      </c>
      <c r="D50" s="87" t="str">
        <f t="shared" ca="1" si="3"/>
        <v/>
      </c>
      <c r="E50" s="94"/>
      <c r="F50" s="41"/>
      <c r="G50" s="96" t="str">
        <f t="shared" si="4"/>
        <v/>
      </c>
      <c r="H50" s="43" t="s">
        <v>137</v>
      </c>
      <c r="I50" s="81"/>
      <c r="J50" s="89" t="str">
        <f>IF(AND(A50&lt;&gt;"",E50&lt;&gt;""),IF(I50="","⚠️ Enter Code",IF(IFERROR(VLOOKUP(H50,DB_Agents!$B:$I,8,0),"")=I50,IF(C50&gt;=E50,"Successful","Unsuccessful"),"🔒 BLOCKED — Wrong Code")),"Pending")</f>
        <v>Pending</v>
      </c>
      <c r="K50" s="90" t="str">
        <f t="shared" ca="1" si="5"/>
        <v>—</v>
      </c>
      <c r="L50" s="91"/>
    </row>
    <row r="51" spans="1:12" ht="15" customHeight="1" x14ac:dyDescent="0.25">
      <c r="A51" s="76"/>
      <c r="B51" s="37" t="str">
        <f>IF(A51="","",IFERROR(VLOOKUP(A51,DB_Customers!$A:$D,4,0),"❌ Account Not Found"))</f>
        <v/>
      </c>
      <c r="C51" s="77" t="str">
        <f>IF(A51="","",IFERROR(VLOOKUP(A51,DB_Customers!$A:$N,14,0),"❌ Acct Not Found"))</f>
        <v/>
      </c>
      <c r="D51" s="78" t="str">
        <f t="shared" ca="1" si="3"/>
        <v/>
      </c>
      <c r="E51" s="94"/>
      <c r="F51" s="37"/>
      <c r="G51" s="95" t="str">
        <f t="shared" si="4"/>
        <v/>
      </c>
      <c r="H51" s="39" t="s">
        <v>137</v>
      </c>
      <c r="I51" s="81"/>
      <c r="J51" s="82" t="str">
        <f>IF(AND(A51&lt;&gt;"",E51&lt;&gt;""),IF(I51="","⚠️ Enter Code",IF(IFERROR(VLOOKUP(H51,DB_Agents!$B:$I,8,0),"")=I51,IF(C51&gt;=E51,"Successful","Unsuccessful"),"🔒 BLOCKED — Wrong Code")),"Pending")</f>
        <v>Pending</v>
      </c>
      <c r="K51" s="83" t="str">
        <f t="shared" ca="1" si="5"/>
        <v>—</v>
      </c>
      <c r="L51" s="84"/>
    </row>
    <row r="52" spans="1:12" ht="15" customHeight="1" x14ac:dyDescent="0.25">
      <c r="A52" s="85"/>
      <c r="B52" s="41" t="str">
        <f>IF(A52="","",IFERROR(VLOOKUP(A52,DB_Customers!$A:$D,4,0),"❌ Account Not Found"))</f>
        <v/>
      </c>
      <c r="C52" s="86" t="str">
        <f>IF(A52="","",IFERROR(VLOOKUP(A52,DB_Customers!$A:$N,14,0),"❌ Acct Not Found"))</f>
        <v/>
      </c>
      <c r="D52" s="87" t="str">
        <f t="shared" ca="1" si="3"/>
        <v/>
      </c>
      <c r="E52" s="94"/>
      <c r="F52" s="41"/>
      <c r="G52" s="96" t="str">
        <f t="shared" si="4"/>
        <v/>
      </c>
      <c r="H52" s="43" t="s">
        <v>137</v>
      </c>
      <c r="I52" s="81"/>
      <c r="J52" s="89" t="str">
        <f>IF(AND(A52&lt;&gt;"",E52&lt;&gt;""),IF(I52="","⚠️ Enter Code",IF(IFERROR(VLOOKUP(H52,DB_Agents!$B:$I,8,0),"")=I52,IF(C52&gt;=E52,"Successful","Unsuccessful"),"🔒 BLOCKED — Wrong Code")),"Pending")</f>
        <v>Pending</v>
      </c>
      <c r="K52" s="90" t="str">
        <f t="shared" ca="1" si="5"/>
        <v>—</v>
      </c>
      <c r="L52" s="91"/>
    </row>
    <row r="53" spans="1:12" ht="15" customHeight="1" x14ac:dyDescent="0.25">
      <c r="A53" s="76"/>
      <c r="B53" s="37" t="str">
        <f>IF(A53="","",IFERROR(VLOOKUP(A53,DB_Customers!$A:$D,4,0),"❌ Account Not Found"))</f>
        <v/>
      </c>
      <c r="C53" s="77" t="str">
        <f>IF(A53="","",IFERROR(VLOOKUP(A53,DB_Customers!$A:$N,14,0),"❌ Acct Not Found"))</f>
        <v/>
      </c>
      <c r="D53" s="78" t="str">
        <f t="shared" ca="1" si="3"/>
        <v/>
      </c>
      <c r="E53" s="94"/>
      <c r="F53" s="37"/>
      <c r="G53" s="95" t="str">
        <f t="shared" si="4"/>
        <v/>
      </c>
      <c r="H53" s="39" t="s">
        <v>137</v>
      </c>
      <c r="I53" s="81"/>
      <c r="J53" s="82" t="str">
        <f>IF(AND(A53&lt;&gt;"",E53&lt;&gt;""),IF(I53="","⚠️ Enter Code",IF(IFERROR(VLOOKUP(H53,DB_Agents!$B:$I,8,0),"")=I53,IF(C53&gt;=E53,"Successful","Unsuccessful"),"🔒 BLOCKED — Wrong Code")),"Pending")</f>
        <v>Pending</v>
      </c>
      <c r="K53" s="83" t="str">
        <f t="shared" ca="1" si="5"/>
        <v>—</v>
      </c>
      <c r="L53" s="84"/>
    </row>
    <row r="54" spans="1:12" ht="15" customHeight="1" x14ac:dyDescent="0.25">
      <c r="A54" s="85"/>
      <c r="B54" s="41" t="str">
        <f>IF(A54="","",IFERROR(VLOOKUP(A54,DB_Customers!$A:$D,4,0),"❌ Account Not Found"))</f>
        <v/>
      </c>
      <c r="C54" s="86" t="str">
        <f>IF(A54="","",IFERROR(VLOOKUP(A54,DB_Customers!$A:$N,14,0),"❌ Acct Not Found"))</f>
        <v/>
      </c>
      <c r="D54" s="87" t="str">
        <f t="shared" ca="1" si="3"/>
        <v/>
      </c>
      <c r="E54" s="94"/>
      <c r="F54" s="41"/>
      <c r="G54" s="96" t="str">
        <f t="shared" si="4"/>
        <v/>
      </c>
      <c r="H54" s="43" t="s">
        <v>137</v>
      </c>
      <c r="I54" s="81"/>
      <c r="J54" s="89" t="str">
        <f>IF(AND(A54&lt;&gt;"",E54&lt;&gt;""),IF(I54="","⚠️ Enter Code",IF(IFERROR(VLOOKUP(H54,DB_Agents!$B:$I,8,0),"")=I54,IF(C54&gt;=E54,"Successful","Unsuccessful"),"🔒 BLOCKED — Wrong Code")),"Pending")</f>
        <v>Pending</v>
      </c>
      <c r="K54" s="90" t="str">
        <f t="shared" ca="1" si="5"/>
        <v>—</v>
      </c>
      <c r="L54" s="91"/>
    </row>
    <row r="55" spans="1:12" ht="15" customHeight="1" x14ac:dyDescent="0.25">
      <c r="A55" s="76"/>
      <c r="B55" s="37" t="str">
        <f>IF(A55="","",IFERROR(VLOOKUP(A55,DB_Customers!$A:$D,4,0),"❌ Account Not Found"))</f>
        <v/>
      </c>
      <c r="C55" s="77" t="str">
        <f>IF(A55="","",IFERROR(VLOOKUP(A55,DB_Customers!$A:$N,14,0),"❌ Acct Not Found"))</f>
        <v/>
      </c>
      <c r="D55" s="78" t="str">
        <f t="shared" ca="1" si="3"/>
        <v/>
      </c>
      <c r="E55" s="94"/>
      <c r="F55" s="37"/>
      <c r="G55" s="95" t="str">
        <f t="shared" si="4"/>
        <v/>
      </c>
      <c r="H55" s="39" t="s">
        <v>137</v>
      </c>
      <c r="I55" s="81"/>
      <c r="J55" s="82" t="str">
        <f>IF(AND(A55&lt;&gt;"",E55&lt;&gt;""),IF(I55="","⚠️ Enter Code",IF(IFERROR(VLOOKUP(H55,DB_Agents!$B:$I,8,0),"")=I55,IF(C55&gt;=E55,"Successful","Unsuccessful"),"🔒 BLOCKED — Wrong Code")),"Pending")</f>
        <v>Pending</v>
      </c>
      <c r="K55" s="83" t="str">
        <f t="shared" ca="1" si="5"/>
        <v>—</v>
      </c>
      <c r="L55" s="84"/>
    </row>
    <row r="56" spans="1:12" ht="15" customHeight="1" x14ac:dyDescent="0.25">
      <c r="A56" s="85"/>
      <c r="B56" s="41" t="str">
        <f>IF(A56="","",IFERROR(VLOOKUP(A56,DB_Customers!$A:$D,4,0),"❌ Account Not Found"))</f>
        <v/>
      </c>
      <c r="C56" s="86" t="str">
        <f>IF(A56="","",IFERROR(VLOOKUP(A56,DB_Customers!$A:$N,14,0),"❌ Acct Not Found"))</f>
        <v/>
      </c>
      <c r="D56" s="87" t="str">
        <f t="shared" ca="1" si="3"/>
        <v/>
      </c>
      <c r="E56" s="94"/>
      <c r="F56" s="41"/>
      <c r="G56" s="96" t="str">
        <f t="shared" si="4"/>
        <v/>
      </c>
      <c r="H56" s="43" t="s">
        <v>137</v>
      </c>
      <c r="I56" s="81"/>
      <c r="J56" s="89" t="str">
        <f>IF(AND(A56&lt;&gt;"",E56&lt;&gt;""),IF(I56="","⚠️ Enter Code",IF(IFERROR(VLOOKUP(H56,DB_Agents!$B:$I,8,0),"")=I56,IF(C56&gt;=E56,"Successful","Unsuccessful"),"🔒 BLOCKED — Wrong Code")),"Pending")</f>
        <v>Pending</v>
      </c>
      <c r="K56" s="90" t="str">
        <f t="shared" ca="1" si="5"/>
        <v>—</v>
      </c>
      <c r="L56" s="91"/>
    </row>
    <row r="57" spans="1:12" ht="15" customHeight="1" x14ac:dyDescent="0.25">
      <c r="A57" s="76"/>
      <c r="B57" s="37" t="str">
        <f>IF(A57="","",IFERROR(VLOOKUP(A57,DB_Customers!$A:$D,4,0),"❌ Account Not Found"))</f>
        <v/>
      </c>
      <c r="C57" s="77" t="str">
        <f>IF(A57="","",IFERROR(VLOOKUP(A57,DB_Customers!$A:$N,14,0),"❌ Acct Not Found"))</f>
        <v/>
      </c>
      <c r="D57" s="78" t="str">
        <f t="shared" ca="1" si="3"/>
        <v/>
      </c>
      <c r="E57" s="94"/>
      <c r="F57" s="37"/>
      <c r="G57" s="95" t="str">
        <f t="shared" si="4"/>
        <v/>
      </c>
      <c r="H57" s="39" t="s">
        <v>137</v>
      </c>
      <c r="I57" s="81"/>
      <c r="J57" s="82" t="str">
        <f>IF(AND(A57&lt;&gt;"",E57&lt;&gt;""),IF(I57="","⚠️ Enter Code",IF(IFERROR(VLOOKUP(H57,DB_Agents!$B:$I,8,0),"")=I57,IF(C57&gt;=E57,"Successful","Unsuccessful"),"🔒 BLOCKED — Wrong Code")),"Pending")</f>
        <v>Pending</v>
      </c>
      <c r="K57" s="83" t="str">
        <f t="shared" ca="1" si="5"/>
        <v>—</v>
      </c>
      <c r="L57" s="84"/>
    </row>
    <row r="58" spans="1:12" ht="15" customHeight="1" x14ac:dyDescent="0.25">
      <c r="A58" s="85"/>
      <c r="B58" s="41" t="str">
        <f>IF(A58="","",IFERROR(VLOOKUP(A58,DB_Customers!$A:$D,4,0),"❌ Account Not Found"))</f>
        <v/>
      </c>
      <c r="C58" s="86" t="str">
        <f>IF(A58="","",IFERROR(VLOOKUP(A58,DB_Customers!$A:$N,14,0),"❌ Acct Not Found"))</f>
        <v/>
      </c>
      <c r="D58" s="87" t="str">
        <f t="shared" ca="1" si="3"/>
        <v/>
      </c>
      <c r="E58" s="94"/>
      <c r="F58" s="41"/>
      <c r="G58" s="96" t="str">
        <f t="shared" si="4"/>
        <v/>
      </c>
      <c r="H58" s="43" t="s">
        <v>137</v>
      </c>
      <c r="I58" s="81"/>
      <c r="J58" s="89" t="str">
        <f>IF(AND(A58&lt;&gt;"",E58&lt;&gt;""),IF(I58="","⚠️ Enter Code",IF(IFERROR(VLOOKUP(H58,DB_Agents!$B:$I,8,0),"")=I58,IF(C58&gt;=E58,"Successful","Unsuccessful"),"🔒 BLOCKED — Wrong Code")),"Pending")</f>
        <v>Pending</v>
      </c>
      <c r="K58" s="90" t="str">
        <f t="shared" ca="1" si="5"/>
        <v>—</v>
      </c>
      <c r="L58" s="91"/>
    </row>
    <row r="59" spans="1:12" ht="15" customHeight="1" x14ac:dyDescent="0.25">
      <c r="A59" s="76"/>
      <c r="B59" s="37" t="str">
        <f>IF(A59="","",IFERROR(VLOOKUP(A59,DB_Customers!$A:$D,4,0),"❌ Account Not Found"))</f>
        <v/>
      </c>
      <c r="C59" s="77" t="str">
        <f>IF(A59="","",IFERROR(VLOOKUP(A59,DB_Customers!$A:$N,14,0),"❌ Acct Not Found"))</f>
        <v/>
      </c>
      <c r="D59" s="78" t="str">
        <f t="shared" ca="1" si="3"/>
        <v/>
      </c>
      <c r="E59" s="94"/>
      <c r="F59" s="37"/>
      <c r="G59" s="95" t="str">
        <f t="shared" si="4"/>
        <v/>
      </c>
      <c r="H59" s="39" t="s">
        <v>137</v>
      </c>
      <c r="I59" s="81"/>
      <c r="J59" s="82" t="str">
        <f>IF(AND(A59&lt;&gt;"",E59&lt;&gt;""),IF(I59="","⚠️ Enter Code",IF(IFERROR(VLOOKUP(H59,DB_Agents!$B:$I,8,0),"")=I59,IF(C59&gt;=E59,"Successful","Unsuccessful"),"🔒 BLOCKED — Wrong Code")),"Pending")</f>
        <v>Pending</v>
      </c>
      <c r="K59" s="83" t="str">
        <f t="shared" ca="1" si="5"/>
        <v>—</v>
      </c>
      <c r="L59" s="84"/>
    </row>
    <row r="60" spans="1:12" ht="15" customHeight="1" x14ac:dyDescent="0.25">
      <c r="A60" s="85"/>
      <c r="B60" s="41" t="str">
        <f>IF(A60="","",IFERROR(VLOOKUP(A60,DB_Customers!$A:$D,4,0),"❌ Account Not Found"))</f>
        <v/>
      </c>
      <c r="C60" s="86" t="str">
        <f>IF(A60="","",IFERROR(VLOOKUP(A60,DB_Customers!$A:$N,14,0),"❌ Acct Not Found"))</f>
        <v/>
      </c>
      <c r="D60" s="87" t="str">
        <f t="shared" ca="1" si="3"/>
        <v/>
      </c>
      <c r="E60" s="94"/>
      <c r="F60" s="41"/>
      <c r="G60" s="96" t="str">
        <f t="shared" si="4"/>
        <v/>
      </c>
      <c r="H60" s="43" t="s">
        <v>137</v>
      </c>
      <c r="I60" s="81"/>
      <c r="J60" s="89" t="str">
        <f>IF(AND(A60&lt;&gt;"",E60&lt;&gt;""),IF(I60="","⚠️ Enter Code",IF(IFERROR(VLOOKUP(H60,DB_Agents!$B:$I,8,0),"")=I60,IF(C60&gt;=E60,"Successful","Unsuccessful"),"🔒 BLOCKED — Wrong Code")),"Pending")</f>
        <v>Pending</v>
      </c>
      <c r="K60" s="90" t="str">
        <f t="shared" ca="1" si="5"/>
        <v>—</v>
      </c>
      <c r="L60" s="91"/>
    </row>
    <row r="61" spans="1:12" ht="15" customHeight="1" x14ac:dyDescent="0.25">
      <c r="A61" s="76"/>
      <c r="B61" s="37" t="str">
        <f>IF(A61="","",IFERROR(VLOOKUP(A61,DB_Customers!$A:$D,4,0),"❌ Account Not Found"))</f>
        <v/>
      </c>
      <c r="C61" s="77" t="str">
        <f>IF(A61="","",IFERROR(VLOOKUP(A61,DB_Customers!$A:$N,14,0),"❌ Acct Not Found"))</f>
        <v/>
      </c>
      <c r="D61" s="78" t="str">
        <f t="shared" ca="1" si="3"/>
        <v/>
      </c>
      <c r="E61" s="94"/>
      <c r="F61" s="37"/>
      <c r="G61" s="95" t="str">
        <f t="shared" si="4"/>
        <v/>
      </c>
      <c r="H61" s="39" t="s">
        <v>137</v>
      </c>
      <c r="I61" s="81"/>
      <c r="J61" s="82" t="str">
        <f>IF(AND(A61&lt;&gt;"",E61&lt;&gt;""),IF(I61="","⚠️ Enter Code",IF(IFERROR(VLOOKUP(H61,DB_Agents!$B:$I,8,0),"")=I61,IF(C61&gt;=E61,"Successful","Unsuccessful"),"🔒 BLOCKED — Wrong Code")),"Pending")</f>
        <v>Pending</v>
      </c>
      <c r="K61" s="83" t="str">
        <f t="shared" ca="1" si="5"/>
        <v>—</v>
      </c>
      <c r="L61" s="84"/>
    </row>
    <row r="62" spans="1:12" ht="15" customHeight="1" x14ac:dyDescent="0.25">
      <c r="A62" s="85"/>
      <c r="B62" s="41" t="str">
        <f>IF(A62="","",IFERROR(VLOOKUP(A62,DB_Customers!$A:$D,4,0),"❌ Account Not Found"))</f>
        <v/>
      </c>
      <c r="C62" s="86" t="str">
        <f>IF(A62="","",IFERROR(VLOOKUP(A62,DB_Customers!$A:$N,14,0),"❌ Acct Not Found"))</f>
        <v/>
      </c>
      <c r="D62" s="87" t="str">
        <f t="shared" ca="1" si="3"/>
        <v/>
      </c>
      <c r="E62" s="94"/>
      <c r="F62" s="41"/>
      <c r="G62" s="96" t="str">
        <f t="shared" si="4"/>
        <v/>
      </c>
      <c r="H62" s="43" t="s">
        <v>137</v>
      </c>
      <c r="I62" s="81"/>
      <c r="J62" s="89" t="str">
        <f>IF(AND(A62&lt;&gt;"",E62&lt;&gt;""),IF(I62="","⚠️ Enter Code",IF(IFERROR(VLOOKUP(H62,DB_Agents!$B:$I,8,0),"")=I62,IF(C62&gt;=E62,"Successful","Unsuccessful"),"🔒 BLOCKED — Wrong Code")),"Pending")</f>
        <v>Pending</v>
      </c>
      <c r="K62" s="90" t="str">
        <f t="shared" ca="1" si="5"/>
        <v>—</v>
      </c>
      <c r="L62" s="91"/>
    </row>
    <row r="63" spans="1:12" ht="15" customHeight="1" x14ac:dyDescent="0.25">
      <c r="A63" s="76"/>
      <c r="B63" s="37" t="str">
        <f>IF(A63="","",IFERROR(VLOOKUP(A63,DB_Customers!$A:$D,4,0),"❌ Account Not Found"))</f>
        <v/>
      </c>
      <c r="C63" s="77" t="str">
        <f>IF(A63="","",IFERROR(VLOOKUP(A63,DB_Customers!$A:$N,14,0),"❌ Acct Not Found"))</f>
        <v/>
      </c>
      <c r="D63" s="78" t="str">
        <f t="shared" ca="1" si="3"/>
        <v/>
      </c>
      <c r="E63" s="94"/>
      <c r="F63" s="37"/>
      <c r="G63" s="95" t="str">
        <f t="shared" si="4"/>
        <v/>
      </c>
      <c r="H63" s="39" t="s">
        <v>137</v>
      </c>
      <c r="I63" s="81"/>
      <c r="J63" s="82" t="str">
        <f>IF(AND(A63&lt;&gt;"",E63&lt;&gt;""),IF(I63="","⚠️ Enter Code",IF(IFERROR(VLOOKUP(H63,DB_Agents!$B:$I,8,0),"")=I63,IF(C63&gt;=E63,"Successful","Unsuccessful"),"🔒 BLOCKED — Wrong Code")),"Pending")</f>
        <v>Pending</v>
      </c>
      <c r="K63" s="83" t="str">
        <f t="shared" ca="1" si="5"/>
        <v>—</v>
      </c>
      <c r="L63" s="84"/>
    </row>
    <row r="64" spans="1:12" ht="15" customHeight="1" x14ac:dyDescent="0.25">
      <c r="A64" s="85"/>
      <c r="B64" s="41" t="str">
        <f>IF(A64="","",IFERROR(VLOOKUP(A64,DB_Customers!$A:$D,4,0),"❌ Account Not Found"))</f>
        <v/>
      </c>
      <c r="C64" s="86" t="str">
        <f>IF(A64="","",IFERROR(VLOOKUP(A64,DB_Customers!$A:$N,14,0),"❌ Acct Not Found"))</f>
        <v/>
      </c>
      <c r="D64" s="87" t="str">
        <f t="shared" ca="1" si="3"/>
        <v/>
      </c>
      <c r="E64" s="94"/>
      <c r="F64" s="41"/>
      <c r="G64" s="96" t="str">
        <f t="shared" si="4"/>
        <v/>
      </c>
      <c r="H64" s="43" t="s">
        <v>137</v>
      </c>
      <c r="I64" s="81"/>
      <c r="J64" s="89" t="str">
        <f>IF(AND(A64&lt;&gt;"",E64&lt;&gt;""),IF(I64="","⚠️ Enter Code",IF(IFERROR(VLOOKUP(H64,DB_Agents!$B:$I,8,0),"")=I64,IF(C64&gt;=E64,"Successful","Unsuccessful"),"🔒 BLOCKED — Wrong Code")),"Pending")</f>
        <v>Pending</v>
      </c>
      <c r="K64" s="90" t="str">
        <f t="shared" ca="1" si="5"/>
        <v>—</v>
      </c>
      <c r="L64" s="91"/>
    </row>
    <row r="65" spans="1:12" ht="15" customHeight="1" x14ac:dyDescent="0.25">
      <c r="A65" s="76"/>
      <c r="B65" s="37" t="str">
        <f>IF(A65="","",IFERROR(VLOOKUP(A65,DB_Customers!$A:$D,4,0),"❌ Account Not Found"))</f>
        <v/>
      </c>
      <c r="C65" s="77" t="str">
        <f>IF(A65="","",IFERROR(VLOOKUP(A65,DB_Customers!$A:$N,14,0),"❌ Acct Not Found"))</f>
        <v/>
      </c>
      <c r="D65" s="78" t="str">
        <f t="shared" ca="1" si="3"/>
        <v/>
      </c>
      <c r="E65" s="94"/>
      <c r="F65" s="37"/>
      <c r="G65" s="95" t="str">
        <f t="shared" si="4"/>
        <v/>
      </c>
      <c r="H65" s="39" t="s">
        <v>137</v>
      </c>
      <c r="I65" s="81"/>
      <c r="J65" s="82" t="str">
        <f>IF(AND(A65&lt;&gt;"",E65&lt;&gt;""),IF(I65="","⚠️ Enter Code",IF(IFERROR(VLOOKUP(H65,DB_Agents!$B:$I,8,0),"")=I65,IF(C65&gt;=E65,"Successful","Unsuccessful"),"🔒 BLOCKED — Wrong Code")),"Pending")</f>
        <v>Pending</v>
      </c>
      <c r="K65" s="83" t="str">
        <f t="shared" ca="1" si="5"/>
        <v>—</v>
      </c>
      <c r="L65" s="84"/>
    </row>
    <row r="66" spans="1:12" ht="15" customHeight="1" x14ac:dyDescent="0.25">
      <c r="A66" s="85"/>
      <c r="B66" s="41" t="str">
        <f>IF(A66="","",IFERROR(VLOOKUP(A66,DB_Customers!$A:$D,4,0),"❌ Account Not Found"))</f>
        <v/>
      </c>
      <c r="C66" s="86" t="str">
        <f>IF(A66="","",IFERROR(VLOOKUP(A66,DB_Customers!$A:$N,14,0),"❌ Acct Not Found"))</f>
        <v/>
      </c>
      <c r="D66" s="87" t="str">
        <f t="shared" ca="1" si="3"/>
        <v/>
      </c>
      <c r="E66" s="94"/>
      <c r="F66" s="41"/>
      <c r="G66" s="96" t="str">
        <f t="shared" si="4"/>
        <v/>
      </c>
      <c r="H66" s="43" t="s">
        <v>137</v>
      </c>
      <c r="I66" s="81"/>
      <c r="J66" s="89" t="str">
        <f>IF(AND(A66&lt;&gt;"",E66&lt;&gt;""),IF(I66="","⚠️ Enter Code",IF(IFERROR(VLOOKUP(H66,DB_Agents!$B:$I,8,0),"")=I66,IF(C66&gt;=E66,"Successful","Unsuccessful"),"🔒 BLOCKED — Wrong Code")),"Pending")</f>
        <v>Pending</v>
      </c>
      <c r="K66" s="90" t="str">
        <f t="shared" ca="1" si="5"/>
        <v>—</v>
      </c>
      <c r="L66" s="91"/>
    </row>
    <row r="67" spans="1:12" ht="15" customHeight="1" x14ac:dyDescent="0.25">
      <c r="A67" s="76"/>
      <c r="B67" s="37" t="str">
        <f>IF(A67="","",IFERROR(VLOOKUP(A67,DB_Customers!$A:$D,4,0),"❌ Account Not Found"))</f>
        <v/>
      </c>
      <c r="C67" s="77" t="str">
        <f>IF(A67="","",IFERROR(VLOOKUP(A67,DB_Customers!$A:$N,14,0),"❌ Acct Not Found"))</f>
        <v/>
      </c>
      <c r="D67" s="78" t="str">
        <f t="shared" ca="1" si="3"/>
        <v/>
      </c>
      <c r="E67" s="94"/>
      <c r="F67" s="37"/>
      <c r="G67" s="95" t="str">
        <f t="shared" si="4"/>
        <v/>
      </c>
      <c r="H67" s="39" t="s">
        <v>137</v>
      </c>
      <c r="I67" s="81"/>
      <c r="J67" s="82" t="str">
        <f>IF(AND(A67&lt;&gt;"",E67&lt;&gt;""),IF(I67="","⚠️ Enter Code",IF(IFERROR(VLOOKUP(H67,DB_Agents!$B:$I,8,0),"")=I67,IF(C67&gt;=E67,"Successful","Unsuccessful"),"🔒 BLOCKED — Wrong Code")),"Pending")</f>
        <v>Pending</v>
      </c>
      <c r="K67" s="83" t="str">
        <f t="shared" ca="1" si="5"/>
        <v>—</v>
      </c>
      <c r="L67" s="84"/>
    </row>
    <row r="68" spans="1:12" ht="15" customHeight="1" x14ac:dyDescent="0.25">
      <c r="A68" s="85"/>
      <c r="B68" s="41" t="str">
        <f>IF(A68="","",IFERROR(VLOOKUP(A68,DB_Customers!$A:$D,4,0),"❌ Account Not Found"))</f>
        <v/>
      </c>
      <c r="C68" s="86" t="str">
        <f>IF(A68="","",IFERROR(VLOOKUP(A68,DB_Customers!$A:$N,14,0),"❌ Acct Not Found"))</f>
        <v/>
      </c>
      <c r="D68" s="87" t="str">
        <f t="shared" ca="1" si="3"/>
        <v/>
      </c>
      <c r="E68" s="94"/>
      <c r="F68" s="41"/>
      <c r="G68" s="96" t="str">
        <f t="shared" si="4"/>
        <v/>
      </c>
      <c r="H68" s="43" t="s">
        <v>137</v>
      </c>
      <c r="I68" s="81"/>
      <c r="J68" s="89" t="str">
        <f>IF(AND(A68&lt;&gt;"",E68&lt;&gt;""),IF(I68="","⚠️ Enter Code",IF(IFERROR(VLOOKUP(H68,DB_Agents!$B:$I,8,0),"")=I68,IF(C68&gt;=E68,"Successful","Unsuccessful"),"🔒 BLOCKED — Wrong Code")),"Pending")</f>
        <v>Pending</v>
      </c>
      <c r="K68" s="90" t="str">
        <f t="shared" ca="1" si="5"/>
        <v>—</v>
      </c>
      <c r="L68" s="91"/>
    </row>
    <row r="69" spans="1:12" ht="15" customHeight="1" x14ac:dyDescent="0.25">
      <c r="A69" s="76"/>
      <c r="B69" s="37" t="str">
        <f>IF(A69="","",IFERROR(VLOOKUP(A69,DB_Customers!$A:$D,4,0),"❌ Account Not Found"))</f>
        <v/>
      </c>
      <c r="C69" s="77" t="str">
        <f>IF(A69="","",IFERROR(VLOOKUP(A69,DB_Customers!$A:$N,14,0),"❌ Acct Not Found"))</f>
        <v/>
      </c>
      <c r="D69" s="78" t="str">
        <f t="shared" ca="1" si="3"/>
        <v/>
      </c>
      <c r="E69" s="94"/>
      <c r="F69" s="37"/>
      <c r="G69" s="95" t="str">
        <f t="shared" si="4"/>
        <v/>
      </c>
      <c r="H69" s="39" t="s">
        <v>137</v>
      </c>
      <c r="I69" s="81"/>
      <c r="J69" s="82" t="str">
        <f>IF(AND(A69&lt;&gt;"",E69&lt;&gt;""),IF(I69="","⚠️ Enter Code",IF(IFERROR(VLOOKUP(H69,DB_Agents!$B:$I,8,0),"")=I69,IF(C69&gt;=E69,"Successful","Unsuccessful"),"🔒 BLOCKED — Wrong Code")),"Pending")</f>
        <v>Pending</v>
      </c>
      <c r="K69" s="83" t="str">
        <f t="shared" ca="1" si="5"/>
        <v>—</v>
      </c>
      <c r="L69" s="84"/>
    </row>
    <row r="70" spans="1:12" ht="15" customHeight="1" x14ac:dyDescent="0.25">
      <c r="A70" s="85"/>
      <c r="B70" s="41" t="str">
        <f>IF(A70="","",IFERROR(VLOOKUP(A70,DB_Customers!$A:$D,4,0),"❌ Account Not Found"))</f>
        <v/>
      </c>
      <c r="C70" s="86" t="str">
        <f>IF(A70="","",IFERROR(VLOOKUP(A70,DB_Customers!$A:$N,14,0),"❌ Acct Not Found"))</f>
        <v/>
      </c>
      <c r="D70" s="87" t="str">
        <f t="shared" ca="1" si="3"/>
        <v/>
      </c>
      <c r="E70" s="94"/>
      <c r="F70" s="41"/>
      <c r="G70" s="96" t="str">
        <f t="shared" si="4"/>
        <v/>
      </c>
      <c r="H70" s="43" t="s">
        <v>137</v>
      </c>
      <c r="I70" s="81"/>
      <c r="J70" s="89" t="str">
        <f>IF(AND(A70&lt;&gt;"",E70&lt;&gt;""),IF(I70="","⚠️ Enter Code",IF(IFERROR(VLOOKUP(H70,DB_Agents!$B:$I,8,0),"")=I70,IF(C70&gt;=E70,"Successful","Unsuccessful"),"🔒 BLOCKED — Wrong Code")),"Pending")</f>
        <v>Pending</v>
      </c>
      <c r="K70" s="90" t="str">
        <f t="shared" ca="1" si="5"/>
        <v>—</v>
      </c>
      <c r="L70" s="91"/>
    </row>
    <row r="71" spans="1:12" ht="15" customHeight="1" x14ac:dyDescent="0.25">
      <c r="A71" s="76"/>
      <c r="B71" s="37" t="str">
        <f>IF(A71="","",IFERROR(VLOOKUP(A71,DB_Customers!$A:$D,4,0),"❌ Account Not Found"))</f>
        <v/>
      </c>
      <c r="C71" s="77" t="str">
        <f>IF(A71="","",IFERROR(VLOOKUP(A71,DB_Customers!$A:$N,14,0),"❌ Acct Not Found"))</f>
        <v/>
      </c>
      <c r="D71" s="78" t="str">
        <f t="shared" ca="1" si="3"/>
        <v/>
      </c>
      <c r="E71" s="94"/>
      <c r="F71" s="37"/>
      <c r="G71" s="95" t="str">
        <f t="shared" si="4"/>
        <v/>
      </c>
      <c r="H71" s="39" t="s">
        <v>137</v>
      </c>
      <c r="I71" s="81"/>
      <c r="J71" s="82" t="str">
        <f>IF(AND(A71&lt;&gt;"",E71&lt;&gt;""),IF(I71="","⚠️ Enter Code",IF(IFERROR(VLOOKUP(H71,DB_Agents!$B:$I,8,0),"")=I71,IF(C71&gt;=E71,"Successful","Unsuccessful"),"🔒 BLOCKED — Wrong Code")),"Pending")</f>
        <v>Pending</v>
      </c>
      <c r="K71" s="83" t="str">
        <f t="shared" ca="1" si="5"/>
        <v>—</v>
      </c>
      <c r="L71" s="84"/>
    </row>
    <row r="72" spans="1:12" ht="15" customHeight="1" x14ac:dyDescent="0.25">
      <c r="A72" s="85"/>
      <c r="B72" s="41" t="str">
        <f>IF(A72="","",IFERROR(VLOOKUP(A72,DB_Customers!$A:$D,4,0),"❌ Account Not Found"))</f>
        <v/>
      </c>
      <c r="C72" s="86" t="str">
        <f>IF(A72="","",IFERROR(VLOOKUP(A72,DB_Customers!$A:$N,14,0),"❌ Acct Not Found"))</f>
        <v/>
      </c>
      <c r="D72" s="87" t="str">
        <f t="shared" ca="1" si="3"/>
        <v/>
      </c>
      <c r="E72" s="94"/>
      <c r="F72" s="41"/>
      <c r="G72" s="96" t="str">
        <f t="shared" si="4"/>
        <v/>
      </c>
      <c r="H72" s="43" t="s">
        <v>137</v>
      </c>
      <c r="I72" s="81"/>
      <c r="J72" s="89" t="str">
        <f>IF(AND(A72&lt;&gt;"",E72&lt;&gt;""),IF(I72="","⚠️ Enter Code",IF(IFERROR(VLOOKUP(H72,DB_Agents!$B:$I,8,0),"")=I72,IF(C72&gt;=E72,"Successful","Unsuccessful"),"🔒 BLOCKED — Wrong Code")),"Pending")</f>
        <v>Pending</v>
      </c>
      <c r="K72" s="90" t="str">
        <f t="shared" ca="1" si="5"/>
        <v>—</v>
      </c>
      <c r="L72" s="91"/>
    </row>
    <row r="73" spans="1:12" ht="15" customHeight="1" x14ac:dyDescent="0.25">
      <c r="A73" s="76"/>
      <c r="B73" s="37" t="str">
        <f>IF(A73="","",IFERROR(VLOOKUP(A73,DB_Customers!$A:$D,4,0),"❌ Account Not Found"))</f>
        <v/>
      </c>
      <c r="C73" s="77" t="str">
        <f>IF(A73="","",IFERROR(VLOOKUP(A73,DB_Customers!$A:$N,14,0),"❌ Acct Not Found"))</f>
        <v/>
      </c>
      <c r="D73" s="78" t="str">
        <f t="shared" ref="D73:D104" ca="1" si="6">IF(A73="","",TODAY())</f>
        <v/>
      </c>
      <c r="E73" s="94"/>
      <c r="F73" s="37"/>
      <c r="G73" s="95" t="str">
        <f t="shared" ref="G73:G104" si="7">IF(OR(A73="",E73=""),"",IF(C73="","",C73-E73))</f>
        <v/>
      </c>
      <c r="H73" s="39" t="s">
        <v>137</v>
      </c>
      <c r="I73" s="81"/>
      <c r="J73" s="82" t="str">
        <f>IF(AND(A73&lt;&gt;"",E73&lt;&gt;""),IF(I73="","⚠️ Enter Code",IF(IFERROR(VLOOKUP(H73,DB_Agents!$B:$I,8,0),"")=I73,IF(C73&gt;=E73,"Successful","Unsuccessful"),"🔒 BLOCKED — Wrong Code")),"Pending")</f>
        <v>Pending</v>
      </c>
      <c r="K73" s="83" t="str">
        <f t="shared" ref="K73:K104" ca="1" si="8">IF(J73="Successful",TEXT(TODAY(),"YYYY-MM-DD")&amp;" Auto","—")</f>
        <v>—</v>
      </c>
      <c r="L73" s="84"/>
    </row>
    <row r="74" spans="1:12" ht="15" customHeight="1" x14ac:dyDescent="0.25">
      <c r="A74" s="85"/>
      <c r="B74" s="41" t="str">
        <f>IF(A74="","",IFERROR(VLOOKUP(A74,DB_Customers!$A:$D,4,0),"❌ Account Not Found"))</f>
        <v/>
      </c>
      <c r="C74" s="86" t="str">
        <f>IF(A74="","",IFERROR(VLOOKUP(A74,DB_Customers!$A:$N,14,0),"❌ Acct Not Found"))</f>
        <v/>
      </c>
      <c r="D74" s="87" t="str">
        <f t="shared" ca="1" si="6"/>
        <v/>
      </c>
      <c r="E74" s="94"/>
      <c r="F74" s="41"/>
      <c r="G74" s="96" t="str">
        <f t="shared" si="7"/>
        <v/>
      </c>
      <c r="H74" s="43" t="s">
        <v>137</v>
      </c>
      <c r="I74" s="81"/>
      <c r="J74" s="89" t="str">
        <f>IF(AND(A74&lt;&gt;"",E74&lt;&gt;""),IF(I74="","⚠️ Enter Code",IF(IFERROR(VLOOKUP(H74,DB_Agents!$B:$I,8,0),"")=I74,IF(C74&gt;=E74,"Successful","Unsuccessful"),"🔒 BLOCKED — Wrong Code")),"Pending")</f>
        <v>Pending</v>
      </c>
      <c r="K74" s="90" t="str">
        <f t="shared" ca="1" si="8"/>
        <v>—</v>
      </c>
      <c r="L74" s="91"/>
    </row>
    <row r="75" spans="1:12" ht="15" customHeight="1" x14ac:dyDescent="0.25">
      <c r="A75" s="76"/>
      <c r="B75" s="37" t="str">
        <f>IF(A75="","",IFERROR(VLOOKUP(A75,DB_Customers!$A:$D,4,0),"❌ Account Not Found"))</f>
        <v/>
      </c>
      <c r="C75" s="77" t="str">
        <f>IF(A75="","",IFERROR(VLOOKUP(A75,DB_Customers!$A:$N,14,0),"❌ Acct Not Found"))</f>
        <v/>
      </c>
      <c r="D75" s="78" t="str">
        <f t="shared" ca="1" si="6"/>
        <v/>
      </c>
      <c r="E75" s="94"/>
      <c r="F75" s="37"/>
      <c r="G75" s="95" t="str">
        <f t="shared" si="7"/>
        <v/>
      </c>
      <c r="H75" s="39" t="s">
        <v>137</v>
      </c>
      <c r="I75" s="81"/>
      <c r="J75" s="82" t="str">
        <f>IF(AND(A75&lt;&gt;"",E75&lt;&gt;""),IF(I75="","⚠️ Enter Code",IF(IFERROR(VLOOKUP(H75,DB_Agents!$B:$I,8,0),"")=I75,IF(C75&gt;=E75,"Successful","Unsuccessful"),"🔒 BLOCKED — Wrong Code")),"Pending")</f>
        <v>Pending</v>
      </c>
      <c r="K75" s="83" t="str">
        <f t="shared" ca="1" si="8"/>
        <v>—</v>
      </c>
      <c r="L75" s="84"/>
    </row>
    <row r="76" spans="1:12" ht="15" customHeight="1" x14ac:dyDescent="0.25">
      <c r="A76" s="85"/>
      <c r="B76" s="41" t="str">
        <f>IF(A76="","",IFERROR(VLOOKUP(A76,DB_Customers!$A:$D,4,0),"❌ Account Not Found"))</f>
        <v/>
      </c>
      <c r="C76" s="86" t="str">
        <f>IF(A76="","",IFERROR(VLOOKUP(A76,DB_Customers!$A:$N,14,0),"❌ Acct Not Found"))</f>
        <v/>
      </c>
      <c r="D76" s="87" t="str">
        <f t="shared" ca="1" si="6"/>
        <v/>
      </c>
      <c r="E76" s="94"/>
      <c r="F76" s="41"/>
      <c r="G76" s="96" t="str">
        <f t="shared" si="7"/>
        <v/>
      </c>
      <c r="H76" s="43" t="s">
        <v>137</v>
      </c>
      <c r="I76" s="81"/>
      <c r="J76" s="89" t="str">
        <f>IF(AND(A76&lt;&gt;"",E76&lt;&gt;""),IF(I76="","⚠️ Enter Code",IF(IFERROR(VLOOKUP(H76,DB_Agents!$B:$I,8,0),"")=I76,IF(C76&gt;=E76,"Successful","Unsuccessful"),"🔒 BLOCKED — Wrong Code")),"Pending")</f>
        <v>Pending</v>
      </c>
      <c r="K76" s="90" t="str">
        <f t="shared" ca="1" si="8"/>
        <v>—</v>
      </c>
      <c r="L76" s="91"/>
    </row>
    <row r="77" spans="1:12" ht="15" customHeight="1" x14ac:dyDescent="0.25">
      <c r="A77" s="76"/>
      <c r="B77" s="37" t="str">
        <f>IF(A77="","",IFERROR(VLOOKUP(A77,DB_Customers!$A:$D,4,0),"❌ Account Not Found"))</f>
        <v/>
      </c>
      <c r="C77" s="77" t="str">
        <f>IF(A77="","",IFERROR(VLOOKUP(A77,DB_Customers!$A:$N,14,0),"❌ Acct Not Found"))</f>
        <v/>
      </c>
      <c r="D77" s="78" t="str">
        <f t="shared" ca="1" si="6"/>
        <v/>
      </c>
      <c r="E77" s="94"/>
      <c r="F77" s="37"/>
      <c r="G77" s="95" t="str">
        <f t="shared" si="7"/>
        <v/>
      </c>
      <c r="H77" s="39" t="s">
        <v>137</v>
      </c>
      <c r="I77" s="81"/>
      <c r="J77" s="82" t="str">
        <f>IF(AND(A77&lt;&gt;"",E77&lt;&gt;""),IF(I77="","⚠️ Enter Code",IF(IFERROR(VLOOKUP(H77,DB_Agents!$B:$I,8,0),"")=I77,IF(C77&gt;=E77,"Successful","Unsuccessful"),"🔒 BLOCKED — Wrong Code")),"Pending")</f>
        <v>Pending</v>
      </c>
      <c r="K77" s="83" t="str">
        <f t="shared" ca="1" si="8"/>
        <v>—</v>
      </c>
      <c r="L77" s="84"/>
    </row>
    <row r="78" spans="1:12" ht="15" customHeight="1" x14ac:dyDescent="0.25">
      <c r="A78" s="85"/>
      <c r="B78" s="41" t="str">
        <f>IF(A78="","",IFERROR(VLOOKUP(A78,DB_Customers!$A:$D,4,0),"❌ Account Not Found"))</f>
        <v/>
      </c>
      <c r="C78" s="86" t="str">
        <f>IF(A78="","",IFERROR(VLOOKUP(A78,DB_Customers!$A:$N,14,0),"❌ Acct Not Found"))</f>
        <v/>
      </c>
      <c r="D78" s="87" t="str">
        <f t="shared" ca="1" si="6"/>
        <v/>
      </c>
      <c r="E78" s="94"/>
      <c r="F78" s="41"/>
      <c r="G78" s="96" t="str">
        <f t="shared" si="7"/>
        <v/>
      </c>
      <c r="H78" s="43" t="s">
        <v>137</v>
      </c>
      <c r="I78" s="81"/>
      <c r="J78" s="89" t="str">
        <f>IF(AND(A78&lt;&gt;"",E78&lt;&gt;""),IF(I78="","⚠️ Enter Code",IF(IFERROR(VLOOKUP(H78,DB_Agents!$B:$I,8,0),"")=I78,IF(C78&gt;=E78,"Successful","Unsuccessful"),"🔒 BLOCKED — Wrong Code")),"Pending")</f>
        <v>Pending</v>
      </c>
      <c r="K78" s="90" t="str">
        <f t="shared" ca="1" si="8"/>
        <v>—</v>
      </c>
      <c r="L78" s="91"/>
    </row>
    <row r="79" spans="1:12" ht="15" customHeight="1" x14ac:dyDescent="0.25">
      <c r="A79" s="76"/>
      <c r="B79" s="37" t="str">
        <f>IF(A79="","",IFERROR(VLOOKUP(A79,DB_Customers!$A:$D,4,0),"❌ Account Not Found"))</f>
        <v/>
      </c>
      <c r="C79" s="77" t="str">
        <f>IF(A79="","",IFERROR(VLOOKUP(A79,DB_Customers!$A:$N,14,0),"❌ Acct Not Found"))</f>
        <v/>
      </c>
      <c r="D79" s="78" t="str">
        <f t="shared" ca="1" si="6"/>
        <v/>
      </c>
      <c r="E79" s="94"/>
      <c r="F79" s="37"/>
      <c r="G79" s="95" t="str">
        <f t="shared" si="7"/>
        <v/>
      </c>
      <c r="H79" s="39" t="s">
        <v>137</v>
      </c>
      <c r="I79" s="81"/>
      <c r="J79" s="82" t="str">
        <f>IF(AND(A79&lt;&gt;"",E79&lt;&gt;""),IF(I79="","⚠️ Enter Code",IF(IFERROR(VLOOKUP(H79,DB_Agents!$B:$I,8,0),"")=I79,IF(C79&gt;=E79,"Successful","Unsuccessful"),"🔒 BLOCKED — Wrong Code")),"Pending")</f>
        <v>Pending</v>
      </c>
      <c r="K79" s="83" t="str">
        <f t="shared" ca="1" si="8"/>
        <v>—</v>
      </c>
      <c r="L79" s="84"/>
    </row>
    <row r="80" spans="1:12" ht="15" customHeight="1" x14ac:dyDescent="0.25">
      <c r="A80" s="85"/>
      <c r="B80" s="41" t="str">
        <f>IF(A80="","",IFERROR(VLOOKUP(A80,DB_Customers!$A:$D,4,0),"❌ Account Not Found"))</f>
        <v/>
      </c>
      <c r="C80" s="86" t="str">
        <f>IF(A80="","",IFERROR(VLOOKUP(A80,DB_Customers!$A:$N,14,0),"❌ Acct Not Found"))</f>
        <v/>
      </c>
      <c r="D80" s="87" t="str">
        <f t="shared" ca="1" si="6"/>
        <v/>
      </c>
      <c r="E80" s="94"/>
      <c r="F80" s="41"/>
      <c r="G80" s="96" t="str">
        <f t="shared" si="7"/>
        <v/>
      </c>
      <c r="H80" s="43" t="s">
        <v>137</v>
      </c>
      <c r="I80" s="81"/>
      <c r="J80" s="89" t="str">
        <f>IF(AND(A80&lt;&gt;"",E80&lt;&gt;""),IF(I80="","⚠️ Enter Code",IF(IFERROR(VLOOKUP(H80,DB_Agents!$B:$I,8,0),"")=I80,IF(C80&gt;=E80,"Successful","Unsuccessful"),"🔒 BLOCKED — Wrong Code")),"Pending")</f>
        <v>Pending</v>
      </c>
      <c r="K80" s="90" t="str">
        <f t="shared" ca="1" si="8"/>
        <v>—</v>
      </c>
      <c r="L80" s="91"/>
    </row>
    <row r="81" spans="1:12" ht="15" customHeight="1" x14ac:dyDescent="0.25">
      <c r="A81" s="76"/>
      <c r="B81" s="37" t="str">
        <f>IF(A81="","",IFERROR(VLOOKUP(A81,DB_Customers!$A:$D,4,0),"❌ Account Not Found"))</f>
        <v/>
      </c>
      <c r="C81" s="77" t="str">
        <f>IF(A81="","",IFERROR(VLOOKUP(A81,DB_Customers!$A:$N,14,0),"❌ Acct Not Found"))</f>
        <v/>
      </c>
      <c r="D81" s="78" t="str">
        <f t="shared" ca="1" si="6"/>
        <v/>
      </c>
      <c r="E81" s="94"/>
      <c r="F81" s="37"/>
      <c r="G81" s="95" t="str">
        <f t="shared" si="7"/>
        <v/>
      </c>
      <c r="H81" s="39" t="s">
        <v>137</v>
      </c>
      <c r="I81" s="81"/>
      <c r="J81" s="82" t="str">
        <f>IF(AND(A81&lt;&gt;"",E81&lt;&gt;""),IF(I81="","⚠️ Enter Code",IF(IFERROR(VLOOKUP(H81,DB_Agents!$B:$I,8,0),"")=I81,IF(C81&gt;=E81,"Successful","Unsuccessful"),"🔒 BLOCKED — Wrong Code")),"Pending")</f>
        <v>Pending</v>
      </c>
      <c r="K81" s="83" t="str">
        <f t="shared" ca="1" si="8"/>
        <v>—</v>
      </c>
      <c r="L81" s="84"/>
    </row>
    <row r="82" spans="1:12" ht="15" customHeight="1" x14ac:dyDescent="0.25">
      <c r="A82" s="85"/>
      <c r="B82" s="41" t="str">
        <f>IF(A82="","",IFERROR(VLOOKUP(A82,DB_Customers!$A:$D,4,0),"❌ Account Not Found"))</f>
        <v/>
      </c>
      <c r="C82" s="86" t="str">
        <f>IF(A82="","",IFERROR(VLOOKUP(A82,DB_Customers!$A:$N,14,0),"❌ Acct Not Found"))</f>
        <v/>
      </c>
      <c r="D82" s="87" t="str">
        <f t="shared" ca="1" si="6"/>
        <v/>
      </c>
      <c r="E82" s="94"/>
      <c r="F82" s="41"/>
      <c r="G82" s="96" t="str">
        <f t="shared" si="7"/>
        <v/>
      </c>
      <c r="H82" s="43" t="s">
        <v>137</v>
      </c>
      <c r="I82" s="81"/>
      <c r="J82" s="89" t="str">
        <f>IF(AND(A82&lt;&gt;"",E82&lt;&gt;""),IF(I82="","⚠️ Enter Code",IF(IFERROR(VLOOKUP(H82,DB_Agents!$B:$I,8,0),"")=I82,IF(C82&gt;=E82,"Successful","Unsuccessful"),"🔒 BLOCKED — Wrong Code")),"Pending")</f>
        <v>Pending</v>
      </c>
      <c r="K82" s="90" t="str">
        <f t="shared" ca="1" si="8"/>
        <v>—</v>
      </c>
      <c r="L82" s="91"/>
    </row>
    <row r="83" spans="1:12" ht="15" customHeight="1" x14ac:dyDescent="0.25">
      <c r="A83" s="76"/>
      <c r="B83" s="37" t="str">
        <f>IF(A83="","",IFERROR(VLOOKUP(A83,DB_Customers!$A:$D,4,0),"❌ Account Not Found"))</f>
        <v/>
      </c>
      <c r="C83" s="77" t="str">
        <f>IF(A83="","",IFERROR(VLOOKUP(A83,DB_Customers!$A:$N,14,0),"❌ Acct Not Found"))</f>
        <v/>
      </c>
      <c r="D83" s="78" t="str">
        <f t="shared" ca="1" si="6"/>
        <v/>
      </c>
      <c r="E83" s="94"/>
      <c r="F83" s="37"/>
      <c r="G83" s="95" t="str">
        <f t="shared" si="7"/>
        <v/>
      </c>
      <c r="H83" s="39" t="s">
        <v>137</v>
      </c>
      <c r="I83" s="81"/>
      <c r="J83" s="82" t="str">
        <f>IF(AND(A83&lt;&gt;"",E83&lt;&gt;""),IF(I83="","⚠️ Enter Code",IF(IFERROR(VLOOKUP(H83,DB_Agents!$B:$I,8,0),"")=I83,IF(C83&gt;=E83,"Successful","Unsuccessful"),"🔒 BLOCKED — Wrong Code")),"Pending")</f>
        <v>Pending</v>
      </c>
      <c r="K83" s="83" t="str">
        <f t="shared" ca="1" si="8"/>
        <v>—</v>
      </c>
      <c r="L83" s="84"/>
    </row>
    <row r="84" spans="1:12" ht="15" customHeight="1" x14ac:dyDescent="0.25">
      <c r="A84" s="85"/>
      <c r="B84" s="41" t="str">
        <f>IF(A84="","",IFERROR(VLOOKUP(A84,DB_Customers!$A:$D,4,0),"❌ Account Not Found"))</f>
        <v/>
      </c>
      <c r="C84" s="86" t="str">
        <f>IF(A84="","",IFERROR(VLOOKUP(A84,DB_Customers!$A:$N,14,0),"❌ Acct Not Found"))</f>
        <v/>
      </c>
      <c r="D84" s="87" t="str">
        <f t="shared" ca="1" si="6"/>
        <v/>
      </c>
      <c r="E84" s="94"/>
      <c r="F84" s="41"/>
      <c r="G84" s="96" t="str">
        <f t="shared" si="7"/>
        <v/>
      </c>
      <c r="H84" s="43" t="s">
        <v>137</v>
      </c>
      <c r="I84" s="81"/>
      <c r="J84" s="89" t="str">
        <f>IF(AND(A84&lt;&gt;"",E84&lt;&gt;""),IF(I84="","⚠️ Enter Code",IF(IFERROR(VLOOKUP(H84,DB_Agents!$B:$I,8,0),"")=I84,IF(C84&gt;=E84,"Successful","Unsuccessful"),"🔒 BLOCKED — Wrong Code")),"Pending")</f>
        <v>Pending</v>
      </c>
      <c r="K84" s="90" t="str">
        <f t="shared" ca="1" si="8"/>
        <v>—</v>
      </c>
      <c r="L84" s="91"/>
    </row>
    <row r="85" spans="1:12" ht="15" customHeight="1" x14ac:dyDescent="0.25">
      <c r="A85" s="76"/>
      <c r="B85" s="37" t="str">
        <f>IF(A85="","",IFERROR(VLOOKUP(A85,DB_Customers!$A:$D,4,0),"❌ Account Not Found"))</f>
        <v/>
      </c>
      <c r="C85" s="77" t="str">
        <f>IF(A85="","",IFERROR(VLOOKUP(A85,DB_Customers!$A:$N,14,0),"❌ Acct Not Found"))</f>
        <v/>
      </c>
      <c r="D85" s="78" t="str">
        <f t="shared" ca="1" si="6"/>
        <v/>
      </c>
      <c r="E85" s="94"/>
      <c r="F85" s="37"/>
      <c r="G85" s="95" t="str">
        <f t="shared" si="7"/>
        <v/>
      </c>
      <c r="H85" s="39" t="s">
        <v>137</v>
      </c>
      <c r="I85" s="81"/>
      <c r="J85" s="82" t="str">
        <f>IF(AND(A85&lt;&gt;"",E85&lt;&gt;""),IF(I85="","⚠️ Enter Code",IF(IFERROR(VLOOKUP(H85,DB_Agents!$B:$I,8,0),"")=I85,IF(C85&gt;=E85,"Successful","Unsuccessful"),"🔒 BLOCKED — Wrong Code")),"Pending")</f>
        <v>Pending</v>
      </c>
      <c r="K85" s="83" t="str">
        <f t="shared" ca="1" si="8"/>
        <v>—</v>
      </c>
      <c r="L85" s="84"/>
    </row>
    <row r="86" spans="1:12" ht="15" customHeight="1" x14ac:dyDescent="0.25">
      <c r="A86" s="85"/>
      <c r="B86" s="41" t="str">
        <f>IF(A86="","",IFERROR(VLOOKUP(A86,DB_Customers!$A:$D,4,0),"❌ Account Not Found"))</f>
        <v/>
      </c>
      <c r="C86" s="86" t="str">
        <f>IF(A86="","",IFERROR(VLOOKUP(A86,DB_Customers!$A:$N,14,0),"❌ Acct Not Found"))</f>
        <v/>
      </c>
      <c r="D86" s="87" t="str">
        <f t="shared" ca="1" si="6"/>
        <v/>
      </c>
      <c r="E86" s="94"/>
      <c r="F86" s="41"/>
      <c r="G86" s="96" t="str">
        <f t="shared" si="7"/>
        <v/>
      </c>
      <c r="H86" s="43" t="s">
        <v>137</v>
      </c>
      <c r="I86" s="81"/>
      <c r="J86" s="89" t="str">
        <f>IF(AND(A86&lt;&gt;"",E86&lt;&gt;""),IF(I86="","⚠️ Enter Code",IF(IFERROR(VLOOKUP(H86,DB_Agents!$B:$I,8,0),"")=I86,IF(C86&gt;=E86,"Successful","Unsuccessful"),"🔒 BLOCKED — Wrong Code")),"Pending")</f>
        <v>Pending</v>
      </c>
      <c r="K86" s="90" t="str">
        <f t="shared" ca="1" si="8"/>
        <v>—</v>
      </c>
      <c r="L86" s="91"/>
    </row>
    <row r="87" spans="1:12" ht="15" customHeight="1" x14ac:dyDescent="0.25">
      <c r="A87" s="76"/>
      <c r="B87" s="37" t="str">
        <f>IF(A87="","",IFERROR(VLOOKUP(A87,DB_Customers!$A:$D,4,0),"❌ Account Not Found"))</f>
        <v/>
      </c>
      <c r="C87" s="77" t="str">
        <f>IF(A87="","",IFERROR(VLOOKUP(A87,DB_Customers!$A:$N,14,0),"❌ Acct Not Found"))</f>
        <v/>
      </c>
      <c r="D87" s="78" t="str">
        <f t="shared" ca="1" si="6"/>
        <v/>
      </c>
      <c r="E87" s="94"/>
      <c r="F87" s="37"/>
      <c r="G87" s="95" t="str">
        <f t="shared" si="7"/>
        <v/>
      </c>
      <c r="H87" s="39" t="s">
        <v>137</v>
      </c>
      <c r="I87" s="81"/>
      <c r="J87" s="82" t="str">
        <f>IF(AND(A87&lt;&gt;"",E87&lt;&gt;""),IF(I87="","⚠️ Enter Code",IF(IFERROR(VLOOKUP(H87,DB_Agents!$B:$I,8,0),"")=I87,IF(C87&gt;=E87,"Successful","Unsuccessful"),"🔒 BLOCKED — Wrong Code")),"Pending")</f>
        <v>Pending</v>
      </c>
      <c r="K87" s="83" t="str">
        <f t="shared" ca="1" si="8"/>
        <v>—</v>
      </c>
      <c r="L87" s="84"/>
    </row>
    <row r="88" spans="1:12" ht="15" customHeight="1" x14ac:dyDescent="0.25">
      <c r="A88" s="85"/>
      <c r="B88" s="41" t="str">
        <f>IF(A88="","",IFERROR(VLOOKUP(A88,DB_Customers!$A:$D,4,0),"❌ Account Not Found"))</f>
        <v/>
      </c>
      <c r="C88" s="86" t="str">
        <f>IF(A88="","",IFERROR(VLOOKUP(A88,DB_Customers!$A:$N,14,0),"❌ Acct Not Found"))</f>
        <v/>
      </c>
      <c r="D88" s="87" t="str">
        <f t="shared" ca="1" si="6"/>
        <v/>
      </c>
      <c r="E88" s="94"/>
      <c r="F88" s="41"/>
      <c r="G88" s="96" t="str">
        <f t="shared" si="7"/>
        <v/>
      </c>
      <c r="H88" s="43" t="s">
        <v>137</v>
      </c>
      <c r="I88" s="81"/>
      <c r="J88" s="89" t="str">
        <f>IF(AND(A88&lt;&gt;"",E88&lt;&gt;""),IF(I88="","⚠️ Enter Code",IF(IFERROR(VLOOKUP(H88,DB_Agents!$B:$I,8,0),"")=I88,IF(C88&gt;=E88,"Successful","Unsuccessful"),"🔒 BLOCKED — Wrong Code")),"Pending")</f>
        <v>Pending</v>
      </c>
      <c r="K88" s="90" t="str">
        <f t="shared" ca="1" si="8"/>
        <v>—</v>
      </c>
      <c r="L88" s="91"/>
    </row>
    <row r="89" spans="1:12" ht="15" customHeight="1" x14ac:dyDescent="0.25">
      <c r="A89" s="76"/>
      <c r="B89" s="37" t="str">
        <f>IF(A89="","",IFERROR(VLOOKUP(A89,DB_Customers!$A:$D,4,0),"❌ Account Not Found"))</f>
        <v/>
      </c>
      <c r="C89" s="77" t="str">
        <f>IF(A89="","",IFERROR(VLOOKUP(A89,DB_Customers!$A:$N,14,0),"❌ Acct Not Found"))</f>
        <v/>
      </c>
      <c r="D89" s="78" t="str">
        <f t="shared" ca="1" si="6"/>
        <v/>
      </c>
      <c r="E89" s="94"/>
      <c r="F89" s="37"/>
      <c r="G89" s="95" t="str">
        <f t="shared" si="7"/>
        <v/>
      </c>
      <c r="H89" s="39" t="s">
        <v>137</v>
      </c>
      <c r="I89" s="81"/>
      <c r="J89" s="82" t="str">
        <f>IF(AND(A89&lt;&gt;"",E89&lt;&gt;""),IF(I89="","⚠️ Enter Code",IF(IFERROR(VLOOKUP(H89,DB_Agents!$B:$I,8,0),"")=I89,IF(C89&gt;=E89,"Successful","Unsuccessful"),"🔒 BLOCKED — Wrong Code")),"Pending")</f>
        <v>Pending</v>
      </c>
      <c r="K89" s="83" t="str">
        <f t="shared" ca="1" si="8"/>
        <v>—</v>
      </c>
      <c r="L89" s="84"/>
    </row>
    <row r="90" spans="1:12" ht="15" customHeight="1" x14ac:dyDescent="0.25">
      <c r="A90" s="85"/>
      <c r="B90" s="41" t="str">
        <f>IF(A90="","",IFERROR(VLOOKUP(A90,DB_Customers!$A:$D,4,0),"❌ Account Not Found"))</f>
        <v/>
      </c>
      <c r="C90" s="86" t="str">
        <f>IF(A90="","",IFERROR(VLOOKUP(A90,DB_Customers!$A:$N,14,0),"❌ Acct Not Found"))</f>
        <v/>
      </c>
      <c r="D90" s="87" t="str">
        <f t="shared" ca="1" si="6"/>
        <v/>
      </c>
      <c r="E90" s="94"/>
      <c r="F90" s="41"/>
      <c r="G90" s="96" t="str">
        <f t="shared" si="7"/>
        <v/>
      </c>
      <c r="H90" s="43" t="s">
        <v>137</v>
      </c>
      <c r="I90" s="81"/>
      <c r="J90" s="89" t="str">
        <f>IF(AND(A90&lt;&gt;"",E90&lt;&gt;""),IF(I90="","⚠️ Enter Code",IF(IFERROR(VLOOKUP(H90,DB_Agents!$B:$I,8,0),"")=I90,IF(C90&gt;=E90,"Successful","Unsuccessful"),"🔒 BLOCKED — Wrong Code")),"Pending")</f>
        <v>Pending</v>
      </c>
      <c r="K90" s="90" t="str">
        <f t="shared" ca="1" si="8"/>
        <v>—</v>
      </c>
      <c r="L90" s="91"/>
    </row>
    <row r="91" spans="1:12" ht="15" customHeight="1" x14ac:dyDescent="0.25">
      <c r="A91" s="76"/>
      <c r="B91" s="37" t="str">
        <f>IF(A91="","",IFERROR(VLOOKUP(A91,DB_Customers!$A:$D,4,0),"❌ Account Not Found"))</f>
        <v/>
      </c>
      <c r="C91" s="77" t="str">
        <f>IF(A91="","",IFERROR(VLOOKUP(A91,DB_Customers!$A:$N,14,0),"❌ Acct Not Found"))</f>
        <v/>
      </c>
      <c r="D91" s="78" t="str">
        <f t="shared" ca="1" si="6"/>
        <v/>
      </c>
      <c r="E91" s="94"/>
      <c r="F91" s="37"/>
      <c r="G91" s="95" t="str">
        <f t="shared" si="7"/>
        <v/>
      </c>
      <c r="H91" s="39" t="s">
        <v>137</v>
      </c>
      <c r="I91" s="81"/>
      <c r="J91" s="82" t="str">
        <f>IF(AND(A91&lt;&gt;"",E91&lt;&gt;""),IF(I91="","⚠️ Enter Code",IF(IFERROR(VLOOKUP(H91,DB_Agents!$B:$I,8,0),"")=I91,IF(C91&gt;=E91,"Successful","Unsuccessful"),"🔒 BLOCKED — Wrong Code")),"Pending")</f>
        <v>Pending</v>
      </c>
      <c r="K91" s="83" t="str">
        <f t="shared" ca="1" si="8"/>
        <v>—</v>
      </c>
      <c r="L91" s="84"/>
    </row>
    <row r="92" spans="1:12" ht="15" customHeight="1" x14ac:dyDescent="0.25">
      <c r="A92" s="85"/>
      <c r="B92" s="41" t="str">
        <f>IF(A92="","",IFERROR(VLOOKUP(A92,DB_Customers!$A:$D,4,0),"❌ Account Not Found"))</f>
        <v/>
      </c>
      <c r="C92" s="86" t="str">
        <f>IF(A92="","",IFERROR(VLOOKUP(A92,DB_Customers!$A:$N,14,0),"❌ Acct Not Found"))</f>
        <v/>
      </c>
      <c r="D92" s="87" t="str">
        <f t="shared" ca="1" si="6"/>
        <v/>
      </c>
      <c r="E92" s="94"/>
      <c r="F92" s="41"/>
      <c r="G92" s="96" t="str">
        <f t="shared" si="7"/>
        <v/>
      </c>
      <c r="H92" s="43" t="s">
        <v>137</v>
      </c>
      <c r="I92" s="81"/>
      <c r="J92" s="89" t="str">
        <f>IF(AND(A92&lt;&gt;"",E92&lt;&gt;""),IF(I92="","⚠️ Enter Code",IF(IFERROR(VLOOKUP(H92,DB_Agents!$B:$I,8,0),"")=I92,IF(C92&gt;=E92,"Successful","Unsuccessful"),"🔒 BLOCKED — Wrong Code")),"Pending")</f>
        <v>Pending</v>
      </c>
      <c r="K92" s="90" t="str">
        <f t="shared" ca="1" si="8"/>
        <v>—</v>
      </c>
      <c r="L92" s="91"/>
    </row>
    <row r="93" spans="1:12" ht="15" customHeight="1" x14ac:dyDescent="0.25">
      <c r="A93" s="76"/>
      <c r="B93" s="37" t="str">
        <f>IF(A93="","",IFERROR(VLOOKUP(A93,DB_Customers!$A:$D,4,0),"❌ Account Not Found"))</f>
        <v/>
      </c>
      <c r="C93" s="77" t="str">
        <f>IF(A93="","",IFERROR(VLOOKUP(A93,DB_Customers!$A:$N,14,0),"❌ Acct Not Found"))</f>
        <v/>
      </c>
      <c r="D93" s="78" t="str">
        <f t="shared" ca="1" si="6"/>
        <v/>
      </c>
      <c r="E93" s="94"/>
      <c r="F93" s="37"/>
      <c r="G93" s="95" t="str">
        <f t="shared" si="7"/>
        <v/>
      </c>
      <c r="H93" s="39" t="s">
        <v>137</v>
      </c>
      <c r="I93" s="81"/>
      <c r="J93" s="82" t="str">
        <f>IF(AND(A93&lt;&gt;"",E93&lt;&gt;""),IF(I93="","⚠️ Enter Code",IF(IFERROR(VLOOKUP(H93,DB_Agents!$B:$I,8,0),"")=I93,IF(C93&gt;=E93,"Successful","Unsuccessful"),"🔒 BLOCKED — Wrong Code")),"Pending")</f>
        <v>Pending</v>
      </c>
      <c r="K93" s="83" t="str">
        <f t="shared" ca="1" si="8"/>
        <v>—</v>
      </c>
      <c r="L93" s="84"/>
    </row>
    <row r="94" spans="1:12" ht="15" customHeight="1" x14ac:dyDescent="0.25">
      <c r="A94" s="85"/>
      <c r="B94" s="41" t="str">
        <f>IF(A94="","",IFERROR(VLOOKUP(A94,DB_Customers!$A:$D,4,0),"❌ Account Not Found"))</f>
        <v/>
      </c>
      <c r="C94" s="86" t="str">
        <f>IF(A94="","",IFERROR(VLOOKUP(A94,DB_Customers!$A:$N,14,0),"❌ Acct Not Found"))</f>
        <v/>
      </c>
      <c r="D94" s="87" t="str">
        <f t="shared" ca="1" si="6"/>
        <v/>
      </c>
      <c r="E94" s="94"/>
      <c r="F94" s="41"/>
      <c r="G94" s="96" t="str">
        <f t="shared" si="7"/>
        <v/>
      </c>
      <c r="H94" s="43" t="s">
        <v>137</v>
      </c>
      <c r="I94" s="81"/>
      <c r="J94" s="89" t="str">
        <f>IF(AND(A94&lt;&gt;"",E94&lt;&gt;""),IF(I94="","⚠️ Enter Code",IF(IFERROR(VLOOKUP(H94,DB_Agents!$B:$I,8,0),"")=I94,IF(C94&gt;=E94,"Successful","Unsuccessful"),"🔒 BLOCKED — Wrong Code")),"Pending")</f>
        <v>Pending</v>
      </c>
      <c r="K94" s="90" t="str">
        <f t="shared" ca="1" si="8"/>
        <v>—</v>
      </c>
      <c r="L94" s="91"/>
    </row>
    <row r="95" spans="1:12" ht="15" customHeight="1" x14ac:dyDescent="0.25">
      <c r="A95" s="76"/>
      <c r="B95" s="37" t="str">
        <f>IF(A95="","",IFERROR(VLOOKUP(A95,DB_Customers!$A:$D,4,0),"❌ Account Not Found"))</f>
        <v/>
      </c>
      <c r="C95" s="77" t="str">
        <f>IF(A95="","",IFERROR(VLOOKUP(A95,DB_Customers!$A:$N,14,0),"❌ Acct Not Found"))</f>
        <v/>
      </c>
      <c r="D95" s="78" t="str">
        <f t="shared" ca="1" si="6"/>
        <v/>
      </c>
      <c r="E95" s="94"/>
      <c r="F95" s="37"/>
      <c r="G95" s="95" t="str">
        <f t="shared" si="7"/>
        <v/>
      </c>
      <c r="H95" s="39" t="s">
        <v>137</v>
      </c>
      <c r="I95" s="81"/>
      <c r="J95" s="82" t="str">
        <f>IF(AND(A95&lt;&gt;"",E95&lt;&gt;""),IF(I95="","⚠️ Enter Code",IF(IFERROR(VLOOKUP(H95,DB_Agents!$B:$I,8,0),"")=I95,IF(C95&gt;=E95,"Successful","Unsuccessful"),"🔒 BLOCKED — Wrong Code")),"Pending")</f>
        <v>Pending</v>
      </c>
      <c r="K95" s="83" t="str">
        <f t="shared" ca="1" si="8"/>
        <v>—</v>
      </c>
      <c r="L95" s="84"/>
    </row>
    <row r="96" spans="1:12" ht="15" customHeight="1" x14ac:dyDescent="0.25">
      <c r="A96" s="85"/>
      <c r="B96" s="41" t="str">
        <f>IF(A96="","",IFERROR(VLOOKUP(A96,DB_Customers!$A:$D,4,0),"❌ Account Not Found"))</f>
        <v/>
      </c>
      <c r="C96" s="86" t="str">
        <f>IF(A96="","",IFERROR(VLOOKUP(A96,DB_Customers!$A:$N,14,0),"❌ Acct Not Found"))</f>
        <v/>
      </c>
      <c r="D96" s="87" t="str">
        <f t="shared" ca="1" si="6"/>
        <v/>
      </c>
      <c r="E96" s="94"/>
      <c r="F96" s="41"/>
      <c r="G96" s="96" t="str">
        <f t="shared" si="7"/>
        <v/>
      </c>
      <c r="H96" s="43" t="s">
        <v>137</v>
      </c>
      <c r="I96" s="81"/>
      <c r="J96" s="89" t="str">
        <f>IF(AND(A96&lt;&gt;"",E96&lt;&gt;""),IF(I96="","⚠️ Enter Code",IF(IFERROR(VLOOKUP(H96,DB_Agents!$B:$I,8,0),"")=I96,IF(C96&gt;=E96,"Successful","Unsuccessful"),"🔒 BLOCKED — Wrong Code")),"Pending")</f>
        <v>Pending</v>
      </c>
      <c r="K96" s="90" t="str">
        <f t="shared" ca="1" si="8"/>
        <v>—</v>
      </c>
      <c r="L96" s="91"/>
    </row>
    <row r="97" spans="1:12" ht="15" customHeight="1" x14ac:dyDescent="0.25">
      <c r="A97" s="76"/>
      <c r="B97" s="37" t="str">
        <f>IF(A97="","",IFERROR(VLOOKUP(A97,DB_Customers!$A:$D,4,0),"❌ Account Not Found"))</f>
        <v/>
      </c>
      <c r="C97" s="77" t="str">
        <f>IF(A97="","",IFERROR(VLOOKUP(A97,DB_Customers!$A:$N,14,0),"❌ Acct Not Found"))</f>
        <v/>
      </c>
      <c r="D97" s="78" t="str">
        <f t="shared" ca="1" si="6"/>
        <v/>
      </c>
      <c r="E97" s="94"/>
      <c r="F97" s="37"/>
      <c r="G97" s="95" t="str">
        <f t="shared" si="7"/>
        <v/>
      </c>
      <c r="H97" s="39" t="s">
        <v>137</v>
      </c>
      <c r="I97" s="81"/>
      <c r="J97" s="82" t="str">
        <f>IF(AND(A97&lt;&gt;"",E97&lt;&gt;""),IF(I97="","⚠️ Enter Code",IF(IFERROR(VLOOKUP(H97,DB_Agents!$B:$I,8,0),"")=I97,IF(C97&gt;=E97,"Successful","Unsuccessful"),"🔒 BLOCKED — Wrong Code")),"Pending")</f>
        <v>Pending</v>
      </c>
      <c r="K97" s="83" t="str">
        <f t="shared" ca="1" si="8"/>
        <v>—</v>
      </c>
      <c r="L97" s="84"/>
    </row>
    <row r="98" spans="1:12" ht="15" customHeight="1" x14ac:dyDescent="0.25">
      <c r="A98" s="85"/>
      <c r="B98" s="41" t="str">
        <f>IF(A98="","",IFERROR(VLOOKUP(A98,DB_Customers!$A:$D,4,0),"❌ Account Not Found"))</f>
        <v/>
      </c>
      <c r="C98" s="86" t="str">
        <f>IF(A98="","",IFERROR(VLOOKUP(A98,DB_Customers!$A:$N,14,0),"❌ Acct Not Found"))</f>
        <v/>
      </c>
      <c r="D98" s="87" t="str">
        <f t="shared" ca="1" si="6"/>
        <v/>
      </c>
      <c r="E98" s="94"/>
      <c r="F98" s="41"/>
      <c r="G98" s="96" t="str">
        <f t="shared" si="7"/>
        <v/>
      </c>
      <c r="H98" s="43" t="s">
        <v>137</v>
      </c>
      <c r="I98" s="81"/>
      <c r="J98" s="89" t="str">
        <f>IF(AND(A98&lt;&gt;"",E98&lt;&gt;""),IF(I98="","⚠️ Enter Code",IF(IFERROR(VLOOKUP(H98,DB_Agents!$B:$I,8,0),"")=I98,IF(C98&gt;=E98,"Successful","Unsuccessful"),"🔒 BLOCKED — Wrong Code")),"Pending")</f>
        <v>Pending</v>
      </c>
      <c r="K98" s="90" t="str">
        <f t="shared" ca="1" si="8"/>
        <v>—</v>
      </c>
      <c r="L98" s="91"/>
    </row>
    <row r="99" spans="1:12" ht="15" customHeight="1" x14ac:dyDescent="0.25">
      <c r="A99" s="76"/>
      <c r="B99" s="37" t="str">
        <f>IF(A99="","",IFERROR(VLOOKUP(A99,DB_Customers!$A:$D,4,0),"❌ Account Not Found"))</f>
        <v/>
      </c>
      <c r="C99" s="77" t="str">
        <f>IF(A99="","",IFERROR(VLOOKUP(A99,DB_Customers!$A:$N,14,0),"❌ Acct Not Found"))</f>
        <v/>
      </c>
      <c r="D99" s="78" t="str">
        <f t="shared" ca="1" si="6"/>
        <v/>
      </c>
      <c r="E99" s="94"/>
      <c r="F99" s="37"/>
      <c r="G99" s="95" t="str">
        <f t="shared" si="7"/>
        <v/>
      </c>
      <c r="H99" s="39" t="s">
        <v>137</v>
      </c>
      <c r="I99" s="81"/>
      <c r="J99" s="82" t="str">
        <f>IF(AND(A99&lt;&gt;"",E99&lt;&gt;""),IF(I99="","⚠️ Enter Code",IF(IFERROR(VLOOKUP(H99,DB_Agents!$B:$I,8,0),"")=I99,IF(C99&gt;=E99,"Successful","Unsuccessful"),"🔒 BLOCKED — Wrong Code")),"Pending")</f>
        <v>Pending</v>
      </c>
      <c r="K99" s="83" t="str">
        <f t="shared" ca="1" si="8"/>
        <v>—</v>
      </c>
      <c r="L99" s="84"/>
    </row>
    <row r="100" spans="1:12" ht="15" customHeight="1" x14ac:dyDescent="0.25">
      <c r="A100" s="85"/>
      <c r="B100" s="41" t="str">
        <f>IF(A100="","",IFERROR(VLOOKUP(A100,DB_Customers!$A:$D,4,0),"❌ Account Not Found"))</f>
        <v/>
      </c>
      <c r="C100" s="86" t="str">
        <f>IF(A100="","",IFERROR(VLOOKUP(A100,DB_Customers!$A:$N,14,0),"❌ Acct Not Found"))</f>
        <v/>
      </c>
      <c r="D100" s="87" t="str">
        <f t="shared" ca="1" si="6"/>
        <v/>
      </c>
      <c r="E100" s="94"/>
      <c r="F100" s="41"/>
      <c r="G100" s="96" t="str">
        <f t="shared" si="7"/>
        <v/>
      </c>
      <c r="H100" s="43" t="s">
        <v>137</v>
      </c>
      <c r="I100" s="81"/>
      <c r="J100" s="89" t="str">
        <f>IF(AND(A100&lt;&gt;"",E100&lt;&gt;""),IF(I100="","⚠️ Enter Code",IF(IFERROR(VLOOKUP(H100,DB_Agents!$B:$I,8,0),"")=I100,IF(C100&gt;=E100,"Successful","Unsuccessful"),"🔒 BLOCKED — Wrong Code")),"Pending")</f>
        <v>Pending</v>
      </c>
      <c r="K100" s="90" t="str">
        <f t="shared" ca="1" si="8"/>
        <v>—</v>
      </c>
      <c r="L100" s="91"/>
    </row>
    <row r="101" spans="1:12" ht="15" customHeight="1" x14ac:dyDescent="0.25">
      <c r="A101" s="76"/>
      <c r="B101" s="37" t="str">
        <f>IF(A101="","",IFERROR(VLOOKUP(A101,DB_Customers!$A:$D,4,0),"❌ Account Not Found"))</f>
        <v/>
      </c>
      <c r="C101" s="77" t="str">
        <f>IF(A101="","",IFERROR(VLOOKUP(A101,DB_Customers!$A:$N,14,0),"❌ Acct Not Found"))</f>
        <v/>
      </c>
      <c r="D101" s="78" t="str">
        <f t="shared" ca="1" si="6"/>
        <v/>
      </c>
      <c r="E101" s="94"/>
      <c r="F101" s="37"/>
      <c r="G101" s="95" t="str">
        <f t="shared" si="7"/>
        <v/>
      </c>
      <c r="H101" s="39" t="s">
        <v>137</v>
      </c>
      <c r="I101" s="81"/>
      <c r="J101" s="82" t="str">
        <f>IF(AND(A101&lt;&gt;"",E101&lt;&gt;""),IF(I101="","⚠️ Enter Code",IF(IFERROR(VLOOKUP(H101,DB_Agents!$B:$I,8,0),"")=I101,IF(C101&gt;=E101,"Successful","Unsuccessful"),"🔒 BLOCKED — Wrong Code")),"Pending")</f>
        <v>Pending</v>
      </c>
      <c r="K101" s="83" t="str">
        <f t="shared" ca="1" si="8"/>
        <v>—</v>
      </c>
      <c r="L101" s="84"/>
    </row>
    <row r="102" spans="1:12" ht="15" customHeight="1" x14ac:dyDescent="0.25">
      <c r="A102" s="85"/>
      <c r="B102" s="41" t="str">
        <f>IF(A102="","",IFERROR(VLOOKUP(A102,DB_Customers!$A:$D,4,0),"❌ Account Not Found"))</f>
        <v/>
      </c>
      <c r="C102" s="86" t="str">
        <f>IF(A102="","",IFERROR(VLOOKUP(A102,DB_Customers!$A:$N,14,0),"❌ Acct Not Found"))</f>
        <v/>
      </c>
      <c r="D102" s="87" t="str">
        <f t="shared" ca="1" si="6"/>
        <v/>
      </c>
      <c r="E102" s="94"/>
      <c r="F102" s="41"/>
      <c r="G102" s="96" t="str">
        <f t="shared" si="7"/>
        <v/>
      </c>
      <c r="H102" s="43" t="s">
        <v>137</v>
      </c>
      <c r="I102" s="81"/>
      <c r="J102" s="89" t="str">
        <f>IF(AND(A102&lt;&gt;"",E102&lt;&gt;""),IF(I102="","⚠️ Enter Code",IF(IFERROR(VLOOKUP(H102,DB_Agents!$B:$I,8,0),"")=I102,IF(C102&gt;=E102,"Successful","Unsuccessful"),"🔒 BLOCKED — Wrong Code")),"Pending")</f>
        <v>Pending</v>
      </c>
      <c r="K102" s="90" t="str">
        <f t="shared" ca="1" si="8"/>
        <v>—</v>
      </c>
      <c r="L102" s="91"/>
    </row>
    <row r="103" spans="1:12" ht="15" customHeight="1" x14ac:dyDescent="0.25">
      <c r="A103" s="76"/>
      <c r="B103" s="37" t="str">
        <f>IF(A103="","",IFERROR(VLOOKUP(A103,DB_Customers!$A:$D,4,0),"❌ Account Not Found"))</f>
        <v/>
      </c>
      <c r="C103" s="77" t="str">
        <f>IF(A103="","",IFERROR(VLOOKUP(A103,DB_Customers!$A:$N,14,0),"❌ Acct Not Found"))</f>
        <v/>
      </c>
      <c r="D103" s="78" t="str">
        <f t="shared" ca="1" si="6"/>
        <v/>
      </c>
      <c r="E103" s="94"/>
      <c r="F103" s="37"/>
      <c r="G103" s="95" t="str">
        <f t="shared" si="7"/>
        <v/>
      </c>
      <c r="H103" s="39" t="s">
        <v>137</v>
      </c>
      <c r="I103" s="81"/>
      <c r="J103" s="82" t="str">
        <f>IF(AND(A103&lt;&gt;"",E103&lt;&gt;""),IF(I103="","⚠️ Enter Code",IF(IFERROR(VLOOKUP(H103,DB_Agents!$B:$I,8,0),"")=I103,IF(C103&gt;=E103,"Successful","Unsuccessful"),"🔒 BLOCKED — Wrong Code")),"Pending")</f>
        <v>Pending</v>
      </c>
      <c r="K103" s="83" t="str">
        <f t="shared" ca="1" si="8"/>
        <v>—</v>
      </c>
      <c r="L103" s="84"/>
    </row>
    <row r="104" spans="1:12" ht="15" customHeight="1" x14ac:dyDescent="0.25">
      <c r="A104" s="85"/>
      <c r="B104" s="41" t="str">
        <f>IF(A104="","",IFERROR(VLOOKUP(A104,DB_Customers!$A:$D,4,0),"❌ Account Not Found"))</f>
        <v/>
      </c>
      <c r="C104" s="86" t="str">
        <f>IF(A104="","",IFERROR(VLOOKUP(A104,DB_Customers!$A:$N,14,0),"❌ Acct Not Found"))</f>
        <v/>
      </c>
      <c r="D104" s="87" t="str">
        <f t="shared" ca="1" si="6"/>
        <v/>
      </c>
      <c r="E104" s="94"/>
      <c r="F104" s="41"/>
      <c r="G104" s="96" t="str">
        <f t="shared" si="7"/>
        <v/>
      </c>
      <c r="H104" s="43" t="s">
        <v>137</v>
      </c>
      <c r="I104" s="81"/>
      <c r="J104" s="89" t="str">
        <f>IF(AND(A104&lt;&gt;"",E104&lt;&gt;""),IF(I104="","⚠️ Enter Code",IF(IFERROR(VLOOKUP(H104,DB_Agents!$B:$I,8,0),"")=I104,IF(C104&gt;=E104,"Successful","Unsuccessful"),"🔒 BLOCKED — Wrong Code")),"Pending")</f>
        <v>Pending</v>
      </c>
      <c r="K104" s="90" t="str">
        <f t="shared" ca="1" si="8"/>
        <v>—</v>
      </c>
      <c r="L104" s="91"/>
    </row>
    <row r="105" spans="1:12" ht="15" customHeight="1" x14ac:dyDescent="0.25">
      <c r="A105" s="76"/>
      <c r="B105" s="37" t="str">
        <f>IF(A105="","",IFERROR(VLOOKUP(A105,DB_Customers!$A:$D,4,0),"❌ Account Not Found"))</f>
        <v/>
      </c>
      <c r="C105" s="77" t="str">
        <f>IF(A105="","",IFERROR(VLOOKUP(A105,DB_Customers!$A:$N,14,0),"❌ Acct Not Found"))</f>
        <v/>
      </c>
      <c r="D105" s="78" t="str">
        <f t="shared" ref="D105:D136" ca="1" si="9">IF(A105="","",TODAY())</f>
        <v/>
      </c>
      <c r="E105" s="94"/>
      <c r="F105" s="37"/>
      <c r="G105" s="95" t="str">
        <f t="shared" ref="G105:G136" si="10">IF(OR(A105="",E105=""),"",IF(C105="","",C105-E105))</f>
        <v/>
      </c>
      <c r="H105" s="39" t="s">
        <v>137</v>
      </c>
      <c r="I105" s="81"/>
      <c r="J105" s="82" t="str">
        <f>IF(AND(A105&lt;&gt;"",E105&lt;&gt;""),IF(I105="","⚠️ Enter Code",IF(IFERROR(VLOOKUP(H105,DB_Agents!$B:$I,8,0),"")=I105,IF(C105&gt;=E105,"Successful","Unsuccessful"),"🔒 BLOCKED — Wrong Code")),"Pending")</f>
        <v>Pending</v>
      </c>
      <c r="K105" s="83" t="str">
        <f t="shared" ref="K105:K136" ca="1" si="11">IF(J105="Successful",TEXT(TODAY(),"YYYY-MM-DD")&amp;" Auto","—")</f>
        <v>—</v>
      </c>
      <c r="L105" s="84"/>
    </row>
    <row r="106" spans="1:12" ht="15" customHeight="1" x14ac:dyDescent="0.25">
      <c r="A106" s="85"/>
      <c r="B106" s="41" t="str">
        <f>IF(A106="","",IFERROR(VLOOKUP(A106,DB_Customers!$A:$D,4,0),"❌ Account Not Found"))</f>
        <v/>
      </c>
      <c r="C106" s="86" t="str">
        <f>IF(A106="","",IFERROR(VLOOKUP(A106,DB_Customers!$A:$N,14,0),"❌ Acct Not Found"))</f>
        <v/>
      </c>
      <c r="D106" s="87" t="str">
        <f t="shared" ca="1" si="9"/>
        <v/>
      </c>
      <c r="E106" s="94"/>
      <c r="F106" s="41"/>
      <c r="G106" s="96" t="str">
        <f t="shared" si="10"/>
        <v/>
      </c>
      <c r="H106" s="43" t="s">
        <v>137</v>
      </c>
      <c r="I106" s="81"/>
      <c r="J106" s="89" t="str">
        <f>IF(AND(A106&lt;&gt;"",E106&lt;&gt;""),IF(I106="","⚠️ Enter Code",IF(IFERROR(VLOOKUP(H106,DB_Agents!$B:$I,8,0),"")=I106,IF(C106&gt;=E106,"Successful","Unsuccessful"),"🔒 BLOCKED — Wrong Code")),"Pending")</f>
        <v>Pending</v>
      </c>
      <c r="K106" s="90" t="str">
        <f t="shared" ca="1" si="11"/>
        <v>—</v>
      </c>
      <c r="L106" s="91"/>
    </row>
    <row r="107" spans="1:12" ht="15" customHeight="1" x14ac:dyDescent="0.25">
      <c r="A107" s="76"/>
      <c r="B107" s="37" t="str">
        <f>IF(A107="","",IFERROR(VLOOKUP(A107,DB_Customers!$A:$D,4,0),"❌ Account Not Found"))</f>
        <v/>
      </c>
      <c r="C107" s="77" t="str">
        <f>IF(A107="","",IFERROR(VLOOKUP(A107,DB_Customers!$A:$N,14,0),"❌ Acct Not Found"))</f>
        <v/>
      </c>
      <c r="D107" s="78" t="str">
        <f t="shared" ca="1" si="9"/>
        <v/>
      </c>
      <c r="E107" s="94"/>
      <c r="F107" s="37"/>
      <c r="G107" s="95" t="str">
        <f t="shared" si="10"/>
        <v/>
      </c>
      <c r="H107" s="39" t="s">
        <v>137</v>
      </c>
      <c r="I107" s="81"/>
      <c r="J107" s="82" t="str">
        <f>IF(AND(A107&lt;&gt;"",E107&lt;&gt;""),IF(I107="","⚠️ Enter Code",IF(IFERROR(VLOOKUP(H107,DB_Agents!$B:$I,8,0),"")=I107,IF(C107&gt;=E107,"Successful","Unsuccessful"),"🔒 BLOCKED — Wrong Code")),"Pending")</f>
        <v>Pending</v>
      </c>
      <c r="K107" s="83" t="str">
        <f t="shared" ca="1" si="11"/>
        <v>—</v>
      </c>
      <c r="L107" s="84"/>
    </row>
    <row r="108" spans="1:12" ht="15" customHeight="1" x14ac:dyDescent="0.25">
      <c r="A108" s="85"/>
      <c r="B108" s="41" t="str">
        <f>IF(A108="","",IFERROR(VLOOKUP(A108,DB_Customers!$A:$D,4,0),"❌ Account Not Found"))</f>
        <v/>
      </c>
      <c r="C108" s="86" t="str">
        <f>IF(A108="","",IFERROR(VLOOKUP(A108,DB_Customers!$A:$N,14,0),"❌ Acct Not Found"))</f>
        <v/>
      </c>
      <c r="D108" s="87" t="str">
        <f t="shared" ca="1" si="9"/>
        <v/>
      </c>
      <c r="E108" s="94"/>
      <c r="F108" s="41"/>
      <c r="G108" s="96" t="str">
        <f t="shared" si="10"/>
        <v/>
      </c>
      <c r="H108" s="43" t="s">
        <v>137</v>
      </c>
      <c r="I108" s="81"/>
      <c r="J108" s="89" t="str">
        <f>IF(AND(A108&lt;&gt;"",E108&lt;&gt;""),IF(I108="","⚠️ Enter Code",IF(IFERROR(VLOOKUP(H108,DB_Agents!$B:$I,8,0),"")=I108,IF(C108&gt;=E108,"Successful","Unsuccessful"),"🔒 BLOCKED — Wrong Code")),"Pending")</f>
        <v>Pending</v>
      </c>
      <c r="K108" s="90" t="str">
        <f t="shared" ca="1" si="11"/>
        <v>—</v>
      </c>
      <c r="L108" s="91"/>
    </row>
    <row r="109" spans="1:12" ht="15" customHeight="1" x14ac:dyDescent="0.25">
      <c r="A109" s="76"/>
      <c r="B109" s="37" t="str">
        <f>IF(A109="","",IFERROR(VLOOKUP(A109,DB_Customers!$A:$D,4,0),"❌ Account Not Found"))</f>
        <v/>
      </c>
      <c r="C109" s="77" t="str">
        <f>IF(A109="","",IFERROR(VLOOKUP(A109,DB_Customers!$A:$N,14,0),"❌ Acct Not Found"))</f>
        <v/>
      </c>
      <c r="D109" s="78" t="str">
        <f t="shared" ca="1" si="9"/>
        <v/>
      </c>
      <c r="E109" s="94"/>
      <c r="F109" s="37"/>
      <c r="G109" s="95" t="str">
        <f t="shared" si="10"/>
        <v/>
      </c>
      <c r="H109" s="39" t="s">
        <v>137</v>
      </c>
      <c r="I109" s="81"/>
      <c r="J109" s="82" t="str">
        <f>IF(AND(A109&lt;&gt;"",E109&lt;&gt;""),IF(I109="","⚠️ Enter Code",IF(IFERROR(VLOOKUP(H109,DB_Agents!$B:$I,8,0),"")=I109,IF(C109&gt;=E109,"Successful","Unsuccessful"),"🔒 BLOCKED — Wrong Code")),"Pending")</f>
        <v>Pending</v>
      </c>
      <c r="K109" s="83" t="str">
        <f t="shared" ca="1" si="11"/>
        <v>—</v>
      </c>
      <c r="L109" s="84"/>
    </row>
    <row r="110" spans="1:12" ht="15" customHeight="1" x14ac:dyDescent="0.25">
      <c r="A110" s="85"/>
      <c r="B110" s="41" t="str">
        <f>IF(A110="","",IFERROR(VLOOKUP(A110,DB_Customers!$A:$D,4,0),"❌ Account Not Found"))</f>
        <v/>
      </c>
      <c r="C110" s="86" t="str">
        <f>IF(A110="","",IFERROR(VLOOKUP(A110,DB_Customers!$A:$N,14,0),"❌ Acct Not Found"))</f>
        <v/>
      </c>
      <c r="D110" s="87" t="str">
        <f t="shared" ca="1" si="9"/>
        <v/>
      </c>
      <c r="E110" s="94"/>
      <c r="F110" s="41"/>
      <c r="G110" s="96" t="str">
        <f t="shared" si="10"/>
        <v/>
      </c>
      <c r="H110" s="43" t="s">
        <v>137</v>
      </c>
      <c r="I110" s="81"/>
      <c r="J110" s="89" t="str">
        <f>IF(AND(A110&lt;&gt;"",E110&lt;&gt;""),IF(I110="","⚠️ Enter Code",IF(IFERROR(VLOOKUP(H110,DB_Agents!$B:$I,8,0),"")=I110,IF(C110&gt;=E110,"Successful","Unsuccessful"),"🔒 BLOCKED — Wrong Code")),"Pending")</f>
        <v>Pending</v>
      </c>
      <c r="K110" s="90" t="str">
        <f t="shared" ca="1" si="11"/>
        <v>—</v>
      </c>
      <c r="L110" s="91"/>
    </row>
    <row r="111" spans="1:12" ht="15" customHeight="1" x14ac:dyDescent="0.25">
      <c r="A111" s="76"/>
      <c r="B111" s="37" t="str">
        <f>IF(A111="","",IFERROR(VLOOKUP(A111,DB_Customers!$A:$D,4,0),"❌ Account Not Found"))</f>
        <v/>
      </c>
      <c r="C111" s="77" t="str">
        <f>IF(A111="","",IFERROR(VLOOKUP(A111,DB_Customers!$A:$N,14,0),"❌ Acct Not Found"))</f>
        <v/>
      </c>
      <c r="D111" s="78" t="str">
        <f t="shared" ca="1" si="9"/>
        <v/>
      </c>
      <c r="E111" s="94"/>
      <c r="F111" s="37"/>
      <c r="G111" s="95" t="str">
        <f t="shared" si="10"/>
        <v/>
      </c>
      <c r="H111" s="39" t="s">
        <v>137</v>
      </c>
      <c r="I111" s="81"/>
      <c r="J111" s="82" t="str">
        <f>IF(AND(A111&lt;&gt;"",E111&lt;&gt;""),IF(I111="","⚠️ Enter Code",IF(IFERROR(VLOOKUP(H111,DB_Agents!$B:$I,8,0),"")=I111,IF(C111&gt;=E111,"Successful","Unsuccessful"),"🔒 BLOCKED — Wrong Code")),"Pending")</f>
        <v>Pending</v>
      </c>
      <c r="K111" s="83" t="str">
        <f t="shared" ca="1" si="11"/>
        <v>—</v>
      </c>
      <c r="L111" s="84"/>
    </row>
    <row r="112" spans="1:12" ht="15" customHeight="1" x14ac:dyDescent="0.25">
      <c r="A112" s="85"/>
      <c r="B112" s="41" t="str">
        <f>IF(A112="","",IFERROR(VLOOKUP(A112,DB_Customers!$A:$D,4,0),"❌ Account Not Found"))</f>
        <v/>
      </c>
      <c r="C112" s="86" t="str">
        <f>IF(A112="","",IFERROR(VLOOKUP(A112,DB_Customers!$A:$N,14,0),"❌ Acct Not Found"))</f>
        <v/>
      </c>
      <c r="D112" s="87" t="str">
        <f t="shared" ca="1" si="9"/>
        <v/>
      </c>
      <c r="E112" s="94"/>
      <c r="F112" s="41"/>
      <c r="G112" s="96" t="str">
        <f t="shared" si="10"/>
        <v/>
      </c>
      <c r="H112" s="43" t="s">
        <v>137</v>
      </c>
      <c r="I112" s="81"/>
      <c r="J112" s="89" t="str">
        <f>IF(AND(A112&lt;&gt;"",E112&lt;&gt;""),IF(I112="","⚠️ Enter Code",IF(IFERROR(VLOOKUP(H112,DB_Agents!$B:$I,8,0),"")=I112,IF(C112&gt;=E112,"Successful","Unsuccessful"),"🔒 BLOCKED — Wrong Code")),"Pending")</f>
        <v>Pending</v>
      </c>
      <c r="K112" s="90" t="str">
        <f t="shared" ca="1" si="11"/>
        <v>—</v>
      </c>
      <c r="L112" s="91"/>
    </row>
    <row r="113" spans="1:12" ht="15" customHeight="1" x14ac:dyDescent="0.25">
      <c r="A113" s="76"/>
      <c r="B113" s="37" t="str">
        <f>IF(A113="","",IFERROR(VLOOKUP(A113,DB_Customers!$A:$D,4,0),"❌ Account Not Found"))</f>
        <v/>
      </c>
      <c r="C113" s="77" t="str">
        <f>IF(A113="","",IFERROR(VLOOKUP(A113,DB_Customers!$A:$N,14,0),"❌ Acct Not Found"))</f>
        <v/>
      </c>
      <c r="D113" s="78" t="str">
        <f t="shared" ca="1" si="9"/>
        <v/>
      </c>
      <c r="E113" s="94"/>
      <c r="F113" s="37"/>
      <c r="G113" s="95" t="str">
        <f t="shared" si="10"/>
        <v/>
      </c>
      <c r="H113" s="39" t="s">
        <v>137</v>
      </c>
      <c r="I113" s="81"/>
      <c r="J113" s="82" t="str">
        <f>IF(AND(A113&lt;&gt;"",E113&lt;&gt;""),IF(I113="","⚠️ Enter Code",IF(IFERROR(VLOOKUP(H113,DB_Agents!$B:$I,8,0),"")=I113,IF(C113&gt;=E113,"Successful","Unsuccessful"),"🔒 BLOCKED — Wrong Code")),"Pending")</f>
        <v>Pending</v>
      </c>
      <c r="K113" s="83" t="str">
        <f t="shared" ca="1" si="11"/>
        <v>—</v>
      </c>
      <c r="L113" s="84"/>
    </row>
    <row r="114" spans="1:12" ht="15" customHeight="1" x14ac:dyDescent="0.25">
      <c r="A114" s="85"/>
      <c r="B114" s="41" t="str">
        <f>IF(A114="","",IFERROR(VLOOKUP(A114,DB_Customers!$A:$D,4,0),"❌ Account Not Found"))</f>
        <v/>
      </c>
      <c r="C114" s="86" t="str">
        <f>IF(A114="","",IFERROR(VLOOKUP(A114,DB_Customers!$A:$N,14,0),"❌ Acct Not Found"))</f>
        <v/>
      </c>
      <c r="D114" s="87" t="str">
        <f t="shared" ca="1" si="9"/>
        <v/>
      </c>
      <c r="E114" s="94"/>
      <c r="F114" s="41"/>
      <c r="G114" s="96" t="str">
        <f t="shared" si="10"/>
        <v/>
      </c>
      <c r="H114" s="43" t="s">
        <v>137</v>
      </c>
      <c r="I114" s="81"/>
      <c r="J114" s="89" t="str">
        <f>IF(AND(A114&lt;&gt;"",E114&lt;&gt;""),IF(I114="","⚠️ Enter Code",IF(IFERROR(VLOOKUP(H114,DB_Agents!$B:$I,8,0),"")=I114,IF(C114&gt;=E114,"Successful","Unsuccessful"),"🔒 BLOCKED — Wrong Code")),"Pending")</f>
        <v>Pending</v>
      </c>
      <c r="K114" s="90" t="str">
        <f t="shared" ca="1" si="11"/>
        <v>—</v>
      </c>
      <c r="L114" s="91"/>
    </row>
    <row r="115" spans="1:12" ht="15" customHeight="1" x14ac:dyDescent="0.25">
      <c r="A115" s="76"/>
      <c r="B115" s="37" t="str">
        <f>IF(A115="","",IFERROR(VLOOKUP(A115,DB_Customers!$A:$D,4,0),"❌ Account Not Found"))</f>
        <v/>
      </c>
      <c r="C115" s="77" t="str">
        <f>IF(A115="","",IFERROR(VLOOKUP(A115,DB_Customers!$A:$N,14,0),"❌ Acct Not Found"))</f>
        <v/>
      </c>
      <c r="D115" s="78" t="str">
        <f t="shared" ca="1" si="9"/>
        <v/>
      </c>
      <c r="E115" s="94"/>
      <c r="F115" s="37"/>
      <c r="G115" s="95" t="str">
        <f t="shared" si="10"/>
        <v/>
      </c>
      <c r="H115" s="39" t="s">
        <v>137</v>
      </c>
      <c r="I115" s="81"/>
      <c r="J115" s="82" t="str">
        <f>IF(AND(A115&lt;&gt;"",E115&lt;&gt;""),IF(I115="","⚠️ Enter Code",IF(IFERROR(VLOOKUP(H115,DB_Agents!$B:$I,8,0),"")=I115,IF(C115&gt;=E115,"Successful","Unsuccessful"),"🔒 BLOCKED — Wrong Code")),"Pending")</f>
        <v>Pending</v>
      </c>
      <c r="K115" s="83" t="str">
        <f t="shared" ca="1" si="11"/>
        <v>—</v>
      </c>
      <c r="L115" s="84"/>
    </row>
    <row r="116" spans="1:12" ht="15" customHeight="1" x14ac:dyDescent="0.25">
      <c r="A116" s="85"/>
      <c r="B116" s="41" t="str">
        <f>IF(A116="","",IFERROR(VLOOKUP(A116,DB_Customers!$A:$D,4,0),"❌ Account Not Found"))</f>
        <v/>
      </c>
      <c r="C116" s="86" t="str">
        <f>IF(A116="","",IFERROR(VLOOKUP(A116,DB_Customers!$A:$N,14,0),"❌ Acct Not Found"))</f>
        <v/>
      </c>
      <c r="D116" s="87" t="str">
        <f t="shared" ca="1" si="9"/>
        <v/>
      </c>
      <c r="E116" s="94"/>
      <c r="F116" s="41"/>
      <c r="G116" s="96" t="str">
        <f t="shared" si="10"/>
        <v/>
      </c>
      <c r="H116" s="43" t="s">
        <v>137</v>
      </c>
      <c r="I116" s="81"/>
      <c r="J116" s="89" t="str">
        <f>IF(AND(A116&lt;&gt;"",E116&lt;&gt;""),IF(I116="","⚠️ Enter Code",IF(IFERROR(VLOOKUP(H116,DB_Agents!$B:$I,8,0),"")=I116,IF(C116&gt;=E116,"Successful","Unsuccessful"),"🔒 BLOCKED — Wrong Code")),"Pending")</f>
        <v>Pending</v>
      </c>
      <c r="K116" s="90" t="str">
        <f t="shared" ca="1" si="11"/>
        <v>—</v>
      </c>
      <c r="L116" s="91"/>
    </row>
    <row r="117" spans="1:12" ht="15" customHeight="1" x14ac:dyDescent="0.25">
      <c r="A117" s="76"/>
      <c r="B117" s="37" t="str">
        <f>IF(A117="","",IFERROR(VLOOKUP(A117,DB_Customers!$A:$D,4,0),"❌ Account Not Found"))</f>
        <v/>
      </c>
      <c r="C117" s="77" t="str">
        <f>IF(A117="","",IFERROR(VLOOKUP(A117,DB_Customers!$A:$N,14,0),"❌ Acct Not Found"))</f>
        <v/>
      </c>
      <c r="D117" s="78" t="str">
        <f t="shared" ca="1" si="9"/>
        <v/>
      </c>
      <c r="E117" s="94"/>
      <c r="F117" s="37"/>
      <c r="G117" s="95" t="str">
        <f t="shared" si="10"/>
        <v/>
      </c>
      <c r="H117" s="39" t="s">
        <v>137</v>
      </c>
      <c r="I117" s="81"/>
      <c r="J117" s="82" t="str">
        <f>IF(AND(A117&lt;&gt;"",E117&lt;&gt;""),IF(I117="","⚠️ Enter Code",IF(IFERROR(VLOOKUP(H117,DB_Agents!$B:$I,8,0),"")=I117,IF(C117&gt;=E117,"Successful","Unsuccessful"),"🔒 BLOCKED — Wrong Code")),"Pending")</f>
        <v>Pending</v>
      </c>
      <c r="K117" s="83" t="str">
        <f t="shared" ca="1" si="11"/>
        <v>—</v>
      </c>
      <c r="L117" s="84"/>
    </row>
    <row r="118" spans="1:12" ht="15" customHeight="1" x14ac:dyDescent="0.25">
      <c r="A118" s="85"/>
      <c r="B118" s="41" t="str">
        <f>IF(A118="","",IFERROR(VLOOKUP(A118,DB_Customers!$A:$D,4,0),"❌ Account Not Found"))</f>
        <v/>
      </c>
      <c r="C118" s="86" t="str">
        <f>IF(A118="","",IFERROR(VLOOKUP(A118,DB_Customers!$A:$N,14,0),"❌ Acct Not Found"))</f>
        <v/>
      </c>
      <c r="D118" s="87" t="str">
        <f t="shared" ca="1" si="9"/>
        <v/>
      </c>
      <c r="E118" s="94"/>
      <c r="F118" s="41"/>
      <c r="G118" s="96" t="str">
        <f t="shared" si="10"/>
        <v/>
      </c>
      <c r="H118" s="43" t="s">
        <v>137</v>
      </c>
      <c r="I118" s="81"/>
      <c r="J118" s="89" t="str">
        <f>IF(AND(A118&lt;&gt;"",E118&lt;&gt;""),IF(I118="","⚠️ Enter Code",IF(IFERROR(VLOOKUP(H118,DB_Agents!$B:$I,8,0),"")=I118,IF(C118&gt;=E118,"Successful","Unsuccessful"),"🔒 BLOCKED — Wrong Code")),"Pending")</f>
        <v>Pending</v>
      </c>
      <c r="K118" s="90" t="str">
        <f t="shared" ca="1" si="11"/>
        <v>—</v>
      </c>
      <c r="L118" s="91"/>
    </row>
    <row r="119" spans="1:12" ht="15" customHeight="1" x14ac:dyDescent="0.25">
      <c r="A119" s="76"/>
      <c r="B119" s="37" t="str">
        <f>IF(A119="","",IFERROR(VLOOKUP(A119,DB_Customers!$A:$D,4,0),"❌ Account Not Found"))</f>
        <v/>
      </c>
      <c r="C119" s="77" t="str">
        <f>IF(A119="","",IFERROR(VLOOKUP(A119,DB_Customers!$A:$N,14,0),"❌ Acct Not Found"))</f>
        <v/>
      </c>
      <c r="D119" s="78" t="str">
        <f t="shared" ca="1" si="9"/>
        <v/>
      </c>
      <c r="E119" s="94"/>
      <c r="F119" s="37"/>
      <c r="G119" s="95" t="str">
        <f t="shared" si="10"/>
        <v/>
      </c>
      <c r="H119" s="39" t="s">
        <v>137</v>
      </c>
      <c r="I119" s="81"/>
      <c r="J119" s="82" t="str">
        <f>IF(AND(A119&lt;&gt;"",E119&lt;&gt;""),IF(I119="","⚠️ Enter Code",IF(IFERROR(VLOOKUP(H119,DB_Agents!$B:$I,8,0),"")=I119,IF(C119&gt;=E119,"Successful","Unsuccessful"),"🔒 BLOCKED — Wrong Code")),"Pending")</f>
        <v>Pending</v>
      </c>
      <c r="K119" s="83" t="str">
        <f t="shared" ca="1" si="11"/>
        <v>—</v>
      </c>
      <c r="L119" s="84"/>
    </row>
    <row r="120" spans="1:12" ht="15" customHeight="1" x14ac:dyDescent="0.25">
      <c r="A120" s="85"/>
      <c r="B120" s="41" t="str">
        <f>IF(A120="","",IFERROR(VLOOKUP(A120,DB_Customers!$A:$D,4,0),"❌ Account Not Found"))</f>
        <v/>
      </c>
      <c r="C120" s="86" t="str">
        <f>IF(A120="","",IFERROR(VLOOKUP(A120,DB_Customers!$A:$N,14,0),"❌ Acct Not Found"))</f>
        <v/>
      </c>
      <c r="D120" s="87" t="str">
        <f t="shared" ca="1" si="9"/>
        <v/>
      </c>
      <c r="E120" s="94"/>
      <c r="F120" s="41"/>
      <c r="G120" s="96" t="str">
        <f t="shared" si="10"/>
        <v/>
      </c>
      <c r="H120" s="43" t="s">
        <v>137</v>
      </c>
      <c r="I120" s="81"/>
      <c r="J120" s="89" t="str">
        <f>IF(AND(A120&lt;&gt;"",E120&lt;&gt;""),IF(I120="","⚠️ Enter Code",IF(IFERROR(VLOOKUP(H120,DB_Agents!$B:$I,8,0),"")=I120,IF(C120&gt;=E120,"Successful","Unsuccessful"),"🔒 BLOCKED — Wrong Code")),"Pending")</f>
        <v>Pending</v>
      </c>
      <c r="K120" s="90" t="str">
        <f t="shared" ca="1" si="11"/>
        <v>—</v>
      </c>
      <c r="L120" s="91"/>
    </row>
    <row r="121" spans="1:12" ht="15" customHeight="1" x14ac:dyDescent="0.25">
      <c r="A121" s="76"/>
      <c r="B121" s="37" t="str">
        <f>IF(A121="","",IFERROR(VLOOKUP(A121,DB_Customers!$A:$D,4,0),"❌ Account Not Found"))</f>
        <v/>
      </c>
      <c r="C121" s="77" t="str">
        <f>IF(A121="","",IFERROR(VLOOKUP(A121,DB_Customers!$A:$N,14,0),"❌ Acct Not Found"))</f>
        <v/>
      </c>
      <c r="D121" s="78" t="str">
        <f t="shared" ca="1" si="9"/>
        <v/>
      </c>
      <c r="E121" s="94"/>
      <c r="F121" s="37"/>
      <c r="G121" s="95" t="str">
        <f t="shared" si="10"/>
        <v/>
      </c>
      <c r="H121" s="39" t="s">
        <v>137</v>
      </c>
      <c r="I121" s="81"/>
      <c r="J121" s="82" t="str">
        <f>IF(AND(A121&lt;&gt;"",E121&lt;&gt;""),IF(I121="","⚠️ Enter Code",IF(IFERROR(VLOOKUP(H121,DB_Agents!$B:$I,8,0),"")=I121,IF(C121&gt;=E121,"Successful","Unsuccessful"),"🔒 BLOCKED — Wrong Code")),"Pending")</f>
        <v>Pending</v>
      </c>
      <c r="K121" s="83" t="str">
        <f t="shared" ca="1" si="11"/>
        <v>—</v>
      </c>
      <c r="L121" s="84"/>
    </row>
    <row r="122" spans="1:12" ht="15" customHeight="1" x14ac:dyDescent="0.25">
      <c r="A122" s="85"/>
      <c r="B122" s="41" t="str">
        <f>IF(A122="","",IFERROR(VLOOKUP(A122,DB_Customers!$A:$D,4,0),"❌ Account Not Found"))</f>
        <v/>
      </c>
      <c r="C122" s="86" t="str">
        <f>IF(A122="","",IFERROR(VLOOKUP(A122,DB_Customers!$A:$N,14,0),"❌ Acct Not Found"))</f>
        <v/>
      </c>
      <c r="D122" s="87" t="str">
        <f t="shared" ca="1" si="9"/>
        <v/>
      </c>
      <c r="E122" s="94"/>
      <c r="F122" s="41"/>
      <c r="G122" s="96" t="str">
        <f t="shared" si="10"/>
        <v/>
      </c>
      <c r="H122" s="43" t="s">
        <v>137</v>
      </c>
      <c r="I122" s="81"/>
      <c r="J122" s="89" t="str">
        <f>IF(AND(A122&lt;&gt;"",E122&lt;&gt;""),IF(I122="","⚠️ Enter Code",IF(IFERROR(VLOOKUP(H122,DB_Agents!$B:$I,8,0),"")=I122,IF(C122&gt;=E122,"Successful","Unsuccessful"),"🔒 BLOCKED — Wrong Code")),"Pending")</f>
        <v>Pending</v>
      </c>
      <c r="K122" s="90" t="str">
        <f t="shared" ca="1" si="11"/>
        <v>—</v>
      </c>
      <c r="L122" s="91"/>
    </row>
    <row r="123" spans="1:12" ht="15" customHeight="1" x14ac:dyDescent="0.25">
      <c r="A123" s="76"/>
      <c r="B123" s="37" t="str">
        <f>IF(A123="","",IFERROR(VLOOKUP(A123,DB_Customers!$A:$D,4,0),"❌ Account Not Found"))</f>
        <v/>
      </c>
      <c r="C123" s="77" t="str">
        <f>IF(A123="","",IFERROR(VLOOKUP(A123,DB_Customers!$A:$N,14,0),"❌ Acct Not Found"))</f>
        <v/>
      </c>
      <c r="D123" s="78" t="str">
        <f t="shared" ca="1" si="9"/>
        <v/>
      </c>
      <c r="E123" s="94"/>
      <c r="F123" s="37"/>
      <c r="G123" s="95" t="str">
        <f t="shared" si="10"/>
        <v/>
      </c>
      <c r="H123" s="39" t="s">
        <v>137</v>
      </c>
      <c r="I123" s="81"/>
      <c r="J123" s="82" t="str">
        <f>IF(AND(A123&lt;&gt;"",E123&lt;&gt;""),IF(I123="","⚠️ Enter Code",IF(IFERROR(VLOOKUP(H123,DB_Agents!$B:$I,8,0),"")=I123,IF(C123&gt;=E123,"Successful","Unsuccessful"),"🔒 BLOCKED — Wrong Code")),"Pending")</f>
        <v>Pending</v>
      </c>
      <c r="K123" s="83" t="str">
        <f t="shared" ca="1" si="11"/>
        <v>—</v>
      </c>
      <c r="L123" s="84"/>
    </row>
    <row r="124" spans="1:12" ht="15" customHeight="1" x14ac:dyDescent="0.25">
      <c r="A124" s="85"/>
      <c r="B124" s="41" t="str">
        <f>IF(A124="","",IFERROR(VLOOKUP(A124,DB_Customers!$A:$D,4,0),"❌ Account Not Found"))</f>
        <v/>
      </c>
      <c r="C124" s="86" t="str">
        <f>IF(A124="","",IFERROR(VLOOKUP(A124,DB_Customers!$A:$N,14,0),"❌ Acct Not Found"))</f>
        <v/>
      </c>
      <c r="D124" s="87" t="str">
        <f t="shared" ca="1" si="9"/>
        <v/>
      </c>
      <c r="E124" s="94"/>
      <c r="F124" s="41"/>
      <c r="G124" s="96" t="str">
        <f t="shared" si="10"/>
        <v/>
      </c>
      <c r="H124" s="43" t="s">
        <v>137</v>
      </c>
      <c r="I124" s="81"/>
      <c r="J124" s="89" t="str">
        <f>IF(AND(A124&lt;&gt;"",E124&lt;&gt;""),IF(I124="","⚠️ Enter Code",IF(IFERROR(VLOOKUP(H124,DB_Agents!$B:$I,8,0),"")=I124,IF(C124&gt;=E124,"Successful","Unsuccessful"),"🔒 BLOCKED — Wrong Code")),"Pending")</f>
        <v>Pending</v>
      </c>
      <c r="K124" s="90" t="str">
        <f t="shared" ca="1" si="11"/>
        <v>—</v>
      </c>
      <c r="L124" s="91"/>
    </row>
    <row r="125" spans="1:12" ht="15" customHeight="1" x14ac:dyDescent="0.25">
      <c r="A125" s="76"/>
      <c r="B125" s="37" t="str">
        <f>IF(A125="","",IFERROR(VLOOKUP(A125,DB_Customers!$A:$D,4,0),"❌ Account Not Found"))</f>
        <v/>
      </c>
      <c r="C125" s="77" t="str">
        <f>IF(A125="","",IFERROR(VLOOKUP(A125,DB_Customers!$A:$N,14,0),"❌ Acct Not Found"))</f>
        <v/>
      </c>
      <c r="D125" s="78" t="str">
        <f t="shared" ca="1" si="9"/>
        <v/>
      </c>
      <c r="E125" s="94"/>
      <c r="F125" s="37"/>
      <c r="G125" s="95" t="str">
        <f t="shared" si="10"/>
        <v/>
      </c>
      <c r="H125" s="39" t="s">
        <v>137</v>
      </c>
      <c r="I125" s="81"/>
      <c r="J125" s="82" t="str">
        <f>IF(AND(A125&lt;&gt;"",E125&lt;&gt;""),IF(I125="","⚠️ Enter Code",IF(IFERROR(VLOOKUP(H125,DB_Agents!$B:$I,8,0),"")=I125,IF(C125&gt;=E125,"Successful","Unsuccessful"),"🔒 BLOCKED — Wrong Code")),"Pending")</f>
        <v>Pending</v>
      </c>
      <c r="K125" s="83" t="str">
        <f t="shared" ca="1" si="11"/>
        <v>—</v>
      </c>
      <c r="L125" s="84"/>
    </row>
    <row r="126" spans="1:12" ht="15" customHeight="1" x14ac:dyDescent="0.25">
      <c r="A126" s="85"/>
      <c r="B126" s="41" t="str">
        <f>IF(A126="","",IFERROR(VLOOKUP(A126,DB_Customers!$A:$D,4,0),"❌ Account Not Found"))</f>
        <v/>
      </c>
      <c r="C126" s="86" t="str">
        <f>IF(A126="","",IFERROR(VLOOKUP(A126,DB_Customers!$A:$N,14,0),"❌ Acct Not Found"))</f>
        <v/>
      </c>
      <c r="D126" s="87" t="str">
        <f t="shared" ca="1" si="9"/>
        <v/>
      </c>
      <c r="E126" s="94"/>
      <c r="F126" s="41"/>
      <c r="G126" s="96" t="str">
        <f t="shared" si="10"/>
        <v/>
      </c>
      <c r="H126" s="43" t="s">
        <v>137</v>
      </c>
      <c r="I126" s="81"/>
      <c r="J126" s="89" t="str">
        <f>IF(AND(A126&lt;&gt;"",E126&lt;&gt;""),IF(I126="","⚠️ Enter Code",IF(IFERROR(VLOOKUP(H126,DB_Agents!$B:$I,8,0),"")=I126,IF(C126&gt;=E126,"Successful","Unsuccessful"),"🔒 BLOCKED — Wrong Code")),"Pending")</f>
        <v>Pending</v>
      </c>
      <c r="K126" s="90" t="str">
        <f t="shared" ca="1" si="11"/>
        <v>—</v>
      </c>
      <c r="L126" s="91"/>
    </row>
    <row r="127" spans="1:12" ht="15" customHeight="1" x14ac:dyDescent="0.25">
      <c r="A127" s="76"/>
      <c r="B127" s="37" t="str">
        <f>IF(A127="","",IFERROR(VLOOKUP(A127,DB_Customers!$A:$D,4,0),"❌ Account Not Found"))</f>
        <v/>
      </c>
      <c r="C127" s="77" t="str">
        <f>IF(A127="","",IFERROR(VLOOKUP(A127,DB_Customers!$A:$N,14,0),"❌ Acct Not Found"))</f>
        <v/>
      </c>
      <c r="D127" s="78" t="str">
        <f t="shared" ca="1" si="9"/>
        <v/>
      </c>
      <c r="E127" s="94"/>
      <c r="F127" s="37"/>
      <c r="G127" s="95" t="str">
        <f t="shared" si="10"/>
        <v/>
      </c>
      <c r="H127" s="39" t="s">
        <v>137</v>
      </c>
      <c r="I127" s="81"/>
      <c r="J127" s="82" t="str">
        <f>IF(AND(A127&lt;&gt;"",E127&lt;&gt;""),IF(I127="","⚠️ Enter Code",IF(IFERROR(VLOOKUP(H127,DB_Agents!$B:$I,8,0),"")=I127,IF(C127&gt;=E127,"Successful","Unsuccessful"),"🔒 BLOCKED — Wrong Code")),"Pending")</f>
        <v>Pending</v>
      </c>
      <c r="K127" s="83" t="str">
        <f t="shared" ca="1" si="11"/>
        <v>—</v>
      </c>
      <c r="L127" s="84"/>
    </row>
    <row r="128" spans="1:12" ht="15" customHeight="1" x14ac:dyDescent="0.25">
      <c r="A128" s="85"/>
      <c r="B128" s="41" t="str">
        <f>IF(A128="","",IFERROR(VLOOKUP(A128,DB_Customers!$A:$D,4,0),"❌ Account Not Found"))</f>
        <v/>
      </c>
      <c r="C128" s="86" t="str">
        <f>IF(A128="","",IFERROR(VLOOKUP(A128,DB_Customers!$A:$N,14,0),"❌ Acct Not Found"))</f>
        <v/>
      </c>
      <c r="D128" s="87" t="str">
        <f t="shared" ca="1" si="9"/>
        <v/>
      </c>
      <c r="E128" s="94"/>
      <c r="F128" s="41"/>
      <c r="G128" s="96" t="str">
        <f t="shared" si="10"/>
        <v/>
      </c>
      <c r="H128" s="43" t="s">
        <v>137</v>
      </c>
      <c r="I128" s="81"/>
      <c r="J128" s="89" t="str">
        <f>IF(AND(A128&lt;&gt;"",E128&lt;&gt;""),IF(I128="","⚠️ Enter Code",IF(IFERROR(VLOOKUP(H128,DB_Agents!$B:$I,8,0),"")=I128,IF(C128&gt;=E128,"Successful","Unsuccessful"),"🔒 BLOCKED — Wrong Code")),"Pending")</f>
        <v>Pending</v>
      </c>
      <c r="K128" s="90" t="str">
        <f t="shared" ca="1" si="11"/>
        <v>—</v>
      </c>
      <c r="L128" s="91"/>
    </row>
    <row r="129" spans="1:12" ht="15" customHeight="1" x14ac:dyDescent="0.25">
      <c r="A129" s="76"/>
      <c r="B129" s="37" t="str">
        <f>IF(A129="","",IFERROR(VLOOKUP(A129,DB_Customers!$A:$D,4,0),"❌ Account Not Found"))</f>
        <v/>
      </c>
      <c r="C129" s="77" t="str">
        <f>IF(A129="","",IFERROR(VLOOKUP(A129,DB_Customers!$A:$N,14,0),"❌ Acct Not Found"))</f>
        <v/>
      </c>
      <c r="D129" s="78" t="str">
        <f t="shared" ca="1" si="9"/>
        <v/>
      </c>
      <c r="E129" s="94"/>
      <c r="F129" s="37"/>
      <c r="G129" s="95" t="str">
        <f t="shared" si="10"/>
        <v/>
      </c>
      <c r="H129" s="39" t="s">
        <v>137</v>
      </c>
      <c r="I129" s="81"/>
      <c r="J129" s="82" t="str">
        <f>IF(AND(A129&lt;&gt;"",E129&lt;&gt;""),IF(I129="","⚠️ Enter Code",IF(IFERROR(VLOOKUP(H129,DB_Agents!$B:$I,8,0),"")=I129,IF(C129&gt;=E129,"Successful","Unsuccessful"),"🔒 BLOCKED — Wrong Code")),"Pending")</f>
        <v>Pending</v>
      </c>
      <c r="K129" s="83" t="str">
        <f t="shared" ca="1" si="11"/>
        <v>—</v>
      </c>
      <c r="L129" s="84"/>
    </row>
    <row r="130" spans="1:12" ht="15" customHeight="1" x14ac:dyDescent="0.25">
      <c r="A130" s="85"/>
      <c r="B130" s="41" t="str">
        <f>IF(A130="","",IFERROR(VLOOKUP(A130,DB_Customers!$A:$D,4,0),"❌ Account Not Found"))</f>
        <v/>
      </c>
      <c r="C130" s="86" t="str">
        <f>IF(A130="","",IFERROR(VLOOKUP(A130,DB_Customers!$A:$N,14,0),"❌ Acct Not Found"))</f>
        <v/>
      </c>
      <c r="D130" s="87" t="str">
        <f t="shared" ca="1" si="9"/>
        <v/>
      </c>
      <c r="E130" s="94"/>
      <c r="F130" s="41"/>
      <c r="G130" s="96" t="str">
        <f t="shared" si="10"/>
        <v/>
      </c>
      <c r="H130" s="43" t="s">
        <v>137</v>
      </c>
      <c r="I130" s="81"/>
      <c r="J130" s="89" t="str">
        <f>IF(AND(A130&lt;&gt;"",E130&lt;&gt;""),IF(I130="","⚠️ Enter Code",IF(IFERROR(VLOOKUP(H130,DB_Agents!$B:$I,8,0),"")=I130,IF(C130&gt;=E130,"Successful","Unsuccessful"),"🔒 BLOCKED — Wrong Code")),"Pending")</f>
        <v>Pending</v>
      </c>
      <c r="K130" s="90" t="str">
        <f t="shared" ca="1" si="11"/>
        <v>—</v>
      </c>
      <c r="L130" s="91"/>
    </row>
    <row r="131" spans="1:12" ht="15" customHeight="1" x14ac:dyDescent="0.25">
      <c r="A131" s="76"/>
      <c r="B131" s="37" t="str">
        <f>IF(A131="","",IFERROR(VLOOKUP(A131,DB_Customers!$A:$D,4,0),"❌ Account Not Found"))</f>
        <v/>
      </c>
      <c r="C131" s="77" t="str">
        <f>IF(A131="","",IFERROR(VLOOKUP(A131,DB_Customers!$A:$N,14,0),"❌ Acct Not Found"))</f>
        <v/>
      </c>
      <c r="D131" s="78" t="str">
        <f t="shared" ca="1" si="9"/>
        <v/>
      </c>
      <c r="E131" s="94"/>
      <c r="F131" s="37"/>
      <c r="G131" s="95" t="str">
        <f t="shared" si="10"/>
        <v/>
      </c>
      <c r="H131" s="39" t="s">
        <v>137</v>
      </c>
      <c r="I131" s="81"/>
      <c r="J131" s="82" t="str">
        <f>IF(AND(A131&lt;&gt;"",E131&lt;&gt;""),IF(I131="","⚠️ Enter Code",IF(IFERROR(VLOOKUP(H131,DB_Agents!$B:$I,8,0),"")=I131,IF(C131&gt;=E131,"Successful","Unsuccessful"),"🔒 BLOCKED — Wrong Code")),"Pending")</f>
        <v>Pending</v>
      </c>
      <c r="K131" s="83" t="str">
        <f t="shared" ca="1" si="11"/>
        <v>—</v>
      </c>
      <c r="L131" s="84"/>
    </row>
    <row r="132" spans="1:12" ht="15" customHeight="1" x14ac:dyDescent="0.25">
      <c r="A132" s="85"/>
      <c r="B132" s="41" t="str">
        <f>IF(A132="","",IFERROR(VLOOKUP(A132,DB_Customers!$A:$D,4,0),"❌ Account Not Found"))</f>
        <v/>
      </c>
      <c r="C132" s="86" t="str">
        <f>IF(A132="","",IFERROR(VLOOKUP(A132,DB_Customers!$A:$N,14,0),"❌ Acct Not Found"))</f>
        <v/>
      </c>
      <c r="D132" s="87" t="str">
        <f t="shared" ca="1" si="9"/>
        <v/>
      </c>
      <c r="E132" s="94"/>
      <c r="F132" s="41"/>
      <c r="G132" s="96" t="str">
        <f t="shared" si="10"/>
        <v/>
      </c>
      <c r="H132" s="43" t="s">
        <v>137</v>
      </c>
      <c r="I132" s="81"/>
      <c r="J132" s="89" t="str">
        <f>IF(AND(A132&lt;&gt;"",E132&lt;&gt;""),IF(I132="","⚠️ Enter Code",IF(IFERROR(VLOOKUP(H132,DB_Agents!$B:$I,8,0),"")=I132,IF(C132&gt;=E132,"Successful","Unsuccessful"),"🔒 BLOCKED — Wrong Code")),"Pending")</f>
        <v>Pending</v>
      </c>
      <c r="K132" s="90" t="str">
        <f t="shared" ca="1" si="11"/>
        <v>—</v>
      </c>
      <c r="L132" s="91"/>
    </row>
    <row r="133" spans="1:12" ht="15" customHeight="1" x14ac:dyDescent="0.25">
      <c r="A133" s="76"/>
      <c r="B133" s="37" t="str">
        <f>IF(A133="","",IFERROR(VLOOKUP(A133,DB_Customers!$A:$D,4,0),"❌ Account Not Found"))</f>
        <v/>
      </c>
      <c r="C133" s="77" t="str">
        <f>IF(A133="","",IFERROR(VLOOKUP(A133,DB_Customers!$A:$N,14,0),"❌ Acct Not Found"))</f>
        <v/>
      </c>
      <c r="D133" s="78" t="str">
        <f t="shared" ca="1" si="9"/>
        <v/>
      </c>
      <c r="E133" s="94"/>
      <c r="F133" s="37"/>
      <c r="G133" s="95" t="str">
        <f t="shared" si="10"/>
        <v/>
      </c>
      <c r="H133" s="39" t="s">
        <v>137</v>
      </c>
      <c r="I133" s="81"/>
      <c r="J133" s="82" t="str">
        <f>IF(AND(A133&lt;&gt;"",E133&lt;&gt;""),IF(I133="","⚠️ Enter Code",IF(IFERROR(VLOOKUP(H133,DB_Agents!$B:$I,8,0),"")=I133,IF(C133&gt;=E133,"Successful","Unsuccessful"),"🔒 BLOCKED — Wrong Code")),"Pending")</f>
        <v>Pending</v>
      </c>
      <c r="K133" s="83" t="str">
        <f t="shared" ca="1" si="11"/>
        <v>—</v>
      </c>
      <c r="L133" s="84"/>
    </row>
    <row r="134" spans="1:12" ht="15" customHeight="1" x14ac:dyDescent="0.25">
      <c r="A134" s="85"/>
      <c r="B134" s="41" t="str">
        <f>IF(A134="","",IFERROR(VLOOKUP(A134,DB_Customers!$A:$D,4,0),"❌ Account Not Found"))</f>
        <v/>
      </c>
      <c r="C134" s="86" t="str">
        <f>IF(A134="","",IFERROR(VLOOKUP(A134,DB_Customers!$A:$N,14,0),"❌ Acct Not Found"))</f>
        <v/>
      </c>
      <c r="D134" s="87" t="str">
        <f t="shared" ca="1" si="9"/>
        <v/>
      </c>
      <c r="E134" s="94"/>
      <c r="F134" s="41"/>
      <c r="G134" s="96" t="str">
        <f t="shared" si="10"/>
        <v/>
      </c>
      <c r="H134" s="43" t="s">
        <v>137</v>
      </c>
      <c r="I134" s="81"/>
      <c r="J134" s="89" t="str">
        <f>IF(AND(A134&lt;&gt;"",E134&lt;&gt;""),IF(I134="","⚠️ Enter Code",IF(IFERROR(VLOOKUP(H134,DB_Agents!$B:$I,8,0),"")=I134,IF(C134&gt;=E134,"Successful","Unsuccessful"),"🔒 BLOCKED — Wrong Code")),"Pending")</f>
        <v>Pending</v>
      </c>
      <c r="K134" s="90" t="str">
        <f t="shared" ca="1" si="11"/>
        <v>—</v>
      </c>
      <c r="L134" s="91"/>
    </row>
    <row r="135" spans="1:12" ht="15" customHeight="1" x14ac:dyDescent="0.25">
      <c r="A135" s="76"/>
      <c r="B135" s="37" t="str">
        <f>IF(A135="","",IFERROR(VLOOKUP(A135,DB_Customers!$A:$D,4,0),"❌ Account Not Found"))</f>
        <v/>
      </c>
      <c r="C135" s="77" t="str">
        <f>IF(A135="","",IFERROR(VLOOKUP(A135,DB_Customers!$A:$N,14,0),"❌ Acct Not Found"))</f>
        <v/>
      </c>
      <c r="D135" s="78" t="str">
        <f t="shared" ca="1" si="9"/>
        <v/>
      </c>
      <c r="E135" s="94"/>
      <c r="F135" s="37"/>
      <c r="G135" s="95" t="str">
        <f t="shared" si="10"/>
        <v/>
      </c>
      <c r="H135" s="39" t="s">
        <v>137</v>
      </c>
      <c r="I135" s="81"/>
      <c r="J135" s="82" t="str">
        <f>IF(AND(A135&lt;&gt;"",E135&lt;&gt;""),IF(I135="","⚠️ Enter Code",IF(IFERROR(VLOOKUP(H135,DB_Agents!$B:$I,8,0),"")=I135,IF(C135&gt;=E135,"Successful","Unsuccessful"),"🔒 BLOCKED — Wrong Code")),"Pending")</f>
        <v>Pending</v>
      </c>
      <c r="K135" s="83" t="str">
        <f t="shared" ca="1" si="11"/>
        <v>—</v>
      </c>
      <c r="L135" s="84"/>
    </row>
    <row r="136" spans="1:12" ht="15" customHeight="1" x14ac:dyDescent="0.25">
      <c r="A136" s="85"/>
      <c r="B136" s="41" t="str">
        <f>IF(A136="","",IFERROR(VLOOKUP(A136,DB_Customers!$A:$D,4,0),"❌ Account Not Found"))</f>
        <v/>
      </c>
      <c r="C136" s="86" t="str">
        <f>IF(A136="","",IFERROR(VLOOKUP(A136,DB_Customers!$A:$N,14,0),"❌ Acct Not Found"))</f>
        <v/>
      </c>
      <c r="D136" s="87" t="str">
        <f t="shared" ca="1" si="9"/>
        <v/>
      </c>
      <c r="E136" s="94"/>
      <c r="F136" s="41"/>
      <c r="G136" s="96" t="str">
        <f t="shared" si="10"/>
        <v/>
      </c>
      <c r="H136" s="43" t="s">
        <v>137</v>
      </c>
      <c r="I136" s="81"/>
      <c r="J136" s="89" t="str">
        <f>IF(AND(A136&lt;&gt;"",E136&lt;&gt;""),IF(I136="","⚠️ Enter Code",IF(IFERROR(VLOOKUP(H136,DB_Agents!$B:$I,8,0),"")=I136,IF(C136&gt;=E136,"Successful","Unsuccessful"),"🔒 BLOCKED — Wrong Code")),"Pending")</f>
        <v>Pending</v>
      </c>
      <c r="K136" s="90" t="str">
        <f t="shared" ca="1" si="11"/>
        <v>—</v>
      </c>
      <c r="L136" s="91"/>
    </row>
    <row r="137" spans="1:12" ht="15" customHeight="1" x14ac:dyDescent="0.25">
      <c r="A137" s="76"/>
      <c r="B137" s="37" t="str">
        <f>IF(A137="","",IFERROR(VLOOKUP(A137,DB_Customers!$A:$D,4,0),"❌ Account Not Found"))</f>
        <v/>
      </c>
      <c r="C137" s="77" t="str">
        <f>IF(A137="","",IFERROR(VLOOKUP(A137,DB_Customers!$A:$N,14,0),"❌ Acct Not Found"))</f>
        <v/>
      </c>
      <c r="D137" s="78" t="str">
        <f t="shared" ref="D137:D168" ca="1" si="12">IF(A137="","",TODAY())</f>
        <v/>
      </c>
      <c r="E137" s="94"/>
      <c r="F137" s="37"/>
      <c r="G137" s="95" t="str">
        <f t="shared" ref="G137:G168" si="13">IF(OR(A137="",E137=""),"",IF(C137="","",C137-E137))</f>
        <v/>
      </c>
      <c r="H137" s="39" t="s">
        <v>137</v>
      </c>
      <c r="I137" s="81"/>
      <c r="J137" s="82" t="str">
        <f>IF(AND(A137&lt;&gt;"",E137&lt;&gt;""),IF(I137="","⚠️ Enter Code",IF(IFERROR(VLOOKUP(H137,DB_Agents!$B:$I,8,0),"")=I137,IF(C137&gt;=E137,"Successful","Unsuccessful"),"🔒 BLOCKED — Wrong Code")),"Pending")</f>
        <v>Pending</v>
      </c>
      <c r="K137" s="83" t="str">
        <f t="shared" ref="K137:K168" ca="1" si="14">IF(J137="Successful",TEXT(TODAY(),"YYYY-MM-DD")&amp;" Auto","—")</f>
        <v>—</v>
      </c>
      <c r="L137" s="84"/>
    </row>
    <row r="138" spans="1:12" ht="15" customHeight="1" x14ac:dyDescent="0.25">
      <c r="A138" s="85"/>
      <c r="B138" s="41" t="str">
        <f>IF(A138="","",IFERROR(VLOOKUP(A138,DB_Customers!$A:$D,4,0),"❌ Account Not Found"))</f>
        <v/>
      </c>
      <c r="C138" s="86" t="str">
        <f>IF(A138="","",IFERROR(VLOOKUP(A138,DB_Customers!$A:$N,14,0),"❌ Acct Not Found"))</f>
        <v/>
      </c>
      <c r="D138" s="87" t="str">
        <f t="shared" ca="1" si="12"/>
        <v/>
      </c>
      <c r="E138" s="94"/>
      <c r="F138" s="41"/>
      <c r="G138" s="96" t="str">
        <f t="shared" si="13"/>
        <v/>
      </c>
      <c r="H138" s="43" t="s">
        <v>137</v>
      </c>
      <c r="I138" s="81"/>
      <c r="J138" s="89" t="str">
        <f>IF(AND(A138&lt;&gt;"",E138&lt;&gt;""),IF(I138="","⚠️ Enter Code",IF(IFERROR(VLOOKUP(H138,DB_Agents!$B:$I,8,0),"")=I138,IF(C138&gt;=E138,"Successful","Unsuccessful"),"🔒 BLOCKED — Wrong Code")),"Pending")</f>
        <v>Pending</v>
      </c>
      <c r="K138" s="90" t="str">
        <f t="shared" ca="1" si="14"/>
        <v>—</v>
      </c>
      <c r="L138" s="91"/>
    </row>
    <row r="139" spans="1:12" ht="15" customHeight="1" x14ac:dyDescent="0.25">
      <c r="A139" s="76"/>
      <c r="B139" s="37" t="str">
        <f>IF(A139="","",IFERROR(VLOOKUP(A139,DB_Customers!$A:$D,4,0),"❌ Account Not Found"))</f>
        <v/>
      </c>
      <c r="C139" s="77" t="str">
        <f>IF(A139="","",IFERROR(VLOOKUP(A139,DB_Customers!$A:$N,14,0),"❌ Acct Not Found"))</f>
        <v/>
      </c>
      <c r="D139" s="78" t="str">
        <f t="shared" ca="1" si="12"/>
        <v/>
      </c>
      <c r="E139" s="94"/>
      <c r="F139" s="37"/>
      <c r="G139" s="95" t="str">
        <f t="shared" si="13"/>
        <v/>
      </c>
      <c r="H139" s="39" t="s">
        <v>137</v>
      </c>
      <c r="I139" s="81"/>
      <c r="J139" s="82" t="str">
        <f>IF(AND(A139&lt;&gt;"",E139&lt;&gt;""),IF(I139="","⚠️ Enter Code",IF(IFERROR(VLOOKUP(H139,DB_Agents!$B:$I,8,0),"")=I139,IF(C139&gt;=E139,"Successful","Unsuccessful"),"🔒 BLOCKED — Wrong Code")),"Pending")</f>
        <v>Pending</v>
      </c>
      <c r="K139" s="83" t="str">
        <f t="shared" ca="1" si="14"/>
        <v>—</v>
      </c>
      <c r="L139" s="84"/>
    </row>
    <row r="140" spans="1:12" ht="15" customHeight="1" x14ac:dyDescent="0.25">
      <c r="A140" s="85"/>
      <c r="B140" s="41" t="str">
        <f>IF(A140="","",IFERROR(VLOOKUP(A140,DB_Customers!$A:$D,4,0),"❌ Account Not Found"))</f>
        <v/>
      </c>
      <c r="C140" s="86" t="str">
        <f>IF(A140="","",IFERROR(VLOOKUP(A140,DB_Customers!$A:$N,14,0),"❌ Acct Not Found"))</f>
        <v/>
      </c>
      <c r="D140" s="87" t="str">
        <f t="shared" ca="1" si="12"/>
        <v/>
      </c>
      <c r="E140" s="94"/>
      <c r="F140" s="41"/>
      <c r="G140" s="96" t="str">
        <f t="shared" si="13"/>
        <v/>
      </c>
      <c r="H140" s="43" t="s">
        <v>137</v>
      </c>
      <c r="I140" s="81"/>
      <c r="J140" s="89" t="str">
        <f>IF(AND(A140&lt;&gt;"",E140&lt;&gt;""),IF(I140="","⚠️ Enter Code",IF(IFERROR(VLOOKUP(H140,DB_Agents!$B:$I,8,0),"")=I140,IF(C140&gt;=E140,"Successful","Unsuccessful"),"🔒 BLOCKED — Wrong Code")),"Pending")</f>
        <v>Pending</v>
      </c>
      <c r="K140" s="90" t="str">
        <f t="shared" ca="1" si="14"/>
        <v>—</v>
      </c>
      <c r="L140" s="91"/>
    </row>
    <row r="141" spans="1:12" ht="15" customHeight="1" x14ac:dyDescent="0.25">
      <c r="A141" s="76"/>
      <c r="B141" s="37" t="str">
        <f>IF(A141="","",IFERROR(VLOOKUP(A141,DB_Customers!$A:$D,4,0),"❌ Account Not Found"))</f>
        <v/>
      </c>
      <c r="C141" s="77" t="str">
        <f>IF(A141="","",IFERROR(VLOOKUP(A141,DB_Customers!$A:$N,14,0),"❌ Acct Not Found"))</f>
        <v/>
      </c>
      <c r="D141" s="78" t="str">
        <f t="shared" ca="1" si="12"/>
        <v/>
      </c>
      <c r="E141" s="94"/>
      <c r="F141" s="37"/>
      <c r="G141" s="95" t="str">
        <f t="shared" si="13"/>
        <v/>
      </c>
      <c r="H141" s="39" t="s">
        <v>137</v>
      </c>
      <c r="I141" s="81"/>
      <c r="J141" s="82" t="str">
        <f>IF(AND(A141&lt;&gt;"",E141&lt;&gt;""),IF(I141="","⚠️ Enter Code",IF(IFERROR(VLOOKUP(H141,DB_Agents!$B:$I,8,0),"")=I141,IF(C141&gt;=E141,"Successful","Unsuccessful"),"🔒 BLOCKED — Wrong Code")),"Pending")</f>
        <v>Pending</v>
      </c>
      <c r="K141" s="83" t="str">
        <f t="shared" ca="1" si="14"/>
        <v>—</v>
      </c>
      <c r="L141" s="84"/>
    </row>
    <row r="142" spans="1:12" ht="15" customHeight="1" x14ac:dyDescent="0.25">
      <c r="A142" s="85"/>
      <c r="B142" s="41" t="str">
        <f>IF(A142="","",IFERROR(VLOOKUP(A142,DB_Customers!$A:$D,4,0),"❌ Account Not Found"))</f>
        <v/>
      </c>
      <c r="C142" s="86" t="str">
        <f>IF(A142="","",IFERROR(VLOOKUP(A142,DB_Customers!$A:$N,14,0),"❌ Acct Not Found"))</f>
        <v/>
      </c>
      <c r="D142" s="87" t="str">
        <f t="shared" ca="1" si="12"/>
        <v/>
      </c>
      <c r="E142" s="94"/>
      <c r="F142" s="41"/>
      <c r="G142" s="96" t="str">
        <f t="shared" si="13"/>
        <v/>
      </c>
      <c r="H142" s="43" t="s">
        <v>137</v>
      </c>
      <c r="I142" s="81"/>
      <c r="J142" s="89" t="str">
        <f>IF(AND(A142&lt;&gt;"",E142&lt;&gt;""),IF(I142="","⚠️ Enter Code",IF(IFERROR(VLOOKUP(H142,DB_Agents!$B:$I,8,0),"")=I142,IF(C142&gt;=E142,"Successful","Unsuccessful"),"🔒 BLOCKED — Wrong Code")),"Pending")</f>
        <v>Pending</v>
      </c>
      <c r="K142" s="90" t="str">
        <f t="shared" ca="1" si="14"/>
        <v>—</v>
      </c>
      <c r="L142" s="91"/>
    </row>
    <row r="143" spans="1:12" ht="15" customHeight="1" x14ac:dyDescent="0.25">
      <c r="A143" s="76"/>
      <c r="B143" s="37" t="str">
        <f>IF(A143="","",IFERROR(VLOOKUP(A143,DB_Customers!$A:$D,4,0),"❌ Account Not Found"))</f>
        <v/>
      </c>
      <c r="C143" s="77" t="str">
        <f>IF(A143="","",IFERROR(VLOOKUP(A143,DB_Customers!$A:$N,14,0),"❌ Acct Not Found"))</f>
        <v/>
      </c>
      <c r="D143" s="78" t="str">
        <f t="shared" ca="1" si="12"/>
        <v/>
      </c>
      <c r="E143" s="94"/>
      <c r="F143" s="37"/>
      <c r="G143" s="95" t="str">
        <f t="shared" si="13"/>
        <v/>
      </c>
      <c r="H143" s="39" t="s">
        <v>137</v>
      </c>
      <c r="I143" s="81"/>
      <c r="J143" s="82" t="str">
        <f>IF(AND(A143&lt;&gt;"",E143&lt;&gt;""),IF(I143="","⚠️ Enter Code",IF(IFERROR(VLOOKUP(H143,DB_Agents!$B:$I,8,0),"")=I143,IF(C143&gt;=E143,"Successful","Unsuccessful"),"🔒 BLOCKED — Wrong Code")),"Pending")</f>
        <v>Pending</v>
      </c>
      <c r="K143" s="83" t="str">
        <f t="shared" ca="1" si="14"/>
        <v>—</v>
      </c>
      <c r="L143" s="84"/>
    </row>
    <row r="144" spans="1:12" ht="15" customHeight="1" x14ac:dyDescent="0.25">
      <c r="A144" s="85"/>
      <c r="B144" s="41" t="str">
        <f>IF(A144="","",IFERROR(VLOOKUP(A144,DB_Customers!$A:$D,4,0),"❌ Account Not Found"))</f>
        <v/>
      </c>
      <c r="C144" s="86" t="str">
        <f>IF(A144="","",IFERROR(VLOOKUP(A144,DB_Customers!$A:$N,14,0),"❌ Acct Not Found"))</f>
        <v/>
      </c>
      <c r="D144" s="87" t="str">
        <f t="shared" ca="1" si="12"/>
        <v/>
      </c>
      <c r="E144" s="94"/>
      <c r="F144" s="41"/>
      <c r="G144" s="96" t="str">
        <f t="shared" si="13"/>
        <v/>
      </c>
      <c r="H144" s="43" t="s">
        <v>137</v>
      </c>
      <c r="I144" s="81"/>
      <c r="J144" s="89" t="str">
        <f>IF(AND(A144&lt;&gt;"",E144&lt;&gt;""),IF(I144="","⚠️ Enter Code",IF(IFERROR(VLOOKUP(H144,DB_Agents!$B:$I,8,0),"")=I144,IF(C144&gt;=E144,"Successful","Unsuccessful"),"🔒 BLOCKED — Wrong Code")),"Pending")</f>
        <v>Pending</v>
      </c>
      <c r="K144" s="90" t="str">
        <f t="shared" ca="1" si="14"/>
        <v>—</v>
      </c>
      <c r="L144" s="91"/>
    </row>
    <row r="145" spans="1:12" ht="15" customHeight="1" x14ac:dyDescent="0.25">
      <c r="A145" s="76"/>
      <c r="B145" s="37" t="str">
        <f>IF(A145="","",IFERROR(VLOOKUP(A145,DB_Customers!$A:$D,4,0),"❌ Account Not Found"))</f>
        <v/>
      </c>
      <c r="C145" s="77" t="str">
        <f>IF(A145="","",IFERROR(VLOOKUP(A145,DB_Customers!$A:$N,14,0),"❌ Acct Not Found"))</f>
        <v/>
      </c>
      <c r="D145" s="78" t="str">
        <f t="shared" ca="1" si="12"/>
        <v/>
      </c>
      <c r="E145" s="94"/>
      <c r="F145" s="37"/>
      <c r="G145" s="95" t="str">
        <f t="shared" si="13"/>
        <v/>
      </c>
      <c r="H145" s="39" t="s">
        <v>137</v>
      </c>
      <c r="I145" s="81"/>
      <c r="J145" s="82" t="str">
        <f>IF(AND(A145&lt;&gt;"",E145&lt;&gt;""),IF(I145="","⚠️ Enter Code",IF(IFERROR(VLOOKUP(H145,DB_Agents!$B:$I,8,0),"")=I145,IF(C145&gt;=E145,"Successful","Unsuccessful"),"🔒 BLOCKED — Wrong Code")),"Pending")</f>
        <v>Pending</v>
      </c>
      <c r="K145" s="83" t="str">
        <f t="shared" ca="1" si="14"/>
        <v>—</v>
      </c>
      <c r="L145" s="84"/>
    </row>
    <row r="146" spans="1:12" ht="15" customHeight="1" x14ac:dyDescent="0.25">
      <c r="A146" s="85"/>
      <c r="B146" s="41" t="str">
        <f>IF(A146="","",IFERROR(VLOOKUP(A146,DB_Customers!$A:$D,4,0),"❌ Account Not Found"))</f>
        <v/>
      </c>
      <c r="C146" s="86" t="str">
        <f>IF(A146="","",IFERROR(VLOOKUP(A146,DB_Customers!$A:$N,14,0),"❌ Acct Not Found"))</f>
        <v/>
      </c>
      <c r="D146" s="87" t="str">
        <f t="shared" ca="1" si="12"/>
        <v/>
      </c>
      <c r="E146" s="94"/>
      <c r="F146" s="41"/>
      <c r="G146" s="96" t="str">
        <f t="shared" si="13"/>
        <v/>
      </c>
      <c r="H146" s="43" t="s">
        <v>137</v>
      </c>
      <c r="I146" s="81"/>
      <c r="J146" s="89" t="str">
        <f>IF(AND(A146&lt;&gt;"",E146&lt;&gt;""),IF(I146="","⚠️ Enter Code",IF(IFERROR(VLOOKUP(H146,DB_Agents!$B:$I,8,0),"")=I146,IF(C146&gt;=E146,"Successful","Unsuccessful"),"🔒 BLOCKED — Wrong Code")),"Pending")</f>
        <v>Pending</v>
      </c>
      <c r="K146" s="90" t="str">
        <f t="shared" ca="1" si="14"/>
        <v>—</v>
      </c>
      <c r="L146" s="91"/>
    </row>
    <row r="147" spans="1:12" ht="15" customHeight="1" x14ac:dyDescent="0.25">
      <c r="A147" s="76"/>
      <c r="B147" s="37" t="str">
        <f>IF(A147="","",IFERROR(VLOOKUP(A147,DB_Customers!$A:$D,4,0),"❌ Account Not Found"))</f>
        <v/>
      </c>
      <c r="C147" s="77" t="str">
        <f>IF(A147="","",IFERROR(VLOOKUP(A147,DB_Customers!$A:$N,14,0),"❌ Acct Not Found"))</f>
        <v/>
      </c>
      <c r="D147" s="78" t="str">
        <f t="shared" ca="1" si="12"/>
        <v/>
      </c>
      <c r="E147" s="94"/>
      <c r="F147" s="37"/>
      <c r="G147" s="95" t="str">
        <f t="shared" si="13"/>
        <v/>
      </c>
      <c r="H147" s="39" t="s">
        <v>137</v>
      </c>
      <c r="I147" s="81"/>
      <c r="J147" s="82" t="str">
        <f>IF(AND(A147&lt;&gt;"",E147&lt;&gt;""),IF(I147="","⚠️ Enter Code",IF(IFERROR(VLOOKUP(H147,DB_Agents!$B:$I,8,0),"")=I147,IF(C147&gt;=E147,"Successful","Unsuccessful"),"🔒 BLOCKED — Wrong Code")),"Pending")</f>
        <v>Pending</v>
      </c>
      <c r="K147" s="83" t="str">
        <f t="shared" ca="1" si="14"/>
        <v>—</v>
      </c>
      <c r="L147" s="84"/>
    </row>
    <row r="148" spans="1:12" ht="15" customHeight="1" x14ac:dyDescent="0.25">
      <c r="A148" s="85"/>
      <c r="B148" s="41" t="str">
        <f>IF(A148="","",IFERROR(VLOOKUP(A148,DB_Customers!$A:$D,4,0),"❌ Account Not Found"))</f>
        <v/>
      </c>
      <c r="C148" s="86" t="str">
        <f>IF(A148="","",IFERROR(VLOOKUP(A148,DB_Customers!$A:$N,14,0),"❌ Acct Not Found"))</f>
        <v/>
      </c>
      <c r="D148" s="87" t="str">
        <f t="shared" ca="1" si="12"/>
        <v/>
      </c>
      <c r="E148" s="94"/>
      <c r="F148" s="41"/>
      <c r="G148" s="96" t="str">
        <f t="shared" si="13"/>
        <v/>
      </c>
      <c r="H148" s="43" t="s">
        <v>137</v>
      </c>
      <c r="I148" s="81"/>
      <c r="J148" s="89" t="str">
        <f>IF(AND(A148&lt;&gt;"",E148&lt;&gt;""),IF(I148="","⚠️ Enter Code",IF(IFERROR(VLOOKUP(H148,DB_Agents!$B:$I,8,0),"")=I148,IF(C148&gt;=E148,"Successful","Unsuccessful"),"🔒 BLOCKED — Wrong Code")),"Pending")</f>
        <v>Pending</v>
      </c>
      <c r="K148" s="90" t="str">
        <f t="shared" ca="1" si="14"/>
        <v>—</v>
      </c>
      <c r="L148" s="91"/>
    </row>
    <row r="149" spans="1:12" ht="15" customHeight="1" x14ac:dyDescent="0.25">
      <c r="A149" s="76"/>
      <c r="B149" s="37" t="str">
        <f>IF(A149="","",IFERROR(VLOOKUP(A149,DB_Customers!$A:$D,4,0),"❌ Account Not Found"))</f>
        <v/>
      </c>
      <c r="C149" s="77" t="str">
        <f>IF(A149="","",IFERROR(VLOOKUP(A149,DB_Customers!$A:$N,14,0),"❌ Acct Not Found"))</f>
        <v/>
      </c>
      <c r="D149" s="78" t="str">
        <f t="shared" ca="1" si="12"/>
        <v/>
      </c>
      <c r="E149" s="94"/>
      <c r="F149" s="37"/>
      <c r="G149" s="95" t="str">
        <f t="shared" si="13"/>
        <v/>
      </c>
      <c r="H149" s="39" t="s">
        <v>137</v>
      </c>
      <c r="I149" s="81"/>
      <c r="J149" s="82" t="str">
        <f>IF(AND(A149&lt;&gt;"",E149&lt;&gt;""),IF(I149="","⚠️ Enter Code",IF(IFERROR(VLOOKUP(H149,DB_Agents!$B:$I,8,0),"")=I149,IF(C149&gt;=E149,"Successful","Unsuccessful"),"🔒 BLOCKED — Wrong Code")),"Pending")</f>
        <v>Pending</v>
      </c>
      <c r="K149" s="83" t="str">
        <f t="shared" ca="1" si="14"/>
        <v>—</v>
      </c>
      <c r="L149" s="84"/>
    </row>
    <row r="150" spans="1:12" ht="15" customHeight="1" x14ac:dyDescent="0.25">
      <c r="A150" s="85"/>
      <c r="B150" s="41" t="str">
        <f>IF(A150="","",IFERROR(VLOOKUP(A150,DB_Customers!$A:$D,4,0),"❌ Account Not Found"))</f>
        <v/>
      </c>
      <c r="C150" s="86" t="str">
        <f>IF(A150="","",IFERROR(VLOOKUP(A150,DB_Customers!$A:$N,14,0),"❌ Acct Not Found"))</f>
        <v/>
      </c>
      <c r="D150" s="87" t="str">
        <f t="shared" ca="1" si="12"/>
        <v/>
      </c>
      <c r="E150" s="94"/>
      <c r="F150" s="41"/>
      <c r="G150" s="96" t="str">
        <f t="shared" si="13"/>
        <v/>
      </c>
      <c r="H150" s="43" t="s">
        <v>137</v>
      </c>
      <c r="I150" s="81"/>
      <c r="J150" s="89" t="str">
        <f>IF(AND(A150&lt;&gt;"",E150&lt;&gt;""),IF(I150="","⚠️ Enter Code",IF(IFERROR(VLOOKUP(H150,DB_Agents!$B:$I,8,0),"")=I150,IF(C150&gt;=E150,"Successful","Unsuccessful"),"🔒 BLOCKED — Wrong Code")),"Pending")</f>
        <v>Pending</v>
      </c>
      <c r="K150" s="90" t="str">
        <f t="shared" ca="1" si="14"/>
        <v>—</v>
      </c>
      <c r="L150" s="91"/>
    </row>
    <row r="151" spans="1:12" ht="15" customHeight="1" x14ac:dyDescent="0.25">
      <c r="A151" s="76"/>
      <c r="B151" s="37" t="str">
        <f>IF(A151="","",IFERROR(VLOOKUP(A151,DB_Customers!$A:$D,4,0),"❌ Account Not Found"))</f>
        <v/>
      </c>
      <c r="C151" s="77" t="str">
        <f>IF(A151="","",IFERROR(VLOOKUP(A151,DB_Customers!$A:$N,14,0),"❌ Acct Not Found"))</f>
        <v/>
      </c>
      <c r="D151" s="78" t="str">
        <f t="shared" ca="1" si="12"/>
        <v/>
      </c>
      <c r="E151" s="94"/>
      <c r="F151" s="37"/>
      <c r="G151" s="95" t="str">
        <f t="shared" si="13"/>
        <v/>
      </c>
      <c r="H151" s="39" t="s">
        <v>137</v>
      </c>
      <c r="I151" s="81"/>
      <c r="J151" s="82" t="str">
        <f>IF(AND(A151&lt;&gt;"",E151&lt;&gt;""),IF(I151="","⚠️ Enter Code",IF(IFERROR(VLOOKUP(H151,DB_Agents!$B:$I,8,0),"")=I151,IF(C151&gt;=E151,"Successful","Unsuccessful"),"🔒 BLOCKED — Wrong Code")),"Pending")</f>
        <v>Pending</v>
      </c>
      <c r="K151" s="83" t="str">
        <f t="shared" ca="1" si="14"/>
        <v>—</v>
      </c>
      <c r="L151" s="84"/>
    </row>
    <row r="152" spans="1:12" ht="15" customHeight="1" x14ac:dyDescent="0.25">
      <c r="A152" s="85"/>
      <c r="B152" s="41" t="str">
        <f>IF(A152="","",IFERROR(VLOOKUP(A152,DB_Customers!$A:$D,4,0),"❌ Account Not Found"))</f>
        <v/>
      </c>
      <c r="C152" s="86" t="str">
        <f>IF(A152="","",IFERROR(VLOOKUP(A152,DB_Customers!$A:$N,14,0),"❌ Acct Not Found"))</f>
        <v/>
      </c>
      <c r="D152" s="87" t="str">
        <f t="shared" ca="1" si="12"/>
        <v/>
      </c>
      <c r="E152" s="94"/>
      <c r="F152" s="41"/>
      <c r="G152" s="96" t="str">
        <f t="shared" si="13"/>
        <v/>
      </c>
      <c r="H152" s="43" t="s">
        <v>137</v>
      </c>
      <c r="I152" s="81"/>
      <c r="J152" s="89" t="str">
        <f>IF(AND(A152&lt;&gt;"",E152&lt;&gt;""),IF(I152="","⚠️ Enter Code",IF(IFERROR(VLOOKUP(H152,DB_Agents!$B:$I,8,0),"")=I152,IF(C152&gt;=E152,"Successful","Unsuccessful"),"🔒 BLOCKED — Wrong Code")),"Pending")</f>
        <v>Pending</v>
      </c>
      <c r="K152" s="90" t="str">
        <f t="shared" ca="1" si="14"/>
        <v>—</v>
      </c>
      <c r="L152" s="91"/>
    </row>
    <row r="153" spans="1:12" ht="15" customHeight="1" x14ac:dyDescent="0.25">
      <c r="A153" s="76"/>
      <c r="B153" s="37" t="str">
        <f>IF(A153="","",IFERROR(VLOOKUP(A153,DB_Customers!$A:$D,4,0),"❌ Account Not Found"))</f>
        <v/>
      </c>
      <c r="C153" s="77" t="str">
        <f>IF(A153="","",IFERROR(VLOOKUP(A153,DB_Customers!$A:$N,14,0),"❌ Acct Not Found"))</f>
        <v/>
      </c>
      <c r="D153" s="78" t="str">
        <f t="shared" ca="1" si="12"/>
        <v/>
      </c>
      <c r="E153" s="94"/>
      <c r="F153" s="37"/>
      <c r="G153" s="95" t="str">
        <f t="shared" si="13"/>
        <v/>
      </c>
      <c r="H153" s="39" t="s">
        <v>137</v>
      </c>
      <c r="I153" s="81"/>
      <c r="J153" s="82" t="str">
        <f>IF(AND(A153&lt;&gt;"",E153&lt;&gt;""),IF(I153="","⚠️ Enter Code",IF(IFERROR(VLOOKUP(H153,DB_Agents!$B:$I,8,0),"")=I153,IF(C153&gt;=E153,"Successful","Unsuccessful"),"🔒 BLOCKED — Wrong Code")),"Pending")</f>
        <v>Pending</v>
      </c>
      <c r="K153" s="83" t="str">
        <f t="shared" ca="1" si="14"/>
        <v>—</v>
      </c>
      <c r="L153" s="84"/>
    </row>
    <row r="154" spans="1:12" ht="15" customHeight="1" x14ac:dyDescent="0.25">
      <c r="A154" s="85"/>
      <c r="B154" s="41" t="str">
        <f>IF(A154="","",IFERROR(VLOOKUP(A154,DB_Customers!$A:$D,4,0),"❌ Account Not Found"))</f>
        <v/>
      </c>
      <c r="C154" s="86" t="str">
        <f>IF(A154="","",IFERROR(VLOOKUP(A154,DB_Customers!$A:$N,14,0),"❌ Acct Not Found"))</f>
        <v/>
      </c>
      <c r="D154" s="87" t="str">
        <f t="shared" ca="1" si="12"/>
        <v/>
      </c>
      <c r="E154" s="94"/>
      <c r="F154" s="41"/>
      <c r="G154" s="96" t="str">
        <f t="shared" si="13"/>
        <v/>
      </c>
      <c r="H154" s="43" t="s">
        <v>137</v>
      </c>
      <c r="I154" s="81"/>
      <c r="J154" s="89" t="str">
        <f>IF(AND(A154&lt;&gt;"",E154&lt;&gt;""),IF(I154="","⚠️ Enter Code",IF(IFERROR(VLOOKUP(H154,DB_Agents!$B:$I,8,0),"")=I154,IF(C154&gt;=E154,"Successful","Unsuccessful"),"🔒 BLOCKED — Wrong Code")),"Pending")</f>
        <v>Pending</v>
      </c>
      <c r="K154" s="90" t="str">
        <f t="shared" ca="1" si="14"/>
        <v>—</v>
      </c>
      <c r="L154" s="91"/>
    </row>
    <row r="155" spans="1:12" ht="15" customHeight="1" x14ac:dyDescent="0.25">
      <c r="A155" s="76"/>
      <c r="B155" s="37" t="str">
        <f>IF(A155="","",IFERROR(VLOOKUP(A155,DB_Customers!$A:$D,4,0),"❌ Account Not Found"))</f>
        <v/>
      </c>
      <c r="C155" s="77" t="str">
        <f>IF(A155="","",IFERROR(VLOOKUP(A155,DB_Customers!$A:$N,14,0),"❌ Acct Not Found"))</f>
        <v/>
      </c>
      <c r="D155" s="78" t="str">
        <f t="shared" ca="1" si="12"/>
        <v/>
      </c>
      <c r="E155" s="94"/>
      <c r="F155" s="37"/>
      <c r="G155" s="95" t="str">
        <f t="shared" si="13"/>
        <v/>
      </c>
      <c r="H155" s="39" t="s">
        <v>137</v>
      </c>
      <c r="I155" s="81"/>
      <c r="J155" s="82" t="str">
        <f>IF(AND(A155&lt;&gt;"",E155&lt;&gt;""),IF(I155="","⚠️ Enter Code",IF(IFERROR(VLOOKUP(H155,DB_Agents!$B:$I,8,0),"")=I155,IF(C155&gt;=E155,"Successful","Unsuccessful"),"🔒 BLOCKED — Wrong Code")),"Pending")</f>
        <v>Pending</v>
      </c>
      <c r="K155" s="83" t="str">
        <f t="shared" ca="1" si="14"/>
        <v>—</v>
      </c>
      <c r="L155" s="84"/>
    </row>
    <row r="156" spans="1:12" ht="15" customHeight="1" x14ac:dyDescent="0.25">
      <c r="A156" s="85"/>
      <c r="B156" s="41" t="str">
        <f>IF(A156="","",IFERROR(VLOOKUP(A156,DB_Customers!$A:$D,4,0),"❌ Account Not Found"))</f>
        <v/>
      </c>
      <c r="C156" s="86" t="str">
        <f>IF(A156="","",IFERROR(VLOOKUP(A156,DB_Customers!$A:$N,14,0),"❌ Acct Not Found"))</f>
        <v/>
      </c>
      <c r="D156" s="87" t="str">
        <f t="shared" ca="1" si="12"/>
        <v/>
      </c>
      <c r="E156" s="94"/>
      <c r="F156" s="41"/>
      <c r="G156" s="96" t="str">
        <f t="shared" si="13"/>
        <v/>
      </c>
      <c r="H156" s="43" t="s">
        <v>137</v>
      </c>
      <c r="I156" s="81"/>
      <c r="J156" s="89" t="str">
        <f>IF(AND(A156&lt;&gt;"",E156&lt;&gt;""),IF(I156="","⚠️ Enter Code",IF(IFERROR(VLOOKUP(H156,DB_Agents!$B:$I,8,0),"")=I156,IF(C156&gt;=E156,"Successful","Unsuccessful"),"🔒 BLOCKED — Wrong Code")),"Pending")</f>
        <v>Pending</v>
      </c>
      <c r="K156" s="90" t="str">
        <f t="shared" ca="1" si="14"/>
        <v>—</v>
      </c>
      <c r="L156" s="91"/>
    </row>
    <row r="157" spans="1:12" ht="15" customHeight="1" x14ac:dyDescent="0.25">
      <c r="A157" s="76"/>
      <c r="B157" s="37" t="str">
        <f>IF(A157="","",IFERROR(VLOOKUP(A157,DB_Customers!$A:$D,4,0),"❌ Account Not Found"))</f>
        <v/>
      </c>
      <c r="C157" s="77" t="str">
        <f>IF(A157="","",IFERROR(VLOOKUP(A157,DB_Customers!$A:$N,14,0),"❌ Acct Not Found"))</f>
        <v/>
      </c>
      <c r="D157" s="78" t="str">
        <f t="shared" ca="1" si="12"/>
        <v/>
      </c>
      <c r="E157" s="94"/>
      <c r="F157" s="37"/>
      <c r="G157" s="95" t="str">
        <f t="shared" si="13"/>
        <v/>
      </c>
      <c r="H157" s="39" t="s">
        <v>137</v>
      </c>
      <c r="I157" s="81"/>
      <c r="J157" s="82" t="str">
        <f>IF(AND(A157&lt;&gt;"",E157&lt;&gt;""),IF(I157="","⚠️ Enter Code",IF(IFERROR(VLOOKUP(H157,DB_Agents!$B:$I,8,0),"")=I157,IF(C157&gt;=E157,"Successful","Unsuccessful"),"🔒 BLOCKED — Wrong Code")),"Pending")</f>
        <v>Pending</v>
      </c>
      <c r="K157" s="83" t="str">
        <f t="shared" ca="1" si="14"/>
        <v>—</v>
      </c>
      <c r="L157" s="84"/>
    </row>
    <row r="158" spans="1:12" ht="15" customHeight="1" x14ac:dyDescent="0.25">
      <c r="A158" s="85"/>
      <c r="B158" s="41" t="str">
        <f>IF(A158="","",IFERROR(VLOOKUP(A158,DB_Customers!$A:$D,4,0),"❌ Account Not Found"))</f>
        <v/>
      </c>
      <c r="C158" s="86" t="str">
        <f>IF(A158="","",IFERROR(VLOOKUP(A158,DB_Customers!$A:$N,14,0),"❌ Acct Not Found"))</f>
        <v/>
      </c>
      <c r="D158" s="87" t="str">
        <f t="shared" ca="1" si="12"/>
        <v/>
      </c>
      <c r="E158" s="94"/>
      <c r="F158" s="41"/>
      <c r="G158" s="96" t="str">
        <f t="shared" si="13"/>
        <v/>
      </c>
      <c r="H158" s="43" t="s">
        <v>137</v>
      </c>
      <c r="I158" s="81"/>
      <c r="J158" s="89" t="str">
        <f>IF(AND(A158&lt;&gt;"",E158&lt;&gt;""),IF(I158="","⚠️ Enter Code",IF(IFERROR(VLOOKUP(H158,DB_Agents!$B:$I,8,0),"")=I158,IF(C158&gt;=E158,"Successful","Unsuccessful"),"🔒 BLOCKED — Wrong Code")),"Pending")</f>
        <v>Pending</v>
      </c>
      <c r="K158" s="90" t="str">
        <f t="shared" ca="1" si="14"/>
        <v>—</v>
      </c>
      <c r="L158" s="91"/>
    </row>
    <row r="159" spans="1:12" ht="15" customHeight="1" x14ac:dyDescent="0.25">
      <c r="A159" s="76"/>
      <c r="B159" s="37" t="str">
        <f>IF(A159="","",IFERROR(VLOOKUP(A159,DB_Customers!$A:$D,4,0),"❌ Account Not Found"))</f>
        <v/>
      </c>
      <c r="C159" s="77" t="str">
        <f>IF(A159="","",IFERROR(VLOOKUP(A159,DB_Customers!$A:$N,14,0),"❌ Acct Not Found"))</f>
        <v/>
      </c>
      <c r="D159" s="78" t="str">
        <f t="shared" ca="1" si="12"/>
        <v/>
      </c>
      <c r="E159" s="94"/>
      <c r="F159" s="37"/>
      <c r="G159" s="95" t="str">
        <f t="shared" si="13"/>
        <v/>
      </c>
      <c r="H159" s="39" t="s">
        <v>137</v>
      </c>
      <c r="I159" s="81"/>
      <c r="J159" s="82" t="str">
        <f>IF(AND(A159&lt;&gt;"",E159&lt;&gt;""),IF(I159="","⚠️ Enter Code",IF(IFERROR(VLOOKUP(H159,DB_Agents!$B:$I,8,0),"")=I159,IF(C159&gt;=E159,"Successful","Unsuccessful"),"🔒 BLOCKED — Wrong Code")),"Pending")</f>
        <v>Pending</v>
      </c>
      <c r="K159" s="83" t="str">
        <f t="shared" ca="1" si="14"/>
        <v>—</v>
      </c>
      <c r="L159" s="84"/>
    </row>
    <row r="160" spans="1:12" ht="15" customHeight="1" x14ac:dyDescent="0.25">
      <c r="A160" s="85"/>
      <c r="B160" s="41" t="str">
        <f>IF(A160="","",IFERROR(VLOOKUP(A160,DB_Customers!$A:$D,4,0),"❌ Account Not Found"))</f>
        <v/>
      </c>
      <c r="C160" s="86" t="str">
        <f>IF(A160="","",IFERROR(VLOOKUP(A160,DB_Customers!$A:$N,14,0),"❌ Acct Not Found"))</f>
        <v/>
      </c>
      <c r="D160" s="87" t="str">
        <f t="shared" ca="1" si="12"/>
        <v/>
      </c>
      <c r="E160" s="94"/>
      <c r="F160" s="41"/>
      <c r="G160" s="96" t="str">
        <f t="shared" si="13"/>
        <v/>
      </c>
      <c r="H160" s="43" t="s">
        <v>137</v>
      </c>
      <c r="I160" s="81"/>
      <c r="J160" s="89" t="str">
        <f>IF(AND(A160&lt;&gt;"",E160&lt;&gt;""),IF(I160="","⚠️ Enter Code",IF(IFERROR(VLOOKUP(H160,DB_Agents!$B:$I,8,0),"")=I160,IF(C160&gt;=E160,"Successful","Unsuccessful"),"🔒 BLOCKED — Wrong Code")),"Pending")</f>
        <v>Pending</v>
      </c>
      <c r="K160" s="90" t="str">
        <f t="shared" ca="1" si="14"/>
        <v>—</v>
      </c>
      <c r="L160" s="91"/>
    </row>
    <row r="161" spans="1:12" ht="15" customHeight="1" x14ac:dyDescent="0.25">
      <c r="A161" s="76"/>
      <c r="B161" s="37" t="str">
        <f>IF(A161="","",IFERROR(VLOOKUP(A161,DB_Customers!$A:$D,4,0),"❌ Account Not Found"))</f>
        <v/>
      </c>
      <c r="C161" s="77" t="str">
        <f>IF(A161="","",IFERROR(VLOOKUP(A161,DB_Customers!$A:$N,14,0),"❌ Acct Not Found"))</f>
        <v/>
      </c>
      <c r="D161" s="78" t="str">
        <f t="shared" ca="1" si="12"/>
        <v/>
      </c>
      <c r="E161" s="94"/>
      <c r="F161" s="37"/>
      <c r="G161" s="95" t="str">
        <f t="shared" si="13"/>
        <v/>
      </c>
      <c r="H161" s="39" t="s">
        <v>137</v>
      </c>
      <c r="I161" s="81"/>
      <c r="J161" s="82" t="str">
        <f>IF(AND(A161&lt;&gt;"",E161&lt;&gt;""),IF(I161="","⚠️ Enter Code",IF(IFERROR(VLOOKUP(H161,DB_Agents!$B:$I,8,0),"")=I161,IF(C161&gt;=E161,"Successful","Unsuccessful"),"🔒 BLOCKED — Wrong Code")),"Pending")</f>
        <v>Pending</v>
      </c>
      <c r="K161" s="83" t="str">
        <f t="shared" ca="1" si="14"/>
        <v>—</v>
      </c>
      <c r="L161" s="84"/>
    </row>
    <row r="162" spans="1:12" ht="15" customHeight="1" x14ac:dyDescent="0.25">
      <c r="A162" s="85"/>
      <c r="B162" s="41" t="str">
        <f>IF(A162="","",IFERROR(VLOOKUP(A162,DB_Customers!$A:$D,4,0),"❌ Account Not Found"))</f>
        <v/>
      </c>
      <c r="C162" s="86" t="str">
        <f>IF(A162="","",IFERROR(VLOOKUP(A162,DB_Customers!$A:$N,14,0),"❌ Acct Not Found"))</f>
        <v/>
      </c>
      <c r="D162" s="87" t="str">
        <f t="shared" ca="1" si="12"/>
        <v/>
      </c>
      <c r="E162" s="94"/>
      <c r="F162" s="41"/>
      <c r="G162" s="96" t="str">
        <f t="shared" si="13"/>
        <v/>
      </c>
      <c r="H162" s="43" t="s">
        <v>137</v>
      </c>
      <c r="I162" s="81"/>
      <c r="J162" s="89" t="str">
        <f>IF(AND(A162&lt;&gt;"",E162&lt;&gt;""),IF(I162="","⚠️ Enter Code",IF(IFERROR(VLOOKUP(H162,DB_Agents!$B:$I,8,0),"")=I162,IF(C162&gt;=E162,"Successful","Unsuccessful"),"🔒 BLOCKED — Wrong Code")),"Pending")</f>
        <v>Pending</v>
      </c>
      <c r="K162" s="90" t="str">
        <f t="shared" ca="1" si="14"/>
        <v>—</v>
      </c>
      <c r="L162" s="91"/>
    </row>
    <row r="163" spans="1:12" ht="15" customHeight="1" x14ac:dyDescent="0.25">
      <c r="A163" s="76"/>
      <c r="B163" s="37" t="str">
        <f>IF(A163="","",IFERROR(VLOOKUP(A163,DB_Customers!$A:$D,4,0),"❌ Account Not Found"))</f>
        <v/>
      </c>
      <c r="C163" s="77" t="str">
        <f>IF(A163="","",IFERROR(VLOOKUP(A163,DB_Customers!$A:$N,14,0),"❌ Acct Not Found"))</f>
        <v/>
      </c>
      <c r="D163" s="78" t="str">
        <f t="shared" ca="1" si="12"/>
        <v/>
      </c>
      <c r="E163" s="94"/>
      <c r="F163" s="37"/>
      <c r="G163" s="95" t="str">
        <f t="shared" si="13"/>
        <v/>
      </c>
      <c r="H163" s="39" t="s">
        <v>137</v>
      </c>
      <c r="I163" s="81"/>
      <c r="J163" s="82" t="str">
        <f>IF(AND(A163&lt;&gt;"",E163&lt;&gt;""),IF(I163="","⚠️ Enter Code",IF(IFERROR(VLOOKUP(H163,DB_Agents!$B:$I,8,0),"")=I163,IF(C163&gt;=E163,"Successful","Unsuccessful"),"🔒 BLOCKED — Wrong Code")),"Pending")</f>
        <v>Pending</v>
      </c>
      <c r="K163" s="83" t="str">
        <f t="shared" ca="1" si="14"/>
        <v>—</v>
      </c>
      <c r="L163" s="84"/>
    </row>
    <row r="164" spans="1:12" ht="15" customHeight="1" x14ac:dyDescent="0.25">
      <c r="A164" s="85"/>
      <c r="B164" s="41" t="str">
        <f>IF(A164="","",IFERROR(VLOOKUP(A164,DB_Customers!$A:$D,4,0),"❌ Account Not Found"))</f>
        <v/>
      </c>
      <c r="C164" s="86" t="str">
        <f>IF(A164="","",IFERROR(VLOOKUP(A164,DB_Customers!$A:$N,14,0),"❌ Acct Not Found"))</f>
        <v/>
      </c>
      <c r="D164" s="87" t="str">
        <f t="shared" ca="1" si="12"/>
        <v/>
      </c>
      <c r="E164" s="94"/>
      <c r="F164" s="41"/>
      <c r="G164" s="96" t="str">
        <f t="shared" si="13"/>
        <v/>
      </c>
      <c r="H164" s="43" t="s">
        <v>137</v>
      </c>
      <c r="I164" s="81"/>
      <c r="J164" s="89" t="str">
        <f>IF(AND(A164&lt;&gt;"",E164&lt;&gt;""),IF(I164="","⚠️ Enter Code",IF(IFERROR(VLOOKUP(H164,DB_Agents!$B:$I,8,0),"")=I164,IF(C164&gt;=E164,"Successful","Unsuccessful"),"🔒 BLOCKED — Wrong Code")),"Pending")</f>
        <v>Pending</v>
      </c>
      <c r="K164" s="90" t="str">
        <f t="shared" ca="1" si="14"/>
        <v>—</v>
      </c>
      <c r="L164" s="91"/>
    </row>
    <row r="165" spans="1:12" ht="15" customHeight="1" x14ac:dyDescent="0.25">
      <c r="A165" s="76"/>
      <c r="B165" s="37" t="str">
        <f>IF(A165="","",IFERROR(VLOOKUP(A165,DB_Customers!$A:$D,4,0),"❌ Account Not Found"))</f>
        <v/>
      </c>
      <c r="C165" s="77" t="str">
        <f>IF(A165="","",IFERROR(VLOOKUP(A165,DB_Customers!$A:$N,14,0),"❌ Acct Not Found"))</f>
        <v/>
      </c>
      <c r="D165" s="78" t="str">
        <f t="shared" ca="1" si="12"/>
        <v/>
      </c>
      <c r="E165" s="94"/>
      <c r="F165" s="37"/>
      <c r="G165" s="95" t="str">
        <f t="shared" si="13"/>
        <v/>
      </c>
      <c r="H165" s="39" t="s">
        <v>137</v>
      </c>
      <c r="I165" s="81"/>
      <c r="J165" s="82" t="str">
        <f>IF(AND(A165&lt;&gt;"",E165&lt;&gt;""),IF(I165="","⚠️ Enter Code",IF(IFERROR(VLOOKUP(H165,DB_Agents!$B:$I,8,0),"")=I165,IF(C165&gt;=E165,"Successful","Unsuccessful"),"🔒 BLOCKED — Wrong Code")),"Pending")</f>
        <v>Pending</v>
      </c>
      <c r="K165" s="83" t="str">
        <f t="shared" ca="1" si="14"/>
        <v>—</v>
      </c>
      <c r="L165" s="84"/>
    </row>
    <row r="166" spans="1:12" ht="15" customHeight="1" x14ac:dyDescent="0.25">
      <c r="A166" s="85"/>
      <c r="B166" s="41" t="str">
        <f>IF(A166="","",IFERROR(VLOOKUP(A166,DB_Customers!$A:$D,4,0),"❌ Account Not Found"))</f>
        <v/>
      </c>
      <c r="C166" s="86" t="str">
        <f>IF(A166="","",IFERROR(VLOOKUP(A166,DB_Customers!$A:$N,14,0),"❌ Acct Not Found"))</f>
        <v/>
      </c>
      <c r="D166" s="87" t="str">
        <f t="shared" ca="1" si="12"/>
        <v/>
      </c>
      <c r="E166" s="94"/>
      <c r="F166" s="41"/>
      <c r="G166" s="96" t="str">
        <f t="shared" si="13"/>
        <v/>
      </c>
      <c r="H166" s="43" t="s">
        <v>137</v>
      </c>
      <c r="I166" s="81"/>
      <c r="J166" s="89" t="str">
        <f>IF(AND(A166&lt;&gt;"",E166&lt;&gt;""),IF(I166="","⚠️ Enter Code",IF(IFERROR(VLOOKUP(H166,DB_Agents!$B:$I,8,0),"")=I166,IF(C166&gt;=E166,"Successful","Unsuccessful"),"🔒 BLOCKED — Wrong Code")),"Pending")</f>
        <v>Pending</v>
      </c>
      <c r="K166" s="90" t="str">
        <f t="shared" ca="1" si="14"/>
        <v>—</v>
      </c>
      <c r="L166" s="91"/>
    </row>
    <row r="167" spans="1:12" ht="15" customHeight="1" x14ac:dyDescent="0.25">
      <c r="A167" s="76"/>
      <c r="B167" s="37" t="str">
        <f>IF(A167="","",IFERROR(VLOOKUP(A167,DB_Customers!$A:$D,4,0),"❌ Account Not Found"))</f>
        <v/>
      </c>
      <c r="C167" s="77" t="str">
        <f>IF(A167="","",IFERROR(VLOOKUP(A167,DB_Customers!$A:$N,14,0),"❌ Acct Not Found"))</f>
        <v/>
      </c>
      <c r="D167" s="78" t="str">
        <f t="shared" ca="1" si="12"/>
        <v/>
      </c>
      <c r="E167" s="94"/>
      <c r="F167" s="37"/>
      <c r="G167" s="95" t="str">
        <f t="shared" si="13"/>
        <v/>
      </c>
      <c r="H167" s="39" t="s">
        <v>137</v>
      </c>
      <c r="I167" s="81"/>
      <c r="J167" s="82" t="str">
        <f>IF(AND(A167&lt;&gt;"",E167&lt;&gt;""),IF(I167="","⚠️ Enter Code",IF(IFERROR(VLOOKUP(H167,DB_Agents!$B:$I,8,0),"")=I167,IF(C167&gt;=E167,"Successful","Unsuccessful"),"🔒 BLOCKED — Wrong Code")),"Pending")</f>
        <v>Pending</v>
      </c>
      <c r="K167" s="83" t="str">
        <f t="shared" ca="1" si="14"/>
        <v>—</v>
      </c>
      <c r="L167" s="84"/>
    </row>
    <row r="168" spans="1:12" ht="15" customHeight="1" x14ac:dyDescent="0.25">
      <c r="A168" s="85"/>
      <c r="B168" s="41" t="str">
        <f>IF(A168="","",IFERROR(VLOOKUP(A168,DB_Customers!$A:$D,4,0),"❌ Account Not Found"))</f>
        <v/>
      </c>
      <c r="C168" s="86" t="str">
        <f>IF(A168="","",IFERROR(VLOOKUP(A168,DB_Customers!$A:$N,14,0),"❌ Acct Not Found"))</f>
        <v/>
      </c>
      <c r="D168" s="87" t="str">
        <f t="shared" ca="1" si="12"/>
        <v/>
      </c>
      <c r="E168" s="94"/>
      <c r="F168" s="41"/>
      <c r="G168" s="96" t="str">
        <f t="shared" si="13"/>
        <v/>
      </c>
      <c r="H168" s="43" t="s">
        <v>137</v>
      </c>
      <c r="I168" s="81"/>
      <c r="J168" s="89" t="str">
        <f>IF(AND(A168&lt;&gt;"",E168&lt;&gt;""),IF(I168="","⚠️ Enter Code",IF(IFERROR(VLOOKUP(H168,DB_Agents!$B:$I,8,0),"")=I168,IF(C168&gt;=E168,"Successful","Unsuccessful"),"🔒 BLOCKED — Wrong Code")),"Pending")</f>
        <v>Pending</v>
      </c>
      <c r="K168" s="90" t="str">
        <f t="shared" ca="1" si="14"/>
        <v>—</v>
      </c>
      <c r="L168" s="91"/>
    </row>
    <row r="169" spans="1:12" ht="15" customHeight="1" x14ac:dyDescent="0.25">
      <c r="A169" s="76"/>
      <c r="B169" s="37" t="str">
        <f>IF(A169="","",IFERROR(VLOOKUP(A169,DB_Customers!$A:$D,4,0),"❌ Account Not Found"))</f>
        <v/>
      </c>
      <c r="C169" s="77" t="str">
        <f>IF(A169="","",IFERROR(VLOOKUP(A169,DB_Customers!$A:$N,14,0),"❌ Acct Not Found"))</f>
        <v/>
      </c>
      <c r="D169" s="78" t="str">
        <f t="shared" ref="D169:D200" ca="1" si="15">IF(A169="","",TODAY())</f>
        <v/>
      </c>
      <c r="E169" s="94"/>
      <c r="F169" s="37"/>
      <c r="G169" s="95" t="str">
        <f t="shared" ref="G169:G200" si="16">IF(OR(A169="",E169=""),"",IF(C169="","",C169-E169))</f>
        <v/>
      </c>
      <c r="H169" s="39" t="s">
        <v>137</v>
      </c>
      <c r="I169" s="81"/>
      <c r="J169" s="82" t="str">
        <f>IF(AND(A169&lt;&gt;"",E169&lt;&gt;""),IF(I169="","⚠️ Enter Code",IF(IFERROR(VLOOKUP(H169,DB_Agents!$B:$I,8,0),"")=I169,IF(C169&gt;=E169,"Successful","Unsuccessful"),"🔒 BLOCKED — Wrong Code")),"Pending")</f>
        <v>Pending</v>
      </c>
      <c r="K169" s="83" t="str">
        <f t="shared" ref="K169:K200" ca="1" si="17">IF(J169="Successful",TEXT(TODAY(),"YYYY-MM-DD")&amp;" Auto","—")</f>
        <v>—</v>
      </c>
      <c r="L169" s="84"/>
    </row>
    <row r="170" spans="1:12" ht="15" customHeight="1" x14ac:dyDescent="0.25">
      <c r="A170" s="85"/>
      <c r="B170" s="41" t="str">
        <f>IF(A170="","",IFERROR(VLOOKUP(A170,DB_Customers!$A:$D,4,0),"❌ Account Not Found"))</f>
        <v/>
      </c>
      <c r="C170" s="86" t="str">
        <f>IF(A170="","",IFERROR(VLOOKUP(A170,DB_Customers!$A:$N,14,0),"❌ Acct Not Found"))</f>
        <v/>
      </c>
      <c r="D170" s="87" t="str">
        <f t="shared" ca="1" si="15"/>
        <v/>
      </c>
      <c r="E170" s="94"/>
      <c r="F170" s="41"/>
      <c r="G170" s="96" t="str">
        <f t="shared" si="16"/>
        <v/>
      </c>
      <c r="H170" s="43" t="s">
        <v>137</v>
      </c>
      <c r="I170" s="81"/>
      <c r="J170" s="89" t="str">
        <f>IF(AND(A170&lt;&gt;"",E170&lt;&gt;""),IF(I170="","⚠️ Enter Code",IF(IFERROR(VLOOKUP(H170,DB_Agents!$B:$I,8,0),"")=I170,IF(C170&gt;=E170,"Successful","Unsuccessful"),"🔒 BLOCKED — Wrong Code")),"Pending")</f>
        <v>Pending</v>
      </c>
      <c r="K170" s="90" t="str">
        <f t="shared" ca="1" si="17"/>
        <v>—</v>
      </c>
      <c r="L170" s="91"/>
    </row>
    <row r="171" spans="1:12" ht="15" customHeight="1" x14ac:dyDescent="0.25">
      <c r="A171" s="76"/>
      <c r="B171" s="37" t="str">
        <f>IF(A171="","",IFERROR(VLOOKUP(A171,DB_Customers!$A:$D,4,0),"❌ Account Not Found"))</f>
        <v/>
      </c>
      <c r="C171" s="77" t="str">
        <f>IF(A171="","",IFERROR(VLOOKUP(A171,DB_Customers!$A:$N,14,0),"❌ Acct Not Found"))</f>
        <v/>
      </c>
      <c r="D171" s="78" t="str">
        <f t="shared" ca="1" si="15"/>
        <v/>
      </c>
      <c r="E171" s="94"/>
      <c r="F171" s="37"/>
      <c r="G171" s="95" t="str">
        <f t="shared" si="16"/>
        <v/>
      </c>
      <c r="H171" s="39" t="s">
        <v>137</v>
      </c>
      <c r="I171" s="81"/>
      <c r="J171" s="82" t="str">
        <f>IF(AND(A171&lt;&gt;"",E171&lt;&gt;""),IF(I171="","⚠️ Enter Code",IF(IFERROR(VLOOKUP(H171,DB_Agents!$B:$I,8,0),"")=I171,IF(C171&gt;=E171,"Successful","Unsuccessful"),"🔒 BLOCKED — Wrong Code")),"Pending")</f>
        <v>Pending</v>
      </c>
      <c r="K171" s="83" t="str">
        <f t="shared" ca="1" si="17"/>
        <v>—</v>
      </c>
      <c r="L171" s="84"/>
    </row>
    <row r="172" spans="1:12" ht="15" customHeight="1" x14ac:dyDescent="0.25">
      <c r="A172" s="85"/>
      <c r="B172" s="41" t="str">
        <f>IF(A172="","",IFERROR(VLOOKUP(A172,DB_Customers!$A:$D,4,0),"❌ Account Not Found"))</f>
        <v/>
      </c>
      <c r="C172" s="86" t="str">
        <f>IF(A172="","",IFERROR(VLOOKUP(A172,DB_Customers!$A:$N,14,0),"❌ Acct Not Found"))</f>
        <v/>
      </c>
      <c r="D172" s="87" t="str">
        <f t="shared" ca="1" si="15"/>
        <v/>
      </c>
      <c r="E172" s="94"/>
      <c r="F172" s="41"/>
      <c r="G172" s="96" t="str">
        <f t="shared" si="16"/>
        <v/>
      </c>
      <c r="H172" s="43" t="s">
        <v>137</v>
      </c>
      <c r="I172" s="81"/>
      <c r="J172" s="89" t="str">
        <f>IF(AND(A172&lt;&gt;"",E172&lt;&gt;""),IF(I172="","⚠️ Enter Code",IF(IFERROR(VLOOKUP(H172,DB_Agents!$B:$I,8,0),"")=I172,IF(C172&gt;=E172,"Successful","Unsuccessful"),"🔒 BLOCKED — Wrong Code")),"Pending")</f>
        <v>Pending</v>
      </c>
      <c r="K172" s="90" t="str">
        <f t="shared" ca="1" si="17"/>
        <v>—</v>
      </c>
      <c r="L172" s="91"/>
    </row>
    <row r="173" spans="1:12" ht="15" customHeight="1" x14ac:dyDescent="0.25">
      <c r="A173" s="76"/>
      <c r="B173" s="37" t="str">
        <f>IF(A173="","",IFERROR(VLOOKUP(A173,DB_Customers!$A:$D,4,0),"❌ Account Not Found"))</f>
        <v/>
      </c>
      <c r="C173" s="77" t="str">
        <f>IF(A173="","",IFERROR(VLOOKUP(A173,DB_Customers!$A:$N,14,0),"❌ Acct Not Found"))</f>
        <v/>
      </c>
      <c r="D173" s="78" t="str">
        <f t="shared" ca="1" si="15"/>
        <v/>
      </c>
      <c r="E173" s="94"/>
      <c r="F173" s="37"/>
      <c r="G173" s="95" t="str">
        <f t="shared" si="16"/>
        <v/>
      </c>
      <c r="H173" s="39" t="s">
        <v>137</v>
      </c>
      <c r="I173" s="81"/>
      <c r="J173" s="82" t="str">
        <f>IF(AND(A173&lt;&gt;"",E173&lt;&gt;""),IF(I173="","⚠️ Enter Code",IF(IFERROR(VLOOKUP(H173,DB_Agents!$B:$I,8,0),"")=I173,IF(C173&gt;=E173,"Successful","Unsuccessful"),"🔒 BLOCKED — Wrong Code")),"Pending")</f>
        <v>Pending</v>
      </c>
      <c r="K173" s="83" t="str">
        <f t="shared" ca="1" si="17"/>
        <v>—</v>
      </c>
      <c r="L173" s="84"/>
    </row>
    <row r="174" spans="1:12" ht="15" customHeight="1" x14ac:dyDescent="0.25">
      <c r="A174" s="85"/>
      <c r="B174" s="41" t="str">
        <f>IF(A174="","",IFERROR(VLOOKUP(A174,DB_Customers!$A:$D,4,0),"❌ Account Not Found"))</f>
        <v/>
      </c>
      <c r="C174" s="86" t="str">
        <f>IF(A174="","",IFERROR(VLOOKUP(A174,DB_Customers!$A:$N,14,0),"❌ Acct Not Found"))</f>
        <v/>
      </c>
      <c r="D174" s="87" t="str">
        <f t="shared" ca="1" si="15"/>
        <v/>
      </c>
      <c r="E174" s="94"/>
      <c r="F174" s="41"/>
      <c r="G174" s="96" t="str">
        <f t="shared" si="16"/>
        <v/>
      </c>
      <c r="H174" s="43" t="s">
        <v>137</v>
      </c>
      <c r="I174" s="81"/>
      <c r="J174" s="89" t="str">
        <f>IF(AND(A174&lt;&gt;"",E174&lt;&gt;""),IF(I174="","⚠️ Enter Code",IF(IFERROR(VLOOKUP(H174,DB_Agents!$B:$I,8,0),"")=I174,IF(C174&gt;=E174,"Successful","Unsuccessful"),"🔒 BLOCKED — Wrong Code")),"Pending")</f>
        <v>Pending</v>
      </c>
      <c r="K174" s="90" t="str">
        <f t="shared" ca="1" si="17"/>
        <v>—</v>
      </c>
      <c r="L174" s="91"/>
    </row>
    <row r="175" spans="1:12" ht="15" customHeight="1" x14ac:dyDescent="0.25">
      <c r="A175" s="76"/>
      <c r="B175" s="37" t="str">
        <f>IF(A175="","",IFERROR(VLOOKUP(A175,DB_Customers!$A:$D,4,0),"❌ Account Not Found"))</f>
        <v/>
      </c>
      <c r="C175" s="77" t="str">
        <f>IF(A175="","",IFERROR(VLOOKUP(A175,DB_Customers!$A:$N,14,0),"❌ Acct Not Found"))</f>
        <v/>
      </c>
      <c r="D175" s="78" t="str">
        <f t="shared" ca="1" si="15"/>
        <v/>
      </c>
      <c r="E175" s="94"/>
      <c r="F175" s="37"/>
      <c r="G175" s="95" t="str">
        <f t="shared" si="16"/>
        <v/>
      </c>
      <c r="H175" s="39" t="s">
        <v>137</v>
      </c>
      <c r="I175" s="81"/>
      <c r="J175" s="82" t="str">
        <f>IF(AND(A175&lt;&gt;"",E175&lt;&gt;""),IF(I175="","⚠️ Enter Code",IF(IFERROR(VLOOKUP(H175,DB_Agents!$B:$I,8,0),"")=I175,IF(C175&gt;=E175,"Successful","Unsuccessful"),"🔒 BLOCKED — Wrong Code")),"Pending")</f>
        <v>Pending</v>
      </c>
      <c r="K175" s="83" t="str">
        <f t="shared" ca="1" si="17"/>
        <v>—</v>
      </c>
      <c r="L175" s="84"/>
    </row>
    <row r="176" spans="1:12" ht="15" customHeight="1" x14ac:dyDescent="0.25">
      <c r="A176" s="85"/>
      <c r="B176" s="41" t="str">
        <f>IF(A176="","",IFERROR(VLOOKUP(A176,DB_Customers!$A:$D,4,0),"❌ Account Not Found"))</f>
        <v/>
      </c>
      <c r="C176" s="86" t="str">
        <f>IF(A176="","",IFERROR(VLOOKUP(A176,DB_Customers!$A:$N,14,0),"❌ Acct Not Found"))</f>
        <v/>
      </c>
      <c r="D176" s="87" t="str">
        <f t="shared" ca="1" si="15"/>
        <v/>
      </c>
      <c r="E176" s="94"/>
      <c r="F176" s="41"/>
      <c r="G176" s="96" t="str">
        <f t="shared" si="16"/>
        <v/>
      </c>
      <c r="H176" s="43" t="s">
        <v>137</v>
      </c>
      <c r="I176" s="81"/>
      <c r="J176" s="89" t="str">
        <f>IF(AND(A176&lt;&gt;"",E176&lt;&gt;""),IF(I176="","⚠️ Enter Code",IF(IFERROR(VLOOKUP(H176,DB_Agents!$B:$I,8,0),"")=I176,IF(C176&gt;=E176,"Successful","Unsuccessful"),"🔒 BLOCKED — Wrong Code")),"Pending")</f>
        <v>Pending</v>
      </c>
      <c r="K176" s="90" t="str">
        <f t="shared" ca="1" si="17"/>
        <v>—</v>
      </c>
      <c r="L176" s="91"/>
    </row>
    <row r="177" spans="1:12" ht="15" customHeight="1" x14ac:dyDescent="0.25">
      <c r="A177" s="76"/>
      <c r="B177" s="37" t="str">
        <f>IF(A177="","",IFERROR(VLOOKUP(A177,DB_Customers!$A:$D,4,0),"❌ Account Not Found"))</f>
        <v/>
      </c>
      <c r="C177" s="77" t="str">
        <f>IF(A177="","",IFERROR(VLOOKUP(A177,DB_Customers!$A:$N,14,0),"❌ Acct Not Found"))</f>
        <v/>
      </c>
      <c r="D177" s="78" t="str">
        <f t="shared" ca="1" si="15"/>
        <v/>
      </c>
      <c r="E177" s="94"/>
      <c r="F177" s="37"/>
      <c r="G177" s="95" t="str">
        <f t="shared" si="16"/>
        <v/>
      </c>
      <c r="H177" s="39" t="s">
        <v>137</v>
      </c>
      <c r="I177" s="81"/>
      <c r="J177" s="82" t="str">
        <f>IF(AND(A177&lt;&gt;"",E177&lt;&gt;""),IF(I177="","⚠️ Enter Code",IF(IFERROR(VLOOKUP(H177,DB_Agents!$B:$I,8,0),"")=I177,IF(C177&gt;=E177,"Successful","Unsuccessful"),"🔒 BLOCKED — Wrong Code")),"Pending")</f>
        <v>Pending</v>
      </c>
      <c r="K177" s="83" t="str">
        <f t="shared" ca="1" si="17"/>
        <v>—</v>
      </c>
      <c r="L177" s="84"/>
    </row>
    <row r="178" spans="1:12" ht="15" customHeight="1" x14ac:dyDescent="0.25">
      <c r="A178" s="85"/>
      <c r="B178" s="41" t="str">
        <f>IF(A178="","",IFERROR(VLOOKUP(A178,DB_Customers!$A:$D,4,0),"❌ Account Not Found"))</f>
        <v/>
      </c>
      <c r="C178" s="86" t="str">
        <f>IF(A178="","",IFERROR(VLOOKUP(A178,DB_Customers!$A:$N,14,0),"❌ Acct Not Found"))</f>
        <v/>
      </c>
      <c r="D178" s="87" t="str">
        <f t="shared" ca="1" si="15"/>
        <v/>
      </c>
      <c r="E178" s="94"/>
      <c r="F178" s="41"/>
      <c r="G178" s="96" t="str">
        <f t="shared" si="16"/>
        <v/>
      </c>
      <c r="H178" s="43" t="s">
        <v>137</v>
      </c>
      <c r="I178" s="81"/>
      <c r="J178" s="89" t="str">
        <f>IF(AND(A178&lt;&gt;"",E178&lt;&gt;""),IF(I178="","⚠️ Enter Code",IF(IFERROR(VLOOKUP(H178,DB_Agents!$B:$I,8,0),"")=I178,IF(C178&gt;=E178,"Successful","Unsuccessful"),"🔒 BLOCKED — Wrong Code")),"Pending")</f>
        <v>Pending</v>
      </c>
      <c r="K178" s="90" t="str">
        <f t="shared" ca="1" si="17"/>
        <v>—</v>
      </c>
      <c r="L178" s="91"/>
    </row>
    <row r="179" spans="1:12" ht="15" customHeight="1" x14ac:dyDescent="0.25">
      <c r="A179" s="76"/>
      <c r="B179" s="37" t="str">
        <f>IF(A179="","",IFERROR(VLOOKUP(A179,DB_Customers!$A:$D,4,0),"❌ Account Not Found"))</f>
        <v/>
      </c>
      <c r="C179" s="77" t="str">
        <f>IF(A179="","",IFERROR(VLOOKUP(A179,DB_Customers!$A:$N,14,0),"❌ Acct Not Found"))</f>
        <v/>
      </c>
      <c r="D179" s="78" t="str">
        <f t="shared" ca="1" si="15"/>
        <v/>
      </c>
      <c r="E179" s="94"/>
      <c r="F179" s="37"/>
      <c r="G179" s="95" t="str">
        <f t="shared" si="16"/>
        <v/>
      </c>
      <c r="H179" s="39" t="s">
        <v>137</v>
      </c>
      <c r="I179" s="81"/>
      <c r="J179" s="82" t="str">
        <f>IF(AND(A179&lt;&gt;"",E179&lt;&gt;""),IF(I179="","⚠️ Enter Code",IF(IFERROR(VLOOKUP(H179,DB_Agents!$B:$I,8,0),"")=I179,IF(C179&gt;=E179,"Successful","Unsuccessful"),"🔒 BLOCKED — Wrong Code")),"Pending")</f>
        <v>Pending</v>
      </c>
      <c r="K179" s="83" t="str">
        <f t="shared" ca="1" si="17"/>
        <v>—</v>
      </c>
      <c r="L179" s="84"/>
    </row>
    <row r="180" spans="1:12" ht="15" customHeight="1" x14ac:dyDescent="0.25">
      <c r="A180" s="85"/>
      <c r="B180" s="41" t="str">
        <f>IF(A180="","",IFERROR(VLOOKUP(A180,DB_Customers!$A:$D,4,0),"❌ Account Not Found"))</f>
        <v/>
      </c>
      <c r="C180" s="86" t="str">
        <f>IF(A180="","",IFERROR(VLOOKUP(A180,DB_Customers!$A:$N,14,0),"❌ Acct Not Found"))</f>
        <v/>
      </c>
      <c r="D180" s="87" t="str">
        <f t="shared" ca="1" si="15"/>
        <v/>
      </c>
      <c r="E180" s="94"/>
      <c r="F180" s="41"/>
      <c r="G180" s="96" t="str">
        <f t="shared" si="16"/>
        <v/>
      </c>
      <c r="H180" s="43" t="s">
        <v>137</v>
      </c>
      <c r="I180" s="81"/>
      <c r="J180" s="89" t="str">
        <f>IF(AND(A180&lt;&gt;"",E180&lt;&gt;""),IF(I180="","⚠️ Enter Code",IF(IFERROR(VLOOKUP(H180,DB_Agents!$B:$I,8,0),"")=I180,IF(C180&gt;=E180,"Successful","Unsuccessful"),"🔒 BLOCKED — Wrong Code")),"Pending")</f>
        <v>Pending</v>
      </c>
      <c r="K180" s="90" t="str">
        <f t="shared" ca="1" si="17"/>
        <v>—</v>
      </c>
      <c r="L180" s="91"/>
    </row>
    <row r="181" spans="1:12" ht="15" customHeight="1" x14ac:dyDescent="0.25">
      <c r="A181" s="76"/>
      <c r="B181" s="37" t="str">
        <f>IF(A181="","",IFERROR(VLOOKUP(A181,DB_Customers!$A:$D,4,0),"❌ Account Not Found"))</f>
        <v/>
      </c>
      <c r="C181" s="77" t="str">
        <f>IF(A181="","",IFERROR(VLOOKUP(A181,DB_Customers!$A:$N,14,0),"❌ Acct Not Found"))</f>
        <v/>
      </c>
      <c r="D181" s="78" t="str">
        <f t="shared" ca="1" si="15"/>
        <v/>
      </c>
      <c r="E181" s="94"/>
      <c r="F181" s="37"/>
      <c r="G181" s="95" t="str">
        <f t="shared" si="16"/>
        <v/>
      </c>
      <c r="H181" s="39" t="s">
        <v>137</v>
      </c>
      <c r="I181" s="81"/>
      <c r="J181" s="82" t="str">
        <f>IF(AND(A181&lt;&gt;"",E181&lt;&gt;""),IF(I181="","⚠️ Enter Code",IF(IFERROR(VLOOKUP(H181,DB_Agents!$B:$I,8,0),"")=I181,IF(C181&gt;=E181,"Successful","Unsuccessful"),"🔒 BLOCKED — Wrong Code")),"Pending")</f>
        <v>Pending</v>
      </c>
      <c r="K181" s="83" t="str">
        <f t="shared" ca="1" si="17"/>
        <v>—</v>
      </c>
      <c r="L181" s="84"/>
    </row>
    <row r="182" spans="1:12" ht="15" customHeight="1" x14ac:dyDescent="0.25">
      <c r="A182" s="85"/>
      <c r="B182" s="41" t="str">
        <f>IF(A182="","",IFERROR(VLOOKUP(A182,DB_Customers!$A:$D,4,0),"❌ Account Not Found"))</f>
        <v/>
      </c>
      <c r="C182" s="86" t="str">
        <f>IF(A182="","",IFERROR(VLOOKUP(A182,DB_Customers!$A:$N,14,0),"❌ Acct Not Found"))</f>
        <v/>
      </c>
      <c r="D182" s="87" t="str">
        <f t="shared" ca="1" si="15"/>
        <v/>
      </c>
      <c r="E182" s="94"/>
      <c r="F182" s="41"/>
      <c r="G182" s="96" t="str">
        <f t="shared" si="16"/>
        <v/>
      </c>
      <c r="H182" s="43" t="s">
        <v>137</v>
      </c>
      <c r="I182" s="81"/>
      <c r="J182" s="89" t="str">
        <f>IF(AND(A182&lt;&gt;"",E182&lt;&gt;""),IF(I182="","⚠️ Enter Code",IF(IFERROR(VLOOKUP(H182,DB_Agents!$B:$I,8,0),"")=I182,IF(C182&gt;=E182,"Successful","Unsuccessful"),"🔒 BLOCKED — Wrong Code")),"Pending")</f>
        <v>Pending</v>
      </c>
      <c r="K182" s="90" t="str">
        <f t="shared" ca="1" si="17"/>
        <v>—</v>
      </c>
      <c r="L182" s="91"/>
    </row>
    <row r="183" spans="1:12" ht="15" customHeight="1" x14ac:dyDescent="0.25">
      <c r="A183" s="76"/>
      <c r="B183" s="37" t="str">
        <f>IF(A183="","",IFERROR(VLOOKUP(A183,DB_Customers!$A:$D,4,0),"❌ Account Not Found"))</f>
        <v/>
      </c>
      <c r="C183" s="77" t="str">
        <f>IF(A183="","",IFERROR(VLOOKUP(A183,DB_Customers!$A:$N,14,0),"❌ Acct Not Found"))</f>
        <v/>
      </c>
      <c r="D183" s="78" t="str">
        <f t="shared" ca="1" si="15"/>
        <v/>
      </c>
      <c r="E183" s="94"/>
      <c r="F183" s="37"/>
      <c r="G183" s="95" t="str">
        <f t="shared" si="16"/>
        <v/>
      </c>
      <c r="H183" s="39" t="s">
        <v>137</v>
      </c>
      <c r="I183" s="81"/>
      <c r="J183" s="82" t="str">
        <f>IF(AND(A183&lt;&gt;"",E183&lt;&gt;""),IF(I183="","⚠️ Enter Code",IF(IFERROR(VLOOKUP(H183,DB_Agents!$B:$I,8,0),"")=I183,IF(C183&gt;=E183,"Successful","Unsuccessful"),"🔒 BLOCKED — Wrong Code")),"Pending")</f>
        <v>Pending</v>
      </c>
      <c r="K183" s="83" t="str">
        <f t="shared" ca="1" si="17"/>
        <v>—</v>
      </c>
      <c r="L183" s="84"/>
    </row>
    <row r="184" spans="1:12" ht="15" customHeight="1" x14ac:dyDescent="0.25">
      <c r="A184" s="85"/>
      <c r="B184" s="41" t="str">
        <f>IF(A184="","",IFERROR(VLOOKUP(A184,DB_Customers!$A:$D,4,0),"❌ Account Not Found"))</f>
        <v/>
      </c>
      <c r="C184" s="86" t="str">
        <f>IF(A184="","",IFERROR(VLOOKUP(A184,DB_Customers!$A:$N,14,0),"❌ Acct Not Found"))</f>
        <v/>
      </c>
      <c r="D184" s="87" t="str">
        <f t="shared" ca="1" si="15"/>
        <v/>
      </c>
      <c r="E184" s="94"/>
      <c r="F184" s="41"/>
      <c r="G184" s="96" t="str">
        <f t="shared" si="16"/>
        <v/>
      </c>
      <c r="H184" s="43" t="s">
        <v>137</v>
      </c>
      <c r="I184" s="81"/>
      <c r="J184" s="89" t="str">
        <f>IF(AND(A184&lt;&gt;"",E184&lt;&gt;""),IF(I184="","⚠️ Enter Code",IF(IFERROR(VLOOKUP(H184,DB_Agents!$B:$I,8,0),"")=I184,IF(C184&gt;=E184,"Successful","Unsuccessful"),"🔒 BLOCKED — Wrong Code")),"Pending")</f>
        <v>Pending</v>
      </c>
      <c r="K184" s="90" t="str">
        <f t="shared" ca="1" si="17"/>
        <v>—</v>
      </c>
      <c r="L184" s="91"/>
    </row>
    <row r="185" spans="1:12" ht="15" customHeight="1" x14ac:dyDescent="0.25">
      <c r="A185" s="76"/>
      <c r="B185" s="37" t="str">
        <f>IF(A185="","",IFERROR(VLOOKUP(A185,DB_Customers!$A:$D,4,0),"❌ Account Not Found"))</f>
        <v/>
      </c>
      <c r="C185" s="77" t="str">
        <f>IF(A185="","",IFERROR(VLOOKUP(A185,DB_Customers!$A:$N,14,0),"❌ Acct Not Found"))</f>
        <v/>
      </c>
      <c r="D185" s="78" t="str">
        <f t="shared" ca="1" si="15"/>
        <v/>
      </c>
      <c r="E185" s="94"/>
      <c r="F185" s="37"/>
      <c r="G185" s="95" t="str">
        <f t="shared" si="16"/>
        <v/>
      </c>
      <c r="H185" s="39" t="s">
        <v>137</v>
      </c>
      <c r="I185" s="81"/>
      <c r="J185" s="82" t="str">
        <f>IF(AND(A185&lt;&gt;"",E185&lt;&gt;""),IF(I185="","⚠️ Enter Code",IF(IFERROR(VLOOKUP(H185,DB_Agents!$B:$I,8,0),"")=I185,IF(C185&gt;=E185,"Successful","Unsuccessful"),"🔒 BLOCKED — Wrong Code")),"Pending")</f>
        <v>Pending</v>
      </c>
      <c r="K185" s="83" t="str">
        <f t="shared" ca="1" si="17"/>
        <v>—</v>
      </c>
      <c r="L185" s="84"/>
    </row>
    <row r="186" spans="1:12" ht="15" customHeight="1" x14ac:dyDescent="0.25">
      <c r="A186" s="85"/>
      <c r="B186" s="41" t="str">
        <f>IF(A186="","",IFERROR(VLOOKUP(A186,DB_Customers!$A:$D,4,0),"❌ Account Not Found"))</f>
        <v/>
      </c>
      <c r="C186" s="86" t="str">
        <f>IF(A186="","",IFERROR(VLOOKUP(A186,DB_Customers!$A:$N,14,0),"❌ Acct Not Found"))</f>
        <v/>
      </c>
      <c r="D186" s="87" t="str">
        <f t="shared" ca="1" si="15"/>
        <v/>
      </c>
      <c r="E186" s="94"/>
      <c r="F186" s="41"/>
      <c r="G186" s="96" t="str">
        <f t="shared" si="16"/>
        <v/>
      </c>
      <c r="H186" s="43" t="s">
        <v>137</v>
      </c>
      <c r="I186" s="81"/>
      <c r="J186" s="89" t="str">
        <f>IF(AND(A186&lt;&gt;"",E186&lt;&gt;""),IF(I186="","⚠️ Enter Code",IF(IFERROR(VLOOKUP(H186,DB_Agents!$B:$I,8,0),"")=I186,IF(C186&gt;=E186,"Successful","Unsuccessful"),"🔒 BLOCKED — Wrong Code")),"Pending")</f>
        <v>Pending</v>
      </c>
      <c r="K186" s="90" t="str">
        <f t="shared" ca="1" si="17"/>
        <v>—</v>
      </c>
      <c r="L186" s="91"/>
    </row>
    <row r="187" spans="1:12" ht="15" customHeight="1" x14ac:dyDescent="0.25">
      <c r="A187" s="76"/>
      <c r="B187" s="37" t="str">
        <f>IF(A187="","",IFERROR(VLOOKUP(A187,DB_Customers!$A:$D,4,0),"❌ Account Not Found"))</f>
        <v/>
      </c>
      <c r="C187" s="77" t="str">
        <f>IF(A187="","",IFERROR(VLOOKUP(A187,DB_Customers!$A:$N,14,0),"❌ Acct Not Found"))</f>
        <v/>
      </c>
      <c r="D187" s="78" t="str">
        <f t="shared" ca="1" si="15"/>
        <v/>
      </c>
      <c r="E187" s="94"/>
      <c r="F187" s="37"/>
      <c r="G187" s="95" t="str">
        <f t="shared" si="16"/>
        <v/>
      </c>
      <c r="H187" s="39" t="s">
        <v>137</v>
      </c>
      <c r="I187" s="81"/>
      <c r="J187" s="82" t="str">
        <f>IF(AND(A187&lt;&gt;"",E187&lt;&gt;""),IF(I187="","⚠️ Enter Code",IF(IFERROR(VLOOKUP(H187,DB_Agents!$B:$I,8,0),"")=I187,IF(C187&gt;=E187,"Successful","Unsuccessful"),"🔒 BLOCKED — Wrong Code")),"Pending")</f>
        <v>Pending</v>
      </c>
      <c r="K187" s="83" t="str">
        <f t="shared" ca="1" si="17"/>
        <v>—</v>
      </c>
      <c r="L187" s="84"/>
    </row>
    <row r="188" spans="1:12" ht="15" customHeight="1" x14ac:dyDescent="0.25">
      <c r="A188" s="85"/>
      <c r="B188" s="41" t="str">
        <f>IF(A188="","",IFERROR(VLOOKUP(A188,DB_Customers!$A:$D,4,0),"❌ Account Not Found"))</f>
        <v/>
      </c>
      <c r="C188" s="86" t="str">
        <f>IF(A188="","",IFERROR(VLOOKUP(A188,DB_Customers!$A:$N,14,0),"❌ Acct Not Found"))</f>
        <v/>
      </c>
      <c r="D188" s="87" t="str">
        <f t="shared" ca="1" si="15"/>
        <v/>
      </c>
      <c r="E188" s="94"/>
      <c r="F188" s="41"/>
      <c r="G188" s="96" t="str">
        <f t="shared" si="16"/>
        <v/>
      </c>
      <c r="H188" s="43" t="s">
        <v>137</v>
      </c>
      <c r="I188" s="81"/>
      <c r="J188" s="89" t="str">
        <f>IF(AND(A188&lt;&gt;"",E188&lt;&gt;""),IF(I188="","⚠️ Enter Code",IF(IFERROR(VLOOKUP(H188,DB_Agents!$B:$I,8,0),"")=I188,IF(C188&gt;=E188,"Successful","Unsuccessful"),"🔒 BLOCKED — Wrong Code")),"Pending")</f>
        <v>Pending</v>
      </c>
      <c r="K188" s="90" t="str">
        <f t="shared" ca="1" si="17"/>
        <v>—</v>
      </c>
      <c r="L188" s="91"/>
    </row>
    <row r="189" spans="1:12" ht="15" customHeight="1" x14ac:dyDescent="0.25">
      <c r="A189" s="76"/>
      <c r="B189" s="37" t="str">
        <f>IF(A189="","",IFERROR(VLOOKUP(A189,DB_Customers!$A:$D,4,0),"❌ Account Not Found"))</f>
        <v/>
      </c>
      <c r="C189" s="77" t="str">
        <f>IF(A189="","",IFERROR(VLOOKUP(A189,DB_Customers!$A:$N,14,0),"❌ Acct Not Found"))</f>
        <v/>
      </c>
      <c r="D189" s="78" t="str">
        <f t="shared" ca="1" si="15"/>
        <v/>
      </c>
      <c r="E189" s="94"/>
      <c r="F189" s="37"/>
      <c r="G189" s="95" t="str">
        <f t="shared" si="16"/>
        <v/>
      </c>
      <c r="H189" s="39" t="s">
        <v>137</v>
      </c>
      <c r="I189" s="81"/>
      <c r="J189" s="82" t="str">
        <f>IF(AND(A189&lt;&gt;"",E189&lt;&gt;""),IF(I189="","⚠️ Enter Code",IF(IFERROR(VLOOKUP(H189,DB_Agents!$B:$I,8,0),"")=I189,IF(C189&gt;=E189,"Successful","Unsuccessful"),"🔒 BLOCKED — Wrong Code")),"Pending")</f>
        <v>Pending</v>
      </c>
      <c r="K189" s="83" t="str">
        <f t="shared" ca="1" si="17"/>
        <v>—</v>
      </c>
      <c r="L189" s="84"/>
    </row>
    <row r="190" spans="1:12" ht="15" customHeight="1" x14ac:dyDescent="0.25">
      <c r="A190" s="85"/>
      <c r="B190" s="41" t="str">
        <f>IF(A190="","",IFERROR(VLOOKUP(A190,DB_Customers!$A:$D,4,0),"❌ Account Not Found"))</f>
        <v/>
      </c>
      <c r="C190" s="86" t="str">
        <f>IF(A190="","",IFERROR(VLOOKUP(A190,DB_Customers!$A:$N,14,0),"❌ Acct Not Found"))</f>
        <v/>
      </c>
      <c r="D190" s="87" t="str">
        <f t="shared" ca="1" si="15"/>
        <v/>
      </c>
      <c r="E190" s="94"/>
      <c r="F190" s="41"/>
      <c r="G190" s="96" t="str">
        <f t="shared" si="16"/>
        <v/>
      </c>
      <c r="H190" s="43" t="s">
        <v>137</v>
      </c>
      <c r="I190" s="81"/>
      <c r="J190" s="89" t="str">
        <f>IF(AND(A190&lt;&gt;"",E190&lt;&gt;""),IF(I190="","⚠️ Enter Code",IF(IFERROR(VLOOKUP(H190,DB_Agents!$B:$I,8,0),"")=I190,IF(C190&gt;=E190,"Successful","Unsuccessful"),"🔒 BLOCKED — Wrong Code")),"Pending")</f>
        <v>Pending</v>
      </c>
      <c r="K190" s="90" t="str">
        <f t="shared" ca="1" si="17"/>
        <v>—</v>
      </c>
      <c r="L190" s="91"/>
    </row>
    <row r="191" spans="1:12" ht="15" customHeight="1" x14ac:dyDescent="0.25">
      <c r="A191" s="76"/>
      <c r="B191" s="37" t="str">
        <f>IF(A191="","",IFERROR(VLOOKUP(A191,DB_Customers!$A:$D,4,0),"❌ Account Not Found"))</f>
        <v/>
      </c>
      <c r="C191" s="77" t="str">
        <f>IF(A191="","",IFERROR(VLOOKUP(A191,DB_Customers!$A:$N,14,0),"❌ Acct Not Found"))</f>
        <v/>
      </c>
      <c r="D191" s="78" t="str">
        <f t="shared" ca="1" si="15"/>
        <v/>
      </c>
      <c r="E191" s="94"/>
      <c r="F191" s="37"/>
      <c r="G191" s="95" t="str">
        <f t="shared" si="16"/>
        <v/>
      </c>
      <c r="H191" s="39" t="s">
        <v>137</v>
      </c>
      <c r="I191" s="81"/>
      <c r="J191" s="82" t="str">
        <f>IF(AND(A191&lt;&gt;"",E191&lt;&gt;""),IF(I191="","⚠️ Enter Code",IF(IFERROR(VLOOKUP(H191,DB_Agents!$B:$I,8,0),"")=I191,IF(C191&gt;=E191,"Successful","Unsuccessful"),"🔒 BLOCKED — Wrong Code")),"Pending")</f>
        <v>Pending</v>
      </c>
      <c r="K191" s="83" t="str">
        <f t="shared" ca="1" si="17"/>
        <v>—</v>
      </c>
      <c r="L191" s="84"/>
    </row>
    <row r="192" spans="1:12" ht="15" customHeight="1" x14ac:dyDescent="0.25">
      <c r="A192" s="85"/>
      <c r="B192" s="41" t="str">
        <f>IF(A192="","",IFERROR(VLOOKUP(A192,DB_Customers!$A:$D,4,0),"❌ Account Not Found"))</f>
        <v/>
      </c>
      <c r="C192" s="86" t="str">
        <f>IF(A192="","",IFERROR(VLOOKUP(A192,DB_Customers!$A:$N,14,0),"❌ Acct Not Found"))</f>
        <v/>
      </c>
      <c r="D192" s="87" t="str">
        <f t="shared" ca="1" si="15"/>
        <v/>
      </c>
      <c r="E192" s="94"/>
      <c r="F192" s="41"/>
      <c r="G192" s="96" t="str">
        <f t="shared" si="16"/>
        <v/>
      </c>
      <c r="H192" s="43" t="s">
        <v>137</v>
      </c>
      <c r="I192" s="81"/>
      <c r="J192" s="89" t="str">
        <f>IF(AND(A192&lt;&gt;"",E192&lt;&gt;""),IF(I192="","⚠️ Enter Code",IF(IFERROR(VLOOKUP(H192,DB_Agents!$B:$I,8,0),"")=I192,IF(C192&gt;=E192,"Successful","Unsuccessful"),"🔒 BLOCKED — Wrong Code")),"Pending")</f>
        <v>Pending</v>
      </c>
      <c r="K192" s="90" t="str">
        <f t="shared" ca="1" si="17"/>
        <v>—</v>
      </c>
      <c r="L192" s="91"/>
    </row>
    <row r="193" spans="1:12" ht="15" customHeight="1" x14ac:dyDescent="0.25">
      <c r="A193" s="76"/>
      <c r="B193" s="37" t="str">
        <f>IF(A193="","",IFERROR(VLOOKUP(A193,DB_Customers!$A:$D,4,0),"❌ Account Not Found"))</f>
        <v/>
      </c>
      <c r="C193" s="77" t="str">
        <f>IF(A193="","",IFERROR(VLOOKUP(A193,DB_Customers!$A:$N,14,0),"❌ Acct Not Found"))</f>
        <v/>
      </c>
      <c r="D193" s="78" t="str">
        <f t="shared" ca="1" si="15"/>
        <v/>
      </c>
      <c r="E193" s="94"/>
      <c r="F193" s="37"/>
      <c r="G193" s="95" t="str">
        <f t="shared" si="16"/>
        <v/>
      </c>
      <c r="H193" s="39" t="s">
        <v>137</v>
      </c>
      <c r="I193" s="81"/>
      <c r="J193" s="82" t="str">
        <f>IF(AND(A193&lt;&gt;"",E193&lt;&gt;""),IF(I193="","⚠️ Enter Code",IF(IFERROR(VLOOKUP(H193,DB_Agents!$B:$I,8,0),"")=I193,IF(C193&gt;=E193,"Successful","Unsuccessful"),"🔒 BLOCKED — Wrong Code")),"Pending")</f>
        <v>Pending</v>
      </c>
      <c r="K193" s="83" t="str">
        <f t="shared" ca="1" si="17"/>
        <v>—</v>
      </c>
      <c r="L193" s="84"/>
    </row>
    <row r="194" spans="1:12" ht="15" customHeight="1" x14ac:dyDescent="0.25">
      <c r="A194" s="85"/>
      <c r="B194" s="41" t="str">
        <f>IF(A194="","",IFERROR(VLOOKUP(A194,DB_Customers!$A:$D,4,0),"❌ Account Not Found"))</f>
        <v/>
      </c>
      <c r="C194" s="86" t="str">
        <f>IF(A194="","",IFERROR(VLOOKUP(A194,DB_Customers!$A:$N,14,0),"❌ Acct Not Found"))</f>
        <v/>
      </c>
      <c r="D194" s="87" t="str">
        <f t="shared" ca="1" si="15"/>
        <v/>
      </c>
      <c r="E194" s="94"/>
      <c r="F194" s="41"/>
      <c r="G194" s="96" t="str">
        <f t="shared" si="16"/>
        <v/>
      </c>
      <c r="H194" s="43" t="s">
        <v>137</v>
      </c>
      <c r="I194" s="81"/>
      <c r="J194" s="89" t="str">
        <f>IF(AND(A194&lt;&gt;"",E194&lt;&gt;""),IF(I194="","⚠️ Enter Code",IF(IFERROR(VLOOKUP(H194,DB_Agents!$B:$I,8,0),"")=I194,IF(C194&gt;=E194,"Successful","Unsuccessful"),"🔒 BLOCKED — Wrong Code")),"Pending")</f>
        <v>Pending</v>
      </c>
      <c r="K194" s="90" t="str">
        <f t="shared" ca="1" si="17"/>
        <v>—</v>
      </c>
      <c r="L194" s="91"/>
    </row>
    <row r="195" spans="1:12" ht="15" customHeight="1" x14ac:dyDescent="0.25">
      <c r="A195" s="76"/>
      <c r="B195" s="37" t="str">
        <f>IF(A195="","",IFERROR(VLOOKUP(A195,DB_Customers!$A:$D,4,0),"❌ Account Not Found"))</f>
        <v/>
      </c>
      <c r="C195" s="77" t="str">
        <f>IF(A195="","",IFERROR(VLOOKUP(A195,DB_Customers!$A:$N,14,0),"❌ Acct Not Found"))</f>
        <v/>
      </c>
      <c r="D195" s="78" t="str">
        <f t="shared" ca="1" si="15"/>
        <v/>
      </c>
      <c r="E195" s="94"/>
      <c r="F195" s="37"/>
      <c r="G195" s="95" t="str">
        <f t="shared" si="16"/>
        <v/>
      </c>
      <c r="H195" s="39" t="s">
        <v>137</v>
      </c>
      <c r="I195" s="81"/>
      <c r="J195" s="82" t="str">
        <f>IF(AND(A195&lt;&gt;"",E195&lt;&gt;""),IF(I195="","⚠️ Enter Code",IF(IFERROR(VLOOKUP(H195,DB_Agents!$B:$I,8,0),"")=I195,IF(C195&gt;=E195,"Successful","Unsuccessful"),"🔒 BLOCKED — Wrong Code")),"Pending")</f>
        <v>Pending</v>
      </c>
      <c r="K195" s="83" t="str">
        <f t="shared" ca="1" si="17"/>
        <v>—</v>
      </c>
      <c r="L195" s="84"/>
    </row>
    <row r="196" spans="1:12" ht="15" customHeight="1" x14ac:dyDescent="0.25">
      <c r="A196" s="85"/>
      <c r="B196" s="41" t="str">
        <f>IF(A196="","",IFERROR(VLOOKUP(A196,DB_Customers!$A:$D,4,0),"❌ Account Not Found"))</f>
        <v/>
      </c>
      <c r="C196" s="86" t="str">
        <f>IF(A196="","",IFERROR(VLOOKUP(A196,DB_Customers!$A:$N,14,0),"❌ Acct Not Found"))</f>
        <v/>
      </c>
      <c r="D196" s="87" t="str">
        <f t="shared" ca="1" si="15"/>
        <v/>
      </c>
      <c r="E196" s="94"/>
      <c r="F196" s="41"/>
      <c r="G196" s="96" t="str">
        <f t="shared" si="16"/>
        <v/>
      </c>
      <c r="H196" s="43" t="s">
        <v>137</v>
      </c>
      <c r="I196" s="81"/>
      <c r="J196" s="89" t="str">
        <f>IF(AND(A196&lt;&gt;"",E196&lt;&gt;""),IF(I196="","⚠️ Enter Code",IF(IFERROR(VLOOKUP(H196,DB_Agents!$B:$I,8,0),"")=I196,IF(C196&gt;=E196,"Successful","Unsuccessful"),"🔒 BLOCKED — Wrong Code")),"Pending")</f>
        <v>Pending</v>
      </c>
      <c r="K196" s="90" t="str">
        <f t="shared" ca="1" si="17"/>
        <v>—</v>
      </c>
      <c r="L196" s="91"/>
    </row>
    <row r="197" spans="1:12" ht="15" customHeight="1" x14ac:dyDescent="0.25">
      <c r="A197" s="76"/>
      <c r="B197" s="37" t="str">
        <f>IF(A197="","",IFERROR(VLOOKUP(A197,DB_Customers!$A:$D,4,0),"❌ Account Not Found"))</f>
        <v/>
      </c>
      <c r="C197" s="77" t="str">
        <f>IF(A197="","",IFERROR(VLOOKUP(A197,DB_Customers!$A:$N,14,0),"❌ Acct Not Found"))</f>
        <v/>
      </c>
      <c r="D197" s="78" t="str">
        <f t="shared" ca="1" si="15"/>
        <v/>
      </c>
      <c r="E197" s="94"/>
      <c r="F197" s="37"/>
      <c r="G197" s="95" t="str">
        <f t="shared" si="16"/>
        <v/>
      </c>
      <c r="H197" s="39" t="s">
        <v>137</v>
      </c>
      <c r="I197" s="81"/>
      <c r="J197" s="82" t="str">
        <f>IF(AND(A197&lt;&gt;"",E197&lt;&gt;""),IF(I197="","⚠️ Enter Code",IF(IFERROR(VLOOKUP(H197,DB_Agents!$B:$I,8,0),"")=I197,IF(C197&gt;=E197,"Successful","Unsuccessful"),"🔒 BLOCKED — Wrong Code")),"Pending")</f>
        <v>Pending</v>
      </c>
      <c r="K197" s="83" t="str">
        <f t="shared" ca="1" si="17"/>
        <v>—</v>
      </c>
      <c r="L197" s="84"/>
    </row>
    <row r="198" spans="1:12" ht="15" customHeight="1" x14ac:dyDescent="0.25">
      <c r="A198" s="85"/>
      <c r="B198" s="41" t="str">
        <f>IF(A198="","",IFERROR(VLOOKUP(A198,DB_Customers!$A:$D,4,0),"❌ Account Not Found"))</f>
        <v/>
      </c>
      <c r="C198" s="86" t="str">
        <f>IF(A198="","",IFERROR(VLOOKUP(A198,DB_Customers!$A:$N,14,0),"❌ Acct Not Found"))</f>
        <v/>
      </c>
      <c r="D198" s="87" t="str">
        <f t="shared" ca="1" si="15"/>
        <v/>
      </c>
      <c r="E198" s="94"/>
      <c r="F198" s="41"/>
      <c r="G198" s="96" t="str">
        <f t="shared" si="16"/>
        <v/>
      </c>
      <c r="H198" s="43" t="s">
        <v>137</v>
      </c>
      <c r="I198" s="81"/>
      <c r="J198" s="89" t="str">
        <f>IF(AND(A198&lt;&gt;"",E198&lt;&gt;""),IF(I198="","⚠️ Enter Code",IF(IFERROR(VLOOKUP(H198,DB_Agents!$B:$I,8,0),"")=I198,IF(C198&gt;=E198,"Successful","Unsuccessful"),"🔒 BLOCKED — Wrong Code")),"Pending")</f>
        <v>Pending</v>
      </c>
      <c r="K198" s="90" t="str">
        <f t="shared" ca="1" si="17"/>
        <v>—</v>
      </c>
      <c r="L198" s="91"/>
    </row>
    <row r="199" spans="1:12" ht="15" customHeight="1" x14ac:dyDescent="0.25">
      <c r="A199" s="76"/>
      <c r="B199" s="37" t="str">
        <f>IF(A199="","",IFERROR(VLOOKUP(A199,DB_Customers!$A:$D,4,0),"❌ Account Not Found"))</f>
        <v/>
      </c>
      <c r="C199" s="77" t="str">
        <f>IF(A199="","",IFERROR(VLOOKUP(A199,DB_Customers!$A:$N,14,0),"❌ Acct Not Found"))</f>
        <v/>
      </c>
      <c r="D199" s="78" t="str">
        <f t="shared" ca="1" si="15"/>
        <v/>
      </c>
      <c r="E199" s="94"/>
      <c r="F199" s="37"/>
      <c r="G199" s="95" t="str">
        <f t="shared" si="16"/>
        <v/>
      </c>
      <c r="H199" s="39" t="s">
        <v>137</v>
      </c>
      <c r="I199" s="81"/>
      <c r="J199" s="82" t="str">
        <f>IF(AND(A199&lt;&gt;"",E199&lt;&gt;""),IF(I199="","⚠️ Enter Code",IF(IFERROR(VLOOKUP(H199,DB_Agents!$B:$I,8,0),"")=I199,IF(C199&gt;=E199,"Successful","Unsuccessful"),"🔒 BLOCKED — Wrong Code")),"Pending")</f>
        <v>Pending</v>
      </c>
      <c r="K199" s="83" t="str">
        <f t="shared" ca="1" si="17"/>
        <v>—</v>
      </c>
      <c r="L199" s="84"/>
    </row>
    <row r="200" spans="1:12" ht="15" customHeight="1" x14ac:dyDescent="0.25">
      <c r="A200" s="85"/>
      <c r="B200" s="41" t="str">
        <f>IF(A200="","",IFERROR(VLOOKUP(A200,DB_Customers!$A:$D,4,0),"❌ Account Not Found"))</f>
        <v/>
      </c>
      <c r="C200" s="86" t="str">
        <f>IF(A200="","",IFERROR(VLOOKUP(A200,DB_Customers!$A:$N,14,0),"❌ Acct Not Found"))</f>
        <v/>
      </c>
      <c r="D200" s="87" t="str">
        <f t="shared" ca="1" si="15"/>
        <v/>
      </c>
      <c r="E200" s="94"/>
      <c r="F200" s="41"/>
      <c r="G200" s="96" t="str">
        <f t="shared" si="16"/>
        <v/>
      </c>
      <c r="H200" s="43" t="s">
        <v>137</v>
      </c>
      <c r="I200" s="81"/>
      <c r="J200" s="89" t="str">
        <f>IF(AND(A200&lt;&gt;"",E200&lt;&gt;""),IF(I200="","⚠️ Enter Code",IF(IFERROR(VLOOKUP(H200,DB_Agents!$B:$I,8,0),"")=I200,IF(C200&gt;=E200,"Successful","Unsuccessful"),"🔒 BLOCKED — Wrong Code")),"Pending")</f>
        <v>Pending</v>
      </c>
      <c r="K200" s="90" t="str">
        <f t="shared" ca="1" si="17"/>
        <v>—</v>
      </c>
      <c r="L200" s="91"/>
    </row>
    <row r="201" spans="1:12" ht="15" customHeight="1" x14ac:dyDescent="0.25">
      <c r="A201" s="76"/>
      <c r="B201" s="37" t="str">
        <f>IF(A201="","",IFERROR(VLOOKUP(A201,DB_Customers!$A:$D,4,0),"❌ Account Not Found"))</f>
        <v/>
      </c>
      <c r="C201" s="77" t="str">
        <f>IF(A201="","",IFERROR(VLOOKUP(A201,DB_Customers!$A:$N,14,0),"❌ Acct Not Found"))</f>
        <v/>
      </c>
      <c r="D201" s="78" t="str">
        <f t="shared" ref="D201:D208" ca="1" si="18">IF(A201="","",TODAY())</f>
        <v/>
      </c>
      <c r="E201" s="94"/>
      <c r="F201" s="37"/>
      <c r="G201" s="95" t="str">
        <f t="shared" ref="G201:G208" si="19">IF(OR(A201="",E201=""),"",IF(C201="","",C201-E201))</f>
        <v/>
      </c>
      <c r="H201" s="39" t="s">
        <v>137</v>
      </c>
      <c r="I201" s="81"/>
      <c r="J201" s="82" t="str">
        <f>IF(AND(A201&lt;&gt;"",E201&lt;&gt;""),IF(I201="","⚠️ Enter Code",IF(IFERROR(VLOOKUP(H201,DB_Agents!$B:$I,8,0),"")=I201,IF(C201&gt;=E201,"Successful","Unsuccessful"),"🔒 BLOCKED — Wrong Code")),"Pending")</f>
        <v>Pending</v>
      </c>
      <c r="K201" s="83" t="str">
        <f t="shared" ref="K201:K208" ca="1" si="20">IF(J201="Successful",TEXT(TODAY(),"YYYY-MM-DD")&amp;" Auto","—")</f>
        <v>—</v>
      </c>
      <c r="L201" s="84"/>
    </row>
    <row r="202" spans="1:12" ht="15" customHeight="1" x14ac:dyDescent="0.25">
      <c r="A202" s="85"/>
      <c r="B202" s="41" t="str">
        <f>IF(A202="","",IFERROR(VLOOKUP(A202,DB_Customers!$A:$D,4,0),"❌ Account Not Found"))</f>
        <v/>
      </c>
      <c r="C202" s="86" t="str">
        <f>IF(A202="","",IFERROR(VLOOKUP(A202,DB_Customers!$A:$N,14,0),"❌ Acct Not Found"))</f>
        <v/>
      </c>
      <c r="D202" s="87" t="str">
        <f t="shared" ca="1" si="18"/>
        <v/>
      </c>
      <c r="E202" s="94"/>
      <c r="F202" s="41"/>
      <c r="G202" s="96" t="str">
        <f t="shared" si="19"/>
        <v/>
      </c>
      <c r="H202" s="43" t="s">
        <v>137</v>
      </c>
      <c r="I202" s="81"/>
      <c r="J202" s="89" t="str">
        <f>IF(AND(A202&lt;&gt;"",E202&lt;&gt;""),IF(I202="","⚠️ Enter Code",IF(IFERROR(VLOOKUP(H202,DB_Agents!$B:$I,8,0),"")=I202,IF(C202&gt;=E202,"Successful","Unsuccessful"),"🔒 BLOCKED — Wrong Code")),"Pending")</f>
        <v>Pending</v>
      </c>
      <c r="K202" s="90" t="str">
        <f t="shared" ca="1" si="20"/>
        <v>—</v>
      </c>
      <c r="L202" s="91"/>
    </row>
    <row r="203" spans="1:12" ht="15" customHeight="1" x14ac:dyDescent="0.25">
      <c r="A203" s="76"/>
      <c r="B203" s="37" t="str">
        <f>IF(A203="","",IFERROR(VLOOKUP(A203,DB_Customers!$A:$D,4,0),"❌ Account Not Found"))</f>
        <v/>
      </c>
      <c r="C203" s="77" t="str">
        <f>IF(A203="","",IFERROR(VLOOKUP(A203,DB_Customers!$A:$N,14,0),"❌ Acct Not Found"))</f>
        <v/>
      </c>
      <c r="D203" s="78" t="str">
        <f t="shared" ca="1" si="18"/>
        <v/>
      </c>
      <c r="E203" s="94"/>
      <c r="F203" s="37"/>
      <c r="G203" s="95" t="str">
        <f t="shared" si="19"/>
        <v/>
      </c>
      <c r="H203" s="39" t="s">
        <v>137</v>
      </c>
      <c r="I203" s="81"/>
      <c r="J203" s="82" t="str">
        <f>IF(AND(A203&lt;&gt;"",E203&lt;&gt;""),IF(I203="","⚠️ Enter Code",IF(IFERROR(VLOOKUP(H203,DB_Agents!$B:$I,8,0),"")=I203,IF(C203&gt;=E203,"Successful","Unsuccessful"),"🔒 BLOCKED — Wrong Code")),"Pending")</f>
        <v>Pending</v>
      </c>
      <c r="K203" s="83" t="str">
        <f t="shared" ca="1" si="20"/>
        <v>—</v>
      </c>
      <c r="L203" s="84"/>
    </row>
    <row r="204" spans="1:12" ht="15" customHeight="1" x14ac:dyDescent="0.25">
      <c r="A204" s="85"/>
      <c r="B204" s="41" t="str">
        <f>IF(A204="","",IFERROR(VLOOKUP(A204,DB_Customers!$A:$D,4,0),"❌ Account Not Found"))</f>
        <v/>
      </c>
      <c r="C204" s="86" t="str">
        <f>IF(A204="","",IFERROR(VLOOKUP(A204,DB_Customers!$A:$N,14,0),"❌ Acct Not Found"))</f>
        <v/>
      </c>
      <c r="D204" s="87" t="str">
        <f t="shared" ca="1" si="18"/>
        <v/>
      </c>
      <c r="E204" s="94"/>
      <c r="F204" s="41"/>
      <c r="G204" s="96" t="str">
        <f t="shared" si="19"/>
        <v/>
      </c>
      <c r="H204" s="43" t="s">
        <v>137</v>
      </c>
      <c r="I204" s="81"/>
      <c r="J204" s="89" t="str">
        <f>IF(AND(A204&lt;&gt;"",E204&lt;&gt;""),IF(I204="","⚠️ Enter Code",IF(IFERROR(VLOOKUP(H204,DB_Agents!$B:$I,8,0),"")=I204,IF(C204&gt;=E204,"Successful","Unsuccessful"),"🔒 BLOCKED — Wrong Code")),"Pending")</f>
        <v>Pending</v>
      </c>
      <c r="K204" s="90" t="str">
        <f t="shared" ca="1" si="20"/>
        <v>—</v>
      </c>
      <c r="L204" s="91"/>
    </row>
    <row r="205" spans="1:12" ht="15" customHeight="1" x14ac:dyDescent="0.25">
      <c r="A205" s="76"/>
      <c r="B205" s="37" t="str">
        <f>IF(A205="","",IFERROR(VLOOKUP(A205,DB_Customers!$A:$D,4,0),"❌ Account Not Found"))</f>
        <v/>
      </c>
      <c r="C205" s="77" t="str">
        <f>IF(A205="","",IFERROR(VLOOKUP(A205,DB_Customers!$A:$N,14,0),"❌ Acct Not Found"))</f>
        <v/>
      </c>
      <c r="D205" s="78" t="str">
        <f t="shared" ca="1" si="18"/>
        <v/>
      </c>
      <c r="E205" s="94"/>
      <c r="F205" s="37"/>
      <c r="G205" s="95" t="str">
        <f t="shared" si="19"/>
        <v/>
      </c>
      <c r="H205" s="39" t="s">
        <v>137</v>
      </c>
      <c r="I205" s="81"/>
      <c r="J205" s="82" t="str">
        <f>IF(AND(A205&lt;&gt;"",E205&lt;&gt;""),IF(I205="","⚠️ Enter Code",IF(IFERROR(VLOOKUP(H205,DB_Agents!$B:$I,8,0),"")=I205,IF(C205&gt;=E205,"Successful","Unsuccessful"),"🔒 BLOCKED — Wrong Code")),"Pending")</f>
        <v>Pending</v>
      </c>
      <c r="K205" s="83" t="str">
        <f t="shared" ca="1" si="20"/>
        <v>—</v>
      </c>
      <c r="L205" s="84"/>
    </row>
    <row r="206" spans="1:12" ht="15" customHeight="1" x14ac:dyDescent="0.25">
      <c r="A206" s="85"/>
      <c r="B206" s="41" t="str">
        <f>IF(A206="","",IFERROR(VLOOKUP(A206,DB_Customers!$A:$D,4,0),"❌ Account Not Found"))</f>
        <v/>
      </c>
      <c r="C206" s="86" t="str">
        <f>IF(A206="","",IFERROR(VLOOKUP(A206,DB_Customers!$A:$N,14,0),"❌ Acct Not Found"))</f>
        <v/>
      </c>
      <c r="D206" s="87" t="str">
        <f t="shared" ca="1" si="18"/>
        <v/>
      </c>
      <c r="E206" s="94"/>
      <c r="F206" s="41"/>
      <c r="G206" s="96" t="str">
        <f t="shared" si="19"/>
        <v/>
      </c>
      <c r="H206" s="43" t="s">
        <v>137</v>
      </c>
      <c r="I206" s="81"/>
      <c r="J206" s="89" t="str">
        <f>IF(AND(A206&lt;&gt;"",E206&lt;&gt;""),IF(I206="","⚠️ Enter Code",IF(IFERROR(VLOOKUP(H206,DB_Agents!$B:$I,8,0),"")=I206,IF(C206&gt;=E206,"Successful","Unsuccessful"),"🔒 BLOCKED — Wrong Code")),"Pending")</f>
        <v>Pending</v>
      </c>
      <c r="K206" s="90" t="str">
        <f t="shared" ca="1" si="20"/>
        <v>—</v>
      </c>
      <c r="L206" s="91"/>
    </row>
    <row r="207" spans="1:12" ht="15" customHeight="1" x14ac:dyDescent="0.25">
      <c r="A207" s="76"/>
      <c r="B207" s="37" t="str">
        <f>IF(A207="","",IFERROR(VLOOKUP(A207,DB_Customers!$A:$D,4,0),"❌ Account Not Found"))</f>
        <v/>
      </c>
      <c r="C207" s="77" t="str">
        <f>IF(A207="","",IFERROR(VLOOKUP(A207,DB_Customers!$A:$N,14,0),"❌ Acct Not Found"))</f>
        <v/>
      </c>
      <c r="D207" s="78" t="str">
        <f t="shared" ca="1" si="18"/>
        <v/>
      </c>
      <c r="E207" s="94"/>
      <c r="F207" s="37"/>
      <c r="G207" s="95" t="str">
        <f t="shared" si="19"/>
        <v/>
      </c>
      <c r="H207" s="39" t="s">
        <v>137</v>
      </c>
      <c r="I207" s="81"/>
      <c r="J207" s="82" t="str">
        <f>IF(AND(A207&lt;&gt;"",E207&lt;&gt;""),IF(I207="","⚠️ Enter Code",IF(IFERROR(VLOOKUP(H207,DB_Agents!$B:$I,8,0),"")=I207,IF(C207&gt;=E207,"Successful","Unsuccessful"),"🔒 BLOCKED — Wrong Code")),"Pending")</f>
        <v>Pending</v>
      </c>
      <c r="K207" s="83" t="str">
        <f t="shared" ca="1" si="20"/>
        <v>—</v>
      </c>
      <c r="L207" s="84"/>
    </row>
    <row r="208" spans="1:12" ht="15" customHeight="1" x14ac:dyDescent="0.25">
      <c r="A208" s="85"/>
      <c r="B208" s="41" t="str">
        <f>IF(A208="","",IFERROR(VLOOKUP(A208,DB_Customers!$A:$D,4,0),"❌ Account Not Found"))</f>
        <v/>
      </c>
      <c r="C208" s="86" t="str">
        <f>IF(A208="","",IFERROR(VLOOKUP(A208,DB_Customers!$A:$N,14,0),"❌ Acct Not Found"))</f>
        <v/>
      </c>
      <c r="D208" s="87" t="str">
        <f t="shared" ca="1" si="18"/>
        <v/>
      </c>
      <c r="E208" s="94"/>
      <c r="F208" s="41"/>
      <c r="G208" s="96" t="str">
        <f t="shared" si="19"/>
        <v/>
      </c>
      <c r="H208" s="43" t="s">
        <v>137</v>
      </c>
      <c r="I208" s="81"/>
      <c r="J208" s="89" t="str">
        <f>IF(AND(A208&lt;&gt;"",E208&lt;&gt;""),IF(I208="","⚠️ Enter Code",IF(IFERROR(VLOOKUP(H208,DB_Agents!$B:$I,8,0),"")=I208,IF(C208&gt;=E208,"Successful","Unsuccessful"),"🔒 BLOCKED — Wrong Code")),"Pending")</f>
        <v>Pending</v>
      </c>
      <c r="K208" s="90" t="str">
        <f t="shared" ca="1" si="20"/>
        <v>—</v>
      </c>
      <c r="L208" s="91"/>
    </row>
  </sheetData>
  <mergeCells count="8">
    <mergeCell ref="A7:M7"/>
    <mergeCell ref="A4:C4"/>
    <mergeCell ref="A2:M2"/>
    <mergeCell ref="A1:M1"/>
    <mergeCell ref="A5:M5"/>
    <mergeCell ref="D4:F4"/>
    <mergeCell ref="D3:F3"/>
    <mergeCell ref="A3:C3"/>
  </mergeCells>
  <conditionalFormatting sqref="I9:I208">
    <cfRule type="cellIs" dxfId="59" priority="2" operator="equal">
      <formula>"Successful"</formula>
    </cfRule>
    <cfRule type="cellIs" dxfId="58" priority="3" operator="equal">
      <formula>"Unsuccessful"</formula>
    </cfRule>
  </conditionalFormatting>
  <conditionalFormatting sqref="A9:K208">
    <cfRule type="expression" dxfId="57" priority="4">
      <formula>$I9="Unsuccessful"</formula>
    </cfRule>
  </conditionalFormatting>
  <conditionalFormatting sqref="G9:G208">
    <cfRule type="cellIs" dxfId="56" priority="5" operator="lessThan">
      <formula>0</formula>
    </cfRule>
  </conditionalFormatting>
  <dataValidations count="1">
    <dataValidation type="list" sqref="H9:H208" xr:uid="{00000000-0002-0000-16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5" width="13" customWidth="1"/>
    <col min="6" max="6" width="20" customWidth="1"/>
    <col min="7" max="7" width="9" customWidth="1"/>
    <col min="8" max="8" width="8" customWidth="1"/>
    <col min="9" max="10" width="14" customWidth="1"/>
    <col min="11" max="11" width="18" customWidth="1"/>
    <col min="12" max="12" width="10" customWidth="1"/>
    <col min="13" max="13" width="12" customWidth="1"/>
    <col min="14" max="14" width="18" customWidth="1"/>
  </cols>
  <sheetData>
    <row r="1" spans="1:14" ht="31.5" customHeight="1" x14ac:dyDescent="0.25">
      <c r="A1" s="226" t="s">
        <v>362</v>
      </c>
    </row>
    <row r="2" spans="1:14" ht="19.5" customHeight="1" x14ac:dyDescent="0.25">
      <c r="A2" s="201" t="s">
        <v>2</v>
      </c>
    </row>
    <row r="4" spans="1:14" ht="21.75" customHeight="1" x14ac:dyDescent="0.25">
      <c r="A4" s="97" t="s">
        <v>333</v>
      </c>
    </row>
    <row r="5" spans="1:14" ht="19.5" customHeight="1" x14ac:dyDescent="0.25">
      <c r="A5" s="227" t="s">
        <v>334</v>
      </c>
      <c r="B5" s="202"/>
    </row>
    <row r="6" spans="1:14" ht="19.5" customHeight="1" x14ac:dyDescent="0.25">
      <c r="A6" s="227" t="s">
        <v>335</v>
      </c>
      <c r="B6" s="202"/>
    </row>
    <row r="7" spans="1:14" ht="19.5" customHeight="1" x14ac:dyDescent="0.25">
      <c r="A7" s="227" t="s">
        <v>336</v>
      </c>
      <c r="B7" s="228">
        <v>2.5</v>
      </c>
    </row>
    <row r="8" spans="1:14" ht="19.5" customHeight="1" x14ac:dyDescent="0.25">
      <c r="A8" s="99" t="s">
        <v>337</v>
      </c>
      <c r="B8" s="203" t="str">
        <f>IF(B5="","",B5*B7/100*B6)</f>
        <v/>
      </c>
    </row>
    <row r="9" spans="1:14" ht="19.5" customHeight="1" x14ac:dyDescent="0.25">
      <c r="A9" s="99" t="s">
        <v>338</v>
      </c>
      <c r="B9" s="204" t="str">
        <f>IF(B5="","",B5+(B5*B7/100*B6))</f>
        <v/>
      </c>
    </row>
    <row r="10" spans="1:14" ht="19.5" customHeight="1" x14ac:dyDescent="0.25">
      <c r="A10" s="99" t="s">
        <v>339</v>
      </c>
      <c r="B10" s="204" t="str">
        <f>IFERROR(B9/B6,"")</f>
        <v/>
      </c>
    </row>
    <row r="11" spans="1:14" ht="7.5" customHeight="1" x14ac:dyDescent="0.25"/>
    <row r="12" spans="1:14" ht="21.75" customHeight="1" x14ac:dyDescent="0.25">
      <c r="A12" s="205"/>
    </row>
    <row r="13" spans="1:14" ht="27.95" customHeight="1" x14ac:dyDescent="0.25">
      <c r="A13" s="212" t="s">
        <v>82</v>
      </c>
      <c r="B13" s="212" t="s">
        <v>315</v>
      </c>
      <c r="C13" s="212" t="s">
        <v>77</v>
      </c>
      <c r="D13" s="212" t="s">
        <v>84</v>
      </c>
      <c r="E13" s="212" t="s">
        <v>340</v>
      </c>
      <c r="F13" s="212" t="s">
        <v>8</v>
      </c>
      <c r="G13" s="212" t="s">
        <v>9</v>
      </c>
      <c r="H13" s="212" t="s">
        <v>86</v>
      </c>
      <c r="I13" s="212" t="s">
        <v>341</v>
      </c>
      <c r="J13" s="212" t="s">
        <v>342</v>
      </c>
      <c r="K13" s="212" t="s">
        <v>13</v>
      </c>
      <c r="L13" s="212" t="s">
        <v>14</v>
      </c>
      <c r="M13" s="212" t="s">
        <v>319</v>
      </c>
      <c r="N13" s="212" t="s">
        <v>15</v>
      </c>
    </row>
    <row r="14" spans="1:14" ht="18" customHeight="1" x14ac:dyDescent="0.25">
      <c r="A14" s="229" t="str">
        <f t="shared" ref="A14:A45" si="0">IF(B14="","",IF(C14="❌ Account Not Found","INVALID","LN"&amp;TEXT(D14,"YYYYMMDD")&amp;TEXT(ROW()-13,"0000")))</f>
        <v/>
      </c>
      <c r="B14" s="230"/>
      <c r="C14" s="231" t="str">
        <f>IF(B14="","",IFERROR(VLOOKUP(B14,DB_Customers!$A:$D,4,0),"❌ Account Not Found"))</f>
        <v/>
      </c>
      <c r="D14" s="232" t="str">
        <f t="shared" ref="D14:D45" ca="1" si="1">IF(B14="","",TODAY())</f>
        <v/>
      </c>
      <c r="E14" s="233"/>
      <c r="F14" s="231"/>
      <c r="G14" s="234"/>
      <c r="H14" s="235">
        <v>2.5</v>
      </c>
      <c r="I14" s="236" t="str">
        <f t="shared" ref="I14:I45" si="2">IF(E14="","",E14+(E14*H14/100*G14))</f>
        <v/>
      </c>
      <c r="J14" s="237" t="str">
        <f t="shared" ref="J14:J45" si="3">IFERROR(I14/G14,"")</f>
        <v/>
      </c>
      <c r="K14" s="238" t="str">
        <f>IF(B14="","Pending",IF(M14="","⚠️ Enter Code",IF(IFERROR(VLOOKUP(L14,DB_Agents!$B:$I,8,0),"")=M14,"Pending","🔒 BLOCKED — Wrong Code")))</f>
        <v>Pending</v>
      </c>
      <c r="L14" s="239" t="s">
        <v>137</v>
      </c>
      <c r="M14" s="240"/>
      <c r="N14" s="230"/>
    </row>
    <row r="15" spans="1:14" ht="18" customHeight="1" x14ac:dyDescent="0.25">
      <c r="A15" s="241" t="str">
        <f t="shared" si="0"/>
        <v/>
      </c>
      <c r="B15" s="242"/>
      <c r="C15" s="243" t="str">
        <f>IF(B15="","",IFERROR(VLOOKUP(B15,DB_Customers!$A:$D,4,0),"❌ Account Not Found"))</f>
        <v/>
      </c>
      <c r="D15" s="244" t="str">
        <f t="shared" ca="1" si="1"/>
        <v/>
      </c>
      <c r="E15" s="245"/>
      <c r="F15" s="243"/>
      <c r="G15" s="246"/>
      <c r="H15" s="247">
        <v>2.5</v>
      </c>
      <c r="I15" s="248" t="str">
        <f t="shared" si="2"/>
        <v/>
      </c>
      <c r="J15" s="249" t="str">
        <f t="shared" si="3"/>
        <v/>
      </c>
      <c r="K15" s="250" t="str">
        <f>IF(B15="","Pending",IF(M15="","⚠️ Enter Code",IF(IFERROR(VLOOKUP(L15,DB_Agents!$B:$I,8,0),"")=M15,"Pending","🔒 BLOCKED — Wrong Code")))</f>
        <v>Pending</v>
      </c>
      <c r="L15" s="251" t="s">
        <v>137</v>
      </c>
      <c r="M15" s="252"/>
      <c r="N15" s="242"/>
    </row>
    <row r="16" spans="1:14" ht="18" customHeight="1" x14ac:dyDescent="0.25">
      <c r="A16" s="229" t="str">
        <f t="shared" si="0"/>
        <v/>
      </c>
      <c r="B16" s="230"/>
      <c r="C16" s="231" t="str">
        <f>IF(B16="","",IFERROR(VLOOKUP(B16,DB_Customers!$A:$D,4,0),"❌ Account Not Found"))</f>
        <v/>
      </c>
      <c r="D16" s="232" t="str">
        <f t="shared" ca="1" si="1"/>
        <v/>
      </c>
      <c r="E16" s="233"/>
      <c r="F16" s="231"/>
      <c r="G16" s="234"/>
      <c r="H16" s="235">
        <v>2.5</v>
      </c>
      <c r="I16" s="236" t="str">
        <f t="shared" si="2"/>
        <v/>
      </c>
      <c r="J16" s="237" t="str">
        <f t="shared" si="3"/>
        <v/>
      </c>
      <c r="K16" s="238" t="str">
        <f>IF(B16="","Pending",IF(M16="","⚠️ Enter Code",IF(IFERROR(VLOOKUP(L16,DB_Agents!$B:$I,8,0),"")=M16,"Pending","🔒 BLOCKED — Wrong Code")))</f>
        <v>Pending</v>
      </c>
      <c r="L16" s="239" t="s">
        <v>137</v>
      </c>
      <c r="M16" s="240"/>
      <c r="N16" s="230"/>
    </row>
    <row r="17" spans="1:14" ht="18" customHeight="1" x14ac:dyDescent="0.25">
      <c r="A17" s="241" t="str">
        <f t="shared" si="0"/>
        <v/>
      </c>
      <c r="B17" s="242"/>
      <c r="C17" s="243" t="str">
        <f>IF(B17="","",IFERROR(VLOOKUP(B17,DB_Customers!$A:$D,4,0),"❌ Account Not Found"))</f>
        <v/>
      </c>
      <c r="D17" s="244" t="str">
        <f t="shared" ca="1" si="1"/>
        <v/>
      </c>
      <c r="E17" s="245"/>
      <c r="F17" s="243"/>
      <c r="G17" s="246"/>
      <c r="H17" s="247">
        <v>2.5</v>
      </c>
      <c r="I17" s="248" t="str">
        <f t="shared" si="2"/>
        <v/>
      </c>
      <c r="J17" s="249" t="str">
        <f t="shared" si="3"/>
        <v/>
      </c>
      <c r="K17" s="250" t="str">
        <f>IF(B17="","Pending",IF(M17="","⚠️ Enter Code",IF(IFERROR(VLOOKUP(L17,DB_Agents!$B:$I,8,0),"")=M17,"Pending","🔒 BLOCKED — Wrong Code")))</f>
        <v>Pending</v>
      </c>
      <c r="L17" s="251" t="s">
        <v>137</v>
      </c>
      <c r="M17" s="252"/>
      <c r="N17" s="242"/>
    </row>
    <row r="18" spans="1:14" ht="18" customHeight="1" x14ac:dyDescent="0.25">
      <c r="A18" s="229" t="str">
        <f t="shared" si="0"/>
        <v/>
      </c>
      <c r="B18" s="230"/>
      <c r="C18" s="231" t="str">
        <f>IF(B18="","",IFERROR(VLOOKUP(B18,DB_Customers!$A:$D,4,0),"❌ Account Not Found"))</f>
        <v/>
      </c>
      <c r="D18" s="232" t="str">
        <f t="shared" ca="1" si="1"/>
        <v/>
      </c>
      <c r="E18" s="233"/>
      <c r="F18" s="231"/>
      <c r="G18" s="234"/>
      <c r="H18" s="235">
        <v>2.5</v>
      </c>
      <c r="I18" s="236" t="str">
        <f t="shared" si="2"/>
        <v/>
      </c>
      <c r="J18" s="237" t="str">
        <f t="shared" si="3"/>
        <v/>
      </c>
      <c r="K18" s="238" t="str">
        <f>IF(B18="","Pending",IF(M18="","⚠️ Enter Code",IF(IFERROR(VLOOKUP(L18,DB_Agents!$B:$I,8,0),"")=M18,"Pending","🔒 BLOCKED — Wrong Code")))</f>
        <v>Pending</v>
      </c>
      <c r="L18" s="239" t="s">
        <v>137</v>
      </c>
      <c r="M18" s="240"/>
      <c r="N18" s="230"/>
    </row>
    <row r="19" spans="1:14" ht="18" customHeight="1" x14ac:dyDescent="0.25">
      <c r="A19" s="241" t="str">
        <f t="shared" si="0"/>
        <v/>
      </c>
      <c r="B19" s="242"/>
      <c r="C19" s="243" t="str">
        <f>IF(B19="","",IFERROR(VLOOKUP(B19,DB_Customers!$A:$D,4,0),"❌ Account Not Found"))</f>
        <v/>
      </c>
      <c r="D19" s="244" t="str">
        <f t="shared" ca="1" si="1"/>
        <v/>
      </c>
      <c r="E19" s="245"/>
      <c r="F19" s="243"/>
      <c r="G19" s="246"/>
      <c r="H19" s="247">
        <v>2.5</v>
      </c>
      <c r="I19" s="248" t="str">
        <f t="shared" si="2"/>
        <v/>
      </c>
      <c r="J19" s="249" t="str">
        <f t="shared" si="3"/>
        <v/>
      </c>
      <c r="K19" s="250" t="str">
        <f>IF(B19="","Pending",IF(M19="","⚠️ Enter Code",IF(IFERROR(VLOOKUP(L19,DB_Agents!$B:$I,8,0),"")=M19,"Pending","🔒 BLOCKED — Wrong Code")))</f>
        <v>Pending</v>
      </c>
      <c r="L19" s="251" t="s">
        <v>137</v>
      </c>
      <c r="M19" s="252"/>
      <c r="N19" s="242"/>
    </row>
    <row r="20" spans="1:14" ht="18" customHeight="1" x14ac:dyDescent="0.25">
      <c r="A20" s="229" t="str">
        <f t="shared" si="0"/>
        <v/>
      </c>
      <c r="B20" s="230"/>
      <c r="C20" s="231" t="str">
        <f>IF(B20="","",IFERROR(VLOOKUP(B20,DB_Customers!$A:$D,4,0),"❌ Account Not Found"))</f>
        <v/>
      </c>
      <c r="D20" s="232" t="str">
        <f t="shared" ca="1" si="1"/>
        <v/>
      </c>
      <c r="E20" s="233"/>
      <c r="F20" s="231"/>
      <c r="G20" s="234"/>
      <c r="H20" s="235">
        <v>2.5</v>
      </c>
      <c r="I20" s="236" t="str">
        <f t="shared" si="2"/>
        <v/>
      </c>
      <c r="J20" s="237" t="str">
        <f t="shared" si="3"/>
        <v/>
      </c>
      <c r="K20" s="238" t="str">
        <f>IF(B20="","Pending",IF(M20="","⚠️ Enter Code",IF(IFERROR(VLOOKUP(L20,DB_Agents!$B:$I,8,0),"")=M20,"Pending","🔒 BLOCKED — Wrong Code")))</f>
        <v>Pending</v>
      </c>
      <c r="L20" s="239" t="s">
        <v>137</v>
      </c>
      <c r="M20" s="240"/>
      <c r="N20" s="230"/>
    </row>
    <row r="21" spans="1:14" ht="18" customHeight="1" x14ac:dyDescent="0.25">
      <c r="A21" s="241" t="str">
        <f t="shared" si="0"/>
        <v/>
      </c>
      <c r="B21" s="242"/>
      <c r="C21" s="243" t="str">
        <f>IF(B21="","",IFERROR(VLOOKUP(B21,DB_Customers!$A:$D,4,0),"❌ Account Not Found"))</f>
        <v/>
      </c>
      <c r="D21" s="244" t="str">
        <f t="shared" ca="1" si="1"/>
        <v/>
      </c>
      <c r="E21" s="245"/>
      <c r="F21" s="243"/>
      <c r="G21" s="246"/>
      <c r="H21" s="247">
        <v>2.5</v>
      </c>
      <c r="I21" s="248" t="str">
        <f t="shared" si="2"/>
        <v/>
      </c>
      <c r="J21" s="249" t="str">
        <f t="shared" si="3"/>
        <v/>
      </c>
      <c r="K21" s="250" t="str">
        <f>IF(B21="","Pending",IF(M21="","⚠️ Enter Code",IF(IFERROR(VLOOKUP(L21,DB_Agents!$B:$I,8,0),"")=M21,"Pending","🔒 BLOCKED — Wrong Code")))</f>
        <v>Pending</v>
      </c>
      <c r="L21" s="251" t="s">
        <v>137</v>
      </c>
      <c r="M21" s="252"/>
      <c r="N21" s="242"/>
    </row>
    <row r="22" spans="1:14" ht="18" customHeight="1" x14ac:dyDescent="0.25">
      <c r="A22" s="229" t="str">
        <f t="shared" si="0"/>
        <v/>
      </c>
      <c r="B22" s="230"/>
      <c r="C22" s="231" t="str">
        <f>IF(B22="","",IFERROR(VLOOKUP(B22,DB_Customers!$A:$D,4,0),"❌ Account Not Found"))</f>
        <v/>
      </c>
      <c r="D22" s="232" t="str">
        <f t="shared" ca="1" si="1"/>
        <v/>
      </c>
      <c r="E22" s="233"/>
      <c r="F22" s="231"/>
      <c r="G22" s="234"/>
      <c r="H22" s="235">
        <v>2.5</v>
      </c>
      <c r="I22" s="236" t="str">
        <f t="shared" si="2"/>
        <v/>
      </c>
      <c r="J22" s="237" t="str">
        <f t="shared" si="3"/>
        <v/>
      </c>
      <c r="K22" s="238" t="str">
        <f>IF(B22="","Pending",IF(M22="","⚠️ Enter Code",IF(IFERROR(VLOOKUP(L22,DB_Agents!$B:$I,8,0),"")=M22,"Pending","🔒 BLOCKED — Wrong Code")))</f>
        <v>Pending</v>
      </c>
      <c r="L22" s="239" t="s">
        <v>137</v>
      </c>
      <c r="M22" s="240"/>
      <c r="N22" s="230"/>
    </row>
    <row r="23" spans="1:14" ht="18" customHeight="1" x14ac:dyDescent="0.25">
      <c r="A23" s="241" t="str">
        <f t="shared" si="0"/>
        <v/>
      </c>
      <c r="B23" s="242"/>
      <c r="C23" s="243" t="str">
        <f>IF(B23="","",IFERROR(VLOOKUP(B23,DB_Customers!$A:$D,4,0),"❌ Account Not Found"))</f>
        <v/>
      </c>
      <c r="D23" s="244" t="str">
        <f t="shared" ca="1" si="1"/>
        <v/>
      </c>
      <c r="E23" s="245"/>
      <c r="F23" s="243"/>
      <c r="G23" s="246"/>
      <c r="H23" s="247">
        <v>2.5</v>
      </c>
      <c r="I23" s="248" t="str">
        <f t="shared" si="2"/>
        <v/>
      </c>
      <c r="J23" s="249" t="str">
        <f t="shared" si="3"/>
        <v/>
      </c>
      <c r="K23" s="250" t="str">
        <f>IF(B23="","Pending",IF(M23="","⚠️ Enter Code",IF(IFERROR(VLOOKUP(L23,DB_Agents!$B:$I,8,0),"")=M23,"Pending","🔒 BLOCKED — Wrong Code")))</f>
        <v>Pending</v>
      </c>
      <c r="L23" s="251" t="s">
        <v>137</v>
      </c>
      <c r="M23" s="252"/>
      <c r="N23" s="242"/>
    </row>
    <row r="24" spans="1:14" ht="18" customHeight="1" x14ac:dyDescent="0.25">
      <c r="A24" s="229" t="str">
        <f t="shared" si="0"/>
        <v/>
      </c>
      <c r="B24" s="230"/>
      <c r="C24" s="231" t="str">
        <f>IF(B24="","",IFERROR(VLOOKUP(B24,DB_Customers!$A:$D,4,0),"❌ Account Not Found"))</f>
        <v/>
      </c>
      <c r="D24" s="232" t="str">
        <f t="shared" ca="1" si="1"/>
        <v/>
      </c>
      <c r="E24" s="233"/>
      <c r="F24" s="231"/>
      <c r="G24" s="234"/>
      <c r="H24" s="235">
        <v>2.5</v>
      </c>
      <c r="I24" s="236" t="str">
        <f t="shared" si="2"/>
        <v/>
      </c>
      <c r="J24" s="237" t="str">
        <f t="shared" si="3"/>
        <v/>
      </c>
      <c r="K24" s="238" t="str">
        <f>IF(B24="","Pending",IF(M24="","⚠️ Enter Code",IF(IFERROR(VLOOKUP(L24,DB_Agents!$B:$I,8,0),"")=M24,"Pending","🔒 BLOCKED — Wrong Code")))</f>
        <v>Pending</v>
      </c>
      <c r="L24" s="239" t="s">
        <v>137</v>
      </c>
      <c r="M24" s="240"/>
      <c r="N24" s="230"/>
    </row>
    <row r="25" spans="1:14" ht="18" customHeight="1" x14ac:dyDescent="0.25">
      <c r="A25" s="241" t="str">
        <f t="shared" si="0"/>
        <v/>
      </c>
      <c r="B25" s="242"/>
      <c r="C25" s="243" t="str">
        <f>IF(B25="","",IFERROR(VLOOKUP(B25,DB_Customers!$A:$D,4,0),"❌ Account Not Found"))</f>
        <v/>
      </c>
      <c r="D25" s="244" t="str">
        <f t="shared" ca="1" si="1"/>
        <v/>
      </c>
      <c r="E25" s="245"/>
      <c r="F25" s="243"/>
      <c r="G25" s="246"/>
      <c r="H25" s="247">
        <v>2.5</v>
      </c>
      <c r="I25" s="248" t="str">
        <f t="shared" si="2"/>
        <v/>
      </c>
      <c r="J25" s="249" t="str">
        <f t="shared" si="3"/>
        <v/>
      </c>
      <c r="K25" s="250" t="str">
        <f>IF(B25="","Pending",IF(M25="","⚠️ Enter Code",IF(IFERROR(VLOOKUP(L25,DB_Agents!$B:$I,8,0),"")=M25,"Pending","🔒 BLOCKED — Wrong Code")))</f>
        <v>Pending</v>
      </c>
      <c r="L25" s="251" t="s">
        <v>137</v>
      </c>
      <c r="M25" s="252"/>
      <c r="N25" s="242"/>
    </row>
    <row r="26" spans="1:14" ht="18" customHeight="1" x14ac:dyDescent="0.25">
      <c r="A26" s="229" t="str">
        <f t="shared" si="0"/>
        <v/>
      </c>
      <c r="B26" s="230"/>
      <c r="C26" s="231" t="str">
        <f>IF(B26="","",IFERROR(VLOOKUP(B26,DB_Customers!$A:$D,4,0),"❌ Account Not Found"))</f>
        <v/>
      </c>
      <c r="D26" s="232" t="str">
        <f t="shared" ca="1" si="1"/>
        <v/>
      </c>
      <c r="E26" s="233"/>
      <c r="F26" s="231"/>
      <c r="G26" s="234"/>
      <c r="H26" s="235">
        <v>2.5</v>
      </c>
      <c r="I26" s="236" t="str">
        <f t="shared" si="2"/>
        <v/>
      </c>
      <c r="J26" s="237" t="str">
        <f t="shared" si="3"/>
        <v/>
      </c>
      <c r="K26" s="238" t="str">
        <f>IF(B26="","Pending",IF(M26="","⚠️ Enter Code",IF(IFERROR(VLOOKUP(L26,DB_Agents!$B:$I,8,0),"")=M26,"Pending","🔒 BLOCKED — Wrong Code")))</f>
        <v>Pending</v>
      </c>
      <c r="L26" s="239" t="s">
        <v>137</v>
      </c>
      <c r="M26" s="240"/>
      <c r="N26" s="230"/>
    </row>
    <row r="27" spans="1:14" ht="18" customHeight="1" x14ac:dyDescent="0.25">
      <c r="A27" s="241" t="str">
        <f t="shared" si="0"/>
        <v/>
      </c>
      <c r="B27" s="242"/>
      <c r="C27" s="243" t="str">
        <f>IF(B27="","",IFERROR(VLOOKUP(B27,DB_Customers!$A:$D,4,0),"❌ Account Not Found"))</f>
        <v/>
      </c>
      <c r="D27" s="244" t="str">
        <f t="shared" ca="1" si="1"/>
        <v/>
      </c>
      <c r="E27" s="245"/>
      <c r="F27" s="243"/>
      <c r="G27" s="246"/>
      <c r="H27" s="247">
        <v>2.5</v>
      </c>
      <c r="I27" s="248" t="str">
        <f t="shared" si="2"/>
        <v/>
      </c>
      <c r="J27" s="249" t="str">
        <f t="shared" si="3"/>
        <v/>
      </c>
      <c r="K27" s="250" t="str">
        <f>IF(B27="","Pending",IF(M27="","⚠️ Enter Code",IF(IFERROR(VLOOKUP(L27,DB_Agents!$B:$I,8,0),"")=M27,"Pending","🔒 BLOCKED — Wrong Code")))</f>
        <v>Pending</v>
      </c>
      <c r="L27" s="251" t="s">
        <v>137</v>
      </c>
      <c r="M27" s="252"/>
      <c r="N27" s="242"/>
    </row>
    <row r="28" spans="1:14" ht="18" customHeight="1" x14ac:dyDescent="0.25">
      <c r="A28" s="229" t="str">
        <f t="shared" si="0"/>
        <v/>
      </c>
      <c r="B28" s="230"/>
      <c r="C28" s="231" t="str">
        <f>IF(B28="","",IFERROR(VLOOKUP(B28,DB_Customers!$A:$D,4,0),"❌ Account Not Found"))</f>
        <v/>
      </c>
      <c r="D28" s="232" t="str">
        <f t="shared" ca="1" si="1"/>
        <v/>
      </c>
      <c r="E28" s="233"/>
      <c r="F28" s="231"/>
      <c r="G28" s="234"/>
      <c r="H28" s="235">
        <v>2.5</v>
      </c>
      <c r="I28" s="236" t="str">
        <f t="shared" si="2"/>
        <v/>
      </c>
      <c r="J28" s="237" t="str">
        <f t="shared" si="3"/>
        <v/>
      </c>
      <c r="K28" s="238" t="str">
        <f>IF(B28="","Pending",IF(M28="","⚠️ Enter Code",IF(IFERROR(VLOOKUP(L28,DB_Agents!$B:$I,8,0),"")=M28,"Pending","🔒 BLOCKED — Wrong Code")))</f>
        <v>Pending</v>
      </c>
      <c r="L28" s="239" t="s">
        <v>137</v>
      </c>
      <c r="M28" s="240"/>
      <c r="N28" s="230"/>
    </row>
    <row r="29" spans="1:14" ht="18" customHeight="1" x14ac:dyDescent="0.25">
      <c r="A29" s="241" t="str">
        <f t="shared" si="0"/>
        <v/>
      </c>
      <c r="B29" s="242"/>
      <c r="C29" s="243" t="str">
        <f>IF(B29="","",IFERROR(VLOOKUP(B29,DB_Customers!$A:$D,4,0),"❌ Account Not Found"))</f>
        <v/>
      </c>
      <c r="D29" s="244" t="str">
        <f t="shared" ca="1" si="1"/>
        <v/>
      </c>
      <c r="E29" s="245"/>
      <c r="F29" s="243"/>
      <c r="G29" s="246"/>
      <c r="H29" s="247">
        <v>2.5</v>
      </c>
      <c r="I29" s="248" t="str">
        <f t="shared" si="2"/>
        <v/>
      </c>
      <c r="J29" s="249" t="str">
        <f t="shared" si="3"/>
        <v/>
      </c>
      <c r="K29" s="250" t="str">
        <f>IF(B29="","Pending",IF(M29="","⚠️ Enter Code",IF(IFERROR(VLOOKUP(L29,DB_Agents!$B:$I,8,0),"")=M29,"Pending","🔒 BLOCKED — Wrong Code")))</f>
        <v>Pending</v>
      </c>
      <c r="L29" s="251" t="s">
        <v>137</v>
      </c>
      <c r="M29" s="252"/>
      <c r="N29" s="242"/>
    </row>
    <row r="30" spans="1:14" ht="18" customHeight="1" x14ac:dyDescent="0.25">
      <c r="A30" s="229" t="str">
        <f t="shared" si="0"/>
        <v/>
      </c>
      <c r="B30" s="230"/>
      <c r="C30" s="231" t="str">
        <f>IF(B30="","",IFERROR(VLOOKUP(B30,DB_Customers!$A:$D,4,0),"❌ Account Not Found"))</f>
        <v/>
      </c>
      <c r="D30" s="232" t="str">
        <f t="shared" ca="1" si="1"/>
        <v/>
      </c>
      <c r="E30" s="233"/>
      <c r="F30" s="231"/>
      <c r="G30" s="234"/>
      <c r="H30" s="235">
        <v>2.5</v>
      </c>
      <c r="I30" s="236" t="str">
        <f t="shared" si="2"/>
        <v/>
      </c>
      <c r="J30" s="237" t="str">
        <f t="shared" si="3"/>
        <v/>
      </c>
      <c r="K30" s="238" t="str">
        <f>IF(B30="","Pending",IF(M30="","⚠️ Enter Code",IF(IFERROR(VLOOKUP(L30,DB_Agents!$B:$I,8,0),"")=M30,"Pending","🔒 BLOCKED — Wrong Code")))</f>
        <v>Pending</v>
      </c>
      <c r="L30" s="239" t="s">
        <v>137</v>
      </c>
      <c r="M30" s="240"/>
      <c r="N30" s="230"/>
    </row>
    <row r="31" spans="1:14" ht="18" customHeight="1" x14ac:dyDescent="0.25">
      <c r="A31" s="241" t="str">
        <f t="shared" si="0"/>
        <v/>
      </c>
      <c r="B31" s="242"/>
      <c r="C31" s="243" t="str">
        <f>IF(B31="","",IFERROR(VLOOKUP(B31,DB_Customers!$A:$D,4,0),"❌ Account Not Found"))</f>
        <v/>
      </c>
      <c r="D31" s="244" t="str">
        <f t="shared" ca="1" si="1"/>
        <v/>
      </c>
      <c r="E31" s="245"/>
      <c r="F31" s="243"/>
      <c r="G31" s="246"/>
      <c r="H31" s="247">
        <v>2.5</v>
      </c>
      <c r="I31" s="248" t="str">
        <f t="shared" si="2"/>
        <v/>
      </c>
      <c r="J31" s="249" t="str">
        <f t="shared" si="3"/>
        <v/>
      </c>
      <c r="K31" s="250" t="str">
        <f>IF(B31="","Pending",IF(M31="","⚠️ Enter Code",IF(IFERROR(VLOOKUP(L31,DB_Agents!$B:$I,8,0),"")=M31,"Pending","🔒 BLOCKED — Wrong Code")))</f>
        <v>Pending</v>
      </c>
      <c r="L31" s="251" t="s">
        <v>137</v>
      </c>
      <c r="M31" s="252"/>
      <c r="N31" s="242"/>
    </row>
    <row r="32" spans="1:14" ht="18" customHeight="1" x14ac:dyDescent="0.25">
      <c r="A32" s="229" t="str">
        <f t="shared" si="0"/>
        <v/>
      </c>
      <c r="B32" s="230"/>
      <c r="C32" s="231" t="str">
        <f>IF(B32="","",IFERROR(VLOOKUP(B32,DB_Customers!$A:$D,4,0),"❌ Account Not Found"))</f>
        <v/>
      </c>
      <c r="D32" s="232" t="str">
        <f t="shared" ca="1" si="1"/>
        <v/>
      </c>
      <c r="E32" s="233"/>
      <c r="F32" s="231"/>
      <c r="G32" s="234"/>
      <c r="H32" s="235">
        <v>2.5</v>
      </c>
      <c r="I32" s="236" t="str">
        <f t="shared" si="2"/>
        <v/>
      </c>
      <c r="J32" s="237" t="str">
        <f t="shared" si="3"/>
        <v/>
      </c>
      <c r="K32" s="238" t="str">
        <f>IF(B32="","Pending",IF(M32="","⚠️ Enter Code",IF(IFERROR(VLOOKUP(L32,DB_Agents!$B:$I,8,0),"")=M32,"Pending","🔒 BLOCKED — Wrong Code")))</f>
        <v>Pending</v>
      </c>
      <c r="L32" s="239" t="s">
        <v>137</v>
      </c>
      <c r="M32" s="240"/>
      <c r="N32" s="230"/>
    </row>
    <row r="33" spans="1:14" ht="18" customHeight="1" x14ac:dyDescent="0.25">
      <c r="A33" s="241" t="str">
        <f t="shared" si="0"/>
        <v/>
      </c>
      <c r="B33" s="242"/>
      <c r="C33" s="243" t="str">
        <f>IF(B33="","",IFERROR(VLOOKUP(B33,DB_Customers!$A:$D,4,0),"❌ Account Not Found"))</f>
        <v/>
      </c>
      <c r="D33" s="244" t="str">
        <f t="shared" ca="1" si="1"/>
        <v/>
      </c>
      <c r="E33" s="245"/>
      <c r="F33" s="243"/>
      <c r="G33" s="246"/>
      <c r="H33" s="247">
        <v>2.5</v>
      </c>
      <c r="I33" s="248" t="str">
        <f t="shared" si="2"/>
        <v/>
      </c>
      <c r="J33" s="249" t="str">
        <f t="shared" si="3"/>
        <v/>
      </c>
      <c r="K33" s="250" t="str">
        <f>IF(B33="","Pending",IF(M33="","⚠️ Enter Code",IF(IFERROR(VLOOKUP(L33,DB_Agents!$B:$I,8,0),"")=M33,"Pending","🔒 BLOCKED — Wrong Code")))</f>
        <v>Pending</v>
      </c>
      <c r="L33" s="251" t="s">
        <v>137</v>
      </c>
      <c r="M33" s="252"/>
      <c r="N33" s="242"/>
    </row>
    <row r="34" spans="1:14" ht="18" customHeight="1" x14ac:dyDescent="0.25">
      <c r="A34" s="229" t="str">
        <f t="shared" si="0"/>
        <v/>
      </c>
      <c r="B34" s="230"/>
      <c r="C34" s="231" t="str">
        <f>IF(B34="","",IFERROR(VLOOKUP(B34,DB_Customers!$A:$D,4,0),"❌ Account Not Found"))</f>
        <v/>
      </c>
      <c r="D34" s="232" t="str">
        <f t="shared" ca="1" si="1"/>
        <v/>
      </c>
      <c r="E34" s="233"/>
      <c r="F34" s="231"/>
      <c r="G34" s="234"/>
      <c r="H34" s="235">
        <v>2.5</v>
      </c>
      <c r="I34" s="236" t="str">
        <f t="shared" si="2"/>
        <v/>
      </c>
      <c r="J34" s="237" t="str">
        <f t="shared" si="3"/>
        <v/>
      </c>
      <c r="K34" s="238" t="str">
        <f>IF(B34="","Pending",IF(M34="","⚠️ Enter Code",IF(IFERROR(VLOOKUP(L34,DB_Agents!$B:$I,8,0),"")=M34,"Pending","🔒 BLOCKED — Wrong Code")))</f>
        <v>Pending</v>
      </c>
      <c r="L34" s="239" t="s">
        <v>137</v>
      </c>
      <c r="M34" s="240"/>
      <c r="N34" s="230"/>
    </row>
    <row r="35" spans="1:14" ht="18" customHeight="1" x14ac:dyDescent="0.25">
      <c r="A35" s="241" t="str">
        <f t="shared" si="0"/>
        <v/>
      </c>
      <c r="B35" s="242"/>
      <c r="C35" s="243" t="str">
        <f>IF(B35="","",IFERROR(VLOOKUP(B35,DB_Customers!$A:$D,4,0),"❌ Account Not Found"))</f>
        <v/>
      </c>
      <c r="D35" s="244" t="str">
        <f t="shared" ca="1" si="1"/>
        <v/>
      </c>
      <c r="E35" s="245"/>
      <c r="F35" s="243"/>
      <c r="G35" s="246"/>
      <c r="H35" s="247">
        <v>2.5</v>
      </c>
      <c r="I35" s="248" t="str">
        <f t="shared" si="2"/>
        <v/>
      </c>
      <c r="J35" s="249" t="str">
        <f t="shared" si="3"/>
        <v/>
      </c>
      <c r="K35" s="250" t="str">
        <f>IF(B35="","Pending",IF(M35="","⚠️ Enter Code",IF(IFERROR(VLOOKUP(L35,DB_Agents!$B:$I,8,0),"")=M35,"Pending","🔒 BLOCKED — Wrong Code")))</f>
        <v>Pending</v>
      </c>
      <c r="L35" s="251" t="s">
        <v>137</v>
      </c>
      <c r="M35" s="252"/>
      <c r="N35" s="242"/>
    </row>
    <row r="36" spans="1:14" ht="18" customHeight="1" x14ac:dyDescent="0.25">
      <c r="A36" s="229" t="str">
        <f t="shared" si="0"/>
        <v/>
      </c>
      <c r="B36" s="230"/>
      <c r="C36" s="231" t="str">
        <f>IF(B36="","",IFERROR(VLOOKUP(B36,DB_Customers!$A:$D,4,0),"❌ Account Not Found"))</f>
        <v/>
      </c>
      <c r="D36" s="232" t="str">
        <f t="shared" ca="1" si="1"/>
        <v/>
      </c>
      <c r="E36" s="233"/>
      <c r="F36" s="231"/>
      <c r="G36" s="234"/>
      <c r="H36" s="235">
        <v>2.5</v>
      </c>
      <c r="I36" s="236" t="str">
        <f t="shared" si="2"/>
        <v/>
      </c>
      <c r="J36" s="237" t="str">
        <f t="shared" si="3"/>
        <v/>
      </c>
      <c r="K36" s="238" t="str">
        <f>IF(B36="","Pending",IF(M36="","⚠️ Enter Code",IF(IFERROR(VLOOKUP(L36,DB_Agents!$B:$I,8,0),"")=M36,"Pending","🔒 BLOCKED — Wrong Code")))</f>
        <v>Pending</v>
      </c>
      <c r="L36" s="239" t="s">
        <v>137</v>
      </c>
      <c r="M36" s="240"/>
      <c r="N36" s="230"/>
    </row>
    <row r="37" spans="1:14" ht="18" customHeight="1" x14ac:dyDescent="0.25">
      <c r="A37" s="241" t="str">
        <f t="shared" si="0"/>
        <v/>
      </c>
      <c r="B37" s="242"/>
      <c r="C37" s="243" t="str">
        <f>IF(B37="","",IFERROR(VLOOKUP(B37,DB_Customers!$A:$D,4,0),"❌ Account Not Found"))</f>
        <v/>
      </c>
      <c r="D37" s="244" t="str">
        <f t="shared" ca="1" si="1"/>
        <v/>
      </c>
      <c r="E37" s="245"/>
      <c r="F37" s="243"/>
      <c r="G37" s="246"/>
      <c r="H37" s="247">
        <v>2.5</v>
      </c>
      <c r="I37" s="248" t="str">
        <f t="shared" si="2"/>
        <v/>
      </c>
      <c r="J37" s="249" t="str">
        <f t="shared" si="3"/>
        <v/>
      </c>
      <c r="K37" s="250" t="str">
        <f>IF(B37="","Pending",IF(M37="","⚠️ Enter Code",IF(IFERROR(VLOOKUP(L37,DB_Agents!$B:$I,8,0),"")=M37,"Pending","🔒 BLOCKED — Wrong Code")))</f>
        <v>Pending</v>
      </c>
      <c r="L37" s="251" t="s">
        <v>137</v>
      </c>
      <c r="M37" s="252"/>
      <c r="N37" s="242"/>
    </row>
    <row r="38" spans="1:14" ht="18" customHeight="1" x14ac:dyDescent="0.25">
      <c r="A38" s="229" t="str">
        <f t="shared" si="0"/>
        <v/>
      </c>
      <c r="B38" s="230"/>
      <c r="C38" s="231" t="str">
        <f>IF(B38="","",IFERROR(VLOOKUP(B38,DB_Customers!$A:$D,4,0),"❌ Account Not Found"))</f>
        <v/>
      </c>
      <c r="D38" s="232" t="str">
        <f t="shared" ca="1" si="1"/>
        <v/>
      </c>
      <c r="E38" s="233"/>
      <c r="F38" s="231"/>
      <c r="G38" s="234"/>
      <c r="H38" s="235">
        <v>2.5</v>
      </c>
      <c r="I38" s="236" t="str">
        <f t="shared" si="2"/>
        <v/>
      </c>
      <c r="J38" s="237" t="str">
        <f t="shared" si="3"/>
        <v/>
      </c>
      <c r="K38" s="238" t="str">
        <f>IF(B38="","Pending",IF(M38="","⚠️ Enter Code",IF(IFERROR(VLOOKUP(L38,DB_Agents!$B:$I,8,0),"")=M38,"Pending","🔒 BLOCKED — Wrong Code")))</f>
        <v>Pending</v>
      </c>
      <c r="L38" s="239" t="s">
        <v>137</v>
      </c>
      <c r="M38" s="240"/>
      <c r="N38" s="230"/>
    </row>
    <row r="39" spans="1:14" ht="18" customHeight="1" x14ac:dyDescent="0.25">
      <c r="A39" s="241" t="str">
        <f t="shared" si="0"/>
        <v/>
      </c>
      <c r="B39" s="242"/>
      <c r="C39" s="243" t="str">
        <f>IF(B39="","",IFERROR(VLOOKUP(B39,DB_Customers!$A:$D,4,0),"❌ Account Not Found"))</f>
        <v/>
      </c>
      <c r="D39" s="244" t="str">
        <f t="shared" ca="1" si="1"/>
        <v/>
      </c>
      <c r="E39" s="245"/>
      <c r="F39" s="243"/>
      <c r="G39" s="246"/>
      <c r="H39" s="247">
        <v>2.5</v>
      </c>
      <c r="I39" s="248" t="str">
        <f t="shared" si="2"/>
        <v/>
      </c>
      <c r="J39" s="249" t="str">
        <f t="shared" si="3"/>
        <v/>
      </c>
      <c r="K39" s="250" t="str">
        <f>IF(B39="","Pending",IF(M39="","⚠️ Enter Code",IF(IFERROR(VLOOKUP(L39,DB_Agents!$B:$I,8,0),"")=M39,"Pending","🔒 BLOCKED — Wrong Code")))</f>
        <v>Pending</v>
      </c>
      <c r="L39" s="251" t="s">
        <v>137</v>
      </c>
      <c r="M39" s="252"/>
      <c r="N39" s="242"/>
    </row>
    <row r="40" spans="1:14" ht="18" customHeight="1" x14ac:dyDescent="0.25">
      <c r="A40" s="229" t="str">
        <f t="shared" si="0"/>
        <v/>
      </c>
      <c r="B40" s="230"/>
      <c r="C40" s="231" t="str">
        <f>IF(B40="","",IFERROR(VLOOKUP(B40,DB_Customers!$A:$D,4,0),"❌ Account Not Found"))</f>
        <v/>
      </c>
      <c r="D40" s="232" t="str">
        <f t="shared" ca="1" si="1"/>
        <v/>
      </c>
      <c r="E40" s="233"/>
      <c r="F40" s="231"/>
      <c r="G40" s="234"/>
      <c r="H40" s="235">
        <v>2.5</v>
      </c>
      <c r="I40" s="236" t="str">
        <f t="shared" si="2"/>
        <v/>
      </c>
      <c r="J40" s="237" t="str">
        <f t="shared" si="3"/>
        <v/>
      </c>
      <c r="K40" s="238" t="str">
        <f>IF(B40="","Pending",IF(M40="","⚠️ Enter Code",IF(IFERROR(VLOOKUP(L40,DB_Agents!$B:$I,8,0),"")=M40,"Pending","🔒 BLOCKED — Wrong Code")))</f>
        <v>Pending</v>
      </c>
      <c r="L40" s="239" t="s">
        <v>137</v>
      </c>
      <c r="M40" s="240"/>
      <c r="N40" s="230"/>
    </row>
    <row r="41" spans="1:14" ht="18" customHeight="1" x14ac:dyDescent="0.25">
      <c r="A41" s="241" t="str">
        <f t="shared" si="0"/>
        <v/>
      </c>
      <c r="B41" s="242"/>
      <c r="C41" s="243" t="str">
        <f>IF(B41="","",IFERROR(VLOOKUP(B41,DB_Customers!$A:$D,4,0),"❌ Account Not Found"))</f>
        <v/>
      </c>
      <c r="D41" s="244" t="str">
        <f t="shared" ca="1" si="1"/>
        <v/>
      </c>
      <c r="E41" s="245"/>
      <c r="F41" s="243"/>
      <c r="G41" s="246"/>
      <c r="H41" s="247">
        <v>2.5</v>
      </c>
      <c r="I41" s="248" t="str">
        <f t="shared" si="2"/>
        <v/>
      </c>
      <c r="J41" s="249" t="str">
        <f t="shared" si="3"/>
        <v/>
      </c>
      <c r="K41" s="250" t="str">
        <f>IF(B41="","Pending",IF(M41="","⚠️ Enter Code",IF(IFERROR(VLOOKUP(L41,DB_Agents!$B:$I,8,0),"")=M41,"Pending","🔒 BLOCKED — Wrong Code")))</f>
        <v>Pending</v>
      </c>
      <c r="L41" s="251" t="s">
        <v>137</v>
      </c>
      <c r="M41" s="252"/>
      <c r="N41" s="242"/>
    </row>
    <row r="42" spans="1:14" ht="18" customHeight="1" x14ac:dyDescent="0.25">
      <c r="A42" s="229" t="str">
        <f t="shared" si="0"/>
        <v/>
      </c>
      <c r="B42" s="230"/>
      <c r="C42" s="231" t="str">
        <f>IF(B42="","",IFERROR(VLOOKUP(B42,DB_Customers!$A:$D,4,0),"❌ Account Not Found"))</f>
        <v/>
      </c>
      <c r="D42" s="232" t="str">
        <f t="shared" ca="1" si="1"/>
        <v/>
      </c>
      <c r="E42" s="233"/>
      <c r="F42" s="231"/>
      <c r="G42" s="234"/>
      <c r="H42" s="235">
        <v>2.5</v>
      </c>
      <c r="I42" s="236" t="str">
        <f t="shared" si="2"/>
        <v/>
      </c>
      <c r="J42" s="237" t="str">
        <f t="shared" si="3"/>
        <v/>
      </c>
      <c r="K42" s="238" t="str">
        <f>IF(B42="","Pending",IF(M42="","⚠️ Enter Code",IF(IFERROR(VLOOKUP(L42,DB_Agents!$B:$I,8,0),"")=M42,"Pending","🔒 BLOCKED — Wrong Code")))</f>
        <v>Pending</v>
      </c>
      <c r="L42" s="239" t="s">
        <v>137</v>
      </c>
      <c r="M42" s="240"/>
      <c r="N42" s="230"/>
    </row>
    <row r="43" spans="1:14" ht="18" customHeight="1" x14ac:dyDescent="0.25">
      <c r="A43" s="241" t="str">
        <f t="shared" si="0"/>
        <v/>
      </c>
      <c r="B43" s="242"/>
      <c r="C43" s="243" t="str">
        <f>IF(B43="","",IFERROR(VLOOKUP(B43,DB_Customers!$A:$D,4,0),"❌ Account Not Found"))</f>
        <v/>
      </c>
      <c r="D43" s="244" t="str">
        <f t="shared" ca="1" si="1"/>
        <v/>
      </c>
      <c r="E43" s="245"/>
      <c r="F43" s="243"/>
      <c r="G43" s="246"/>
      <c r="H43" s="247">
        <v>2.5</v>
      </c>
      <c r="I43" s="248" t="str">
        <f t="shared" si="2"/>
        <v/>
      </c>
      <c r="J43" s="249" t="str">
        <f t="shared" si="3"/>
        <v/>
      </c>
      <c r="K43" s="250" t="str">
        <f>IF(B43="","Pending",IF(M43="","⚠️ Enter Code",IF(IFERROR(VLOOKUP(L43,DB_Agents!$B:$I,8,0),"")=M43,"Pending","🔒 BLOCKED — Wrong Code")))</f>
        <v>Pending</v>
      </c>
      <c r="L43" s="251" t="s">
        <v>137</v>
      </c>
      <c r="M43" s="252"/>
      <c r="N43" s="242"/>
    </row>
    <row r="44" spans="1:14" ht="18" customHeight="1" x14ac:dyDescent="0.25">
      <c r="A44" s="229" t="str">
        <f t="shared" si="0"/>
        <v/>
      </c>
      <c r="B44" s="230"/>
      <c r="C44" s="231" t="str">
        <f>IF(B44="","",IFERROR(VLOOKUP(B44,DB_Customers!$A:$D,4,0),"❌ Account Not Found"))</f>
        <v/>
      </c>
      <c r="D44" s="232" t="str">
        <f t="shared" ca="1" si="1"/>
        <v/>
      </c>
      <c r="E44" s="233"/>
      <c r="F44" s="231"/>
      <c r="G44" s="234"/>
      <c r="H44" s="235">
        <v>2.5</v>
      </c>
      <c r="I44" s="236" t="str">
        <f t="shared" si="2"/>
        <v/>
      </c>
      <c r="J44" s="237" t="str">
        <f t="shared" si="3"/>
        <v/>
      </c>
      <c r="K44" s="238" t="str">
        <f>IF(B44="","Pending",IF(M44="","⚠️ Enter Code",IF(IFERROR(VLOOKUP(L44,DB_Agents!$B:$I,8,0),"")=M44,"Pending","🔒 BLOCKED — Wrong Code")))</f>
        <v>Pending</v>
      </c>
      <c r="L44" s="239" t="s">
        <v>137</v>
      </c>
      <c r="M44" s="240"/>
      <c r="N44" s="230"/>
    </row>
    <row r="45" spans="1:14" ht="18" customHeight="1" x14ac:dyDescent="0.25">
      <c r="A45" s="241" t="str">
        <f t="shared" si="0"/>
        <v/>
      </c>
      <c r="B45" s="242"/>
      <c r="C45" s="243" t="str">
        <f>IF(B45="","",IFERROR(VLOOKUP(B45,DB_Customers!$A:$D,4,0),"❌ Account Not Found"))</f>
        <v/>
      </c>
      <c r="D45" s="244" t="str">
        <f t="shared" ca="1" si="1"/>
        <v/>
      </c>
      <c r="E45" s="245"/>
      <c r="F45" s="243"/>
      <c r="G45" s="246"/>
      <c r="H45" s="247">
        <v>2.5</v>
      </c>
      <c r="I45" s="248" t="str">
        <f t="shared" si="2"/>
        <v/>
      </c>
      <c r="J45" s="249" t="str">
        <f t="shared" si="3"/>
        <v/>
      </c>
      <c r="K45" s="250" t="str">
        <f>IF(B45="","Pending",IF(M45="","⚠️ Enter Code",IF(IFERROR(VLOOKUP(L45,DB_Agents!$B:$I,8,0),"")=M45,"Pending","🔒 BLOCKED — Wrong Code")))</f>
        <v>Pending</v>
      </c>
      <c r="L45" s="251" t="s">
        <v>137</v>
      </c>
      <c r="M45" s="252"/>
      <c r="N45" s="242"/>
    </row>
    <row r="46" spans="1:14" ht="18" customHeight="1" x14ac:dyDescent="0.25">
      <c r="A46" s="229" t="str">
        <f t="shared" ref="A46:A77" si="4">IF(B46="","",IF(C46="❌ Account Not Found","INVALID","LN"&amp;TEXT(D46,"YYYYMMDD")&amp;TEXT(ROW()-13,"0000")))</f>
        <v/>
      </c>
      <c r="B46" s="230"/>
      <c r="C46" s="231" t="str">
        <f>IF(B46="","",IFERROR(VLOOKUP(B46,DB_Customers!$A:$D,4,0),"❌ Account Not Found"))</f>
        <v/>
      </c>
      <c r="D46" s="232" t="str">
        <f t="shared" ref="D46:D77" ca="1" si="5">IF(B46="","",TODAY())</f>
        <v/>
      </c>
      <c r="E46" s="233"/>
      <c r="F46" s="231"/>
      <c r="G46" s="234"/>
      <c r="H46" s="235">
        <v>2.5</v>
      </c>
      <c r="I46" s="236" t="str">
        <f t="shared" ref="I46:I77" si="6">IF(E46="","",E46+(E46*H46/100*G46))</f>
        <v/>
      </c>
      <c r="J46" s="237" t="str">
        <f t="shared" ref="J46:J77" si="7">IFERROR(I46/G46,"")</f>
        <v/>
      </c>
      <c r="K46" s="238" t="str">
        <f>IF(B46="","Pending",IF(M46="","⚠️ Enter Code",IF(IFERROR(VLOOKUP(L46,DB_Agents!$B:$I,8,0),"")=M46,"Pending","🔒 BLOCKED — Wrong Code")))</f>
        <v>Pending</v>
      </c>
      <c r="L46" s="239" t="s">
        <v>137</v>
      </c>
      <c r="M46" s="240"/>
      <c r="N46" s="230"/>
    </row>
    <row r="47" spans="1:14" ht="18" customHeight="1" x14ac:dyDescent="0.25">
      <c r="A47" s="241" t="str">
        <f t="shared" si="4"/>
        <v/>
      </c>
      <c r="B47" s="242"/>
      <c r="C47" s="243" t="str">
        <f>IF(B47="","",IFERROR(VLOOKUP(B47,DB_Customers!$A:$D,4,0),"❌ Account Not Found"))</f>
        <v/>
      </c>
      <c r="D47" s="244" t="str">
        <f t="shared" ca="1" si="5"/>
        <v/>
      </c>
      <c r="E47" s="245"/>
      <c r="F47" s="243"/>
      <c r="G47" s="246"/>
      <c r="H47" s="247">
        <v>2.5</v>
      </c>
      <c r="I47" s="248" t="str">
        <f t="shared" si="6"/>
        <v/>
      </c>
      <c r="J47" s="249" t="str">
        <f t="shared" si="7"/>
        <v/>
      </c>
      <c r="K47" s="250" t="str">
        <f>IF(B47="","Pending",IF(M47="","⚠️ Enter Code",IF(IFERROR(VLOOKUP(L47,DB_Agents!$B:$I,8,0),"")=M47,"Pending","🔒 BLOCKED — Wrong Code")))</f>
        <v>Pending</v>
      </c>
      <c r="L47" s="251" t="s">
        <v>137</v>
      </c>
      <c r="M47" s="252"/>
      <c r="N47" s="242"/>
    </row>
    <row r="48" spans="1:14" ht="18" customHeight="1" x14ac:dyDescent="0.25">
      <c r="A48" s="229" t="str">
        <f t="shared" si="4"/>
        <v/>
      </c>
      <c r="B48" s="230"/>
      <c r="C48" s="231" t="str">
        <f>IF(B48="","",IFERROR(VLOOKUP(B48,DB_Customers!$A:$D,4,0),"❌ Account Not Found"))</f>
        <v/>
      </c>
      <c r="D48" s="232" t="str">
        <f t="shared" ca="1" si="5"/>
        <v/>
      </c>
      <c r="E48" s="233"/>
      <c r="F48" s="231"/>
      <c r="G48" s="234"/>
      <c r="H48" s="235">
        <v>2.5</v>
      </c>
      <c r="I48" s="236" t="str">
        <f t="shared" si="6"/>
        <v/>
      </c>
      <c r="J48" s="237" t="str">
        <f t="shared" si="7"/>
        <v/>
      </c>
      <c r="K48" s="238" t="str">
        <f>IF(B48="","Pending",IF(M48="","⚠️ Enter Code",IF(IFERROR(VLOOKUP(L48,DB_Agents!$B:$I,8,0),"")=M48,"Pending","🔒 BLOCKED — Wrong Code")))</f>
        <v>Pending</v>
      </c>
      <c r="L48" s="239" t="s">
        <v>137</v>
      </c>
      <c r="M48" s="240"/>
      <c r="N48" s="230"/>
    </row>
    <row r="49" spans="1:14" ht="18" customHeight="1" x14ac:dyDescent="0.25">
      <c r="A49" s="241" t="str">
        <f t="shared" si="4"/>
        <v/>
      </c>
      <c r="B49" s="242"/>
      <c r="C49" s="243" t="str">
        <f>IF(B49="","",IFERROR(VLOOKUP(B49,DB_Customers!$A:$D,4,0),"❌ Account Not Found"))</f>
        <v/>
      </c>
      <c r="D49" s="244" t="str">
        <f t="shared" ca="1" si="5"/>
        <v/>
      </c>
      <c r="E49" s="245"/>
      <c r="F49" s="243"/>
      <c r="G49" s="246"/>
      <c r="H49" s="247">
        <v>2.5</v>
      </c>
      <c r="I49" s="248" t="str">
        <f t="shared" si="6"/>
        <v/>
      </c>
      <c r="J49" s="249" t="str">
        <f t="shared" si="7"/>
        <v/>
      </c>
      <c r="K49" s="250" t="str">
        <f>IF(B49="","Pending",IF(M49="","⚠️ Enter Code",IF(IFERROR(VLOOKUP(L49,DB_Agents!$B:$I,8,0),"")=M49,"Pending","🔒 BLOCKED — Wrong Code")))</f>
        <v>Pending</v>
      </c>
      <c r="L49" s="251" t="s">
        <v>137</v>
      </c>
      <c r="M49" s="252"/>
      <c r="N49" s="242"/>
    </row>
    <row r="50" spans="1:14" ht="18" customHeight="1" x14ac:dyDescent="0.25">
      <c r="A50" s="229" t="str">
        <f t="shared" si="4"/>
        <v/>
      </c>
      <c r="B50" s="230"/>
      <c r="C50" s="231" t="str">
        <f>IF(B50="","",IFERROR(VLOOKUP(B50,DB_Customers!$A:$D,4,0),"❌ Account Not Found"))</f>
        <v/>
      </c>
      <c r="D50" s="232" t="str">
        <f t="shared" ca="1" si="5"/>
        <v/>
      </c>
      <c r="E50" s="233"/>
      <c r="F50" s="231"/>
      <c r="G50" s="234"/>
      <c r="H50" s="235">
        <v>2.5</v>
      </c>
      <c r="I50" s="236" t="str">
        <f t="shared" si="6"/>
        <v/>
      </c>
      <c r="J50" s="237" t="str">
        <f t="shared" si="7"/>
        <v/>
      </c>
      <c r="K50" s="238" t="str">
        <f>IF(B50="","Pending",IF(M50="","⚠️ Enter Code",IF(IFERROR(VLOOKUP(L50,DB_Agents!$B:$I,8,0),"")=M50,"Pending","🔒 BLOCKED — Wrong Code")))</f>
        <v>Pending</v>
      </c>
      <c r="L50" s="239" t="s">
        <v>137</v>
      </c>
      <c r="M50" s="240"/>
      <c r="N50" s="230"/>
    </row>
    <row r="51" spans="1:14" ht="18" customHeight="1" x14ac:dyDescent="0.25">
      <c r="A51" s="241" t="str">
        <f t="shared" si="4"/>
        <v/>
      </c>
      <c r="B51" s="242"/>
      <c r="C51" s="243" t="str">
        <f>IF(B51="","",IFERROR(VLOOKUP(B51,DB_Customers!$A:$D,4,0),"❌ Account Not Found"))</f>
        <v/>
      </c>
      <c r="D51" s="244" t="str">
        <f t="shared" ca="1" si="5"/>
        <v/>
      </c>
      <c r="E51" s="245"/>
      <c r="F51" s="243"/>
      <c r="G51" s="246"/>
      <c r="H51" s="247">
        <v>2.5</v>
      </c>
      <c r="I51" s="248" t="str">
        <f t="shared" si="6"/>
        <v/>
      </c>
      <c r="J51" s="249" t="str">
        <f t="shared" si="7"/>
        <v/>
      </c>
      <c r="K51" s="250" t="str">
        <f>IF(B51="","Pending",IF(M51="","⚠️ Enter Code",IF(IFERROR(VLOOKUP(L51,DB_Agents!$B:$I,8,0),"")=M51,"Pending","🔒 BLOCKED — Wrong Code")))</f>
        <v>Pending</v>
      </c>
      <c r="L51" s="251" t="s">
        <v>137</v>
      </c>
      <c r="M51" s="252"/>
      <c r="N51" s="242"/>
    </row>
    <row r="52" spans="1:14" ht="18" customHeight="1" x14ac:dyDescent="0.25">
      <c r="A52" s="229" t="str">
        <f t="shared" si="4"/>
        <v/>
      </c>
      <c r="B52" s="230"/>
      <c r="C52" s="231" t="str">
        <f>IF(B52="","",IFERROR(VLOOKUP(B52,DB_Customers!$A:$D,4,0),"❌ Account Not Found"))</f>
        <v/>
      </c>
      <c r="D52" s="232" t="str">
        <f t="shared" ca="1" si="5"/>
        <v/>
      </c>
      <c r="E52" s="233"/>
      <c r="F52" s="231"/>
      <c r="G52" s="234"/>
      <c r="H52" s="235">
        <v>2.5</v>
      </c>
      <c r="I52" s="236" t="str">
        <f t="shared" si="6"/>
        <v/>
      </c>
      <c r="J52" s="237" t="str">
        <f t="shared" si="7"/>
        <v/>
      </c>
      <c r="K52" s="238" t="str">
        <f>IF(B52="","Pending",IF(M52="","⚠️ Enter Code",IF(IFERROR(VLOOKUP(L52,DB_Agents!$B:$I,8,0),"")=M52,"Pending","🔒 BLOCKED — Wrong Code")))</f>
        <v>Pending</v>
      </c>
      <c r="L52" s="239" t="s">
        <v>137</v>
      </c>
      <c r="M52" s="240"/>
      <c r="N52" s="230"/>
    </row>
    <row r="53" spans="1:14" ht="18" customHeight="1" x14ac:dyDescent="0.25">
      <c r="A53" s="241" t="str">
        <f t="shared" si="4"/>
        <v/>
      </c>
      <c r="B53" s="242"/>
      <c r="C53" s="243" t="str">
        <f>IF(B53="","",IFERROR(VLOOKUP(B53,DB_Customers!$A:$D,4,0),"❌ Account Not Found"))</f>
        <v/>
      </c>
      <c r="D53" s="244" t="str">
        <f t="shared" ca="1" si="5"/>
        <v/>
      </c>
      <c r="E53" s="245"/>
      <c r="F53" s="243"/>
      <c r="G53" s="246"/>
      <c r="H53" s="247">
        <v>2.5</v>
      </c>
      <c r="I53" s="248" t="str">
        <f t="shared" si="6"/>
        <v/>
      </c>
      <c r="J53" s="249" t="str">
        <f t="shared" si="7"/>
        <v/>
      </c>
      <c r="K53" s="250" t="str">
        <f>IF(B53="","Pending",IF(M53="","⚠️ Enter Code",IF(IFERROR(VLOOKUP(L53,DB_Agents!$B:$I,8,0),"")=M53,"Pending","🔒 BLOCKED — Wrong Code")))</f>
        <v>Pending</v>
      </c>
      <c r="L53" s="251" t="s">
        <v>137</v>
      </c>
      <c r="M53" s="252"/>
      <c r="N53" s="242"/>
    </row>
    <row r="54" spans="1:14" ht="18" customHeight="1" x14ac:dyDescent="0.25">
      <c r="A54" s="229" t="str">
        <f t="shared" si="4"/>
        <v/>
      </c>
      <c r="B54" s="230"/>
      <c r="C54" s="231" t="str">
        <f>IF(B54="","",IFERROR(VLOOKUP(B54,DB_Customers!$A:$D,4,0),"❌ Account Not Found"))</f>
        <v/>
      </c>
      <c r="D54" s="232" t="str">
        <f t="shared" ca="1" si="5"/>
        <v/>
      </c>
      <c r="E54" s="233"/>
      <c r="F54" s="231"/>
      <c r="G54" s="234"/>
      <c r="H54" s="235">
        <v>2.5</v>
      </c>
      <c r="I54" s="236" t="str">
        <f t="shared" si="6"/>
        <v/>
      </c>
      <c r="J54" s="237" t="str">
        <f t="shared" si="7"/>
        <v/>
      </c>
      <c r="K54" s="238" t="str">
        <f>IF(B54="","Pending",IF(M54="","⚠️ Enter Code",IF(IFERROR(VLOOKUP(L54,DB_Agents!$B:$I,8,0),"")=M54,"Pending","🔒 BLOCKED — Wrong Code")))</f>
        <v>Pending</v>
      </c>
      <c r="L54" s="239" t="s">
        <v>137</v>
      </c>
      <c r="M54" s="240"/>
      <c r="N54" s="230"/>
    </row>
    <row r="55" spans="1:14" ht="18" customHeight="1" x14ac:dyDescent="0.25">
      <c r="A55" s="241" t="str">
        <f t="shared" si="4"/>
        <v/>
      </c>
      <c r="B55" s="242"/>
      <c r="C55" s="243" t="str">
        <f>IF(B55="","",IFERROR(VLOOKUP(B55,DB_Customers!$A:$D,4,0),"❌ Account Not Found"))</f>
        <v/>
      </c>
      <c r="D55" s="244" t="str">
        <f t="shared" ca="1" si="5"/>
        <v/>
      </c>
      <c r="E55" s="245"/>
      <c r="F55" s="243"/>
      <c r="G55" s="246"/>
      <c r="H55" s="247">
        <v>2.5</v>
      </c>
      <c r="I55" s="248" t="str">
        <f t="shared" si="6"/>
        <v/>
      </c>
      <c r="J55" s="249" t="str">
        <f t="shared" si="7"/>
        <v/>
      </c>
      <c r="K55" s="250" t="str">
        <f>IF(B55="","Pending",IF(M55="","⚠️ Enter Code",IF(IFERROR(VLOOKUP(L55,DB_Agents!$B:$I,8,0),"")=M55,"Pending","🔒 BLOCKED — Wrong Code")))</f>
        <v>Pending</v>
      </c>
      <c r="L55" s="251" t="s">
        <v>137</v>
      </c>
      <c r="M55" s="252"/>
      <c r="N55" s="242"/>
    </row>
    <row r="56" spans="1:14" ht="18" customHeight="1" x14ac:dyDescent="0.25">
      <c r="A56" s="229" t="str">
        <f t="shared" si="4"/>
        <v/>
      </c>
      <c r="B56" s="230"/>
      <c r="C56" s="231" t="str">
        <f>IF(B56="","",IFERROR(VLOOKUP(B56,DB_Customers!$A:$D,4,0),"❌ Account Not Found"))</f>
        <v/>
      </c>
      <c r="D56" s="232" t="str">
        <f t="shared" ca="1" si="5"/>
        <v/>
      </c>
      <c r="E56" s="233"/>
      <c r="F56" s="231"/>
      <c r="G56" s="234"/>
      <c r="H56" s="235">
        <v>2.5</v>
      </c>
      <c r="I56" s="236" t="str">
        <f t="shared" si="6"/>
        <v/>
      </c>
      <c r="J56" s="237" t="str">
        <f t="shared" si="7"/>
        <v/>
      </c>
      <c r="K56" s="238" t="str">
        <f>IF(B56="","Pending",IF(M56="","⚠️ Enter Code",IF(IFERROR(VLOOKUP(L56,DB_Agents!$B:$I,8,0),"")=M56,"Pending","🔒 BLOCKED — Wrong Code")))</f>
        <v>Pending</v>
      </c>
      <c r="L56" s="239" t="s">
        <v>137</v>
      </c>
      <c r="M56" s="240"/>
      <c r="N56" s="230"/>
    </row>
    <row r="57" spans="1:14" ht="18" customHeight="1" x14ac:dyDescent="0.25">
      <c r="A57" s="241" t="str">
        <f t="shared" si="4"/>
        <v/>
      </c>
      <c r="B57" s="242"/>
      <c r="C57" s="243" t="str">
        <f>IF(B57="","",IFERROR(VLOOKUP(B57,DB_Customers!$A:$D,4,0),"❌ Account Not Found"))</f>
        <v/>
      </c>
      <c r="D57" s="244" t="str">
        <f t="shared" ca="1" si="5"/>
        <v/>
      </c>
      <c r="E57" s="245"/>
      <c r="F57" s="243"/>
      <c r="G57" s="246"/>
      <c r="H57" s="247">
        <v>2.5</v>
      </c>
      <c r="I57" s="248" t="str">
        <f t="shared" si="6"/>
        <v/>
      </c>
      <c r="J57" s="249" t="str">
        <f t="shared" si="7"/>
        <v/>
      </c>
      <c r="K57" s="250" t="str">
        <f>IF(B57="","Pending",IF(M57="","⚠️ Enter Code",IF(IFERROR(VLOOKUP(L57,DB_Agents!$B:$I,8,0),"")=M57,"Pending","🔒 BLOCKED — Wrong Code")))</f>
        <v>Pending</v>
      </c>
      <c r="L57" s="251" t="s">
        <v>137</v>
      </c>
      <c r="M57" s="252"/>
      <c r="N57" s="242"/>
    </row>
    <row r="58" spans="1:14" ht="18" customHeight="1" x14ac:dyDescent="0.25">
      <c r="A58" s="229" t="str">
        <f t="shared" si="4"/>
        <v/>
      </c>
      <c r="B58" s="230"/>
      <c r="C58" s="231" t="str">
        <f>IF(B58="","",IFERROR(VLOOKUP(B58,DB_Customers!$A:$D,4,0),"❌ Account Not Found"))</f>
        <v/>
      </c>
      <c r="D58" s="232" t="str">
        <f t="shared" ca="1" si="5"/>
        <v/>
      </c>
      <c r="E58" s="233"/>
      <c r="F58" s="231"/>
      <c r="G58" s="234"/>
      <c r="H58" s="235">
        <v>2.5</v>
      </c>
      <c r="I58" s="236" t="str">
        <f t="shared" si="6"/>
        <v/>
      </c>
      <c r="J58" s="237" t="str">
        <f t="shared" si="7"/>
        <v/>
      </c>
      <c r="K58" s="238" t="str">
        <f>IF(B58="","Pending",IF(M58="","⚠️ Enter Code",IF(IFERROR(VLOOKUP(L58,DB_Agents!$B:$I,8,0),"")=M58,"Pending","🔒 BLOCKED — Wrong Code")))</f>
        <v>Pending</v>
      </c>
      <c r="L58" s="239" t="s">
        <v>137</v>
      </c>
      <c r="M58" s="240"/>
      <c r="N58" s="230"/>
    </row>
    <row r="59" spans="1:14" ht="18" customHeight="1" x14ac:dyDescent="0.25">
      <c r="A59" s="241" t="str">
        <f t="shared" si="4"/>
        <v/>
      </c>
      <c r="B59" s="242"/>
      <c r="C59" s="243" t="str">
        <f>IF(B59="","",IFERROR(VLOOKUP(B59,DB_Customers!$A:$D,4,0),"❌ Account Not Found"))</f>
        <v/>
      </c>
      <c r="D59" s="244" t="str">
        <f t="shared" ca="1" si="5"/>
        <v/>
      </c>
      <c r="E59" s="245"/>
      <c r="F59" s="243"/>
      <c r="G59" s="246"/>
      <c r="H59" s="247">
        <v>2.5</v>
      </c>
      <c r="I59" s="248" t="str">
        <f t="shared" si="6"/>
        <v/>
      </c>
      <c r="J59" s="249" t="str">
        <f t="shared" si="7"/>
        <v/>
      </c>
      <c r="K59" s="250" t="str">
        <f>IF(B59="","Pending",IF(M59="","⚠️ Enter Code",IF(IFERROR(VLOOKUP(L59,DB_Agents!$B:$I,8,0),"")=M59,"Pending","🔒 BLOCKED — Wrong Code")))</f>
        <v>Pending</v>
      </c>
      <c r="L59" s="251" t="s">
        <v>137</v>
      </c>
      <c r="M59" s="252"/>
      <c r="N59" s="242"/>
    </row>
    <row r="60" spans="1:14" ht="18" customHeight="1" x14ac:dyDescent="0.25">
      <c r="A60" s="229" t="str">
        <f t="shared" si="4"/>
        <v/>
      </c>
      <c r="B60" s="230"/>
      <c r="C60" s="231" t="str">
        <f>IF(B60="","",IFERROR(VLOOKUP(B60,DB_Customers!$A:$D,4,0),"❌ Account Not Found"))</f>
        <v/>
      </c>
      <c r="D60" s="232" t="str">
        <f t="shared" ca="1" si="5"/>
        <v/>
      </c>
      <c r="E60" s="233"/>
      <c r="F60" s="231"/>
      <c r="G60" s="234"/>
      <c r="H60" s="235">
        <v>2.5</v>
      </c>
      <c r="I60" s="236" t="str">
        <f t="shared" si="6"/>
        <v/>
      </c>
      <c r="J60" s="237" t="str">
        <f t="shared" si="7"/>
        <v/>
      </c>
      <c r="K60" s="238" t="str">
        <f>IF(B60="","Pending",IF(M60="","⚠️ Enter Code",IF(IFERROR(VLOOKUP(L60,DB_Agents!$B:$I,8,0),"")=M60,"Pending","🔒 BLOCKED — Wrong Code")))</f>
        <v>Pending</v>
      </c>
      <c r="L60" s="239" t="s">
        <v>137</v>
      </c>
      <c r="M60" s="240"/>
      <c r="N60" s="230"/>
    </row>
    <row r="61" spans="1:14" ht="18" customHeight="1" x14ac:dyDescent="0.25">
      <c r="A61" s="241" t="str">
        <f t="shared" si="4"/>
        <v/>
      </c>
      <c r="B61" s="242"/>
      <c r="C61" s="243" t="str">
        <f>IF(B61="","",IFERROR(VLOOKUP(B61,DB_Customers!$A:$D,4,0),"❌ Account Not Found"))</f>
        <v/>
      </c>
      <c r="D61" s="244" t="str">
        <f t="shared" ca="1" si="5"/>
        <v/>
      </c>
      <c r="E61" s="245"/>
      <c r="F61" s="243"/>
      <c r="G61" s="246"/>
      <c r="H61" s="247">
        <v>2.5</v>
      </c>
      <c r="I61" s="248" t="str">
        <f t="shared" si="6"/>
        <v/>
      </c>
      <c r="J61" s="249" t="str">
        <f t="shared" si="7"/>
        <v/>
      </c>
      <c r="K61" s="250" t="str">
        <f>IF(B61="","Pending",IF(M61="","⚠️ Enter Code",IF(IFERROR(VLOOKUP(L61,DB_Agents!$B:$I,8,0),"")=M61,"Pending","🔒 BLOCKED — Wrong Code")))</f>
        <v>Pending</v>
      </c>
      <c r="L61" s="251" t="s">
        <v>137</v>
      </c>
      <c r="M61" s="252"/>
      <c r="N61" s="242"/>
    </row>
    <row r="62" spans="1:14" ht="18" customHeight="1" x14ac:dyDescent="0.25">
      <c r="A62" s="229" t="str">
        <f t="shared" si="4"/>
        <v/>
      </c>
      <c r="B62" s="230"/>
      <c r="C62" s="231" t="str">
        <f>IF(B62="","",IFERROR(VLOOKUP(B62,DB_Customers!$A:$D,4,0),"❌ Account Not Found"))</f>
        <v/>
      </c>
      <c r="D62" s="232" t="str">
        <f t="shared" ca="1" si="5"/>
        <v/>
      </c>
      <c r="E62" s="233"/>
      <c r="F62" s="231"/>
      <c r="G62" s="234"/>
      <c r="H62" s="235">
        <v>2.5</v>
      </c>
      <c r="I62" s="236" t="str">
        <f t="shared" si="6"/>
        <v/>
      </c>
      <c r="J62" s="237" t="str">
        <f t="shared" si="7"/>
        <v/>
      </c>
      <c r="K62" s="238" t="str">
        <f>IF(B62="","Pending",IF(M62="","⚠️ Enter Code",IF(IFERROR(VLOOKUP(L62,DB_Agents!$B:$I,8,0),"")=M62,"Pending","🔒 BLOCKED — Wrong Code")))</f>
        <v>Pending</v>
      </c>
      <c r="L62" s="239" t="s">
        <v>137</v>
      </c>
      <c r="M62" s="240"/>
      <c r="N62" s="230"/>
    </row>
    <row r="63" spans="1:14" ht="18" customHeight="1" x14ac:dyDescent="0.25">
      <c r="A63" s="241" t="str">
        <f t="shared" si="4"/>
        <v/>
      </c>
      <c r="B63" s="242"/>
      <c r="C63" s="243" t="str">
        <f>IF(B63="","",IFERROR(VLOOKUP(B63,DB_Customers!$A:$D,4,0),"❌ Account Not Found"))</f>
        <v/>
      </c>
      <c r="D63" s="244" t="str">
        <f t="shared" ca="1" si="5"/>
        <v/>
      </c>
      <c r="E63" s="245"/>
      <c r="F63" s="243"/>
      <c r="G63" s="246"/>
      <c r="H63" s="247">
        <v>2.5</v>
      </c>
      <c r="I63" s="248" t="str">
        <f t="shared" si="6"/>
        <v/>
      </c>
      <c r="J63" s="249" t="str">
        <f t="shared" si="7"/>
        <v/>
      </c>
      <c r="K63" s="250" t="str">
        <f>IF(B63="","Pending",IF(M63="","⚠️ Enter Code",IF(IFERROR(VLOOKUP(L63,DB_Agents!$B:$I,8,0),"")=M63,"Pending","🔒 BLOCKED — Wrong Code")))</f>
        <v>Pending</v>
      </c>
      <c r="L63" s="251" t="s">
        <v>137</v>
      </c>
      <c r="M63" s="252"/>
      <c r="N63" s="242"/>
    </row>
    <row r="64" spans="1:14" ht="18" customHeight="1" x14ac:dyDescent="0.25">
      <c r="A64" s="229" t="str">
        <f t="shared" si="4"/>
        <v/>
      </c>
      <c r="B64" s="230"/>
      <c r="C64" s="231" t="str">
        <f>IF(B64="","",IFERROR(VLOOKUP(B64,DB_Customers!$A:$D,4,0),"❌ Account Not Found"))</f>
        <v/>
      </c>
      <c r="D64" s="232" t="str">
        <f t="shared" ca="1" si="5"/>
        <v/>
      </c>
      <c r="E64" s="233"/>
      <c r="F64" s="231"/>
      <c r="G64" s="234"/>
      <c r="H64" s="235">
        <v>2.5</v>
      </c>
      <c r="I64" s="236" t="str">
        <f t="shared" si="6"/>
        <v/>
      </c>
      <c r="J64" s="237" t="str">
        <f t="shared" si="7"/>
        <v/>
      </c>
      <c r="K64" s="238" t="str">
        <f>IF(B64="","Pending",IF(M64="","⚠️ Enter Code",IF(IFERROR(VLOOKUP(L64,DB_Agents!$B:$I,8,0),"")=M64,"Pending","🔒 BLOCKED — Wrong Code")))</f>
        <v>Pending</v>
      </c>
      <c r="L64" s="239" t="s">
        <v>137</v>
      </c>
      <c r="M64" s="240"/>
      <c r="N64" s="230"/>
    </row>
    <row r="65" spans="1:14" ht="18" customHeight="1" x14ac:dyDescent="0.25">
      <c r="A65" s="241" t="str">
        <f t="shared" si="4"/>
        <v/>
      </c>
      <c r="B65" s="242"/>
      <c r="C65" s="243" t="str">
        <f>IF(B65="","",IFERROR(VLOOKUP(B65,DB_Customers!$A:$D,4,0),"❌ Account Not Found"))</f>
        <v/>
      </c>
      <c r="D65" s="244" t="str">
        <f t="shared" ca="1" si="5"/>
        <v/>
      </c>
      <c r="E65" s="245"/>
      <c r="F65" s="243"/>
      <c r="G65" s="246"/>
      <c r="H65" s="247">
        <v>2.5</v>
      </c>
      <c r="I65" s="248" t="str">
        <f t="shared" si="6"/>
        <v/>
      </c>
      <c r="J65" s="249" t="str">
        <f t="shared" si="7"/>
        <v/>
      </c>
      <c r="K65" s="250" t="str">
        <f>IF(B65="","Pending",IF(M65="","⚠️ Enter Code",IF(IFERROR(VLOOKUP(L65,DB_Agents!$B:$I,8,0),"")=M65,"Pending","🔒 BLOCKED — Wrong Code")))</f>
        <v>Pending</v>
      </c>
      <c r="L65" s="251" t="s">
        <v>137</v>
      </c>
      <c r="M65" s="252"/>
      <c r="N65" s="242"/>
    </row>
    <row r="66" spans="1:14" ht="18" customHeight="1" x14ac:dyDescent="0.25">
      <c r="A66" s="229" t="str">
        <f t="shared" si="4"/>
        <v/>
      </c>
      <c r="B66" s="230"/>
      <c r="C66" s="231" t="str">
        <f>IF(B66="","",IFERROR(VLOOKUP(B66,DB_Customers!$A:$D,4,0),"❌ Account Not Found"))</f>
        <v/>
      </c>
      <c r="D66" s="232" t="str">
        <f t="shared" ca="1" si="5"/>
        <v/>
      </c>
      <c r="E66" s="233"/>
      <c r="F66" s="231"/>
      <c r="G66" s="234"/>
      <c r="H66" s="235">
        <v>2.5</v>
      </c>
      <c r="I66" s="236" t="str">
        <f t="shared" si="6"/>
        <v/>
      </c>
      <c r="J66" s="237" t="str">
        <f t="shared" si="7"/>
        <v/>
      </c>
      <c r="K66" s="238" t="str">
        <f>IF(B66="","Pending",IF(M66="","⚠️ Enter Code",IF(IFERROR(VLOOKUP(L66,DB_Agents!$B:$I,8,0),"")=M66,"Pending","🔒 BLOCKED — Wrong Code")))</f>
        <v>Pending</v>
      </c>
      <c r="L66" s="239" t="s">
        <v>137</v>
      </c>
      <c r="M66" s="240"/>
      <c r="N66" s="230"/>
    </row>
    <row r="67" spans="1:14" ht="18" customHeight="1" x14ac:dyDescent="0.25">
      <c r="A67" s="241" t="str">
        <f t="shared" si="4"/>
        <v/>
      </c>
      <c r="B67" s="242"/>
      <c r="C67" s="243" t="str">
        <f>IF(B67="","",IFERROR(VLOOKUP(B67,DB_Customers!$A:$D,4,0),"❌ Account Not Found"))</f>
        <v/>
      </c>
      <c r="D67" s="244" t="str">
        <f t="shared" ca="1" si="5"/>
        <v/>
      </c>
      <c r="E67" s="245"/>
      <c r="F67" s="243"/>
      <c r="G67" s="246"/>
      <c r="H67" s="247">
        <v>2.5</v>
      </c>
      <c r="I67" s="248" t="str">
        <f t="shared" si="6"/>
        <v/>
      </c>
      <c r="J67" s="249" t="str">
        <f t="shared" si="7"/>
        <v/>
      </c>
      <c r="K67" s="250" t="str">
        <f>IF(B67="","Pending",IF(M67="","⚠️ Enter Code",IF(IFERROR(VLOOKUP(L67,DB_Agents!$B:$I,8,0),"")=M67,"Pending","🔒 BLOCKED — Wrong Code")))</f>
        <v>Pending</v>
      </c>
      <c r="L67" s="251" t="s">
        <v>137</v>
      </c>
      <c r="M67" s="252"/>
      <c r="N67" s="242"/>
    </row>
    <row r="68" spans="1:14" ht="18" customHeight="1" x14ac:dyDescent="0.25">
      <c r="A68" s="229" t="str">
        <f t="shared" si="4"/>
        <v/>
      </c>
      <c r="B68" s="230"/>
      <c r="C68" s="231" t="str">
        <f>IF(B68="","",IFERROR(VLOOKUP(B68,DB_Customers!$A:$D,4,0),"❌ Account Not Found"))</f>
        <v/>
      </c>
      <c r="D68" s="232" t="str">
        <f t="shared" ca="1" si="5"/>
        <v/>
      </c>
      <c r="E68" s="233"/>
      <c r="F68" s="231"/>
      <c r="G68" s="234"/>
      <c r="H68" s="235">
        <v>2.5</v>
      </c>
      <c r="I68" s="236" t="str">
        <f t="shared" si="6"/>
        <v/>
      </c>
      <c r="J68" s="237" t="str">
        <f t="shared" si="7"/>
        <v/>
      </c>
      <c r="K68" s="238" t="str">
        <f>IF(B68="","Pending",IF(M68="","⚠️ Enter Code",IF(IFERROR(VLOOKUP(L68,DB_Agents!$B:$I,8,0),"")=M68,"Pending","🔒 BLOCKED — Wrong Code")))</f>
        <v>Pending</v>
      </c>
      <c r="L68" s="239" t="s">
        <v>137</v>
      </c>
      <c r="M68" s="240"/>
      <c r="N68" s="230"/>
    </row>
    <row r="69" spans="1:14" ht="18" customHeight="1" x14ac:dyDescent="0.25">
      <c r="A69" s="241" t="str">
        <f t="shared" si="4"/>
        <v/>
      </c>
      <c r="B69" s="242"/>
      <c r="C69" s="243" t="str">
        <f>IF(B69="","",IFERROR(VLOOKUP(B69,DB_Customers!$A:$D,4,0),"❌ Account Not Found"))</f>
        <v/>
      </c>
      <c r="D69" s="244" t="str">
        <f t="shared" ca="1" si="5"/>
        <v/>
      </c>
      <c r="E69" s="245"/>
      <c r="F69" s="243"/>
      <c r="G69" s="246"/>
      <c r="H69" s="247">
        <v>2.5</v>
      </c>
      <c r="I69" s="248" t="str">
        <f t="shared" si="6"/>
        <v/>
      </c>
      <c r="J69" s="249" t="str">
        <f t="shared" si="7"/>
        <v/>
      </c>
      <c r="K69" s="250" t="str">
        <f>IF(B69="","Pending",IF(M69="","⚠️ Enter Code",IF(IFERROR(VLOOKUP(L69,DB_Agents!$B:$I,8,0),"")=M69,"Pending","🔒 BLOCKED — Wrong Code")))</f>
        <v>Pending</v>
      </c>
      <c r="L69" s="251" t="s">
        <v>137</v>
      </c>
      <c r="M69" s="252"/>
      <c r="N69" s="242"/>
    </row>
    <row r="70" spans="1:14" ht="18" customHeight="1" x14ac:dyDescent="0.25">
      <c r="A70" s="229" t="str">
        <f t="shared" si="4"/>
        <v/>
      </c>
      <c r="B70" s="230"/>
      <c r="C70" s="231" t="str">
        <f>IF(B70="","",IFERROR(VLOOKUP(B70,DB_Customers!$A:$D,4,0),"❌ Account Not Found"))</f>
        <v/>
      </c>
      <c r="D70" s="232" t="str">
        <f t="shared" ca="1" si="5"/>
        <v/>
      </c>
      <c r="E70" s="233"/>
      <c r="F70" s="231"/>
      <c r="G70" s="234"/>
      <c r="H70" s="235">
        <v>2.5</v>
      </c>
      <c r="I70" s="236" t="str">
        <f t="shared" si="6"/>
        <v/>
      </c>
      <c r="J70" s="237" t="str">
        <f t="shared" si="7"/>
        <v/>
      </c>
      <c r="K70" s="238" t="str">
        <f>IF(B70="","Pending",IF(M70="","⚠️ Enter Code",IF(IFERROR(VLOOKUP(L70,DB_Agents!$B:$I,8,0),"")=M70,"Pending","🔒 BLOCKED — Wrong Code")))</f>
        <v>Pending</v>
      </c>
      <c r="L70" s="239" t="s">
        <v>137</v>
      </c>
      <c r="M70" s="240"/>
      <c r="N70" s="230"/>
    </row>
    <row r="71" spans="1:14" ht="18" customHeight="1" x14ac:dyDescent="0.25">
      <c r="A71" s="241" t="str">
        <f t="shared" si="4"/>
        <v/>
      </c>
      <c r="B71" s="242"/>
      <c r="C71" s="243" t="str">
        <f>IF(B71="","",IFERROR(VLOOKUP(B71,DB_Customers!$A:$D,4,0),"❌ Account Not Found"))</f>
        <v/>
      </c>
      <c r="D71" s="244" t="str">
        <f t="shared" ca="1" si="5"/>
        <v/>
      </c>
      <c r="E71" s="245"/>
      <c r="F71" s="243"/>
      <c r="G71" s="246"/>
      <c r="H71" s="247">
        <v>2.5</v>
      </c>
      <c r="I71" s="248" t="str">
        <f t="shared" si="6"/>
        <v/>
      </c>
      <c r="J71" s="249" t="str">
        <f t="shared" si="7"/>
        <v/>
      </c>
      <c r="K71" s="250" t="str">
        <f>IF(B71="","Pending",IF(M71="","⚠️ Enter Code",IF(IFERROR(VLOOKUP(L71,DB_Agents!$B:$I,8,0),"")=M71,"Pending","🔒 BLOCKED — Wrong Code")))</f>
        <v>Pending</v>
      </c>
      <c r="L71" s="251" t="s">
        <v>137</v>
      </c>
      <c r="M71" s="252"/>
      <c r="N71" s="242"/>
    </row>
    <row r="72" spans="1:14" ht="18" customHeight="1" x14ac:dyDescent="0.25">
      <c r="A72" s="229" t="str">
        <f t="shared" si="4"/>
        <v/>
      </c>
      <c r="B72" s="230"/>
      <c r="C72" s="231" t="str">
        <f>IF(B72="","",IFERROR(VLOOKUP(B72,DB_Customers!$A:$D,4,0),"❌ Account Not Found"))</f>
        <v/>
      </c>
      <c r="D72" s="232" t="str">
        <f t="shared" ca="1" si="5"/>
        <v/>
      </c>
      <c r="E72" s="233"/>
      <c r="F72" s="231"/>
      <c r="G72" s="234"/>
      <c r="H72" s="235">
        <v>2.5</v>
      </c>
      <c r="I72" s="236" t="str">
        <f t="shared" si="6"/>
        <v/>
      </c>
      <c r="J72" s="237" t="str">
        <f t="shared" si="7"/>
        <v/>
      </c>
      <c r="K72" s="238" t="str">
        <f>IF(B72="","Pending",IF(M72="","⚠️ Enter Code",IF(IFERROR(VLOOKUP(L72,DB_Agents!$B:$I,8,0),"")=M72,"Pending","🔒 BLOCKED — Wrong Code")))</f>
        <v>Pending</v>
      </c>
      <c r="L72" s="239" t="s">
        <v>137</v>
      </c>
      <c r="M72" s="240"/>
      <c r="N72" s="230"/>
    </row>
    <row r="73" spans="1:14" ht="18" customHeight="1" x14ac:dyDescent="0.25">
      <c r="A73" s="241" t="str">
        <f t="shared" si="4"/>
        <v/>
      </c>
      <c r="B73" s="242"/>
      <c r="C73" s="243" t="str">
        <f>IF(B73="","",IFERROR(VLOOKUP(B73,DB_Customers!$A:$D,4,0),"❌ Account Not Found"))</f>
        <v/>
      </c>
      <c r="D73" s="244" t="str">
        <f t="shared" ca="1" si="5"/>
        <v/>
      </c>
      <c r="E73" s="245"/>
      <c r="F73" s="243"/>
      <c r="G73" s="246"/>
      <c r="H73" s="247">
        <v>2.5</v>
      </c>
      <c r="I73" s="248" t="str">
        <f t="shared" si="6"/>
        <v/>
      </c>
      <c r="J73" s="249" t="str">
        <f t="shared" si="7"/>
        <v/>
      </c>
      <c r="K73" s="250" t="str">
        <f>IF(B73="","Pending",IF(M73="","⚠️ Enter Code",IF(IFERROR(VLOOKUP(L73,DB_Agents!$B:$I,8,0),"")=M73,"Pending","🔒 BLOCKED — Wrong Code")))</f>
        <v>Pending</v>
      </c>
      <c r="L73" s="251" t="s">
        <v>137</v>
      </c>
      <c r="M73" s="252"/>
      <c r="N73" s="242"/>
    </row>
    <row r="74" spans="1:14" ht="18" customHeight="1" x14ac:dyDescent="0.25">
      <c r="A74" s="229" t="str">
        <f t="shared" si="4"/>
        <v/>
      </c>
      <c r="B74" s="230"/>
      <c r="C74" s="231" t="str">
        <f>IF(B74="","",IFERROR(VLOOKUP(B74,DB_Customers!$A:$D,4,0),"❌ Account Not Found"))</f>
        <v/>
      </c>
      <c r="D74" s="232" t="str">
        <f t="shared" ca="1" si="5"/>
        <v/>
      </c>
      <c r="E74" s="233"/>
      <c r="F74" s="231"/>
      <c r="G74" s="234"/>
      <c r="H74" s="235">
        <v>2.5</v>
      </c>
      <c r="I74" s="236" t="str">
        <f t="shared" si="6"/>
        <v/>
      </c>
      <c r="J74" s="237" t="str">
        <f t="shared" si="7"/>
        <v/>
      </c>
      <c r="K74" s="238" t="str">
        <f>IF(B74="","Pending",IF(M74="","⚠️ Enter Code",IF(IFERROR(VLOOKUP(L74,DB_Agents!$B:$I,8,0),"")=M74,"Pending","🔒 BLOCKED — Wrong Code")))</f>
        <v>Pending</v>
      </c>
      <c r="L74" s="239" t="s">
        <v>137</v>
      </c>
      <c r="M74" s="240"/>
      <c r="N74" s="230"/>
    </row>
    <row r="75" spans="1:14" ht="18" customHeight="1" x14ac:dyDescent="0.25">
      <c r="A75" s="241" t="str">
        <f t="shared" si="4"/>
        <v/>
      </c>
      <c r="B75" s="242"/>
      <c r="C75" s="243" t="str">
        <f>IF(B75="","",IFERROR(VLOOKUP(B75,DB_Customers!$A:$D,4,0),"❌ Account Not Found"))</f>
        <v/>
      </c>
      <c r="D75" s="244" t="str">
        <f t="shared" ca="1" si="5"/>
        <v/>
      </c>
      <c r="E75" s="245"/>
      <c r="F75" s="243"/>
      <c r="G75" s="246"/>
      <c r="H75" s="247">
        <v>2.5</v>
      </c>
      <c r="I75" s="248" t="str">
        <f t="shared" si="6"/>
        <v/>
      </c>
      <c r="J75" s="249" t="str">
        <f t="shared" si="7"/>
        <v/>
      </c>
      <c r="K75" s="250" t="str">
        <f>IF(B75="","Pending",IF(M75="","⚠️ Enter Code",IF(IFERROR(VLOOKUP(L75,DB_Agents!$B:$I,8,0),"")=M75,"Pending","🔒 BLOCKED — Wrong Code")))</f>
        <v>Pending</v>
      </c>
      <c r="L75" s="251" t="s">
        <v>137</v>
      </c>
      <c r="M75" s="252"/>
      <c r="N75" s="242"/>
    </row>
    <row r="76" spans="1:14" ht="18" customHeight="1" x14ac:dyDescent="0.25">
      <c r="A76" s="229" t="str">
        <f t="shared" si="4"/>
        <v/>
      </c>
      <c r="B76" s="230"/>
      <c r="C76" s="231" t="str">
        <f>IF(B76="","",IFERROR(VLOOKUP(B76,DB_Customers!$A:$D,4,0),"❌ Account Not Found"))</f>
        <v/>
      </c>
      <c r="D76" s="232" t="str">
        <f t="shared" ca="1" si="5"/>
        <v/>
      </c>
      <c r="E76" s="233"/>
      <c r="F76" s="231"/>
      <c r="G76" s="234"/>
      <c r="H76" s="235">
        <v>2.5</v>
      </c>
      <c r="I76" s="236" t="str">
        <f t="shared" si="6"/>
        <v/>
      </c>
      <c r="J76" s="237" t="str">
        <f t="shared" si="7"/>
        <v/>
      </c>
      <c r="K76" s="238" t="str">
        <f>IF(B76="","Pending",IF(M76="","⚠️ Enter Code",IF(IFERROR(VLOOKUP(L76,DB_Agents!$B:$I,8,0),"")=M76,"Pending","🔒 BLOCKED — Wrong Code")))</f>
        <v>Pending</v>
      </c>
      <c r="L76" s="239" t="s">
        <v>137</v>
      </c>
      <c r="M76" s="240"/>
      <c r="N76" s="230"/>
    </row>
    <row r="77" spans="1:14" ht="18" customHeight="1" x14ac:dyDescent="0.25">
      <c r="A77" s="241" t="str">
        <f t="shared" si="4"/>
        <v/>
      </c>
      <c r="B77" s="242"/>
      <c r="C77" s="243" t="str">
        <f>IF(B77="","",IFERROR(VLOOKUP(B77,DB_Customers!$A:$D,4,0),"❌ Account Not Found"))</f>
        <v/>
      </c>
      <c r="D77" s="244" t="str">
        <f t="shared" ca="1" si="5"/>
        <v/>
      </c>
      <c r="E77" s="245"/>
      <c r="F77" s="243"/>
      <c r="G77" s="246"/>
      <c r="H77" s="247">
        <v>2.5</v>
      </c>
      <c r="I77" s="248" t="str">
        <f t="shared" si="6"/>
        <v/>
      </c>
      <c r="J77" s="249" t="str">
        <f t="shared" si="7"/>
        <v/>
      </c>
      <c r="K77" s="250" t="str">
        <f>IF(B77="","Pending",IF(M77="","⚠️ Enter Code",IF(IFERROR(VLOOKUP(L77,DB_Agents!$B:$I,8,0),"")=M77,"Pending","🔒 BLOCKED — Wrong Code")))</f>
        <v>Pending</v>
      </c>
      <c r="L77" s="251" t="s">
        <v>137</v>
      </c>
      <c r="M77" s="252"/>
      <c r="N77" s="242"/>
    </row>
    <row r="78" spans="1:14" ht="18" customHeight="1" x14ac:dyDescent="0.25">
      <c r="A78" s="229" t="str">
        <f t="shared" ref="A78:A109" si="8">IF(B78="","",IF(C78="❌ Account Not Found","INVALID","LN"&amp;TEXT(D78,"YYYYMMDD")&amp;TEXT(ROW()-13,"0000")))</f>
        <v/>
      </c>
      <c r="B78" s="230"/>
      <c r="C78" s="231" t="str">
        <f>IF(B78="","",IFERROR(VLOOKUP(B78,DB_Customers!$A:$D,4,0),"❌ Account Not Found"))</f>
        <v/>
      </c>
      <c r="D78" s="232" t="str">
        <f t="shared" ref="D78:D109" ca="1" si="9">IF(B78="","",TODAY())</f>
        <v/>
      </c>
      <c r="E78" s="233"/>
      <c r="F78" s="231"/>
      <c r="G78" s="234"/>
      <c r="H78" s="235">
        <v>2.5</v>
      </c>
      <c r="I78" s="236" t="str">
        <f t="shared" ref="I78:I109" si="10">IF(E78="","",E78+(E78*H78/100*G78))</f>
        <v/>
      </c>
      <c r="J78" s="237" t="str">
        <f t="shared" ref="J78:J109" si="11">IFERROR(I78/G78,"")</f>
        <v/>
      </c>
      <c r="K78" s="238" t="str">
        <f>IF(B78="","Pending",IF(M78="","⚠️ Enter Code",IF(IFERROR(VLOOKUP(L78,DB_Agents!$B:$I,8,0),"")=M78,"Pending","🔒 BLOCKED — Wrong Code")))</f>
        <v>Pending</v>
      </c>
      <c r="L78" s="239" t="s">
        <v>137</v>
      </c>
      <c r="M78" s="240"/>
      <c r="N78" s="230"/>
    </row>
    <row r="79" spans="1:14" ht="18" customHeight="1" x14ac:dyDescent="0.25">
      <c r="A79" s="241" t="str">
        <f t="shared" si="8"/>
        <v/>
      </c>
      <c r="B79" s="242"/>
      <c r="C79" s="243" t="str">
        <f>IF(B79="","",IFERROR(VLOOKUP(B79,DB_Customers!$A:$D,4,0),"❌ Account Not Found"))</f>
        <v/>
      </c>
      <c r="D79" s="244" t="str">
        <f t="shared" ca="1" si="9"/>
        <v/>
      </c>
      <c r="E79" s="245"/>
      <c r="F79" s="243"/>
      <c r="G79" s="246"/>
      <c r="H79" s="247">
        <v>2.5</v>
      </c>
      <c r="I79" s="248" t="str">
        <f t="shared" si="10"/>
        <v/>
      </c>
      <c r="J79" s="249" t="str">
        <f t="shared" si="11"/>
        <v/>
      </c>
      <c r="K79" s="250" t="str">
        <f>IF(B79="","Pending",IF(M79="","⚠️ Enter Code",IF(IFERROR(VLOOKUP(L79,DB_Agents!$B:$I,8,0),"")=M79,"Pending","🔒 BLOCKED — Wrong Code")))</f>
        <v>Pending</v>
      </c>
      <c r="L79" s="251" t="s">
        <v>137</v>
      </c>
      <c r="M79" s="252"/>
      <c r="N79" s="242"/>
    </row>
    <row r="80" spans="1:14" ht="18" customHeight="1" x14ac:dyDescent="0.25">
      <c r="A80" s="229" t="str">
        <f t="shared" si="8"/>
        <v/>
      </c>
      <c r="B80" s="230"/>
      <c r="C80" s="231" t="str">
        <f>IF(B80="","",IFERROR(VLOOKUP(B80,DB_Customers!$A:$D,4,0),"❌ Account Not Found"))</f>
        <v/>
      </c>
      <c r="D80" s="232" t="str">
        <f t="shared" ca="1" si="9"/>
        <v/>
      </c>
      <c r="E80" s="233"/>
      <c r="F80" s="231"/>
      <c r="G80" s="234"/>
      <c r="H80" s="235">
        <v>2.5</v>
      </c>
      <c r="I80" s="236" t="str">
        <f t="shared" si="10"/>
        <v/>
      </c>
      <c r="J80" s="237" t="str">
        <f t="shared" si="11"/>
        <v/>
      </c>
      <c r="K80" s="238" t="str">
        <f>IF(B80="","Pending",IF(M80="","⚠️ Enter Code",IF(IFERROR(VLOOKUP(L80,DB_Agents!$B:$I,8,0),"")=M80,"Pending","🔒 BLOCKED — Wrong Code")))</f>
        <v>Pending</v>
      </c>
      <c r="L80" s="239" t="s">
        <v>137</v>
      </c>
      <c r="M80" s="240"/>
      <c r="N80" s="230"/>
    </row>
    <row r="81" spans="1:14" ht="18" customHeight="1" x14ac:dyDescent="0.25">
      <c r="A81" s="241" t="str">
        <f t="shared" si="8"/>
        <v/>
      </c>
      <c r="B81" s="242"/>
      <c r="C81" s="243" t="str">
        <f>IF(B81="","",IFERROR(VLOOKUP(B81,DB_Customers!$A:$D,4,0),"❌ Account Not Found"))</f>
        <v/>
      </c>
      <c r="D81" s="244" t="str">
        <f t="shared" ca="1" si="9"/>
        <v/>
      </c>
      <c r="E81" s="245"/>
      <c r="F81" s="243"/>
      <c r="G81" s="246"/>
      <c r="H81" s="247">
        <v>2.5</v>
      </c>
      <c r="I81" s="248" t="str">
        <f t="shared" si="10"/>
        <v/>
      </c>
      <c r="J81" s="249" t="str">
        <f t="shared" si="11"/>
        <v/>
      </c>
      <c r="K81" s="250" t="str">
        <f>IF(B81="","Pending",IF(M81="","⚠️ Enter Code",IF(IFERROR(VLOOKUP(L81,DB_Agents!$B:$I,8,0),"")=M81,"Pending","🔒 BLOCKED — Wrong Code")))</f>
        <v>Pending</v>
      </c>
      <c r="L81" s="251" t="s">
        <v>137</v>
      </c>
      <c r="M81" s="252"/>
      <c r="N81" s="242"/>
    </row>
    <row r="82" spans="1:14" ht="18" customHeight="1" x14ac:dyDescent="0.25">
      <c r="A82" s="229" t="str">
        <f t="shared" si="8"/>
        <v/>
      </c>
      <c r="B82" s="230"/>
      <c r="C82" s="231" t="str">
        <f>IF(B82="","",IFERROR(VLOOKUP(B82,DB_Customers!$A:$D,4,0),"❌ Account Not Found"))</f>
        <v/>
      </c>
      <c r="D82" s="232" t="str">
        <f t="shared" ca="1" si="9"/>
        <v/>
      </c>
      <c r="E82" s="233"/>
      <c r="F82" s="231"/>
      <c r="G82" s="234"/>
      <c r="H82" s="235">
        <v>2.5</v>
      </c>
      <c r="I82" s="236" t="str">
        <f t="shared" si="10"/>
        <v/>
      </c>
      <c r="J82" s="237" t="str">
        <f t="shared" si="11"/>
        <v/>
      </c>
      <c r="K82" s="238" t="str">
        <f>IF(B82="","Pending",IF(M82="","⚠️ Enter Code",IF(IFERROR(VLOOKUP(L82,DB_Agents!$B:$I,8,0),"")=M82,"Pending","🔒 BLOCKED — Wrong Code")))</f>
        <v>Pending</v>
      </c>
      <c r="L82" s="239" t="s">
        <v>137</v>
      </c>
      <c r="M82" s="240"/>
      <c r="N82" s="230"/>
    </row>
    <row r="83" spans="1:14" ht="18" customHeight="1" x14ac:dyDescent="0.25">
      <c r="A83" s="241" t="str">
        <f t="shared" si="8"/>
        <v/>
      </c>
      <c r="B83" s="242"/>
      <c r="C83" s="243" t="str">
        <f>IF(B83="","",IFERROR(VLOOKUP(B83,DB_Customers!$A:$D,4,0),"❌ Account Not Found"))</f>
        <v/>
      </c>
      <c r="D83" s="244" t="str">
        <f t="shared" ca="1" si="9"/>
        <v/>
      </c>
      <c r="E83" s="245"/>
      <c r="F83" s="243"/>
      <c r="G83" s="246"/>
      <c r="H83" s="247">
        <v>2.5</v>
      </c>
      <c r="I83" s="248" t="str">
        <f t="shared" si="10"/>
        <v/>
      </c>
      <c r="J83" s="249" t="str">
        <f t="shared" si="11"/>
        <v/>
      </c>
      <c r="K83" s="250" t="str">
        <f>IF(B83="","Pending",IF(M83="","⚠️ Enter Code",IF(IFERROR(VLOOKUP(L83,DB_Agents!$B:$I,8,0),"")=M83,"Pending","🔒 BLOCKED — Wrong Code")))</f>
        <v>Pending</v>
      </c>
      <c r="L83" s="251" t="s">
        <v>137</v>
      </c>
      <c r="M83" s="252"/>
      <c r="N83" s="242"/>
    </row>
    <row r="84" spans="1:14" ht="18" customHeight="1" x14ac:dyDescent="0.25">
      <c r="A84" s="229" t="str">
        <f t="shared" si="8"/>
        <v/>
      </c>
      <c r="B84" s="230"/>
      <c r="C84" s="231" t="str">
        <f>IF(B84="","",IFERROR(VLOOKUP(B84,DB_Customers!$A:$D,4,0),"❌ Account Not Found"))</f>
        <v/>
      </c>
      <c r="D84" s="232" t="str">
        <f t="shared" ca="1" si="9"/>
        <v/>
      </c>
      <c r="E84" s="233"/>
      <c r="F84" s="231"/>
      <c r="G84" s="234"/>
      <c r="H84" s="235">
        <v>2.5</v>
      </c>
      <c r="I84" s="236" t="str">
        <f t="shared" si="10"/>
        <v/>
      </c>
      <c r="J84" s="237" t="str">
        <f t="shared" si="11"/>
        <v/>
      </c>
      <c r="K84" s="238" t="str">
        <f>IF(B84="","Pending",IF(M84="","⚠️ Enter Code",IF(IFERROR(VLOOKUP(L84,DB_Agents!$B:$I,8,0),"")=M84,"Pending","🔒 BLOCKED — Wrong Code")))</f>
        <v>Pending</v>
      </c>
      <c r="L84" s="239" t="s">
        <v>137</v>
      </c>
      <c r="M84" s="240"/>
      <c r="N84" s="230"/>
    </row>
    <row r="85" spans="1:14" ht="18" customHeight="1" x14ac:dyDescent="0.25">
      <c r="A85" s="241" t="str">
        <f t="shared" si="8"/>
        <v/>
      </c>
      <c r="B85" s="242"/>
      <c r="C85" s="243" t="str">
        <f>IF(B85="","",IFERROR(VLOOKUP(B85,DB_Customers!$A:$D,4,0),"❌ Account Not Found"))</f>
        <v/>
      </c>
      <c r="D85" s="244" t="str">
        <f t="shared" ca="1" si="9"/>
        <v/>
      </c>
      <c r="E85" s="245"/>
      <c r="F85" s="243"/>
      <c r="G85" s="246"/>
      <c r="H85" s="247">
        <v>2.5</v>
      </c>
      <c r="I85" s="248" t="str">
        <f t="shared" si="10"/>
        <v/>
      </c>
      <c r="J85" s="249" t="str">
        <f t="shared" si="11"/>
        <v/>
      </c>
      <c r="K85" s="250" t="str">
        <f>IF(B85="","Pending",IF(M85="","⚠️ Enter Code",IF(IFERROR(VLOOKUP(L85,DB_Agents!$B:$I,8,0),"")=M85,"Pending","🔒 BLOCKED — Wrong Code")))</f>
        <v>Pending</v>
      </c>
      <c r="L85" s="251" t="s">
        <v>137</v>
      </c>
      <c r="M85" s="252"/>
      <c r="N85" s="242"/>
    </row>
    <row r="86" spans="1:14" ht="18" customHeight="1" x14ac:dyDescent="0.25">
      <c r="A86" s="229" t="str">
        <f t="shared" si="8"/>
        <v/>
      </c>
      <c r="B86" s="230"/>
      <c r="C86" s="231" t="str">
        <f>IF(B86="","",IFERROR(VLOOKUP(B86,DB_Customers!$A:$D,4,0),"❌ Account Not Found"))</f>
        <v/>
      </c>
      <c r="D86" s="232" t="str">
        <f t="shared" ca="1" si="9"/>
        <v/>
      </c>
      <c r="E86" s="233"/>
      <c r="F86" s="231"/>
      <c r="G86" s="234"/>
      <c r="H86" s="235">
        <v>2.5</v>
      </c>
      <c r="I86" s="236" t="str">
        <f t="shared" si="10"/>
        <v/>
      </c>
      <c r="J86" s="237" t="str">
        <f t="shared" si="11"/>
        <v/>
      </c>
      <c r="K86" s="238" t="str">
        <f>IF(B86="","Pending",IF(M86="","⚠️ Enter Code",IF(IFERROR(VLOOKUP(L86,DB_Agents!$B:$I,8,0),"")=M86,"Pending","🔒 BLOCKED — Wrong Code")))</f>
        <v>Pending</v>
      </c>
      <c r="L86" s="239" t="s">
        <v>137</v>
      </c>
      <c r="M86" s="240"/>
      <c r="N86" s="230"/>
    </row>
    <row r="87" spans="1:14" ht="18" customHeight="1" x14ac:dyDescent="0.25">
      <c r="A87" s="241" t="str">
        <f t="shared" si="8"/>
        <v/>
      </c>
      <c r="B87" s="242"/>
      <c r="C87" s="243" t="str">
        <f>IF(B87="","",IFERROR(VLOOKUP(B87,DB_Customers!$A:$D,4,0),"❌ Account Not Found"))</f>
        <v/>
      </c>
      <c r="D87" s="244" t="str">
        <f t="shared" ca="1" si="9"/>
        <v/>
      </c>
      <c r="E87" s="245"/>
      <c r="F87" s="243"/>
      <c r="G87" s="246"/>
      <c r="H87" s="247">
        <v>2.5</v>
      </c>
      <c r="I87" s="248" t="str">
        <f t="shared" si="10"/>
        <v/>
      </c>
      <c r="J87" s="249" t="str">
        <f t="shared" si="11"/>
        <v/>
      </c>
      <c r="K87" s="250" t="str">
        <f>IF(B87="","Pending",IF(M87="","⚠️ Enter Code",IF(IFERROR(VLOOKUP(L87,DB_Agents!$B:$I,8,0),"")=M87,"Pending","🔒 BLOCKED — Wrong Code")))</f>
        <v>Pending</v>
      </c>
      <c r="L87" s="251" t="s">
        <v>137</v>
      </c>
      <c r="M87" s="252"/>
      <c r="N87" s="242"/>
    </row>
    <row r="88" spans="1:14" ht="18" customHeight="1" x14ac:dyDescent="0.25">
      <c r="A88" s="229" t="str">
        <f t="shared" si="8"/>
        <v/>
      </c>
      <c r="B88" s="230"/>
      <c r="C88" s="231" t="str">
        <f>IF(B88="","",IFERROR(VLOOKUP(B88,DB_Customers!$A:$D,4,0),"❌ Account Not Found"))</f>
        <v/>
      </c>
      <c r="D88" s="232" t="str">
        <f t="shared" ca="1" si="9"/>
        <v/>
      </c>
      <c r="E88" s="233"/>
      <c r="F88" s="231"/>
      <c r="G88" s="234"/>
      <c r="H88" s="235">
        <v>2.5</v>
      </c>
      <c r="I88" s="236" t="str">
        <f t="shared" si="10"/>
        <v/>
      </c>
      <c r="J88" s="237" t="str">
        <f t="shared" si="11"/>
        <v/>
      </c>
      <c r="K88" s="238" t="str">
        <f>IF(B88="","Pending",IF(M88="","⚠️ Enter Code",IF(IFERROR(VLOOKUP(L88,DB_Agents!$B:$I,8,0),"")=M88,"Pending","🔒 BLOCKED — Wrong Code")))</f>
        <v>Pending</v>
      </c>
      <c r="L88" s="239" t="s">
        <v>137</v>
      </c>
      <c r="M88" s="240"/>
      <c r="N88" s="230"/>
    </row>
    <row r="89" spans="1:14" ht="18" customHeight="1" x14ac:dyDescent="0.25">
      <c r="A89" s="241" t="str">
        <f t="shared" si="8"/>
        <v/>
      </c>
      <c r="B89" s="242"/>
      <c r="C89" s="243" t="str">
        <f>IF(B89="","",IFERROR(VLOOKUP(B89,DB_Customers!$A:$D,4,0),"❌ Account Not Found"))</f>
        <v/>
      </c>
      <c r="D89" s="244" t="str">
        <f t="shared" ca="1" si="9"/>
        <v/>
      </c>
      <c r="E89" s="245"/>
      <c r="F89" s="243"/>
      <c r="G89" s="246"/>
      <c r="H89" s="247">
        <v>2.5</v>
      </c>
      <c r="I89" s="248" t="str">
        <f t="shared" si="10"/>
        <v/>
      </c>
      <c r="J89" s="249" t="str">
        <f t="shared" si="11"/>
        <v/>
      </c>
      <c r="K89" s="250" t="str">
        <f>IF(B89="","Pending",IF(M89="","⚠️ Enter Code",IF(IFERROR(VLOOKUP(L89,DB_Agents!$B:$I,8,0),"")=M89,"Pending","🔒 BLOCKED — Wrong Code")))</f>
        <v>Pending</v>
      </c>
      <c r="L89" s="251" t="s">
        <v>137</v>
      </c>
      <c r="M89" s="252"/>
      <c r="N89" s="242"/>
    </row>
    <row r="90" spans="1:14" ht="18" customHeight="1" x14ac:dyDescent="0.25">
      <c r="A90" s="229" t="str">
        <f t="shared" si="8"/>
        <v/>
      </c>
      <c r="B90" s="230"/>
      <c r="C90" s="231" t="str">
        <f>IF(B90="","",IFERROR(VLOOKUP(B90,DB_Customers!$A:$D,4,0),"❌ Account Not Found"))</f>
        <v/>
      </c>
      <c r="D90" s="232" t="str">
        <f t="shared" ca="1" si="9"/>
        <v/>
      </c>
      <c r="E90" s="233"/>
      <c r="F90" s="231"/>
      <c r="G90" s="234"/>
      <c r="H90" s="235">
        <v>2.5</v>
      </c>
      <c r="I90" s="236" t="str">
        <f t="shared" si="10"/>
        <v/>
      </c>
      <c r="J90" s="237" t="str">
        <f t="shared" si="11"/>
        <v/>
      </c>
      <c r="K90" s="238" t="str">
        <f>IF(B90="","Pending",IF(M90="","⚠️ Enter Code",IF(IFERROR(VLOOKUP(L90,DB_Agents!$B:$I,8,0),"")=M90,"Pending","🔒 BLOCKED — Wrong Code")))</f>
        <v>Pending</v>
      </c>
      <c r="L90" s="239" t="s">
        <v>137</v>
      </c>
      <c r="M90" s="240"/>
      <c r="N90" s="230"/>
    </row>
    <row r="91" spans="1:14" ht="18" customHeight="1" x14ac:dyDescent="0.25">
      <c r="A91" s="241" t="str">
        <f t="shared" si="8"/>
        <v/>
      </c>
      <c r="B91" s="242"/>
      <c r="C91" s="243" t="str">
        <f>IF(B91="","",IFERROR(VLOOKUP(B91,DB_Customers!$A:$D,4,0),"❌ Account Not Found"))</f>
        <v/>
      </c>
      <c r="D91" s="244" t="str">
        <f t="shared" ca="1" si="9"/>
        <v/>
      </c>
      <c r="E91" s="245"/>
      <c r="F91" s="243"/>
      <c r="G91" s="246"/>
      <c r="H91" s="247">
        <v>2.5</v>
      </c>
      <c r="I91" s="248" t="str">
        <f t="shared" si="10"/>
        <v/>
      </c>
      <c r="J91" s="249" t="str">
        <f t="shared" si="11"/>
        <v/>
      </c>
      <c r="K91" s="250" t="str">
        <f>IF(B91="","Pending",IF(M91="","⚠️ Enter Code",IF(IFERROR(VLOOKUP(L91,DB_Agents!$B:$I,8,0),"")=M91,"Pending","🔒 BLOCKED — Wrong Code")))</f>
        <v>Pending</v>
      </c>
      <c r="L91" s="251" t="s">
        <v>137</v>
      </c>
      <c r="M91" s="252"/>
      <c r="N91" s="242"/>
    </row>
    <row r="92" spans="1:14" ht="18" customHeight="1" x14ac:dyDescent="0.25">
      <c r="A92" s="229" t="str">
        <f t="shared" si="8"/>
        <v/>
      </c>
      <c r="B92" s="230"/>
      <c r="C92" s="231" t="str">
        <f>IF(B92="","",IFERROR(VLOOKUP(B92,DB_Customers!$A:$D,4,0),"❌ Account Not Found"))</f>
        <v/>
      </c>
      <c r="D92" s="232" t="str">
        <f t="shared" ca="1" si="9"/>
        <v/>
      </c>
      <c r="E92" s="233"/>
      <c r="F92" s="231"/>
      <c r="G92" s="234"/>
      <c r="H92" s="235">
        <v>2.5</v>
      </c>
      <c r="I92" s="236" t="str">
        <f t="shared" si="10"/>
        <v/>
      </c>
      <c r="J92" s="237" t="str">
        <f t="shared" si="11"/>
        <v/>
      </c>
      <c r="K92" s="238" t="str">
        <f>IF(B92="","Pending",IF(M92="","⚠️ Enter Code",IF(IFERROR(VLOOKUP(L92,DB_Agents!$B:$I,8,0),"")=M92,"Pending","🔒 BLOCKED — Wrong Code")))</f>
        <v>Pending</v>
      </c>
      <c r="L92" s="239" t="s">
        <v>137</v>
      </c>
      <c r="M92" s="240"/>
      <c r="N92" s="230"/>
    </row>
    <row r="93" spans="1:14" ht="18" customHeight="1" x14ac:dyDescent="0.25">
      <c r="A93" s="241" t="str">
        <f t="shared" si="8"/>
        <v/>
      </c>
      <c r="B93" s="242"/>
      <c r="C93" s="243" t="str">
        <f>IF(B93="","",IFERROR(VLOOKUP(B93,DB_Customers!$A:$D,4,0),"❌ Account Not Found"))</f>
        <v/>
      </c>
      <c r="D93" s="244" t="str">
        <f t="shared" ca="1" si="9"/>
        <v/>
      </c>
      <c r="E93" s="245"/>
      <c r="F93" s="243"/>
      <c r="G93" s="246"/>
      <c r="H93" s="247">
        <v>2.5</v>
      </c>
      <c r="I93" s="248" t="str">
        <f t="shared" si="10"/>
        <v/>
      </c>
      <c r="J93" s="249" t="str">
        <f t="shared" si="11"/>
        <v/>
      </c>
      <c r="K93" s="250" t="str">
        <f>IF(B93="","Pending",IF(M93="","⚠️ Enter Code",IF(IFERROR(VLOOKUP(L93,DB_Agents!$B:$I,8,0),"")=M93,"Pending","🔒 BLOCKED — Wrong Code")))</f>
        <v>Pending</v>
      </c>
      <c r="L93" s="251" t="s">
        <v>137</v>
      </c>
      <c r="M93" s="252"/>
      <c r="N93" s="242"/>
    </row>
    <row r="94" spans="1:14" ht="18" customHeight="1" x14ac:dyDescent="0.25">
      <c r="A94" s="229" t="str">
        <f t="shared" si="8"/>
        <v/>
      </c>
      <c r="B94" s="230"/>
      <c r="C94" s="231" t="str">
        <f>IF(B94="","",IFERROR(VLOOKUP(B94,DB_Customers!$A:$D,4,0),"❌ Account Not Found"))</f>
        <v/>
      </c>
      <c r="D94" s="232" t="str">
        <f t="shared" ca="1" si="9"/>
        <v/>
      </c>
      <c r="E94" s="233"/>
      <c r="F94" s="231"/>
      <c r="G94" s="234"/>
      <c r="H94" s="235">
        <v>2.5</v>
      </c>
      <c r="I94" s="236" t="str">
        <f t="shared" si="10"/>
        <v/>
      </c>
      <c r="J94" s="237" t="str">
        <f t="shared" si="11"/>
        <v/>
      </c>
      <c r="K94" s="238" t="str">
        <f>IF(B94="","Pending",IF(M94="","⚠️ Enter Code",IF(IFERROR(VLOOKUP(L94,DB_Agents!$B:$I,8,0),"")=M94,"Pending","🔒 BLOCKED — Wrong Code")))</f>
        <v>Pending</v>
      </c>
      <c r="L94" s="239" t="s">
        <v>137</v>
      </c>
      <c r="M94" s="240"/>
      <c r="N94" s="230"/>
    </row>
    <row r="95" spans="1:14" ht="18" customHeight="1" x14ac:dyDescent="0.25">
      <c r="A95" s="241" t="str">
        <f t="shared" si="8"/>
        <v/>
      </c>
      <c r="B95" s="242"/>
      <c r="C95" s="243" t="str">
        <f>IF(B95="","",IFERROR(VLOOKUP(B95,DB_Customers!$A:$D,4,0),"❌ Account Not Found"))</f>
        <v/>
      </c>
      <c r="D95" s="244" t="str">
        <f t="shared" ca="1" si="9"/>
        <v/>
      </c>
      <c r="E95" s="245"/>
      <c r="F95" s="243"/>
      <c r="G95" s="246"/>
      <c r="H95" s="247">
        <v>2.5</v>
      </c>
      <c r="I95" s="248" t="str">
        <f t="shared" si="10"/>
        <v/>
      </c>
      <c r="J95" s="249" t="str">
        <f t="shared" si="11"/>
        <v/>
      </c>
      <c r="K95" s="250" t="str">
        <f>IF(B95="","Pending",IF(M95="","⚠️ Enter Code",IF(IFERROR(VLOOKUP(L95,DB_Agents!$B:$I,8,0),"")=M95,"Pending","🔒 BLOCKED — Wrong Code")))</f>
        <v>Pending</v>
      </c>
      <c r="L95" s="251" t="s">
        <v>137</v>
      </c>
      <c r="M95" s="252"/>
      <c r="N95" s="242"/>
    </row>
    <row r="96" spans="1:14" ht="18" customHeight="1" x14ac:dyDescent="0.25">
      <c r="A96" s="229" t="str">
        <f t="shared" si="8"/>
        <v/>
      </c>
      <c r="B96" s="230"/>
      <c r="C96" s="231" t="str">
        <f>IF(B96="","",IFERROR(VLOOKUP(B96,DB_Customers!$A:$D,4,0),"❌ Account Not Found"))</f>
        <v/>
      </c>
      <c r="D96" s="232" t="str">
        <f t="shared" ca="1" si="9"/>
        <v/>
      </c>
      <c r="E96" s="233"/>
      <c r="F96" s="231"/>
      <c r="G96" s="234"/>
      <c r="H96" s="235">
        <v>2.5</v>
      </c>
      <c r="I96" s="236" t="str">
        <f t="shared" si="10"/>
        <v/>
      </c>
      <c r="J96" s="237" t="str">
        <f t="shared" si="11"/>
        <v/>
      </c>
      <c r="K96" s="238" t="str">
        <f>IF(B96="","Pending",IF(M96="","⚠️ Enter Code",IF(IFERROR(VLOOKUP(L96,DB_Agents!$B:$I,8,0),"")=M96,"Pending","🔒 BLOCKED — Wrong Code")))</f>
        <v>Pending</v>
      </c>
      <c r="L96" s="239" t="s">
        <v>137</v>
      </c>
      <c r="M96" s="240"/>
      <c r="N96" s="230"/>
    </row>
    <row r="97" spans="1:14" ht="18" customHeight="1" x14ac:dyDescent="0.25">
      <c r="A97" s="241" t="str">
        <f t="shared" si="8"/>
        <v/>
      </c>
      <c r="B97" s="242"/>
      <c r="C97" s="243" t="str">
        <f>IF(B97="","",IFERROR(VLOOKUP(B97,DB_Customers!$A:$D,4,0),"❌ Account Not Found"))</f>
        <v/>
      </c>
      <c r="D97" s="244" t="str">
        <f t="shared" ca="1" si="9"/>
        <v/>
      </c>
      <c r="E97" s="245"/>
      <c r="F97" s="243"/>
      <c r="G97" s="246"/>
      <c r="H97" s="247">
        <v>2.5</v>
      </c>
      <c r="I97" s="248" t="str">
        <f t="shared" si="10"/>
        <v/>
      </c>
      <c r="J97" s="249" t="str">
        <f t="shared" si="11"/>
        <v/>
      </c>
      <c r="K97" s="250" t="str">
        <f>IF(B97="","Pending",IF(M97="","⚠️ Enter Code",IF(IFERROR(VLOOKUP(L97,DB_Agents!$B:$I,8,0),"")=M97,"Pending","🔒 BLOCKED — Wrong Code")))</f>
        <v>Pending</v>
      </c>
      <c r="L97" s="251" t="s">
        <v>137</v>
      </c>
      <c r="M97" s="252"/>
      <c r="N97" s="242"/>
    </row>
    <row r="98" spans="1:14" ht="18" customHeight="1" x14ac:dyDescent="0.25">
      <c r="A98" s="229" t="str">
        <f t="shared" si="8"/>
        <v/>
      </c>
      <c r="B98" s="230"/>
      <c r="C98" s="231" t="str">
        <f>IF(B98="","",IFERROR(VLOOKUP(B98,DB_Customers!$A:$D,4,0),"❌ Account Not Found"))</f>
        <v/>
      </c>
      <c r="D98" s="232" t="str">
        <f t="shared" ca="1" si="9"/>
        <v/>
      </c>
      <c r="E98" s="233"/>
      <c r="F98" s="231"/>
      <c r="G98" s="234"/>
      <c r="H98" s="235">
        <v>2.5</v>
      </c>
      <c r="I98" s="236" t="str">
        <f t="shared" si="10"/>
        <v/>
      </c>
      <c r="J98" s="237" t="str">
        <f t="shared" si="11"/>
        <v/>
      </c>
      <c r="K98" s="238" t="str">
        <f>IF(B98="","Pending",IF(M98="","⚠️ Enter Code",IF(IFERROR(VLOOKUP(L98,DB_Agents!$B:$I,8,0),"")=M98,"Pending","🔒 BLOCKED — Wrong Code")))</f>
        <v>Pending</v>
      </c>
      <c r="L98" s="239" t="s">
        <v>137</v>
      </c>
      <c r="M98" s="240"/>
      <c r="N98" s="230"/>
    </row>
    <row r="99" spans="1:14" ht="18" customHeight="1" x14ac:dyDescent="0.25">
      <c r="A99" s="241" t="str">
        <f t="shared" si="8"/>
        <v/>
      </c>
      <c r="B99" s="242"/>
      <c r="C99" s="243" t="str">
        <f>IF(B99="","",IFERROR(VLOOKUP(B99,DB_Customers!$A:$D,4,0),"❌ Account Not Found"))</f>
        <v/>
      </c>
      <c r="D99" s="244" t="str">
        <f t="shared" ca="1" si="9"/>
        <v/>
      </c>
      <c r="E99" s="245"/>
      <c r="F99" s="243"/>
      <c r="G99" s="246"/>
      <c r="H99" s="247">
        <v>2.5</v>
      </c>
      <c r="I99" s="248" t="str">
        <f t="shared" si="10"/>
        <v/>
      </c>
      <c r="J99" s="249" t="str">
        <f t="shared" si="11"/>
        <v/>
      </c>
      <c r="K99" s="250" t="str">
        <f>IF(B99="","Pending",IF(M99="","⚠️ Enter Code",IF(IFERROR(VLOOKUP(L99,DB_Agents!$B:$I,8,0),"")=M99,"Pending","🔒 BLOCKED — Wrong Code")))</f>
        <v>Pending</v>
      </c>
      <c r="L99" s="251" t="s">
        <v>137</v>
      </c>
      <c r="M99" s="252"/>
      <c r="N99" s="242"/>
    </row>
    <row r="100" spans="1:14" ht="18" customHeight="1" x14ac:dyDescent="0.25">
      <c r="A100" s="229" t="str">
        <f t="shared" si="8"/>
        <v/>
      </c>
      <c r="B100" s="230"/>
      <c r="C100" s="231" t="str">
        <f>IF(B100="","",IFERROR(VLOOKUP(B100,DB_Customers!$A:$D,4,0),"❌ Account Not Found"))</f>
        <v/>
      </c>
      <c r="D100" s="232" t="str">
        <f t="shared" ca="1" si="9"/>
        <v/>
      </c>
      <c r="E100" s="233"/>
      <c r="F100" s="231"/>
      <c r="G100" s="234"/>
      <c r="H100" s="235">
        <v>2.5</v>
      </c>
      <c r="I100" s="236" t="str">
        <f t="shared" si="10"/>
        <v/>
      </c>
      <c r="J100" s="237" t="str">
        <f t="shared" si="11"/>
        <v/>
      </c>
      <c r="K100" s="238" t="str">
        <f>IF(B100="","Pending",IF(M100="","⚠️ Enter Code",IF(IFERROR(VLOOKUP(L100,DB_Agents!$B:$I,8,0),"")=M100,"Pending","🔒 BLOCKED — Wrong Code")))</f>
        <v>Pending</v>
      </c>
      <c r="L100" s="239" t="s">
        <v>137</v>
      </c>
      <c r="M100" s="240"/>
      <c r="N100" s="230"/>
    </row>
    <row r="101" spans="1:14" ht="18" customHeight="1" x14ac:dyDescent="0.25">
      <c r="A101" s="241" t="str">
        <f t="shared" si="8"/>
        <v/>
      </c>
      <c r="B101" s="242"/>
      <c r="C101" s="243" t="str">
        <f>IF(B101="","",IFERROR(VLOOKUP(B101,DB_Customers!$A:$D,4,0),"❌ Account Not Found"))</f>
        <v/>
      </c>
      <c r="D101" s="244" t="str">
        <f t="shared" ca="1" si="9"/>
        <v/>
      </c>
      <c r="E101" s="245"/>
      <c r="F101" s="243"/>
      <c r="G101" s="246"/>
      <c r="H101" s="247">
        <v>2.5</v>
      </c>
      <c r="I101" s="248" t="str">
        <f t="shared" si="10"/>
        <v/>
      </c>
      <c r="J101" s="249" t="str">
        <f t="shared" si="11"/>
        <v/>
      </c>
      <c r="K101" s="250" t="str">
        <f>IF(B101="","Pending",IF(M101="","⚠️ Enter Code",IF(IFERROR(VLOOKUP(L101,DB_Agents!$B:$I,8,0),"")=M101,"Pending","🔒 BLOCKED — Wrong Code")))</f>
        <v>Pending</v>
      </c>
      <c r="L101" s="251" t="s">
        <v>137</v>
      </c>
      <c r="M101" s="252"/>
      <c r="N101" s="242"/>
    </row>
    <row r="102" spans="1:14" ht="18" customHeight="1" x14ac:dyDescent="0.25">
      <c r="A102" s="229" t="str">
        <f t="shared" si="8"/>
        <v/>
      </c>
      <c r="B102" s="230"/>
      <c r="C102" s="231" t="str">
        <f>IF(B102="","",IFERROR(VLOOKUP(B102,DB_Customers!$A:$D,4,0),"❌ Account Not Found"))</f>
        <v/>
      </c>
      <c r="D102" s="232" t="str">
        <f t="shared" ca="1" si="9"/>
        <v/>
      </c>
      <c r="E102" s="233"/>
      <c r="F102" s="231"/>
      <c r="G102" s="234"/>
      <c r="H102" s="235">
        <v>2.5</v>
      </c>
      <c r="I102" s="236" t="str">
        <f t="shared" si="10"/>
        <v/>
      </c>
      <c r="J102" s="237" t="str">
        <f t="shared" si="11"/>
        <v/>
      </c>
      <c r="K102" s="238" t="str">
        <f>IF(B102="","Pending",IF(M102="","⚠️ Enter Code",IF(IFERROR(VLOOKUP(L102,DB_Agents!$B:$I,8,0),"")=M102,"Pending","🔒 BLOCKED — Wrong Code")))</f>
        <v>Pending</v>
      </c>
      <c r="L102" s="239" t="s">
        <v>137</v>
      </c>
      <c r="M102" s="240"/>
      <c r="N102" s="230"/>
    </row>
    <row r="103" spans="1:14" ht="18" customHeight="1" x14ac:dyDescent="0.25">
      <c r="A103" s="241" t="str">
        <f t="shared" si="8"/>
        <v/>
      </c>
      <c r="B103" s="242"/>
      <c r="C103" s="243" t="str">
        <f>IF(B103="","",IFERROR(VLOOKUP(B103,DB_Customers!$A:$D,4,0),"❌ Account Not Found"))</f>
        <v/>
      </c>
      <c r="D103" s="244" t="str">
        <f t="shared" ca="1" si="9"/>
        <v/>
      </c>
      <c r="E103" s="245"/>
      <c r="F103" s="243"/>
      <c r="G103" s="246"/>
      <c r="H103" s="247">
        <v>2.5</v>
      </c>
      <c r="I103" s="248" t="str">
        <f t="shared" si="10"/>
        <v/>
      </c>
      <c r="J103" s="249" t="str">
        <f t="shared" si="11"/>
        <v/>
      </c>
      <c r="K103" s="250" t="str">
        <f>IF(B103="","Pending",IF(M103="","⚠️ Enter Code",IF(IFERROR(VLOOKUP(L103,DB_Agents!$B:$I,8,0),"")=M103,"Pending","🔒 BLOCKED — Wrong Code")))</f>
        <v>Pending</v>
      </c>
      <c r="L103" s="251" t="s">
        <v>137</v>
      </c>
      <c r="M103" s="252"/>
      <c r="N103" s="242"/>
    </row>
    <row r="104" spans="1:14" ht="18" customHeight="1" x14ac:dyDescent="0.25">
      <c r="A104" s="229" t="str">
        <f t="shared" si="8"/>
        <v/>
      </c>
      <c r="B104" s="230"/>
      <c r="C104" s="231" t="str">
        <f>IF(B104="","",IFERROR(VLOOKUP(B104,DB_Customers!$A:$D,4,0),"❌ Account Not Found"))</f>
        <v/>
      </c>
      <c r="D104" s="232" t="str">
        <f t="shared" ca="1" si="9"/>
        <v/>
      </c>
      <c r="E104" s="233"/>
      <c r="F104" s="231"/>
      <c r="G104" s="234"/>
      <c r="H104" s="235">
        <v>2.5</v>
      </c>
      <c r="I104" s="236" t="str">
        <f t="shared" si="10"/>
        <v/>
      </c>
      <c r="J104" s="237" t="str">
        <f t="shared" si="11"/>
        <v/>
      </c>
      <c r="K104" s="238" t="str">
        <f>IF(B104="","Pending",IF(M104="","⚠️ Enter Code",IF(IFERROR(VLOOKUP(L104,DB_Agents!$B:$I,8,0),"")=M104,"Pending","🔒 BLOCKED — Wrong Code")))</f>
        <v>Pending</v>
      </c>
      <c r="L104" s="239" t="s">
        <v>137</v>
      </c>
      <c r="M104" s="240"/>
      <c r="N104" s="230"/>
    </row>
    <row r="105" spans="1:14" ht="18" customHeight="1" x14ac:dyDescent="0.25">
      <c r="A105" s="241" t="str">
        <f t="shared" si="8"/>
        <v/>
      </c>
      <c r="B105" s="242"/>
      <c r="C105" s="243" t="str">
        <f>IF(B105="","",IFERROR(VLOOKUP(B105,DB_Customers!$A:$D,4,0),"❌ Account Not Found"))</f>
        <v/>
      </c>
      <c r="D105" s="244" t="str">
        <f t="shared" ca="1" si="9"/>
        <v/>
      </c>
      <c r="E105" s="245"/>
      <c r="F105" s="243"/>
      <c r="G105" s="246"/>
      <c r="H105" s="247">
        <v>2.5</v>
      </c>
      <c r="I105" s="248" t="str">
        <f t="shared" si="10"/>
        <v/>
      </c>
      <c r="J105" s="249" t="str">
        <f t="shared" si="11"/>
        <v/>
      </c>
      <c r="K105" s="250" t="str">
        <f>IF(B105="","Pending",IF(M105="","⚠️ Enter Code",IF(IFERROR(VLOOKUP(L105,DB_Agents!$B:$I,8,0),"")=M105,"Pending","🔒 BLOCKED — Wrong Code")))</f>
        <v>Pending</v>
      </c>
      <c r="L105" s="251" t="s">
        <v>137</v>
      </c>
      <c r="M105" s="252"/>
      <c r="N105" s="242"/>
    </row>
    <row r="106" spans="1:14" ht="18" customHeight="1" x14ac:dyDescent="0.25">
      <c r="A106" s="229" t="str">
        <f t="shared" si="8"/>
        <v/>
      </c>
      <c r="B106" s="230"/>
      <c r="C106" s="231" t="str">
        <f>IF(B106="","",IFERROR(VLOOKUP(B106,DB_Customers!$A:$D,4,0),"❌ Account Not Found"))</f>
        <v/>
      </c>
      <c r="D106" s="232" t="str">
        <f t="shared" ca="1" si="9"/>
        <v/>
      </c>
      <c r="E106" s="233"/>
      <c r="F106" s="231"/>
      <c r="G106" s="234"/>
      <c r="H106" s="235">
        <v>2.5</v>
      </c>
      <c r="I106" s="236" t="str">
        <f t="shared" si="10"/>
        <v/>
      </c>
      <c r="J106" s="237" t="str">
        <f t="shared" si="11"/>
        <v/>
      </c>
      <c r="K106" s="238" t="str">
        <f>IF(B106="","Pending",IF(M106="","⚠️ Enter Code",IF(IFERROR(VLOOKUP(L106,DB_Agents!$B:$I,8,0),"")=M106,"Pending","🔒 BLOCKED — Wrong Code")))</f>
        <v>Pending</v>
      </c>
      <c r="L106" s="239" t="s">
        <v>137</v>
      </c>
      <c r="M106" s="240"/>
      <c r="N106" s="230"/>
    </row>
    <row r="107" spans="1:14" ht="18" customHeight="1" x14ac:dyDescent="0.25">
      <c r="A107" s="241" t="str">
        <f t="shared" si="8"/>
        <v/>
      </c>
      <c r="B107" s="242"/>
      <c r="C107" s="243" t="str">
        <f>IF(B107="","",IFERROR(VLOOKUP(B107,DB_Customers!$A:$D,4,0),"❌ Account Not Found"))</f>
        <v/>
      </c>
      <c r="D107" s="244" t="str">
        <f t="shared" ca="1" si="9"/>
        <v/>
      </c>
      <c r="E107" s="245"/>
      <c r="F107" s="243"/>
      <c r="G107" s="246"/>
      <c r="H107" s="247">
        <v>2.5</v>
      </c>
      <c r="I107" s="248" t="str">
        <f t="shared" si="10"/>
        <v/>
      </c>
      <c r="J107" s="249" t="str">
        <f t="shared" si="11"/>
        <v/>
      </c>
      <c r="K107" s="250" t="str">
        <f>IF(B107="","Pending",IF(M107="","⚠️ Enter Code",IF(IFERROR(VLOOKUP(L107,DB_Agents!$B:$I,8,0),"")=M107,"Pending","🔒 BLOCKED — Wrong Code")))</f>
        <v>Pending</v>
      </c>
      <c r="L107" s="251" t="s">
        <v>137</v>
      </c>
      <c r="M107" s="252"/>
      <c r="N107" s="242"/>
    </row>
    <row r="108" spans="1:14" ht="18" customHeight="1" x14ac:dyDescent="0.25">
      <c r="A108" s="229" t="str">
        <f t="shared" si="8"/>
        <v/>
      </c>
      <c r="B108" s="230"/>
      <c r="C108" s="231" t="str">
        <f>IF(B108="","",IFERROR(VLOOKUP(B108,DB_Customers!$A:$D,4,0),"❌ Account Not Found"))</f>
        <v/>
      </c>
      <c r="D108" s="232" t="str">
        <f t="shared" ca="1" si="9"/>
        <v/>
      </c>
      <c r="E108" s="233"/>
      <c r="F108" s="231"/>
      <c r="G108" s="234"/>
      <c r="H108" s="235">
        <v>2.5</v>
      </c>
      <c r="I108" s="236" t="str">
        <f t="shared" si="10"/>
        <v/>
      </c>
      <c r="J108" s="237" t="str">
        <f t="shared" si="11"/>
        <v/>
      </c>
      <c r="K108" s="238" t="str">
        <f>IF(B108="","Pending",IF(M108="","⚠️ Enter Code",IF(IFERROR(VLOOKUP(L108,DB_Agents!$B:$I,8,0),"")=M108,"Pending","🔒 BLOCKED — Wrong Code")))</f>
        <v>Pending</v>
      </c>
      <c r="L108" s="239" t="s">
        <v>137</v>
      </c>
      <c r="M108" s="240"/>
      <c r="N108" s="230"/>
    </row>
    <row r="109" spans="1:14" ht="18" customHeight="1" x14ac:dyDescent="0.25">
      <c r="A109" s="241" t="str">
        <f t="shared" si="8"/>
        <v/>
      </c>
      <c r="B109" s="242"/>
      <c r="C109" s="243" t="str">
        <f>IF(B109="","",IFERROR(VLOOKUP(B109,DB_Customers!$A:$D,4,0),"❌ Account Not Found"))</f>
        <v/>
      </c>
      <c r="D109" s="244" t="str">
        <f t="shared" ca="1" si="9"/>
        <v/>
      </c>
      <c r="E109" s="245"/>
      <c r="F109" s="243"/>
      <c r="G109" s="246"/>
      <c r="H109" s="247">
        <v>2.5</v>
      </c>
      <c r="I109" s="248" t="str">
        <f t="shared" si="10"/>
        <v/>
      </c>
      <c r="J109" s="249" t="str">
        <f t="shared" si="11"/>
        <v/>
      </c>
      <c r="K109" s="250" t="str">
        <f>IF(B109="","Pending",IF(M109="","⚠️ Enter Code",IF(IFERROR(VLOOKUP(L109,DB_Agents!$B:$I,8,0),"")=M109,"Pending","🔒 BLOCKED — Wrong Code")))</f>
        <v>Pending</v>
      </c>
      <c r="L109" s="251" t="s">
        <v>137</v>
      </c>
      <c r="M109" s="252"/>
      <c r="N109" s="242"/>
    </row>
    <row r="110" spans="1:14" ht="18" customHeight="1" x14ac:dyDescent="0.25">
      <c r="A110" s="229" t="str">
        <f t="shared" ref="A110:A141" si="12">IF(B110="","",IF(C110="❌ Account Not Found","INVALID","LN"&amp;TEXT(D110,"YYYYMMDD")&amp;TEXT(ROW()-13,"0000")))</f>
        <v/>
      </c>
      <c r="B110" s="230"/>
      <c r="C110" s="231" t="str">
        <f>IF(B110="","",IFERROR(VLOOKUP(B110,DB_Customers!$A:$D,4,0),"❌ Account Not Found"))</f>
        <v/>
      </c>
      <c r="D110" s="232" t="str">
        <f t="shared" ref="D110:D141" ca="1" si="13">IF(B110="","",TODAY())</f>
        <v/>
      </c>
      <c r="E110" s="233"/>
      <c r="F110" s="231"/>
      <c r="G110" s="234"/>
      <c r="H110" s="235">
        <v>2.5</v>
      </c>
      <c r="I110" s="236" t="str">
        <f t="shared" ref="I110:I141" si="14">IF(E110="","",E110+(E110*H110/100*G110))</f>
        <v/>
      </c>
      <c r="J110" s="237" t="str">
        <f t="shared" ref="J110:J141" si="15">IFERROR(I110/G110,"")</f>
        <v/>
      </c>
      <c r="K110" s="238" t="str">
        <f>IF(B110="","Pending",IF(M110="","⚠️ Enter Code",IF(IFERROR(VLOOKUP(L110,DB_Agents!$B:$I,8,0),"")=M110,"Pending","🔒 BLOCKED — Wrong Code")))</f>
        <v>Pending</v>
      </c>
      <c r="L110" s="239" t="s">
        <v>137</v>
      </c>
      <c r="M110" s="240"/>
      <c r="N110" s="230"/>
    </row>
    <row r="111" spans="1:14" ht="18" customHeight="1" x14ac:dyDescent="0.25">
      <c r="A111" s="241" t="str">
        <f t="shared" si="12"/>
        <v/>
      </c>
      <c r="B111" s="242"/>
      <c r="C111" s="243" t="str">
        <f>IF(B111="","",IFERROR(VLOOKUP(B111,DB_Customers!$A:$D,4,0),"❌ Account Not Found"))</f>
        <v/>
      </c>
      <c r="D111" s="244" t="str">
        <f t="shared" ca="1" si="13"/>
        <v/>
      </c>
      <c r="E111" s="245"/>
      <c r="F111" s="243"/>
      <c r="G111" s="246"/>
      <c r="H111" s="247">
        <v>2.5</v>
      </c>
      <c r="I111" s="248" t="str">
        <f t="shared" si="14"/>
        <v/>
      </c>
      <c r="J111" s="249" t="str">
        <f t="shared" si="15"/>
        <v/>
      </c>
      <c r="K111" s="250" t="str">
        <f>IF(B111="","Pending",IF(M111="","⚠️ Enter Code",IF(IFERROR(VLOOKUP(L111,DB_Agents!$B:$I,8,0),"")=M111,"Pending","🔒 BLOCKED — Wrong Code")))</f>
        <v>Pending</v>
      </c>
      <c r="L111" s="251" t="s">
        <v>137</v>
      </c>
      <c r="M111" s="252"/>
      <c r="N111" s="242"/>
    </row>
    <row r="112" spans="1:14" ht="18" customHeight="1" x14ac:dyDescent="0.25">
      <c r="A112" s="229" t="str">
        <f t="shared" si="12"/>
        <v/>
      </c>
      <c r="B112" s="230"/>
      <c r="C112" s="231" t="str">
        <f>IF(B112="","",IFERROR(VLOOKUP(B112,DB_Customers!$A:$D,4,0),"❌ Account Not Found"))</f>
        <v/>
      </c>
      <c r="D112" s="232" t="str">
        <f t="shared" ca="1" si="13"/>
        <v/>
      </c>
      <c r="E112" s="233"/>
      <c r="F112" s="231"/>
      <c r="G112" s="234"/>
      <c r="H112" s="235">
        <v>2.5</v>
      </c>
      <c r="I112" s="236" t="str">
        <f t="shared" si="14"/>
        <v/>
      </c>
      <c r="J112" s="237" t="str">
        <f t="shared" si="15"/>
        <v/>
      </c>
      <c r="K112" s="238" t="str">
        <f>IF(B112="","Pending",IF(M112="","⚠️ Enter Code",IF(IFERROR(VLOOKUP(L112,DB_Agents!$B:$I,8,0),"")=M112,"Pending","🔒 BLOCKED — Wrong Code")))</f>
        <v>Pending</v>
      </c>
      <c r="L112" s="239" t="s">
        <v>137</v>
      </c>
      <c r="M112" s="240"/>
      <c r="N112" s="230"/>
    </row>
    <row r="113" spans="1:14" ht="18" customHeight="1" x14ac:dyDescent="0.25">
      <c r="A113" s="241" t="str">
        <f t="shared" si="12"/>
        <v/>
      </c>
      <c r="B113" s="242"/>
      <c r="C113" s="243" t="str">
        <f>IF(B113="","",IFERROR(VLOOKUP(B113,DB_Customers!$A:$D,4,0),"❌ Account Not Found"))</f>
        <v/>
      </c>
      <c r="D113" s="244" t="str">
        <f t="shared" ca="1" si="13"/>
        <v/>
      </c>
      <c r="E113" s="245"/>
      <c r="F113" s="243"/>
      <c r="G113" s="246"/>
      <c r="H113" s="247">
        <v>2.5</v>
      </c>
      <c r="I113" s="248" t="str">
        <f t="shared" si="14"/>
        <v/>
      </c>
      <c r="J113" s="249" t="str">
        <f t="shared" si="15"/>
        <v/>
      </c>
      <c r="K113" s="250" t="str">
        <f>IF(B113="","Pending",IF(M113="","⚠️ Enter Code",IF(IFERROR(VLOOKUP(L113,DB_Agents!$B:$I,8,0),"")=M113,"Pending","🔒 BLOCKED — Wrong Code")))</f>
        <v>Pending</v>
      </c>
      <c r="L113" s="251" t="s">
        <v>137</v>
      </c>
      <c r="M113" s="252"/>
      <c r="N113" s="242"/>
    </row>
    <row r="114" spans="1:14" ht="18" customHeight="1" x14ac:dyDescent="0.25">
      <c r="A114" s="253" t="str">
        <f t="shared" si="12"/>
        <v/>
      </c>
      <c r="B114" s="254"/>
      <c r="C114" s="254" t="str">
        <f>IF(B114="","",IFERROR(VLOOKUP(B114,DB_Customers!$A:$D,4,0),"❌ Account Not Found"))</f>
        <v/>
      </c>
      <c r="D114" s="253" t="str">
        <f t="shared" ca="1" si="13"/>
        <v/>
      </c>
      <c r="E114" s="254"/>
      <c r="F114" s="254"/>
      <c r="G114" s="253"/>
      <c r="H114" s="255">
        <v>2.5</v>
      </c>
      <c r="I114" s="253" t="str">
        <f t="shared" si="14"/>
        <v/>
      </c>
      <c r="J114" s="253" t="str">
        <f t="shared" si="15"/>
        <v/>
      </c>
      <c r="K114" s="253" t="str">
        <f>IF(B114="","Pending",IF(M114="","⚠️ Enter Code",IF(IFERROR(VLOOKUP(L114,DB_Agents!$B:$I,8,0),"")=M114,"Pending","🔒 BLOCKED — Wrong Code")))</f>
        <v>Pending</v>
      </c>
      <c r="L114" s="253" t="s">
        <v>137</v>
      </c>
      <c r="M114" s="240"/>
      <c r="N114" s="254"/>
    </row>
    <row r="115" spans="1:14" ht="18" customHeight="1" x14ac:dyDescent="0.25">
      <c r="A115" s="256" t="str">
        <f t="shared" si="12"/>
        <v/>
      </c>
      <c r="B115" s="257"/>
      <c r="C115" s="257" t="str">
        <f>IF(B115="","",IFERROR(VLOOKUP(B115,DB_Customers!$A:$D,4,0),"❌ Account Not Found"))</f>
        <v/>
      </c>
      <c r="D115" s="256" t="str">
        <f t="shared" ca="1" si="13"/>
        <v/>
      </c>
      <c r="E115" s="257"/>
      <c r="F115" s="257"/>
      <c r="G115" s="256"/>
      <c r="H115" s="258">
        <v>2.5</v>
      </c>
      <c r="I115" s="256" t="str">
        <f t="shared" si="14"/>
        <v/>
      </c>
      <c r="J115" s="256" t="str">
        <f t="shared" si="15"/>
        <v/>
      </c>
      <c r="K115" s="256" t="str">
        <f>IF(B115="","Pending",IF(M115="","⚠️ Enter Code",IF(IFERROR(VLOOKUP(L115,DB_Agents!$B:$I,8,0),"")=M115,"Pending","🔒 BLOCKED — Wrong Code")))</f>
        <v>Pending</v>
      </c>
      <c r="L115" s="256" t="s">
        <v>137</v>
      </c>
      <c r="M115" s="252"/>
      <c r="N115" s="257"/>
    </row>
    <row r="116" spans="1:14" ht="18" customHeight="1" x14ac:dyDescent="0.25">
      <c r="A116" s="253" t="str">
        <f t="shared" si="12"/>
        <v/>
      </c>
      <c r="B116" s="254"/>
      <c r="C116" s="254" t="str">
        <f>IF(B116="","",IFERROR(VLOOKUP(B116,DB_Customers!$A:$D,4,0),"❌ Account Not Found"))</f>
        <v/>
      </c>
      <c r="D116" s="253" t="str">
        <f t="shared" ca="1" si="13"/>
        <v/>
      </c>
      <c r="E116" s="254"/>
      <c r="F116" s="254"/>
      <c r="G116" s="253"/>
      <c r="H116" s="255">
        <v>2.5</v>
      </c>
      <c r="I116" s="253" t="str">
        <f t="shared" si="14"/>
        <v/>
      </c>
      <c r="J116" s="253" t="str">
        <f t="shared" si="15"/>
        <v/>
      </c>
      <c r="K116" s="253" t="str">
        <f>IF(B116="","Pending",IF(M116="","⚠️ Enter Code",IF(IFERROR(VLOOKUP(L116,DB_Agents!$B:$I,8,0),"")=M116,"Pending","🔒 BLOCKED — Wrong Code")))</f>
        <v>Pending</v>
      </c>
      <c r="L116" s="253" t="s">
        <v>137</v>
      </c>
      <c r="M116" s="240"/>
      <c r="N116" s="254"/>
    </row>
    <row r="117" spans="1:14" ht="18" customHeight="1" x14ac:dyDescent="0.25">
      <c r="A117" s="256" t="str">
        <f t="shared" si="12"/>
        <v/>
      </c>
      <c r="B117" s="257"/>
      <c r="C117" s="257" t="str">
        <f>IF(B117="","",IFERROR(VLOOKUP(B117,DB_Customers!$A:$D,4,0),"❌ Account Not Found"))</f>
        <v/>
      </c>
      <c r="D117" s="256" t="str">
        <f t="shared" ca="1" si="13"/>
        <v/>
      </c>
      <c r="E117" s="257"/>
      <c r="F117" s="257"/>
      <c r="G117" s="256"/>
      <c r="H117" s="258">
        <v>2.5</v>
      </c>
      <c r="I117" s="256" t="str">
        <f t="shared" si="14"/>
        <v/>
      </c>
      <c r="J117" s="256" t="str">
        <f t="shared" si="15"/>
        <v/>
      </c>
      <c r="K117" s="256" t="str">
        <f>IF(B117="","Pending",IF(M117="","⚠️ Enter Code",IF(IFERROR(VLOOKUP(L117,DB_Agents!$B:$I,8,0),"")=M117,"Pending","🔒 BLOCKED — Wrong Code")))</f>
        <v>Pending</v>
      </c>
      <c r="L117" s="256" t="s">
        <v>137</v>
      </c>
      <c r="M117" s="252"/>
      <c r="N117" s="257"/>
    </row>
    <row r="118" spans="1:14" ht="18" customHeight="1" x14ac:dyDescent="0.25">
      <c r="A118" s="253" t="str">
        <f t="shared" si="12"/>
        <v/>
      </c>
      <c r="B118" s="254"/>
      <c r="C118" s="254" t="str">
        <f>IF(B118="","",IFERROR(VLOOKUP(B118,DB_Customers!$A:$D,4,0),"❌ Account Not Found"))</f>
        <v/>
      </c>
      <c r="D118" s="253" t="str">
        <f t="shared" ca="1" si="13"/>
        <v/>
      </c>
      <c r="E118" s="254"/>
      <c r="F118" s="254"/>
      <c r="G118" s="253"/>
      <c r="H118" s="255">
        <v>2.5</v>
      </c>
      <c r="I118" s="253" t="str">
        <f t="shared" si="14"/>
        <v/>
      </c>
      <c r="J118" s="253" t="str">
        <f t="shared" si="15"/>
        <v/>
      </c>
      <c r="K118" s="253" t="str">
        <f>IF(B118="","Pending",IF(M118="","⚠️ Enter Code",IF(IFERROR(VLOOKUP(L118,DB_Agents!$B:$I,8,0),"")=M118,"Pending","🔒 BLOCKED — Wrong Code")))</f>
        <v>Pending</v>
      </c>
      <c r="L118" s="253" t="s">
        <v>137</v>
      </c>
      <c r="M118" s="240"/>
      <c r="N118" s="254"/>
    </row>
    <row r="119" spans="1:14" ht="18" customHeight="1" x14ac:dyDescent="0.25">
      <c r="A119" s="256" t="str">
        <f t="shared" si="12"/>
        <v/>
      </c>
      <c r="B119" s="257"/>
      <c r="C119" s="257" t="str">
        <f>IF(B119="","",IFERROR(VLOOKUP(B119,DB_Customers!$A:$D,4,0),"❌ Account Not Found"))</f>
        <v/>
      </c>
      <c r="D119" s="256" t="str">
        <f t="shared" ca="1" si="13"/>
        <v/>
      </c>
      <c r="E119" s="257"/>
      <c r="F119" s="257"/>
      <c r="G119" s="256"/>
      <c r="H119" s="258">
        <v>2.5</v>
      </c>
      <c r="I119" s="256" t="str">
        <f t="shared" si="14"/>
        <v/>
      </c>
      <c r="J119" s="256" t="str">
        <f t="shared" si="15"/>
        <v/>
      </c>
      <c r="K119" s="256" t="str">
        <f>IF(B119="","Pending",IF(M119="","⚠️ Enter Code",IF(IFERROR(VLOOKUP(L119,DB_Agents!$B:$I,8,0),"")=M119,"Pending","🔒 BLOCKED — Wrong Code")))</f>
        <v>Pending</v>
      </c>
      <c r="L119" s="256" t="s">
        <v>137</v>
      </c>
      <c r="M119" s="252"/>
      <c r="N119" s="257"/>
    </row>
    <row r="120" spans="1:14" ht="18" customHeight="1" x14ac:dyDescent="0.25">
      <c r="A120" s="253" t="str">
        <f t="shared" si="12"/>
        <v/>
      </c>
      <c r="B120" s="254"/>
      <c r="C120" s="254" t="str">
        <f>IF(B120="","",IFERROR(VLOOKUP(B120,DB_Customers!$A:$D,4,0),"❌ Account Not Found"))</f>
        <v/>
      </c>
      <c r="D120" s="253" t="str">
        <f t="shared" ca="1" si="13"/>
        <v/>
      </c>
      <c r="E120" s="254"/>
      <c r="F120" s="254"/>
      <c r="G120" s="253"/>
      <c r="H120" s="255">
        <v>2.5</v>
      </c>
      <c r="I120" s="253" t="str">
        <f t="shared" si="14"/>
        <v/>
      </c>
      <c r="J120" s="253" t="str">
        <f t="shared" si="15"/>
        <v/>
      </c>
      <c r="K120" s="253" t="str">
        <f>IF(B120="","Pending",IF(M120="","⚠️ Enter Code",IF(IFERROR(VLOOKUP(L120,DB_Agents!$B:$I,8,0),"")=M120,"Pending","🔒 BLOCKED — Wrong Code")))</f>
        <v>Pending</v>
      </c>
      <c r="L120" s="253" t="s">
        <v>137</v>
      </c>
      <c r="M120" s="240"/>
      <c r="N120" s="254"/>
    </row>
    <row r="121" spans="1:14" ht="18" customHeight="1" x14ac:dyDescent="0.25">
      <c r="A121" s="256" t="str">
        <f t="shared" si="12"/>
        <v/>
      </c>
      <c r="B121" s="257"/>
      <c r="C121" s="257" t="str">
        <f>IF(B121="","",IFERROR(VLOOKUP(B121,DB_Customers!$A:$D,4,0),"❌ Account Not Found"))</f>
        <v/>
      </c>
      <c r="D121" s="256" t="str">
        <f t="shared" ca="1" si="13"/>
        <v/>
      </c>
      <c r="E121" s="257"/>
      <c r="F121" s="257"/>
      <c r="G121" s="256"/>
      <c r="H121" s="258">
        <v>2.5</v>
      </c>
      <c r="I121" s="256" t="str">
        <f t="shared" si="14"/>
        <v/>
      </c>
      <c r="J121" s="256" t="str">
        <f t="shared" si="15"/>
        <v/>
      </c>
      <c r="K121" s="256" t="str">
        <f>IF(B121="","Pending",IF(M121="","⚠️ Enter Code",IF(IFERROR(VLOOKUP(L121,DB_Agents!$B:$I,8,0),"")=M121,"Pending","🔒 BLOCKED — Wrong Code")))</f>
        <v>Pending</v>
      </c>
      <c r="L121" s="256" t="s">
        <v>137</v>
      </c>
      <c r="M121" s="252"/>
      <c r="N121" s="257"/>
    </row>
    <row r="122" spans="1:14" ht="18" customHeight="1" x14ac:dyDescent="0.25">
      <c r="A122" s="253" t="str">
        <f t="shared" si="12"/>
        <v/>
      </c>
      <c r="B122" s="254"/>
      <c r="C122" s="254" t="str">
        <f>IF(B122="","",IFERROR(VLOOKUP(B122,DB_Customers!$A:$D,4,0),"❌ Account Not Found"))</f>
        <v/>
      </c>
      <c r="D122" s="253" t="str">
        <f t="shared" ca="1" si="13"/>
        <v/>
      </c>
      <c r="E122" s="254"/>
      <c r="F122" s="254"/>
      <c r="G122" s="253"/>
      <c r="H122" s="255">
        <v>2.5</v>
      </c>
      <c r="I122" s="253" t="str">
        <f t="shared" si="14"/>
        <v/>
      </c>
      <c r="J122" s="253" t="str">
        <f t="shared" si="15"/>
        <v/>
      </c>
      <c r="K122" s="253" t="str">
        <f>IF(B122="","Pending",IF(M122="","⚠️ Enter Code",IF(IFERROR(VLOOKUP(L122,DB_Agents!$B:$I,8,0),"")=M122,"Pending","🔒 BLOCKED — Wrong Code")))</f>
        <v>Pending</v>
      </c>
      <c r="L122" s="253" t="s">
        <v>137</v>
      </c>
      <c r="M122" s="240"/>
      <c r="N122" s="254"/>
    </row>
    <row r="123" spans="1:14" ht="18" customHeight="1" x14ac:dyDescent="0.25">
      <c r="A123" s="256" t="str">
        <f t="shared" si="12"/>
        <v/>
      </c>
      <c r="B123" s="257"/>
      <c r="C123" s="257" t="str">
        <f>IF(B123="","",IFERROR(VLOOKUP(B123,DB_Customers!$A:$D,4,0),"❌ Account Not Found"))</f>
        <v/>
      </c>
      <c r="D123" s="256" t="str">
        <f t="shared" ca="1" si="13"/>
        <v/>
      </c>
      <c r="E123" s="257"/>
      <c r="F123" s="257"/>
      <c r="G123" s="256"/>
      <c r="H123" s="258">
        <v>2.5</v>
      </c>
      <c r="I123" s="256" t="str">
        <f t="shared" si="14"/>
        <v/>
      </c>
      <c r="J123" s="256" t="str">
        <f t="shared" si="15"/>
        <v/>
      </c>
      <c r="K123" s="256" t="str">
        <f>IF(B123="","Pending",IF(M123="","⚠️ Enter Code",IF(IFERROR(VLOOKUP(L123,DB_Agents!$B:$I,8,0),"")=M123,"Pending","🔒 BLOCKED — Wrong Code")))</f>
        <v>Pending</v>
      </c>
      <c r="L123" s="256" t="s">
        <v>137</v>
      </c>
      <c r="M123" s="252"/>
      <c r="N123" s="257"/>
    </row>
    <row r="124" spans="1:14" ht="18" customHeight="1" x14ac:dyDescent="0.25">
      <c r="A124" s="253" t="str">
        <f t="shared" si="12"/>
        <v/>
      </c>
      <c r="B124" s="254"/>
      <c r="C124" s="254" t="str">
        <f>IF(B124="","",IFERROR(VLOOKUP(B124,DB_Customers!$A:$D,4,0),"❌ Account Not Found"))</f>
        <v/>
      </c>
      <c r="D124" s="253" t="str">
        <f t="shared" ca="1" si="13"/>
        <v/>
      </c>
      <c r="E124" s="254"/>
      <c r="F124" s="254"/>
      <c r="G124" s="253"/>
      <c r="H124" s="255">
        <v>2.5</v>
      </c>
      <c r="I124" s="253" t="str">
        <f t="shared" si="14"/>
        <v/>
      </c>
      <c r="J124" s="253" t="str">
        <f t="shared" si="15"/>
        <v/>
      </c>
      <c r="K124" s="253" t="str">
        <f>IF(B124="","Pending",IF(M124="","⚠️ Enter Code",IF(IFERROR(VLOOKUP(L124,DB_Agents!$B:$I,8,0),"")=M124,"Pending","🔒 BLOCKED — Wrong Code")))</f>
        <v>Pending</v>
      </c>
      <c r="L124" s="253" t="s">
        <v>137</v>
      </c>
      <c r="M124" s="240"/>
      <c r="N124" s="254"/>
    </row>
    <row r="125" spans="1:14" ht="18" customHeight="1" x14ac:dyDescent="0.25">
      <c r="A125" s="256" t="str">
        <f t="shared" si="12"/>
        <v/>
      </c>
      <c r="B125" s="257"/>
      <c r="C125" s="257" t="str">
        <f>IF(B125="","",IFERROR(VLOOKUP(B125,DB_Customers!$A:$D,4,0),"❌ Account Not Found"))</f>
        <v/>
      </c>
      <c r="D125" s="256" t="str">
        <f t="shared" ca="1" si="13"/>
        <v/>
      </c>
      <c r="E125" s="257"/>
      <c r="F125" s="257"/>
      <c r="G125" s="256"/>
      <c r="H125" s="258">
        <v>2.5</v>
      </c>
      <c r="I125" s="256" t="str">
        <f t="shared" si="14"/>
        <v/>
      </c>
      <c r="J125" s="256" t="str">
        <f t="shared" si="15"/>
        <v/>
      </c>
      <c r="K125" s="256" t="str">
        <f>IF(B125="","Pending",IF(M125="","⚠️ Enter Code",IF(IFERROR(VLOOKUP(L125,DB_Agents!$B:$I,8,0),"")=M125,"Pending","🔒 BLOCKED — Wrong Code")))</f>
        <v>Pending</v>
      </c>
      <c r="L125" s="256" t="s">
        <v>137</v>
      </c>
      <c r="M125" s="252"/>
      <c r="N125" s="257"/>
    </row>
    <row r="126" spans="1:14" ht="18" customHeight="1" x14ac:dyDescent="0.25">
      <c r="A126" s="253" t="str">
        <f t="shared" si="12"/>
        <v/>
      </c>
      <c r="B126" s="254"/>
      <c r="C126" s="254" t="str">
        <f>IF(B126="","",IFERROR(VLOOKUP(B126,DB_Customers!$A:$D,4,0),"❌ Account Not Found"))</f>
        <v/>
      </c>
      <c r="D126" s="253" t="str">
        <f t="shared" ca="1" si="13"/>
        <v/>
      </c>
      <c r="E126" s="254"/>
      <c r="F126" s="254"/>
      <c r="G126" s="253"/>
      <c r="H126" s="255">
        <v>2.5</v>
      </c>
      <c r="I126" s="253" t="str">
        <f t="shared" si="14"/>
        <v/>
      </c>
      <c r="J126" s="253" t="str">
        <f t="shared" si="15"/>
        <v/>
      </c>
      <c r="K126" s="253" t="str">
        <f>IF(B126="","Pending",IF(M126="","⚠️ Enter Code",IF(IFERROR(VLOOKUP(L126,DB_Agents!$B:$I,8,0),"")=M126,"Pending","🔒 BLOCKED — Wrong Code")))</f>
        <v>Pending</v>
      </c>
      <c r="L126" s="253" t="s">
        <v>137</v>
      </c>
      <c r="M126" s="240"/>
      <c r="N126" s="254"/>
    </row>
    <row r="127" spans="1:14" ht="18" customHeight="1" x14ac:dyDescent="0.25">
      <c r="A127" s="256" t="str">
        <f t="shared" si="12"/>
        <v/>
      </c>
      <c r="B127" s="257"/>
      <c r="C127" s="257" t="str">
        <f>IF(B127="","",IFERROR(VLOOKUP(B127,DB_Customers!$A:$D,4,0),"❌ Account Not Found"))</f>
        <v/>
      </c>
      <c r="D127" s="256" t="str">
        <f t="shared" ca="1" si="13"/>
        <v/>
      </c>
      <c r="E127" s="257"/>
      <c r="F127" s="257"/>
      <c r="G127" s="256"/>
      <c r="H127" s="258">
        <v>2.5</v>
      </c>
      <c r="I127" s="256" t="str">
        <f t="shared" si="14"/>
        <v/>
      </c>
      <c r="J127" s="256" t="str">
        <f t="shared" si="15"/>
        <v/>
      </c>
      <c r="K127" s="256" t="str">
        <f>IF(B127="","Pending",IF(M127="","⚠️ Enter Code",IF(IFERROR(VLOOKUP(L127,DB_Agents!$B:$I,8,0),"")=M127,"Pending","🔒 BLOCKED — Wrong Code")))</f>
        <v>Pending</v>
      </c>
      <c r="L127" s="256" t="s">
        <v>137</v>
      </c>
      <c r="M127" s="252"/>
      <c r="N127" s="257"/>
    </row>
    <row r="128" spans="1:14" ht="18" customHeight="1" x14ac:dyDescent="0.25">
      <c r="A128" s="253" t="str">
        <f t="shared" si="12"/>
        <v/>
      </c>
      <c r="B128" s="254"/>
      <c r="C128" s="254" t="str">
        <f>IF(B128="","",IFERROR(VLOOKUP(B128,DB_Customers!$A:$D,4,0),"❌ Account Not Found"))</f>
        <v/>
      </c>
      <c r="D128" s="253" t="str">
        <f t="shared" ca="1" si="13"/>
        <v/>
      </c>
      <c r="E128" s="254"/>
      <c r="F128" s="254"/>
      <c r="G128" s="253"/>
      <c r="H128" s="255">
        <v>2.5</v>
      </c>
      <c r="I128" s="253" t="str">
        <f t="shared" si="14"/>
        <v/>
      </c>
      <c r="J128" s="253" t="str">
        <f t="shared" si="15"/>
        <v/>
      </c>
      <c r="K128" s="253" t="str">
        <f>IF(B128="","Pending",IF(M128="","⚠️ Enter Code",IF(IFERROR(VLOOKUP(L128,DB_Agents!$B:$I,8,0),"")=M128,"Pending","🔒 BLOCKED — Wrong Code")))</f>
        <v>Pending</v>
      </c>
      <c r="L128" s="253" t="s">
        <v>137</v>
      </c>
      <c r="M128" s="240"/>
      <c r="N128" s="254"/>
    </row>
    <row r="129" spans="1:14" ht="18" customHeight="1" x14ac:dyDescent="0.25">
      <c r="A129" s="256" t="str">
        <f t="shared" si="12"/>
        <v/>
      </c>
      <c r="B129" s="257"/>
      <c r="C129" s="257" t="str">
        <f>IF(B129="","",IFERROR(VLOOKUP(B129,DB_Customers!$A:$D,4,0),"❌ Account Not Found"))</f>
        <v/>
      </c>
      <c r="D129" s="256" t="str">
        <f t="shared" ca="1" si="13"/>
        <v/>
      </c>
      <c r="E129" s="257"/>
      <c r="F129" s="257"/>
      <c r="G129" s="256"/>
      <c r="H129" s="258">
        <v>2.5</v>
      </c>
      <c r="I129" s="256" t="str">
        <f t="shared" si="14"/>
        <v/>
      </c>
      <c r="J129" s="256" t="str">
        <f t="shared" si="15"/>
        <v/>
      </c>
      <c r="K129" s="256" t="str">
        <f>IF(B129="","Pending",IF(M129="","⚠️ Enter Code",IF(IFERROR(VLOOKUP(L129,DB_Agents!$B:$I,8,0),"")=M129,"Pending","🔒 BLOCKED — Wrong Code")))</f>
        <v>Pending</v>
      </c>
      <c r="L129" s="256" t="s">
        <v>137</v>
      </c>
      <c r="M129" s="252"/>
      <c r="N129" s="257"/>
    </row>
    <row r="130" spans="1:14" ht="18" customHeight="1" x14ac:dyDescent="0.25">
      <c r="A130" s="253" t="str">
        <f t="shared" si="12"/>
        <v/>
      </c>
      <c r="B130" s="254"/>
      <c r="C130" s="254" t="str">
        <f>IF(B130="","",IFERROR(VLOOKUP(B130,DB_Customers!$A:$D,4,0),"❌ Account Not Found"))</f>
        <v/>
      </c>
      <c r="D130" s="253" t="str">
        <f t="shared" ca="1" si="13"/>
        <v/>
      </c>
      <c r="E130" s="254"/>
      <c r="F130" s="254"/>
      <c r="G130" s="253"/>
      <c r="H130" s="255">
        <v>2.5</v>
      </c>
      <c r="I130" s="253" t="str">
        <f t="shared" si="14"/>
        <v/>
      </c>
      <c r="J130" s="253" t="str">
        <f t="shared" si="15"/>
        <v/>
      </c>
      <c r="K130" s="253" t="str">
        <f>IF(B130="","Pending",IF(M130="","⚠️ Enter Code",IF(IFERROR(VLOOKUP(L130,DB_Agents!$B:$I,8,0),"")=M130,"Pending","🔒 BLOCKED — Wrong Code")))</f>
        <v>Pending</v>
      </c>
      <c r="L130" s="253" t="s">
        <v>137</v>
      </c>
      <c r="M130" s="240"/>
      <c r="N130" s="254"/>
    </row>
    <row r="131" spans="1:14" ht="18" customHeight="1" x14ac:dyDescent="0.25">
      <c r="A131" s="256" t="str">
        <f t="shared" si="12"/>
        <v/>
      </c>
      <c r="B131" s="257"/>
      <c r="C131" s="257" t="str">
        <f>IF(B131="","",IFERROR(VLOOKUP(B131,DB_Customers!$A:$D,4,0),"❌ Account Not Found"))</f>
        <v/>
      </c>
      <c r="D131" s="256" t="str">
        <f t="shared" ca="1" si="13"/>
        <v/>
      </c>
      <c r="E131" s="257"/>
      <c r="F131" s="257"/>
      <c r="G131" s="256"/>
      <c r="H131" s="258">
        <v>2.5</v>
      </c>
      <c r="I131" s="256" t="str">
        <f t="shared" si="14"/>
        <v/>
      </c>
      <c r="J131" s="256" t="str">
        <f t="shared" si="15"/>
        <v/>
      </c>
      <c r="K131" s="256" t="str">
        <f>IF(B131="","Pending",IF(M131="","⚠️ Enter Code",IF(IFERROR(VLOOKUP(L131,DB_Agents!$B:$I,8,0),"")=M131,"Pending","🔒 BLOCKED — Wrong Code")))</f>
        <v>Pending</v>
      </c>
      <c r="L131" s="256" t="s">
        <v>137</v>
      </c>
      <c r="M131" s="252"/>
      <c r="N131" s="257"/>
    </row>
    <row r="132" spans="1:14" ht="18" customHeight="1" x14ac:dyDescent="0.25">
      <c r="A132" s="253" t="str">
        <f t="shared" si="12"/>
        <v/>
      </c>
      <c r="B132" s="254"/>
      <c r="C132" s="254" t="str">
        <f>IF(B132="","",IFERROR(VLOOKUP(B132,DB_Customers!$A:$D,4,0),"❌ Account Not Found"))</f>
        <v/>
      </c>
      <c r="D132" s="253" t="str">
        <f t="shared" ca="1" si="13"/>
        <v/>
      </c>
      <c r="E132" s="254"/>
      <c r="F132" s="254"/>
      <c r="G132" s="253"/>
      <c r="H132" s="255">
        <v>2.5</v>
      </c>
      <c r="I132" s="253" t="str">
        <f t="shared" si="14"/>
        <v/>
      </c>
      <c r="J132" s="253" t="str">
        <f t="shared" si="15"/>
        <v/>
      </c>
      <c r="K132" s="253" t="str">
        <f>IF(B132="","Pending",IF(M132="","⚠️ Enter Code",IF(IFERROR(VLOOKUP(L132,DB_Agents!$B:$I,8,0),"")=M132,"Pending","🔒 BLOCKED — Wrong Code")))</f>
        <v>Pending</v>
      </c>
      <c r="L132" s="253" t="s">
        <v>137</v>
      </c>
      <c r="M132" s="240"/>
      <c r="N132" s="254"/>
    </row>
    <row r="133" spans="1:14" ht="18" customHeight="1" x14ac:dyDescent="0.25">
      <c r="A133" s="256" t="str">
        <f t="shared" si="12"/>
        <v/>
      </c>
      <c r="B133" s="257"/>
      <c r="C133" s="257" t="str">
        <f>IF(B133="","",IFERROR(VLOOKUP(B133,DB_Customers!$A:$D,4,0),"❌ Account Not Found"))</f>
        <v/>
      </c>
      <c r="D133" s="256" t="str">
        <f t="shared" ca="1" si="13"/>
        <v/>
      </c>
      <c r="E133" s="257"/>
      <c r="F133" s="257"/>
      <c r="G133" s="256"/>
      <c r="H133" s="258">
        <v>2.5</v>
      </c>
      <c r="I133" s="256" t="str">
        <f t="shared" si="14"/>
        <v/>
      </c>
      <c r="J133" s="256" t="str">
        <f t="shared" si="15"/>
        <v/>
      </c>
      <c r="K133" s="256" t="str">
        <f>IF(B133="","Pending",IF(M133="","⚠️ Enter Code",IF(IFERROR(VLOOKUP(L133,DB_Agents!$B:$I,8,0),"")=M133,"Pending","🔒 BLOCKED — Wrong Code")))</f>
        <v>Pending</v>
      </c>
      <c r="L133" s="256" t="s">
        <v>137</v>
      </c>
      <c r="M133" s="252"/>
      <c r="N133" s="257"/>
    </row>
    <row r="134" spans="1:14" ht="18" customHeight="1" x14ac:dyDescent="0.25">
      <c r="A134" s="253" t="str">
        <f t="shared" si="12"/>
        <v/>
      </c>
      <c r="B134" s="254"/>
      <c r="C134" s="254" t="str">
        <f>IF(B134="","",IFERROR(VLOOKUP(B134,DB_Customers!$A:$D,4,0),"❌ Account Not Found"))</f>
        <v/>
      </c>
      <c r="D134" s="253" t="str">
        <f t="shared" ca="1" si="13"/>
        <v/>
      </c>
      <c r="E134" s="254"/>
      <c r="F134" s="254"/>
      <c r="G134" s="253"/>
      <c r="H134" s="255">
        <v>2.5</v>
      </c>
      <c r="I134" s="253" t="str">
        <f t="shared" si="14"/>
        <v/>
      </c>
      <c r="J134" s="253" t="str">
        <f t="shared" si="15"/>
        <v/>
      </c>
      <c r="K134" s="253" t="str">
        <f>IF(B134="","Pending",IF(M134="","⚠️ Enter Code",IF(IFERROR(VLOOKUP(L134,DB_Agents!$B:$I,8,0),"")=M134,"Pending","🔒 BLOCKED — Wrong Code")))</f>
        <v>Pending</v>
      </c>
      <c r="L134" s="253" t="s">
        <v>137</v>
      </c>
      <c r="M134" s="240"/>
      <c r="N134" s="254"/>
    </row>
    <row r="135" spans="1:14" ht="18" customHeight="1" x14ac:dyDescent="0.25">
      <c r="A135" s="256" t="str">
        <f t="shared" si="12"/>
        <v/>
      </c>
      <c r="B135" s="257"/>
      <c r="C135" s="257" t="str">
        <f>IF(B135="","",IFERROR(VLOOKUP(B135,DB_Customers!$A:$D,4,0),"❌ Account Not Found"))</f>
        <v/>
      </c>
      <c r="D135" s="256" t="str">
        <f t="shared" ca="1" si="13"/>
        <v/>
      </c>
      <c r="E135" s="257"/>
      <c r="F135" s="257"/>
      <c r="G135" s="256"/>
      <c r="H135" s="258">
        <v>2.5</v>
      </c>
      <c r="I135" s="256" t="str">
        <f t="shared" si="14"/>
        <v/>
      </c>
      <c r="J135" s="256" t="str">
        <f t="shared" si="15"/>
        <v/>
      </c>
      <c r="K135" s="256" t="str">
        <f>IF(B135="","Pending",IF(M135="","⚠️ Enter Code",IF(IFERROR(VLOOKUP(L135,DB_Agents!$B:$I,8,0),"")=M135,"Pending","🔒 BLOCKED — Wrong Code")))</f>
        <v>Pending</v>
      </c>
      <c r="L135" s="256" t="s">
        <v>137</v>
      </c>
      <c r="M135" s="252"/>
      <c r="N135" s="257"/>
    </row>
    <row r="136" spans="1:14" ht="18" customHeight="1" x14ac:dyDescent="0.25">
      <c r="A136" s="253" t="str">
        <f t="shared" si="12"/>
        <v/>
      </c>
      <c r="B136" s="254"/>
      <c r="C136" s="254" t="str">
        <f>IF(B136="","",IFERROR(VLOOKUP(B136,DB_Customers!$A:$D,4,0),"❌ Account Not Found"))</f>
        <v/>
      </c>
      <c r="D136" s="253" t="str">
        <f t="shared" ca="1" si="13"/>
        <v/>
      </c>
      <c r="E136" s="254"/>
      <c r="F136" s="254"/>
      <c r="G136" s="253"/>
      <c r="H136" s="255">
        <v>2.5</v>
      </c>
      <c r="I136" s="253" t="str">
        <f t="shared" si="14"/>
        <v/>
      </c>
      <c r="J136" s="253" t="str">
        <f t="shared" si="15"/>
        <v/>
      </c>
      <c r="K136" s="253" t="str">
        <f>IF(B136="","Pending",IF(M136="","⚠️ Enter Code",IF(IFERROR(VLOOKUP(L136,DB_Agents!$B:$I,8,0),"")=M136,"Pending","🔒 BLOCKED — Wrong Code")))</f>
        <v>Pending</v>
      </c>
      <c r="L136" s="253" t="s">
        <v>137</v>
      </c>
      <c r="M136" s="240"/>
      <c r="N136" s="254"/>
    </row>
    <row r="137" spans="1:14" ht="18" customHeight="1" x14ac:dyDescent="0.25">
      <c r="A137" s="256" t="str">
        <f t="shared" si="12"/>
        <v/>
      </c>
      <c r="B137" s="257"/>
      <c r="C137" s="257" t="str">
        <f>IF(B137="","",IFERROR(VLOOKUP(B137,DB_Customers!$A:$D,4,0),"❌ Account Not Found"))</f>
        <v/>
      </c>
      <c r="D137" s="256" t="str">
        <f t="shared" ca="1" si="13"/>
        <v/>
      </c>
      <c r="E137" s="257"/>
      <c r="F137" s="257"/>
      <c r="G137" s="256"/>
      <c r="H137" s="258">
        <v>2.5</v>
      </c>
      <c r="I137" s="256" t="str">
        <f t="shared" si="14"/>
        <v/>
      </c>
      <c r="J137" s="256" t="str">
        <f t="shared" si="15"/>
        <v/>
      </c>
      <c r="K137" s="256" t="str">
        <f>IF(B137="","Pending",IF(M137="","⚠️ Enter Code",IF(IFERROR(VLOOKUP(L137,DB_Agents!$B:$I,8,0),"")=M137,"Pending","🔒 BLOCKED — Wrong Code")))</f>
        <v>Pending</v>
      </c>
      <c r="L137" s="256" t="s">
        <v>137</v>
      </c>
      <c r="M137" s="252"/>
      <c r="N137" s="257"/>
    </row>
    <row r="138" spans="1:14" ht="18" customHeight="1" x14ac:dyDescent="0.25">
      <c r="A138" s="253" t="str">
        <f t="shared" si="12"/>
        <v/>
      </c>
      <c r="B138" s="254"/>
      <c r="C138" s="254" t="str">
        <f>IF(B138="","",IFERROR(VLOOKUP(B138,DB_Customers!$A:$D,4,0),"❌ Account Not Found"))</f>
        <v/>
      </c>
      <c r="D138" s="253" t="str">
        <f t="shared" ca="1" si="13"/>
        <v/>
      </c>
      <c r="E138" s="254"/>
      <c r="F138" s="254"/>
      <c r="G138" s="253"/>
      <c r="H138" s="255">
        <v>2.5</v>
      </c>
      <c r="I138" s="253" t="str">
        <f t="shared" si="14"/>
        <v/>
      </c>
      <c r="J138" s="253" t="str">
        <f t="shared" si="15"/>
        <v/>
      </c>
      <c r="K138" s="253" t="str">
        <f>IF(B138="","Pending",IF(M138="","⚠️ Enter Code",IF(IFERROR(VLOOKUP(L138,DB_Agents!$B:$I,8,0),"")=M138,"Pending","🔒 BLOCKED — Wrong Code")))</f>
        <v>Pending</v>
      </c>
      <c r="L138" s="253" t="s">
        <v>137</v>
      </c>
      <c r="M138" s="240"/>
      <c r="N138" s="254"/>
    </row>
    <row r="139" spans="1:14" ht="18" customHeight="1" x14ac:dyDescent="0.25">
      <c r="A139" s="256" t="str">
        <f t="shared" si="12"/>
        <v/>
      </c>
      <c r="B139" s="257"/>
      <c r="C139" s="257" t="str">
        <f>IF(B139="","",IFERROR(VLOOKUP(B139,DB_Customers!$A:$D,4,0),"❌ Account Not Found"))</f>
        <v/>
      </c>
      <c r="D139" s="256" t="str">
        <f t="shared" ca="1" si="13"/>
        <v/>
      </c>
      <c r="E139" s="257"/>
      <c r="F139" s="257"/>
      <c r="G139" s="256"/>
      <c r="H139" s="258">
        <v>2.5</v>
      </c>
      <c r="I139" s="256" t="str">
        <f t="shared" si="14"/>
        <v/>
      </c>
      <c r="J139" s="256" t="str">
        <f t="shared" si="15"/>
        <v/>
      </c>
      <c r="K139" s="256" t="str">
        <f>IF(B139="","Pending",IF(M139="","⚠️ Enter Code",IF(IFERROR(VLOOKUP(L139,DB_Agents!$B:$I,8,0),"")=M139,"Pending","🔒 BLOCKED — Wrong Code")))</f>
        <v>Pending</v>
      </c>
      <c r="L139" s="256" t="s">
        <v>137</v>
      </c>
      <c r="M139" s="252"/>
      <c r="N139" s="257"/>
    </row>
    <row r="140" spans="1:14" ht="18" customHeight="1" x14ac:dyDescent="0.25">
      <c r="A140" s="253" t="str">
        <f t="shared" si="12"/>
        <v/>
      </c>
      <c r="B140" s="254"/>
      <c r="C140" s="254" t="str">
        <f>IF(B140="","",IFERROR(VLOOKUP(B140,DB_Customers!$A:$D,4,0),"❌ Account Not Found"))</f>
        <v/>
      </c>
      <c r="D140" s="253" t="str">
        <f t="shared" ca="1" si="13"/>
        <v/>
      </c>
      <c r="E140" s="254"/>
      <c r="F140" s="254"/>
      <c r="G140" s="253"/>
      <c r="H140" s="255">
        <v>2.5</v>
      </c>
      <c r="I140" s="253" t="str">
        <f t="shared" si="14"/>
        <v/>
      </c>
      <c r="J140" s="253" t="str">
        <f t="shared" si="15"/>
        <v/>
      </c>
      <c r="K140" s="253" t="str">
        <f>IF(B140="","Pending",IF(M140="","⚠️ Enter Code",IF(IFERROR(VLOOKUP(L140,DB_Agents!$B:$I,8,0),"")=M140,"Pending","🔒 BLOCKED — Wrong Code")))</f>
        <v>Pending</v>
      </c>
      <c r="L140" s="253" t="s">
        <v>137</v>
      </c>
      <c r="M140" s="240"/>
      <c r="N140" s="254"/>
    </row>
    <row r="141" spans="1:14" ht="18" customHeight="1" x14ac:dyDescent="0.25">
      <c r="A141" s="256" t="str">
        <f t="shared" si="12"/>
        <v/>
      </c>
      <c r="B141" s="257"/>
      <c r="C141" s="257" t="str">
        <f>IF(B141="","",IFERROR(VLOOKUP(B141,DB_Customers!$A:$D,4,0),"❌ Account Not Found"))</f>
        <v/>
      </c>
      <c r="D141" s="256" t="str">
        <f t="shared" ca="1" si="13"/>
        <v/>
      </c>
      <c r="E141" s="257"/>
      <c r="F141" s="257"/>
      <c r="G141" s="256"/>
      <c r="H141" s="258">
        <v>2.5</v>
      </c>
      <c r="I141" s="256" t="str">
        <f t="shared" si="14"/>
        <v/>
      </c>
      <c r="J141" s="256" t="str">
        <f t="shared" si="15"/>
        <v/>
      </c>
      <c r="K141" s="256" t="str">
        <f>IF(B141="","Pending",IF(M141="","⚠️ Enter Code",IF(IFERROR(VLOOKUP(L141,DB_Agents!$B:$I,8,0),"")=M141,"Pending","🔒 BLOCKED — Wrong Code")))</f>
        <v>Pending</v>
      </c>
      <c r="L141" s="256" t="s">
        <v>137</v>
      </c>
      <c r="M141" s="252"/>
      <c r="N141" s="257"/>
    </row>
    <row r="142" spans="1:14" ht="18" customHeight="1" x14ac:dyDescent="0.25">
      <c r="A142" s="253" t="str">
        <f t="shared" ref="A142:A173" si="16">IF(B142="","",IF(C142="❌ Account Not Found","INVALID","LN"&amp;TEXT(D142,"YYYYMMDD")&amp;TEXT(ROW()-13,"0000")))</f>
        <v/>
      </c>
      <c r="B142" s="254"/>
      <c r="C142" s="254" t="str">
        <f>IF(B142="","",IFERROR(VLOOKUP(B142,DB_Customers!$A:$D,4,0),"❌ Account Not Found"))</f>
        <v/>
      </c>
      <c r="D142" s="253" t="str">
        <f t="shared" ref="D142:D173" ca="1" si="17">IF(B142="","",TODAY())</f>
        <v/>
      </c>
      <c r="E142" s="254"/>
      <c r="F142" s="254"/>
      <c r="G142" s="253"/>
      <c r="H142" s="255">
        <v>2.5</v>
      </c>
      <c r="I142" s="253" t="str">
        <f t="shared" ref="I142:I173" si="18">IF(E142="","",E142+(E142*H142/100*G142))</f>
        <v/>
      </c>
      <c r="J142" s="253" t="str">
        <f t="shared" ref="J142:J173" si="19">IFERROR(I142/G142,"")</f>
        <v/>
      </c>
      <c r="K142" s="253" t="str">
        <f>IF(B142="","Pending",IF(M142="","⚠️ Enter Code",IF(IFERROR(VLOOKUP(L142,DB_Agents!$B:$I,8,0),"")=M142,"Pending","🔒 BLOCKED — Wrong Code")))</f>
        <v>Pending</v>
      </c>
      <c r="L142" s="253" t="s">
        <v>137</v>
      </c>
      <c r="M142" s="240"/>
      <c r="N142" s="254"/>
    </row>
    <row r="143" spans="1:14" ht="18" customHeight="1" x14ac:dyDescent="0.25">
      <c r="A143" s="256" t="str">
        <f t="shared" si="16"/>
        <v/>
      </c>
      <c r="B143" s="257"/>
      <c r="C143" s="257" t="str">
        <f>IF(B143="","",IFERROR(VLOOKUP(B143,DB_Customers!$A:$D,4,0),"❌ Account Not Found"))</f>
        <v/>
      </c>
      <c r="D143" s="256" t="str">
        <f t="shared" ca="1" si="17"/>
        <v/>
      </c>
      <c r="E143" s="257"/>
      <c r="F143" s="257"/>
      <c r="G143" s="256"/>
      <c r="H143" s="258">
        <v>2.5</v>
      </c>
      <c r="I143" s="256" t="str">
        <f t="shared" si="18"/>
        <v/>
      </c>
      <c r="J143" s="256" t="str">
        <f t="shared" si="19"/>
        <v/>
      </c>
      <c r="K143" s="256" t="str">
        <f>IF(B143="","Pending",IF(M143="","⚠️ Enter Code",IF(IFERROR(VLOOKUP(L143,DB_Agents!$B:$I,8,0),"")=M143,"Pending","🔒 BLOCKED — Wrong Code")))</f>
        <v>Pending</v>
      </c>
      <c r="L143" s="256" t="s">
        <v>137</v>
      </c>
      <c r="M143" s="252"/>
      <c r="N143" s="257"/>
    </row>
    <row r="144" spans="1:14" ht="18" customHeight="1" x14ac:dyDescent="0.25">
      <c r="A144" s="253" t="str">
        <f t="shared" si="16"/>
        <v/>
      </c>
      <c r="B144" s="254"/>
      <c r="C144" s="254" t="str">
        <f>IF(B144="","",IFERROR(VLOOKUP(B144,DB_Customers!$A:$D,4,0),"❌ Account Not Found"))</f>
        <v/>
      </c>
      <c r="D144" s="253" t="str">
        <f t="shared" ca="1" si="17"/>
        <v/>
      </c>
      <c r="E144" s="254"/>
      <c r="F144" s="254"/>
      <c r="G144" s="253"/>
      <c r="H144" s="255">
        <v>2.5</v>
      </c>
      <c r="I144" s="253" t="str">
        <f t="shared" si="18"/>
        <v/>
      </c>
      <c r="J144" s="253" t="str">
        <f t="shared" si="19"/>
        <v/>
      </c>
      <c r="K144" s="253" t="str">
        <f>IF(B144="","Pending",IF(M144="","⚠️ Enter Code",IF(IFERROR(VLOOKUP(L144,DB_Agents!$B:$I,8,0),"")=M144,"Pending","🔒 BLOCKED — Wrong Code")))</f>
        <v>Pending</v>
      </c>
      <c r="L144" s="253" t="s">
        <v>137</v>
      </c>
      <c r="M144" s="240"/>
      <c r="N144" s="254"/>
    </row>
    <row r="145" spans="1:14" ht="18" customHeight="1" x14ac:dyDescent="0.25">
      <c r="A145" s="256" t="str">
        <f t="shared" si="16"/>
        <v/>
      </c>
      <c r="B145" s="257"/>
      <c r="C145" s="257" t="str">
        <f>IF(B145="","",IFERROR(VLOOKUP(B145,DB_Customers!$A:$D,4,0),"❌ Account Not Found"))</f>
        <v/>
      </c>
      <c r="D145" s="256" t="str">
        <f t="shared" ca="1" si="17"/>
        <v/>
      </c>
      <c r="E145" s="257"/>
      <c r="F145" s="257"/>
      <c r="G145" s="256"/>
      <c r="H145" s="258">
        <v>2.5</v>
      </c>
      <c r="I145" s="256" t="str">
        <f t="shared" si="18"/>
        <v/>
      </c>
      <c r="J145" s="256" t="str">
        <f t="shared" si="19"/>
        <v/>
      </c>
      <c r="K145" s="256" t="str">
        <f>IF(B145="","Pending",IF(M145="","⚠️ Enter Code",IF(IFERROR(VLOOKUP(L145,DB_Agents!$B:$I,8,0),"")=M145,"Pending","🔒 BLOCKED — Wrong Code")))</f>
        <v>Pending</v>
      </c>
      <c r="L145" s="256" t="s">
        <v>137</v>
      </c>
      <c r="M145" s="252"/>
      <c r="N145" s="257"/>
    </row>
    <row r="146" spans="1:14" ht="18" customHeight="1" x14ac:dyDescent="0.25">
      <c r="A146" s="253" t="str">
        <f t="shared" si="16"/>
        <v/>
      </c>
      <c r="B146" s="254"/>
      <c r="C146" s="254" t="str">
        <f>IF(B146="","",IFERROR(VLOOKUP(B146,DB_Customers!$A:$D,4,0),"❌ Account Not Found"))</f>
        <v/>
      </c>
      <c r="D146" s="253" t="str">
        <f t="shared" ca="1" si="17"/>
        <v/>
      </c>
      <c r="E146" s="254"/>
      <c r="F146" s="254"/>
      <c r="G146" s="253"/>
      <c r="H146" s="255">
        <v>2.5</v>
      </c>
      <c r="I146" s="253" t="str">
        <f t="shared" si="18"/>
        <v/>
      </c>
      <c r="J146" s="253" t="str">
        <f t="shared" si="19"/>
        <v/>
      </c>
      <c r="K146" s="253" t="str">
        <f>IF(B146="","Pending",IF(M146="","⚠️ Enter Code",IF(IFERROR(VLOOKUP(L146,DB_Agents!$B:$I,8,0),"")=M146,"Pending","🔒 BLOCKED — Wrong Code")))</f>
        <v>Pending</v>
      </c>
      <c r="L146" s="253" t="s">
        <v>137</v>
      </c>
      <c r="M146" s="240"/>
      <c r="N146" s="254"/>
    </row>
    <row r="147" spans="1:14" ht="18" customHeight="1" x14ac:dyDescent="0.25">
      <c r="A147" s="256" t="str">
        <f t="shared" si="16"/>
        <v/>
      </c>
      <c r="B147" s="257"/>
      <c r="C147" s="257" t="str">
        <f>IF(B147="","",IFERROR(VLOOKUP(B147,DB_Customers!$A:$D,4,0),"❌ Account Not Found"))</f>
        <v/>
      </c>
      <c r="D147" s="256" t="str">
        <f t="shared" ca="1" si="17"/>
        <v/>
      </c>
      <c r="E147" s="257"/>
      <c r="F147" s="257"/>
      <c r="G147" s="256"/>
      <c r="H147" s="258">
        <v>2.5</v>
      </c>
      <c r="I147" s="256" t="str">
        <f t="shared" si="18"/>
        <v/>
      </c>
      <c r="J147" s="256" t="str">
        <f t="shared" si="19"/>
        <v/>
      </c>
      <c r="K147" s="256" t="str">
        <f>IF(B147="","Pending",IF(M147="","⚠️ Enter Code",IF(IFERROR(VLOOKUP(L147,DB_Agents!$B:$I,8,0),"")=M147,"Pending","🔒 BLOCKED — Wrong Code")))</f>
        <v>Pending</v>
      </c>
      <c r="L147" s="256" t="s">
        <v>137</v>
      </c>
      <c r="M147" s="252"/>
      <c r="N147" s="257"/>
    </row>
    <row r="148" spans="1:14" ht="18" customHeight="1" x14ac:dyDescent="0.25">
      <c r="A148" s="253" t="str">
        <f t="shared" si="16"/>
        <v/>
      </c>
      <c r="B148" s="254"/>
      <c r="C148" s="254" t="str">
        <f>IF(B148="","",IFERROR(VLOOKUP(B148,DB_Customers!$A:$D,4,0),"❌ Account Not Found"))</f>
        <v/>
      </c>
      <c r="D148" s="253" t="str">
        <f t="shared" ca="1" si="17"/>
        <v/>
      </c>
      <c r="E148" s="254"/>
      <c r="F148" s="254"/>
      <c r="G148" s="253"/>
      <c r="H148" s="255">
        <v>2.5</v>
      </c>
      <c r="I148" s="253" t="str">
        <f t="shared" si="18"/>
        <v/>
      </c>
      <c r="J148" s="253" t="str">
        <f t="shared" si="19"/>
        <v/>
      </c>
      <c r="K148" s="253" t="str">
        <f>IF(B148="","Pending",IF(M148="","⚠️ Enter Code",IF(IFERROR(VLOOKUP(L148,DB_Agents!$B:$I,8,0),"")=M148,"Pending","🔒 BLOCKED — Wrong Code")))</f>
        <v>Pending</v>
      </c>
      <c r="L148" s="253" t="s">
        <v>137</v>
      </c>
      <c r="M148" s="240"/>
      <c r="N148" s="254"/>
    </row>
    <row r="149" spans="1:14" ht="18" customHeight="1" x14ac:dyDescent="0.25">
      <c r="A149" s="256" t="str">
        <f t="shared" si="16"/>
        <v/>
      </c>
      <c r="B149" s="257"/>
      <c r="C149" s="257" t="str">
        <f>IF(B149="","",IFERROR(VLOOKUP(B149,DB_Customers!$A:$D,4,0),"❌ Account Not Found"))</f>
        <v/>
      </c>
      <c r="D149" s="256" t="str">
        <f t="shared" ca="1" si="17"/>
        <v/>
      </c>
      <c r="E149" s="257"/>
      <c r="F149" s="257"/>
      <c r="G149" s="256"/>
      <c r="H149" s="258">
        <v>2.5</v>
      </c>
      <c r="I149" s="256" t="str">
        <f t="shared" si="18"/>
        <v/>
      </c>
      <c r="J149" s="256" t="str">
        <f t="shared" si="19"/>
        <v/>
      </c>
      <c r="K149" s="256" t="str">
        <f>IF(B149="","Pending",IF(M149="","⚠️ Enter Code",IF(IFERROR(VLOOKUP(L149,DB_Agents!$B:$I,8,0),"")=M149,"Pending","🔒 BLOCKED — Wrong Code")))</f>
        <v>Pending</v>
      </c>
      <c r="L149" s="256" t="s">
        <v>137</v>
      </c>
      <c r="M149" s="252"/>
      <c r="N149" s="257"/>
    </row>
    <row r="150" spans="1:14" ht="18" customHeight="1" x14ac:dyDescent="0.25">
      <c r="A150" s="253" t="str">
        <f t="shared" si="16"/>
        <v/>
      </c>
      <c r="B150" s="254"/>
      <c r="C150" s="254" t="str">
        <f>IF(B150="","",IFERROR(VLOOKUP(B150,DB_Customers!$A:$D,4,0),"❌ Account Not Found"))</f>
        <v/>
      </c>
      <c r="D150" s="253" t="str">
        <f t="shared" ca="1" si="17"/>
        <v/>
      </c>
      <c r="E150" s="254"/>
      <c r="F150" s="254"/>
      <c r="G150" s="253"/>
      <c r="H150" s="255">
        <v>2.5</v>
      </c>
      <c r="I150" s="253" t="str">
        <f t="shared" si="18"/>
        <v/>
      </c>
      <c r="J150" s="253" t="str">
        <f t="shared" si="19"/>
        <v/>
      </c>
      <c r="K150" s="253" t="str">
        <f>IF(B150="","Pending",IF(M150="","⚠️ Enter Code",IF(IFERROR(VLOOKUP(L150,DB_Agents!$B:$I,8,0),"")=M150,"Pending","🔒 BLOCKED — Wrong Code")))</f>
        <v>Pending</v>
      </c>
      <c r="L150" s="253" t="s">
        <v>137</v>
      </c>
      <c r="M150" s="240"/>
      <c r="N150" s="254"/>
    </row>
    <row r="151" spans="1:14" ht="18" customHeight="1" x14ac:dyDescent="0.25">
      <c r="A151" s="256" t="str">
        <f t="shared" si="16"/>
        <v/>
      </c>
      <c r="B151" s="257"/>
      <c r="C151" s="257" t="str">
        <f>IF(B151="","",IFERROR(VLOOKUP(B151,DB_Customers!$A:$D,4,0),"❌ Account Not Found"))</f>
        <v/>
      </c>
      <c r="D151" s="256" t="str">
        <f t="shared" ca="1" si="17"/>
        <v/>
      </c>
      <c r="E151" s="257"/>
      <c r="F151" s="257"/>
      <c r="G151" s="256"/>
      <c r="H151" s="258">
        <v>2.5</v>
      </c>
      <c r="I151" s="256" t="str">
        <f t="shared" si="18"/>
        <v/>
      </c>
      <c r="J151" s="256" t="str">
        <f t="shared" si="19"/>
        <v/>
      </c>
      <c r="K151" s="256" t="str">
        <f>IF(B151="","Pending",IF(M151="","⚠️ Enter Code",IF(IFERROR(VLOOKUP(L151,DB_Agents!$B:$I,8,0),"")=M151,"Pending","🔒 BLOCKED — Wrong Code")))</f>
        <v>Pending</v>
      </c>
      <c r="L151" s="256" t="s">
        <v>137</v>
      </c>
      <c r="M151" s="252"/>
      <c r="N151" s="257"/>
    </row>
    <row r="152" spans="1:14" ht="18" customHeight="1" x14ac:dyDescent="0.25">
      <c r="A152" s="253" t="str">
        <f t="shared" si="16"/>
        <v/>
      </c>
      <c r="B152" s="254"/>
      <c r="C152" s="254" t="str">
        <f>IF(B152="","",IFERROR(VLOOKUP(B152,DB_Customers!$A:$D,4,0),"❌ Account Not Found"))</f>
        <v/>
      </c>
      <c r="D152" s="253" t="str">
        <f t="shared" ca="1" si="17"/>
        <v/>
      </c>
      <c r="E152" s="254"/>
      <c r="F152" s="254"/>
      <c r="G152" s="253"/>
      <c r="H152" s="255">
        <v>2.5</v>
      </c>
      <c r="I152" s="253" t="str">
        <f t="shared" si="18"/>
        <v/>
      </c>
      <c r="J152" s="253" t="str">
        <f t="shared" si="19"/>
        <v/>
      </c>
      <c r="K152" s="253" t="str">
        <f>IF(B152="","Pending",IF(M152="","⚠️ Enter Code",IF(IFERROR(VLOOKUP(L152,DB_Agents!$B:$I,8,0),"")=M152,"Pending","🔒 BLOCKED — Wrong Code")))</f>
        <v>Pending</v>
      </c>
      <c r="L152" s="253" t="s">
        <v>137</v>
      </c>
      <c r="M152" s="240"/>
      <c r="N152" s="254"/>
    </row>
    <row r="153" spans="1:14" ht="18" customHeight="1" x14ac:dyDescent="0.25">
      <c r="A153" s="256" t="str">
        <f t="shared" si="16"/>
        <v/>
      </c>
      <c r="B153" s="257"/>
      <c r="C153" s="257" t="str">
        <f>IF(B153="","",IFERROR(VLOOKUP(B153,DB_Customers!$A:$D,4,0),"❌ Account Not Found"))</f>
        <v/>
      </c>
      <c r="D153" s="256" t="str">
        <f t="shared" ca="1" si="17"/>
        <v/>
      </c>
      <c r="E153" s="257"/>
      <c r="F153" s="257"/>
      <c r="G153" s="256"/>
      <c r="H153" s="258">
        <v>2.5</v>
      </c>
      <c r="I153" s="256" t="str">
        <f t="shared" si="18"/>
        <v/>
      </c>
      <c r="J153" s="256" t="str">
        <f t="shared" si="19"/>
        <v/>
      </c>
      <c r="K153" s="256" t="str">
        <f>IF(B153="","Pending",IF(M153="","⚠️ Enter Code",IF(IFERROR(VLOOKUP(L153,DB_Agents!$B:$I,8,0),"")=M153,"Pending","🔒 BLOCKED — Wrong Code")))</f>
        <v>Pending</v>
      </c>
      <c r="L153" s="256" t="s">
        <v>137</v>
      </c>
      <c r="M153" s="252"/>
      <c r="N153" s="257"/>
    </row>
    <row r="154" spans="1:14" ht="18" customHeight="1" x14ac:dyDescent="0.25">
      <c r="A154" s="253" t="str">
        <f t="shared" si="16"/>
        <v/>
      </c>
      <c r="B154" s="254"/>
      <c r="C154" s="254" t="str">
        <f>IF(B154="","",IFERROR(VLOOKUP(B154,DB_Customers!$A:$D,4,0),"❌ Account Not Found"))</f>
        <v/>
      </c>
      <c r="D154" s="253" t="str">
        <f t="shared" ca="1" si="17"/>
        <v/>
      </c>
      <c r="E154" s="254"/>
      <c r="F154" s="254"/>
      <c r="G154" s="253"/>
      <c r="H154" s="255">
        <v>2.5</v>
      </c>
      <c r="I154" s="253" t="str">
        <f t="shared" si="18"/>
        <v/>
      </c>
      <c r="J154" s="253" t="str">
        <f t="shared" si="19"/>
        <v/>
      </c>
      <c r="K154" s="253" t="str">
        <f>IF(B154="","Pending",IF(M154="","⚠️ Enter Code",IF(IFERROR(VLOOKUP(L154,DB_Agents!$B:$I,8,0),"")=M154,"Pending","🔒 BLOCKED — Wrong Code")))</f>
        <v>Pending</v>
      </c>
      <c r="L154" s="253" t="s">
        <v>137</v>
      </c>
      <c r="M154" s="240"/>
      <c r="N154" s="254"/>
    </row>
    <row r="155" spans="1:14" ht="18" customHeight="1" x14ac:dyDescent="0.25">
      <c r="A155" s="256" t="str">
        <f t="shared" si="16"/>
        <v/>
      </c>
      <c r="B155" s="257"/>
      <c r="C155" s="257" t="str">
        <f>IF(B155="","",IFERROR(VLOOKUP(B155,DB_Customers!$A:$D,4,0),"❌ Account Not Found"))</f>
        <v/>
      </c>
      <c r="D155" s="256" t="str">
        <f t="shared" ca="1" si="17"/>
        <v/>
      </c>
      <c r="E155" s="257"/>
      <c r="F155" s="257"/>
      <c r="G155" s="256"/>
      <c r="H155" s="258">
        <v>2.5</v>
      </c>
      <c r="I155" s="256" t="str">
        <f t="shared" si="18"/>
        <v/>
      </c>
      <c r="J155" s="256" t="str">
        <f t="shared" si="19"/>
        <v/>
      </c>
      <c r="K155" s="256" t="str">
        <f>IF(B155="","Pending",IF(M155="","⚠️ Enter Code",IF(IFERROR(VLOOKUP(L155,DB_Agents!$B:$I,8,0),"")=M155,"Pending","🔒 BLOCKED — Wrong Code")))</f>
        <v>Pending</v>
      </c>
      <c r="L155" s="256" t="s">
        <v>137</v>
      </c>
      <c r="M155" s="252"/>
      <c r="N155" s="257"/>
    </row>
    <row r="156" spans="1:14" ht="18" customHeight="1" x14ac:dyDescent="0.25">
      <c r="A156" s="253" t="str">
        <f t="shared" si="16"/>
        <v/>
      </c>
      <c r="B156" s="254"/>
      <c r="C156" s="254" t="str">
        <f>IF(B156="","",IFERROR(VLOOKUP(B156,DB_Customers!$A:$D,4,0),"❌ Account Not Found"))</f>
        <v/>
      </c>
      <c r="D156" s="253" t="str">
        <f t="shared" ca="1" si="17"/>
        <v/>
      </c>
      <c r="E156" s="254"/>
      <c r="F156" s="254"/>
      <c r="G156" s="253"/>
      <c r="H156" s="255">
        <v>2.5</v>
      </c>
      <c r="I156" s="253" t="str">
        <f t="shared" si="18"/>
        <v/>
      </c>
      <c r="J156" s="253" t="str">
        <f t="shared" si="19"/>
        <v/>
      </c>
      <c r="K156" s="253" t="str">
        <f>IF(B156="","Pending",IF(M156="","⚠️ Enter Code",IF(IFERROR(VLOOKUP(L156,DB_Agents!$B:$I,8,0),"")=M156,"Pending","🔒 BLOCKED — Wrong Code")))</f>
        <v>Pending</v>
      </c>
      <c r="L156" s="253" t="s">
        <v>137</v>
      </c>
      <c r="M156" s="240"/>
      <c r="N156" s="254"/>
    </row>
    <row r="157" spans="1:14" ht="18" customHeight="1" x14ac:dyDescent="0.25">
      <c r="A157" s="256" t="str">
        <f t="shared" si="16"/>
        <v/>
      </c>
      <c r="B157" s="257"/>
      <c r="C157" s="257" t="str">
        <f>IF(B157="","",IFERROR(VLOOKUP(B157,DB_Customers!$A:$D,4,0),"❌ Account Not Found"))</f>
        <v/>
      </c>
      <c r="D157" s="256" t="str">
        <f t="shared" ca="1" si="17"/>
        <v/>
      </c>
      <c r="E157" s="257"/>
      <c r="F157" s="257"/>
      <c r="G157" s="256"/>
      <c r="H157" s="258">
        <v>2.5</v>
      </c>
      <c r="I157" s="256" t="str">
        <f t="shared" si="18"/>
        <v/>
      </c>
      <c r="J157" s="256" t="str">
        <f t="shared" si="19"/>
        <v/>
      </c>
      <c r="K157" s="256" t="str">
        <f>IF(B157="","Pending",IF(M157="","⚠️ Enter Code",IF(IFERROR(VLOOKUP(L157,DB_Agents!$B:$I,8,0),"")=M157,"Pending","🔒 BLOCKED — Wrong Code")))</f>
        <v>Pending</v>
      </c>
      <c r="L157" s="256" t="s">
        <v>137</v>
      </c>
      <c r="M157" s="252"/>
      <c r="N157" s="257"/>
    </row>
    <row r="158" spans="1:14" ht="18" customHeight="1" x14ac:dyDescent="0.25">
      <c r="A158" s="253" t="str">
        <f t="shared" si="16"/>
        <v/>
      </c>
      <c r="B158" s="254"/>
      <c r="C158" s="254" t="str">
        <f>IF(B158="","",IFERROR(VLOOKUP(B158,DB_Customers!$A:$D,4,0),"❌ Account Not Found"))</f>
        <v/>
      </c>
      <c r="D158" s="253" t="str">
        <f t="shared" ca="1" si="17"/>
        <v/>
      </c>
      <c r="E158" s="254"/>
      <c r="F158" s="254"/>
      <c r="G158" s="253"/>
      <c r="H158" s="255">
        <v>2.5</v>
      </c>
      <c r="I158" s="253" t="str">
        <f t="shared" si="18"/>
        <v/>
      </c>
      <c r="J158" s="253" t="str">
        <f t="shared" si="19"/>
        <v/>
      </c>
      <c r="K158" s="253" t="str">
        <f>IF(B158="","Pending",IF(M158="","⚠️ Enter Code",IF(IFERROR(VLOOKUP(L158,DB_Agents!$B:$I,8,0),"")=M158,"Pending","🔒 BLOCKED — Wrong Code")))</f>
        <v>Pending</v>
      </c>
      <c r="L158" s="253" t="s">
        <v>137</v>
      </c>
      <c r="M158" s="240"/>
      <c r="N158" s="254"/>
    </row>
    <row r="159" spans="1:14" ht="18" customHeight="1" x14ac:dyDescent="0.25">
      <c r="A159" s="256" t="str">
        <f t="shared" si="16"/>
        <v/>
      </c>
      <c r="B159" s="257"/>
      <c r="C159" s="257" t="str">
        <f>IF(B159="","",IFERROR(VLOOKUP(B159,DB_Customers!$A:$D,4,0),"❌ Account Not Found"))</f>
        <v/>
      </c>
      <c r="D159" s="256" t="str">
        <f t="shared" ca="1" si="17"/>
        <v/>
      </c>
      <c r="E159" s="257"/>
      <c r="F159" s="257"/>
      <c r="G159" s="256"/>
      <c r="H159" s="258">
        <v>2.5</v>
      </c>
      <c r="I159" s="256" t="str">
        <f t="shared" si="18"/>
        <v/>
      </c>
      <c r="J159" s="256" t="str">
        <f t="shared" si="19"/>
        <v/>
      </c>
      <c r="K159" s="256" t="str">
        <f>IF(B159="","Pending",IF(M159="","⚠️ Enter Code",IF(IFERROR(VLOOKUP(L159,DB_Agents!$B:$I,8,0),"")=M159,"Pending","🔒 BLOCKED — Wrong Code")))</f>
        <v>Pending</v>
      </c>
      <c r="L159" s="256" t="s">
        <v>137</v>
      </c>
      <c r="M159" s="252"/>
      <c r="N159" s="257"/>
    </row>
    <row r="160" spans="1:14" ht="18" customHeight="1" x14ac:dyDescent="0.25">
      <c r="A160" s="253" t="str">
        <f t="shared" si="16"/>
        <v/>
      </c>
      <c r="B160" s="254"/>
      <c r="C160" s="254" t="str">
        <f>IF(B160="","",IFERROR(VLOOKUP(B160,DB_Customers!$A:$D,4,0),"❌ Account Not Found"))</f>
        <v/>
      </c>
      <c r="D160" s="253" t="str">
        <f t="shared" ca="1" si="17"/>
        <v/>
      </c>
      <c r="E160" s="254"/>
      <c r="F160" s="254"/>
      <c r="G160" s="253"/>
      <c r="H160" s="255">
        <v>2.5</v>
      </c>
      <c r="I160" s="253" t="str">
        <f t="shared" si="18"/>
        <v/>
      </c>
      <c r="J160" s="253" t="str">
        <f t="shared" si="19"/>
        <v/>
      </c>
      <c r="K160" s="253" t="str">
        <f>IF(B160="","Pending",IF(M160="","⚠️ Enter Code",IF(IFERROR(VLOOKUP(L160,DB_Agents!$B:$I,8,0),"")=M160,"Pending","🔒 BLOCKED — Wrong Code")))</f>
        <v>Pending</v>
      </c>
      <c r="L160" s="253" t="s">
        <v>137</v>
      </c>
      <c r="M160" s="240"/>
      <c r="N160" s="254"/>
    </row>
    <row r="161" spans="1:14" ht="18" customHeight="1" x14ac:dyDescent="0.25">
      <c r="A161" s="256" t="str">
        <f t="shared" si="16"/>
        <v/>
      </c>
      <c r="B161" s="257"/>
      <c r="C161" s="257" t="str">
        <f>IF(B161="","",IFERROR(VLOOKUP(B161,DB_Customers!$A:$D,4,0),"❌ Account Not Found"))</f>
        <v/>
      </c>
      <c r="D161" s="256" t="str">
        <f t="shared" ca="1" si="17"/>
        <v/>
      </c>
      <c r="E161" s="257"/>
      <c r="F161" s="257"/>
      <c r="G161" s="256"/>
      <c r="H161" s="258">
        <v>2.5</v>
      </c>
      <c r="I161" s="256" t="str">
        <f t="shared" si="18"/>
        <v/>
      </c>
      <c r="J161" s="256" t="str">
        <f t="shared" si="19"/>
        <v/>
      </c>
      <c r="K161" s="256" t="str">
        <f>IF(B161="","Pending",IF(M161="","⚠️ Enter Code",IF(IFERROR(VLOOKUP(L161,DB_Agents!$B:$I,8,0),"")=M161,"Pending","🔒 BLOCKED — Wrong Code")))</f>
        <v>Pending</v>
      </c>
      <c r="L161" s="256" t="s">
        <v>137</v>
      </c>
      <c r="M161" s="252"/>
      <c r="N161" s="257"/>
    </row>
    <row r="162" spans="1:14" ht="18" customHeight="1" x14ac:dyDescent="0.25">
      <c r="A162" s="253" t="str">
        <f t="shared" si="16"/>
        <v/>
      </c>
      <c r="B162" s="254"/>
      <c r="C162" s="254" t="str">
        <f>IF(B162="","",IFERROR(VLOOKUP(B162,DB_Customers!$A:$D,4,0),"❌ Account Not Found"))</f>
        <v/>
      </c>
      <c r="D162" s="253" t="str">
        <f t="shared" ca="1" si="17"/>
        <v/>
      </c>
      <c r="E162" s="254"/>
      <c r="F162" s="254"/>
      <c r="G162" s="253"/>
      <c r="H162" s="255">
        <v>2.5</v>
      </c>
      <c r="I162" s="253" t="str">
        <f t="shared" si="18"/>
        <v/>
      </c>
      <c r="J162" s="253" t="str">
        <f t="shared" si="19"/>
        <v/>
      </c>
      <c r="K162" s="253" t="str">
        <f>IF(B162="","Pending",IF(M162="","⚠️ Enter Code",IF(IFERROR(VLOOKUP(L162,DB_Agents!$B:$I,8,0),"")=M162,"Pending","🔒 BLOCKED — Wrong Code")))</f>
        <v>Pending</v>
      </c>
      <c r="L162" s="253" t="s">
        <v>137</v>
      </c>
      <c r="M162" s="240"/>
      <c r="N162" s="254"/>
    </row>
    <row r="163" spans="1:14" ht="18" customHeight="1" x14ac:dyDescent="0.25">
      <c r="A163" s="256" t="str">
        <f t="shared" si="16"/>
        <v/>
      </c>
      <c r="B163" s="257"/>
      <c r="C163" s="257" t="str">
        <f>IF(B163="","",IFERROR(VLOOKUP(B163,DB_Customers!$A:$D,4,0),"❌ Account Not Found"))</f>
        <v/>
      </c>
      <c r="D163" s="256" t="str">
        <f t="shared" ca="1" si="17"/>
        <v/>
      </c>
      <c r="E163" s="257"/>
      <c r="F163" s="257"/>
      <c r="G163" s="256"/>
      <c r="H163" s="258">
        <v>2.5</v>
      </c>
      <c r="I163" s="256" t="str">
        <f t="shared" si="18"/>
        <v/>
      </c>
      <c r="J163" s="256" t="str">
        <f t="shared" si="19"/>
        <v/>
      </c>
      <c r="K163" s="256" t="str">
        <f>IF(B163="","Pending",IF(M163="","⚠️ Enter Code",IF(IFERROR(VLOOKUP(L163,DB_Agents!$B:$I,8,0),"")=M163,"Pending","🔒 BLOCKED — Wrong Code")))</f>
        <v>Pending</v>
      </c>
      <c r="L163" s="256" t="s">
        <v>137</v>
      </c>
      <c r="M163" s="252"/>
      <c r="N163" s="257"/>
    </row>
    <row r="164" spans="1:14" ht="18" customHeight="1" x14ac:dyDescent="0.25">
      <c r="A164" s="253" t="str">
        <f t="shared" si="16"/>
        <v/>
      </c>
      <c r="B164" s="254"/>
      <c r="C164" s="254" t="str">
        <f>IF(B164="","",IFERROR(VLOOKUP(B164,DB_Customers!$A:$D,4,0),"❌ Account Not Found"))</f>
        <v/>
      </c>
      <c r="D164" s="253" t="str">
        <f t="shared" ca="1" si="17"/>
        <v/>
      </c>
      <c r="E164" s="254"/>
      <c r="F164" s="254"/>
      <c r="G164" s="253"/>
      <c r="H164" s="255">
        <v>2.5</v>
      </c>
      <c r="I164" s="253" t="str">
        <f t="shared" si="18"/>
        <v/>
      </c>
      <c r="J164" s="253" t="str">
        <f t="shared" si="19"/>
        <v/>
      </c>
      <c r="K164" s="253" t="str">
        <f>IF(B164="","Pending",IF(M164="","⚠️ Enter Code",IF(IFERROR(VLOOKUP(L164,DB_Agents!$B:$I,8,0),"")=M164,"Pending","🔒 BLOCKED — Wrong Code")))</f>
        <v>Pending</v>
      </c>
      <c r="L164" s="253" t="s">
        <v>137</v>
      </c>
      <c r="M164" s="240"/>
      <c r="N164" s="254"/>
    </row>
    <row r="165" spans="1:14" ht="18" customHeight="1" x14ac:dyDescent="0.25">
      <c r="A165" s="256" t="str">
        <f t="shared" si="16"/>
        <v/>
      </c>
      <c r="B165" s="257"/>
      <c r="C165" s="257" t="str">
        <f>IF(B165="","",IFERROR(VLOOKUP(B165,DB_Customers!$A:$D,4,0),"❌ Account Not Found"))</f>
        <v/>
      </c>
      <c r="D165" s="256" t="str">
        <f t="shared" ca="1" si="17"/>
        <v/>
      </c>
      <c r="E165" s="257"/>
      <c r="F165" s="257"/>
      <c r="G165" s="256"/>
      <c r="H165" s="258">
        <v>2.5</v>
      </c>
      <c r="I165" s="256" t="str">
        <f t="shared" si="18"/>
        <v/>
      </c>
      <c r="J165" s="256" t="str">
        <f t="shared" si="19"/>
        <v/>
      </c>
      <c r="K165" s="256" t="str">
        <f>IF(B165="","Pending",IF(M165="","⚠️ Enter Code",IF(IFERROR(VLOOKUP(L165,DB_Agents!$B:$I,8,0),"")=M165,"Pending","🔒 BLOCKED — Wrong Code")))</f>
        <v>Pending</v>
      </c>
      <c r="L165" s="256" t="s">
        <v>137</v>
      </c>
      <c r="M165" s="252"/>
      <c r="N165" s="257"/>
    </row>
    <row r="166" spans="1:14" ht="18" customHeight="1" x14ac:dyDescent="0.25">
      <c r="A166" s="253" t="str">
        <f t="shared" si="16"/>
        <v/>
      </c>
      <c r="B166" s="254"/>
      <c r="C166" s="254" t="str">
        <f>IF(B166="","",IFERROR(VLOOKUP(B166,DB_Customers!$A:$D,4,0),"❌ Account Not Found"))</f>
        <v/>
      </c>
      <c r="D166" s="253" t="str">
        <f t="shared" ca="1" si="17"/>
        <v/>
      </c>
      <c r="E166" s="254"/>
      <c r="F166" s="254"/>
      <c r="G166" s="253"/>
      <c r="H166" s="255">
        <v>2.5</v>
      </c>
      <c r="I166" s="253" t="str">
        <f t="shared" si="18"/>
        <v/>
      </c>
      <c r="J166" s="253" t="str">
        <f t="shared" si="19"/>
        <v/>
      </c>
      <c r="K166" s="253" t="str">
        <f>IF(B166="","Pending",IF(M166="","⚠️ Enter Code",IF(IFERROR(VLOOKUP(L166,DB_Agents!$B:$I,8,0),"")=M166,"Pending","🔒 BLOCKED — Wrong Code")))</f>
        <v>Pending</v>
      </c>
      <c r="L166" s="253" t="s">
        <v>137</v>
      </c>
      <c r="M166" s="240"/>
      <c r="N166" s="254"/>
    </row>
    <row r="167" spans="1:14" ht="18" customHeight="1" x14ac:dyDescent="0.25">
      <c r="A167" s="256" t="str">
        <f t="shared" si="16"/>
        <v/>
      </c>
      <c r="B167" s="257"/>
      <c r="C167" s="257" t="str">
        <f>IF(B167="","",IFERROR(VLOOKUP(B167,DB_Customers!$A:$D,4,0),"❌ Account Not Found"))</f>
        <v/>
      </c>
      <c r="D167" s="256" t="str">
        <f t="shared" ca="1" si="17"/>
        <v/>
      </c>
      <c r="E167" s="257"/>
      <c r="F167" s="257"/>
      <c r="G167" s="256"/>
      <c r="H167" s="258">
        <v>2.5</v>
      </c>
      <c r="I167" s="256" t="str">
        <f t="shared" si="18"/>
        <v/>
      </c>
      <c r="J167" s="256" t="str">
        <f t="shared" si="19"/>
        <v/>
      </c>
      <c r="K167" s="256" t="str">
        <f>IF(B167="","Pending",IF(M167="","⚠️ Enter Code",IF(IFERROR(VLOOKUP(L167,DB_Agents!$B:$I,8,0),"")=M167,"Pending","🔒 BLOCKED — Wrong Code")))</f>
        <v>Pending</v>
      </c>
      <c r="L167" s="256" t="s">
        <v>137</v>
      </c>
      <c r="M167" s="252"/>
      <c r="N167" s="257"/>
    </row>
    <row r="168" spans="1:14" ht="18" customHeight="1" x14ac:dyDescent="0.25">
      <c r="A168" s="253" t="str">
        <f t="shared" si="16"/>
        <v/>
      </c>
      <c r="B168" s="254"/>
      <c r="C168" s="254" t="str">
        <f>IF(B168="","",IFERROR(VLOOKUP(B168,DB_Customers!$A:$D,4,0),"❌ Account Not Found"))</f>
        <v/>
      </c>
      <c r="D168" s="253" t="str">
        <f t="shared" ca="1" si="17"/>
        <v/>
      </c>
      <c r="E168" s="254"/>
      <c r="F168" s="254"/>
      <c r="G168" s="253"/>
      <c r="H168" s="255">
        <v>2.5</v>
      </c>
      <c r="I168" s="253" t="str">
        <f t="shared" si="18"/>
        <v/>
      </c>
      <c r="J168" s="253" t="str">
        <f t="shared" si="19"/>
        <v/>
      </c>
      <c r="K168" s="253" t="str">
        <f>IF(B168="","Pending",IF(M168="","⚠️ Enter Code",IF(IFERROR(VLOOKUP(L168,DB_Agents!$B:$I,8,0),"")=M168,"Pending","🔒 BLOCKED — Wrong Code")))</f>
        <v>Pending</v>
      </c>
      <c r="L168" s="253" t="s">
        <v>137</v>
      </c>
      <c r="M168" s="240"/>
      <c r="N168" s="254"/>
    </row>
    <row r="169" spans="1:14" ht="18" customHeight="1" x14ac:dyDescent="0.25">
      <c r="A169" s="256" t="str">
        <f t="shared" si="16"/>
        <v/>
      </c>
      <c r="B169" s="257"/>
      <c r="C169" s="257" t="str">
        <f>IF(B169="","",IFERROR(VLOOKUP(B169,DB_Customers!$A:$D,4,0),"❌ Account Not Found"))</f>
        <v/>
      </c>
      <c r="D169" s="256" t="str">
        <f t="shared" ca="1" si="17"/>
        <v/>
      </c>
      <c r="E169" s="257"/>
      <c r="F169" s="257"/>
      <c r="G169" s="256"/>
      <c r="H169" s="258">
        <v>2.5</v>
      </c>
      <c r="I169" s="256" t="str">
        <f t="shared" si="18"/>
        <v/>
      </c>
      <c r="J169" s="256" t="str">
        <f t="shared" si="19"/>
        <v/>
      </c>
      <c r="K169" s="256" t="str">
        <f>IF(B169="","Pending",IF(M169="","⚠️ Enter Code",IF(IFERROR(VLOOKUP(L169,DB_Agents!$B:$I,8,0),"")=M169,"Pending","🔒 BLOCKED — Wrong Code")))</f>
        <v>Pending</v>
      </c>
      <c r="L169" s="256" t="s">
        <v>137</v>
      </c>
      <c r="M169" s="252"/>
      <c r="N169" s="257"/>
    </row>
    <row r="170" spans="1:14" ht="18" customHeight="1" x14ac:dyDescent="0.25">
      <c r="A170" s="253" t="str">
        <f t="shared" si="16"/>
        <v/>
      </c>
      <c r="B170" s="254"/>
      <c r="C170" s="254" t="str">
        <f>IF(B170="","",IFERROR(VLOOKUP(B170,DB_Customers!$A:$D,4,0),"❌ Account Not Found"))</f>
        <v/>
      </c>
      <c r="D170" s="253" t="str">
        <f t="shared" ca="1" si="17"/>
        <v/>
      </c>
      <c r="E170" s="254"/>
      <c r="F170" s="254"/>
      <c r="G170" s="253"/>
      <c r="H170" s="255">
        <v>2.5</v>
      </c>
      <c r="I170" s="253" t="str">
        <f t="shared" si="18"/>
        <v/>
      </c>
      <c r="J170" s="253" t="str">
        <f t="shared" si="19"/>
        <v/>
      </c>
      <c r="K170" s="253" t="str">
        <f>IF(B170="","Pending",IF(M170="","⚠️ Enter Code",IF(IFERROR(VLOOKUP(L170,DB_Agents!$B:$I,8,0),"")=M170,"Pending","🔒 BLOCKED — Wrong Code")))</f>
        <v>Pending</v>
      </c>
      <c r="L170" s="253" t="s">
        <v>137</v>
      </c>
      <c r="M170" s="240"/>
      <c r="N170" s="254"/>
    </row>
    <row r="171" spans="1:14" ht="18" customHeight="1" x14ac:dyDescent="0.25">
      <c r="A171" s="256" t="str">
        <f t="shared" si="16"/>
        <v/>
      </c>
      <c r="B171" s="257"/>
      <c r="C171" s="257" t="str">
        <f>IF(B171="","",IFERROR(VLOOKUP(B171,DB_Customers!$A:$D,4,0),"❌ Account Not Found"))</f>
        <v/>
      </c>
      <c r="D171" s="256" t="str">
        <f t="shared" ca="1" si="17"/>
        <v/>
      </c>
      <c r="E171" s="257"/>
      <c r="F171" s="257"/>
      <c r="G171" s="256"/>
      <c r="H171" s="258">
        <v>2.5</v>
      </c>
      <c r="I171" s="256" t="str">
        <f t="shared" si="18"/>
        <v/>
      </c>
      <c r="J171" s="256" t="str">
        <f t="shared" si="19"/>
        <v/>
      </c>
      <c r="K171" s="256" t="str">
        <f>IF(B171="","Pending",IF(M171="","⚠️ Enter Code",IF(IFERROR(VLOOKUP(L171,DB_Agents!$B:$I,8,0),"")=M171,"Pending","🔒 BLOCKED — Wrong Code")))</f>
        <v>Pending</v>
      </c>
      <c r="L171" s="256" t="s">
        <v>137</v>
      </c>
      <c r="M171" s="252"/>
      <c r="N171" s="257"/>
    </row>
    <row r="172" spans="1:14" ht="18" customHeight="1" x14ac:dyDescent="0.25">
      <c r="A172" s="253" t="str">
        <f t="shared" si="16"/>
        <v/>
      </c>
      <c r="B172" s="254"/>
      <c r="C172" s="254" t="str">
        <f>IF(B172="","",IFERROR(VLOOKUP(B172,DB_Customers!$A:$D,4,0),"❌ Account Not Found"))</f>
        <v/>
      </c>
      <c r="D172" s="253" t="str">
        <f t="shared" ca="1" si="17"/>
        <v/>
      </c>
      <c r="E172" s="254"/>
      <c r="F172" s="254"/>
      <c r="G172" s="253"/>
      <c r="H172" s="255">
        <v>2.5</v>
      </c>
      <c r="I172" s="253" t="str">
        <f t="shared" si="18"/>
        <v/>
      </c>
      <c r="J172" s="253" t="str">
        <f t="shared" si="19"/>
        <v/>
      </c>
      <c r="K172" s="253" t="str">
        <f>IF(B172="","Pending",IF(M172="","⚠️ Enter Code",IF(IFERROR(VLOOKUP(L172,DB_Agents!$B:$I,8,0),"")=M172,"Pending","🔒 BLOCKED — Wrong Code")))</f>
        <v>Pending</v>
      </c>
      <c r="L172" s="253" t="s">
        <v>137</v>
      </c>
      <c r="M172" s="240"/>
      <c r="N172" s="254"/>
    </row>
    <row r="173" spans="1:14" ht="18" customHeight="1" x14ac:dyDescent="0.25">
      <c r="A173" s="256" t="str">
        <f t="shared" si="16"/>
        <v/>
      </c>
      <c r="B173" s="257"/>
      <c r="C173" s="257" t="str">
        <f>IF(B173="","",IFERROR(VLOOKUP(B173,DB_Customers!$A:$D,4,0),"❌ Account Not Found"))</f>
        <v/>
      </c>
      <c r="D173" s="256" t="str">
        <f t="shared" ca="1" si="17"/>
        <v/>
      </c>
      <c r="E173" s="257"/>
      <c r="F173" s="257"/>
      <c r="G173" s="256"/>
      <c r="H173" s="258">
        <v>2.5</v>
      </c>
      <c r="I173" s="256" t="str">
        <f t="shared" si="18"/>
        <v/>
      </c>
      <c r="J173" s="256" t="str">
        <f t="shared" si="19"/>
        <v/>
      </c>
      <c r="K173" s="256" t="str">
        <f>IF(B173="","Pending",IF(M173="","⚠️ Enter Code",IF(IFERROR(VLOOKUP(L173,DB_Agents!$B:$I,8,0),"")=M173,"Pending","🔒 BLOCKED — Wrong Code")))</f>
        <v>Pending</v>
      </c>
      <c r="L173" s="256" t="s">
        <v>137</v>
      </c>
      <c r="M173" s="252"/>
      <c r="N173" s="257"/>
    </row>
    <row r="174" spans="1:14" ht="18" customHeight="1" x14ac:dyDescent="0.25">
      <c r="A174" s="253" t="str">
        <f t="shared" ref="A174:A205" si="20">IF(B174="","",IF(C174="❌ Account Not Found","INVALID","LN"&amp;TEXT(D174,"YYYYMMDD")&amp;TEXT(ROW()-13,"0000")))</f>
        <v/>
      </c>
      <c r="B174" s="254"/>
      <c r="C174" s="254" t="str">
        <f>IF(B174="","",IFERROR(VLOOKUP(B174,DB_Customers!$A:$D,4,0),"❌ Account Not Found"))</f>
        <v/>
      </c>
      <c r="D174" s="253" t="str">
        <f t="shared" ref="D174:D205" ca="1" si="21">IF(B174="","",TODAY())</f>
        <v/>
      </c>
      <c r="E174" s="254"/>
      <c r="F174" s="254"/>
      <c r="G174" s="253"/>
      <c r="H174" s="255">
        <v>2.5</v>
      </c>
      <c r="I174" s="253" t="str">
        <f t="shared" ref="I174:I205" si="22">IF(E174="","",E174+(E174*H174/100*G174))</f>
        <v/>
      </c>
      <c r="J174" s="253" t="str">
        <f t="shared" ref="J174:J205" si="23">IFERROR(I174/G174,"")</f>
        <v/>
      </c>
      <c r="K174" s="253" t="str">
        <f>IF(B174="","Pending",IF(M174="","⚠️ Enter Code",IF(IFERROR(VLOOKUP(L174,DB_Agents!$B:$I,8,0),"")=M174,"Pending","🔒 BLOCKED — Wrong Code")))</f>
        <v>Pending</v>
      </c>
      <c r="L174" s="253" t="s">
        <v>137</v>
      </c>
      <c r="M174" s="240"/>
      <c r="N174" s="254"/>
    </row>
    <row r="175" spans="1:14" ht="18" customHeight="1" x14ac:dyDescent="0.25">
      <c r="A175" s="256" t="str">
        <f t="shared" si="20"/>
        <v/>
      </c>
      <c r="B175" s="257"/>
      <c r="C175" s="257" t="str">
        <f>IF(B175="","",IFERROR(VLOOKUP(B175,DB_Customers!$A:$D,4,0),"❌ Account Not Found"))</f>
        <v/>
      </c>
      <c r="D175" s="256" t="str">
        <f t="shared" ca="1" si="21"/>
        <v/>
      </c>
      <c r="E175" s="257"/>
      <c r="F175" s="257"/>
      <c r="G175" s="256"/>
      <c r="H175" s="258">
        <v>2.5</v>
      </c>
      <c r="I175" s="256" t="str">
        <f t="shared" si="22"/>
        <v/>
      </c>
      <c r="J175" s="256" t="str">
        <f t="shared" si="23"/>
        <v/>
      </c>
      <c r="K175" s="256" t="str">
        <f>IF(B175="","Pending",IF(M175="","⚠️ Enter Code",IF(IFERROR(VLOOKUP(L175,DB_Agents!$B:$I,8,0),"")=M175,"Pending","🔒 BLOCKED — Wrong Code")))</f>
        <v>Pending</v>
      </c>
      <c r="L175" s="256" t="s">
        <v>137</v>
      </c>
      <c r="M175" s="252"/>
      <c r="N175" s="257"/>
    </row>
    <row r="176" spans="1:14" ht="18" customHeight="1" x14ac:dyDescent="0.25">
      <c r="A176" s="253" t="str">
        <f t="shared" si="20"/>
        <v/>
      </c>
      <c r="B176" s="254"/>
      <c r="C176" s="254" t="str">
        <f>IF(B176="","",IFERROR(VLOOKUP(B176,DB_Customers!$A:$D,4,0),"❌ Account Not Found"))</f>
        <v/>
      </c>
      <c r="D176" s="253" t="str">
        <f t="shared" ca="1" si="21"/>
        <v/>
      </c>
      <c r="E176" s="254"/>
      <c r="F176" s="254"/>
      <c r="G176" s="253"/>
      <c r="H176" s="255">
        <v>2.5</v>
      </c>
      <c r="I176" s="253" t="str">
        <f t="shared" si="22"/>
        <v/>
      </c>
      <c r="J176" s="253" t="str">
        <f t="shared" si="23"/>
        <v/>
      </c>
      <c r="K176" s="253" t="str">
        <f>IF(B176="","Pending",IF(M176="","⚠️ Enter Code",IF(IFERROR(VLOOKUP(L176,DB_Agents!$B:$I,8,0),"")=M176,"Pending","🔒 BLOCKED — Wrong Code")))</f>
        <v>Pending</v>
      </c>
      <c r="L176" s="253" t="s">
        <v>137</v>
      </c>
      <c r="M176" s="240"/>
      <c r="N176" s="254"/>
    </row>
    <row r="177" spans="1:14" ht="18" customHeight="1" x14ac:dyDescent="0.25">
      <c r="A177" s="256" t="str">
        <f t="shared" si="20"/>
        <v/>
      </c>
      <c r="B177" s="257"/>
      <c r="C177" s="257" t="str">
        <f>IF(B177="","",IFERROR(VLOOKUP(B177,DB_Customers!$A:$D,4,0),"❌ Account Not Found"))</f>
        <v/>
      </c>
      <c r="D177" s="256" t="str">
        <f t="shared" ca="1" si="21"/>
        <v/>
      </c>
      <c r="E177" s="257"/>
      <c r="F177" s="257"/>
      <c r="G177" s="256"/>
      <c r="H177" s="258">
        <v>2.5</v>
      </c>
      <c r="I177" s="256" t="str">
        <f t="shared" si="22"/>
        <v/>
      </c>
      <c r="J177" s="256" t="str">
        <f t="shared" si="23"/>
        <v/>
      </c>
      <c r="K177" s="256" t="str">
        <f>IF(B177="","Pending",IF(M177="","⚠️ Enter Code",IF(IFERROR(VLOOKUP(L177,DB_Agents!$B:$I,8,0),"")=M177,"Pending","🔒 BLOCKED — Wrong Code")))</f>
        <v>Pending</v>
      </c>
      <c r="L177" s="256" t="s">
        <v>137</v>
      </c>
      <c r="M177" s="252"/>
      <c r="N177" s="257"/>
    </row>
    <row r="178" spans="1:14" ht="18" customHeight="1" x14ac:dyDescent="0.25">
      <c r="A178" s="253" t="str">
        <f t="shared" si="20"/>
        <v/>
      </c>
      <c r="B178" s="254"/>
      <c r="C178" s="254" t="str">
        <f>IF(B178="","",IFERROR(VLOOKUP(B178,DB_Customers!$A:$D,4,0),"❌ Account Not Found"))</f>
        <v/>
      </c>
      <c r="D178" s="253" t="str">
        <f t="shared" ca="1" si="21"/>
        <v/>
      </c>
      <c r="E178" s="254"/>
      <c r="F178" s="254"/>
      <c r="G178" s="253"/>
      <c r="H178" s="255">
        <v>2.5</v>
      </c>
      <c r="I178" s="253" t="str">
        <f t="shared" si="22"/>
        <v/>
      </c>
      <c r="J178" s="253" t="str">
        <f t="shared" si="23"/>
        <v/>
      </c>
      <c r="K178" s="253" t="str">
        <f>IF(B178="","Pending",IF(M178="","⚠️ Enter Code",IF(IFERROR(VLOOKUP(L178,DB_Agents!$B:$I,8,0),"")=M178,"Pending","🔒 BLOCKED — Wrong Code")))</f>
        <v>Pending</v>
      </c>
      <c r="L178" s="253" t="s">
        <v>137</v>
      </c>
      <c r="M178" s="240"/>
      <c r="N178" s="254"/>
    </row>
    <row r="179" spans="1:14" ht="18" customHeight="1" x14ac:dyDescent="0.25">
      <c r="A179" s="256" t="str">
        <f t="shared" si="20"/>
        <v/>
      </c>
      <c r="B179" s="257"/>
      <c r="C179" s="257" t="str">
        <f>IF(B179="","",IFERROR(VLOOKUP(B179,DB_Customers!$A:$D,4,0),"❌ Account Not Found"))</f>
        <v/>
      </c>
      <c r="D179" s="256" t="str">
        <f t="shared" ca="1" si="21"/>
        <v/>
      </c>
      <c r="E179" s="257"/>
      <c r="F179" s="257"/>
      <c r="G179" s="256"/>
      <c r="H179" s="258">
        <v>2.5</v>
      </c>
      <c r="I179" s="256" t="str">
        <f t="shared" si="22"/>
        <v/>
      </c>
      <c r="J179" s="256" t="str">
        <f t="shared" si="23"/>
        <v/>
      </c>
      <c r="K179" s="256" t="str">
        <f>IF(B179="","Pending",IF(M179="","⚠️ Enter Code",IF(IFERROR(VLOOKUP(L179,DB_Agents!$B:$I,8,0),"")=M179,"Pending","🔒 BLOCKED — Wrong Code")))</f>
        <v>Pending</v>
      </c>
      <c r="L179" s="256" t="s">
        <v>137</v>
      </c>
      <c r="M179" s="252"/>
      <c r="N179" s="257"/>
    </row>
    <row r="180" spans="1:14" ht="18" customHeight="1" x14ac:dyDescent="0.25">
      <c r="A180" s="253" t="str">
        <f t="shared" si="20"/>
        <v/>
      </c>
      <c r="B180" s="254"/>
      <c r="C180" s="254" t="str">
        <f>IF(B180="","",IFERROR(VLOOKUP(B180,DB_Customers!$A:$D,4,0),"❌ Account Not Found"))</f>
        <v/>
      </c>
      <c r="D180" s="253" t="str">
        <f t="shared" ca="1" si="21"/>
        <v/>
      </c>
      <c r="E180" s="254"/>
      <c r="F180" s="254"/>
      <c r="G180" s="253"/>
      <c r="H180" s="255">
        <v>2.5</v>
      </c>
      <c r="I180" s="253" t="str">
        <f t="shared" si="22"/>
        <v/>
      </c>
      <c r="J180" s="253" t="str">
        <f t="shared" si="23"/>
        <v/>
      </c>
      <c r="K180" s="253" t="str">
        <f>IF(B180="","Pending",IF(M180="","⚠️ Enter Code",IF(IFERROR(VLOOKUP(L180,DB_Agents!$B:$I,8,0),"")=M180,"Pending","🔒 BLOCKED — Wrong Code")))</f>
        <v>Pending</v>
      </c>
      <c r="L180" s="253" t="s">
        <v>137</v>
      </c>
      <c r="M180" s="240"/>
      <c r="N180" s="254"/>
    </row>
    <row r="181" spans="1:14" ht="18" customHeight="1" x14ac:dyDescent="0.25">
      <c r="A181" s="256" t="str">
        <f t="shared" si="20"/>
        <v/>
      </c>
      <c r="B181" s="257"/>
      <c r="C181" s="257" t="str">
        <f>IF(B181="","",IFERROR(VLOOKUP(B181,DB_Customers!$A:$D,4,0),"❌ Account Not Found"))</f>
        <v/>
      </c>
      <c r="D181" s="256" t="str">
        <f t="shared" ca="1" si="21"/>
        <v/>
      </c>
      <c r="E181" s="257"/>
      <c r="F181" s="257"/>
      <c r="G181" s="256"/>
      <c r="H181" s="258">
        <v>2.5</v>
      </c>
      <c r="I181" s="256" t="str">
        <f t="shared" si="22"/>
        <v/>
      </c>
      <c r="J181" s="256" t="str">
        <f t="shared" si="23"/>
        <v/>
      </c>
      <c r="K181" s="256" t="str">
        <f>IF(B181="","Pending",IF(M181="","⚠️ Enter Code",IF(IFERROR(VLOOKUP(L181,DB_Agents!$B:$I,8,0),"")=M181,"Pending","🔒 BLOCKED — Wrong Code")))</f>
        <v>Pending</v>
      </c>
      <c r="L181" s="256" t="s">
        <v>137</v>
      </c>
      <c r="M181" s="252"/>
      <c r="N181" s="257"/>
    </row>
    <row r="182" spans="1:14" ht="18" customHeight="1" x14ac:dyDescent="0.25">
      <c r="A182" s="253" t="str">
        <f t="shared" si="20"/>
        <v/>
      </c>
      <c r="B182" s="254"/>
      <c r="C182" s="254" t="str">
        <f>IF(B182="","",IFERROR(VLOOKUP(B182,DB_Customers!$A:$D,4,0),"❌ Account Not Found"))</f>
        <v/>
      </c>
      <c r="D182" s="253" t="str">
        <f t="shared" ca="1" si="21"/>
        <v/>
      </c>
      <c r="E182" s="254"/>
      <c r="F182" s="254"/>
      <c r="G182" s="253"/>
      <c r="H182" s="255">
        <v>2.5</v>
      </c>
      <c r="I182" s="253" t="str">
        <f t="shared" si="22"/>
        <v/>
      </c>
      <c r="J182" s="253" t="str">
        <f t="shared" si="23"/>
        <v/>
      </c>
      <c r="K182" s="253" t="str">
        <f>IF(B182="","Pending",IF(M182="","⚠️ Enter Code",IF(IFERROR(VLOOKUP(L182,DB_Agents!$B:$I,8,0),"")=M182,"Pending","🔒 BLOCKED — Wrong Code")))</f>
        <v>Pending</v>
      </c>
      <c r="L182" s="253" t="s">
        <v>137</v>
      </c>
      <c r="M182" s="240"/>
      <c r="N182" s="254"/>
    </row>
    <row r="183" spans="1:14" ht="18" customHeight="1" x14ac:dyDescent="0.25">
      <c r="A183" s="256" t="str">
        <f t="shared" si="20"/>
        <v/>
      </c>
      <c r="B183" s="257"/>
      <c r="C183" s="257" t="str">
        <f>IF(B183="","",IFERROR(VLOOKUP(B183,DB_Customers!$A:$D,4,0),"❌ Account Not Found"))</f>
        <v/>
      </c>
      <c r="D183" s="256" t="str">
        <f t="shared" ca="1" si="21"/>
        <v/>
      </c>
      <c r="E183" s="257"/>
      <c r="F183" s="257"/>
      <c r="G183" s="256"/>
      <c r="H183" s="258">
        <v>2.5</v>
      </c>
      <c r="I183" s="256" t="str">
        <f t="shared" si="22"/>
        <v/>
      </c>
      <c r="J183" s="256" t="str">
        <f t="shared" si="23"/>
        <v/>
      </c>
      <c r="K183" s="256" t="str">
        <f>IF(B183="","Pending",IF(M183="","⚠️ Enter Code",IF(IFERROR(VLOOKUP(L183,DB_Agents!$B:$I,8,0),"")=M183,"Pending","🔒 BLOCKED — Wrong Code")))</f>
        <v>Pending</v>
      </c>
      <c r="L183" s="256" t="s">
        <v>137</v>
      </c>
      <c r="M183" s="252"/>
      <c r="N183" s="257"/>
    </row>
    <row r="184" spans="1:14" ht="18" customHeight="1" x14ac:dyDescent="0.25">
      <c r="A184" s="253" t="str">
        <f t="shared" si="20"/>
        <v/>
      </c>
      <c r="B184" s="254"/>
      <c r="C184" s="254" t="str">
        <f>IF(B184="","",IFERROR(VLOOKUP(B184,DB_Customers!$A:$D,4,0),"❌ Account Not Found"))</f>
        <v/>
      </c>
      <c r="D184" s="253" t="str">
        <f t="shared" ca="1" si="21"/>
        <v/>
      </c>
      <c r="E184" s="254"/>
      <c r="F184" s="254"/>
      <c r="G184" s="253"/>
      <c r="H184" s="255">
        <v>2.5</v>
      </c>
      <c r="I184" s="253" t="str">
        <f t="shared" si="22"/>
        <v/>
      </c>
      <c r="J184" s="253" t="str">
        <f t="shared" si="23"/>
        <v/>
      </c>
      <c r="K184" s="253" t="str">
        <f>IF(B184="","Pending",IF(M184="","⚠️ Enter Code",IF(IFERROR(VLOOKUP(L184,DB_Agents!$B:$I,8,0),"")=M184,"Pending","🔒 BLOCKED — Wrong Code")))</f>
        <v>Pending</v>
      </c>
      <c r="L184" s="253" t="s">
        <v>137</v>
      </c>
      <c r="M184" s="240"/>
      <c r="N184" s="254"/>
    </row>
    <row r="185" spans="1:14" ht="18" customHeight="1" x14ac:dyDescent="0.25">
      <c r="A185" s="256" t="str">
        <f t="shared" si="20"/>
        <v/>
      </c>
      <c r="B185" s="257"/>
      <c r="C185" s="257" t="str">
        <f>IF(B185="","",IFERROR(VLOOKUP(B185,DB_Customers!$A:$D,4,0),"❌ Account Not Found"))</f>
        <v/>
      </c>
      <c r="D185" s="256" t="str">
        <f t="shared" ca="1" si="21"/>
        <v/>
      </c>
      <c r="E185" s="257"/>
      <c r="F185" s="257"/>
      <c r="G185" s="256"/>
      <c r="H185" s="258">
        <v>2.5</v>
      </c>
      <c r="I185" s="256" t="str">
        <f t="shared" si="22"/>
        <v/>
      </c>
      <c r="J185" s="256" t="str">
        <f t="shared" si="23"/>
        <v/>
      </c>
      <c r="K185" s="256" t="str">
        <f>IF(B185="","Pending",IF(M185="","⚠️ Enter Code",IF(IFERROR(VLOOKUP(L185,DB_Agents!$B:$I,8,0),"")=M185,"Pending","🔒 BLOCKED — Wrong Code")))</f>
        <v>Pending</v>
      </c>
      <c r="L185" s="256" t="s">
        <v>137</v>
      </c>
      <c r="M185" s="252"/>
      <c r="N185" s="257"/>
    </row>
    <row r="186" spans="1:14" ht="18" customHeight="1" x14ac:dyDescent="0.25">
      <c r="A186" s="253" t="str">
        <f t="shared" si="20"/>
        <v/>
      </c>
      <c r="B186" s="254"/>
      <c r="C186" s="254" t="str">
        <f>IF(B186="","",IFERROR(VLOOKUP(B186,DB_Customers!$A:$D,4,0),"❌ Account Not Found"))</f>
        <v/>
      </c>
      <c r="D186" s="253" t="str">
        <f t="shared" ca="1" si="21"/>
        <v/>
      </c>
      <c r="E186" s="254"/>
      <c r="F186" s="254"/>
      <c r="G186" s="253"/>
      <c r="H186" s="255">
        <v>2.5</v>
      </c>
      <c r="I186" s="253" t="str">
        <f t="shared" si="22"/>
        <v/>
      </c>
      <c r="J186" s="253" t="str">
        <f t="shared" si="23"/>
        <v/>
      </c>
      <c r="K186" s="253" t="str">
        <f>IF(B186="","Pending",IF(M186="","⚠️ Enter Code",IF(IFERROR(VLOOKUP(L186,DB_Agents!$B:$I,8,0),"")=M186,"Pending","🔒 BLOCKED — Wrong Code")))</f>
        <v>Pending</v>
      </c>
      <c r="L186" s="253" t="s">
        <v>137</v>
      </c>
      <c r="M186" s="240"/>
      <c r="N186" s="254"/>
    </row>
    <row r="187" spans="1:14" ht="18" customHeight="1" x14ac:dyDescent="0.25">
      <c r="A187" s="256" t="str">
        <f t="shared" si="20"/>
        <v/>
      </c>
      <c r="B187" s="257"/>
      <c r="C187" s="257" t="str">
        <f>IF(B187="","",IFERROR(VLOOKUP(B187,DB_Customers!$A:$D,4,0),"❌ Account Not Found"))</f>
        <v/>
      </c>
      <c r="D187" s="256" t="str">
        <f t="shared" ca="1" si="21"/>
        <v/>
      </c>
      <c r="E187" s="257"/>
      <c r="F187" s="257"/>
      <c r="G187" s="256"/>
      <c r="H187" s="258">
        <v>2.5</v>
      </c>
      <c r="I187" s="256" t="str">
        <f t="shared" si="22"/>
        <v/>
      </c>
      <c r="J187" s="256" t="str">
        <f t="shared" si="23"/>
        <v/>
      </c>
      <c r="K187" s="256" t="str">
        <f>IF(B187="","Pending",IF(M187="","⚠️ Enter Code",IF(IFERROR(VLOOKUP(L187,DB_Agents!$B:$I,8,0),"")=M187,"Pending","🔒 BLOCKED — Wrong Code")))</f>
        <v>Pending</v>
      </c>
      <c r="L187" s="256" t="s">
        <v>137</v>
      </c>
      <c r="M187" s="252"/>
      <c r="N187" s="257"/>
    </row>
    <row r="188" spans="1:14" ht="18" customHeight="1" x14ac:dyDescent="0.25">
      <c r="A188" s="253" t="str">
        <f t="shared" si="20"/>
        <v/>
      </c>
      <c r="B188" s="254"/>
      <c r="C188" s="254" t="str">
        <f>IF(B188="","",IFERROR(VLOOKUP(B188,DB_Customers!$A:$D,4,0),"❌ Account Not Found"))</f>
        <v/>
      </c>
      <c r="D188" s="253" t="str">
        <f t="shared" ca="1" si="21"/>
        <v/>
      </c>
      <c r="E188" s="254"/>
      <c r="F188" s="254"/>
      <c r="G188" s="253"/>
      <c r="H188" s="255">
        <v>2.5</v>
      </c>
      <c r="I188" s="253" t="str">
        <f t="shared" si="22"/>
        <v/>
      </c>
      <c r="J188" s="253" t="str">
        <f t="shared" si="23"/>
        <v/>
      </c>
      <c r="K188" s="253" t="str">
        <f>IF(B188="","Pending",IF(M188="","⚠️ Enter Code",IF(IFERROR(VLOOKUP(L188,DB_Agents!$B:$I,8,0),"")=M188,"Pending","🔒 BLOCKED — Wrong Code")))</f>
        <v>Pending</v>
      </c>
      <c r="L188" s="253" t="s">
        <v>137</v>
      </c>
      <c r="M188" s="240"/>
      <c r="N188" s="254"/>
    </row>
    <row r="189" spans="1:14" ht="18" customHeight="1" x14ac:dyDescent="0.25">
      <c r="A189" s="256" t="str">
        <f t="shared" si="20"/>
        <v/>
      </c>
      <c r="B189" s="257"/>
      <c r="C189" s="257" t="str">
        <f>IF(B189="","",IFERROR(VLOOKUP(B189,DB_Customers!$A:$D,4,0),"❌ Account Not Found"))</f>
        <v/>
      </c>
      <c r="D189" s="256" t="str">
        <f t="shared" ca="1" si="21"/>
        <v/>
      </c>
      <c r="E189" s="257"/>
      <c r="F189" s="257"/>
      <c r="G189" s="256"/>
      <c r="H189" s="258">
        <v>2.5</v>
      </c>
      <c r="I189" s="256" t="str">
        <f t="shared" si="22"/>
        <v/>
      </c>
      <c r="J189" s="256" t="str">
        <f t="shared" si="23"/>
        <v/>
      </c>
      <c r="K189" s="256" t="str">
        <f>IF(B189="","Pending",IF(M189="","⚠️ Enter Code",IF(IFERROR(VLOOKUP(L189,DB_Agents!$B:$I,8,0),"")=M189,"Pending","🔒 BLOCKED — Wrong Code")))</f>
        <v>Pending</v>
      </c>
      <c r="L189" s="256" t="s">
        <v>137</v>
      </c>
      <c r="M189" s="252"/>
      <c r="N189" s="257"/>
    </row>
    <row r="190" spans="1:14" ht="18" customHeight="1" x14ac:dyDescent="0.25">
      <c r="A190" s="253" t="str">
        <f t="shared" si="20"/>
        <v/>
      </c>
      <c r="B190" s="254"/>
      <c r="C190" s="254" t="str">
        <f>IF(B190="","",IFERROR(VLOOKUP(B190,DB_Customers!$A:$D,4,0),"❌ Account Not Found"))</f>
        <v/>
      </c>
      <c r="D190" s="253" t="str">
        <f t="shared" ca="1" si="21"/>
        <v/>
      </c>
      <c r="E190" s="254"/>
      <c r="F190" s="254"/>
      <c r="G190" s="253"/>
      <c r="H190" s="255">
        <v>2.5</v>
      </c>
      <c r="I190" s="253" t="str">
        <f t="shared" si="22"/>
        <v/>
      </c>
      <c r="J190" s="253" t="str">
        <f t="shared" si="23"/>
        <v/>
      </c>
      <c r="K190" s="253" t="str">
        <f>IF(B190="","Pending",IF(M190="","⚠️ Enter Code",IF(IFERROR(VLOOKUP(L190,DB_Agents!$B:$I,8,0),"")=M190,"Pending","🔒 BLOCKED — Wrong Code")))</f>
        <v>Pending</v>
      </c>
      <c r="L190" s="253" t="s">
        <v>137</v>
      </c>
      <c r="M190" s="240"/>
      <c r="N190" s="254"/>
    </row>
    <row r="191" spans="1:14" ht="18" customHeight="1" x14ac:dyDescent="0.25">
      <c r="A191" s="256" t="str">
        <f t="shared" si="20"/>
        <v/>
      </c>
      <c r="B191" s="257"/>
      <c r="C191" s="257" t="str">
        <f>IF(B191="","",IFERROR(VLOOKUP(B191,DB_Customers!$A:$D,4,0),"❌ Account Not Found"))</f>
        <v/>
      </c>
      <c r="D191" s="256" t="str">
        <f t="shared" ca="1" si="21"/>
        <v/>
      </c>
      <c r="E191" s="257"/>
      <c r="F191" s="257"/>
      <c r="G191" s="256"/>
      <c r="H191" s="258">
        <v>2.5</v>
      </c>
      <c r="I191" s="256" t="str">
        <f t="shared" si="22"/>
        <v/>
      </c>
      <c r="J191" s="256" t="str">
        <f t="shared" si="23"/>
        <v/>
      </c>
      <c r="K191" s="256" t="str">
        <f>IF(B191="","Pending",IF(M191="","⚠️ Enter Code",IF(IFERROR(VLOOKUP(L191,DB_Agents!$B:$I,8,0),"")=M191,"Pending","🔒 BLOCKED — Wrong Code")))</f>
        <v>Pending</v>
      </c>
      <c r="L191" s="256" t="s">
        <v>137</v>
      </c>
      <c r="M191" s="252"/>
      <c r="N191" s="257"/>
    </row>
    <row r="192" spans="1:14" ht="18" customHeight="1" x14ac:dyDescent="0.25">
      <c r="A192" s="253" t="str">
        <f t="shared" si="20"/>
        <v/>
      </c>
      <c r="B192" s="254"/>
      <c r="C192" s="254" t="str">
        <f>IF(B192="","",IFERROR(VLOOKUP(B192,DB_Customers!$A:$D,4,0),"❌ Account Not Found"))</f>
        <v/>
      </c>
      <c r="D192" s="253" t="str">
        <f t="shared" ca="1" si="21"/>
        <v/>
      </c>
      <c r="E192" s="254"/>
      <c r="F192" s="254"/>
      <c r="G192" s="253"/>
      <c r="H192" s="255">
        <v>2.5</v>
      </c>
      <c r="I192" s="253" t="str">
        <f t="shared" si="22"/>
        <v/>
      </c>
      <c r="J192" s="253" t="str">
        <f t="shared" si="23"/>
        <v/>
      </c>
      <c r="K192" s="253" t="str">
        <f>IF(B192="","Pending",IF(M192="","⚠️ Enter Code",IF(IFERROR(VLOOKUP(L192,DB_Agents!$B:$I,8,0),"")=M192,"Pending","🔒 BLOCKED — Wrong Code")))</f>
        <v>Pending</v>
      </c>
      <c r="L192" s="253" t="s">
        <v>137</v>
      </c>
      <c r="M192" s="240"/>
      <c r="N192" s="254"/>
    </row>
    <row r="193" spans="1:14" ht="18" customHeight="1" x14ac:dyDescent="0.25">
      <c r="A193" s="256" t="str">
        <f t="shared" si="20"/>
        <v/>
      </c>
      <c r="B193" s="257"/>
      <c r="C193" s="257" t="str">
        <f>IF(B193="","",IFERROR(VLOOKUP(B193,DB_Customers!$A:$D,4,0),"❌ Account Not Found"))</f>
        <v/>
      </c>
      <c r="D193" s="256" t="str">
        <f t="shared" ca="1" si="21"/>
        <v/>
      </c>
      <c r="E193" s="257"/>
      <c r="F193" s="257"/>
      <c r="G193" s="256"/>
      <c r="H193" s="258">
        <v>2.5</v>
      </c>
      <c r="I193" s="256" t="str">
        <f t="shared" si="22"/>
        <v/>
      </c>
      <c r="J193" s="256" t="str">
        <f t="shared" si="23"/>
        <v/>
      </c>
      <c r="K193" s="256" t="str">
        <f>IF(B193="","Pending",IF(M193="","⚠️ Enter Code",IF(IFERROR(VLOOKUP(L193,DB_Agents!$B:$I,8,0),"")=M193,"Pending","🔒 BLOCKED — Wrong Code")))</f>
        <v>Pending</v>
      </c>
      <c r="L193" s="256" t="s">
        <v>137</v>
      </c>
      <c r="M193" s="252"/>
      <c r="N193" s="257"/>
    </row>
    <row r="194" spans="1:14" ht="18" customHeight="1" x14ac:dyDescent="0.25">
      <c r="A194" s="253" t="str">
        <f t="shared" si="20"/>
        <v/>
      </c>
      <c r="B194" s="254"/>
      <c r="C194" s="254" t="str">
        <f>IF(B194="","",IFERROR(VLOOKUP(B194,DB_Customers!$A:$D,4,0),"❌ Account Not Found"))</f>
        <v/>
      </c>
      <c r="D194" s="253" t="str">
        <f t="shared" ca="1" si="21"/>
        <v/>
      </c>
      <c r="E194" s="254"/>
      <c r="F194" s="254"/>
      <c r="G194" s="253"/>
      <c r="H194" s="255">
        <v>2.5</v>
      </c>
      <c r="I194" s="253" t="str">
        <f t="shared" si="22"/>
        <v/>
      </c>
      <c r="J194" s="253" t="str">
        <f t="shared" si="23"/>
        <v/>
      </c>
      <c r="K194" s="253" t="str">
        <f>IF(B194="","Pending",IF(M194="","⚠️ Enter Code",IF(IFERROR(VLOOKUP(L194,DB_Agents!$B:$I,8,0),"")=M194,"Pending","🔒 BLOCKED — Wrong Code")))</f>
        <v>Pending</v>
      </c>
      <c r="L194" s="253" t="s">
        <v>137</v>
      </c>
      <c r="M194" s="240"/>
      <c r="N194" s="254"/>
    </row>
    <row r="195" spans="1:14" ht="18" customHeight="1" x14ac:dyDescent="0.25">
      <c r="A195" s="256" t="str">
        <f t="shared" si="20"/>
        <v/>
      </c>
      <c r="B195" s="257"/>
      <c r="C195" s="257" t="str">
        <f>IF(B195="","",IFERROR(VLOOKUP(B195,DB_Customers!$A:$D,4,0),"❌ Account Not Found"))</f>
        <v/>
      </c>
      <c r="D195" s="256" t="str">
        <f t="shared" ca="1" si="21"/>
        <v/>
      </c>
      <c r="E195" s="257"/>
      <c r="F195" s="257"/>
      <c r="G195" s="256"/>
      <c r="H195" s="258">
        <v>2.5</v>
      </c>
      <c r="I195" s="256" t="str">
        <f t="shared" si="22"/>
        <v/>
      </c>
      <c r="J195" s="256" t="str">
        <f t="shared" si="23"/>
        <v/>
      </c>
      <c r="K195" s="256" t="str">
        <f>IF(B195="","Pending",IF(M195="","⚠️ Enter Code",IF(IFERROR(VLOOKUP(L195,DB_Agents!$B:$I,8,0),"")=M195,"Pending","🔒 BLOCKED — Wrong Code")))</f>
        <v>Pending</v>
      </c>
      <c r="L195" s="256" t="s">
        <v>137</v>
      </c>
      <c r="M195" s="252"/>
      <c r="N195" s="257"/>
    </row>
    <row r="196" spans="1:14" ht="18" customHeight="1" x14ac:dyDescent="0.25">
      <c r="A196" s="253" t="str">
        <f t="shared" si="20"/>
        <v/>
      </c>
      <c r="B196" s="254"/>
      <c r="C196" s="254" t="str">
        <f>IF(B196="","",IFERROR(VLOOKUP(B196,DB_Customers!$A:$D,4,0),"❌ Account Not Found"))</f>
        <v/>
      </c>
      <c r="D196" s="253" t="str">
        <f t="shared" ca="1" si="21"/>
        <v/>
      </c>
      <c r="E196" s="254"/>
      <c r="F196" s="254"/>
      <c r="G196" s="253"/>
      <c r="H196" s="255">
        <v>2.5</v>
      </c>
      <c r="I196" s="253" t="str">
        <f t="shared" si="22"/>
        <v/>
      </c>
      <c r="J196" s="253" t="str">
        <f t="shared" si="23"/>
        <v/>
      </c>
      <c r="K196" s="253" t="str">
        <f>IF(B196="","Pending",IF(M196="","⚠️ Enter Code",IF(IFERROR(VLOOKUP(L196,DB_Agents!$B:$I,8,0),"")=M196,"Pending","🔒 BLOCKED — Wrong Code")))</f>
        <v>Pending</v>
      </c>
      <c r="L196" s="253" t="s">
        <v>137</v>
      </c>
      <c r="M196" s="240"/>
      <c r="N196" s="254"/>
    </row>
    <row r="197" spans="1:14" ht="18" customHeight="1" x14ac:dyDescent="0.25">
      <c r="A197" s="256" t="str">
        <f t="shared" si="20"/>
        <v/>
      </c>
      <c r="B197" s="257"/>
      <c r="C197" s="257" t="str">
        <f>IF(B197="","",IFERROR(VLOOKUP(B197,DB_Customers!$A:$D,4,0),"❌ Account Not Found"))</f>
        <v/>
      </c>
      <c r="D197" s="256" t="str">
        <f t="shared" ca="1" si="21"/>
        <v/>
      </c>
      <c r="E197" s="257"/>
      <c r="F197" s="257"/>
      <c r="G197" s="256"/>
      <c r="H197" s="258">
        <v>2.5</v>
      </c>
      <c r="I197" s="256" t="str">
        <f t="shared" si="22"/>
        <v/>
      </c>
      <c r="J197" s="256" t="str">
        <f t="shared" si="23"/>
        <v/>
      </c>
      <c r="K197" s="256" t="str">
        <f>IF(B197="","Pending",IF(M197="","⚠️ Enter Code",IF(IFERROR(VLOOKUP(L197,DB_Agents!$B:$I,8,0),"")=M197,"Pending","🔒 BLOCKED — Wrong Code")))</f>
        <v>Pending</v>
      </c>
      <c r="L197" s="256" t="s">
        <v>137</v>
      </c>
      <c r="M197" s="252"/>
      <c r="N197" s="257"/>
    </row>
    <row r="198" spans="1:14" ht="18" customHeight="1" x14ac:dyDescent="0.25">
      <c r="A198" s="253" t="str">
        <f t="shared" si="20"/>
        <v/>
      </c>
      <c r="B198" s="254"/>
      <c r="C198" s="254" t="str">
        <f>IF(B198="","",IFERROR(VLOOKUP(B198,DB_Customers!$A:$D,4,0),"❌ Account Not Found"))</f>
        <v/>
      </c>
      <c r="D198" s="253" t="str">
        <f t="shared" ca="1" si="21"/>
        <v/>
      </c>
      <c r="E198" s="254"/>
      <c r="F198" s="254"/>
      <c r="G198" s="253"/>
      <c r="H198" s="255">
        <v>2.5</v>
      </c>
      <c r="I198" s="253" t="str">
        <f t="shared" si="22"/>
        <v/>
      </c>
      <c r="J198" s="253" t="str">
        <f t="shared" si="23"/>
        <v/>
      </c>
      <c r="K198" s="253" t="str">
        <f>IF(B198="","Pending",IF(M198="","⚠️ Enter Code",IF(IFERROR(VLOOKUP(L198,DB_Agents!$B:$I,8,0),"")=M198,"Pending","🔒 BLOCKED — Wrong Code")))</f>
        <v>Pending</v>
      </c>
      <c r="L198" s="253" t="s">
        <v>137</v>
      </c>
      <c r="M198" s="240"/>
      <c r="N198" s="254"/>
    </row>
    <row r="199" spans="1:14" ht="18" customHeight="1" x14ac:dyDescent="0.25">
      <c r="A199" s="256" t="str">
        <f t="shared" si="20"/>
        <v/>
      </c>
      <c r="B199" s="257"/>
      <c r="C199" s="257" t="str">
        <f>IF(B199="","",IFERROR(VLOOKUP(B199,DB_Customers!$A:$D,4,0),"❌ Account Not Found"))</f>
        <v/>
      </c>
      <c r="D199" s="256" t="str">
        <f t="shared" ca="1" si="21"/>
        <v/>
      </c>
      <c r="E199" s="257"/>
      <c r="F199" s="257"/>
      <c r="G199" s="256"/>
      <c r="H199" s="258">
        <v>2.5</v>
      </c>
      <c r="I199" s="256" t="str">
        <f t="shared" si="22"/>
        <v/>
      </c>
      <c r="J199" s="256" t="str">
        <f t="shared" si="23"/>
        <v/>
      </c>
      <c r="K199" s="256" t="str">
        <f>IF(B199="","Pending",IF(M199="","⚠️ Enter Code",IF(IFERROR(VLOOKUP(L199,DB_Agents!$B:$I,8,0),"")=M199,"Pending","🔒 BLOCKED — Wrong Code")))</f>
        <v>Pending</v>
      </c>
      <c r="L199" s="256" t="s">
        <v>137</v>
      </c>
      <c r="M199" s="252"/>
      <c r="N199" s="257"/>
    </row>
    <row r="200" spans="1:14" ht="18" customHeight="1" x14ac:dyDescent="0.25">
      <c r="A200" s="253" t="str">
        <f t="shared" si="20"/>
        <v/>
      </c>
      <c r="B200" s="254"/>
      <c r="C200" s="254" t="str">
        <f>IF(B200="","",IFERROR(VLOOKUP(B200,DB_Customers!$A:$D,4,0),"❌ Account Not Found"))</f>
        <v/>
      </c>
      <c r="D200" s="253" t="str">
        <f t="shared" ca="1" si="21"/>
        <v/>
      </c>
      <c r="E200" s="254"/>
      <c r="F200" s="254"/>
      <c r="G200" s="253"/>
      <c r="H200" s="255">
        <v>2.5</v>
      </c>
      <c r="I200" s="253" t="str">
        <f t="shared" si="22"/>
        <v/>
      </c>
      <c r="J200" s="253" t="str">
        <f t="shared" si="23"/>
        <v/>
      </c>
      <c r="K200" s="253" t="str">
        <f>IF(B200="","Pending",IF(M200="","⚠️ Enter Code",IF(IFERROR(VLOOKUP(L200,DB_Agents!$B:$I,8,0),"")=M200,"Pending","🔒 BLOCKED — Wrong Code")))</f>
        <v>Pending</v>
      </c>
      <c r="L200" s="253" t="s">
        <v>137</v>
      </c>
      <c r="M200" s="240"/>
      <c r="N200" s="254"/>
    </row>
    <row r="201" spans="1:14" ht="18" customHeight="1" x14ac:dyDescent="0.25">
      <c r="A201" s="256" t="str">
        <f t="shared" si="20"/>
        <v/>
      </c>
      <c r="B201" s="257"/>
      <c r="C201" s="257" t="str">
        <f>IF(B201="","",IFERROR(VLOOKUP(B201,DB_Customers!$A:$D,4,0),"❌ Account Not Found"))</f>
        <v/>
      </c>
      <c r="D201" s="256" t="str">
        <f t="shared" ca="1" si="21"/>
        <v/>
      </c>
      <c r="E201" s="257"/>
      <c r="F201" s="257"/>
      <c r="G201" s="256"/>
      <c r="H201" s="256">
        <v>2.5</v>
      </c>
      <c r="I201" s="256" t="str">
        <f t="shared" si="22"/>
        <v/>
      </c>
      <c r="J201" s="256" t="str">
        <f t="shared" si="23"/>
        <v/>
      </c>
      <c r="K201" s="256" t="str">
        <f>IF(B201="","Pending",IF(M201="","⚠️ Enter Code",IF(IFERROR(VLOOKUP(L201,DB_Agents!$B:$I,8,0),"")=M201,"Pending","🔒 BLOCKED — Wrong Code")))</f>
        <v>Pending</v>
      </c>
      <c r="L201" s="256" t="s">
        <v>137</v>
      </c>
      <c r="M201" s="252"/>
      <c r="N201" s="257"/>
    </row>
    <row r="202" spans="1:14" ht="18" customHeight="1" x14ac:dyDescent="0.25">
      <c r="A202" s="253" t="str">
        <f t="shared" si="20"/>
        <v/>
      </c>
      <c r="B202" s="254"/>
      <c r="C202" s="254" t="str">
        <f>IF(B202="","",IFERROR(VLOOKUP(B202,DB_Customers!$A:$D,4,0),"❌ Account Not Found"))</f>
        <v/>
      </c>
      <c r="D202" s="253" t="str">
        <f t="shared" ca="1" si="21"/>
        <v/>
      </c>
      <c r="E202" s="254"/>
      <c r="F202" s="254"/>
      <c r="G202" s="253"/>
      <c r="H202" s="253">
        <v>2.5</v>
      </c>
      <c r="I202" s="253" t="str">
        <f t="shared" si="22"/>
        <v/>
      </c>
      <c r="J202" s="253" t="str">
        <f t="shared" si="23"/>
        <v/>
      </c>
      <c r="K202" s="253" t="str">
        <f>IF(B202="","Pending",IF(M202="","⚠️ Enter Code",IF(IFERROR(VLOOKUP(L202,DB_Agents!$B:$I,8,0),"")=M202,"Pending","🔒 BLOCKED — Wrong Code")))</f>
        <v>Pending</v>
      </c>
      <c r="L202" s="253" t="s">
        <v>137</v>
      </c>
      <c r="M202" s="240"/>
      <c r="N202" s="254"/>
    </row>
    <row r="203" spans="1:14" ht="18" customHeight="1" x14ac:dyDescent="0.25">
      <c r="A203" s="256" t="str">
        <f t="shared" si="20"/>
        <v/>
      </c>
      <c r="B203" s="257"/>
      <c r="C203" s="257" t="str">
        <f>IF(B203="","",IFERROR(VLOOKUP(B203,DB_Customers!$A:$D,4,0),"❌ Account Not Found"))</f>
        <v/>
      </c>
      <c r="D203" s="256" t="str">
        <f t="shared" ca="1" si="21"/>
        <v/>
      </c>
      <c r="E203" s="257"/>
      <c r="F203" s="257"/>
      <c r="G203" s="256"/>
      <c r="H203" s="256">
        <v>2.5</v>
      </c>
      <c r="I203" s="256" t="str">
        <f t="shared" si="22"/>
        <v/>
      </c>
      <c r="J203" s="256" t="str">
        <f t="shared" si="23"/>
        <v/>
      </c>
      <c r="K203" s="256" t="str">
        <f>IF(B203="","Pending",IF(M203="","⚠️ Enter Code",IF(IFERROR(VLOOKUP(L203,DB_Agents!$B:$I,8,0),"")=M203,"Pending","🔒 BLOCKED — Wrong Code")))</f>
        <v>Pending</v>
      </c>
      <c r="L203" s="256" t="s">
        <v>137</v>
      </c>
      <c r="M203" s="252"/>
      <c r="N203" s="257"/>
    </row>
    <row r="204" spans="1:14" ht="18" customHeight="1" x14ac:dyDescent="0.25">
      <c r="A204" s="253" t="str">
        <f t="shared" si="20"/>
        <v/>
      </c>
      <c r="B204" s="254"/>
      <c r="C204" s="254" t="str">
        <f>IF(B204="","",IFERROR(VLOOKUP(B204,DB_Customers!$A:$D,4,0),"❌ Account Not Found"))</f>
        <v/>
      </c>
      <c r="D204" s="253" t="str">
        <f t="shared" ca="1" si="21"/>
        <v/>
      </c>
      <c r="E204" s="254"/>
      <c r="F204" s="254"/>
      <c r="G204" s="253"/>
      <c r="H204" s="253">
        <v>2.5</v>
      </c>
      <c r="I204" s="253" t="str">
        <f t="shared" si="22"/>
        <v/>
      </c>
      <c r="J204" s="253" t="str">
        <f t="shared" si="23"/>
        <v/>
      </c>
      <c r="K204" s="253" t="str">
        <f>IF(B204="","Pending",IF(M204="","⚠️ Enter Code",IF(IFERROR(VLOOKUP(L204,DB_Agents!$B:$I,8,0),"")=M204,"Pending","🔒 BLOCKED — Wrong Code")))</f>
        <v>Pending</v>
      </c>
      <c r="L204" s="253" t="s">
        <v>137</v>
      </c>
      <c r="M204" s="240"/>
      <c r="N204" s="254"/>
    </row>
    <row r="205" spans="1:14" ht="18" customHeight="1" x14ac:dyDescent="0.25">
      <c r="A205" s="256" t="str">
        <f t="shared" si="20"/>
        <v/>
      </c>
      <c r="B205" s="257"/>
      <c r="C205" s="257" t="str">
        <f>IF(B205="","",IFERROR(VLOOKUP(B205,DB_Customers!$A:$D,4,0),"❌ Account Not Found"))</f>
        <v/>
      </c>
      <c r="D205" s="256" t="str">
        <f t="shared" ca="1" si="21"/>
        <v/>
      </c>
      <c r="E205" s="257"/>
      <c r="F205" s="257"/>
      <c r="G205" s="256"/>
      <c r="H205" s="256">
        <v>2.5</v>
      </c>
      <c r="I205" s="256" t="str">
        <f t="shared" si="22"/>
        <v/>
      </c>
      <c r="J205" s="256" t="str">
        <f t="shared" si="23"/>
        <v/>
      </c>
      <c r="K205" s="256" t="str">
        <f>IF(B205="","Pending",IF(M205="","⚠️ Enter Code",IF(IFERROR(VLOOKUP(L205,DB_Agents!$B:$I,8,0),"")=M205,"Pending","🔒 BLOCKED — Wrong Code")))</f>
        <v>Pending</v>
      </c>
      <c r="L205" s="256" t="s">
        <v>137</v>
      </c>
      <c r="M205" s="252"/>
      <c r="N205" s="257"/>
    </row>
    <row r="206" spans="1:14" ht="18" customHeight="1" x14ac:dyDescent="0.25">
      <c r="A206" s="253" t="str">
        <f t="shared" ref="A206:A213" si="24">IF(B206="","",IF(C206="❌ Account Not Found","INVALID","LN"&amp;TEXT(D206,"YYYYMMDD")&amp;TEXT(ROW()-13,"0000")))</f>
        <v/>
      </c>
      <c r="B206" s="254"/>
      <c r="C206" s="254" t="str">
        <f>IF(B206="","",IFERROR(VLOOKUP(B206,DB_Customers!$A:$D,4,0),"❌ Account Not Found"))</f>
        <v/>
      </c>
      <c r="D206" s="253" t="str">
        <f t="shared" ref="D206:D213" ca="1" si="25">IF(B206="","",TODAY())</f>
        <v/>
      </c>
      <c r="E206" s="254"/>
      <c r="F206" s="254"/>
      <c r="G206" s="253"/>
      <c r="H206" s="253">
        <v>2.5</v>
      </c>
      <c r="I206" s="253" t="str">
        <f t="shared" ref="I206:I213" si="26">IF(E206="","",E206+(E206*H206/100*G206))</f>
        <v/>
      </c>
      <c r="J206" s="253" t="str">
        <f t="shared" ref="J206:J213" si="27">IFERROR(I206/G206,"")</f>
        <v/>
      </c>
      <c r="K206" s="253" t="str">
        <f>IF(B206="","Pending",IF(M206="","⚠️ Enter Code",IF(IFERROR(VLOOKUP(L206,DB_Agents!$B:$I,8,0),"")=M206,"Pending","🔒 BLOCKED — Wrong Code")))</f>
        <v>Pending</v>
      </c>
      <c r="L206" s="253" t="s">
        <v>137</v>
      </c>
      <c r="M206" s="240"/>
      <c r="N206" s="254"/>
    </row>
    <row r="207" spans="1:14" ht="18" customHeight="1" x14ac:dyDescent="0.25">
      <c r="A207" s="256" t="str">
        <f t="shared" si="24"/>
        <v/>
      </c>
      <c r="B207" s="257"/>
      <c r="C207" s="257" t="str">
        <f>IF(B207="","",IFERROR(VLOOKUP(B207,DB_Customers!$A:$D,4,0),"❌ Account Not Found"))</f>
        <v/>
      </c>
      <c r="D207" s="256" t="str">
        <f t="shared" ca="1" si="25"/>
        <v/>
      </c>
      <c r="E207" s="257"/>
      <c r="F207" s="257"/>
      <c r="G207" s="256"/>
      <c r="H207" s="256">
        <v>2.5</v>
      </c>
      <c r="I207" s="256" t="str">
        <f t="shared" si="26"/>
        <v/>
      </c>
      <c r="J207" s="256" t="str">
        <f t="shared" si="27"/>
        <v/>
      </c>
      <c r="K207" s="256" t="str">
        <f>IF(B207="","Pending",IF(M207="","⚠️ Enter Code",IF(IFERROR(VLOOKUP(L207,DB_Agents!$B:$I,8,0),"")=M207,"Pending","🔒 BLOCKED — Wrong Code")))</f>
        <v>Pending</v>
      </c>
      <c r="L207" s="256" t="s">
        <v>137</v>
      </c>
      <c r="M207" s="252"/>
      <c r="N207" s="257"/>
    </row>
    <row r="208" spans="1:14" ht="18" customHeight="1" x14ac:dyDescent="0.25">
      <c r="A208" s="253" t="str">
        <f t="shared" si="24"/>
        <v/>
      </c>
      <c r="B208" s="254"/>
      <c r="C208" s="254" t="str">
        <f>IF(B208="","",IFERROR(VLOOKUP(B208,DB_Customers!$A:$D,4,0),"❌ Account Not Found"))</f>
        <v/>
      </c>
      <c r="D208" s="253" t="str">
        <f t="shared" ca="1" si="25"/>
        <v/>
      </c>
      <c r="E208" s="254"/>
      <c r="F208" s="254"/>
      <c r="G208" s="253"/>
      <c r="H208" s="253">
        <v>2.5</v>
      </c>
      <c r="I208" s="253" t="str">
        <f t="shared" si="26"/>
        <v/>
      </c>
      <c r="J208" s="253" t="str">
        <f t="shared" si="27"/>
        <v/>
      </c>
      <c r="K208" s="253" t="str">
        <f>IF(B208="","Pending",IF(M208="","⚠️ Enter Code",IF(IFERROR(VLOOKUP(L208,DB_Agents!$B:$I,8,0),"")=M208,"Pending","🔒 BLOCKED — Wrong Code")))</f>
        <v>Pending</v>
      </c>
      <c r="L208" s="253" t="s">
        <v>137</v>
      </c>
      <c r="M208" s="240"/>
      <c r="N208" s="254"/>
    </row>
    <row r="209" spans="1:14" ht="18" customHeight="1" x14ac:dyDescent="0.25">
      <c r="A209" s="256" t="str">
        <f t="shared" si="24"/>
        <v/>
      </c>
      <c r="B209" s="257"/>
      <c r="C209" s="257" t="str">
        <f>IF(B209="","",IFERROR(VLOOKUP(B209,DB_Customers!$A:$D,4,0),"❌ Account Not Found"))</f>
        <v/>
      </c>
      <c r="D209" s="256" t="str">
        <f t="shared" ca="1" si="25"/>
        <v/>
      </c>
      <c r="E209" s="257"/>
      <c r="F209" s="257"/>
      <c r="G209" s="256"/>
      <c r="H209" s="256">
        <v>2.5</v>
      </c>
      <c r="I209" s="256" t="str">
        <f t="shared" si="26"/>
        <v/>
      </c>
      <c r="J209" s="256" t="str">
        <f t="shared" si="27"/>
        <v/>
      </c>
      <c r="K209" s="256" t="str">
        <f>IF(B209="","Pending",IF(M209="","⚠️ Enter Code",IF(IFERROR(VLOOKUP(L209,DB_Agents!$B:$I,8,0),"")=M209,"Pending","🔒 BLOCKED — Wrong Code")))</f>
        <v>Pending</v>
      </c>
      <c r="L209" s="256" t="s">
        <v>137</v>
      </c>
      <c r="M209" s="252"/>
      <c r="N209" s="257"/>
    </row>
    <row r="210" spans="1:14" ht="18" customHeight="1" x14ac:dyDescent="0.25">
      <c r="A210" s="253" t="str">
        <f t="shared" si="24"/>
        <v/>
      </c>
      <c r="B210" s="254"/>
      <c r="C210" s="254" t="str">
        <f>IF(B210="","",IFERROR(VLOOKUP(B210,DB_Customers!$A:$D,4,0),"❌ Account Not Found"))</f>
        <v/>
      </c>
      <c r="D210" s="253" t="str">
        <f t="shared" ca="1" si="25"/>
        <v/>
      </c>
      <c r="E210" s="254"/>
      <c r="F210" s="254"/>
      <c r="G210" s="253"/>
      <c r="H210" s="253">
        <v>2.5</v>
      </c>
      <c r="I210" s="253" t="str">
        <f t="shared" si="26"/>
        <v/>
      </c>
      <c r="J210" s="253" t="str">
        <f t="shared" si="27"/>
        <v/>
      </c>
      <c r="K210" s="253" t="str">
        <f>IF(B210="","Pending",IF(M210="","⚠️ Enter Code",IF(IFERROR(VLOOKUP(L210,DB_Agents!$B:$I,8,0),"")=M210,"Pending","🔒 BLOCKED — Wrong Code")))</f>
        <v>Pending</v>
      </c>
      <c r="L210" s="253" t="s">
        <v>137</v>
      </c>
      <c r="M210" s="240"/>
      <c r="N210" s="254"/>
    </row>
    <row r="211" spans="1:14" ht="18" customHeight="1" x14ac:dyDescent="0.25">
      <c r="A211" s="256" t="str">
        <f t="shared" si="24"/>
        <v/>
      </c>
      <c r="B211" s="257"/>
      <c r="C211" s="257" t="str">
        <f>IF(B211="","",IFERROR(VLOOKUP(B211,DB_Customers!$A:$D,4,0),"❌ Account Not Found"))</f>
        <v/>
      </c>
      <c r="D211" s="256" t="str">
        <f t="shared" ca="1" si="25"/>
        <v/>
      </c>
      <c r="E211" s="257"/>
      <c r="F211" s="257"/>
      <c r="G211" s="256"/>
      <c r="H211" s="256">
        <v>2.5</v>
      </c>
      <c r="I211" s="256" t="str">
        <f t="shared" si="26"/>
        <v/>
      </c>
      <c r="J211" s="256" t="str">
        <f t="shared" si="27"/>
        <v/>
      </c>
      <c r="K211" s="256" t="str">
        <f>IF(B211="","Pending",IF(M211="","⚠️ Enter Code",IF(IFERROR(VLOOKUP(L211,DB_Agents!$B:$I,8,0),"")=M211,"Pending","🔒 BLOCKED — Wrong Code")))</f>
        <v>Pending</v>
      </c>
      <c r="L211" s="256" t="s">
        <v>137</v>
      </c>
      <c r="M211" s="252"/>
      <c r="N211" s="257"/>
    </row>
    <row r="212" spans="1:14" ht="18" customHeight="1" x14ac:dyDescent="0.25">
      <c r="A212" s="253" t="str">
        <f t="shared" si="24"/>
        <v/>
      </c>
      <c r="B212" s="254"/>
      <c r="C212" s="254" t="str">
        <f>IF(B212="","",IFERROR(VLOOKUP(B212,DB_Customers!$A:$D,4,0),"❌ Account Not Found"))</f>
        <v/>
      </c>
      <c r="D212" s="253" t="str">
        <f t="shared" ca="1" si="25"/>
        <v/>
      </c>
      <c r="E212" s="254"/>
      <c r="F212" s="254"/>
      <c r="G212" s="253"/>
      <c r="H212" s="253">
        <v>2.5</v>
      </c>
      <c r="I212" s="253" t="str">
        <f t="shared" si="26"/>
        <v/>
      </c>
      <c r="J212" s="253" t="str">
        <f t="shared" si="27"/>
        <v/>
      </c>
      <c r="K212" s="253" t="str">
        <f>IF(B212="","Pending",IF(M212="","⚠️ Enter Code",IF(IFERROR(VLOOKUP(L212,DB_Agents!$B:$I,8,0),"")=M212,"Pending","🔒 BLOCKED — Wrong Code")))</f>
        <v>Pending</v>
      </c>
      <c r="L212" s="253" t="s">
        <v>137</v>
      </c>
      <c r="M212" s="240"/>
      <c r="N212" s="254"/>
    </row>
    <row r="213" spans="1:14" ht="18" customHeight="1" x14ac:dyDescent="0.25">
      <c r="A213" s="256" t="str">
        <f t="shared" si="24"/>
        <v/>
      </c>
      <c r="B213" s="257"/>
      <c r="C213" s="257" t="str">
        <f>IF(B213="","",IFERROR(VLOOKUP(B213,DB_Customers!$A:$D,4,0),"❌ Account Not Found"))</f>
        <v/>
      </c>
      <c r="D213" s="256" t="str">
        <f t="shared" ca="1" si="25"/>
        <v/>
      </c>
      <c r="E213" s="257"/>
      <c r="F213" s="257"/>
      <c r="G213" s="256"/>
      <c r="H213" s="256">
        <v>2.5</v>
      </c>
      <c r="I213" s="256" t="str">
        <f t="shared" si="26"/>
        <v/>
      </c>
      <c r="J213" s="256" t="str">
        <f t="shared" si="27"/>
        <v/>
      </c>
      <c r="K213" s="256" t="str">
        <f>IF(B213="","Pending",IF(M213="","⚠️ Enter Code",IF(IFERROR(VLOOKUP(L213,DB_Agents!$B:$I,8,0),"")=M213,"Pending","🔒 BLOCKED — Wrong Code")))</f>
        <v>Pending</v>
      </c>
      <c r="L213" s="256" t="s">
        <v>137</v>
      </c>
      <c r="M213" s="252"/>
      <c r="N213" s="257"/>
    </row>
  </sheetData>
  <conditionalFormatting sqref="K14:K113">
    <cfRule type="cellIs" dxfId="55" priority="2" operator="equal">
      <formula>"Approved"</formula>
    </cfRule>
    <cfRule type="cellIs" dxfId="54" priority="3" operator="equal">
      <formula>"Pending"</formula>
    </cfRule>
    <cfRule type="cellIs" dxfId="53" priority="4" operator="equal">
      <formula>"Rejected"</formula>
    </cfRule>
  </conditionalFormatting>
  <dataValidations count="2">
    <dataValidation type="whole" showErrorMessage="1" error="Enter 1-36 months" sqref="G14:G113" xr:uid="{00000000-0002-0000-1700-000000000000}">
      <formula1>1</formula1>
      <formula2>36</formula2>
    </dataValidation>
    <dataValidation type="list" sqref="L14:L113" xr:uid="{00000000-0002-0000-17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359" t="s">
        <v>363</v>
      </c>
      <c r="B1" s="265"/>
      <c r="C1" s="265"/>
      <c r="D1" s="265"/>
      <c r="E1" s="265"/>
      <c r="F1" s="265"/>
      <c r="G1" s="265"/>
      <c r="H1" s="265"/>
      <c r="I1" s="265"/>
      <c r="J1" s="265"/>
      <c r="K1" s="265"/>
      <c r="L1" s="265"/>
    </row>
    <row r="2" spans="1:12" ht="19.5" customHeight="1" x14ac:dyDescent="0.25">
      <c r="A2" s="357" t="s">
        <v>364</v>
      </c>
      <c r="B2" s="265"/>
      <c r="C2" s="265"/>
      <c r="D2" s="265"/>
      <c r="E2" s="265"/>
      <c r="F2" s="265"/>
      <c r="G2" s="265"/>
      <c r="H2" s="265"/>
      <c r="I2" s="265"/>
      <c r="J2" s="265"/>
      <c r="K2" s="265"/>
      <c r="L2" s="265"/>
    </row>
    <row r="3" spans="1:12" ht="18" customHeight="1" x14ac:dyDescent="0.25">
      <c r="A3" s="323" t="s">
        <v>311</v>
      </c>
      <c r="B3" s="265"/>
      <c r="C3" s="265"/>
      <c r="D3" s="324" t="s">
        <v>312</v>
      </c>
      <c r="E3" s="265"/>
      <c r="F3" s="265"/>
      <c r="G3" s="351" t="s">
        <v>313</v>
      </c>
      <c r="H3" s="265"/>
      <c r="I3" s="265"/>
      <c r="J3" s="265"/>
      <c r="K3" s="265"/>
      <c r="L3" s="265"/>
    </row>
    <row r="4" spans="1:12" ht="27.75" customHeight="1" x14ac:dyDescent="0.25">
      <c r="A4" s="363">
        <f ca="1">SUMIFS(DB_Savings!$F:$F,DB_Savings!$G:$G,"Agent 06",DB_Savings!$E:$E,TODAY())</f>
        <v>0</v>
      </c>
      <c r="B4" s="265"/>
      <c r="C4" s="265"/>
      <c r="D4" s="361">
        <f ca="1">COUNTIFS(DB_Savings!$G:$G,"Agent 06",DB_Savings!$E:$E,TODAY())</f>
        <v>0</v>
      </c>
      <c r="E4" s="265"/>
      <c r="F4" s="265"/>
      <c r="G4" s="362" t="str">
        <f ca="1">TEXT(TODAY(),"DDDD, DD MMMM YYYY")</f>
        <v>Friday, 24 April 2026</v>
      </c>
      <c r="H4" s="265"/>
      <c r="I4" s="265"/>
      <c r="J4" s="265"/>
      <c r="K4" s="265"/>
      <c r="L4" s="265"/>
    </row>
    <row r="5" spans="1:12" ht="21.75" customHeight="1" x14ac:dyDescent="0.25">
      <c r="A5" s="360" t="str">
        <f ca="1">IF(SUMIFS(DB_Savings!$F:$F,DB_Savings!$G:$G,"Agent 06",DB_Savings!$E:$E,TODAY())&gt;=J4,"✅ DAILY TARGET ACHIEVED! Well done Agent 06!","⏳ Collection in progress — Keep going! Remaining: GHC "&amp;TEXT(J4-SUMIFS(DB_Savings!$F:$F,DB_Savings!$G:$G,"Agent 06",DB_Savings!$E:$E,TODAY()),"#,##0.00"))</f>
        <v>✅ DAILY TARGET ACHIEVED! Well done Agent 06!</v>
      </c>
      <c r="B5" s="265"/>
      <c r="C5" s="265"/>
      <c r="D5" s="265"/>
      <c r="E5" s="265"/>
      <c r="F5" s="265"/>
      <c r="G5" s="265"/>
      <c r="H5" s="265"/>
      <c r="I5" s="265"/>
      <c r="J5" s="265"/>
      <c r="K5" s="265"/>
      <c r="L5" s="265"/>
    </row>
    <row r="6" spans="1:12" ht="7.5" customHeight="1" x14ac:dyDescent="0.25"/>
    <row r="7" spans="1:12" ht="19.5" customHeight="1" x14ac:dyDescent="0.25">
      <c r="A7" s="358" t="s">
        <v>314</v>
      </c>
      <c r="B7" s="265"/>
      <c r="C7" s="265"/>
      <c r="D7" s="265"/>
      <c r="E7" s="265"/>
      <c r="F7" s="265"/>
      <c r="G7" s="265"/>
      <c r="H7" s="265"/>
      <c r="I7" s="265"/>
      <c r="J7" s="265"/>
      <c r="K7" s="265"/>
      <c r="L7" s="265"/>
    </row>
    <row r="8" spans="1:12" ht="19.5" customHeight="1" x14ac:dyDescent="0.25">
      <c r="A8" s="36" t="s">
        <v>315</v>
      </c>
      <c r="B8" s="36" t="s">
        <v>77</v>
      </c>
      <c r="C8" s="36" t="s">
        <v>316</v>
      </c>
      <c r="D8" s="36" t="s">
        <v>78</v>
      </c>
      <c r="E8" s="36" t="s">
        <v>317</v>
      </c>
      <c r="F8" s="36" t="s">
        <v>318</v>
      </c>
      <c r="G8" s="36" t="s">
        <v>14</v>
      </c>
      <c r="H8" s="75" t="s">
        <v>319</v>
      </c>
      <c r="I8" s="36" t="s">
        <v>13</v>
      </c>
      <c r="J8" s="36" t="s">
        <v>320</v>
      </c>
      <c r="K8" s="36" t="s">
        <v>321</v>
      </c>
    </row>
    <row r="9" spans="1:12" ht="15" customHeight="1" x14ac:dyDescent="0.25">
      <c r="A9" s="76"/>
      <c r="B9" s="37" t="str">
        <f>IF(A9="","",IFERROR(VLOOKUP(A9,DB_Customers!$A:$D,4,0),"❌ Account Not Found"))</f>
        <v/>
      </c>
      <c r="C9" s="77" t="str">
        <f>IF(A9="","",IFERROR(IF(SUMIF(DB_Savings!$C:$C,A9,DB_Savings!$F:$F)=0,VLOOKUP(A9,DB_Customers!$A:$I,9,0),VLOOKUP(A9,DB_Customers!$A:$N,14,0)),"❌ Acct Not Found"))</f>
        <v/>
      </c>
      <c r="D9" s="78" t="str">
        <f t="shared" ref="D9:D40" ca="1" si="0">IF(A9="","",TODAY())</f>
        <v/>
      </c>
      <c r="E9" s="79"/>
      <c r="F9" s="80" t="str">
        <f t="shared" ref="F9:F40" si="1">IF(OR(A9="",E9=""),"",IF(C9="","",C9+E9))</f>
        <v/>
      </c>
      <c r="G9" s="39" t="s">
        <v>138</v>
      </c>
      <c r="H9" s="81"/>
      <c r="I9" s="82" t="str">
        <f>IF(A9="","Pending",IF(H9="","⚠️ Enter Agent Code",IF(IFERROR(VLOOKUP(G9,DB_Agents!$B:$I,8,0),"")=H9,IF(AND(A9&lt;&gt;"",E9&lt;&gt;""),"Saved","Pending"),"🔒 BLOCKED — Wrong Code")))</f>
        <v>Pending</v>
      </c>
      <c r="J9" s="83" t="str">
        <f t="shared" ref="J9:J40" ca="1" si="2">IF(I9="Saved",TEXT(TODAY(),"YYYY-MM-DD")&amp;" Auto","—")</f>
        <v>—</v>
      </c>
      <c r="K9" s="84"/>
    </row>
    <row r="10" spans="1:12" ht="15" customHeight="1" x14ac:dyDescent="0.25">
      <c r="A10" s="85"/>
      <c r="B10" s="41" t="str">
        <f>IF(A10="","",IFERROR(VLOOKUP(A10,DB_Customers!$A:$D,4,0),"❌ Account Not Found"))</f>
        <v/>
      </c>
      <c r="C10" s="86" t="str">
        <f>IF(A10="","",IFERROR(IF(SUMIF(DB_Savings!$C:$C,A10,DB_Savings!$F:$F)=0,VLOOKUP(A10,DB_Customers!$A:$I,9,0),VLOOKUP(A10,DB_Customers!$A:$N,14,0)),"❌ Acct Not Found"))</f>
        <v/>
      </c>
      <c r="D10" s="87" t="str">
        <f t="shared" ca="1" si="0"/>
        <v/>
      </c>
      <c r="E10" s="79"/>
      <c r="F10" s="88" t="str">
        <f t="shared" si="1"/>
        <v/>
      </c>
      <c r="G10" s="43" t="s">
        <v>138</v>
      </c>
      <c r="H10" s="81"/>
      <c r="I10" s="89" t="str">
        <f>IF(A10="","Pending",IF(H10="","⚠️ Enter Agent Code",IF(IFERROR(VLOOKUP(G10,DB_Agents!$B:$I,8,0),"")=H10,IF(AND(A10&lt;&gt;"",E10&lt;&gt;""),"Saved","Pending"),"🔒 BLOCKED — Wrong Code")))</f>
        <v>Pending</v>
      </c>
      <c r="J10" s="90" t="str">
        <f t="shared" ca="1" si="2"/>
        <v>—</v>
      </c>
      <c r="K10" s="91"/>
    </row>
    <row r="11" spans="1:12" ht="15" customHeight="1" x14ac:dyDescent="0.25">
      <c r="A11" s="76"/>
      <c r="B11" s="37" t="str">
        <f>IF(A11="","",IFERROR(VLOOKUP(A11,DB_Customers!$A:$D,4,0),"❌ Account Not Found"))</f>
        <v/>
      </c>
      <c r="C11" s="77" t="str">
        <f>IF(A11="","",IFERROR(IF(SUMIF(DB_Savings!$C:$C,A11,DB_Savings!$F:$F)=0,VLOOKUP(A11,DB_Customers!$A:$I,9,0),VLOOKUP(A11,DB_Customers!$A:$N,14,0)),"❌ Acct Not Found"))</f>
        <v/>
      </c>
      <c r="D11" s="78" t="str">
        <f t="shared" ca="1" si="0"/>
        <v/>
      </c>
      <c r="E11" s="79"/>
      <c r="F11" s="80" t="str">
        <f t="shared" si="1"/>
        <v/>
      </c>
      <c r="G11" s="39" t="s">
        <v>138</v>
      </c>
      <c r="H11" s="81"/>
      <c r="I11" s="82" t="str">
        <f>IF(A11="","Pending",IF(H11="","⚠️ Enter Agent Code",IF(IFERROR(VLOOKUP(G11,DB_Agents!$B:$I,8,0),"")=H11,IF(AND(A11&lt;&gt;"",E11&lt;&gt;""),"Saved","Pending"),"🔒 BLOCKED — Wrong Code")))</f>
        <v>Pending</v>
      </c>
      <c r="J11" s="83" t="str">
        <f t="shared" ca="1" si="2"/>
        <v>—</v>
      </c>
      <c r="K11" s="84"/>
    </row>
    <row r="12" spans="1:12" ht="15" customHeight="1" x14ac:dyDescent="0.25">
      <c r="A12" s="85"/>
      <c r="B12" s="41" t="str">
        <f>IF(A12="","",IFERROR(VLOOKUP(A12,DB_Customers!$A:$D,4,0),"❌ Account Not Found"))</f>
        <v/>
      </c>
      <c r="C12" s="86" t="str">
        <f>IF(A12="","",IFERROR(IF(SUMIF(DB_Savings!$C:$C,A12,DB_Savings!$F:$F)=0,VLOOKUP(A12,DB_Customers!$A:$I,9,0),VLOOKUP(A12,DB_Customers!$A:$N,14,0)),"❌ Acct Not Found"))</f>
        <v/>
      </c>
      <c r="D12" s="87" t="str">
        <f t="shared" ca="1" si="0"/>
        <v/>
      </c>
      <c r="E12" s="79"/>
      <c r="F12" s="88" t="str">
        <f t="shared" si="1"/>
        <v/>
      </c>
      <c r="G12" s="43" t="s">
        <v>138</v>
      </c>
      <c r="H12" s="81"/>
      <c r="I12" s="89" t="str">
        <f>IF(A12="","Pending",IF(H12="","⚠️ Enter Agent Code",IF(IFERROR(VLOOKUP(G12,DB_Agents!$B:$I,8,0),"")=H12,IF(AND(A12&lt;&gt;"",E12&lt;&gt;""),"Saved","Pending"),"🔒 BLOCKED — Wrong Code")))</f>
        <v>Pending</v>
      </c>
      <c r="J12" s="90" t="str">
        <f t="shared" ca="1" si="2"/>
        <v>—</v>
      </c>
      <c r="K12" s="91"/>
    </row>
    <row r="13" spans="1:12" ht="15" customHeight="1" x14ac:dyDescent="0.25">
      <c r="A13" s="76"/>
      <c r="B13" s="37" t="str">
        <f>IF(A13="","",IFERROR(VLOOKUP(A13,DB_Customers!$A:$D,4,0),"❌ Account Not Found"))</f>
        <v/>
      </c>
      <c r="C13" s="77" t="str">
        <f>IF(A13="","",IFERROR(IF(SUMIF(DB_Savings!$C:$C,A13,DB_Savings!$F:$F)=0,VLOOKUP(A13,DB_Customers!$A:$I,9,0),VLOOKUP(A13,DB_Customers!$A:$N,14,0)),"❌ Acct Not Found"))</f>
        <v/>
      </c>
      <c r="D13" s="78" t="str">
        <f t="shared" ca="1" si="0"/>
        <v/>
      </c>
      <c r="E13" s="79"/>
      <c r="F13" s="80" t="str">
        <f t="shared" si="1"/>
        <v/>
      </c>
      <c r="G13" s="39" t="s">
        <v>138</v>
      </c>
      <c r="H13" s="81"/>
      <c r="I13" s="82" t="str">
        <f>IF(A13="","Pending",IF(H13="","⚠️ Enter Agent Code",IF(IFERROR(VLOOKUP(G13,DB_Agents!$B:$I,8,0),"")=H13,IF(AND(A13&lt;&gt;"",E13&lt;&gt;""),"Saved","Pending"),"🔒 BLOCKED — Wrong Code")))</f>
        <v>Pending</v>
      </c>
      <c r="J13" s="83" t="str">
        <f t="shared" ca="1" si="2"/>
        <v>—</v>
      </c>
      <c r="K13" s="84"/>
    </row>
    <row r="14" spans="1:12" ht="15" customHeight="1" x14ac:dyDescent="0.25">
      <c r="A14" s="85"/>
      <c r="B14" s="41" t="str">
        <f>IF(A14="","",IFERROR(VLOOKUP(A14,DB_Customers!$A:$D,4,0),"❌ Account Not Found"))</f>
        <v/>
      </c>
      <c r="C14" s="86" t="str">
        <f>IF(A14="","",IFERROR(IF(SUMIF(DB_Savings!$C:$C,A14,DB_Savings!$F:$F)=0,VLOOKUP(A14,DB_Customers!$A:$I,9,0),VLOOKUP(A14,DB_Customers!$A:$N,14,0)),"❌ Acct Not Found"))</f>
        <v/>
      </c>
      <c r="D14" s="87" t="str">
        <f t="shared" ca="1" si="0"/>
        <v/>
      </c>
      <c r="E14" s="79"/>
      <c r="F14" s="88" t="str">
        <f t="shared" si="1"/>
        <v/>
      </c>
      <c r="G14" s="43" t="s">
        <v>138</v>
      </c>
      <c r="H14" s="81"/>
      <c r="I14" s="89" t="str">
        <f>IF(A14="","Pending",IF(H14="","⚠️ Enter Agent Code",IF(IFERROR(VLOOKUP(G14,DB_Agents!$B:$I,8,0),"")=H14,IF(AND(A14&lt;&gt;"",E14&lt;&gt;""),"Saved","Pending"),"🔒 BLOCKED — Wrong Code")))</f>
        <v>Pending</v>
      </c>
      <c r="J14" s="90" t="str">
        <f t="shared" ca="1" si="2"/>
        <v>—</v>
      </c>
      <c r="K14" s="91"/>
    </row>
    <row r="15" spans="1:12" ht="15" customHeight="1" x14ac:dyDescent="0.25">
      <c r="A15" s="76"/>
      <c r="B15" s="37" t="str">
        <f>IF(A15="","",IFERROR(VLOOKUP(A15,DB_Customers!$A:$D,4,0),"❌ Account Not Found"))</f>
        <v/>
      </c>
      <c r="C15" s="77" t="str">
        <f>IF(A15="","",IFERROR(IF(SUMIF(DB_Savings!$C:$C,A15,DB_Savings!$F:$F)=0,VLOOKUP(A15,DB_Customers!$A:$I,9,0),VLOOKUP(A15,DB_Customers!$A:$N,14,0)),"❌ Acct Not Found"))</f>
        <v/>
      </c>
      <c r="D15" s="78" t="str">
        <f t="shared" ca="1" si="0"/>
        <v/>
      </c>
      <c r="E15" s="79"/>
      <c r="F15" s="80" t="str">
        <f t="shared" si="1"/>
        <v/>
      </c>
      <c r="G15" s="39" t="s">
        <v>138</v>
      </c>
      <c r="H15" s="81"/>
      <c r="I15" s="82" t="str">
        <f>IF(A15="","Pending",IF(H15="","⚠️ Enter Agent Code",IF(IFERROR(VLOOKUP(G15,DB_Agents!$B:$I,8,0),"")=H15,IF(AND(A15&lt;&gt;"",E15&lt;&gt;""),"Saved","Pending"),"🔒 BLOCKED — Wrong Code")))</f>
        <v>Pending</v>
      </c>
      <c r="J15" s="83" t="str">
        <f t="shared" ca="1" si="2"/>
        <v>—</v>
      </c>
      <c r="K15" s="84"/>
    </row>
    <row r="16" spans="1:12" ht="15" customHeight="1" x14ac:dyDescent="0.25">
      <c r="A16" s="85"/>
      <c r="B16" s="41" t="str">
        <f>IF(A16="","",IFERROR(VLOOKUP(A16,DB_Customers!$A:$D,4,0),"❌ Account Not Found"))</f>
        <v/>
      </c>
      <c r="C16" s="86" t="str">
        <f>IF(A16="","",IFERROR(IF(SUMIF(DB_Savings!$C:$C,A16,DB_Savings!$F:$F)=0,VLOOKUP(A16,DB_Customers!$A:$I,9,0),VLOOKUP(A16,DB_Customers!$A:$N,14,0)),"❌ Acct Not Found"))</f>
        <v/>
      </c>
      <c r="D16" s="87" t="str">
        <f t="shared" ca="1" si="0"/>
        <v/>
      </c>
      <c r="E16" s="79"/>
      <c r="F16" s="88" t="str">
        <f t="shared" si="1"/>
        <v/>
      </c>
      <c r="G16" s="43" t="s">
        <v>138</v>
      </c>
      <c r="H16" s="81"/>
      <c r="I16" s="89" t="str">
        <f>IF(A16="","Pending",IF(H16="","⚠️ Enter Agent Code",IF(IFERROR(VLOOKUP(G16,DB_Agents!$B:$I,8,0),"")=H16,IF(AND(A16&lt;&gt;"",E16&lt;&gt;""),"Saved","Pending"),"🔒 BLOCKED — Wrong Code")))</f>
        <v>Pending</v>
      </c>
      <c r="J16" s="90" t="str">
        <f t="shared" ca="1" si="2"/>
        <v>—</v>
      </c>
      <c r="K16" s="91"/>
    </row>
    <row r="17" spans="1:11" ht="15" customHeight="1" x14ac:dyDescent="0.25">
      <c r="A17" s="76"/>
      <c r="B17" s="37" t="str">
        <f>IF(A17="","",IFERROR(VLOOKUP(A17,DB_Customers!$A:$D,4,0),"❌ Account Not Found"))</f>
        <v/>
      </c>
      <c r="C17" s="77" t="str">
        <f>IF(A17="","",IFERROR(IF(SUMIF(DB_Savings!$C:$C,A17,DB_Savings!$F:$F)=0,VLOOKUP(A17,DB_Customers!$A:$I,9,0),VLOOKUP(A17,DB_Customers!$A:$N,14,0)),"❌ Acct Not Found"))</f>
        <v/>
      </c>
      <c r="D17" s="78" t="str">
        <f t="shared" ca="1" si="0"/>
        <v/>
      </c>
      <c r="E17" s="79"/>
      <c r="F17" s="80" t="str">
        <f t="shared" si="1"/>
        <v/>
      </c>
      <c r="G17" s="39" t="s">
        <v>138</v>
      </c>
      <c r="H17" s="81"/>
      <c r="I17" s="82" t="str">
        <f>IF(A17="","Pending",IF(H17="","⚠️ Enter Agent Code",IF(IFERROR(VLOOKUP(G17,DB_Agents!$B:$I,8,0),"")=H17,IF(AND(A17&lt;&gt;"",E17&lt;&gt;""),"Saved","Pending"),"🔒 BLOCKED — Wrong Code")))</f>
        <v>Pending</v>
      </c>
      <c r="J17" s="83" t="str">
        <f t="shared" ca="1" si="2"/>
        <v>—</v>
      </c>
      <c r="K17" s="84"/>
    </row>
    <row r="18" spans="1:11" ht="15" customHeight="1" x14ac:dyDescent="0.25">
      <c r="A18" s="85"/>
      <c r="B18" s="41" t="str">
        <f>IF(A18="","",IFERROR(VLOOKUP(A18,DB_Customers!$A:$D,4,0),"❌ Account Not Found"))</f>
        <v/>
      </c>
      <c r="C18" s="86" t="str">
        <f>IF(A18="","",IFERROR(IF(SUMIF(DB_Savings!$C:$C,A18,DB_Savings!$F:$F)=0,VLOOKUP(A18,DB_Customers!$A:$I,9,0),VLOOKUP(A18,DB_Customers!$A:$N,14,0)),"❌ Acct Not Found"))</f>
        <v/>
      </c>
      <c r="D18" s="87" t="str">
        <f t="shared" ca="1" si="0"/>
        <v/>
      </c>
      <c r="E18" s="79"/>
      <c r="F18" s="88" t="str">
        <f t="shared" si="1"/>
        <v/>
      </c>
      <c r="G18" s="43" t="s">
        <v>138</v>
      </c>
      <c r="H18" s="81"/>
      <c r="I18" s="89" t="str">
        <f>IF(A18="","Pending",IF(H18="","⚠️ Enter Agent Code",IF(IFERROR(VLOOKUP(G18,DB_Agents!$B:$I,8,0),"")=H18,IF(AND(A18&lt;&gt;"",E18&lt;&gt;""),"Saved","Pending"),"🔒 BLOCKED — Wrong Code")))</f>
        <v>Pending</v>
      </c>
      <c r="J18" s="90" t="str">
        <f t="shared" ca="1" si="2"/>
        <v>—</v>
      </c>
      <c r="K18" s="91"/>
    </row>
    <row r="19" spans="1:11" ht="15" customHeight="1" x14ac:dyDescent="0.25">
      <c r="A19" s="76"/>
      <c r="B19" s="37" t="str">
        <f>IF(A19="","",IFERROR(VLOOKUP(A19,DB_Customers!$A:$D,4,0),"❌ Account Not Found"))</f>
        <v/>
      </c>
      <c r="C19" s="77" t="str">
        <f>IF(A19="","",IFERROR(IF(SUMIF(DB_Savings!$C:$C,A19,DB_Savings!$F:$F)=0,VLOOKUP(A19,DB_Customers!$A:$I,9,0),VLOOKUP(A19,DB_Customers!$A:$N,14,0)),"❌ Acct Not Found"))</f>
        <v/>
      </c>
      <c r="D19" s="78" t="str">
        <f t="shared" ca="1" si="0"/>
        <v/>
      </c>
      <c r="E19" s="79"/>
      <c r="F19" s="80" t="str">
        <f t="shared" si="1"/>
        <v/>
      </c>
      <c r="G19" s="39" t="s">
        <v>138</v>
      </c>
      <c r="H19" s="81"/>
      <c r="I19" s="82" t="str">
        <f>IF(A19="","Pending",IF(H19="","⚠️ Enter Agent Code",IF(IFERROR(VLOOKUP(G19,DB_Agents!$B:$I,8,0),"")=H19,IF(AND(A19&lt;&gt;"",E19&lt;&gt;""),"Saved","Pending"),"🔒 BLOCKED — Wrong Code")))</f>
        <v>Pending</v>
      </c>
      <c r="J19" s="83" t="str">
        <f t="shared" ca="1" si="2"/>
        <v>—</v>
      </c>
      <c r="K19" s="84"/>
    </row>
    <row r="20" spans="1:11" ht="15" customHeight="1" x14ac:dyDescent="0.25">
      <c r="A20" s="85"/>
      <c r="B20" s="41" t="str">
        <f>IF(A20="","",IFERROR(VLOOKUP(A20,DB_Customers!$A:$D,4,0),"❌ Account Not Found"))</f>
        <v/>
      </c>
      <c r="C20" s="86" t="str">
        <f>IF(A20="","",IFERROR(IF(SUMIF(DB_Savings!$C:$C,A20,DB_Savings!$F:$F)=0,VLOOKUP(A20,DB_Customers!$A:$I,9,0),VLOOKUP(A20,DB_Customers!$A:$N,14,0)),"❌ Acct Not Found"))</f>
        <v/>
      </c>
      <c r="D20" s="87" t="str">
        <f t="shared" ca="1" si="0"/>
        <v/>
      </c>
      <c r="E20" s="79"/>
      <c r="F20" s="88" t="str">
        <f t="shared" si="1"/>
        <v/>
      </c>
      <c r="G20" s="43" t="s">
        <v>138</v>
      </c>
      <c r="H20" s="81"/>
      <c r="I20" s="89" t="str">
        <f>IF(A20="","Pending",IF(H20="","⚠️ Enter Agent Code",IF(IFERROR(VLOOKUP(G20,DB_Agents!$B:$I,8,0),"")=H20,IF(AND(A20&lt;&gt;"",E20&lt;&gt;""),"Saved","Pending"),"🔒 BLOCKED — Wrong Code")))</f>
        <v>Pending</v>
      </c>
      <c r="J20" s="90" t="str">
        <f t="shared" ca="1" si="2"/>
        <v>—</v>
      </c>
      <c r="K20" s="91"/>
    </row>
    <row r="21" spans="1:11" ht="15" customHeight="1" x14ac:dyDescent="0.25">
      <c r="A21" s="76"/>
      <c r="B21" s="37" t="str">
        <f>IF(A21="","",IFERROR(VLOOKUP(A21,DB_Customers!$A:$D,4,0),"❌ Account Not Found"))</f>
        <v/>
      </c>
      <c r="C21" s="77" t="str">
        <f>IF(A21="","",IFERROR(IF(SUMIF(DB_Savings!$C:$C,A21,DB_Savings!$F:$F)=0,VLOOKUP(A21,DB_Customers!$A:$I,9,0),VLOOKUP(A21,DB_Customers!$A:$N,14,0)),"❌ Acct Not Found"))</f>
        <v/>
      </c>
      <c r="D21" s="78" t="str">
        <f t="shared" ca="1" si="0"/>
        <v/>
      </c>
      <c r="E21" s="79"/>
      <c r="F21" s="80" t="str">
        <f t="shared" si="1"/>
        <v/>
      </c>
      <c r="G21" s="39" t="s">
        <v>138</v>
      </c>
      <c r="H21" s="81"/>
      <c r="I21" s="82" t="str">
        <f>IF(A21="","Pending",IF(H21="","⚠️ Enter Agent Code",IF(IFERROR(VLOOKUP(G21,DB_Agents!$B:$I,8,0),"")=H21,IF(AND(A21&lt;&gt;"",E21&lt;&gt;""),"Saved","Pending"),"🔒 BLOCKED — Wrong Code")))</f>
        <v>Pending</v>
      </c>
      <c r="J21" s="83" t="str">
        <f t="shared" ca="1" si="2"/>
        <v>—</v>
      </c>
      <c r="K21" s="84"/>
    </row>
    <row r="22" spans="1:11" ht="15" customHeight="1" x14ac:dyDescent="0.25">
      <c r="A22" s="85"/>
      <c r="B22" s="41" t="str">
        <f>IF(A22="","",IFERROR(VLOOKUP(A22,DB_Customers!$A:$D,4,0),"❌ Account Not Found"))</f>
        <v/>
      </c>
      <c r="C22" s="86" t="str">
        <f>IF(A22="","",IFERROR(IF(SUMIF(DB_Savings!$C:$C,A22,DB_Savings!$F:$F)=0,VLOOKUP(A22,DB_Customers!$A:$I,9,0),VLOOKUP(A22,DB_Customers!$A:$N,14,0)),"❌ Acct Not Found"))</f>
        <v/>
      </c>
      <c r="D22" s="87" t="str">
        <f t="shared" ca="1" si="0"/>
        <v/>
      </c>
      <c r="E22" s="79"/>
      <c r="F22" s="88" t="str">
        <f t="shared" si="1"/>
        <v/>
      </c>
      <c r="G22" s="43" t="s">
        <v>138</v>
      </c>
      <c r="H22" s="81"/>
      <c r="I22" s="89" t="str">
        <f>IF(A22="","Pending",IF(H22="","⚠️ Enter Agent Code",IF(IFERROR(VLOOKUP(G22,DB_Agents!$B:$I,8,0),"")=H22,IF(AND(A22&lt;&gt;"",E22&lt;&gt;""),"Saved","Pending"),"🔒 BLOCKED — Wrong Code")))</f>
        <v>Pending</v>
      </c>
      <c r="J22" s="90" t="str">
        <f t="shared" ca="1" si="2"/>
        <v>—</v>
      </c>
      <c r="K22" s="91"/>
    </row>
    <row r="23" spans="1:11" ht="15" customHeight="1" x14ac:dyDescent="0.25">
      <c r="A23" s="76"/>
      <c r="B23" s="37" t="str">
        <f>IF(A23="","",IFERROR(VLOOKUP(A23,DB_Customers!$A:$D,4,0),"❌ Account Not Found"))</f>
        <v/>
      </c>
      <c r="C23" s="77" t="str">
        <f>IF(A23="","",IFERROR(IF(SUMIF(DB_Savings!$C:$C,A23,DB_Savings!$F:$F)=0,VLOOKUP(A23,DB_Customers!$A:$I,9,0),VLOOKUP(A23,DB_Customers!$A:$N,14,0)),"❌ Acct Not Found"))</f>
        <v/>
      </c>
      <c r="D23" s="78" t="str">
        <f t="shared" ca="1" si="0"/>
        <v/>
      </c>
      <c r="E23" s="79"/>
      <c r="F23" s="80" t="str">
        <f t="shared" si="1"/>
        <v/>
      </c>
      <c r="G23" s="39" t="s">
        <v>138</v>
      </c>
      <c r="H23" s="81"/>
      <c r="I23" s="82" t="str">
        <f>IF(A23="","Pending",IF(H23="","⚠️ Enter Agent Code",IF(IFERROR(VLOOKUP(G23,DB_Agents!$B:$I,8,0),"")=H23,IF(AND(A23&lt;&gt;"",E23&lt;&gt;""),"Saved","Pending"),"🔒 BLOCKED — Wrong Code")))</f>
        <v>Pending</v>
      </c>
      <c r="J23" s="83" t="str">
        <f t="shared" ca="1" si="2"/>
        <v>—</v>
      </c>
      <c r="K23" s="84"/>
    </row>
    <row r="24" spans="1:11" ht="15" customHeight="1" x14ac:dyDescent="0.25">
      <c r="A24" s="85"/>
      <c r="B24" s="41" t="str">
        <f>IF(A24="","",IFERROR(VLOOKUP(A24,DB_Customers!$A:$D,4,0),"❌ Account Not Found"))</f>
        <v/>
      </c>
      <c r="C24" s="86" t="str">
        <f>IF(A24="","",IFERROR(IF(SUMIF(DB_Savings!$C:$C,A24,DB_Savings!$F:$F)=0,VLOOKUP(A24,DB_Customers!$A:$I,9,0),VLOOKUP(A24,DB_Customers!$A:$N,14,0)),"❌ Acct Not Found"))</f>
        <v/>
      </c>
      <c r="D24" s="87" t="str">
        <f t="shared" ca="1" si="0"/>
        <v/>
      </c>
      <c r="E24" s="79"/>
      <c r="F24" s="88" t="str">
        <f t="shared" si="1"/>
        <v/>
      </c>
      <c r="G24" s="43" t="s">
        <v>138</v>
      </c>
      <c r="H24" s="81"/>
      <c r="I24" s="89" t="str">
        <f>IF(A24="","Pending",IF(H24="","⚠️ Enter Agent Code",IF(IFERROR(VLOOKUP(G24,DB_Agents!$B:$I,8,0),"")=H24,IF(AND(A24&lt;&gt;"",E24&lt;&gt;""),"Saved","Pending"),"🔒 BLOCKED — Wrong Code")))</f>
        <v>Pending</v>
      </c>
      <c r="J24" s="90" t="str">
        <f t="shared" ca="1" si="2"/>
        <v>—</v>
      </c>
      <c r="K24" s="91"/>
    </row>
    <row r="25" spans="1:11" ht="15" customHeight="1" x14ac:dyDescent="0.25">
      <c r="A25" s="76"/>
      <c r="B25" s="37" t="str">
        <f>IF(A25="","",IFERROR(VLOOKUP(A25,DB_Customers!$A:$D,4,0),"❌ Account Not Found"))</f>
        <v/>
      </c>
      <c r="C25" s="77" t="str">
        <f>IF(A25="","",IFERROR(IF(SUMIF(DB_Savings!$C:$C,A25,DB_Savings!$F:$F)=0,VLOOKUP(A25,DB_Customers!$A:$I,9,0),VLOOKUP(A25,DB_Customers!$A:$N,14,0)),"❌ Acct Not Found"))</f>
        <v/>
      </c>
      <c r="D25" s="78" t="str">
        <f t="shared" ca="1" si="0"/>
        <v/>
      </c>
      <c r="E25" s="79"/>
      <c r="F25" s="80" t="str">
        <f t="shared" si="1"/>
        <v/>
      </c>
      <c r="G25" s="39" t="s">
        <v>138</v>
      </c>
      <c r="H25" s="81"/>
      <c r="I25" s="82" t="str">
        <f>IF(A25="","Pending",IF(H25="","⚠️ Enter Agent Code",IF(IFERROR(VLOOKUP(G25,DB_Agents!$B:$I,8,0),"")=H25,IF(AND(A25&lt;&gt;"",E25&lt;&gt;""),"Saved","Pending"),"🔒 BLOCKED — Wrong Code")))</f>
        <v>Pending</v>
      </c>
      <c r="J25" s="83" t="str">
        <f t="shared" ca="1" si="2"/>
        <v>—</v>
      </c>
      <c r="K25" s="84"/>
    </row>
    <row r="26" spans="1:11" ht="15" customHeight="1" x14ac:dyDescent="0.25">
      <c r="A26" s="85"/>
      <c r="B26" s="41" t="str">
        <f>IF(A26="","",IFERROR(VLOOKUP(A26,DB_Customers!$A:$D,4,0),"❌ Account Not Found"))</f>
        <v/>
      </c>
      <c r="C26" s="86" t="str">
        <f>IF(A26="","",IFERROR(IF(SUMIF(DB_Savings!$C:$C,A26,DB_Savings!$F:$F)=0,VLOOKUP(A26,DB_Customers!$A:$I,9,0),VLOOKUP(A26,DB_Customers!$A:$N,14,0)),"❌ Acct Not Found"))</f>
        <v/>
      </c>
      <c r="D26" s="87" t="str">
        <f t="shared" ca="1" si="0"/>
        <v/>
      </c>
      <c r="E26" s="79"/>
      <c r="F26" s="88" t="str">
        <f t="shared" si="1"/>
        <v/>
      </c>
      <c r="G26" s="43" t="s">
        <v>138</v>
      </c>
      <c r="H26" s="81"/>
      <c r="I26" s="89" t="str">
        <f>IF(A26="","Pending",IF(H26="","⚠️ Enter Agent Code",IF(IFERROR(VLOOKUP(G26,DB_Agents!$B:$I,8,0),"")=H26,IF(AND(A26&lt;&gt;"",E26&lt;&gt;""),"Saved","Pending"),"🔒 BLOCKED — Wrong Code")))</f>
        <v>Pending</v>
      </c>
      <c r="J26" s="90" t="str">
        <f t="shared" ca="1" si="2"/>
        <v>—</v>
      </c>
      <c r="K26" s="91"/>
    </row>
    <row r="27" spans="1:11" ht="15" customHeight="1" x14ac:dyDescent="0.25">
      <c r="A27" s="76"/>
      <c r="B27" s="37" t="str">
        <f>IF(A27="","",IFERROR(VLOOKUP(A27,DB_Customers!$A:$D,4,0),"❌ Account Not Found"))</f>
        <v/>
      </c>
      <c r="C27" s="77" t="str">
        <f>IF(A27="","",IFERROR(IF(SUMIF(DB_Savings!$C:$C,A27,DB_Savings!$F:$F)=0,VLOOKUP(A27,DB_Customers!$A:$I,9,0),VLOOKUP(A27,DB_Customers!$A:$N,14,0)),"❌ Acct Not Found"))</f>
        <v/>
      </c>
      <c r="D27" s="78" t="str">
        <f t="shared" ca="1" si="0"/>
        <v/>
      </c>
      <c r="E27" s="79"/>
      <c r="F27" s="80" t="str">
        <f t="shared" si="1"/>
        <v/>
      </c>
      <c r="G27" s="39" t="s">
        <v>138</v>
      </c>
      <c r="H27" s="81"/>
      <c r="I27" s="82" t="str">
        <f>IF(A27="","Pending",IF(H27="","⚠️ Enter Agent Code",IF(IFERROR(VLOOKUP(G27,DB_Agents!$B:$I,8,0),"")=H27,IF(AND(A27&lt;&gt;"",E27&lt;&gt;""),"Saved","Pending"),"🔒 BLOCKED — Wrong Code")))</f>
        <v>Pending</v>
      </c>
      <c r="J27" s="83" t="str">
        <f t="shared" ca="1" si="2"/>
        <v>—</v>
      </c>
      <c r="K27" s="84"/>
    </row>
    <row r="28" spans="1:11" ht="15" customHeight="1" x14ac:dyDescent="0.25">
      <c r="A28" s="85"/>
      <c r="B28" s="41" t="str">
        <f>IF(A28="","",IFERROR(VLOOKUP(A28,DB_Customers!$A:$D,4,0),"❌ Account Not Found"))</f>
        <v/>
      </c>
      <c r="C28" s="86" t="str">
        <f>IF(A28="","",IFERROR(IF(SUMIF(DB_Savings!$C:$C,A28,DB_Savings!$F:$F)=0,VLOOKUP(A28,DB_Customers!$A:$I,9,0),VLOOKUP(A28,DB_Customers!$A:$N,14,0)),"❌ Acct Not Found"))</f>
        <v/>
      </c>
      <c r="D28" s="87" t="str">
        <f t="shared" ca="1" si="0"/>
        <v/>
      </c>
      <c r="E28" s="79"/>
      <c r="F28" s="88" t="str">
        <f t="shared" si="1"/>
        <v/>
      </c>
      <c r="G28" s="43" t="s">
        <v>138</v>
      </c>
      <c r="H28" s="81"/>
      <c r="I28" s="89" t="str">
        <f>IF(A28="","Pending",IF(H28="","⚠️ Enter Agent Code",IF(IFERROR(VLOOKUP(G28,DB_Agents!$B:$I,8,0),"")=H28,IF(AND(A28&lt;&gt;"",E28&lt;&gt;""),"Saved","Pending"),"🔒 BLOCKED — Wrong Code")))</f>
        <v>Pending</v>
      </c>
      <c r="J28" s="90" t="str">
        <f t="shared" ca="1" si="2"/>
        <v>—</v>
      </c>
      <c r="K28" s="91"/>
    </row>
    <row r="29" spans="1:11" ht="15" customHeight="1" x14ac:dyDescent="0.25">
      <c r="A29" s="76"/>
      <c r="B29" s="37" t="str">
        <f>IF(A29="","",IFERROR(VLOOKUP(A29,DB_Customers!$A:$D,4,0),"❌ Account Not Found"))</f>
        <v/>
      </c>
      <c r="C29" s="77" t="str">
        <f>IF(A29="","",IFERROR(IF(SUMIF(DB_Savings!$C:$C,A29,DB_Savings!$F:$F)=0,VLOOKUP(A29,DB_Customers!$A:$I,9,0),VLOOKUP(A29,DB_Customers!$A:$N,14,0)),"❌ Acct Not Found"))</f>
        <v/>
      </c>
      <c r="D29" s="78" t="str">
        <f t="shared" ca="1" si="0"/>
        <v/>
      </c>
      <c r="E29" s="79"/>
      <c r="F29" s="80" t="str">
        <f t="shared" si="1"/>
        <v/>
      </c>
      <c r="G29" s="39" t="s">
        <v>138</v>
      </c>
      <c r="H29" s="81"/>
      <c r="I29" s="82" t="str">
        <f>IF(A29="","Pending",IF(H29="","⚠️ Enter Agent Code",IF(IFERROR(VLOOKUP(G29,DB_Agents!$B:$I,8,0),"")=H29,IF(AND(A29&lt;&gt;"",E29&lt;&gt;""),"Saved","Pending"),"🔒 BLOCKED — Wrong Code")))</f>
        <v>Pending</v>
      </c>
      <c r="J29" s="83" t="str">
        <f t="shared" ca="1" si="2"/>
        <v>—</v>
      </c>
      <c r="K29" s="84"/>
    </row>
    <row r="30" spans="1:11" ht="15" customHeight="1" x14ac:dyDescent="0.25">
      <c r="A30" s="85"/>
      <c r="B30" s="41" t="str">
        <f>IF(A30="","",IFERROR(VLOOKUP(A30,DB_Customers!$A:$D,4,0),"❌ Account Not Found"))</f>
        <v/>
      </c>
      <c r="C30" s="86" t="str">
        <f>IF(A30="","",IFERROR(IF(SUMIF(DB_Savings!$C:$C,A30,DB_Savings!$F:$F)=0,VLOOKUP(A30,DB_Customers!$A:$I,9,0),VLOOKUP(A30,DB_Customers!$A:$N,14,0)),"❌ Acct Not Found"))</f>
        <v/>
      </c>
      <c r="D30" s="87" t="str">
        <f t="shared" ca="1" si="0"/>
        <v/>
      </c>
      <c r="E30" s="79"/>
      <c r="F30" s="88" t="str">
        <f t="shared" si="1"/>
        <v/>
      </c>
      <c r="G30" s="43" t="s">
        <v>138</v>
      </c>
      <c r="H30" s="81"/>
      <c r="I30" s="89" t="str">
        <f>IF(A30="","Pending",IF(H30="","⚠️ Enter Agent Code",IF(IFERROR(VLOOKUP(G30,DB_Agents!$B:$I,8,0),"")=H30,IF(AND(A30&lt;&gt;"",E30&lt;&gt;""),"Saved","Pending"),"🔒 BLOCKED — Wrong Code")))</f>
        <v>Pending</v>
      </c>
      <c r="J30" s="90" t="str">
        <f t="shared" ca="1" si="2"/>
        <v>—</v>
      </c>
      <c r="K30" s="91"/>
    </row>
    <row r="31" spans="1:11" ht="15" customHeight="1" x14ac:dyDescent="0.25">
      <c r="A31" s="76"/>
      <c r="B31" s="37" t="str">
        <f>IF(A31="","",IFERROR(VLOOKUP(A31,DB_Customers!$A:$D,4,0),"❌ Account Not Found"))</f>
        <v/>
      </c>
      <c r="C31" s="77" t="str">
        <f>IF(A31="","",IFERROR(IF(SUMIF(DB_Savings!$C:$C,A31,DB_Savings!$F:$F)=0,VLOOKUP(A31,DB_Customers!$A:$I,9,0),VLOOKUP(A31,DB_Customers!$A:$N,14,0)),"❌ Acct Not Found"))</f>
        <v/>
      </c>
      <c r="D31" s="78" t="str">
        <f t="shared" ca="1" si="0"/>
        <v/>
      </c>
      <c r="E31" s="79"/>
      <c r="F31" s="80" t="str">
        <f t="shared" si="1"/>
        <v/>
      </c>
      <c r="G31" s="39" t="s">
        <v>138</v>
      </c>
      <c r="H31" s="81"/>
      <c r="I31" s="82" t="str">
        <f>IF(A31="","Pending",IF(H31="","⚠️ Enter Agent Code",IF(IFERROR(VLOOKUP(G31,DB_Agents!$B:$I,8,0),"")=H31,IF(AND(A31&lt;&gt;"",E31&lt;&gt;""),"Saved","Pending"),"🔒 BLOCKED — Wrong Code")))</f>
        <v>Pending</v>
      </c>
      <c r="J31" s="83" t="str">
        <f t="shared" ca="1" si="2"/>
        <v>—</v>
      </c>
      <c r="K31" s="84"/>
    </row>
    <row r="32" spans="1:11" ht="15" customHeight="1" x14ac:dyDescent="0.25">
      <c r="A32" s="85"/>
      <c r="B32" s="41" t="str">
        <f>IF(A32="","",IFERROR(VLOOKUP(A32,DB_Customers!$A:$D,4,0),"❌ Account Not Found"))</f>
        <v/>
      </c>
      <c r="C32" s="86" t="str">
        <f>IF(A32="","",IFERROR(IF(SUMIF(DB_Savings!$C:$C,A32,DB_Savings!$F:$F)=0,VLOOKUP(A32,DB_Customers!$A:$I,9,0),VLOOKUP(A32,DB_Customers!$A:$N,14,0)),"❌ Acct Not Found"))</f>
        <v/>
      </c>
      <c r="D32" s="87" t="str">
        <f t="shared" ca="1" si="0"/>
        <v/>
      </c>
      <c r="E32" s="79"/>
      <c r="F32" s="88" t="str">
        <f t="shared" si="1"/>
        <v/>
      </c>
      <c r="G32" s="43" t="s">
        <v>138</v>
      </c>
      <c r="H32" s="81"/>
      <c r="I32" s="89" t="str">
        <f>IF(A32="","Pending",IF(H32="","⚠️ Enter Agent Code",IF(IFERROR(VLOOKUP(G32,DB_Agents!$B:$I,8,0),"")=H32,IF(AND(A32&lt;&gt;"",E32&lt;&gt;""),"Saved","Pending"),"🔒 BLOCKED — Wrong Code")))</f>
        <v>Pending</v>
      </c>
      <c r="J32" s="90" t="str">
        <f t="shared" ca="1" si="2"/>
        <v>—</v>
      </c>
      <c r="K32" s="91"/>
    </row>
    <row r="33" spans="1:11" ht="15" customHeight="1" x14ac:dyDescent="0.25">
      <c r="A33" s="76"/>
      <c r="B33" s="37" t="str">
        <f>IF(A33="","",IFERROR(VLOOKUP(A33,DB_Customers!$A:$D,4,0),"❌ Account Not Found"))</f>
        <v/>
      </c>
      <c r="C33" s="77" t="str">
        <f>IF(A33="","",IFERROR(IF(SUMIF(DB_Savings!$C:$C,A33,DB_Savings!$F:$F)=0,VLOOKUP(A33,DB_Customers!$A:$I,9,0),VLOOKUP(A33,DB_Customers!$A:$N,14,0)),"❌ Acct Not Found"))</f>
        <v/>
      </c>
      <c r="D33" s="78" t="str">
        <f t="shared" ca="1" si="0"/>
        <v/>
      </c>
      <c r="E33" s="79"/>
      <c r="F33" s="80" t="str">
        <f t="shared" si="1"/>
        <v/>
      </c>
      <c r="G33" s="39" t="s">
        <v>138</v>
      </c>
      <c r="H33" s="81"/>
      <c r="I33" s="82" t="str">
        <f>IF(A33="","Pending",IF(H33="","⚠️ Enter Agent Code",IF(IFERROR(VLOOKUP(G33,DB_Agents!$B:$I,8,0),"")=H33,IF(AND(A33&lt;&gt;"",E33&lt;&gt;""),"Saved","Pending"),"🔒 BLOCKED — Wrong Code")))</f>
        <v>Pending</v>
      </c>
      <c r="J33" s="83" t="str">
        <f t="shared" ca="1" si="2"/>
        <v>—</v>
      </c>
      <c r="K33" s="84"/>
    </row>
    <row r="34" spans="1:11" ht="15" customHeight="1" x14ac:dyDescent="0.25">
      <c r="A34" s="85"/>
      <c r="B34" s="41" t="str">
        <f>IF(A34="","",IFERROR(VLOOKUP(A34,DB_Customers!$A:$D,4,0),"❌ Account Not Found"))</f>
        <v/>
      </c>
      <c r="C34" s="86" t="str">
        <f>IF(A34="","",IFERROR(IF(SUMIF(DB_Savings!$C:$C,A34,DB_Savings!$F:$F)=0,VLOOKUP(A34,DB_Customers!$A:$I,9,0),VLOOKUP(A34,DB_Customers!$A:$N,14,0)),"❌ Acct Not Found"))</f>
        <v/>
      </c>
      <c r="D34" s="87" t="str">
        <f t="shared" ca="1" si="0"/>
        <v/>
      </c>
      <c r="E34" s="79"/>
      <c r="F34" s="88" t="str">
        <f t="shared" si="1"/>
        <v/>
      </c>
      <c r="G34" s="43" t="s">
        <v>138</v>
      </c>
      <c r="H34" s="81"/>
      <c r="I34" s="89" t="str">
        <f>IF(A34="","Pending",IF(H34="","⚠️ Enter Agent Code",IF(IFERROR(VLOOKUP(G34,DB_Agents!$B:$I,8,0),"")=H34,IF(AND(A34&lt;&gt;"",E34&lt;&gt;""),"Saved","Pending"),"🔒 BLOCKED — Wrong Code")))</f>
        <v>Pending</v>
      </c>
      <c r="J34" s="90" t="str">
        <f t="shared" ca="1" si="2"/>
        <v>—</v>
      </c>
      <c r="K34" s="91"/>
    </row>
    <row r="35" spans="1:11" ht="15" customHeight="1" x14ac:dyDescent="0.25">
      <c r="A35" s="76"/>
      <c r="B35" s="37" t="str">
        <f>IF(A35="","",IFERROR(VLOOKUP(A35,DB_Customers!$A:$D,4,0),"❌ Account Not Found"))</f>
        <v/>
      </c>
      <c r="C35" s="77" t="str">
        <f>IF(A35="","",IFERROR(IF(SUMIF(DB_Savings!$C:$C,A35,DB_Savings!$F:$F)=0,VLOOKUP(A35,DB_Customers!$A:$I,9,0),VLOOKUP(A35,DB_Customers!$A:$N,14,0)),"❌ Acct Not Found"))</f>
        <v/>
      </c>
      <c r="D35" s="78" t="str">
        <f t="shared" ca="1" si="0"/>
        <v/>
      </c>
      <c r="E35" s="79"/>
      <c r="F35" s="80" t="str">
        <f t="shared" si="1"/>
        <v/>
      </c>
      <c r="G35" s="39" t="s">
        <v>138</v>
      </c>
      <c r="H35" s="81"/>
      <c r="I35" s="82" t="str">
        <f>IF(A35="","Pending",IF(H35="","⚠️ Enter Agent Code",IF(IFERROR(VLOOKUP(G35,DB_Agents!$B:$I,8,0),"")=H35,IF(AND(A35&lt;&gt;"",E35&lt;&gt;""),"Saved","Pending"),"🔒 BLOCKED — Wrong Code")))</f>
        <v>Pending</v>
      </c>
      <c r="J35" s="83" t="str">
        <f t="shared" ca="1" si="2"/>
        <v>—</v>
      </c>
      <c r="K35" s="84"/>
    </row>
    <row r="36" spans="1:11" ht="15" customHeight="1" x14ac:dyDescent="0.25">
      <c r="A36" s="85"/>
      <c r="B36" s="41" t="str">
        <f>IF(A36="","",IFERROR(VLOOKUP(A36,DB_Customers!$A:$D,4,0),"❌ Account Not Found"))</f>
        <v/>
      </c>
      <c r="C36" s="86" t="str">
        <f>IF(A36="","",IFERROR(IF(SUMIF(DB_Savings!$C:$C,A36,DB_Savings!$F:$F)=0,VLOOKUP(A36,DB_Customers!$A:$I,9,0),VLOOKUP(A36,DB_Customers!$A:$N,14,0)),"❌ Acct Not Found"))</f>
        <v/>
      </c>
      <c r="D36" s="87" t="str">
        <f t="shared" ca="1" si="0"/>
        <v/>
      </c>
      <c r="E36" s="79"/>
      <c r="F36" s="88" t="str">
        <f t="shared" si="1"/>
        <v/>
      </c>
      <c r="G36" s="43" t="s">
        <v>138</v>
      </c>
      <c r="H36" s="81"/>
      <c r="I36" s="89" t="str">
        <f>IF(A36="","Pending",IF(H36="","⚠️ Enter Agent Code",IF(IFERROR(VLOOKUP(G36,DB_Agents!$B:$I,8,0),"")=H36,IF(AND(A36&lt;&gt;"",E36&lt;&gt;""),"Saved","Pending"),"🔒 BLOCKED — Wrong Code")))</f>
        <v>Pending</v>
      </c>
      <c r="J36" s="90" t="str">
        <f t="shared" ca="1" si="2"/>
        <v>—</v>
      </c>
      <c r="K36" s="91"/>
    </row>
    <row r="37" spans="1:11" ht="15" customHeight="1" x14ac:dyDescent="0.25">
      <c r="A37" s="76"/>
      <c r="B37" s="37" t="str">
        <f>IF(A37="","",IFERROR(VLOOKUP(A37,DB_Customers!$A:$D,4,0),"❌ Account Not Found"))</f>
        <v/>
      </c>
      <c r="C37" s="77" t="str">
        <f>IF(A37="","",IFERROR(IF(SUMIF(DB_Savings!$C:$C,A37,DB_Savings!$F:$F)=0,VLOOKUP(A37,DB_Customers!$A:$I,9,0),VLOOKUP(A37,DB_Customers!$A:$N,14,0)),"❌ Acct Not Found"))</f>
        <v/>
      </c>
      <c r="D37" s="78" t="str">
        <f t="shared" ca="1" si="0"/>
        <v/>
      </c>
      <c r="E37" s="79"/>
      <c r="F37" s="80" t="str">
        <f t="shared" si="1"/>
        <v/>
      </c>
      <c r="G37" s="39" t="s">
        <v>138</v>
      </c>
      <c r="H37" s="81"/>
      <c r="I37" s="82" t="str">
        <f>IF(A37="","Pending",IF(H37="","⚠️ Enter Agent Code",IF(IFERROR(VLOOKUP(G37,DB_Agents!$B:$I,8,0),"")=H37,IF(AND(A37&lt;&gt;"",E37&lt;&gt;""),"Saved","Pending"),"🔒 BLOCKED — Wrong Code")))</f>
        <v>Pending</v>
      </c>
      <c r="J37" s="83" t="str">
        <f t="shared" ca="1" si="2"/>
        <v>—</v>
      </c>
      <c r="K37" s="84"/>
    </row>
    <row r="38" spans="1:11" ht="15" customHeight="1" x14ac:dyDescent="0.25">
      <c r="A38" s="85"/>
      <c r="B38" s="41" t="str">
        <f>IF(A38="","",IFERROR(VLOOKUP(A38,DB_Customers!$A:$D,4,0),"❌ Account Not Found"))</f>
        <v/>
      </c>
      <c r="C38" s="86" t="str">
        <f>IF(A38="","",IFERROR(IF(SUMIF(DB_Savings!$C:$C,A38,DB_Savings!$F:$F)=0,VLOOKUP(A38,DB_Customers!$A:$I,9,0),VLOOKUP(A38,DB_Customers!$A:$N,14,0)),"❌ Acct Not Found"))</f>
        <v/>
      </c>
      <c r="D38" s="87" t="str">
        <f t="shared" ca="1" si="0"/>
        <v/>
      </c>
      <c r="E38" s="79"/>
      <c r="F38" s="88" t="str">
        <f t="shared" si="1"/>
        <v/>
      </c>
      <c r="G38" s="43" t="s">
        <v>138</v>
      </c>
      <c r="H38" s="81"/>
      <c r="I38" s="89" t="str">
        <f>IF(A38="","Pending",IF(H38="","⚠️ Enter Agent Code",IF(IFERROR(VLOOKUP(G38,DB_Agents!$B:$I,8,0),"")=H38,IF(AND(A38&lt;&gt;"",E38&lt;&gt;""),"Saved","Pending"),"🔒 BLOCKED — Wrong Code")))</f>
        <v>Pending</v>
      </c>
      <c r="J38" s="90" t="str">
        <f t="shared" ca="1" si="2"/>
        <v>—</v>
      </c>
      <c r="K38" s="91"/>
    </row>
    <row r="39" spans="1:11" ht="15" customHeight="1" x14ac:dyDescent="0.25">
      <c r="A39" s="76"/>
      <c r="B39" s="37" t="str">
        <f>IF(A39="","",IFERROR(VLOOKUP(A39,DB_Customers!$A:$D,4,0),"❌ Account Not Found"))</f>
        <v/>
      </c>
      <c r="C39" s="77" t="str">
        <f>IF(A39="","",IFERROR(IF(SUMIF(DB_Savings!$C:$C,A39,DB_Savings!$F:$F)=0,VLOOKUP(A39,DB_Customers!$A:$I,9,0),VLOOKUP(A39,DB_Customers!$A:$N,14,0)),"❌ Acct Not Found"))</f>
        <v/>
      </c>
      <c r="D39" s="78" t="str">
        <f t="shared" ca="1" si="0"/>
        <v/>
      </c>
      <c r="E39" s="79"/>
      <c r="F39" s="80" t="str">
        <f t="shared" si="1"/>
        <v/>
      </c>
      <c r="G39" s="39" t="s">
        <v>138</v>
      </c>
      <c r="H39" s="81"/>
      <c r="I39" s="82" t="str">
        <f>IF(A39="","Pending",IF(H39="","⚠️ Enter Agent Code",IF(IFERROR(VLOOKUP(G39,DB_Agents!$B:$I,8,0),"")=H39,IF(AND(A39&lt;&gt;"",E39&lt;&gt;""),"Saved","Pending"),"🔒 BLOCKED — Wrong Code")))</f>
        <v>Pending</v>
      </c>
      <c r="J39" s="83" t="str">
        <f t="shared" ca="1" si="2"/>
        <v>—</v>
      </c>
      <c r="K39" s="84"/>
    </row>
    <row r="40" spans="1:11" ht="15" customHeight="1" x14ac:dyDescent="0.25">
      <c r="A40" s="85"/>
      <c r="B40" s="41" t="str">
        <f>IF(A40="","",IFERROR(VLOOKUP(A40,DB_Customers!$A:$D,4,0),"❌ Account Not Found"))</f>
        <v/>
      </c>
      <c r="C40" s="86" t="str">
        <f>IF(A40="","",IFERROR(IF(SUMIF(DB_Savings!$C:$C,A40,DB_Savings!$F:$F)=0,VLOOKUP(A40,DB_Customers!$A:$I,9,0),VLOOKUP(A40,DB_Customers!$A:$N,14,0)),"❌ Acct Not Found"))</f>
        <v/>
      </c>
      <c r="D40" s="87" t="str">
        <f t="shared" ca="1" si="0"/>
        <v/>
      </c>
      <c r="E40" s="79"/>
      <c r="F40" s="88" t="str">
        <f t="shared" si="1"/>
        <v/>
      </c>
      <c r="G40" s="43" t="s">
        <v>138</v>
      </c>
      <c r="H40" s="81"/>
      <c r="I40" s="89" t="str">
        <f>IF(A40="","Pending",IF(H40="","⚠️ Enter Agent Code",IF(IFERROR(VLOOKUP(G40,DB_Agents!$B:$I,8,0),"")=H40,IF(AND(A40&lt;&gt;"",E40&lt;&gt;""),"Saved","Pending"),"🔒 BLOCKED — Wrong Code")))</f>
        <v>Pending</v>
      </c>
      <c r="J40" s="90" t="str">
        <f t="shared" ca="1" si="2"/>
        <v>—</v>
      </c>
      <c r="K40" s="91"/>
    </row>
    <row r="41" spans="1:11" ht="15" customHeight="1" x14ac:dyDescent="0.25">
      <c r="A41" s="76"/>
      <c r="B41" s="37" t="str">
        <f>IF(A41="","",IFERROR(VLOOKUP(A41,DB_Customers!$A:$D,4,0),"❌ Account Not Found"))</f>
        <v/>
      </c>
      <c r="C41" s="77" t="str">
        <f>IF(A41="","",IFERROR(IF(SUMIF(DB_Savings!$C:$C,A41,DB_Savings!$F:$F)=0,VLOOKUP(A41,DB_Customers!$A:$I,9,0),VLOOKUP(A41,DB_Customers!$A:$N,14,0)),"❌ Acct Not Found"))</f>
        <v/>
      </c>
      <c r="D41" s="78" t="str">
        <f t="shared" ref="D41:D72" ca="1" si="3">IF(A41="","",TODAY())</f>
        <v/>
      </c>
      <c r="E41" s="79"/>
      <c r="F41" s="80" t="str">
        <f t="shared" ref="F41:F72" si="4">IF(OR(A41="",E41=""),"",IF(C41="","",C41+E41))</f>
        <v/>
      </c>
      <c r="G41" s="39" t="s">
        <v>138</v>
      </c>
      <c r="H41" s="81"/>
      <c r="I41" s="82" t="str">
        <f>IF(A41="","Pending",IF(H41="","⚠️ Enter Agent Code",IF(IFERROR(VLOOKUP(G41,DB_Agents!$B:$I,8,0),"")=H41,IF(AND(A41&lt;&gt;"",E41&lt;&gt;""),"Saved","Pending"),"🔒 BLOCKED — Wrong Code")))</f>
        <v>Pending</v>
      </c>
      <c r="J41" s="83" t="str">
        <f t="shared" ref="J41:J72" ca="1" si="5">IF(I41="Saved",TEXT(TODAY(),"YYYY-MM-DD")&amp;" Auto","—")</f>
        <v>—</v>
      </c>
      <c r="K41" s="84"/>
    </row>
    <row r="42" spans="1:11" ht="15" customHeight="1" x14ac:dyDescent="0.25">
      <c r="A42" s="85"/>
      <c r="B42" s="41" t="str">
        <f>IF(A42="","",IFERROR(VLOOKUP(A42,DB_Customers!$A:$D,4,0),"❌ Account Not Found"))</f>
        <v/>
      </c>
      <c r="C42" s="86" t="str">
        <f>IF(A42="","",IFERROR(IF(SUMIF(DB_Savings!$C:$C,A42,DB_Savings!$F:$F)=0,VLOOKUP(A42,DB_Customers!$A:$I,9,0),VLOOKUP(A42,DB_Customers!$A:$N,14,0)),"❌ Acct Not Found"))</f>
        <v/>
      </c>
      <c r="D42" s="87" t="str">
        <f t="shared" ca="1" si="3"/>
        <v/>
      </c>
      <c r="E42" s="79"/>
      <c r="F42" s="88" t="str">
        <f t="shared" si="4"/>
        <v/>
      </c>
      <c r="G42" s="43" t="s">
        <v>138</v>
      </c>
      <c r="H42" s="81"/>
      <c r="I42" s="89" t="str">
        <f>IF(A42="","Pending",IF(H42="","⚠️ Enter Agent Code",IF(IFERROR(VLOOKUP(G42,DB_Agents!$B:$I,8,0),"")=H42,IF(AND(A42&lt;&gt;"",E42&lt;&gt;""),"Saved","Pending"),"🔒 BLOCKED — Wrong Code")))</f>
        <v>Pending</v>
      </c>
      <c r="J42" s="90" t="str">
        <f t="shared" ca="1" si="5"/>
        <v>—</v>
      </c>
      <c r="K42" s="91"/>
    </row>
    <row r="43" spans="1:11" ht="15" customHeight="1" x14ac:dyDescent="0.25">
      <c r="A43" s="76"/>
      <c r="B43" s="37" t="str">
        <f>IF(A43="","",IFERROR(VLOOKUP(A43,DB_Customers!$A:$D,4,0),"❌ Account Not Found"))</f>
        <v/>
      </c>
      <c r="C43" s="77" t="str">
        <f>IF(A43="","",IFERROR(IF(SUMIF(DB_Savings!$C:$C,A43,DB_Savings!$F:$F)=0,VLOOKUP(A43,DB_Customers!$A:$I,9,0),VLOOKUP(A43,DB_Customers!$A:$N,14,0)),"❌ Acct Not Found"))</f>
        <v/>
      </c>
      <c r="D43" s="78" t="str">
        <f t="shared" ca="1" si="3"/>
        <v/>
      </c>
      <c r="E43" s="79"/>
      <c r="F43" s="80" t="str">
        <f t="shared" si="4"/>
        <v/>
      </c>
      <c r="G43" s="39" t="s">
        <v>138</v>
      </c>
      <c r="H43" s="81"/>
      <c r="I43" s="82" t="str">
        <f>IF(A43="","Pending",IF(H43="","⚠️ Enter Agent Code",IF(IFERROR(VLOOKUP(G43,DB_Agents!$B:$I,8,0),"")=H43,IF(AND(A43&lt;&gt;"",E43&lt;&gt;""),"Saved","Pending"),"🔒 BLOCKED — Wrong Code")))</f>
        <v>Pending</v>
      </c>
      <c r="J43" s="83" t="str">
        <f t="shared" ca="1" si="5"/>
        <v>—</v>
      </c>
      <c r="K43" s="84"/>
    </row>
    <row r="44" spans="1:11" ht="15" customHeight="1" x14ac:dyDescent="0.25">
      <c r="A44" s="85"/>
      <c r="B44" s="41" t="str">
        <f>IF(A44="","",IFERROR(VLOOKUP(A44,DB_Customers!$A:$D,4,0),"❌ Account Not Found"))</f>
        <v/>
      </c>
      <c r="C44" s="86" t="str">
        <f>IF(A44="","",IFERROR(IF(SUMIF(DB_Savings!$C:$C,A44,DB_Savings!$F:$F)=0,VLOOKUP(A44,DB_Customers!$A:$I,9,0),VLOOKUP(A44,DB_Customers!$A:$N,14,0)),"❌ Acct Not Found"))</f>
        <v/>
      </c>
      <c r="D44" s="87" t="str">
        <f t="shared" ca="1" si="3"/>
        <v/>
      </c>
      <c r="E44" s="79"/>
      <c r="F44" s="88" t="str">
        <f t="shared" si="4"/>
        <v/>
      </c>
      <c r="G44" s="43" t="s">
        <v>138</v>
      </c>
      <c r="H44" s="81"/>
      <c r="I44" s="89" t="str">
        <f>IF(A44="","Pending",IF(H44="","⚠️ Enter Agent Code",IF(IFERROR(VLOOKUP(G44,DB_Agents!$B:$I,8,0),"")=H44,IF(AND(A44&lt;&gt;"",E44&lt;&gt;""),"Saved","Pending"),"🔒 BLOCKED — Wrong Code")))</f>
        <v>Pending</v>
      </c>
      <c r="J44" s="90" t="str">
        <f t="shared" ca="1" si="5"/>
        <v>—</v>
      </c>
      <c r="K44" s="91"/>
    </row>
    <row r="45" spans="1:11" ht="15" customHeight="1" x14ac:dyDescent="0.25">
      <c r="A45" s="76"/>
      <c r="B45" s="37" t="str">
        <f>IF(A45="","",IFERROR(VLOOKUP(A45,DB_Customers!$A:$D,4,0),"❌ Account Not Found"))</f>
        <v/>
      </c>
      <c r="C45" s="77" t="str">
        <f>IF(A45="","",IFERROR(IF(SUMIF(DB_Savings!$C:$C,A45,DB_Savings!$F:$F)=0,VLOOKUP(A45,DB_Customers!$A:$I,9,0),VLOOKUP(A45,DB_Customers!$A:$N,14,0)),"❌ Acct Not Found"))</f>
        <v/>
      </c>
      <c r="D45" s="78" t="str">
        <f t="shared" ca="1" si="3"/>
        <v/>
      </c>
      <c r="E45" s="79"/>
      <c r="F45" s="80" t="str">
        <f t="shared" si="4"/>
        <v/>
      </c>
      <c r="G45" s="39" t="s">
        <v>138</v>
      </c>
      <c r="H45" s="81"/>
      <c r="I45" s="82" t="str">
        <f>IF(A45="","Pending",IF(H45="","⚠️ Enter Agent Code",IF(IFERROR(VLOOKUP(G45,DB_Agents!$B:$I,8,0),"")=H45,IF(AND(A45&lt;&gt;"",E45&lt;&gt;""),"Saved","Pending"),"🔒 BLOCKED — Wrong Code")))</f>
        <v>Pending</v>
      </c>
      <c r="J45" s="83" t="str">
        <f t="shared" ca="1" si="5"/>
        <v>—</v>
      </c>
      <c r="K45" s="84"/>
    </row>
    <row r="46" spans="1:11" ht="15" customHeight="1" x14ac:dyDescent="0.25">
      <c r="A46" s="85"/>
      <c r="B46" s="41" t="str">
        <f>IF(A46="","",IFERROR(VLOOKUP(A46,DB_Customers!$A:$D,4,0),"❌ Account Not Found"))</f>
        <v/>
      </c>
      <c r="C46" s="86" t="str">
        <f>IF(A46="","",IFERROR(IF(SUMIF(DB_Savings!$C:$C,A46,DB_Savings!$F:$F)=0,VLOOKUP(A46,DB_Customers!$A:$I,9,0),VLOOKUP(A46,DB_Customers!$A:$N,14,0)),"❌ Acct Not Found"))</f>
        <v/>
      </c>
      <c r="D46" s="87" t="str">
        <f t="shared" ca="1" si="3"/>
        <v/>
      </c>
      <c r="E46" s="79"/>
      <c r="F46" s="88" t="str">
        <f t="shared" si="4"/>
        <v/>
      </c>
      <c r="G46" s="43" t="s">
        <v>138</v>
      </c>
      <c r="H46" s="81"/>
      <c r="I46" s="89" t="str">
        <f>IF(A46="","Pending",IF(H46="","⚠️ Enter Agent Code",IF(IFERROR(VLOOKUP(G46,DB_Agents!$B:$I,8,0),"")=H46,IF(AND(A46&lt;&gt;"",E46&lt;&gt;""),"Saved","Pending"),"🔒 BLOCKED — Wrong Code")))</f>
        <v>Pending</v>
      </c>
      <c r="J46" s="90" t="str">
        <f t="shared" ca="1" si="5"/>
        <v>—</v>
      </c>
      <c r="K46" s="91"/>
    </row>
    <row r="47" spans="1:11" ht="15" customHeight="1" x14ac:dyDescent="0.25">
      <c r="A47" s="76"/>
      <c r="B47" s="37" t="str">
        <f>IF(A47="","",IFERROR(VLOOKUP(A47,DB_Customers!$A:$D,4,0),"❌ Account Not Found"))</f>
        <v/>
      </c>
      <c r="C47" s="77" t="str">
        <f>IF(A47="","",IFERROR(IF(SUMIF(DB_Savings!$C:$C,A47,DB_Savings!$F:$F)=0,VLOOKUP(A47,DB_Customers!$A:$I,9,0),VLOOKUP(A47,DB_Customers!$A:$N,14,0)),"❌ Acct Not Found"))</f>
        <v/>
      </c>
      <c r="D47" s="78" t="str">
        <f t="shared" ca="1" si="3"/>
        <v/>
      </c>
      <c r="E47" s="79"/>
      <c r="F47" s="80" t="str">
        <f t="shared" si="4"/>
        <v/>
      </c>
      <c r="G47" s="39" t="s">
        <v>138</v>
      </c>
      <c r="H47" s="81"/>
      <c r="I47" s="82" t="str">
        <f>IF(A47="","Pending",IF(H47="","⚠️ Enter Agent Code",IF(IFERROR(VLOOKUP(G47,DB_Agents!$B:$I,8,0),"")=H47,IF(AND(A47&lt;&gt;"",E47&lt;&gt;""),"Saved","Pending"),"🔒 BLOCKED — Wrong Code")))</f>
        <v>Pending</v>
      </c>
      <c r="J47" s="83" t="str">
        <f t="shared" ca="1" si="5"/>
        <v>—</v>
      </c>
      <c r="K47" s="84"/>
    </row>
    <row r="48" spans="1:11" ht="15" customHeight="1" x14ac:dyDescent="0.25">
      <c r="A48" s="85"/>
      <c r="B48" s="41" t="str">
        <f>IF(A48="","",IFERROR(VLOOKUP(A48,DB_Customers!$A:$D,4,0),"❌ Account Not Found"))</f>
        <v/>
      </c>
      <c r="C48" s="86" t="str">
        <f>IF(A48="","",IFERROR(IF(SUMIF(DB_Savings!$C:$C,A48,DB_Savings!$F:$F)=0,VLOOKUP(A48,DB_Customers!$A:$I,9,0),VLOOKUP(A48,DB_Customers!$A:$N,14,0)),"❌ Acct Not Found"))</f>
        <v/>
      </c>
      <c r="D48" s="87" t="str">
        <f t="shared" ca="1" si="3"/>
        <v/>
      </c>
      <c r="E48" s="79"/>
      <c r="F48" s="88" t="str">
        <f t="shared" si="4"/>
        <v/>
      </c>
      <c r="G48" s="43" t="s">
        <v>138</v>
      </c>
      <c r="H48" s="81"/>
      <c r="I48" s="89" t="str">
        <f>IF(A48="","Pending",IF(H48="","⚠️ Enter Agent Code",IF(IFERROR(VLOOKUP(G48,DB_Agents!$B:$I,8,0),"")=H48,IF(AND(A48&lt;&gt;"",E48&lt;&gt;""),"Saved","Pending"),"🔒 BLOCKED — Wrong Code")))</f>
        <v>Pending</v>
      </c>
      <c r="J48" s="90" t="str">
        <f t="shared" ca="1" si="5"/>
        <v>—</v>
      </c>
      <c r="K48" s="91"/>
    </row>
    <row r="49" spans="1:11" ht="15" customHeight="1" x14ac:dyDescent="0.25">
      <c r="A49" s="76"/>
      <c r="B49" s="37" t="str">
        <f>IF(A49="","",IFERROR(VLOOKUP(A49,DB_Customers!$A:$D,4,0),"❌ Account Not Found"))</f>
        <v/>
      </c>
      <c r="C49" s="77" t="str">
        <f>IF(A49="","",IFERROR(IF(SUMIF(DB_Savings!$C:$C,A49,DB_Savings!$F:$F)=0,VLOOKUP(A49,DB_Customers!$A:$I,9,0),VLOOKUP(A49,DB_Customers!$A:$N,14,0)),"❌ Acct Not Found"))</f>
        <v/>
      </c>
      <c r="D49" s="78" t="str">
        <f t="shared" ca="1" si="3"/>
        <v/>
      </c>
      <c r="E49" s="79"/>
      <c r="F49" s="80" t="str">
        <f t="shared" si="4"/>
        <v/>
      </c>
      <c r="G49" s="39" t="s">
        <v>138</v>
      </c>
      <c r="H49" s="81"/>
      <c r="I49" s="82" t="str">
        <f>IF(A49="","Pending",IF(H49="","⚠️ Enter Agent Code",IF(IFERROR(VLOOKUP(G49,DB_Agents!$B:$I,8,0),"")=H49,IF(AND(A49&lt;&gt;"",E49&lt;&gt;""),"Saved","Pending"),"🔒 BLOCKED — Wrong Code")))</f>
        <v>Pending</v>
      </c>
      <c r="J49" s="83" t="str">
        <f t="shared" ca="1" si="5"/>
        <v>—</v>
      </c>
      <c r="K49" s="84"/>
    </row>
    <row r="50" spans="1:11" ht="15" customHeight="1" x14ac:dyDescent="0.25">
      <c r="A50" s="85"/>
      <c r="B50" s="41" t="str">
        <f>IF(A50="","",IFERROR(VLOOKUP(A50,DB_Customers!$A:$D,4,0),"❌ Account Not Found"))</f>
        <v/>
      </c>
      <c r="C50" s="86" t="str">
        <f>IF(A50="","",IFERROR(IF(SUMIF(DB_Savings!$C:$C,A50,DB_Savings!$F:$F)=0,VLOOKUP(A50,DB_Customers!$A:$I,9,0),VLOOKUP(A50,DB_Customers!$A:$N,14,0)),"❌ Acct Not Found"))</f>
        <v/>
      </c>
      <c r="D50" s="87" t="str">
        <f t="shared" ca="1" si="3"/>
        <v/>
      </c>
      <c r="E50" s="79"/>
      <c r="F50" s="88" t="str">
        <f t="shared" si="4"/>
        <v/>
      </c>
      <c r="G50" s="43" t="s">
        <v>138</v>
      </c>
      <c r="H50" s="81"/>
      <c r="I50" s="89" t="str">
        <f>IF(A50="","Pending",IF(H50="","⚠️ Enter Agent Code",IF(IFERROR(VLOOKUP(G50,DB_Agents!$B:$I,8,0),"")=H50,IF(AND(A50&lt;&gt;"",E50&lt;&gt;""),"Saved","Pending"),"🔒 BLOCKED — Wrong Code")))</f>
        <v>Pending</v>
      </c>
      <c r="J50" s="90" t="str">
        <f t="shared" ca="1" si="5"/>
        <v>—</v>
      </c>
      <c r="K50" s="91"/>
    </row>
    <row r="51" spans="1:11" ht="15" customHeight="1" x14ac:dyDescent="0.25">
      <c r="A51" s="76"/>
      <c r="B51" s="37" t="str">
        <f>IF(A51="","",IFERROR(VLOOKUP(A51,DB_Customers!$A:$D,4,0),"❌ Account Not Found"))</f>
        <v/>
      </c>
      <c r="C51" s="77" t="str">
        <f>IF(A51="","",IFERROR(IF(SUMIF(DB_Savings!$C:$C,A51,DB_Savings!$F:$F)=0,VLOOKUP(A51,DB_Customers!$A:$I,9,0),VLOOKUP(A51,DB_Customers!$A:$N,14,0)),"❌ Acct Not Found"))</f>
        <v/>
      </c>
      <c r="D51" s="78" t="str">
        <f t="shared" ca="1" si="3"/>
        <v/>
      </c>
      <c r="E51" s="79"/>
      <c r="F51" s="80" t="str">
        <f t="shared" si="4"/>
        <v/>
      </c>
      <c r="G51" s="39" t="s">
        <v>138</v>
      </c>
      <c r="H51" s="81"/>
      <c r="I51" s="82" t="str">
        <f>IF(A51="","Pending",IF(H51="","⚠️ Enter Agent Code",IF(IFERROR(VLOOKUP(G51,DB_Agents!$B:$I,8,0),"")=H51,IF(AND(A51&lt;&gt;"",E51&lt;&gt;""),"Saved","Pending"),"🔒 BLOCKED — Wrong Code")))</f>
        <v>Pending</v>
      </c>
      <c r="J51" s="83" t="str">
        <f t="shared" ca="1" si="5"/>
        <v>—</v>
      </c>
      <c r="K51" s="84"/>
    </row>
    <row r="52" spans="1:11" ht="15" customHeight="1" x14ac:dyDescent="0.25">
      <c r="A52" s="85"/>
      <c r="B52" s="41" t="str">
        <f>IF(A52="","",IFERROR(VLOOKUP(A52,DB_Customers!$A:$D,4,0),"❌ Account Not Found"))</f>
        <v/>
      </c>
      <c r="C52" s="86" t="str">
        <f>IF(A52="","",IFERROR(IF(SUMIF(DB_Savings!$C:$C,A52,DB_Savings!$F:$F)=0,VLOOKUP(A52,DB_Customers!$A:$I,9,0),VLOOKUP(A52,DB_Customers!$A:$N,14,0)),"❌ Acct Not Found"))</f>
        <v/>
      </c>
      <c r="D52" s="87" t="str">
        <f t="shared" ca="1" si="3"/>
        <v/>
      </c>
      <c r="E52" s="79"/>
      <c r="F52" s="88" t="str">
        <f t="shared" si="4"/>
        <v/>
      </c>
      <c r="G52" s="43" t="s">
        <v>138</v>
      </c>
      <c r="H52" s="81"/>
      <c r="I52" s="89" t="str">
        <f>IF(A52="","Pending",IF(H52="","⚠️ Enter Agent Code",IF(IFERROR(VLOOKUP(G52,DB_Agents!$B:$I,8,0),"")=H52,IF(AND(A52&lt;&gt;"",E52&lt;&gt;""),"Saved","Pending"),"🔒 BLOCKED — Wrong Code")))</f>
        <v>Pending</v>
      </c>
      <c r="J52" s="90" t="str">
        <f t="shared" ca="1" si="5"/>
        <v>—</v>
      </c>
      <c r="K52" s="91"/>
    </row>
    <row r="53" spans="1:11" ht="15" customHeight="1" x14ac:dyDescent="0.25">
      <c r="A53" s="76"/>
      <c r="B53" s="37" t="str">
        <f>IF(A53="","",IFERROR(VLOOKUP(A53,DB_Customers!$A:$D,4,0),"❌ Account Not Found"))</f>
        <v/>
      </c>
      <c r="C53" s="77" t="str">
        <f>IF(A53="","",IFERROR(IF(SUMIF(DB_Savings!$C:$C,A53,DB_Savings!$F:$F)=0,VLOOKUP(A53,DB_Customers!$A:$I,9,0),VLOOKUP(A53,DB_Customers!$A:$N,14,0)),"❌ Acct Not Found"))</f>
        <v/>
      </c>
      <c r="D53" s="78" t="str">
        <f t="shared" ca="1" si="3"/>
        <v/>
      </c>
      <c r="E53" s="79"/>
      <c r="F53" s="80" t="str">
        <f t="shared" si="4"/>
        <v/>
      </c>
      <c r="G53" s="39" t="s">
        <v>138</v>
      </c>
      <c r="H53" s="81"/>
      <c r="I53" s="82" t="str">
        <f>IF(A53="","Pending",IF(H53="","⚠️ Enter Agent Code",IF(IFERROR(VLOOKUP(G53,DB_Agents!$B:$I,8,0),"")=H53,IF(AND(A53&lt;&gt;"",E53&lt;&gt;""),"Saved","Pending"),"🔒 BLOCKED — Wrong Code")))</f>
        <v>Pending</v>
      </c>
      <c r="J53" s="83" t="str">
        <f t="shared" ca="1" si="5"/>
        <v>—</v>
      </c>
      <c r="K53" s="84"/>
    </row>
    <row r="54" spans="1:11" ht="15" customHeight="1" x14ac:dyDescent="0.25">
      <c r="A54" s="85"/>
      <c r="B54" s="41" t="str">
        <f>IF(A54="","",IFERROR(VLOOKUP(A54,DB_Customers!$A:$D,4,0),"❌ Account Not Found"))</f>
        <v/>
      </c>
      <c r="C54" s="86" t="str">
        <f>IF(A54="","",IFERROR(IF(SUMIF(DB_Savings!$C:$C,A54,DB_Savings!$F:$F)=0,VLOOKUP(A54,DB_Customers!$A:$I,9,0),VLOOKUP(A54,DB_Customers!$A:$N,14,0)),"❌ Acct Not Found"))</f>
        <v/>
      </c>
      <c r="D54" s="87" t="str">
        <f t="shared" ca="1" si="3"/>
        <v/>
      </c>
      <c r="E54" s="79"/>
      <c r="F54" s="88" t="str">
        <f t="shared" si="4"/>
        <v/>
      </c>
      <c r="G54" s="43" t="s">
        <v>138</v>
      </c>
      <c r="H54" s="81"/>
      <c r="I54" s="89" t="str">
        <f>IF(A54="","Pending",IF(H54="","⚠️ Enter Agent Code",IF(IFERROR(VLOOKUP(G54,DB_Agents!$B:$I,8,0),"")=H54,IF(AND(A54&lt;&gt;"",E54&lt;&gt;""),"Saved","Pending"),"🔒 BLOCKED — Wrong Code")))</f>
        <v>Pending</v>
      </c>
      <c r="J54" s="90" t="str">
        <f t="shared" ca="1" si="5"/>
        <v>—</v>
      </c>
      <c r="K54" s="91"/>
    </row>
    <row r="55" spans="1:11" ht="15" customHeight="1" x14ac:dyDescent="0.25">
      <c r="A55" s="76"/>
      <c r="B55" s="37" t="str">
        <f>IF(A55="","",IFERROR(VLOOKUP(A55,DB_Customers!$A:$D,4,0),"❌ Account Not Found"))</f>
        <v/>
      </c>
      <c r="C55" s="77" t="str">
        <f>IF(A55="","",IFERROR(IF(SUMIF(DB_Savings!$C:$C,A55,DB_Savings!$F:$F)=0,VLOOKUP(A55,DB_Customers!$A:$I,9,0),VLOOKUP(A55,DB_Customers!$A:$N,14,0)),"❌ Acct Not Found"))</f>
        <v/>
      </c>
      <c r="D55" s="78" t="str">
        <f t="shared" ca="1" si="3"/>
        <v/>
      </c>
      <c r="E55" s="79"/>
      <c r="F55" s="80" t="str">
        <f t="shared" si="4"/>
        <v/>
      </c>
      <c r="G55" s="39" t="s">
        <v>138</v>
      </c>
      <c r="H55" s="81"/>
      <c r="I55" s="82" t="str">
        <f>IF(A55="","Pending",IF(H55="","⚠️ Enter Agent Code",IF(IFERROR(VLOOKUP(G55,DB_Agents!$B:$I,8,0),"")=H55,IF(AND(A55&lt;&gt;"",E55&lt;&gt;""),"Saved","Pending"),"🔒 BLOCKED — Wrong Code")))</f>
        <v>Pending</v>
      </c>
      <c r="J55" s="83" t="str">
        <f t="shared" ca="1" si="5"/>
        <v>—</v>
      </c>
      <c r="K55" s="84"/>
    </row>
    <row r="56" spans="1:11" ht="15" customHeight="1" x14ac:dyDescent="0.25">
      <c r="A56" s="85"/>
      <c r="B56" s="41" t="str">
        <f>IF(A56="","",IFERROR(VLOOKUP(A56,DB_Customers!$A:$D,4,0),"❌ Account Not Found"))</f>
        <v/>
      </c>
      <c r="C56" s="86" t="str">
        <f>IF(A56="","",IFERROR(IF(SUMIF(DB_Savings!$C:$C,A56,DB_Savings!$F:$F)=0,VLOOKUP(A56,DB_Customers!$A:$I,9,0),VLOOKUP(A56,DB_Customers!$A:$N,14,0)),"❌ Acct Not Found"))</f>
        <v/>
      </c>
      <c r="D56" s="87" t="str">
        <f t="shared" ca="1" si="3"/>
        <v/>
      </c>
      <c r="E56" s="79"/>
      <c r="F56" s="88" t="str">
        <f t="shared" si="4"/>
        <v/>
      </c>
      <c r="G56" s="43" t="s">
        <v>138</v>
      </c>
      <c r="H56" s="81"/>
      <c r="I56" s="89" t="str">
        <f>IF(A56="","Pending",IF(H56="","⚠️ Enter Agent Code",IF(IFERROR(VLOOKUP(G56,DB_Agents!$B:$I,8,0),"")=H56,IF(AND(A56&lt;&gt;"",E56&lt;&gt;""),"Saved","Pending"),"🔒 BLOCKED — Wrong Code")))</f>
        <v>Pending</v>
      </c>
      <c r="J56" s="90" t="str">
        <f t="shared" ca="1" si="5"/>
        <v>—</v>
      </c>
      <c r="K56" s="91"/>
    </row>
    <row r="57" spans="1:11" ht="15" customHeight="1" x14ac:dyDescent="0.25">
      <c r="A57" s="76"/>
      <c r="B57" s="37" t="str">
        <f>IF(A57="","",IFERROR(VLOOKUP(A57,DB_Customers!$A:$D,4,0),"❌ Account Not Found"))</f>
        <v/>
      </c>
      <c r="C57" s="77" t="str">
        <f>IF(A57="","",IFERROR(IF(SUMIF(DB_Savings!$C:$C,A57,DB_Savings!$F:$F)=0,VLOOKUP(A57,DB_Customers!$A:$I,9,0),VLOOKUP(A57,DB_Customers!$A:$N,14,0)),"❌ Acct Not Found"))</f>
        <v/>
      </c>
      <c r="D57" s="78" t="str">
        <f t="shared" ca="1" si="3"/>
        <v/>
      </c>
      <c r="E57" s="79"/>
      <c r="F57" s="80" t="str">
        <f t="shared" si="4"/>
        <v/>
      </c>
      <c r="G57" s="39" t="s">
        <v>138</v>
      </c>
      <c r="H57" s="81"/>
      <c r="I57" s="82" t="str">
        <f>IF(A57="","Pending",IF(H57="","⚠️ Enter Agent Code",IF(IFERROR(VLOOKUP(G57,DB_Agents!$B:$I,8,0),"")=H57,IF(AND(A57&lt;&gt;"",E57&lt;&gt;""),"Saved","Pending"),"🔒 BLOCKED — Wrong Code")))</f>
        <v>Pending</v>
      </c>
      <c r="J57" s="83" t="str">
        <f t="shared" ca="1" si="5"/>
        <v>—</v>
      </c>
      <c r="K57" s="84"/>
    </row>
    <row r="58" spans="1:11" ht="15" customHeight="1" x14ac:dyDescent="0.25">
      <c r="A58" s="85"/>
      <c r="B58" s="41" t="str">
        <f>IF(A58="","",IFERROR(VLOOKUP(A58,DB_Customers!$A:$D,4,0),"❌ Account Not Found"))</f>
        <v/>
      </c>
      <c r="C58" s="86" t="str">
        <f>IF(A58="","",IFERROR(IF(SUMIF(DB_Savings!$C:$C,A58,DB_Savings!$F:$F)=0,VLOOKUP(A58,DB_Customers!$A:$I,9,0),VLOOKUP(A58,DB_Customers!$A:$N,14,0)),"❌ Acct Not Found"))</f>
        <v/>
      </c>
      <c r="D58" s="87" t="str">
        <f t="shared" ca="1" si="3"/>
        <v/>
      </c>
      <c r="E58" s="79"/>
      <c r="F58" s="88" t="str">
        <f t="shared" si="4"/>
        <v/>
      </c>
      <c r="G58" s="43" t="s">
        <v>138</v>
      </c>
      <c r="H58" s="81"/>
      <c r="I58" s="89" t="str">
        <f>IF(A58="","Pending",IF(H58="","⚠️ Enter Agent Code",IF(IFERROR(VLOOKUP(G58,DB_Agents!$B:$I,8,0),"")=H58,IF(AND(A58&lt;&gt;"",E58&lt;&gt;""),"Saved","Pending"),"🔒 BLOCKED — Wrong Code")))</f>
        <v>Pending</v>
      </c>
      <c r="J58" s="90" t="str">
        <f t="shared" ca="1" si="5"/>
        <v>—</v>
      </c>
      <c r="K58" s="91"/>
    </row>
    <row r="59" spans="1:11" ht="15" customHeight="1" x14ac:dyDescent="0.25">
      <c r="A59" s="76"/>
      <c r="B59" s="37" t="str">
        <f>IF(A59="","",IFERROR(VLOOKUP(A59,DB_Customers!$A:$D,4,0),"❌ Account Not Found"))</f>
        <v/>
      </c>
      <c r="C59" s="77" t="str">
        <f>IF(A59="","",IFERROR(IF(SUMIF(DB_Savings!$C:$C,A59,DB_Savings!$F:$F)=0,VLOOKUP(A59,DB_Customers!$A:$I,9,0),VLOOKUP(A59,DB_Customers!$A:$N,14,0)),"❌ Acct Not Found"))</f>
        <v/>
      </c>
      <c r="D59" s="78" t="str">
        <f t="shared" ca="1" si="3"/>
        <v/>
      </c>
      <c r="E59" s="79"/>
      <c r="F59" s="80" t="str">
        <f t="shared" si="4"/>
        <v/>
      </c>
      <c r="G59" s="39" t="s">
        <v>138</v>
      </c>
      <c r="H59" s="81"/>
      <c r="I59" s="82" t="str">
        <f>IF(A59="","Pending",IF(H59="","⚠️ Enter Agent Code",IF(IFERROR(VLOOKUP(G59,DB_Agents!$B:$I,8,0),"")=H59,IF(AND(A59&lt;&gt;"",E59&lt;&gt;""),"Saved","Pending"),"🔒 BLOCKED — Wrong Code")))</f>
        <v>Pending</v>
      </c>
      <c r="J59" s="83" t="str">
        <f t="shared" ca="1" si="5"/>
        <v>—</v>
      </c>
      <c r="K59" s="84"/>
    </row>
    <row r="60" spans="1:11" ht="15" customHeight="1" x14ac:dyDescent="0.25">
      <c r="A60" s="85"/>
      <c r="B60" s="41" t="str">
        <f>IF(A60="","",IFERROR(VLOOKUP(A60,DB_Customers!$A:$D,4,0),"❌ Account Not Found"))</f>
        <v/>
      </c>
      <c r="C60" s="86" t="str">
        <f>IF(A60="","",IFERROR(IF(SUMIF(DB_Savings!$C:$C,A60,DB_Savings!$F:$F)=0,VLOOKUP(A60,DB_Customers!$A:$I,9,0),VLOOKUP(A60,DB_Customers!$A:$N,14,0)),"❌ Acct Not Found"))</f>
        <v/>
      </c>
      <c r="D60" s="87" t="str">
        <f t="shared" ca="1" si="3"/>
        <v/>
      </c>
      <c r="E60" s="79"/>
      <c r="F60" s="88" t="str">
        <f t="shared" si="4"/>
        <v/>
      </c>
      <c r="G60" s="43" t="s">
        <v>138</v>
      </c>
      <c r="H60" s="81"/>
      <c r="I60" s="89" t="str">
        <f>IF(A60="","Pending",IF(H60="","⚠️ Enter Agent Code",IF(IFERROR(VLOOKUP(G60,DB_Agents!$B:$I,8,0),"")=H60,IF(AND(A60&lt;&gt;"",E60&lt;&gt;""),"Saved","Pending"),"🔒 BLOCKED — Wrong Code")))</f>
        <v>Pending</v>
      </c>
      <c r="J60" s="90" t="str">
        <f t="shared" ca="1" si="5"/>
        <v>—</v>
      </c>
      <c r="K60" s="91"/>
    </row>
    <row r="61" spans="1:11" ht="15" customHeight="1" x14ac:dyDescent="0.25">
      <c r="A61" s="76"/>
      <c r="B61" s="37" t="str">
        <f>IF(A61="","",IFERROR(VLOOKUP(A61,DB_Customers!$A:$D,4,0),"❌ Account Not Found"))</f>
        <v/>
      </c>
      <c r="C61" s="77" t="str">
        <f>IF(A61="","",IFERROR(IF(SUMIF(DB_Savings!$C:$C,A61,DB_Savings!$F:$F)=0,VLOOKUP(A61,DB_Customers!$A:$I,9,0),VLOOKUP(A61,DB_Customers!$A:$N,14,0)),"❌ Acct Not Found"))</f>
        <v/>
      </c>
      <c r="D61" s="78" t="str">
        <f t="shared" ca="1" si="3"/>
        <v/>
      </c>
      <c r="E61" s="79"/>
      <c r="F61" s="80" t="str">
        <f t="shared" si="4"/>
        <v/>
      </c>
      <c r="G61" s="39" t="s">
        <v>138</v>
      </c>
      <c r="H61" s="81"/>
      <c r="I61" s="82" t="str">
        <f>IF(A61="","Pending",IF(H61="","⚠️ Enter Agent Code",IF(IFERROR(VLOOKUP(G61,DB_Agents!$B:$I,8,0),"")=H61,IF(AND(A61&lt;&gt;"",E61&lt;&gt;""),"Saved","Pending"),"🔒 BLOCKED — Wrong Code")))</f>
        <v>Pending</v>
      </c>
      <c r="J61" s="83" t="str">
        <f t="shared" ca="1" si="5"/>
        <v>—</v>
      </c>
      <c r="K61" s="84"/>
    </row>
    <row r="62" spans="1:11" ht="15" customHeight="1" x14ac:dyDescent="0.25">
      <c r="A62" s="85"/>
      <c r="B62" s="41" t="str">
        <f>IF(A62="","",IFERROR(VLOOKUP(A62,DB_Customers!$A:$D,4,0),"❌ Account Not Found"))</f>
        <v/>
      </c>
      <c r="C62" s="86" t="str">
        <f>IF(A62="","",IFERROR(IF(SUMIF(DB_Savings!$C:$C,A62,DB_Savings!$F:$F)=0,VLOOKUP(A62,DB_Customers!$A:$I,9,0),VLOOKUP(A62,DB_Customers!$A:$N,14,0)),"❌ Acct Not Found"))</f>
        <v/>
      </c>
      <c r="D62" s="87" t="str">
        <f t="shared" ca="1" si="3"/>
        <v/>
      </c>
      <c r="E62" s="79"/>
      <c r="F62" s="88" t="str">
        <f t="shared" si="4"/>
        <v/>
      </c>
      <c r="G62" s="43" t="s">
        <v>138</v>
      </c>
      <c r="H62" s="81"/>
      <c r="I62" s="89" t="str">
        <f>IF(A62="","Pending",IF(H62="","⚠️ Enter Agent Code",IF(IFERROR(VLOOKUP(G62,DB_Agents!$B:$I,8,0),"")=H62,IF(AND(A62&lt;&gt;"",E62&lt;&gt;""),"Saved","Pending"),"🔒 BLOCKED — Wrong Code")))</f>
        <v>Pending</v>
      </c>
      <c r="J62" s="90" t="str">
        <f t="shared" ca="1" si="5"/>
        <v>—</v>
      </c>
      <c r="K62" s="91"/>
    </row>
    <row r="63" spans="1:11" ht="15" customHeight="1" x14ac:dyDescent="0.25">
      <c r="A63" s="76"/>
      <c r="B63" s="37" t="str">
        <f>IF(A63="","",IFERROR(VLOOKUP(A63,DB_Customers!$A:$D,4,0),"❌ Account Not Found"))</f>
        <v/>
      </c>
      <c r="C63" s="77" t="str">
        <f>IF(A63="","",IFERROR(IF(SUMIF(DB_Savings!$C:$C,A63,DB_Savings!$F:$F)=0,VLOOKUP(A63,DB_Customers!$A:$I,9,0),VLOOKUP(A63,DB_Customers!$A:$N,14,0)),"❌ Acct Not Found"))</f>
        <v/>
      </c>
      <c r="D63" s="78" t="str">
        <f t="shared" ca="1" si="3"/>
        <v/>
      </c>
      <c r="E63" s="79"/>
      <c r="F63" s="80" t="str">
        <f t="shared" si="4"/>
        <v/>
      </c>
      <c r="G63" s="39" t="s">
        <v>138</v>
      </c>
      <c r="H63" s="81"/>
      <c r="I63" s="82" t="str">
        <f>IF(A63="","Pending",IF(H63="","⚠️ Enter Agent Code",IF(IFERROR(VLOOKUP(G63,DB_Agents!$B:$I,8,0),"")=H63,IF(AND(A63&lt;&gt;"",E63&lt;&gt;""),"Saved","Pending"),"🔒 BLOCKED — Wrong Code")))</f>
        <v>Pending</v>
      </c>
      <c r="J63" s="83" t="str">
        <f t="shared" ca="1" si="5"/>
        <v>—</v>
      </c>
      <c r="K63" s="84"/>
    </row>
    <row r="64" spans="1:11" ht="15" customHeight="1" x14ac:dyDescent="0.25">
      <c r="A64" s="85"/>
      <c r="B64" s="41" t="str">
        <f>IF(A64="","",IFERROR(VLOOKUP(A64,DB_Customers!$A:$D,4,0),"❌ Account Not Found"))</f>
        <v/>
      </c>
      <c r="C64" s="86" t="str">
        <f>IF(A64="","",IFERROR(IF(SUMIF(DB_Savings!$C:$C,A64,DB_Savings!$F:$F)=0,VLOOKUP(A64,DB_Customers!$A:$I,9,0),VLOOKUP(A64,DB_Customers!$A:$N,14,0)),"❌ Acct Not Found"))</f>
        <v/>
      </c>
      <c r="D64" s="87" t="str">
        <f t="shared" ca="1" si="3"/>
        <v/>
      </c>
      <c r="E64" s="79"/>
      <c r="F64" s="88" t="str">
        <f t="shared" si="4"/>
        <v/>
      </c>
      <c r="G64" s="43" t="s">
        <v>138</v>
      </c>
      <c r="H64" s="81"/>
      <c r="I64" s="89" t="str">
        <f>IF(A64="","Pending",IF(H64="","⚠️ Enter Agent Code",IF(IFERROR(VLOOKUP(G64,DB_Agents!$B:$I,8,0),"")=H64,IF(AND(A64&lt;&gt;"",E64&lt;&gt;""),"Saved","Pending"),"🔒 BLOCKED — Wrong Code")))</f>
        <v>Pending</v>
      </c>
      <c r="J64" s="90" t="str">
        <f t="shared" ca="1" si="5"/>
        <v>—</v>
      </c>
      <c r="K64" s="91"/>
    </row>
    <row r="65" spans="1:11" ht="15" customHeight="1" x14ac:dyDescent="0.25">
      <c r="A65" s="76"/>
      <c r="B65" s="37" t="str">
        <f>IF(A65="","",IFERROR(VLOOKUP(A65,DB_Customers!$A:$D,4,0),"❌ Account Not Found"))</f>
        <v/>
      </c>
      <c r="C65" s="77" t="str">
        <f>IF(A65="","",IFERROR(IF(SUMIF(DB_Savings!$C:$C,A65,DB_Savings!$F:$F)=0,VLOOKUP(A65,DB_Customers!$A:$I,9,0),VLOOKUP(A65,DB_Customers!$A:$N,14,0)),"❌ Acct Not Found"))</f>
        <v/>
      </c>
      <c r="D65" s="78" t="str">
        <f t="shared" ca="1" si="3"/>
        <v/>
      </c>
      <c r="E65" s="79"/>
      <c r="F65" s="80" t="str">
        <f t="shared" si="4"/>
        <v/>
      </c>
      <c r="G65" s="39" t="s">
        <v>138</v>
      </c>
      <c r="H65" s="81"/>
      <c r="I65" s="82" t="str">
        <f>IF(A65="","Pending",IF(H65="","⚠️ Enter Agent Code",IF(IFERROR(VLOOKUP(G65,DB_Agents!$B:$I,8,0),"")=H65,IF(AND(A65&lt;&gt;"",E65&lt;&gt;""),"Saved","Pending"),"🔒 BLOCKED — Wrong Code")))</f>
        <v>Pending</v>
      </c>
      <c r="J65" s="83" t="str">
        <f t="shared" ca="1" si="5"/>
        <v>—</v>
      </c>
      <c r="K65" s="84"/>
    </row>
    <row r="66" spans="1:11" ht="15" customHeight="1" x14ac:dyDescent="0.25">
      <c r="A66" s="85"/>
      <c r="B66" s="41" t="str">
        <f>IF(A66="","",IFERROR(VLOOKUP(A66,DB_Customers!$A:$D,4,0),"❌ Account Not Found"))</f>
        <v/>
      </c>
      <c r="C66" s="86" t="str">
        <f>IF(A66="","",IFERROR(IF(SUMIF(DB_Savings!$C:$C,A66,DB_Savings!$F:$F)=0,VLOOKUP(A66,DB_Customers!$A:$I,9,0),VLOOKUP(A66,DB_Customers!$A:$N,14,0)),"❌ Acct Not Found"))</f>
        <v/>
      </c>
      <c r="D66" s="87" t="str">
        <f t="shared" ca="1" si="3"/>
        <v/>
      </c>
      <c r="E66" s="79"/>
      <c r="F66" s="88" t="str">
        <f t="shared" si="4"/>
        <v/>
      </c>
      <c r="G66" s="43" t="s">
        <v>138</v>
      </c>
      <c r="H66" s="81"/>
      <c r="I66" s="89" t="str">
        <f>IF(A66="","Pending",IF(H66="","⚠️ Enter Agent Code",IF(IFERROR(VLOOKUP(G66,DB_Agents!$B:$I,8,0),"")=H66,IF(AND(A66&lt;&gt;"",E66&lt;&gt;""),"Saved","Pending"),"🔒 BLOCKED — Wrong Code")))</f>
        <v>Pending</v>
      </c>
      <c r="J66" s="90" t="str">
        <f t="shared" ca="1" si="5"/>
        <v>—</v>
      </c>
      <c r="K66" s="91"/>
    </row>
    <row r="67" spans="1:11" ht="15" customHeight="1" x14ac:dyDescent="0.25">
      <c r="A67" s="76"/>
      <c r="B67" s="37" t="str">
        <f>IF(A67="","",IFERROR(VLOOKUP(A67,DB_Customers!$A:$D,4,0),"❌ Account Not Found"))</f>
        <v/>
      </c>
      <c r="C67" s="77" t="str">
        <f>IF(A67="","",IFERROR(IF(SUMIF(DB_Savings!$C:$C,A67,DB_Savings!$F:$F)=0,VLOOKUP(A67,DB_Customers!$A:$I,9,0),VLOOKUP(A67,DB_Customers!$A:$N,14,0)),"❌ Acct Not Found"))</f>
        <v/>
      </c>
      <c r="D67" s="78" t="str">
        <f t="shared" ca="1" si="3"/>
        <v/>
      </c>
      <c r="E67" s="79"/>
      <c r="F67" s="80" t="str">
        <f t="shared" si="4"/>
        <v/>
      </c>
      <c r="G67" s="39" t="s">
        <v>138</v>
      </c>
      <c r="H67" s="81"/>
      <c r="I67" s="82" t="str">
        <f>IF(A67="","Pending",IF(H67="","⚠️ Enter Agent Code",IF(IFERROR(VLOOKUP(G67,DB_Agents!$B:$I,8,0),"")=H67,IF(AND(A67&lt;&gt;"",E67&lt;&gt;""),"Saved","Pending"),"🔒 BLOCKED — Wrong Code")))</f>
        <v>Pending</v>
      </c>
      <c r="J67" s="83" t="str">
        <f t="shared" ca="1" si="5"/>
        <v>—</v>
      </c>
      <c r="K67" s="84"/>
    </row>
    <row r="68" spans="1:11" ht="15" customHeight="1" x14ac:dyDescent="0.25">
      <c r="A68" s="85"/>
      <c r="B68" s="41" t="str">
        <f>IF(A68="","",IFERROR(VLOOKUP(A68,DB_Customers!$A:$D,4,0),"❌ Account Not Found"))</f>
        <v/>
      </c>
      <c r="C68" s="86" t="str">
        <f>IF(A68="","",IFERROR(IF(SUMIF(DB_Savings!$C:$C,A68,DB_Savings!$F:$F)=0,VLOOKUP(A68,DB_Customers!$A:$I,9,0),VLOOKUP(A68,DB_Customers!$A:$N,14,0)),"❌ Acct Not Found"))</f>
        <v/>
      </c>
      <c r="D68" s="87" t="str">
        <f t="shared" ca="1" si="3"/>
        <v/>
      </c>
      <c r="E68" s="79"/>
      <c r="F68" s="88" t="str">
        <f t="shared" si="4"/>
        <v/>
      </c>
      <c r="G68" s="43" t="s">
        <v>138</v>
      </c>
      <c r="H68" s="81"/>
      <c r="I68" s="89" t="str">
        <f>IF(A68="","Pending",IF(H68="","⚠️ Enter Agent Code",IF(IFERROR(VLOOKUP(G68,DB_Agents!$B:$I,8,0),"")=H68,IF(AND(A68&lt;&gt;"",E68&lt;&gt;""),"Saved","Pending"),"🔒 BLOCKED — Wrong Code")))</f>
        <v>Pending</v>
      </c>
      <c r="J68" s="90" t="str">
        <f t="shared" ca="1" si="5"/>
        <v>—</v>
      </c>
      <c r="K68" s="91"/>
    </row>
    <row r="69" spans="1:11" ht="15" customHeight="1" x14ac:dyDescent="0.25">
      <c r="A69" s="76"/>
      <c r="B69" s="37" t="str">
        <f>IF(A69="","",IFERROR(VLOOKUP(A69,DB_Customers!$A:$D,4,0),"❌ Account Not Found"))</f>
        <v/>
      </c>
      <c r="C69" s="77" t="str">
        <f>IF(A69="","",IFERROR(IF(SUMIF(DB_Savings!$C:$C,A69,DB_Savings!$F:$F)=0,VLOOKUP(A69,DB_Customers!$A:$I,9,0),VLOOKUP(A69,DB_Customers!$A:$N,14,0)),"❌ Acct Not Found"))</f>
        <v/>
      </c>
      <c r="D69" s="78" t="str">
        <f t="shared" ca="1" si="3"/>
        <v/>
      </c>
      <c r="E69" s="79"/>
      <c r="F69" s="80" t="str">
        <f t="shared" si="4"/>
        <v/>
      </c>
      <c r="G69" s="39" t="s">
        <v>138</v>
      </c>
      <c r="H69" s="81"/>
      <c r="I69" s="82" t="str">
        <f>IF(A69="","Pending",IF(H69="","⚠️ Enter Agent Code",IF(IFERROR(VLOOKUP(G69,DB_Agents!$B:$I,8,0),"")=H69,IF(AND(A69&lt;&gt;"",E69&lt;&gt;""),"Saved","Pending"),"🔒 BLOCKED — Wrong Code")))</f>
        <v>Pending</v>
      </c>
      <c r="J69" s="83" t="str">
        <f t="shared" ca="1" si="5"/>
        <v>—</v>
      </c>
      <c r="K69" s="84"/>
    </row>
    <row r="70" spans="1:11" ht="15" customHeight="1" x14ac:dyDescent="0.25">
      <c r="A70" s="85"/>
      <c r="B70" s="41" t="str">
        <f>IF(A70="","",IFERROR(VLOOKUP(A70,DB_Customers!$A:$D,4,0),"❌ Account Not Found"))</f>
        <v/>
      </c>
      <c r="C70" s="86" t="str">
        <f>IF(A70="","",IFERROR(IF(SUMIF(DB_Savings!$C:$C,A70,DB_Savings!$F:$F)=0,VLOOKUP(A70,DB_Customers!$A:$I,9,0),VLOOKUP(A70,DB_Customers!$A:$N,14,0)),"❌ Acct Not Found"))</f>
        <v/>
      </c>
      <c r="D70" s="87" t="str">
        <f t="shared" ca="1" si="3"/>
        <v/>
      </c>
      <c r="E70" s="79"/>
      <c r="F70" s="88" t="str">
        <f t="shared" si="4"/>
        <v/>
      </c>
      <c r="G70" s="43" t="s">
        <v>138</v>
      </c>
      <c r="H70" s="81"/>
      <c r="I70" s="89" t="str">
        <f>IF(A70="","Pending",IF(H70="","⚠️ Enter Agent Code",IF(IFERROR(VLOOKUP(G70,DB_Agents!$B:$I,8,0),"")=H70,IF(AND(A70&lt;&gt;"",E70&lt;&gt;""),"Saved","Pending"),"🔒 BLOCKED — Wrong Code")))</f>
        <v>Pending</v>
      </c>
      <c r="J70" s="90" t="str">
        <f t="shared" ca="1" si="5"/>
        <v>—</v>
      </c>
      <c r="K70" s="91"/>
    </row>
    <row r="71" spans="1:11" ht="15" customHeight="1" x14ac:dyDescent="0.25">
      <c r="A71" s="76"/>
      <c r="B71" s="37" t="str">
        <f>IF(A71="","",IFERROR(VLOOKUP(A71,DB_Customers!$A:$D,4,0),"❌ Account Not Found"))</f>
        <v/>
      </c>
      <c r="C71" s="77" t="str">
        <f>IF(A71="","",IFERROR(IF(SUMIF(DB_Savings!$C:$C,A71,DB_Savings!$F:$F)=0,VLOOKUP(A71,DB_Customers!$A:$I,9,0),VLOOKUP(A71,DB_Customers!$A:$N,14,0)),"❌ Acct Not Found"))</f>
        <v/>
      </c>
      <c r="D71" s="78" t="str">
        <f t="shared" ca="1" si="3"/>
        <v/>
      </c>
      <c r="E71" s="79"/>
      <c r="F71" s="80" t="str">
        <f t="shared" si="4"/>
        <v/>
      </c>
      <c r="G71" s="39" t="s">
        <v>138</v>
      </c>
      <c r="H71" s="81"/>
      <c r="I71" s="82" t="str">
        <f>IF(A71="","Pending",IF(H71="","⚠️ Enter Agent Code",IF(IFERROR(VLOOKUP(G71,DB_Agents!$B:$I,8,0),"")=H71,IF(AND(A71&lt;&gt;"",E71&lt;&gt;""),"Saved","Pending"),"🔒 BLOCKED — Wrong Code")))</f>
        <v>Pending</v>
      </c>
      <c r="J71" s="83" t="str">
        <f t="shared" ca="1" si="5"/>
        <v>—</v>
      </c>
      <c r="K71" s="84"/>
    </row>
    <row r="72" spans="1:11" ht="15" customHeight="1" x14ac:dyDescent="0.25">
      <c r="A72" s="85"/>
      <c r="B72" s="41" t="str">
        <f>IF(A72="","",IFERROR(VLOOKUP(A72,DB_Customers!$A:$D,4,0),"❌ Account Not Found"))</f>
        <v/>
      </c>
      <c r="C72" s="86" t="str">
        <f>IF(A72="","",IFERROR(IF(SUMIF(DB_Savings!$C:$C,A72,DB_Savings!$F:$F)=0,VLOOKUP(A72,DB_Customers!$A:$I,9,0),VLOOKUP(A72,DB_Customers!$A:$N,14,0)),"❌ Acct Not Found"))</f>
        <v/>
      </c>
      <c r="D72" s="87" t="str">
        <f t="shared" ca="1" si="3"/>
        <v/>
      </c>
      <c r="E72" s="79"/>
      <c r="F72" s="88" t="str">
        <f t="shared" si="4"/>
        <v/>
      </c>
      <c r="G72" s="43" t="s">
        <v>138</v>
      </c>
      <c r="H72" s="81"/>
      <c r="I72" s="89" t="str">
        <f>IF(A72="","Pending",IF(H72="","⚠️ Enter Agent Code",IF(IFERROR(VLOOKUP(G72,DB_Agents!$B:$I,8,0),"")=H72,IF(AND(A72&lt;&gt;"",E72&lt;&gt;""),"Saved","Pending"),"🔒 BLOCKED — Wrong Code")))</f>
        <v>Pending</v>
      </c>
      <c r="J72" s="90" t="str">
        <f t="shared" ca="1" si="5"/>
        <v>—</v>
      </c>
      <c r="K72" s="91"/>
    </row>
    <row r="73" spans="1:11" ht="15" customHeight="1" x14ac:dyDescent="0.25">
      <c r="A73" s="76"/>
      <c r="B73" s="37" t="str">
        <f>IF(A73="","",IFERROR(VLOOKUP(A73,DB_Customers!$A:$D,4,0),"❌ Account Not Found"))</f>
        <v/>
      </c>
      <c r="C73" s="77" t="str">
        <f>IF(A73="","",IFERROR(IF(SUMIF(DB_Savings!$C:$C,A73,DB_Savings!$F:$F)=0,VLOOKUP(A73,DB_Customers!$A:$I,9,0),VLOOKUP(A73,DB_Customers!$A:$N,14,0)),"❌ Acct Not Found"))</f>
        <v/>
      </c>
      <c r="D73" s="78" t="str">
        <f t="shared" ref="D73:D104" ca="1" si="6">IF(A73="","",TODAY())</f>
        <v/>
      </c>
      <c r="E73" s="79"/>
      <c r="F73" s="80" t="str">
        <f t="shared" ref="F73:F104" si="7">IF(OR(A73="",E73=""),"",IF(C73="","",C73+E73))</f>
        <v/>
      </c>
      <c r="G73" s="39" t="s">
        <v>138</v>
      </c>
      <c r="H73" s="81"/>
      <c r="I73" s="82" t="str">
        <f>IF(A73="","Pending",IF(H73="","⚠️ Enter Agent Code",IF(IFERROR(VLOOKUP(G73,DB_Agents!$B:$I,8,0),"")=H73,IF(AND(A73&lt;&gt;"",E73&lt;&gt;""),"Saved","Pending"),"🔒 BLOCKED — Wrong Code")))</f>
        <v>Pending</v>
      </c>
      <c r="J73" s="83" t="str">
        <f t="shared" ref="J73:J104" ca="1" si="8">IF(I73="Saved",TEXT(TODAY(),"YYYY-MM-DD")&amp;" Auto","—")</f>
        <v>—</v>
      </c>
      <c r="K73" s="84"/>
    </row>
    <row r="74" spans="1:11" ht="15" customHeight="1" x14ac:dyDescent="0.25">
      <c r="A74" s="85"/>
      <c r="B74" s="41" t="str">
        <f>IF(A74="","",IFERROR(VLOOKUP(A74,DB_Customers!$A:$D,4,0),"❌ Account Not Found"))</f>
        <v/>
      </c>
      <c r="C74" s="86" t="str">
        <f>IF(A74="","",IFERROR(IF(SUMIF(DB_Savings!$C:$C,A74,DB_Savings!$F:$F)=0,VLOOKUP(A74,DB_Customers!$A:$I,9,0),VLOOKUP(A74,DB_Customers!$A:$N,14,0)),"❌ Acct Not Found"))</f>
        <v/>
      </c>
      <c r="D74" s="87" t="str">
        <f t="shared" ca="1" si="6"/>
        <v/>
      </c>
      <c r="E74" s="79"/>
      <c r="F74" s="88" t="str">
        <f t="shared" si="7"/>
        <v/>
      </c>
      <c r="G74" s="43" t="s">
        <v>138</v>
      </c>
      <c r="H74" s="81"/>
      <c r="I74" s="89" t="str">
        <f>IF(A74="","Pending",IF(H74="","⚠️ Enter Agent Code",IF(IFERROR(VLOOKUP(G74,DB_Agents!$B:$I,8,0),"")=H74,IF(AND(A74&lt;&gt;"",E74&lt;&gt;""),"Saved","Pending"),"🔒 BLOCKED — Wrong Code")))</f>
        <v>Pending</v>
      </c>
      <c r="J74" s="90" t="str">
        <f t="shared" ca="1" si="8"/>
        <v>—</v>
      </c>
      <c r="K74" s="91"/>
    </row>
    <row r="75" spans="1:11" ht="15" customHeight="1" x14ac:dyDescent="0.25">
      <c r="A75" s="76"/>
      <c r="B75" s="37" t="str">
        <f>IF(A75="","",IFERROR(VLOOKUP(A75,DB_Customers!$A:$D,4,0),"❌ Account Not Found"))</f>
        <v/>
      </c>
      <c r="C75" s="77" t="str">
        <f>IF(A75="","",IFERROR(IF(SUMIF(DB_Savings!$C:$C,A75,DB_Savings!$F:$F)=0,VLOOKUP(A75,DB_Customers!$A:$I,9,0),VLOOKUP(A75,DB_Customers!$A:$N,14,0)),"❌ Acct Not Found"))</f>
        <v/>
      </c>
      <c r="D75" s="78" t="str">
        <f t="shared" ca="1" si="6"/>
        <v/>
      </c>
      <c r="E75" s="79"/>
      <c r="F75" s="80" t="str">
        <f t="shared" si="7"/>
        <v/>
      </c>
      <c r="G75" s="39" t="s">
        <v>138</v>
      </c>
      <c r="H75" s="81"/>
      <c r="I75" s="82" t="str">
        <f>IF(A75="","Pending",IF(H75="","⚠️ Enter Agent Code",IF(IFERROR(VLOOKUP(G75,DB_Agents!$B:$I,8,0),"")=H75,IF(AND(A75&lt;&gt;"",E75&lt;&gt;""),"Saved","Pending"),"🔒 BLOCKED — Wrong Code")))</f>
        <v>Pending</v>
      </c>
      <c r="J75" s="83" t="str">
        <f t="shared" ca="1" si="8"/>
        <v>—</v>
      </c>
      <c r="K75" s="84"/>
    </row>
    <row r="76" spans="1:11" ht="15" customHeight="1" x14ac:dyDescent="0.25">
      <c r="A76" s="85"/>
      <c r="B76" s="41" t="str">
        <f>IF(A76="","",IFERROR(VLOOKUP(A76,DB_Customers!$A:$D,4,0),"❌ Account Not Found"))</f>
        <v/>
      </c>
      <c r="C76" s="86" t="str">
        <f>IF(A76="","",IFERROR(IF(SUMIF(DB_Savings!$C:$C,A76,DB_Savings!$F:$F)=0,VLOOKUP(A76,DB_Customers!$A:$I,9,0),VLOOKUP(A76,DB_Customers!$A:$N,14,0)),"❌ Acct Not Found"))</f>
        <v/>
      </c>
      <c r="D76" s="87" t="str">
        <f t="shared" ca="1" si="6"/>
        <v/>
      </c>
      <c r="E76" s="79"/>
      <c r="F76" s="88" t="str">
        <f t="shared" si="7"/>
        <v/>
      </c>
      <c r="G76" s="43" t="s">
        <v>138</v>
      </c>
      <c r="H76" s="81"/>
      <c r="I76" s="89" t="str">
        <f>IF(A76="","Pending",IF(H76="","⚠️ Enter Agent Code",IF(IFERROR(VLOOKUP(G76,DB_Agents!$B:$I,8,0),"")=H76,IF(AND(A76&lt;&gt;"",E76&lt;&gt;""),"Saved","Pending"),"🔒 BLOCKED — Wrong Code")))</f>
        <v>Pending</v>
      </c>
      <c r="J76" s="90" t="str">
        <f t="shared" ca="1" si="8"/>
        <v>—</v>
      </c>
      <c r="K76" s="91"/>
    </row>
    <row r="77" spans="1:11" ht="15" customHeight="1" x14ac:dyDescent="0.25">
      <c r="A77" s="76"/>
      <c r="B77" s="37" t="str">
        <f>IF(A77="","",IFERROR(VLOOKUP(A77,DB_Customers!$A:$D,4,0),"❌ Account Not Found"))</f>
        <v/>
      </c>
      <c r="C77" s="77" t="str">
        <f>IF(A77="","",IFERROR(IF(SUMIF(DB_Savings!$C:$C,A77,DB_Savings!$F:$F)=0,VLOOKUP(A77,DB_Customers!$A:$I,9,0),VLOOKUP(A77,DB_Customers!$A:$N,14,0)),"❌ Acct Not Found"))</f>
        <v/>
      </c>
      <c r="D77" s="78" t="str">
        <f t="shared" ca="1" si="6"/>
        <v/>
      </c>
      <c r="E77" s="79"/>
      <c r="F77" s="80" t="str">
        <f t="shared" si="7"/>
        <v/>
      </c>
      <c r="G77" s="39" t="s">
        <v>138</v>
      </c>
      <c r="H77" s="81"/>
      <c r="I77" s="82" t="str">
        <f>IF(A77="","Pending",IF(H77="","⚠️ Enter Agent Code",IF(IFERROR(VLOOKUP(G77,DB_Agents!$B:$I,8,0),"")=H77,IF(AND(A77&lt;&gt;"",E77&lt;&gt;""),"Saved","Pending"),"🔒 BLOCKED — Wrong Code")))</f>
        <v>Pending</v>
      </c>
      <c r="J77" s="83" t="str">
        <f t="shared" ca="1" si="8"/>
        <v>—</v>
      </c>
      <c r="K77" s="84"/>
    </row>
    <row r="78" spans="1:11" ht="15" customHeight="1" x14ac:dyDescent="0.25">
      <c r="A78" s="85"/>
      <c r="B78" s="41" t="str">
        <f>IF(A78="","",IFERROR(VLOOKUP(A78,DB_Customers!$A:$D,4,0),"❌ Account Not Found"))</f>
        <v/>
      </c>
      <c r="C78" s="86" t="str">
        <f>IF(A78="","",IFERROR(IF(SUMIF(DB_Savings!$C:$C,A78,DB_Savings!$F:$F)=0,VLOOKUP(A78,DB_Customers!$A:$I,9,0),VLOOKUP(A78,DB_Customers!$A:$N,14,0)),"❌ Acct Not Found"))</f>
        <v/>
      </c>
      <c r="D78" s="87" t="str">
        <f t="shared" ca="1" si="6"/>
        <v/>
      </c>
      <c r="E78" s="79"/>
      <c r="F78" s="88" t="str">
        <f t="shared" si="7"/>
        <v/>
      </c>
      <c r="G78" s="43" t="s">
        <v>138</v>
      </c>
      <c r="H78" s="81"/>
      <c r="I78" s="89" t="str">
        <f>IF(A78="","Pending",IF(H78="","⚠️ Enter Agent Code",IF(IFERROR(VLOOKUP(G78,DB_Agents!$B:$I,8,0),"")=H78,IF(AND(A78&lt;&gt;"",E78&lt;&gt;""),"Saved","Pending"),"🔒 BLOCKED — Wrong Code")))</f>
        <v>Pending</v>
      </c>
      <c r="J78" s="90" t="str">
        <f t="shared" ca="1" si="8"/>
        <v>—</v>
      </c>
      <c r="K78" s="91"/>
    </row>
    <row r="79" spans="1:11" ht="15" customHeight="1" x14ac:dyDescent="0.25">
      <c r="A79" s="76"/>
      <c r="B79" s="37" t="str">
        <f>IF(A79="","",IFERROR(VLOOKUP(A79,DB_Customers!$A:$D,4,0),"❌ Account Not Found"))</f>
        <v/>
      </c>
      <c r="C79" s="77" t="str">
        <f>IF(A79="","",IFERROR(IF(SUMIF(DB_Savings!$C:$C,A79,DB_Savings!$F:$F)=0,VLOOKUP(A79,DB_Customers!$A:$I,9,0),VLOOKUP(A79,DB_Customers!$A:$N,14,0)),"❌ Acct Not Found"))</f>
        <v/>
      </c>
      <c r="D79" s="78" t="str">
        <f t="shared" ca="1" si="6"/>
        <v/>
      </c>
      <c r="E79" s="79"/>
      <c r="F79" s="80" t="str">
        <f t="shared" si="7"/>
        <v/>
      </c>
      <c r="G79" s="39" t="s">
        <v>138</v>
      </c>
      <c r="H79" s="81"/>
      <c r="I79" s="82" t="str">
        <f>IF(A79="","Pending",IF(H79="","⚠️ Enter Agent Code",IF(IFERROR(VLOOKUP(G79,DB_Agents!$B:$I,8,0),"")=H79,IF(AND(A79&lt;&gt;"",E79&lt;&gt;""),"Saved","Pending"),"🔒 BLOCKED — Wrong Code")))</f>
        <v>Pending</v>
      </c>
      <c r="J79" s="83" t="str">
        <f t="shared" ca="1" si="8"/>
        <v>—</v>
      </c>
      <c r="K79" s="84"/>
    </row>
    <row r="80" spans="1:11" ht="15" customHeight="1" x14ac:dyDescent="0.25">
      <c r="A80" s="85"/>
      <c r="B80" s="41" t="str">
        <f>IF(A80="","",IFERROR(VLOOKUP(A80,DB_Customers!$A:$D,4,0),"❌ Account Not Found"))</f>
        <v/>
      </c>
      <c r="C80" s="86" t="str">
        <f>IF(A80="","",IFERROR(IF(SUMIF(DB_Savings!$C:$C,A80,DB_Savings!$F:$F)=0,VLOOKUP(A80,DB_Customers!$A:$I,9,0),VLOOKUP(A80,DB_Customers!$A:$N,14,0)),"❌ Acct Not Found"))</f>
        <v/>
      </c>
      <c r="D80" s="87" t="str">
        <f t="shared" ca="1" si="6"/>
        <v/>
      </c>
      <c r="E80" s="79"/>
      <c r="F80" s="88" t="str">
        <f t="shared" si="7"/>
        <v/>
      </c>
      <c r="G80" s="43" t="s">
        <v>138</v>
      </c>
      <c r="H80" s="81"/>
      <c r="I80" s="89" t="str">
        <f>IF(A80="","Pending",IF(H80="","⚠️ Enter Agent Code",IF(IFERROR(VLOOKUP(G80,DB_Agents!$B:$I,8,0),"")=H80,IF(AND(A80&lt;&gt;"",E80&lt;&gt;""),"Saved","Pending"),"🔒 BLOCKED — Wrong Code")))</f>
        <v>Pending</v>
      </c>
      <c r="J80" s="90" t="str">
        <f t="shared" ca="1" si="8"/>
        <v>—</v>
      </c>
      <c r="K80" s="91"/>
    </row>
    <row r="81" spans="1:11" ht="15" customHeight="1" x14ac:dyDescent="0.25">
      <c r="A81" s="76"/>
      <c r="B81" s="37" t="str">
        <f>IF(A81="","",IFERROR(VLOOKUP(A81,DB_Customers!$A:$D,4,0),"❌ Account Not Found"))</f>
        <v/>
      </c>
      <c r="C81" s="77" t="str">
        <f>IF(A81="","",IFERROR(IF(SUMIF(DB_Savings!$C:$C,A81,DB_Savings!$F:$F)=0,VLOOKUP(A81,DB_Customers!$A:$I,9,0),VLOOKUP(A81,DB_Customers!$A:$N,14,0)),"❌ Acct Not Found"))</f>
        <v/>
      </c>
      <c r="D81" s="78" t="str">
        <f t="shared" ca="1" si="6"/>
        <v/>
      </c>
      <c r="E81" s="79"/>
      <c r="F81" s="80" t="str">
        <f t="shared" si="7"/>
        <v/>
      </c>
      <c r="G81" s="39" t="s">
        <v>138</v>
      </c>
      <c r="H81" s="81"/>
      <c r="I81" s="82" t="str">
        <f>IF(A81="","Pending",IF(H81="","⚠️ Enter Agent Code",IF(IFERROR(VLOOKUP(G81,DB_Agents!$B:$I,8,0),"")=H81,IF(AND(A81&lt;&gt;"",E81&lt;&gt;""),"Saved","Pending"),"🔒 BLOCKED — Wrong Code")))</f>
        <v>Pending</v>
      </c>
      <c r="J81" s="83" t="str">
        <f t="shared" ca="1" si="8"/>
        <v>—</v>
      </c>
      <c r="K81" s="84"/>
    </row>
    <row r="82" spans="1:11" ht="15" customHeight="1" x14ac:dyDescent="0.25">
      <c r="A82" s="85"/>
      <c r="B82" s="41" t="str">
        <f>IF(A82="","",IFERROR(VLOOKUP(A82,DB_Customers!$A:$D,4,0),"❌ Account Not Found"))</f>
        <v/>
      </c>
      <c r="C82" s="86" t="str">
        <f>IF(A82="","",IFERROR(IF(SUMIF(DB_Savings!$C:$C,A82,DB_Savings!$F:$F)=0,VLOOKUP(A82,DB_Customers!$A:$I,9,0),VLOOKUP(A82,DB_Customers!$A:$N,14,0)),"❌ Acct Not Found"))</f>
        <v/>
      </c>
      <c r="D82" s="87" t="str">
        <f t="shared" ca="1" si="6"/>
        <v/>
      </c>
      <c r="E82" s="79"/>
      <c r="F82" s="88" t="str">
        <f t="shared" si="7"/>
        <v/>
      </c>
      <c r="G82" s="43" t="s">
        <v>138</v>
      </c>
      <c r="H82" s="81"/>
      <c r="I82" s="89" t="str">
        <f>IF(A82="","Pending",IF(H82="","⚠️ Enter Agent Code",IF(IFERROR(VLOOKUP(G82,DB_Agents!$B:$I,8,0),"")=H82,IF(AND(A82&lt;&gt;"",E82&lt;&gt;""),"Saved","Pending"),"🔒 BLOCKED — Wrong Code")))</f>
        <v>Pending</v>
      </c>
      <c r="J82" s="90" t="str">
        <f t="shared" ca="1" si="8"/>
        <v>—</v>
      </c>
      <c r="K82" s="91"/>
    </row>
    <row r="83" spans="1:11" ht="15" customHeight="1" x14ac:dyDescent="0.25">
      <c r="A83" s="76"/>
      <c r="B83" s="37" t="str">
        <f>IF(A83="","",IFERROR(VLOOKUP(A83,DB_Customers!$A:$D,4,0),"❌ Account Not Found"))</f>
        <v/>
      </c>
      <c r="C83" s="77" t="str">
        <f>IF(A83="","",IFERROR(IF(SUMIF(DB_Savings!$C:$C,A83,DB_Savings!$F:$F)=0,VLOOKUP(A83,DB_Customers!$A:$I,9,0),VLOOKUP(A83,DB_Customers!$A:$N,14,0)),"❌ Acct Not Found"))</f>
        <v/>
      </c>
      <c r="D83" s="78" t="str">
        <f t="shared" ca="1" si="6"/>
        <v/>
      </c>
      <c r="E83" s="79"/>
      <c r="F83" s="80" t="str">
        <f t="shared" si="7"/>
        <v/>
      </c>
      <c r="G83" s="39" t="s">
        <v>138</v>
      </c>
      <c r="H83" s="81"/>
      <c r="I83" s="82" t="str">
        <f>IF(A83="","Pending",IF(H83="","⚠️ Enter Agent Code",IF(IFERROR(VLOOKUP(G83,DB_Agents!$B:$I,8,0),"")=H83,IF(AND(A83&lt;&gt;"",E83&lt;&gt;""),"Saved","Pending"),"🔒 BLOCKED — Wrong Code")))</f>
        <v>Pending</v>
      </c>
      <c r="J83" s="83" t="str">
        <f t="shared" ca="1" si="8"/>
        <v>—</v>
      </c>
      <c r="K83" s="84"/>
    </row>
    <row r="84" spans="1:11" ht="15" customHeight="1" x14ac:dyDescent="0.25">
      <c r="A84" s="85"/>
      <c r="B84" s="41" t="str">
        <f>IF(A84="","",IFERROR(VLOOKUP(A84,DB_Customers!$A:$D,4,0),"❌ Account Not Found"))</f>
        <v/>
      </c>
      <c r="C84" s="86" t="str">
        <f>IF(A84="","",IFERROR(IF(SUMIF(DB_Savings!$C:$C,A84,DB_Savings!$F:$F)=0,VLOOKUP(A84,DB_Customers!$A:$I,9,0),VLOOKUP(A84,DB_Customers!$A:$N,14,0)),"❌ Acct Not Found"))</f>
        <v/>
      </c>
      <c r="D84" s="87" t="str">
        <f t="shared" ca="1" si="6"/>
        <v/>
      </c>
      <c r="E84" s="79"/>
      <c r="F84" s="88" t="str">
        <f t="shared" si="7"/>
        <v/>
      </c>
      <c r="G84" s="43" t="s">
        <v>138</v>
      </c>
      <c r="H84" s="81"/>
      <c r="I84" s="89" t="str">
        <f>IF(A84="","Pending",IF(H84="","⚠️ Enter Agent Code",IF(IFERROR(VLOOKUP(G84,DB_Agents!$B:$I,8,0),"")=H84,IF(AND(A84&lt;&gt;"",E84&lt;&gt;""),"Saved","Pending"),"🔒 BLOCKED — Wrong Code")))</f>
        <v>Pending</v>
      </c>
      <c r="J84" s="90" t="str">
        <f t="shared" ca="1" si="8"/>
        <v>—</v>
      </c>
      <c r="K84" s="91"/>
    </row>
    <row r="85" spans="1:11" ht="15" customHeight="1" x14ac:dyDescent="0.25">
      <c r="A85" s="76"/>
      <c r="B85" s="37" t="str">
        <f>IF(A85="","",IFERROR(VLOOKUP(A85,DB_Customers!$A:$D,4,0),"❌ Account Not Found"))</f>
        <v/>
      </c>
      <c r="C85" s="77" t="str">
        <f>IF(A85="","",IFERROR(IF(SUMIF(DB_Savings!$C:$C,A85,DB_Savings!$F:$F)=0,VLOOKUP(A85,DB_Customers!$A:$I,9,0),VLOOKUP(A85,DB_Customers!$A:$N,14,0)),"❌ Acct Not Found"))</f>
        <v/>
      </c>
      <c r="D85" s="78" t="str">
        <f t="shared" ca="1" si="6"/>
        <v/>
      </c>
      <c r="E85" s="79"/>
      <c r="F85" s="80" t="str">
        <f t="shared" si="7"/>
        <v/>
      </c>
      <c r="G85" s="39" t="s">
        <v>138</v>
      </c>
      <c r="H85" s="81"/>
      <c r="I85" s="82" t="str">
        <f>IF(A85="","Pending",IF(H85="","⚠️ Enter Agent Code",IF(IFERROR(VLOOKUP(G85,DB_Agents!$B:$I,8,0),"")=H85,IF(AND(A85&lt;&gt;"",E85&lt;&gt;""),"Saved","Pending"),"🔒 BLOCKED — Wrong Code")))</f>
        <v>Pending</v>
      </c>
      <c r="J85" s="83" t="str">
        <f t="shared" ca="1" si="8"/>
        <v>—</v>
      </c>
      <c r="K85" s="84"/>
    </row>
    <row r="86" spans="1:11" ht="15" customHeight="1" x14ac:dyDescent="0.25">
      <c r="A86" s="85"/>
      <c r="B86" s="41" t="str">
        <f>IF(A86="","",IFERROR(VLOOKUP(A86,DB_Customers!$A:$D,4,0),"❌ Account Not Found"))</f>
        <v/>
      </c>
      <c r="C86" s="86" t="str">
        <f>IF(A86="","",IFERROR(IF(SUMIF(DB_Savings!$C:$C,A86,DB_Savings!$F:$F)=0,VLOOKUP(A86,DB_Customers!$A:$I,9,0),VLOOKUP(A86,DB_Customers!$A:$N,14,0)),"❌ Acct Not Found"))</f>
        <v/>
      </c>
      <c r="D86" s="87" t="str">
        <f t="shared" ca="1" si="6"/>
        <v/>
      </c>
      <c r="E86" s="79"/>
      <c r="F86" s="88" t="str">
        <f t="shared" si="7"/>
        <v/>
      </c>
      <c r="G86" s="43" t="s">
        <v>138</v>
      </c>
      <c r="H86" s="81"/>
      <c r="I86" s="89" t="str">
        <f>IF(A86="","Pending",IF(H86="","⚠️ Enter Agent Code",IF(IFERROR(VLOOKUP(G86,DB_Agents!$B:$I,8,0),"")=H86,IF(AND(A86&lt;&gt;"",E86&lt;&gt;""),"Saved","Pending"),"🔒 BLOCKED — Wrong Code")))</f>
        <v>Pending</v>
      </c>
      <c r="J86" s="90" t="str">
        <f t="shared" ca="1" si="8"/>
        <v>—</v>
      </c>
      <c r="K86" s="91"/>
    </row>
    <row r="87" spans="1:11" ht="15" customHeight="1" x14ac:dyDescent="0.25">
      <c r="A87" s="76"/>
      <c r="B87" s="37" t="str">
        <f>IF(A87="","",IFERROR(VLOOKUP(A87,DB_Customers!$A:$D,4,0),"❌ Account Not Found"))</f>
        <v/>
      </c>
      <c r="C87" s="77" t="str">
        <f>IF(A87="","",IFERROR(IF(SUMIF(DB_Savings!$C:$C,A87,DB_Savings!$F:$F)=0,VLOOKUP(A87,DB_Customers!$A:$I,9,0),VLOOKUP(A87,DB_Customers!$A:$N,14,0)),"❌ Acct Not Found"))</f>
        <v/>
      </c>
      <c r="D87" s="78" t="str">
        <f t="shared" ca="1" si="6"/>
        <v/>
      </c>
      <c r="E87" s="79"/>
      <c r="F87" s="80" t="str">
        <f t="shared" si="7"/>
        <v/>
      </c>
      <c r="G87" s="39" t="s">
        <v>138</v>
      </c>
      <c r="H87" s="81"/>
      <c r="I87" s="82" t="str">
        <f>IF(A87="","Pending",IF(H87="","⚠️ Enter Agent Code",IF(IFERROR(VLOOKUP(G87,DB_Agents!$B:$I,8,0),"")=H87,IF(AND(A87&lt;&gt;"",E87&lt;&gt;""),"Saved","Pending"),"🔒 BLOCKED — Wrong Code")))</f>
        <v>Pending</v>
      </c>
      <c r="J87" s="83" t="str">
        <f t="shared" ca="1" si="8"/>
        <v>—</v>
      </c>
      <c r="K87" s="84"/>
    </row>
    <row r="88" spans="1:11" ht="15" customHeight="1" x14ac:dyDescent="0.25">
      <c r="A88" s="85"/>
      <c r="B88" s="41" t="str">
        <f>IF(A88="","",IFERROR(VLOOKUP(A88,DB_Customers!$A:$D,4,0),"❌ Account Not Found"))</f>
        <v/>
      </c>
      <c r="C88" s="86" t="str">
        <f>IF(A88="","",IFERROR(IF(SUMIF(DB_Savings!$C:$C,A88,DB_Savings!$F:$F)=0,VLOOKUP(A88,DB_Customers!$A:$I,9,0),VLOOKUP(A88,DB_Customers!$A:$N,14,0)),"❌ Acct Not Found"))</f>
        <v/>
      </c>
      <c r="D88" s="87" t="str">
        <f t="shared" ca="1" si="6"/>
        <v/>
      </c>
      <c r="E88" s="79"/>
      <c r="F88" s="88" t="str">
        <f t="shared" si="7"/>
        <v/>
      </c>
      <c r="G88" s="43" t="s">
        <v>138</v>
      </c>
      <c r="H88" s="81"/>
      <c r="I88" s="89" t="str">
        <f>IF(A88="","Pending",IF(H88="","⚠️ Enter Agent Code",IF(IFERROR(VLOOKUP(G88,DB_Agents!$B:$I,8,0),"")=H88,IF(AND(A88&lt;&gt;"",E88&lt;&gt;""),"Saved","Pending"),"🔒 BLOCKED — Wrong Code")))</f>
        <v>Pending</v>
      </c>
      <c r="J88" s="90" t="str">
        <f t="shared" ca="1" si="8"/>
        <v>—</v>
      </c>
      <c r="K88" s="91"/>
    </row>
    <row r="89" spans="1:11" ht="15" customHeight="1" x14ac:dyDescent="0.25">
      <c r="A89" s="76"/>
      <c r="B89" s="37" t="str">
        <f>IF(A89="","",IFERROR(VLOOKUP(A89,DB_Customers!$A:$D,4,0),"❌ Account Not Found"))</f>
        <v/>
      </c>
      <c r="C89" s="77" t="str">
        <f>IF(A89="","",IFERROR(IF(SUMIF(DB_Savings!$C:$C,A89,DB_Savings!$F:$F)=0,VLOOKUP(A89,DB_Customers!$A:$I,9,0),VLOOKUP(A89,DB_Customers!$A:$N,14,0)),"❌ Acct Not Found"))</f>
        <v/>
      </c>
      <c r="D89" s="78" t="str">
        <f t="shared" ca="1" si="6"/>
        <v/>
      </c>
      <c r="E89" s="79"/>
      <c r="F89" s="80" t="str">
        <f t="shared" si="7"/>
        <v/>
      </c>
      <c r="G89" s="39" t="s">
        <v>138</v>
      </c>
      <c r="H89" s="81"/>
      <c r="I89" s="82" t="str">
        <f>IF(A89="","Pending",IF(H89="","⚠️ Enter Agent Code",IF(IFERROR(VLOOKUP(G89,DB_Agents!$B:$I,8,0),"")=H89,IF(AND(A89&lt;&gt;"",E89&lt;&gt;""),"Saved","Pending"),"🔒 BLOCKED — Wrong Code")))</f>
        <v>Pending</v>
      </c>
      <c r="J89" s="83" t="str">
        <f t="shared" ca="1" si="8"/>
        <v>—</v>
      </c>
      <c r="K89" s="84"/>
    </row>
    <row r="90" spans="1:11" ht="15" customHeight="1" x14ac:dyDescent="0.25">
      <c r="A90" s="85"/>
      <c r="B90" s="41" t="str">
        <f>IF(A90="","",IFERROR(VLOOKUP(A90,DB_Customers!$A:$D,4,0),"❌ Account Not Found"))</f>
        <v/>
      </c>
      <c r="C90" s="86" t="str">
        <f>IF(A90="","",IFERROR(IF(SUMIF(DB_Savings!$C:$C,A90,DB_Savings!$F:$F)=0,VLOOKUP(A90,DB_Customers!$A:$I,9,0),VLOOKUP(A90,DB_Customers!$A:$N,14,0)),"❌ Acct Not Found"))</f>
        <v/>
      </c>
      <c r="D90" s="87" t="str">
        <f t="shared" ca="1" si="6"/>
        <v/>
      </c>
      <c r="E90" s="79"/>
      <c r="F90" s="88" t="str">
        <f t="shared" si="7"/>
        <v/>
      </c>
      <c r="G90" s="43" t="s">
        <v>138</v>
      </c>
      <c r="H90" s="81"/>
      <c r="I90" s="89" t="str">
        <f>IF(A90="","Pending",IF(H90="","⚠️ Enter Agent Code",IF(IFERROR(VLOOKUP(G90,DB_Agents!$B:$I,8,0),"")=H90,IF(AND(A90&lt;&gt;"",E90&lt;&gt;""),"Saved","Pending"),"🔒 BLOCKED — Wrong Code")))</f>
        <v>Pending</v>
      </c>
      <c r="J90" s="90" t="str">
        <f t="shared" ca="1" si="8"/>
        <v>—</v>
      </c>
      <c r="K90" s="91"/>
    </row>
    <row r="91" spans="1:11" ht="15" customHeight="1" x14ac:dyDescent="0.25">
      <c r="A91" s="76"/>
      <c r="B91" s="37" t="str">
        <f>IF(A91="","",IFERROR(VLOOKUP(A91,DB_Customers!$A:$D,4,0),"❌ Account Not Found"))</f>
        <v/>
      </c>
      <c r="C91" s="77" t="str">
        <f>IF(A91="","",IFERROR(IF(SUMIF(DB_Savings!$C:$C,A91,DB_Savings!$F:$F)=0,VLOOKUP(A91,DB_Customers!$A:$I,9,0),VLOOKUP(A91,DB_Customers!$A:$N,14,0)),"❌ Acct Not Found"))</f>
        <v/>
      </c>
      <c r="D91" s="78" t="str">
        <f t="shared" ca="1" si="6"/>
        <v/>
      </c>
      <c r="E91" s="79"/>
      <c r="F91" s="80" t="str">
        <f t="shared" si="7"/>
        <v/>
      </c>
      <c r="G91" s="39" t="s">
        <v>138</v>
      </c>
      <c r="H91" s="81"/>
      <c r="I91" s="82" t="str">
        <f>IF(A91="","Pending",IF(H91="","⚠️ Enter Agent Code",IF(IFERROR(VLOOKUP(G91,DB_Agents!$B:$I,8,0),"")=H91,IF(AND(A91&lt;&gt;"",E91&lt;&gt;""),"Saved","Pending"),"🔒 BLOCKED — Wrong Code")))</f>
        <v>Pending</v>
      </c>
      <c r="J91" s="83" t="str">
        <f t="shared" ca="1" si="8"/>
        <v>—</v>
      </c>
      <c r="K91" s="84"/>
    </row>
    <row r="92" spans="1:11" ht="15" customHeight="1" x14ac:dyDescent="0.25">
      <c r="A92" s="85"/>
      <c r="B92" s="41" t="str">
        <f>IF(A92="","",IFERROR(VLOOKUP(A92,DB_Customers!$A:$D,4,0),"❌ Account Not Found"))</f>
        <v/>
      </c>
      <c r="C92" s="86" t="str">
        <f>IF(A92="","",IFERROR(IF(SUMIF(DB_Savings!$C:$C,A92,DB_Savings!$F:$F)=0,VLOOKUP(A92,DB_Customers!$A:$I,9,0),VLOOKUP(A92,DB_Customers!$A:$N,14,0)),"❌ Acct Not Found"))</f>
        <v/>
      </c>
      <c r="D92" s="87" t="str">
        <f t="shared" ca="1" si="6"/>
        <v/>
      </c>
      <c r="E92" s="79"/>
      <c r="F92" s="88" t="str">
        <f t="shared" si="7"/>
        <v/>
      </c>
      <c r="G92" s="43" t="s">
        <v>138</v>
      </c>
      <c r="H92" s="81"/>
      <c r="I92" s="89" t="str">
        <f>IF(A92="","Pending",IF(H92="","⚠️ Enter Agent Code",IF(IFERROR(VLOOKUP(G92,DB_Agents!$B:$I,8,0),"")=H92,IF(AND(A92&lt;&gt;"",E92&lt;&gt;""),"Saved","Pending"),"🔒 BLOCKED — Wrong Code")))</f>
        <v>Pending</v>
      </c>
      <c r="J92" s="90" t="str">
        <f t="shared" ca="1" si="8"/>
        <v>—</v>
      </c>
      <c r="K92" s="91"/>
    </row>
    <row r="93" spans="1:11" ht="15" customHeight="1" x14ac:dyDescent="0.25">
      <c r="A93" s="76"/>
      <c r="B93" s="37" t="str">
        <f>IF(A93="","",IFERROR(VLOOKUP(A93,DB_Customers!$A:$D,4,0),"❌ Account Not Found"))</f>
        <v/>
      </c>
      <c r="C93" s="77" t="str">
        <f>IF(A93="","",IFERROR(IF(SUMIF(DB_Savings!$C:$C,A93,DB_Savings!$F:$F)=0,VLOOKUP(A93,DB_Customers!$A:$I,9,0),VLOOKUP(A93,DB_Customers!$A:$N,14,0)),"❌ Acct Not Found"))</f>
        <v/>
      </c>
      <c r="D93" s="78" t="str">
        <f t="shared" ca="1" si="6"/>
        <v/>
      </c>
      <c r="E93" s="79"/>
      <c r="F93" s="80" t="str">
        <f t="shared" si="7"/>
        <v/>
      </c>
      <c r="G93" s="39" t="s">
        <v>138</v>
      </c>
      <c r="H93" s="81"/>
      <c r="I93" s="82" t="str">
        <f>IF(A93="","Pending",IF(H93="","⚠️ Enter Agent Code",IF(IFERROR(VLOOKUP(G93,DB_Agents!$B:$I,8,0),"")=H93,IF(AND(A93&lt;&gt;"",E93&lt;&gt;""),"Saved","Pending"),"🔒 BLOCKED — Wrong Code")))</f>
        <v>Pending</v>
      </c>
      <c r="J93" s="83" t="str">
        <f t="shared" ca="1" si="8"/>
        <v>—</v>
      </c>
      <c r="K93" s="84"/>
    </row>
    <row r="94" spans="1:11" ht="15" customHeight="1" x14ac:dyDescent="0.25">
      <c r="A94" s="85"/>
      <c r="B94" s="41" t="str">
        <f>IF(A94="","",IFERROR(VLOOKUP(A94,DB_Customers!$A:$D,4,0),"❌ Account Not Found"))</f>
        <v/>
      </c>
      <c r="C94" s="86" t="str">
        <f>IF(A94="","",IFERROR(IF(SUMIF(DB_Savings!$C:$C,A94,DB_Savings!$F:$F)=0,VLOOKUP(A94,DB_Customers!$A:$I,9,0),VLOOKUP(A94,DB_Customers!$A:$N,14,0)),"❌ Acct Not Found"))</f>
        <v/>
      </c>
      <c r="D94" s="87" t="str">
        <f t="shared" ca="1" si="6"/>
        <v/>
      </c>
      <c r="E94" s="79"/>
      <c r="F94" s="88" t="str">
        <f t="shared" si="7"/>
        <v/>
      </c>
      <c r="G94" s="43" t="s">
        <v>138</v>
      </c>
      <c r="H94" s="81"/>
      <c r="I94" s="89" t="str">
        <f>IF(A94="","Pending",IF(H94="","⚠️ Enter Agent Code",IF(IFERROR(VLOOKUP(G94,DB_Agents!$B:$I,8,0),"")=H94,IF(AND(A94&lt;&gt;"",E94&lt;&gt;""),"Saved","Pending"),"🔒 BLOCKED — Wrong Code")))</f>
        <v>Pending</v>
      </c>
      <c r="J94" s="90" t="str">
        <f t="shared" ca="1" si="8"/>
        <v>—</v>
      </c>
      <c r="K94" s="91"/>
    </row>
    <row r="95" spans="1:11" ht="15" customHeight="1" x14ac:dyDescent="0.25">
      <c r="A95" s="76"/>
      <c r="B95" s="37" t="str">
        <f>IF(A95="","",IFERROR(VLOOKUP(A95,DB_Customers!$A:$D,4,0),"❌ Account Not Found"))</f>
        <v/>
      </c>
      <c r="C95" s="77" t="str">
        <f>IF(A95="","",IFERROR(IF(SUMIF(DB_Savings!$C:$C,A95,DB_Savings!$F:$F)=0,VLOOKUP(A95,DB_Customers!$A:$I,9,0),VLOOKUP(A95,DB_Customers!$A:$N,14,0)),"❌ Acct Not Found"))</f>
        <v/>
      </c>
      <c r="D95" s="78" t="str">
        <f t="shared" ca="1" si="6"/>
        <v/>
      </c>
      <c r="E95" s="79"/>
      <c r="F95" s="80" t="str">
        <f t="shared" si="7"/>
        <v/>
      </c>
      <c r="G95" s="39" t="s">
        <v>138</v>
      </c>
      <c r="H95" s="81"/>
      <c r="I95" s="82" t="str">
        <f>IF(A95="","Pending",IF(H95="","⚠️ Enter Agent Code",IF(IFERROR(VLOOKUP(G95,DB_Agents!$B:$I,8,0),"")=H95,IF(AND(A95&lt;&gt;"",E95&lt;&gt;""),"Saved","Pending"),"🔒 BLOCKED — Wrong Code")))</f>
        <v>Pending</v>
      </c>
      <c r="J95" s="83" t="str">
        <f t="shared" ca="1" si="8"/>
        <v>—</v>
      </c>
      <c r="K95" s="84"/>
    </row>
    <row r="96" spans="1:11" ht="15" customHeight="1" x14ac:dyDescent="0.25">
      <c r="A96" s="85"/>
      <c r="B96" s="41" t="str">
        <f>IF(A96="","",IFERROR(VLOOKUP(A96,DB_Customers!$A:$D,4,0),"❌ Account Not Found"))</f>
        <v/>
      </c>
      <c r="C96" s="86" t="str">
        <f>IF(A96="","",IFERROR(IF(SUMIF(DB_Savings!$C:$C,A96,DB_Savings!$F:$F)=0,VLOOKUP(A96,DB_Customers!$A:$I,9,0),VLOOKUP(A96,DB_Customers!$A:$N,14,0)),"❌ Acct Not Found"))</f>
        <v/>
      </c>
      <c r="D96" s="87" t="str">
        <f t="shared" ca="1" si="6"/>
        <v/>
      </c>
      <c r="E96" s="79"/>
      <c r="F96" s="88" t="str">
        <f t="shared" si="7"/>
        <v/>
      </c>
      <c r="G96" s="43" t="s">
        <v>138</v>
      </c>
      <c r="H96" s="81"/>
      <c r="I96" s="89" t="str">
        <f>IF(A96="","Pending",IF(H96="","⚠️ Enter Agent Code",IF(IFERROR(VLOOKUP(G96,DB_Agents!$B:$I,8,0),"")=H96,IF(AND(A96&lt;&gt;"",E96&lt;&gt;""),"Saved","Pending"),"🔒 BLOCKED — Wrong Code")))</f>
        <v>Pending</v>
      </c>
      <c r="J96" s="90" t="str">
        <f t="shared" ca="1" si="8"/>
        <v>—</v>
      </c>
      <c r="K96" s="91"/>
    </row>
    <row r="97" spans="1:11" ht="15" customHeight="1" x14ac:dyDescent="0.25">
      <c r="A97" s="76"/>
      <c r="B97" s="37" t="str">
        <f>IF(A97="","",IFERROR(VLOOKUP(A97,DB_Customers!$A:$D,4,0),"❌ Account Not Found"))</f>
        <v/>
      </c>
      <c r="C97" s="77" t="str">
        <f>IF(A97="","",IFERROR(IF(SUMIF(DB_Savings!$C:$C,A97,DB_Savings!$F:$F)=0,VLOOKUP(A97,DB_Customers!$A:$I,9,0),VLOOKUP(A97,DB_Customers!$A:$N,14,0)),"❌ Acct Not Found"))</f>
        <v/>
      </c>
      <c r="D97" s="78" t="str">
        <f t="shared" ca="1" si="6"/>
        <v/>
      </c>
      <c r="E97" s="79"/>
      <c r="F97" s="80" t="str">
        <f t="shared" si="7"/>
        <v/>
      </c>
      <c r="G97" s="39" t="s">
        <v>138</v>
      </c>
      <c r="H97" s="81"/>
      <c r="I97" s="82" t="str">
        <f>IF(A97="","Pending",IF(H97="","⚠️ Enter Agent Code",IF(IFERROR(VLOOKUP(G97,DB_Agents!$B:$I,8,0),"")=H97,IF(AND(A97&lt;&gt;"",E97&lt;&gt;""),"Saved","Pending"),"🔒 BLOCKED — Wrong Code")))</f>
        <v>Pending</v>
      </c>
      <c r="J97" s="83" t="str">
        <f t="shared" ca="1" si="8"/>
        <v>—</v>
      </c>
      <c r="K97" s="84"/>
    </row>
    <row r="98" spans="1:11" ht="15" customHeight="1" x14ac:dyDescent="0.25">
      <c r="A98" s="85"/>
      <c r="B98" s="41" t="str">
        <f>IF(A98="","",IFERROR(VLOOKUP(A98,DB_Customers!$A:$D,4,0),"❌ Account Not Found"))</f>
        <v/>
      </c>
      <c r="C98" s="86" t="str">
        <f>IF(A98="","",IFERROR(IF(SUMIF(DB_Savings!$C:$C,A98,DB_Savings!$F:$F)=0,VLOOKUP(A98,DB_Customers!$A:$I,9,0),VLOOKUP(A98,DB_Customers!$A:$N,14,0)),"❌ Acct Not Found"))</f>
        <v/>
      </c>
      <c r="D98" s="87" t="str">
        <f t="shared" ca="1" si="6"/>
        <v/>
      </c>
      <c r="E98" s="79"/>
      <c r="F98" s="88" t="str">
        <f t="shared" si="7"/>
        <v/>
      </c>
      <c r="G98" s="43" t="s">
        <v>138</v>
      </c>
      <c r="H98" s="81"/>
      <c r="I98" s="89" t="str">
        <f>IF(A98="","Pending",IF(H98="","⚠️ Enter Agent Code",IF(IFERROR(VLOOKUP(G98,DB_Agents!$B:$I,8,0),"")=H98,IF(AND(A98&lt;&gt;"",E98&lt;&gt;""),"Saved","Pending"),"🔒 BLOCKED — Wrong Code")))</f>
        <v>Pending</v>
      </c>
      <c r="J98" s="90" t="str">
        <f t="shared" ca="1" si="8"/>
        <v>—</v>
      </c>
      <c r="K98" s="91"/>
    </row>
    <row r="99" spans="1:11" ht="15" customHeight="1" x14ac:dyDescent="0.25">
      <c r="A99" s="76"/>
      <c r="B99" s="37" t="str">
        <f>IF(A99="","",IFERROR(VLOOKUP(A99,DB_Customers!$A:$D,4,0),"❌ Account Not Found"))</f>
        <v/>
      </c>
      <c r="C99" s="77" t="str">
        <f>IF(A99="","",IFERROR(IF(SUMIF(DB_Savings!$C:$C,A99,DB_Savings!$F:$F)=0,VLOOKUP(A99,DB_Customers!$A:$I,9,0),VLOOKUP(A99,DB_Customers!$A:$N,14,0)),"❌ Acct Not Found"))</f>
        <v/>
      </c>
      <c r="D99" s="78" t="str">
        <f t="shared" ca="1" si="6"/>
        <v/>
      </c>
      <c r="E99" s="79"/>
      <c r="F99" s="80" t="str">
        <f t="shared" si="7"/>
        <v/>
      </c>
      <c r="G99" s="39" t="s">
        <v>138</v>
      </c>
      <c r="H99" s="81"/>
      <c r="I99" s="82" t="str">
        <f>IF(A99="","Pending",IF(H99="","⚠️ Enter Agent Code",IF(IFERROR(VLOOKUP(G99,DB_Agents!$B:$I,8,0),"")=H99,IF(AND(A99&lt;&gt;"",E99&lt;&gt;""),"Saved","Pending"),"🔒 BLOCKED — Wrong Code")))</f>
        <v>Pending</v>
      </c>
      <c r="J99" s="83" t="str">
        <f t="shared" ca="1" si="8"/>
        <v>—</v>
      </c>
      <c r="K99" s="84"/>
    </row>
    <row r="100" spans="1:11" ht="15" customHeight="1" x14ac:dyDescent="0.25">
      <c r="A100" s="85"/>
      <c r="B100" s="41" t="str">
        <f>IF(A100="","",IFERROR(VLOOKUP(A100,DB_Customers!$A:$D,4,0),"❌ Account Not Found"))</f>
        <v/>
      </c>
      <c r="C100" s="86" t="str">
        <f>IF(A100="","",IFERROR(IF(SUMIF(DB_Savings!$C:$C,A100,DB_Savings!$F:$F)=0,VLOOKUP(A100,DB_Customers!$A:$I,9,0),VLOOKUP(A100,DB_Customers!$A:$N,14,0)),"❌ Acct Not Found"))</f>
        <v/>
      </c>
      <c r="D100" s="87" t="str">
        <f t="shared" ca="1" si="6"/>
        <v/>
      </c>
      <c r="E100" s="79"/>
      <c r="F100" s="88" t="str">
        <f t="shared" si="7"/>
        <v/>
      </c>
      <c r="G100" s="43" t="s">
        <v>138</v>
      </c>
      <c r="H100" s="81"/>
      <c r="I100" s="89" t="str">
        <f>IF(A100="","Pending",IF(H100="","⚠️ Enter Agent Code",IF(IFERROR(VLOOKUP(G100,DB_Agents!$B:$I,8,0),"")=H100,IF(AND(A100&lt;&gt;"",E100&lt;&gt;""),"Saved","Pending"),"🔒 BLOCKED — Wrong Code")))</f>
        <v>Pending</v>
      </c>
      <c r="J100" s="90" t="str">
        <f t="shared" ca="1" si="8"/>
        <v>—</v>
      </c>
      <c r="K100" s="91"/>
    </row>
    <row r="101" spans="1:11" ht="15" customHeight="1" x14ac:dyDescent="0.25">
      <c r="A101" s="76"/>
      <c r="B101" s="37" t="str">
        <f>IF(A101="","",IFERROR(VLOOKUP(A101,DB_Customers!$A:$D,4,0),"❌ Account Not Found"))</f>
        <v/>
      </c>
      <c r="C101" s="77" t="str">
        <f>IF(A101="","",IFERROR(IF(SUMIF(DB_Savings!$C:$C,A101,DB_Savings!$F:$F)=0,VLOOKUP(A101,DB_Customers!$A:$I,9,0),VLOOKUP(A101,DB_Customers!$A:$N,14,0)),"❌ Acct Not Found"))</f>
        <v/>
      </c>
      <c r="D101" s="78" t="str">
        <f t="shared" ca="1" si="6"/>
        <v/>
      </c>
      <c r="E101" s="79"/>
      <c r="F101" s="80" t="str">
        <f t="shared" si="7"/>
        <v/>
      </c>
      <c r="G101" s="39" t="s">
        <v>138</v>
      </c>
      <c r="H101" s="81"/>
      <c r="I101" s="82" t="str">
        <f>IF(A101="","Pending",IF(H101="","⚠️ Enter Agent Code",IF(IFERROR(VLOOKUP(G101,DB_Agents!$B:$I,8,0),"")=H101,IF(AND(A101&lt;&gt;"",E101&lt;&gt;""),"Saved","Pending"),"🔒 BLOCKED — Wrong Code")))</f>
        <v>Pending</v>
      </c>
      <c r="J101" s="83" t="str">
        <f t="shared" ca="1" si="8"/>
        <v>—</v>
      </c>
      <c r="K101" s="84"/>
    </row>
    <row r="102" spans="1:11" ht="15" customHeight="1" x14ac:dyDescent="0.25">
      <c r="A102" s="85"/>
      <c r="B102" s="41" t="str">
        <f>IF(A102="","",IFERROR(VLOOKUP(A102,DB_Customers!$A:$D,4,0),"❌ Account Not Found"))</f>
        <v/>
      </c>
      <c r="C102" s="86" t="str">
        <f>IF(A102="","",IFERROR(IF(SUMIF(DB_Savings!$C:$C,A102,DB_Savings!$F:$F)=0,VLOOKUP(A102,DB_Customers!$A:$I,9,0),VLOOKUP(A102,DB_Customers!$A:$N,14,0)),"❌ Acct Not Found"))</f>
        <v/>
      </c>
      <c r="D102" s="87" t="str">
        <f t="shared" ca="1" si="6"/>
        <v/>
      </c>
      <c r="E102" s="79"/>
      <c r="F102" s="88" t="str">
        <f t="shared" si="7"/>
        <v/>
      </c>
      <c r="G102" s="43" t="s">
        <v>138</v>
      </c>
      <c r="H102" s="81"/>
      <c r="I102" s="89" t="str">
        <f>IF(A102="","Pending",IF(H102="","⚠️ Enter Agent Code",IF(IFERROR(VLOOKUP(G102,DB_Agents!$B:$I,8,0),"")=H102,IF(AND(A102&lt;&gt;"",E102&lt;&gt;""),"Saved","Pending"),"🔒 BLOCKED — Wrong Code")))</f>
        <v>Pending</v>
      </c>
      <c r="J102" s="90" t="str">
        <f t="shared" ca="1" si="8"/>
        <v>—</v>
      </c>
      <c r="K102" s="91"/>
    </row>
    <row r="103" spans="1:11" ht="15" customHeight="1" x14ac:dyDescent="0.25">
      <c r="A103" s="76"/>
      <c r="B103" s="37" t="str">
        <f>IF(A103="","",IFERROR(VLOOKUP(A103,DB_Customers!$A:$D,4,0),"❌ Account Not Found"))</f>
        <v/>
      </c>
      <c r="C103" s="77" t="str">
        <f>IF(A103="","",IFERROR(IF(SUMIF(DB_Savings!$C:$C,A103,DB_Savings!$F:$F)=0,VLOOKUP(A103,DB_Customers!$A:$I,9,0),VLOOKUP(A103,DB_Customers!$A:$N,14,0)),"❌ Acct Not Found"))</f>
        <v/>
      </c>
      <c r="D103" s="78" t="str">
        <f t="shared" ca="1" si="6"/>
        <v/>
      </c>
      <c r="E103" s="79"/>
      <c r="F103" s="80" t="str">
        <f t="shared" si="7"/>
        <v/>
      </c>
      <c r="G103" s="39" t="s">
        <v>138</v>
      </c>
      <c r="H103" s="81"/>
      <c r="I103" s="82" t="str">
        <f>IF(A103="","Pending",IF(H103="","⚠️ Enter Agent Code",IF(IFERROR(VLOOKUP(G103,DB_Agents!$B:$I,8,0),"")=H103,IF(AND(A103&lt;&gt;"",E103&lt;&gt;""),"Saved","Pending"),"🔒 BLOCKED — Wrong Code")))</f>
        <v>Pending</v>
      </c>
      <c r="J103" s="83" t="str">
        <f t="shared" ca="1" si="8"/>
        <v>—</v>
      </c>
      <c r="K103" s="84"/>
    </row>
    <row r="104" spans="1:11" ht="15" customHeight="1" x14ac:dyDescent="0.25">
      <c r="A104" s="85"/>
      <c r="B104" s="41" t="str">
        <f>IF(A104="","",IFERROR(VLOOKUP(A104,DB_Customers!$A:$D,4,0),"❌ Account Not Found"))</f>
        <v/>
      </c>
      <c r="C104" s="86" t="str">
        <f>IF(A104="","",IFERROR(IF(SUMIF(DB_Savings!$C:$C,A104,DB_Savings!$F:$F)=0,VLOOKUP(A104,DB_Customers!$A:$I,9,0),VLOOKUP(A104,DB_Customers!$A:$N,14,0)),"❌ Acct Not Found"))</f>
        <v/>
      </c>
      <c r="D104" s="87" t="str">
        <f t="shared" ca="1" si="6"/>
        <v/>
      </c>
      <c r="E104" s="79"/>
      <c r="F104" s="88" t="str">
        <f t="shared" si="7"/>
        <v/>
      </c>
      <c r="G104" s="43" t="s">
        <v>138</v>
      </c>
      <c r="H104" s="81"/>
      <c r="I104" s="89" t="str">
        <f>IF(A104="","Pending",IF(H104="","⚠️ Enter Agent Code",IF(IFERROR(VLOOKUP(G104,DB_Agents!$B:$I,8,0),"")=H104,IF(AND(A104&lt;&gt;"",E104&lt;&gt;""),"Saved","Pending"),"🔒 BLOCKED — Wrong Code")))</f>
        <v>Pending</v>
      </c>
      <c r="J104" s="90" t="str">
        <f t="shared" ca="1" si="8"/>
        <v>—</v>
      </c>
      <c r="K104" s="91"/>
    </row>
    <row r="105" spans="1:11" ht="15" customHeight="1" x14ac:dyDescent="0.25">
      <c r="A105" s="76"/>
      <c r="B105" s="37" t="str">
        <f>IF(A105="","",IFERROR(VLOOKUP(A105,DB_Customers!$A:$D,4,0),"❌ Account Not Found"))</f>
        <v/>
      </c>
      <c r="C105" s="77" t="str">
        <f>IF(A105="","",IFERROR(IF(SUMIF(DB_Savings!$C:$C,A105,DB_Savings!$F:$F)=0,VLOOKUP(A105,DB_Customers!$A:$I,9,0),VLOOKUP(A105,DB_Customers!$A:$N,14,0)),"❌ Acct Not Found"))</f>
        <v/>
      </c>
      <c r="D105" s="78" t="str">
        <f t="shared" ref="D105:D136" ca="1" si="9">IF(A105="","",TODAY())</f>
        <v/>
      </c>
      <c r="E105" s="79"/>
      <c r="F105" s="80" t="str">
        <f t="shared" ref="F105:F136" si="10">IF(OR(A105="",E105=""),"",IF(C105="","",C105+E105))</f>
        <v/>
      </c>
      <c r="G105" s="39" t="s">
        <v>138</v>
      </c>
      <c r="H105" s="81"/>
      <c r="I105" s="82" t="str">
        <f>IF(A105="","Pending",IF(H105="","⚠️ Enter Agent Code",IF(IFERROR(VLOOKUP(G105,DB_Agents!$B:$I,8,0),"")=H105,IF(AND(A105&lt;&gt;"",E105&lt;&gt;""),"Saved","Pending"),"🔒 BLOCKED — Wrong Code")))</f>
        <v>Pending</v>
      </c>
      <c r="J105" s="83" t="str">
        <f t="shared" ref="J105:J136" ca="1" si="11">IF(I105="Saved",TEXT(TODAY(),"YYYY-MM-DD")&amp;" Auto","—")</f>
        <v>—</v>
      </c>
      <c r="K105" s="84"/>
    </row>
    <row r="106" spans="1:11" ht="15" customHeight="1" x14ac:dyDescent="0.25">
      <c r="A106" s="85"/>
      <c r="B106" s="41" t="str">
        <f>IF(A106="","",IFERROR(VLOOKUP(A106,DB_Customers!$A:$D,4,0),"❌ Account Not Found"))</f>
        <v/>
      </c>
      <c r="C106" s="86" t="str">
        <f>IF(A106="","",IFERROR(IF(SUMIF(DB_Savings!$C:$C,A106,DB_Savings!$F:$F)=0,VLOOKUP(A106,DB_Customers!$A:$I,9,0),VLOOKUP(A106,DB_Customers!$A:$N,14,0)),"❌ Acct Not Found"))</f>
        <v/>
      </c>
      <c r="D106" s="87" t="str">
        <f t="shared" ca="1" si="9"/>
        <v/>
      </c>
      <c r="E106" s="79"/>
      <c r="F106" s="88" t="str">
        <f t="shared" si="10"/>
        <v/>
      </c>
      <c r="G106" s="43" t="s">
        <v>138</v>
      </c>
      <c r="H106" s="81"/>
      <c r="I106" s="89" t="str">
        <f>IF(A106="","Pending",IF(H106="","⚠️ Enter Agent Code",IF(IFERROR(VLOOKUP(G106,DB_Agents!$B:$I,8,0),"")=H106,IF(AND(A106&lt;&gt;"",E106&lt;&gt;""),"Saved","Pending"),"🔒 BLOCKED — Wrong Code")))</f>
        <v>Pending</v>
      </c>
      <c r="J106" s="90" t="str">
        <f t="shared" ca="1" si="11"/>
        <v>—</v>
      </c>
      <c r="K106" s="91"/>
    </row>
    <row r="107" spans="1:11" ht="15" customHeight="1" x14ac:dyDescent="0.25">
      <c r="A107" s="76"/>
      <c r="B107" s="37" t="str">
        <f>IF(A107="","",IFERROR(VLOOKUP(A107,DB_Customers!$A:$D,4,0),"❌ Account Not Found"))</f>
        <v/>
      </c>
      <c r="C107" s="77" t="str">
        <f>IF(A107="","",IFERROR(IF(SUMIF(DB_Savings!$C:$C,A107,DB_Savings!$F:$F)=0,VLOOKUP(A107,DB_Customers!$A:$I,9,0),VLOOKUP(A107,DB_Customers!$A:$N,14,0)),"❌ Acct Not Found"))</f>
        <v/>
      </c>
      <c r="D107" s="78" t="str">
        <f t="shared" ca="1" si="9"/>
        <v/>
      </c>
      <c r="E107" s="79"/>
      <c r="F107" s="80" t="str">
        <f t="shared" si="10"/>
        <v/>
      </c>
      <c r="G107" s="39" t="s">
        <v>138</v>
      </c>
      <c r="H107" s="81"/>
      <c r="I107" s="82" t="str">
        <f>IF(A107="","Pending",IF(H107="","⚠️ Enter Agent Code",IF(IFERROR(VLOOKUP(G107,DB_Agents!$B:$I,8,0),"")=H107,IF(AND(A107&lt;&gt;"",E107&lt;&gt;""),"Saved","Pending"),"🔒 BLOCKED — Wrong Code")))</f>
        <v>Pending</v>
      </c>
      <c r="J107" s="83" t="str">
        <f t="shared" ca="1" si="11"/>
        <v>—</v>
      </c>
      <c r="K107" s="84"/>
    </row>
    <row r="108" spans="1:11" ht="15" customHeight="1" x14ac:dyDescent="0.25">
      <c r="A108" s="85"/>
      <c r="B108" s="41" t="str">
        <f>IF(A108="","",IFERROR(VLOOKUP(A108,DB_Customers!$A:$D,4,0),"❌ Account Not Found"))</f>
        <v/>
      </c>
      <c r="C108" s="86" t="str">
        <f>IF(A108="","",IFERROR(IF(SUMIF(DB_Savings!$C:$C,A108,DB_Savings!$F:$F)=0,VLOOKUP(A108,DB_Customers!$A:$I,9,0),VLOOKUP(A108,DB_Customers!$A:$N,14,0)),"❌ Acct Not Found"))</f>
        <v/>
      </c>
      <c r="D108" s="87" t="str">
        <f t="shared" ca="1" si="9"/>
        <v/>
      </c>
      <c r="E108" s="79"/>
      <c r="F108" s="88" t="str">
        <f t="shared" si="10"/>
        <v/>
      </c>
      <c r="G108" s="43" t="s">
        <v>138</v>
      </c>
      <c r="H108" s="81"/>
      <c r="I108" s="89" t="str">
        <f>IF(A108="","Pending",IF(H108="","⚠️ Enter Agent Code",IF(IFERROR(VLOOKUP(G108,DB_Agents!$B:$I,8,0),"")=H108,IF(AND(A108&lt;&gt;"",E108&lt;&gt;""),"Saved","Pending"),"🔒 BLOCKED — Wrong Code")))</f>
        <v>Pending</v>
      </c>
      <c r="J108" s="90" t="str">
        <f t="shared" ca="1" si="11"/>
        <v>—</v>
      </c>
      <c r="K108" s="91"/>
    </row>
    <row r="109" spans="1:11" ht="15" customHeight="1" x14ac:dyDescent="0.25">
      <c r="A109" s="76"/>
      <c r="B109" s="37" t="str">
        <f>IF(A109="","",IFERROR(VLOOKUP(A109,DB_Customers!$A:$D,4,0),"❌ Account Not Found"))</f>
        <v/>
      </c>
      <c r="C109" s="77" t="str">
        <f>IF(A109="","",IFERROR(IF(SUMIF(DB_Savings!$C:$C,A109,DB_Savings!$F:$F)=0,VLOOKUP(A109,DB_Customers!$A:$I,9,0),VLOOKUP(A109,DB_Customers!$A:$N,14,0)),"❌ Acct Not Found"))</f>
        <v/>
      </c>
      <c r="D109" s="78" t="str">
        <f t="shared" ca="1" si="9"/>
        <v/>
      </c>
      <c r="E109" s="79"/>
      <c r="F109" s="80" t="str">
        <f t="shared" si="10"/>
        <v/>
      </c>
      <c r="G109" s="39" t="s">
        <v>138</v>
      </c>
      <c r="H109" s="81"/>
      <c r="I109" s="82" t="str">
        <f>IF(A109="","Pending",IF(H109="","⚠️ Enter Agent Code",IF(IFERROR(VLOOKUP(G109,DB_Agents!$B:$I,8,0),"")=H109,IF(AND(A109&lt;&gt;"",E109&lt;&gt;""),"Saved","Pending"),"🔒 BLOCKED — Wrong Code")))</f>
        <v>Pending</v>
      </c>
      <c r="J109" s="83" t="str">
        <f t="shared" ca="1" si="11"/>
        <v>—</v>
      </c>
      <c r="K109" s="84"/>
    </row>
    <row r="110" spans="1:11" ht="15" customHeight="1" x14ac:dyDescent="0.25">
      <c r="A110" s="85"/>
      <c r="B110" s="41" t="str">
        <f>IF(A110="","",IFERROR(VLOOKUP(A110,DB_Customers!$A:$D,4,0),"❌ Account Not Found"))</f>
        <v/>
      </c>
      <c r="C110" s="86" t="str">
        <f>IF(A110="","",IFERROR(IF(SUMIF(DB_Savings!$C:$C,A110,DB_Savings!$F:$F)=0,VLOOKUP(A110,DB_Customers!$A:$I,9,0),VLOOKUP(A110,DB_Customers!$A:$N,14,0)),"❌ Acct Not Found"))</f>
        <v/>
      </c>
      <c r="D110" s="87" t="str">
        <f t="shared" ca="1" si="9"/>
        <v/>
      </c>
      <c r="E110" s="79"/>
      <c r="F110" s="88" t="str">
        <f t="shared" si="10"/>
        <v/>
      </c>
      <c r="G110" s="43" t="s">
        <v>138</v>
      </c>
      <c r="H110" s="81"/>
      <c r="I110" s="89" t="str">
        <f>IF(A110="","Pending",IF(H110="","⚠️ Enter Agent Code",IF(IFERROR(VLOOKUP(G110,DB_Agents!$B:$I,8,0),"")=H110,IF(AND(A110&lt;&gt;"",E110&lt;&gt;""),"Saved","Pending"),"🔒 BLOCKED — Wrong Code")))</f>
        <v>Pending</v>
      </c>
      <c r="J110" s="90" t="str">
        <f t="shared" ca="1" si="11"/>
        <v>—</v>
      </c>
      <c r="K110" s="91"/>
    </row>
    <row r="111" spans="1:11" ht="15" customHeight="1" x14ac:dyDescent="0.25">
      <c r="A111" s="76"/>
      <c r="B111" s="37" t="str">
        <f>IF(A111="","",IFERROR(VLOOKUP(A111,DB_Customers!$A:$D,4,0),"❌ Account Not Found"))</f>
        <v/>
      </c>
      <c r="C111" s="77" t="str">
        <f>IF(A111="","",IFERROR(IF(SUMIF(DB_Savings!$C:$C,A111,DB_Savings!$F:$F)=0,VLOOKUP(A111,DB_Customers!$A:$I,9,0),VLOOKUP(A111,DB_Customers!$A:$N,14,0)),"❌ Acct Not Found"))</f>
        <v/>
      </c>
      <c r="D111" s="78" t="str">
        <f t="shared" ca="1" si="9"/>
        <v/>
      </c>
      <c r="E111" s="79"/>
      <c r="F111" s="80" t="str">
        <f t="shared" si="10"/>
        <v/>
      </c>
      <c r="G111" s="39" t="s">
        <v>138</v>
      </c>
      <c r="H111" s="81"/>
      <c r="I111" s="82" t="str">
        <f>IF(A111="","Pending",IF(H111="","⚠️ Enter Agent Code",IF(IFERROR(VLOOKUP(G111,DB_Agents!$B:$I,8,0),"")=H111,IF(AND(A111&lt;&gt;"",E111&lt;&gt;""),"Saved","Pending"),"🔒 BLOCKED — Wrong Code")))</f>
        <v>Pending</v>
      </c>
      <c r="J111" s="83" t="str">
        <f t="shared" ca="1" si="11"/>
        <v>—</v>
      </c>
      <c r="K111" s="84"/>
    </row>
    <row r="112" spans="1:11" ht="15" customHeight="1" x14ac:dyDescent="0.25">
      <c r="A112" s="85"/>
      <c r="B112" s="41" t="str">
        <f>IF(A112="","",IFERROR(VLOOKUP(A112,DB_Customers!$A:$D,4,0),"❌ Account Not Found"))</f>
        <v/>
      </c>
      <c r="C112" s="86" t="str">
        <f>IF(A112="","",IFERROR(IF(SUMIF(DB_Savings!$C:$C,A112,DB_Savings!$F:$F)=0,VLOOKUP(A112,DB_Customers!$A:$I,9,0),VLOOKUP(A112,DB_Customers!$A:$N,14,0)),"❌ Acct Not Found"))</f>
        <v/>
      </c>
      <c r="D112" s="87" t="str">
        <f t="shared" ca="1" si="9"/>
        <v/>
      </c>
      <c r="E112" s="79"/>
      <c r="F112" s="88" t="str">
        <f t="shared" si="10"/>
        <v/>
      </c>
      <c r="G112" s="43" t="s">
        <v>138</v>
      </c>
      <c r="H112" s="81"/>
      <c r="I112" s="89" t="str">
        <f>IF(A112="","Pending",IF(H112="","⚠️ Enter Agent Code",IF(IFERROR(VLOOKUP(G112,DB_Agents!$B:$I,8,0),"")=H112,IF(AND(A112&lt;&gt;"",E112&lt;&gt;""),"Saved","Pending"),"🔒 BLOCKED — Wrong Code")))</f>
        <v>Pending</v>
      </c>
      <c r="J112" s="90" t="str">
        <f t="shared" ca="1" si="11"/>
        <v>—</v>
      </c>
      <c r="K112" s="91"/>
    </row>
    <row r="113" spans="1:11" ht="15" customHeight="1" x14ac:dyDescent="0.25">
      <c r="A113" s="76"/>
      <c r="B113" s="37" t="str">
        <f>IF(A113="","",IFERROR(VLOOKUP(A113,DB_Customers!$A:$D,4,0),"❌ Account Not Found"))</f>
        <v/>
      </c>
      <c r="C113" s="77" t="str">
        <f>IF(A113="","",IFERROR(IF(SUMIF(DB_Savings!$C:$C,A113,DB_Savings!$F:$F)=0,VLOOKUP(A113,DB_Customers!$A:$I,9,0),VLOOKUP(A113,DB_Customers!$A:$N,14,0)),"❌ Acct Not Found"))</f>
        <v/>
      </c>
      <c r="D113" s="78" t="str">
        <f t="shared" ca="1" si="9"/>
        <v/>
      </c>
      <c r="E113" s="79"/>
      <c r="F113" s="80" t="str">
        <f t="shared" si="10"/>
        <v/>
      </c>
      <c r="G113" s="39" t="s">
        <v>138</v>
      </c>
      <c r="H113" s="81"/>
      <c r="I113" s="82" t="str">
        <f>IF(A113="","Pending",IF(H113="","⚠️ Enter Agent Code",IF(IFERROR(VLOOKUP(G113,DB_Agents!$B:$I,8,0),"")=H113,IF(AND(A113&lt;&gt;"",E113&lt;&gt;""),"Saved","Pending"),"🔒 BLOCKED — Wrong Code")))</f>
        <v>Pending</v>
      </c>
      <c r="J113" s="83" t="str">
        <f t="shared" ca="1" si="11"/>
        <v>—</v>
      </c>
      <c r="K113" s="84"/>
    </row>
    <row r="114" spans="1:11" ht="15" customHeight="1" x14ac:dyDescent="0.25">
      <c r="A114" s="85"/>
      <c r="B114" s="41" t="str">
        <f>IF(A114="","",IFERROR(VLOOKUP(A114,DB_Customers!$A:$D,4,0),"❌ Account Not Found"))</f>
        <v/>
      </c>
      <c r="C114" s="86" t="str">
        <f>IF(A114="","",IFERROR(IF(SUMIF(DB_Savings!$C:$C,A114,DB_Savings!$F:$F)=0,VLOOKUP(A114,DB_Customers!$A:$I,9,0),VLOOKUP(A114,DB_Customers!$A:$N,14,0)),"❌ Acct Not Found"))</f>
        <v/>
      </c>
      <c r="D114" s="87" t="str">
        <f t="shared" ca="1" si="9"/>
        <v/>
      </c>
      <c r="E114" s="79"/>
      <c r="F114" s="88" t="str">
        <f t="shared" si="10"/>
        <v/>
      </c>
      <c r="G114" s="43" t="s">
        <v>138</v>
      </c>
      <c r="H114" s="81"/>
      <c r="I114" s="89" t="str">
        <f>IF(A114="","Pending",IF(H114="","⚠️ Enter Agent Code",IF(IFERROR(VLOOKUP(G114,DB_Agents!$B:$I,8,0),"")=H114,IF(AND(A114&lt;&gt;"",E114&lt;&gt;""),"Saved","Pending"),"🔒 BLOCKED — Wrong Code")))</f>
        <v>Pending</v>
      </c>
      <c r="J114" s="90" t="str">
        <f t="shared" ca="1" si="11"/>
        <v>—</v>
      </c>
      <c r="K114" s="91"/>
    </row>
    <row r="115" spans="1:11" ht="15" customHeight="1" x14ac:dyDescent="0.25">
      <c r="A115" s="76"/>
      <c r="B115" s="37" t="str">
        <f>IF(A115="","",IFERROR(VLOOKUP(A115,DB_Customers!$A:$D,4,0),"❌ Account Not Found"))</f>
        <v/>
      </c>
      <c r="C115" s="77" t="str">
        <f>IF(A115="","",IFERROR(IF(SUMIF(DB_Savings!$C:$C,A115,DB_Savings!$F:$F)=0,VLOOKUP(A115,DB_Customers!$A:$I,9,0),VLOOKUP(A115,DB_Customers!$A:$N,14,0)),"❌ Acct Not Found"))</f>
        <v/>
      </c>
      <c r="D115" s="78" t="str">
        <f t="shared" ca="1" si="9"/>
        <v/>
      </c>
      <c r="E115" s="79"/>
      <c r="F115" s="80" t="str">
        <f t="shared" si="10"/>
        <v/>
      </c>
      <c r="G115" s="39" t="s">
        <v>138</v>
      </c>
      <c r="H115" s="81"/>
      <c r="I115" s="82" t="str">
        <f>IF(A115="","Pending",IF(H115="","⚠️ Enter Agent Code",IF(IFERROR(VLOOKUP(G115,DB_Agents!$B:$I,8,0),"")=H115,IF(AND(A115&lt;&gt;"",E115&lt;&gt;""),"Saved","Pending"),"🔒 BLOCKED — Wrong Code")))</f>
        <v>Pending</v>
      </c>
      <c r="J115" s="83" t="str">
        <f t="shared" ca="1" si="11"/>
        <v>—</v>
      </c>
      <c r="K115" s="84"/>
    </row>
    <row r="116" spans="1:11" ht="15" customHeight="1" x14ac:dyDescent="0.25">
      <c r="A116" s="85"/>
      <c r="B116" s="41" t="str">
        <f>IF(A116="","",IFERROR(VLOOKUP(A116,DB_Customers!$A:$D,4,0),"❌ Account Not Found"))</f>
        <v/>
      </c>
      <c r="C116" s="86" t="str">
        <f>IF(A116="","",IFERROR(IF(SUMIF(DB_Savings!$C:$C,A116,DB_Savings!$F:$F)=0,VLOOKUP(A116,DB_Customers!$A:$I,9,0),VLOOKUP(A116,DB_Customers!$A:$N,14,0)),"❌ Acct Not Found"))</f>
        <v/>
      </c>
      <c r="D116" s="87" t="str">
        <f t="shared" ca="1" si="9"/>
        <v/>
      </c>
      <c r="E116" s="79"/>
      <c r="F116" s="88" t="str">
        <f t="shared" si="10"/>
        <v/>
      </c>
      <c r="G116" s="43" t="s">
        <v>138</v>
      </c>
      <c r="H116" s="81"/>
      <c r="I116" s="89" t="str">
        <f>IF(A116="","Pending",IF(H116="","⚠️ Enter Agent Code",IF(IFERROR(VLOOKUP(G116,DB_Agents!$B:$I,8,0),"")=H116,IF(AND(A116&lt;&gt;"",E116&lt;&gt;""),"Saved","Pending"),"🔒 BLOCKED — Wrong Code")))</f>
        <v>Pending</v>
      </c>
      <c r="J116" s="90" t="str">
        <f t="shared" ca="1" si="11"/>
        <v>—</v>
      </c>
      <c r="K116" s="91"/>
    </row>
    <row r="117" spans="1:11" ht="15" customHeight="1" x14ac:dyDescent="0.25">
      <c r="A117" s="76"/>
      <c r="B117" s="37" t="str">
        <f>IF(A117="","",IFERROR(VLOOKUP(A117,DB_Customers!$A:$D,4,0),"❌ Account Not Found"))</f>
        <v/>
      </c>
      <c r="C117" s="77" t="str">
        <f>IF(A117="","",IFERROR(IF(SUMIF(DB_Savings!$C:$C,A117,DB_Savings!$F:$F)=0,VLOOKUP(A117,DB_Customers!$A:$I,9,0),VLOOKUP(A117,DB_Customers!$A:$N,14,0)),"❌ Acct Not Found"))</f>
        <v/>
      </c>
      <c r="D117" s="78" t="str">
        <f t="shared" ca="1" si="9"/>
        <v/>
      </c>
      <c r="E117" s="79"/>
      <c r="F117" s="80" t="str">
        <f t="shared" si="10"/>
        <v/>
      </c>
      <c r="G117" s="39" t="s">
        <v>138</v>
      </c>
      <c r="H117" s="81"/>
      <c r="I117" s="82" t="str">
        <f>IF(A117="","Pending",IF(H117="","⚠️ Enter Agent Code",IF(IFERROR(VLOOKUP(G117,DB_Agents!$B:$I,8,0),"")=H117,IF(AND(A117&lt;&gt;"",E117&lt;&gt;""),"Saved","Pending"),"🔒 BLOCKED — Wrong Code")))</f>
        <v>Pending</v>
      </c>
      <c r="J117" s="83" t="str">
        <f t="shared" ca="1" si="11"/>
        <v>—</v>
      </c>
      <c r="K117" s="84"/>
    </row>
    <row r="118" spans="1:11" ht="15" customHeight="1" x14ac:dyDescent="0.25">
      <c r="A118" s="85"/>
      <c r="B118" s="41" t="str">
        <f>IF(A118="","",IFERROR(VLOOKUP(A118,DB_Customers!$A:$D,4,0),"❌ Account Not Found"))</f>
        <v/>
      </c>
      <c r="C118" s="86" t="str">
        <f>IF(A118="","",IFERROR(IF(SUMIF(DB_Savings!$C:$C,A118,DB_Savings!$F:$F)=0,VLOOKUP(A118,DB_Customers!$A:$I,9,0),VLOOKUP(A118,DB_Customers!$A:$N,14,0)),"❌ Acct Not Found"))</f>
        <v/>
      </c>
      <c r="D118" s="87" t="str">
        <f t="shared" ca="1" si="9"/>
        <v/>
      </c>
      <c r="E118" s="79"/>
      <c r="F118" s="88" t="str">
        <f t="shared" si="10"/>
        <v/>
      </c>
      <c r="G118" s="43" t="s">
        <v>138</v>
      </c>
      <c r="H118" s="81"/>
      <c r="I118" s="89" t="str">
        <f>IF(A118="","Pending",IF(H118="","⚠️ Enter Agent Code",IF(IFERROR(VLOOKUP(G118,DB_Agents!$B:$I,8,0),"")=H118,IF(AND(A118&lt;&gt;"",E118&lt;&gt;""),"Saved","Pending"),"🔒 BLOCKED — Wrong Code")))</f>
        <v>Pending</v>
      </c>
      <c r="J118" s="90" t="str">
        <f t="shared" ca="1" si="11"/>
        <v>—</v>
      </c>
      <c r="K118" s="91"/>
    </row>
    <row r="119" spans="1:11" ht="15" customHeight="1" x14ac:dyDescent="0.25">
      <c r="A119" s="76"/>
      <c r="B119" s="37" t="str">
        <f>IF(A119="","",IFERROR(VLOOKUP(A119,DB_Customers!$A:$D,4,0),"❌ Account Not Found"))</f>
        <v/>
      </c>
      <c r="C119" s="77" t="str">
        <f>IF(A119="","",IFERROR(IF(SUMIF(DB_Savings!$C:$C,A119,DB_Savings!$F:$F)=0,VLOOKUP(A119,DB_Customers!$A:$I,9,0),VLOOKUP(A119,DB_Customers!$A:$N,14,0)),"❌ Acct Not Found"))</f>
        <v/>
      </c>
      <c r="D119" s="78" t="str">
        <f t="shared" ca="1" si="9"/>
        <v/>
      </c>
      <c r="E119" s="79"/>
      <c r="F119" s="80" t="str">
        <f t="shared" si="10"/>
        <v/>
      </c>
      <c r="G119" s="39" t="s">
        <v>138</v>
      </c>
      <c r="H119" s="81"/>
      <c r="I119" s="82" t="str">
        <f>IF(A119="","Pending",IF(H119="","⚠️ Enter Agent Code",IF(IFERROR(VLOOKUP(G119,DB_Agents!$B:$I,8,0),"")=H119,IF(AND(A119&lt;&gt;"",E119&lt;&gt;""),"Saved","Pending"),"🔒 BLOCKED — Wrong Code")))</f>
        <v>Pending</v>
      </c>
      <c r="J119" s="83" t="str">
        <f t="shared" ca="1" si="11"/>
        <v>—</v>
      </c>
      <c r="K119" s="84"/>
    </row>
    <row r="120" spans="1:11" ht="15" customHeight="1" x14ac:dyDescent="0.25">
      <c r="A120" s="85"/>
      <c r="B120" s="41" t="str">
        <f>IF(A120="","",IFERROR(VLOOKUP(A120,DB_Customers!$A:$D,4,0),"❌ Account Not Found"))</f>
        <v/>
      </c>
      <c r="C120" s="86" t="str">
        <f>IF(A120="","",IFERROR(IF(SUMIF(DB_Savings!$C:$C,A120,DB_Savings!$F:$F)=0,VLOOKUP(A120,DB_Customers!$A:$I,9,0),VLOOKUP(A120,DB_Customers!$A:$N,14,0)),"❌ Acct Not Found"))</f>
        <v/>
      </c>
      <c r="D120" s="87" t="str">
        <f t="shared" ca="1" si="9"/>
        <v/>
      </c>
      <c r="E120" s="79"/>
      <c r="F120" s="88" t="str">
        <f t="shared" si="10"/>
        <v/>
      </c>
      <c r="G120" s="43" t="s">
        <v>138</v>
      </c>
      <c r="H120" s="81"/>
      <c r="I120" s="89" t="str">
        <f>IF(A120="","Pending",IF(H120="","⚠️ Enter Agent Code",IF(IFERROR(VLOOKUP(G120,DB_Agents!$B:$I,8,0),"")=H120,IF(AND(A120&lt;&gt;"",E120&lt;&gt;""),"Saved","Pending"),"🔒 BLOCKED — Wrong Code")))</f>
        <v>Pending</v>
      </c>
      <c r="J120" s="90" t="str">
        <f t="shared" ca="1" si="11"/>
        <v>—</v>
      </c>
      <c r="K120" s="91"/>
    </row>
    <row r="121" spans="1:11" ht="15" customHeight="1" x14ac:dyDescent="0.25">
      <c r="A121" s="76"/>
      <c r="B121" s="37" t="str">
        <f>IF(A121="","",IFERROR(VLOOKUP(A121,DB_Customers!$A:$D,4,0),"❌ Account Not Found"))</f>
        <v/>
      </c>
      <c r="C121" s="77" t="str">
        <f>IF(A121="","",IFERROR(IF(SUMIF(DB_Savings!$C:$C,A121,DB_Savings!$F:$F)=0,VLOOKUP(A121,DB_Customers!$A:$I,9,0),VLOOKUP(A121,DB_Customers!$A:$N,14,0)),"❌ Acct Not Found"))</f>
        <v/>
      </c>
      <c r="D121" s="78" t="str">
        <f t="shared" ca="1" si="9"/>
        <v/>
      </c>
      <c r="E121" s="79"/>
      <c r="F121" s="80" t="str">
        <f t="shared" si="10"/>
        <v/>
      </c>
      <c r="G121" s="39" t="s">
        <v>138</v>
      </c>
      <c r="H121" s="81"/>
      <c r="I121" s="82" t="str">
        <f>IF(A121="","Pending",IF(H121="","⚠️ Enter Agent Code",IF(IFERROR(VLOOKUP(G121,DB_Agents!$B:$I,8,0),"")=H121,IF(AND(A121&lt;&gt;"",E121&lt;&gt;""),"Saved","Pending"),"🔒 BLOCKED — Wrong Code")))</f>
        <v>Pending</v>
      </c>
      <c r="J121" s="83" t="str">
        <f t="shared" ca="1" si="11"/>
        <v>—</v>
      </c>
      <c r="K121" s="84"/>
    </row>
    <row r="122" spans="1:11" ht="15" customHeight="1" x14ac:dyDescent="0.25">
      <c r="A122" s="85"/>
      <c r="B122" s="41" t="str">
        <f>IF(A122="","",IFERROR(VLOOKUP(A122,DB_Customers!$A:$D,4,0),"❌ Account Not Found"))</f>
        <v/>
      </c>
      <c r="C122" s="86" t="str">
        <f>IF(A122="","",IFERROR(IF(SUMIF(DB_Savings!$C:$C,A122,DB_Savings!$F:$F)=0,VLOOKUP(A122,DB_Customers!$A:$I,9,0),VLOOKUP(A122,DB_Customers!$A:$N,14,0)),"❌ Acct Not Found"))</f>
        <v/>
      </c>
      <c r="D122" s="87" t="str">
        <f t="shared" ca="1" si="9"/>
        <v/>
      </c>
      <c r="E122" s="79"/>
      <c r="F122" s="88" t="str">
        <f t="shared" si="10"/>
        <v/>
      </c>
      <c r="G122" s="43" t="s">
        <v>138</v>
      </c>
      <c r="H122" s="81"/>
      <c r="I122" s="89" t="str">
        <f>IF(A122="","Pending",IF(H122="","⚠️ Enter Agent Code",IF(IFERROR(VLOOKUP(G122,DB_Agents!$B:$I,8,0),"")=H122,IF(AND(A122&lt;&gt;"",E122&lt;&gt;""),"Saved","Pending"),"🔒 BLOCKED — Wrong Code")))</f>
        <v>Pending</v>
      </c>
      <c r="J122" s="90" t="str">
        <f t="shared" ca="1" si="11"/>
        <v>—</v>
      </c>
      <c r="K122" s="91"/>
    </row>
    <row r="123" spans="1:11" ht="15" customHeight="1" x14ac:dyDescent="0.25">
      <c r="A123" s="76"/>
      <c r="B123" s="37" t="str">
        <f>IF(A123="","",IFERROR(VLOOKUP(A123,DB_Customers!$A:$D,4,0),"❌ Account Not Found"))</f>
        <v/>
      </c>
      <c r="C123" s="77" t="str">
        <f>IF(A123="","",IFERROR(IF(SUMIF(DB_Savings!$C:$C,A123,DB_Savings!$F:$F)=0,VLOOKUP(A123,DB_Customers!$A:$I,9,0),VLOOKUP(A123,DB_Customers!$A:$N,14,0)),"❌ Acct Not Found"))</f>
        <v/>
      </c>
      <c r="D123" s="78" t="str">
        <f t="shared" ca="1" si="9"/>
        <v/>
      </c>
      <c r="E123" s="79"/>
      <c r="F123" s="80" t="str">
        <f t="shared" si="10"/>
        <v/>
      </c>
      <c r="G123" s="39" t="s">
        <v>138</v>
      </c>
      <c r="H123" s="81"/>
      <c r="I123" s="82" t="str">
        <f>IF(A123="","Pending",IF(H123="","⚠️ Enter Agent Code",IF(IFERROR(VLOOKUP(G123,DB_Agents!$B:$I,8,0),"")=H123,IF(AND(A123&lt;&gt;"",E123&lt;&gt;""),"Saved","Pending"),"🔒 BLOCKED — Wrong Code")))</f>
        <v>Pending</v>
      </c>
      <c r="J123" s="83" t="str">
        <f t="shared" ca="1" si="11"/>
        <v>—</v>
      </c>
      <c r="K123" s="84"/>
    </row>
    <row r="124" spans="1:11" ht="15" customHeight="1" x14ac:dyDescent="0.25">
      <c r="A124" s="85"/>
      <c r="B124" s="41" t="str">
        <f>IF(A124="","",IFERROR(VLOOKUP(A124,DB_Customers!$A:$D,4,0),"❌ Account Not Found"))</f>
        <v/>
      </c>
      <c r="C124" s="86" t="str">
        <f>IF(A124="","",IFERROR(IF(SUMIF(DB_Savings!$C:$C,A124,DB_Savings!$F:$F)=0,VLOOKUP(A124,DB_Customers!$A:$I,9,0),VLOOKUP(A124,DB_Customers!$A:$N,14,0)),"❌ Acct Not Found"))</f>
        <v/>
      </c>
      <c r="D124" s="87" t="str">
        <f t="shared" ca="1" si="9"/>
        <v/>
      </c>
      <c r="E124" s="79"/>
      <c r="F124" s="88" t="str">
        <f t="shared" si="10"/>
        <v/>
      </c>
      <c r="G124" s="43" t="s">
        <v>138</v>
      </c>
      <c r="H124" s="81"/>
      <c r="I124" s="89" t="str">
        <f>IF(A124="","Pending",IF(H124="","⚠️ Enter Agent Code",IF(IFERROR(VLOOKUP(G124,DB_Agents!$B:$I,8,0),"")=H124,IF(AND(A124&lt;&gt;"",E124&lt;&gt;""),"Saved","Pending"),"🔒 BLOCKED — Wrong Code")))</f>
        <v>Pending</v>
      </c>
      <c r="J124" s="90" t="str">
        <f t="shared" ca="1" si="11"/>
        <v>—</v>
      </c>
      <c r="K124" s="91"/>
    </row>
    <row r="125" spans="1:11" ht="15" customHeight="1" x14ac:dyDescent="0.25">
      <c r="A125" s="76"/>
      <c r="B125" s="37" t="str">
        <f>IF(A125="","",IFERROR(VLOOKUP(A125,DB_Customers!$A:$D,4,0),"❌ Account Not Found"))</f>
        <v/>
      </c>
      <c r="C125" s="77" t="str">
        <f>IF(A125="","",IFERROR(IF(SUMIF(DB_Savings!$C:$C,A125,DB_Savings!$F:$F)=0,VLOOKUP(A125,DB_Customers!$A:$I,9,0),VLOOKUP(A125,DB_Customers!$A:$N,14,0)),"❌ Acct Not Found"))</f>
        <v/>
      </c>
      <c r="D125" s="78" t="str">
        <f t="shared" ca="1" si="9"/>
        <v/>
      </c>
      <c r="E125" s="79"/>
      <c r="F125" s="80" t="str">
        <f t="shared" si="10"/>
        <v/>
      </c>
      <c r="G125" s="39" t="s">
        <v>138</v>
      </c>
      <c r="H125" s="81"/>
      <c r="I125" s="82" t="str">
        <f>IF(A125="","Pending",IF(H125="","⚠️ Enter Agent Code",IF(IFERROR(VLOOKUP(G125,DB_Agents!$B:$I,8,0),"")=H125,IF(AND(A125&lt;&gt;"",E125&lt;&gt;""),"Saved","Pending"),"🔒 BLOCKED — Wrong Code")))</f>
        <v>Pending</v>
      </c>
      <c r="J125" s="83" t="str">
        <f t="shared" ca="1" si="11"/>
        <v>—</v>
      </c>
      <c r="K125" s="84"/>
    </row>
    <row r="126" spans="1:11" ht="15" customHeight="1" x14ac:dyDescent="0.25">
      <c r="A126" s="85"/>
      <c r="B126" s="41" t="str">
        <f>IF(A126="","",IFERROR(VLOOKUP(A126,DB_Customers!$A:$D,4,0),"❌ Account Not Found"))</f>
        <v/>
      </c>
      <c r="C126" s="86" t="str">
        <f>IF(A126="","",IFERROR(IF(SUMIF(DB_Savings!$C:$C,A126,DB_Savings!$F:$F)=0,VLOOKUP(A126,DB_Customers!$A:$I,9,0),VLOOKUP(A126,DB_Customers!$A:$N,14,0)),"❌ Acct Not Found"))</f>
        <v/>
      </c>
      <c r="D126" s="87" t="str">
        <f t="shared" ca="1" si="9"/>
        <v/>
      </c>
      <c r="E126" s="79"/>
      <c r="F126" s="88" t="str">
        <f t="shared" si="10"/>
        <v/>
      </c>
      <c r="G126" s="43" t="s">
        <v>138</v>
      </c>
      <c r="H126" s="81"/>
      <c r="I126" s="89" t="str">
        <f>IF(A126="","Pending",IF(H126="","⚠️ Enter Agent Code",IF(IFERROR(VLOOKUP(G126,DB_Agents!$B:$I,8,0),"")=H126,IF(AND(A126&lt;&gt;"",E126&lt;&gt;""),"Saved","Pending"),"🔒 BLOCKED — Wrong Code")))</f>
        <v>Pending</v>
      </c>
      <c r="J126" s="90" t="str">
        <f t="shared" ca="1" si="11"/>
        <v>—</v>
      </c>
      <c r="K126" s="91"/>
    </row>
    <row r="127" spans="1:11" ht="15" customHeight="1" x14ac:dyDescent="0.25">
      <c r="A127" s="76"/>
      <c r="B127" s="37" t="str">
        <f>IF(A127="","",IFERROR(VLOOKUP(A127,DB_Customers!$A:$D,4,0),"❌ Account Not Found"))</f>
        <v/>
      </c>
      <c r="C127" s="77" t="str">
        <f>IF(A127="","",IFERROR(IF(SUMIF(DB_Savings!$C:$C,A127,DB_Savings!$F:$F)=0,VLOOKUP(A127,DB_Customers!$A:$I,9,0),VLOOKUP(A127,DB_Customers!$A:$N,14,0)),"❌ Acct Not Found"))</f>
        <v/>
      </c>
      <c r="D127" s="78" t="str">
        <f t="shared" ca="1" si="9"/>
        <v/>
      </c>
      <c r="E127" s="79"/>
      <c r="F127" s="80" t="str">
        <f t="shared" si="10"/>
        <v/>
      </c>
      <c r="G127" s="39" t="s">
        <v>138</v>
      </c>
      <c r="H127" s="81"/>
      <c r="I127" s="82" t="str">
        <f>IF(A127="","Pending",IF(H127="","⚠️ Enter Agent Code",IF(IFERROR(VLOOKUP(G127,DB_Agents!$B:$I,8,0),"")=H127,IF(AND(A127&lt;&gt;"",E127&lt;&gt;""),"Saved","Pending"),"🔒 BLOCKED — Wrong Code")))</f>
        <v>Pending</v>
      </c>
      <c r="J127" s="83" t="str">
        <f t="shared" ca="1" si="11"/>
        <v>—</v>
      </c>
      <c r="K127" s="84"/>
    </row>
    <row r="128" spans="1:11" ht="15" customHeight="1" x14ac:dyDescent="0.25">
      <c r="A128" s="85"/>
      <c r="B128" s="41" t="str">
        <f>IF(A128="","",IFERROR(VLOOKUP(A128,DB_Customers!$A:$D,4,0),"❌ Account Not Found"))</f>
        <v/>
      </c>
      <c r="C128" s="86" t="str">
        <f>IF(A128="","",IFERROR(IF(SUMIF(DB_Savings!$C:$C,A128,DB_Savings!$F:$F)=0,VLOOKUP(A128,DB_Customers!$A:$I,9,0),VLOOKUP(A128,DB_Customers!$A:$N,14,0)),"❌ Acct Not Found"))</f>
        <v/>
      </c>
      <c r="D128" s="87" t="str">
        <f t="shared" ca="1" si="9"/>
        <v/>
      </c>
      <c r="E128" s="79"/>
      <c r="F128" s="88" t="str">
        <f t="shared" si="10"/>
        <v/>
      </c>
      <c r="G128" s="43" t="s">
        <v>138</v>
      </c>
      <c r="H128" s="81"/>
      <c r="I128" s="89" t="str">
        <f>IF(A128="","Pending",IF(H128="","⚠️ Enter Agent Code",IF(IFERROR(VLOOKUP(G128,DB_Agents!$B:$I,8,0),"")=H128,IF(AND(A128&lt;&gt;"",E128&lt;&gt;""),"Saved","Pending"),"🔒 BLOCKED — Wrong Code")))</f>
        <v>Pending</v>
      </c>
      <c r="J128" s="90" t="str">
        <f t="shared" ca="1" si="11"/>
        <v>—</v>
      </c>
      <c r="K128" s="91"/>
    </row>
    <row r="129" spans="1:11" ht="15" customHeight="1" x14ac:dyDescent="0.25">
      <c r="A129" s="76"/>
      <c r="B129" s="37" t="str">
        <f>IF(A129="","",IFERROR(VLOOKUP(A129,DB_Customers!$A:$D,4,0),"❌ Account Not Found"))</f>
        <v/>
      </c>
      <c r="C129" s="77" t="str">
        <f>IF(A129="","",IFERROR(IF(SUMIF(DB_Savings!$C:$C,A129,DB_Savings!$F:$F)=0,VLOOKUP(A129,DB_Customers!$A:$I,9,0),VLOOKUP(A129,DB_Customers!$A:$N,14,0)),"❌ Acct Not Found"))</f>
        <v/>
      </c>
      <c r="D129" s="78" t="str">
        <f t="shared" ca="1" si="9"/>
        <v/>
      </c>
      <c r="E129" s="79"/>
      <c r="F129" s="80" t="str">
        <f t="shared" si="10"/>
        <v/>
      </c>
      <c r="G129" s="39" t="s">
        <v>138</v>
      </c>
      <c r="H129" s="81"/>
      <c r="I129" s="82" t="str">
        <f>IF(A129="","Pending",IF(H129="","⚠️ Enter Agent Code",IF(IFERROR(VLOOKUP(G129,DB_Agents!$B:$I,8,0),"")=H129,IF(AND(A129&lt;&gt;"",E129&lt;&gt;""),"Saved","Pending"),"🔒 BLOCKED — Wrong Code")))</f>
        <v>Pending</v>
      </c>
      <c r="J129" s="83" t="str">
        <f t="shared" ca="1" si="11"/>
        <v>—</v>
      </c>
      <c r="K129" s="84"/>
    </row>
    <row r="130" spans="1:11" ht="15" customHeight="1" x14ac:dyDescent="0.25">
      <c r="A130" s="85"/>
      <c r="B130" s="41" t="str">
        <f>IF(A130="","",IFERROR(VLOOKUP(A130,DB_Customers!$A:$D,4,0),"❌ Account Not Found"))</f>
        <v/>
      </c>
      <c r="C130" s="86" t="str">
        <f>IF(A130="","",IFERROR(IF(SUMIF(DB_Savings!$C:$C,A130,DB_Savings!$F:$F)=0,VLOOKUP(A130,DB_Customers!$A:$I,9,0),VLOOKUP(A130,DB_Customers!$A:$N,14,0)),"❌ Acct Not Found"))</f>
        <v/>
      </c>
      <c r="D130" s="87" t="str">
        <f t="shared" ca="1" si="9"/>
        <v/>
      </c>
      <c r="E130" s="79"/>
      <c r="F130" s="88" t="str">
        <f t="shared" si="10"/>
        <v/>
      </c>
      <c r="G130" s="43" t="s">
        <v>138</v>
      </c>
      <c r="H130" s="81"/>
      <c r="I130" s="89" t="str">
        <f>IF(A130="","Pending",IF(H130="","⚠️ Enter Agent Code",IF(IFERROR(VLOOKUP(G130,DB_Agents!$B:$I,8,0),"")=H130,IF(AND(A130&lt;&gt;"",E130&lt;&gt;""),"Saved","Pending"),"🔒 BLOCKED — Wrong Code")))</f>
        <v>Pending</v>
      </c>
      <c r="J130" s="90" t="str">
        <f t="shared" ca="1" si="11"/>
        <v>—</v>
      </c>
      <c r="K130" s="91"/>
    </row>
    <row r="131" spans="1:11" ht="15" customHeight="1" x14ac:dyDescent="0.25">
      <c r="A131" s="76"/>
      <c r="B131" s="37" t="str">
        <f>IF(A131="","",IFERROR(VLOOKUP(A131,DB_Customers!$A:$D,4,0),"❌ Account Not Found"))</f>
        <v/>
      </c>
      <c r="C131" s="77" t="str">
        <f>IF(A131="","",IFERROR(IF(SUMIF(DB_Savings!$C:$C,A131,DB_Savings!$F:$F)=0,VLOOKUP(A131,DB_Customers!$A:$I,9,0),VLOOKUP(A131,DB_Customers!$A:$N,14,0)),"❌ Acct Not Found"))</f>
        <v/>
      </c>
      <c r="D131" s="78" t="str">
        <f t="shared" ca="1" si="9"/>
        <v/>
      </c>
      <c r="E131" s="79"/>
      <c r="F131" s="80" t="str">
        <f t="shared" si="10"/>
        <v/>
      </c>
      <c r="G131" s="39" t="s">
        <v>138</v>
      </c>
      <c r="H131" s="81"/>
      <c r="I131" s="82" t="str">
        <f>IF(A131="","Pending",IF(H131="","⚠️ Enter Agent Code",IF(IFERROR(VLOOKUP(G131,DB_Agents!$B:$I,8,0),"")=H131,IF(AND(A131&lt;&gt;"",E131&lt;&gt;""),"Saved","Pending"),"🔒 BLOCKED — Wrong Code")))</f>
        <v>Pending</v>
      </c>
      <c r="J131" s="83" t="str">
        <f t="shared" ca="1" si="11"/>
        <v>—</v>
      </c>
      <c r="K131" s="84"/>
    </row>
    <row r="132" spans="1:11" ht="15" customHeight="1" x14ac:dyDescent="0.25">
      <c r="A132" s="85"/>
      <c r="B132" s="41" t="str">
        <f>IF(A132="","",IFERROR(VLOOKUP(A132,DB_Customers!$A:$D,4,0),"❌ Account Not Found"))</f>
        <v/>
      </c>
      <c r="C132" s="86" t="str">
        <f>IF(A132="","",IFERROR(IF(SUMIF(DB_Savings!$C:$C,A132,DB_Savings!$F:$F)=0,VLOOKUP(A132,DB_Customers!$A:$I,9,0),VLOOKUP(A132,DB_Customers!$A:$N,14,0)),"❌ Acct Not Found"))</f>
        <v/>
      </c>
      <c r="D132" s="87" t="str">
        <f t="shared" ca="1" si="9"/>
        <v/>
      </c>
      <c r="E132" s="79"/>
      <c r="F132" s="88" t="str">
        <f t="shared" si="10"/>
        <v/>
      </c>
      <c r="G132" s="43" t="s">
        <v>138</v>
      </c>
      <c r="H132" s="81"/>
      <c r="I132" s="89" t="str">
        <f>IF(A132="","Pending",IF(H132="","⚠️ Enter Agent Code",IF(IFERROR(VLOOKUP(G132,DB_Agents!$B:$I,8,0),"")=H132,IF(AND(A132&lt;&gt;"",E132&lt;&gt;""),"Saved","Pending"),"🔒 BLOCKED — Wrong Code")))</f>
        <v>Pending</v>
      </c>
      <c r="J132" s="90" t="str">
        <f t="shared" ca="1" si="11"/>
        <v>—</v>
      </c>
      <c r="K132" s="91"/>
    </row>
    <row r="133" spans="1:11" ht="15" customHeight="1" x14ac:dyDescent="0.25">
      <c r="A133" s="76"/>
      <c r="B133" s="37" t="str">
        <f>IF(A133="","",IFERROR(VLOOKUP(A133,DB_Customers!$A:$D,4,0),"❌ Account Not Found"))</f>
        <v/>
      </c>
      <c r="C133" s="77" t="str">
        <f>IF(A133="","",IFERROR(IF(SUMIF(DB_Savings!$C:$C,A133,DB_Savings!$F:$F)=0,VLOOKUP(A133,DB_Customers!$A:$I,9,0),VLOOKUP(A133,DB_Customers!$A:$N,14,0)),"❌ Acct Not Found"))</f>
        <v/>
      </c>
      <c r="D133" s="78" t="str">
        <f t="shared" ca="1" si="9"/>
        <v/>
      </c>
      <c r="E133" s="79"/>
      <c r="F133" s="80" t="str">
        <f t="shared" si="10"/>
        <v/>
      </c>
      <c r="G133" s="39" t="s">
        <v>138</v>
      </c>
      <c r="H133" s="81"/>
      <c r="I133" s="82" t="str">
        <f>IF(A133="","Pending",IF(H133="","⚠️ Enter Agent Code",IF(IFERROR(VLOOKUP(G133,DB_Agents!$B:$I,8,0),"")=H133,IF(AND(A133&lt;&gt;"",E133&lt;&gt;""),"Saved","Pending"),"🔒 BLOCKED — Wrong Code")))</f>
        <v>Pending</v>
      </c>
      <c r="J133" s="83" t="str">
        <f t="shared" ca="1" si="11"/>
        <v>—</v>
      </c>
      <c r="K133" s="84"/>
    </row>
    <row r="134" spans="1:11" ht="15" customHeight="1" x14ac:dyDescent="0.25">
      <c r="A134" s="85"/>
      <c r="B134" s="41" t="str">
        <f>IF(A134="","",IFERROR(VLOOKUP(A134,DB_Customers!$A:$D,4,0),"❌ Account Not Found"))</f>
        <v/>
      </c>
      <c r="C134" s="86" t="str">
        <f>IF(A134="","",IFERROR(IF(SUMIF(DB_Savings!$C:$C,A134,DB_Savings!$F:$F)=0,VLOOKUP(A134,DB_Customers!$A:$I,9,0),VLOOKUP(A134,DB_Customers!$A:$N,14,0)),"❌ Acct Not Found"))</f>
        <v/>
      </c>
      <c r="D134" s="87" t="str">
        <f t="shared" ca="1" si="9"/>
        <v/>
      </c>
      <c r="E134" s="79"/>
      <c r="F134" s="88" t="str">
        <f t="shared" si="10"/>
        <v/>
      </c>
      <c r="G134" s="43" t="s">
        <v>138</v>
      </c>
      <c r="H134" s="81"/>
      <c r="I134" s="89" t="str">
        <f>IF(A134="","Pending",IF(H134="","⚠️ Enter Agent Code",IF(IFERROR(VLOOKUP(G134,DB_Agents!$B:$I,8,0),"")=H134,IF(AND(A134&lt;&gt;"",E134&lt;&gt;""),"Saved","Pending"),"🔒 BLOCKED — Wrong Code")))</f>
        <v>Pending</v>
      </c>
      <c r="J134" s="90" t="str">
        <f t="shared" ca="1" si="11"/>
        <v>—</v>
      </c>
      <c r="K134" s="91"/>
    </row>
    <row r="135" spans="1:11" ht="15" customHeight="1" x14ac:dyDescent="0.25">
      <c r="A135" s="76"/>
      <c r="B135" s="37" t="str">
        <f>IF(A135="","",IFERROR(VLOOKUP(A135,DB_Customers!$A:$D,4,0),"❌ Account Not Found"))</f>
        <v/>
      </c>
      <c r="C135" s="77" t="str">
        <f>IF(A135="","",IFERROR(IF(SUMIF(DB_Savings!$C:$C,A135,DB_Savings!$F:$F)=0,VLOOKUP(A135,DB_Customers!$A:$I,9,0),VLOOKUP(A135,DB_Customers!$A:$N,14,0)),"❌ Acct Not Found"))</f>
        <v/>
      </c>
      <c r="D135" s="78" t="str">
        <f t="shared" ca="1" si="9"/>
        <v/>
      </c>
      <c r="E135" s="79"/>
      <c r="F135" s="80" t="str">
        <f t="shared" si="10"/>
        <v/>
      </c>
      <c r="G135" s="39" t="s">
        <v>138</v>
      </c>
      <c r="H135" s="81"/>
      <c r="I135" s="82" t="str">
        <f>IF(A135="","Pending",IF(H135="","⚠️ Enter Agent Code",IF(IFERROR(VLOOKUP(G135,DB_Agents!$B:$I,8,0),"")=H135,IF(AND(A135&lt;&gt;"",E135&lt;&gt;""),"Saved","Pending"),"🔒 BLOCKED — Wrong Code")))</f>
        <v>Pending</v>
      </c>
      <c r="J135" s="83" t="str">
        <f t="shared" ca="1" si="11"/>
        <v>—</v>
      </c>
      <c r="K135" s="84"/>
    </row>
    <row r="136" spans="1:11" ht="15" customHeight="1" x14ac:dyDescent="0.25">
      <c r="A136" s="85"/>
      <c r="B136" s="41" t="str">
        <f>IF(A136="","",IFERROR(VLOOKUP(A136,DB_Customers!$A:$D,4,0),"❌ Account Not Found"))</f>
        <v/>
      </c>
      <c r="C136" s="86" t="str">
        <f>IF(A136="","",IFERROR(IF(SUMIF(DB_Savings!$C:$C,A136,DB_Savings!$F:$F)=0,VLOOKUP(A136,DB_Customers!$A:$I,9,0),VLOOKUP(A136,DB_Customers!$A:$N,14,0)),"❌ Acct Not Found"))</f>
        <v/>
      </c>
      <c r="D136" s="87" t="str">
        <f t="shared" ca="1" si="9"/>
        <v/>
      </c>
      <c r="E136" s="79"/>
      <c r="F136" s="88" t="str">
        <f t="shared" si="10"/>
        <v/>
      </c>
      <c r="G136" s="43" t="s">
        <v>138</v>
      </c>
      <c r="H136" s="81"/>
      <c r="I136" s="89" t="str">
        <f>IF(A136="","Pending",IF(H136="","⚠️ Enter Agent Code",IF(IFERROR(VLOOKUP(G136,DB_Agents!$B:$I,8,0),"")=H136,IF(AND(A136&lt;&gt;"",E136&lt;&gt;""),"Saved","Pending"),"🔒 BLOCKED — Wrong Code")))</f>
        <v>Pending</v>
      </c>
      <c r="J136" s="90" t="str">
        <f t="shared" ca="1" si="11"/>
        <v>—</v>
      </c>
      <c r="K136" s="91"/>
    </row>
    <row r="137" spans="1:11" ht="15" customHeight="1" x14ac:dyDescent="0.25">
      <c r="A137" s="76"/>
      <c r="B137" s="37" t="str">
        <f>IF(A137="","",IFERROR(VLOOKUP(A137,DB_Customers!$A:$D,4,0),"❌ Account Not Found"))</f>
        <v/>
      </c>
      <c r="C137" s="77" t="str">
        <f>IF(A137="","",IFERROR(IF(SUMIF(DB_Savings!$C:$C,A137,DB_Savings!$F:$F)=0,VLOOKUP(A137,DB_Customers!$A:$I,9,0),VLOOKUP(A137,DB_Customers!$A:$N,14,0)),"❌ Acct Not Found"))</f>
        <v/>
      </c>
      <c r="D137" s="78" t="str">
        <f t="shared" ref="D137:D168" ca="1" si="12">IF(A137="","",TODAY())</f>
        <v/>
      </c>
      <c r="E137" s="79"/>
      <c r="F137" s="80" t="str">
        <f t="shared" ref="F137:F168" si="13">IF(OR(A137="",E137=""),"",IF(C137="","",C137+E137))</f>
        <v/>
      </c>
      <c r="G137" s="39" t="s">
        <v>138</v>
      </c>
      <c r="H137" s="81"/>
      <c r="I137" s="82" t="str">
        <f>IF(A137="","Pending",IF(H137="","⚠️ Enter Agent Code",IF(IFERROR(VLOOKUP(G137,DB_Agents!$B:$I,8,0),"")=H137,IF(AND(A137&lt;&gt;"",E137&lt;&gt;""),"Saved","Pending"),"🔒 BLOCKED — Wrong Code")))</f>
        <v>Pending</v>
      </c>
      <c r="J137" s="83" t="str">
        <f t="shared" ref="J137:J168" ca="1" si="14">IF(I137="Saved",TEXT(TODAY(),"YYYY-MM-DD")&amp;" Auto","—")</f>
        <v>—</v>
      </c>
      <c r="K137" s="84"/>
    </row>
    <row r="138" spans="1:11" ht="15" customHeight="1" x14ac:dyDescent="0.25">
      <c r="A138" s="85"/>
      <c r="B138" s="41" t="str">
        <f>IF(A138="","",IFERROR(VLOOKUP(A138,DB_Customers!$A:$D,4,0),"❌ Account Not Found"))</f>
        <v/>
      </c>
      <c r="C138" s="86" t="str">
        <f>IF(A138="","",IFERROR(IF(SUMIF(DB_Savings!$C:$C,A138,DB_Savings!$F:$F)=0,VLOOKUP(A138,DB_Customers!$A:$I,9,0),VLOOKUP(A138,DB_Customers!$A:$N,14,0)),"❌ Acct Not Found"))</f>
        <v/>
      </c>
      <c r="D138" s="87" t="str">
        <f t="shared" ca="1" si="12"/>
        <v/>
      </c>
      <c r="E138" s="79"/>
      <c r="F138" s="88" t="str">
        <f t="shared" si="13"/>
        <v/>
      </c>
      <c r="G138" s="43" t="s">
        <v>138</v>
      </c>
      <c r="H138" s="81"/>
      <c r="I138" s="89" t="str">
        <f>IF(A138="","Pending",IF(H138="","⚠️ Enter Agent Code",IF(IFERROR(VLOOKUP(G138,DB_Agents!$B:$I,8,0),"")=H138,IF(AND(A138&lt;&gt;"",E138&lt;&gt;""),"Saved","Pending"),"🔒 BLOCKED — Wrong Code")))</f>
        <v>Pending</v>
      </c>
      <c r="J138" s="90" t="str">
        <f t="shared" ca="1" si="14"/>
        <v>—</v>
      </c>
      <c r="K138" s="91"/>
    </row>
    <row r="139" spans="1:11" ht="15" customHeight="1" x14ac:dyDescent="0.25">
      <c r="A139" s="76"/>
      <c r="B139" s="37" t="str">
        <f>IF(A139="","",IFERROR(VLOOKUP(A139,DB_Customers!$A:$D,4,0),"❌ Account Not Found"))</f>
        <v/>
      </c>
      <c r="C139" s="77" t="str">
        <f>IF(A139="","",IFERROR(IF(SUMIF(DB_Savings!$C:$C,A139,DB_Savings!$F:$F)=0,VLOOKUP(A139,DB_Customers!$A:$I,9,0),VLOOKUP(A139,DB_Customers!$A:$N,14,0)),"❌ Acct Not Found"))</f>
        <v/>
      </c>
      <c r="D139" s="78" t="str">
        <f t="shared" ca="1" si="12"/>
        <v/>
      </c>
      <c r="E139" s="79"/>
      <c r="F139" s="80" t="str">
        <f t="shared" si="13"/>
        <v/>
      </c>
      <c r="G139" s="39" t="s">
        <v>138</v>
      </c>
      <c r="H139" s="81"/>
      <c r="I139" s="82" t="str">
        <f>IF(A139="","Pending",IF(H139="","⚠️ Enter Agent Code",IF(IFERROR(VLOOKUP(G139,DB_Agents!$B:$I,8,0),"")=H139,IF(AND(A139&lt;&gt;"",E139&lt;&gt;""),"Saved","Pending"),"🔒 BLOCKED — Wrong Code")))</f>
        <v>Pending</v>
      </c>
      <c r="J139" s="83" t="str">
        <f t="shared" ca="1" si="14"/>
        <v>—</v>
      </c>
      <c r="K139" s="84"/>
    </row>
    <row r="140" spans="1:11" ht="15" customHeight="1" x14ac:dyDescent="0.25">
      <c r="A140" s="85"/>
      <c r="B140" s="41" t="str">
        <f>IF(A140="","",IFERROR(VLOOKUP(A140,DB_Customers!$A:$D,4,0),"❌ Account Not Found"))</f>
        <v/>
      </c>
      <c r="C140" s="86" t="str">
        <f>IF(A140="","",IFERROR(IF(SUMIF(DB_Savings!$C:$C,A140,DB_Savings!$F:$F)=0,VLOOKUP(A140,DB_Customers!$A:$I,9,0),VLOOKUP(A140,DB_Customers!$A:$N,14,0)),"❌ Acct Not Found"))</f>
        <v/>
      </c>
      <c r="D140" s="87" t="str">
        <f t="shared" ca="1" si="12"/>
        <v/>
      </c>
      <c r="E140" s="79"/>
      <c r="F140" s="88" t="str">
        <f t="shared" si="13"/>
        <v/>
      </c>
      <c r="G140" s="43" t="s">
        <v>138</v>
      </c>
      <c r="H140" s="81"/>
      <c r="I140" s="89" t="str">
        <f>IF(A140="","Pending",IF(H140="","⚠️ Enter Agent Code",IF(IFERROR(VLOOKUP(G140,DB_Agents!$B:$I,8,0),"")=H140,IF(AND(A140&lt;&gt;"",E140&lt;&gt;""),"Saved","Pending"),"🔒 BLOCKED — Wrong Code")))</f>
        <v>Pending</v>
      </c>
      <c r="J140" s="90" t="str">
        <f t="shared" ca="1" si="14"/>
        <v>—</v>
      </c>
      <c r="K140" s="91"/>
    </row>
    <row r="141" spans="1:11" ht="15" customHeight="1" x14ac:dyDescent="0.25">
      <c r="A141" s="76"/>
      <c r="B141" s="37" t="str">
        <f>IF(A141="","",IFERROR(VLOOKUP(A141,DB_Customers!$A:$D,4,0),"❌ Account Not Found"))</f>
        <v/>
      </c>
      <c r="C141" s="77" t="str">
        <f>IF(A141="","",IFERROR(IF(SUMIF(DB_Savings!$C:$C,A141,DB_Savings!$F:$F)=0,VLOOKUP(A141,DB_Customers!$A:$I,9,0),VLOOKUP(A141,DB_Customers!$A:$N,14,0)),"❌ Acct Not Found"))</f>
        <v/>
      </c>
      <c r="D141" s="78" t="str">
        <f t="shared" ca="1" si="12"/>
        <v/>
      </c>
      <c r="E141" s="79"/>
      <c r="F141" s="80" t="str">
        <f t="shared" si="13"/>
        <v/>
      </c>
      <c r="G141" s="39" t="s">
        <v>138</v>
      </c>
      <c r="H141" s="81"/>
      <c r="I141" s="82" t="str">
        <f>IF(A141="","Pending",IF(H141="","⚠️ Enter Agent Code",IF(IFERROR(VLOOKUP(G141,DB_Agents!$B:$I,8,0),"")=H141,IF(AND(A141&lt;&gt;"",E141&lt;&gt;""),"Saved","Pending"),"🔒 BLOCKED — Wrong Code")))</f>
        <v>Pending</v>
      </c>
      <c r="J141" s="83" t="str">
        <f t="shared" ca="1" si="14"/>
        <v>—</v>
      </c>
      <c r="K141" s="84"/>
    </row>
    <row r="142" spans="1:11" ht="15" customHeight="1" x14ac:dyDescent="0.25">
      <c r="A142" s="85"/>
      <c r="B142" s="41" t="str">
        <f>IF(A142="","",IFERROR(VLOOKUP(A142,DB_Customers!$A:$D,4,0),"❌ Account Not Found"))</f>
        <v/>
      </c>
      <c r="C142" s="86" t="str">
        <f>IF(A142="","",IFERROR(IF(SUMIF(DB_Savings!$C:$C,A142,DB_Savings!$F:$F)=0,VLOOKUP(A142,DB_Customers!$A:$I,9,0),VLOOKUP(A142,DB_Customers!$A:$N,14,0)),"❌ Acct Not Found"))</f>
        <v/>
      </c>
      <c r="D142" s="87" t="str">
        <f t="shared" ca="1" si="12"/>
        <v/>
      </c>
      <c r="E142" s="79"/>
      <c r="F142" s="88" t="str">
        <f t="shared" si="13"/>
        <v/>
      </c>
      <c r="G142" s="43" t="s">
        <v>138</v>
      </c>
      <c r="H142" s="81"/>
      <c r="I142" s="89" t="str">
        <f>IF(A142="","Pending",IF(H142="","⚠️ Enter Agent Code",IF(IFERROR(VLOOKUP(G142,DB_Agents!$B:$I,8,0),"")=H142,IF(AND(A142&lt;&gt;"",E142&lt;&gt;""),"Saved","Pending"),"🔒 BLOCKED — Wrong Code")))</f>
        <v>Pending</v>
      </c>
      <c r="J142" s="90" t="str">
        <f t="shared" ca="1" si="14"/>
        <v>—</v>
      </c>
      <c r="K142" s="91"/>
    </row>
    <row r="143" spans="1:11" ht="15" customHeight="1" x14ac:dyDescent="0.25">
      <c r="A143" s="76"/>
      <c r="B143" s="37" t="str">
        <f>IF(A143="","",IFERROR(VLOOKUP(A143,DB_Customers!$A:$D,4,0),"❌ Account Not Found"))</f>
        <v/>
      </c>
      <c r="C143" s="77" t="str">
        <f>IF(A143="","",IFERROR(IF(SUMIF(DB_Savings!$C:$C,A143,DB_Savings!$F:$F)=0,VLOOKUP(A143,DB_Customers!$A:$I,9,0),VLOOKUP(A143,DB_Customers!$A:$N,14,0)),"❌ Acct Not Found"))</f>
        <v/>
      </c>
      <c r="D143" s="78" t="str">
        <f t="shared" ca="1" si="12"/>
        <v/>
      </c>
      <c r="E143" s="79"/>
      <c r="F143" s="80" t="str">
        <f t="shared" si="13"/>
        <v/>
      </c>
      <c r="G143" s="39" t="s">
        <v>138</v>
      </c>
      <c r="H143" s="81"/>
      <c r="I143" s="82" t="str">
        <f>IF(A143="","Pending",IF(H143="","⚠️ Enter Agent Code",IF(IFERROR(VLOOKUP(G143,DB_Agents!$B:$I,8,0),"")=H143,IF(AND(A143&lt;&gt;"",E143&lt;&gt;""),"Saved","Pending"),"🔒 BLOCKED — Wrong Code")))</f>
        <v>Pending</v>
      </c>
      <c r="J143" s="83" t="str">
        <f t="shared" ca="1" si="14"/>
        <v>—</v>
      </c>
      <c r="K143" s="84"/>
    </row>
    <row r="144" spans="1:11" ht="15" customHeight="1" x14ac:dyDescent="0.25">
      <c r="A144" s="85"/>
      <c r="B144" s="41" t="str">
        <f>IF(A144="","",IFERROR(VLOOKUP(A144,DB_Customers!$A:$D,4,0),"❌ Account Not Found"))</f>
        <v/>
      </c>
      <c r="C144" s="86" t="str">
        <f>IF(A144="","",IFERROR(IF(SUMIF(DB_Savings!$C:$C,A144,DB_Savings!$F:$F)=0,VLOOKUP(A144,DB_Customers!$A:$I,9,0),VLOOKUP(A144,DB_Customers!$A:$N,14,0)),"❌ Acct Not Found"))</f>
        <v/>
      </c>
      <c r="D144" s="87" t="str">
        <f t="shared" ca="1" si="12"/>
        <v/>
      </c>
      <c r="E144" s="79"/>
      <c r="F144" s="88" t="str">
        <f t="shared" si="13"/>
        <v/>
      </c>
      <c r="G144" s="43" t="s">
        <v>138</v>
      </c>
      <c r="H144" s="81"/>
      <c r="I144" s="89" t="str">
        <f>IF(A144="","Pending",IF(H144="","⚠️ Enter Agent Code",IF(IFERROR(VLOOKUP(G144,DB_Agents!$B:$I,8,0),"")=H144,IF(AND(A144&lt;&gt;"",E144&lt;&gt;""),"Saved","Pending"),"🔒 BLOCKED — Wrong Code")))</f>
        <v>Pending</v>
      </c>
      <c r="J144" s="90" t="str">
        <f t="shared" ca="1" si="14"/>
        <v>—</v>
      </c>
      <c r="K144" s="91"/>
    </row>
    <row r="145" spans="1:11" ht="15" customHeight="1" x14ac:dyDescent="0.25">
      <c r="A145" s="76"/>
      <c r="B145" s="37" t="str">
        <f>IF(A145="","",IFERROR(VLOOKUP(A145,DB_Customers!$A:$D,4,0),"❌ Account Not Found"))</f>
        <v/>
      </c>
      <c r="C145" s="77" t="str">
        <f>IF(A145="","",IFERROR(IF(SUMIF(DB_Savings!$C:$C,A145,DB_Savings!$F:$F)=0,VLOOKUP(A145,DB_Customers!$A:$I,9,0),VLOOKUP(A145,DB_Customers!$A:$N,14,0)),"❌ Acct Not Found"))</f>
        <v/>
      </c>
      <c r="D145" s="78" t="str">
        <f t="shared" ca="1" si="12"/>
        <v/>
      </c>
      <c r="E145" s="79"/>
      <c r="F145" s="80" t="str">
        <f t="shared" si="13"/>
        <v/>
      </c>
      <c r="G145" s="39" t="s">
        <v>138</v>
      </c>
      <c r="H145" s="81"/>
      <c r="I145" s="82" t="str">
        <f>IF(A145="","Pending",IF(H145="","⚠️ Enter Agent Code",IF(IFERROR(VLOOKUP(G145,DB_Agents!$B:$I,8,0),"")=H145,IF(AND(A145&lt;&gt;"",E145&lt;&gt;""),"Saved","Pending"),"🔒 BLOCKED — Wrong Code")))</f>
        <v>Pending</v>
      </c>
      <c r="J145" s="83" t="str">
        <f t="shared" ca="1" si="14"/>
        <v>—</v>
      </c>
      <c r="K145" s="84"/>
    </row>
    <row r="146" spans="1:11" ht="15" customHeight="1" x14ac:dyDescent="0.25">
      <c r="A146" s="85"/>
      <c r="B146" s="41" t="str">
        <f>IF(A146="","",IFERROR(VLOOKUP(A146,DB_Customers!$A:$D,4,0),"❌ Account Not Found"))</f>
        <v/>
      </c>
      <c r="C146" s="86" t="str">
        <f>IF(A146="","",IFERROR(IF(SUMIF(DB_Savings!$C:$C,A146,DB_Savings!$F:$F)=0,VLOOKUP(A146,DB_Customers!$A:$I,9,0),VLOOKUP(A146,DB_Customers!$A:$N,14,0)),"❌ Acct Not Found"))</f>
        <v/>
      </c>
      <c r="D146" s="87" t="str">
        <f t="shared" ca="1" si="12"/>
        <v/>
      </c>
      <c r="E146" s="79"/>
      <c r="F146" s="88" t="str">
        <f t="shared" si="13"/>
        <v/>
      </c>
      <c r="G146" s="43" t="s">
        <v>138</v>
      </c>
      <c r="H146" s="81"/>
      <c r="I146" s="89" t="str">
        <f>IF(A146="","Pending",IF(H146="","⚠️ Enter Agent Code",IF(IFERROR(VLOOKUP(G146,DB_Agents!$B:$I,8,0),"")=H146,IF(AND(A146&lt;&gt;"",E146&lt;&gt;""),"Saved","Pending"),"🔒 BLOCKED — Wrong Code")))</f>
        <v>Pending</v>
      </c>
      <c r="J146" s="90" t="str">
        <f t="shared" ca="1" si="14"/>
        <v>—</v>
      </c>
      <c r="K146" s="91"/>
    </row>
    <row r="147" spans="1:11" ht="15" customHeight="1" x14ac:dyDescent="0.25">
      <c r="A147" s="76"/>
      <c r="B147" s="37" t="str">
        <f>IF(A147="","",IFERROR(VLOOKUP(A147,DB_Customers!$A:$D,4,0),"❌ Account Not Found"))</f>
        <v/>
      </c>
      <c r="C147" s="77" t="str">
        <f>IF(A147="","",IFERROR(IF(SUMIF(DB_Savings!$C:$C,A147,DB_Savings!$F:$F)=0,VLOOKUP(A147,DB_Customers!$A:$I,9,0),VLOOKUP(A147,DB_Customers!$A:$N,14,0)),"❌ Acct Not Found"))</f>
        <v/>
      </c>
      <c r="D147" s="78" t="str">
        <f t="shared" ca="1" si="12"/>
        <v/>
      </c>
      <c r="E147" s="79"/>
      <c r="F147" s="80" t="str">
        <f t="shared" si="13"/>
        <v/>
      </c>
      <c r="G147" s="39" t="s">
        <v>138</v>
      </c>
      <c r="H147" s="81"/>
      <c r="I147" s="82" t="str">
        <f>IF(A147="","Pending",IF(H147="","⚠️ Enter Agent Code",IF(IFERROR(VLOOKUP(G147,DB_Agents!$B:$I,8,0),"")=H147,IF(AND(A147&lt;&gt;"",E147&lt;&gt;""),"Saved","Pending"),"🔒 BLOCKED — Wrong Code")))</f>
        <v>Pending</v>
      </c>
      <c r="J147" s="83" t="str">
        <f t="shared" ca="1" si="14"/>
        <v>—</v>
      </c>
      <c r="K147" s="84"/>
    </row>
    <row r="148" spans="1:11" ht="15" customHeight="1" x14ac:dyDescent="0.25">
      <c r="A148" s="85"/>
      <c r="B148" s="41" t="str">
        <f>IF(A148="","",IFERROR(VLOOKUP(A148,DB_Customers!$A:$D,4,0),"❌ Account Not Found"))</f>
        <v/>
      </c>
      <c r="C148" s="86" t="str">
        <f>IF(A148="","",IFERROR(IF(SUMIF(DB_Savings!$C:$C,A148,DB_Savings!$F:$F)=0,VLOOKUP(A148,DB_Customers!$A:$I,9,0),VLOOKUP(A148,DB_Customers!$A:$N,14,0)),"❌ Acct Not Found"))</f>
        <v/>
      </c>
      <c r="D148" s="87" t="str">
        <f t="shared" ca="1" si="12"/>
        <v/>
      </c>
      <c r="E148" s="79"/>
      <c r="F148" s="88" t="str">
        <f t="shared" si="13"/>
        <v/>
      </c>
      <c r="G148" s="43" t="s">
        <v>138</v>
      </c>
      <c r="H148" s="81"/>
      <c r="I148" s="89" t="str">
        <f>IF(A148="","Pending",IF(H148="","⚠️ Enter Agent Code",IF(IFERROR(VLOOKUP(G148,DB_Agents!$B:$I,8,0),"")=H148,IF(AND(A148&lt;&gt;"",E148&lt;&gt;""),"Saved","Pending"),"🔒 BLOCKED — Wrong Code")))</f>
        <v>Pending</v>
      </c>
      <c r="J148" s="90" t="str">
        <f t="shared" ca="1" si="14"/>
        <v>—</v>
      </c>
      <c r="K148" s="91"/>
    </row>
    <row r="149" spans="1:11" ht="15" customHeight="1" x14ac:dyDescent="0.25">
      <c r="A149" s="76"/>
      <c r="B149" s="37" t="str">
        <f>IF(A149="","",IFERROR(VLOOKUP(A149,DB_Customers!$A:$D,4,0),"❌ Account Not Found"))</f>
        <v/>
      </c>
      <c r="C149" s="77" t="str">
        <f>IF(A149="","",IFERROR(IF(SUMIF(DB_Savings!$C:$C,A149,DB_Savings!$F:$F)=0,VLOOKUP(A149,DB_Customers!$A:$I,9,0),VLOOKUP(A149,DB_Customers!$A:$N,14,0)),"❌ Acct Not Found"))</f>
        <v/>
      </c>
      <c r="D149" s="78" t="str">
        <f t="shared" ca="1" si="12"/>
        <v/>
      </c>
      <c r="E149" s="79"/>
      <c r="F149" s="80" t="str">
        <f t="shared" si="13"/>
        <v/>
      </c>
      <c r="G149" s="39" t="s">
        <v>138</v>
      </c>
      <c r="H149" s="81"/>
      <c r="I149" s="82" t="str">
        <f>IF(A149="","Pending",IF(H149="","⚠️ Enter Agent Code",IF(IFERROR(VLOOKUP(G149,DB_Agents!$B:$I,8,0),"")=H149,IF(AND(A149&lt;&gt;"",E149&lt;&gt;""),"Saved","Pending"),"🔒 BLOCKED — Wrong Code")))</f>
        <v>Pending</v>
      </c>
      <c r="J149" s="83" t="str">
        <f t="shared" ca="1" si="14"/>
        <v>—</v>
      </c>
      <c r="K149" s="84"/>
    </row>
    <row r="150" spans="1:11" ht="15" customHeight="1" x14ac:dyDescent="0.25">
      <c r="A150" s="85"/>
      <c r="B150" s="41" t="str">
        <f>IF(A150="","",IFERROR(VLOOKUP(A150,DB_Customers!$A:$D,4,0),"❌ Account Not Found"))</f>
        <v/>
      </c>
      <c r="C150" s="86" t="str">
        <f>IF(A150="","",IFERROR(IF(SUMIF(DB_Savings!$C:$C,A150,DB_Savings!$F:$F)=0,VLOOKUP(A150,DB_Customers!$A:$I,9,0),VLOOKUP(A150,DB_Customers!$A:$N,14,0)),"❌ Acct Not Found"))</f>
        <v/>
      </c>
      <c r="D150" s="87" t="str">
        <f t="shared" ca="1" si="12"/>
        <v/>
      </c>
      <c r="E150" s="79"/>
      <c r="F150" s="88" t="str">
        <f t="shared" si="13"/>
        <v/>
      </c>
      <c r="G150" s="43" t="s">
        <v>138</v>
      </c>
      <c r="H150" s="81"/>
      <c r="I150" s="89" t="str">
        <f>IF(A150="","Pending",IF(H150="","⚠️ Enter Agent Code",IF(IFERROR(VLOOKUP(G150,DB_Agents!$B:$I,8,0),"")=H150,IF(AND(A150&lt;&gt;"",E150&lt;&gt;""),"Saved","Pending"),"🔒 BLOCKED — Wrong Code")))</f>
        <v>Pending</v>
      </c>
      <c r="J150" s="90" t="str">
        <f t="shared" ca="1" si="14"/>
        <v>—</v>
      </c>
      <c r="K150" s="91"/>
    </row>
    <row r="151" spans="1:11" ht="15" customHeight="1" x14ac:dyDescent="0.25">
      <c r="A151" s="76"/>
      <c r="B151" s="37" t="str">
        <f>IF(A151="","",IFERROR(VLOOKUP(A151,DB_Customers!$A:$D,4,0),"❌ Account Not Found"))</f>
        <v/>
      </c>
      <c r="C151" s="77" t="str">
        <f>IF(A151="","",IFERROR(IF(SUMIF(DB_Savings!$C:$C,A151,DB_Savings!$F:$F)=0,VLOOKUP(A151,DB_Customers!$A:$I,9,0),VLOOKUP(A151,DB_Customers!$A:$N,14,0)),"❌ Acct Not Found"))</f>
        <v/>
      </c>
      <c r="D151" s="78" t="str">
        <f t="shared" ca="1" si="12"/>
        <v/>
      </c>
      <c r="E151" s="79"/>
      <c r="F151" s="80" t="str">
        <f t="shared" si="13"/>
        <v/>
      </c>
      <c r="G151" s="39" t="s">
        <v>138</v>
      </c>
      <c r="H151" s="81"/>
      <c r="I151" s="82" t="str">
        <f>IF(A151="","Pending",IF(H151="","⚠️ Enter Agent Code",IF(IFERROR(VLOOKUP(G151,DB_Agents!$B:$I,8,0),"")=H151,IF(AND(A151&lt;&gt;"",E151&lt;&gt;""),"Saved","Pending"),"🔒 BLOCKED — Wrong Code")))</f>
        <v>Pending</v>
      </c>
      <c r="J151" s="83" t="str">
        <f t="shared" ca="1" si="14"/>
        <v>—</v>
      </c>
      <c r="K151" s="84"/>
    </row>
    <row r="152" spans="1:11" ht="15" customHeight="1" x14ac:dyDescent="0.25">
      <c r="A152" s="85"/>
      <c r="B152" s="41" t="str">
        <f>IF(A152="","",IFERROR(VLOOKUP(A152,DB_Customers!$A:$D,4,0),"❌ Account Not Found"))</f>
        <v/>
      </c>
      <c r="C152" s="86" t="str">
        <f>IF(A152="","",IFERROR(IF(SUMIF(DB_Savings!$C:$C,A152,DB_Savings!$F:$F)=0,VLOOKUP(A152,DB_Customers!$A:$I,9,0),VLOOKUP(A152,DB_Customers!$A:$N,14,0)),"❌ Acct Not Found"))</f>
        <v/>
      </c>
      <c r="D152" s="87" t="str">
        <f t="shared" ca="1" si="12"/>
        <v/>
      </c>
      <c r="E152" s="79"/>
      <c r="F152" s="88" t="str">
        <f t="shared" si="13"/>
        <v/>
      </c>
      <c r="G152" s="43" t="s">
        <v>138</v>
      </c>
      <c r="H152" s="81"/>
      <c r="I152" s="89" t="str">
        <f>IF(A152="","Pending",IF(H152="","⚠️ Enter Agent Code",IF(IFERROR(VLOOKUP(G152,DB_Agents!$B:$I,8,0),"")=H152,IF(AND(A152&lt;&gt;"",E152&lt;&gt;""),"Saved","Pending"),"🔒 BLOCKED — Wrong Code")))</f>
        <v>Pending</v>
      </c>
      <c r="J152" s="90" t="str">
        <f t="shared" ca="1" si="14"/>
        <v>—</v>
      </c>
      <c r="K152" s="91"/>
    </row>
    <row r="153" spans="1:11" ht="15" customHeight="1" x14ac:dyDescent="0.25">
      <c r="A153" s="76"/>
      <c r="B153" s="37" t="str">
        <f>IF(A153="","",IFERROR(VLOOKUP(A153,DB_Customers!$A:$D,4,0),"❌ Account Not Found"))</f>
        <v/>
      </c>
      <c r="C153" s="77" t="str">
        <f>IF(A153="","",IFERROR(IF(SUMIF(DB_Savings!$C:$C,A153,DB_Savings!$F:$F)=0,VLOOKUP(A153,DB_Customers!$A:$I,9,0),VLOOKUP(A153,DB_Customers!$A:$N,14,0)),"❌ Acct Not Found"))</f>
        <v/>
      </c>
      <c r="D153" s="78" t="str">
        <f t="shared" ca="1" si="12"/>
        <v/>
      </c>
      <c r="E153" s="79"/>
      <c r="F153" s="80" t="str">
        <f t="shared" si="13"/>
        <v/>
      </c>
      <c r="G153" s="39" t="s">
        <v>138</v>
      </c>
      <c r="H153" s="81"/>
      <c r="I153" s="82" t="str">
        <f>IF(A153="","Pending",IF(H153="","⚠️ Enter Agent Code",IF(IFERROR(VLOOKUP(G153,DB_Agents!$B:$I,8,0),"")=H153,IF(AND(A153&lt;&gt;"",E153&lt;&gt;""),"Saved","Pending"),"🔒 BLOCKED — Wrong Code")))</f>
        <v>Pending</v>
      </c>
      <c r="J153" s="83" t="str">
        <f t="shared" ca="1" si="14"/>
        <v>—</v>
      </c>
      <c r="K153" s="84"/>
    </row>
    <row r="154" spans="1:11" ht="15" customHeight="1" x14ac:dyDescent="0.25">
      <c r="A154" s="85"/>
      <c r="B154" s="41" t="str">
        <f>IF(A154="","",IFERROR(VLOOKUP(A154,DB_Customers!$A:$D,4,0),"❌ Account Not Found"))</f>
        <v/>
      </c>
      <c r="C154" s="86" t="str">
        <f>IF(A154="","",IFERROR(IF(SUMIF(DB_Savings!$C:$C,A154,DB_Savings!$F:$F)=0,VLOOKUP(A154,DB_Customers!$A:$I,9,0),VLOOKUP(A154,DB_Customers!$A:$N,14,0)),"❌ Acct Not Found"))</f>
        <v/>
      </c>
      <c r="D154" s="87" t="str">
        <f t="shared" ca="1" si="12"/>
        <v/>
      </c>
      <c r="E154" s="79"/>
      <c r="F154" s="88" t="str">
        <f t="shared" si="13"/>
        <v/>
      </c>
      <c r="G154" s="43" t="s">
        <v>138</v>
      </c>
      <c r="H154" s="81"/>
      <c r="I154" s="89" t="str">
        <f>IF(A154="","Pending",IF(H154="","⚠️ Enter Agent Code",IF(IFERROR(VLOOKUP(G154,DB_Agents!$B:$I,8,0),"")=H154,IF(AND(A154&lt;&gt;"",E154&lt;&gt;""),"Saved","Pending"),"🔒 BLOCKED — Wrong Code")))</f>
        <v>Pending</v>
      </c>
      <c r="J154" s="90" t="str">
        <f t="shared" ca="1" si="14"/>
        <v>—</v>
      </c>
      <c r="K154" s="91"/>
    </row>
    <row r="155" spans="1:11" ht="15" customHeight="1" x14ac:dyDescent="0.25">
      <c r="A155" s="76"/>
      <c r="B155" s="37" t="str">
        <f>IF(A155="","",IFERROR(VLOOKUP(A155,DB_Customers!$A:$D,4,0),"❌ Account Not Found"))</f>
        <v/>
      </c>
      <c r="C155" s="77" t="str">
        <f>IF(A155="","",IFERROR(IF(SUMIF(DB_Savings!$C:$C,A155,DB_Savings!$F:$F)=0,VLOOKUP(A155,DB_Customers!$A:$I,9,0),VLOOKUP(A155,DB_Customers!$A:$N,14,0)),"❌ Acct Not Found"))</f>
        <v/>
      </c>
      <c r="D155" s="78" t="str">
        <f t="shared" ca="1" si="12"/>
        <v/>
      </c>
      <c r="E155" s="79"/>
      <c r="F155" s="80" t="str">
        <f t="shared" si="13"/>
        <v/>
      </c>
      <c r="G155" s="39" t="s">
        <v>138</v>
      </c>
      <c r="H155" s="81"/>
      <c r="I155" s="82" t="str">
        <f>IF(A155="","Pending",IF(H155="","⚠️ Enter Agent Code",IF(IFERROR(VLOOKUP(G155,DB_Agents!$B:$I,8,0),"")=H155,IF(AND(A155&lt;&gt;"",E155&lt;&gt;""),"Saved","Pending"),"🔒 BLOCKED — Wrong Code")))</f>
        <v>Pending</v>
      </c>
      <c r="J155" s="83" t="str">
        <f t="shared" ca="1" si="14"/>
        <v>—</v>
      </c>
      <c r="K155" s="84"/>
    </row>
    <row r="156" spans="1:11" ht="15" customHeight="1" x14ac:dyDescent="0.25">
      <c r="A156" s="85"/>
      <c r="B156" s="41" t="str">
        <f>IF(A156="","",IFERROR(VLOOKUP(A156,DB_Customers!$A:$D,4,0),"❌ Account Not Found"))</f>
        <v/>
      </c>
      <c r="C156" s="86" t="str">
        <f>IF(A156="","",IFERROR(IF(SUMIF(DB_Savings!$C:$C,A156,DB_Savings!$F:$F)=0,VLOOKUP(A156,DB_Customers!$A:$I,9,0),VLOOKUP(A156,DB_Customers!$A:$N,14,0)),"❌ Acct Not Found"))</f>
        <v/>
      </c>
      <c r="D156" s="87" t="str">
        <f t="shared" ca="1" si="12"/>
        <v/>
      </c>
      <c r="E156" s="79"/>
      <c r="F156" s="88" t="str">
        <f t="shared" si="13"/>
        <v/>
      </c>
      <c r="G156" s="43" t="s">
        <v>138</v>
      </c>
      <c r="H156" s="81"/>
      <c r="I156" s="89" t="str">
        <f>IF(A156="","Pending",IF(H156="","⚠️ Enter Agent Code",IF(IFERROR(VLOOKUP(G156,DB_Agents!$B:$I,8,0),"")=H156,IF(AND(A156&lt;&gt;"",E156&lt;&gt;""),"Saved","Pending"),"🔒 BLOCKED — Wrong Code")))</f>
        <v>Pending</v>
      </c>
      <c r="J156" s="90" t="str">
        <f t="shared" ca="1" si="14"/>
        <v>—</v>
      </c>
      <c r="K156" s="91"/>
    </row>
    <row r="157" spans="1:11" ht="15" customHeight="1" x14ac:dyDescent="0.25">
      <c r="A157" s="76"/>
      <c r="B157" s="37" t="str">
        <f>IF(A157="","",IFERROR(VLOOKUP(A157,DB_Customers!$A:$D,4,0),"❌ Account Not Found"))</f>
        <v/>
      </c>
      <c r="C157" s="77" t="str">
        <f>IF(A157="","",IFERROR(IF(SUMIF(DB_Savings!$C:$C,A157,DB_Savings!$F:$F)=0,VLOOKUP(A157,DB_Customers!$A:$I,9,0),VLOOKUP(A157,DB_Customers!$A:$N,14,0)),"❌ Acct Not Found"))</f>
        <v/>
      </c>
      <c r="D157" s="78" t="str">
        <f t="shared" ca="1" si="12"/>
        <v/>
      </c>
      <c r="E157" s="79"/>
      <c r="F157" s="80" t="str">
        <f t="shared" si="13"/>
        <v/>
      </c>
      <c r="G157" s="39" t="s">
        <v>138</v>
      </c>
      <c r="H157" s="81"/>
      <c r="I157" s="82" t="str">
        <f>IF(A157="","Pending",IF(H157="","⚠️ Enter Agent Code",IF(IFERROR(VLOOKUP(G157,DB_Agents!$B:$I,8,0),"")=H157,IF(AND(A157&lt;&gt;"",E157&lt;&gt;""),"Saved","Pending"),"🔒 BLOCKED — Wrong Code")))</f>
        <v>Pending</v>
      </c>
      <c r="J157" s="83" t="str">
        <f t="shared" ca="1" si="14"/>
        <v>—</v>
      </c>
      <c r="K157" s="84"/>
    </row>
    <row r="158" spans="1:11" ht="15" customHeight="1" x14ac:dyDescent="0.25">
      <c r="A158" s="85"/>
      <c r="B158" s="41" t="str">
        <f>IF(A158="","",IFERROR(VLOOKUP(A158,DB_Customers!$A:$D,4,0),"❌ Account Not Found"))</f>
        <v/>
      </c>
      <c r="C158" s="86" t="str">
        <f>IF(A158="","",IFERROR(IF(SUMIF(DB_Savings!$C:$C,A158,DB_Savings!$F:$F)=0,VLOOKUP(A158,DB_Customers!$A:$I,9,0),VLOOKUP(A158,DB_Customers!$A:$N,14,0)),"❌ Acct Not Found"))</f>
        <v/>
      </c>
      <c r="D158" s="87" t="str">
        <f t="shared" ca="1" si="12"/>
        <v/>
      </c>
      <c r="E158" s="79"/>
      <c r="F158" s="88" t="str">
        <f t="shared" si="13"/>
        <v/>
      </c>
      <c r="G158" s="43" t="s">
        <v>138</v>
      </c>
      <c r="H158" s="81"/>
      <c r="I158" s="89" t="str">
        <f>IF(A158="","Pending",IF(H158="","⚠️ Enter Agent Code",IF(IFERROR(VLOOKUP(G158,DB_Agents!$B:$I,8,0),"")=H158,IF(AND(A158&lt;&gt;"",E158&lt;&gt;""),"Saved","Pending"),"🔒 BLOCKED — Wrong Code")))</f>
        <v>Pending</v>
      </c>
      <c r="J158" s="90" t="str">
        <f t="shared" ca="1" si="14"/>
        <v>—</v>
      </c>
      <c r="K158" s="91"/>
    </row>
    <row r="159" spans="1:11" ht="15" customHeight="1" x14ac:dyDescent="0.25">
      <c r="A159" s="76"/>
      <c r="B159" s="37" t="str">
        <f>IF(A159="","",IFERROR(VLOOKUP(A159,DB_Customers!$A:$D,4,0),"❌ Account Not Found"))</f>
        <v/>
      </c>
      <c r="C159" s="77" t="str">
        <f>IF(A159="","",IFERROR(IF(SUMIF(DB_Savings!$C:$C,A159,DB_Savings!$F:$F)=0,VLOOKUP(A159,DB_Customers!$A:$I,9,0),VLOOKUP(A159,DB_Customers!$A:$N,14,0)),"❌ Acct Not Found"))</f>
        <v/>
      </c>
      <c r="D159" s="78" t="str">
        <f t="shared" ca="1" si="12"/>
        <v/>
      </c>
      <c r="E159" s="79"/>
      <c r="F159" s="80" t="str">
        <f t="shared" si="13"/>
        <v/>
      </c>
      <c r="G159" s="39" t="s">
        <v>138</v>
      </c>
      <c r="H159" s="81"/>
      <c r="I159" s="82" t="str">
        <f>IF(A159="","Pending",IF(H159="","⚠️ Enter Agent Code",IF(IFERROR(VLOOKUP(G159,DB_Agents!$B:$I,8,0),"")=H159,IF(AND(A159&lt;&gt;"",E159&lt;&gt;""),"Saved","Pending"),"🔒 BLOCKED — Wrong Code")))</f>
        <v>Pending</v>
      </c>
      <c r="J159" s="83" t="str">
        <f t="shared" ca="1" si="14"/>
        <v>—</v>
      </c>
      <c r="K159" s="84"/>
    </row>
    <row r="160" spans="1:11" ht="15" customHeight="1" x14ac:dyDescent="0.25">
      <c r="A160" s="85"/>
      <c r="B160" s="41" t="str">
        <f>IF(A160="","",IFERROR(VLOOKUP(A160,DB_Customers!$A:$D,4,0),"❌ Account Not Found"))</f>
        <v/>
      </c>
      <c r="C160" s="86" t="str">
        <f>IF(A160="","",IFERROR(IF(SUMIF(DB_Savings!$C:$C,A160,DB_Savings!$F:$F)=0,VLOOKUP(A160,DB_Customers!$A:$I,9,0),VLOOKUP(A160,DB_Customers!$A:$N,14,0)),"❌ Acct Not Found"))</f>
        <v/>
      </c>
      <c r="D160" s="87" t="str">
        <f t="shared" ca="1" si="12"/>
        <v/>
      </c>
      <c r="E160" s="79"/>
      <c r="F160" s="88" t="str">
        <f t="shared" si="13"/>
        <v/>
      </c>
      <c r="G160" s="43" t="s">
        <v>138</v>
      </c>
      <c r="H160" s="81"/>
      <c r="I160" s="89" t="str">
        <f>IF(A160="","Pending",IF(H160="","⚠️ Enter Agent Code",IF(IFERROR(VLOOKUP(G160,DB_Agents!$B:$I,8,0),"")=H160,IF(AND(A160&lt;&gt;"",E160&lt;&gt;""),"Saved","Pending"),"🔒 BLOCKED — Wrong Code")))</f>
        <v>Pending</v>
      </c>
      <c r="J160" s="90" t="str">
        <f t="shared" ca="1" si="14"/>
        <v>—</v>
      </c>
      <c r="K160" s="91"/>
    </row>
    <row r="161" spans="1:11" ht="15" customHeight="1" x14ac:dyDescent="0.25">
      <c r="A161" s="76"/>
      <c r="B161" s="37" t="str">
        <f>IF(A161="","",IFERROR(VLOOKUP(A161,DB_Customers!$A:$D,4,0),"❌ Account Not Found"))</f>
        <v/>
      </c>
      <c r="C161" s="77" t="str">
        <f>IF(A161="","",IFERROR(IF(SUMIF(DB_Savings!$C:$C,A161,DB_Savings!$F:$F)=0,VLOOKUP(A161,DB_Customers!$A:$I,9,0),VLOOKUP(A161,DB_Customers!$A:$N,14,0)),"❌ Acct Not Found"))</f>
        <v/>
      </c>
      <c r="D161" s="78" t="str">
        <f t="shared" ca="1" si="12"/>
        <v/>
      </c>
      <c r="E161" s="79"/>
      <c r="F161" s="80" t="str">
        <f t="shared" si="13"/>
        <v/>
      </c>
      <c r="G161" s="39" t="s">
        <v>138</v>
      </c>
      <c r="H161" s="81"/>
      <c r="I161" s="82" t="str">
        <f>IF(A161="","Pending",IF(H161="","⚠️ Enter Agent Code",IF(IFERROR(VLOOKUP(G161,DB_Agents!$B:$I,8,0),"")=H161,IF(AND(A161&lt;&gt;"",E161&lt;&gt;""),"Saved","Pending"),"🔒 BLOCKED — Wrong Code")))</f>
        <v>Pending</v>
      </c>
      <c r="J161" s="83" t="str">
        <f t="shared" ca="1" si="14"/>
        <v>—</v>
      </c>
      <c r="K161" s="84"/>
    </row>
    <row r="162" spans="1:11" ht="15" customHeight="1" x14ac:dyDescent="0.25">
      <c r="A162" s="85"/>
      <c r="B162" s="41" t="str">
        <f>IF(A162="","",IFERROR(VLOOKUP(A162,DB_Customers!$A:$D,4,0),"❌ Account Not Found"))</f>
        <v/>
      </c>
      <c r="C162" s="86" t="str">
        <f>IF(A162="","",IFERROR(IF(SUMIF(DB_Savings!$C:$C,A162,DB_Savings!$F:$F)=0,VLOOKUP(A162,DB_Customers!$A:$I,9,0),VLOOKUP(A162,DB_Customers!$A:$N,14,0)),"❌ Acct Not Found"))</f>
        <v/>
      </c>
      <c r="D162" s="87" t="str">
        <f t="shared" ca="1" si="12"/>
        <v/>
      </c>
      <c r="E162" s="79"/>
      <c r="F162" s="88" t="str">
        <f t="shared" si="13"/>
        <v/>
      </c>
      <c r="G162" s="43" t="s">
        <v>138</v>
      </c>
      <c r="H162" s="81"/>
      <c r="I162" s="89" t="str">
        <f>IF(A162="","Pending",IF(H162="","⚠️ Enter Agent Code",IF(IFERROR(VLOOKUP(G162,DB_Agents!$B:$I,8,0),"")=H162,IF(AND(A162&lt;&gt;"",E162&lt;&gt;""),"Saved","Pending"),"🔒 BLOCKED — Wrong Code")))</f>
        <v>Pending</v>
      </c>
      <c r="J162" s="90" t="str">
        <f t="shared" ca="1" si="14"/>
        <v>—</v>
      </c>
      <c r="K162" s="91"/>
    </row>
    <row r="163" spans="1:11" ht="15" customHeight="1" x14ac:dyDescent="0.25">
      <c r="A163" s="76"/>
      <c r="B163" s="37" t="str">
        <f>IF(A163="","",IFERROR(VLOOKUP(A163,DB_Customers!$A:$D,4,0),"❌ Account Not Found"))</f>
        <v/>
      </c>
      <c r="C163" s="77" t="str">
        <f>IF(A163="","",IFERROR(IF(SUMIF(DB_Savings!$C:$C,A163,DB_Savings!$F:$F)=0,VLOOKUP(A163,DB_Customers!$A:$I,9,0),VLOOKUP(A163,DB_Customers!$A:$N,14,0)),"❌ Acct Not Found"))</f>
        <v/>
      </c>
      <c r="D163" s="78" t="str">
        <f t="shared" ca="1" si="12"/>
        <v/>
      </c>
      <c r="E163" s="79"/>
      <c r="F163" s="80" t="str">
        <f t="shared" si="13"/>
        <v/>
      </c>
      <c r="G163" s="39" t="s">
        <v>138</v>
      </c>
      <c r="H163" s="81"/>
      <c r="I163" s="82" t="str">
        <f>IF(A163="","Pending",IF(H163="","⚠️ Enter Agent Code",IF(IFERROR(VLOOKUP(G163,DB_Agents!$B:$I,8,0),"")=H163,IF(AND(A163&lt;&gt;"",E163&lt;&gt;""),"Saved","Pending"),"🔒 BLOCKED — Wrong Code")))</f>
        <v>Pending</v>
      </c>
      <c r="J163" s="83" t="str">
        <f t="shared" ca="1" si="14"/>
        <v>—</v>
      </c>
      <c r="K163" s="84"/>
    </row>
    <row r="164" spans="1:11" ht="15" customHeight="1" x14ac:dyDescent="0.25">
      <c r="A164" s="85"/>
      <c r="B164" s="41" t="str">
        <f>IF(A164="","",IFERROR(VLOOKUP(A164,DB_Customers!$A:$D,4,0),"❌ Account Not Found"))</f>
        <v/>
      </c>
      <c r="C164" s="86" t="str">
        <f>IF(A164="","",IFERROR(IF(SUMIF(DB_Savings!$C:$C,A164,DB_Savings!$F:$F)=0,VLOOKUP(A164,DB_Customers!$A:$I,9,0),VLOOKUP(A164,DB_Customers!$A:$N,14,0)),"❌ Acct Not Found"))</f>
        <v/>
      </c>
      <c r="D164" s="87" t="str">
        <f t="shared" ca="1" si="12"/>
        <v/>
      </c>
      <c r="E164" s="79"/>
      <c r="F164" s="88" t="str">
        <f t="shared" si="13"/>
        <v/>
      </c>
      <c r="G164" s="43" t="s">
        <v>138</v>
      </c>
      <c r="H164" s="81"/>
      <c r="I164" s="89" t="str">
        <f>IF(A164="","Pending",IF(H164="","⚠️ Enter Agent Code",IF(IFERROR(VLOOKUP(G164,DB_Agents!$B:$I,8,0),"")=H164,IF(AND(A164&lt;&gt;"",E164&lt;&gt;""),"Saved","Pending"),"🔒 BLOCKED — Wrong Code")))</f>
        <v>Pending</v>
      </c>
      <c r="J164" s="90" t="str">
        <f t="shared" ca="1" si="14"/>
        <v>—</v>
      </c>
      <c r="K164" s="91"/>
    </row>
    <row r="165" spans="1:11" ht="15" customHeight="1" x14ac:dyDescent="0.25">
      <c r="A165" s="76"/>
      <c r="B165" s="37" t="str">
        <f>IF(A165="","",IFERROR(VLOOKUP(A165,DB_Customers!$A:$D,4,0),"❌ Account Not Found"))</f>
        <v/>
      </c>
      <c r="C165" s="77" t="str">
        <f>IF(A165="","",IFERROR(IF(SUMIF(DB_Savings!$C:$C,A165,DB_Savings!$F:$F)=0,VLOOKUP(A165,DB_Customers!$A:$I,9,0),VLOOKUP(A165,DB_Customers!$A:$N,14,0)),"❌ Acct Not Found"))</f>
        <v/>
      </c>
      <c r="D165" s="78" t="str">
        <f t="shared" ca="1" si="12"/>
        <v/>
      </c>
      <c r="E165" s="79"/>
      <c r="F165" s="80" t="str">
        <f t="shared" si="13"/>
        <v/>
      </c>
      <c r="G165" s="39" t="s">
        <v>138</v>
      </c>
      <c r="H165" s="81"/>
      <c r="I165" s="82" t="str">
        <f>IF(A165="","Pending",IF(H165="","⚠️ Enter Agent Code",IF(IFERROR(VLOOKUP(G165,DB_Agents!$B:$I,8,0),"")=H165,IF(AND(A165&lt;&gt;"",E165&lt;&gt;""),"Saved","Pending"),"🔒 BLOCKED — Wrong Code")))</f>
        <v>Pending</v>
      </c>
      <c r="J165" s="83" t="str">
        <f t="shared" ca="1" si="14"/>
        <v>—</v>
      </c>
      <c r="K165" s="84"/>
    </row>
    <row r="166" spans="1:11" ht="15" customHeight="1" x14ac:dyDescent="0.25">
      <c r="A166" s="85"/>
      <c r="B166" s="41" t="str">
        <f>IF(A166="","",IFERROR(VLOOKUP(A166,DB_Customers!$A:$D,4,0),"❌ Account Not Found"))</f>
        <v/>
      </c>
      <c r="C166" s="86" t="str">
        <f>IF(A166="","",IFERROR(IF(SUMIF(DB_Savings!$C:$C,A166,DB_Savings!$F:$F)=0,VLOOKUP(A166,DB_Customers!$A:$I,9,0),VLOOKUP(A166,DB_Customers!$A:$N,14,0)),"❌ Acct Not Found"))</f>
        <v/>
      </c>
      <c r="D166" s="87" t="str">
        <f t="shared" ca="1" si="12"/>
        <v/>
      </c>
      <c r="E166" s="79"/>
      <c r="F166" s="88" t="str">
        <f t="shared" si="13"/>
        <v/>
      </c>
      <c r="G166" s="43" t="s">
        <v>138</v>
      </c>
      <c r="H166" s="81"/>
      <c r="I166" s="89" t="str">
        <f>IF(A166="","Pending",IF(H166="","⚠️ Enter Agent Code",IF(IFERROR(VLOOKUP(G166,DB_Agents!$B:$I,8,0),"")=H166,IF(AND(A166&lt;&gt;"",E166&lt;&gt;""),"Saved","Pending"),"🔒 BLOCKED — Wrong Code")))</f>
        <v>Pending</v>
      </c>
      <c r="J166" s="90" t="str">
        <f t="shared" ca="1" si="14"/>
        <v>—</v>
      </c>
      <c r="K166" s="91"/>
    </row>
    <row r="167" spans="1:11" ht="15" customHeight="1" x14ac:dyDescent="0.25">
      <c r="A167" s="76"/>
      <c r="B167" s="37" t="str">
        <f>IF(A167="","",IFERROR(VLOOKUP(A167,DB_Customers!$A:$D,4,0),"❌ Account Not Found"))</f>
        <v/>
      </c>
      <c r="C167" s="77" t="str">
        <f>IF(A167="","",IFERROR(IF(SUMIF(DB_Savings!$C:$C,A167,DB_Savings!$F:$F)=0,VLOOKUP(A167,DB_Customers!$A:$I,9,0),VLOOKUP(A167,DB_Customers!$A:$N,14,0)),"❌ Acct Not Found"))</f>
        <v/>
      </c>
      <c r="D167" s="78" t="str">
        <f t="shared" ca="1" si="12"/>
        <v/>
      </c>
      <c r="E167" s="79"/>
      <c r="F167" s="80" t="str">
        <f t="shared" si="13"/>
        <v/>
      </c>
      <c r="G167" s="39" t="s">
        <v>138</v>
      </c>
      <c r="H167" s="81"/>
      <c r="I167" s="82" t="str">
        <f>IF(A167="","Pending",IF(H167="","⚠️ Enter Agent Code",IF(IFERROR(VLOOKUP(G167,DB_Agents!$B:$I,8,0),"")=H167,IF(AND(A167&lt;&gt;"",E167&lt;&gt;""),"Saved","Pending"),"🔒 BLOCKED — Wrong Code")))</f>
        <v>Pending</v>
      </c>
      <c r="J167" s="83" t="str">
        <f t="shared" ca="1" si="14"/>
        <v>—</v>
      </c>
      <c r="K167" s="84"/>
    </row>
    <row r="168" spans="1:11" ht="15" customHeight="1" x14ac:dyDescent="0.25">
      <c r="A168" s="85"/>
      <c r="B168" s="41" t="str">
        <f>IF(A168="","",IFERROR(VLOOKUP(A168,DB_Customers!$A:$D,4,0),"❌ Account Not Found"))</f>
        <v/>
      </c>
      <c r="C168" s="86" t="str">
        <f>IF(A168="","",IFERROR(IF(SUMIF(DB_Savings!$C:$C,A168,DB_Savings!$F:$F)=0,VLOOKUP(A168,DB_Customers!$A:$I,9,0),VLOOKUP(A168,DB_Customers!$A:$N,14,0)),"❌ Acct Not Found"))</f>
        <v/>
      </c>
      <c r="D168" s="87" t="str">
        <f t="shared" ca="1" si="12"/>
        <v/>
      </c>
      <c r="E168" s="79"/>
      <c r="F168" s="88" t="str">
        <f t="shared" si="13"/>
        <v/>
      </c>
      <c r="G168" s="43" t="s">
        <v>138</v>
      </c>
      <c r="H168" s="81"/>
      <c r="I168" s="89" t="str">
        <f>IF(A168="","Pending",IF(H168="","⚠️ Enter Agent Code",IF(IFERROR(VLOOKUP(G168,DB_Agents!$B:$I,8,0),"")=H168,IF(AND(A168&lt;&gt;"",E168&lt;&gt;""),"Saved","Pending"),"🔒 BLOCKED — Wrong Code")))</f>
        <v>Pending</v>
      </c>
      <c r="J168" s="90" t="str">
        <f t="shared" ca="1" si="14"/>
        <v>—</v>
      </c>
      <c r="K168" s="91"/>
    </row>
    <row r="169" spans="1:11" ht="15" customHeight="1" x14ac:dyDescent="0.25">
      <c r="A169" s="76"/>
      <c r="B169" s="37" t="str">
        <f>IF(A169="","",IFERROR(VLOOKUP(A169,DB_Customers!$A:$D,4,0),"❌ Account Not Found"))</f>
        <v/>
      </c>
      <c r="C169" s="77" t="str">
        <f>IF(A169="","",IFERROR(IF(SUMIF(DB_Savings!$C:$C,A169,DB_Savings!$F:$F)=0,VLOOKUP(A169,DB_Customers!$A:$I,9,0),VLOOKUP(A169,DB_Customers!$A:$N,14,0)),"❌ Acct Not Found"))</f>
        <v/>
      </c>
      <c r="D169" s="78" t="str">
        <f t="shared" ref="D169:D200" ca="1" si="15">IF(A169="","",TODAY())</f>
        <v/>
      </c>
      <c r="E169" s="79"/>
      <c r="F169" s="80" t="str">
        <f t="shared" ref="F169:F200" si="16">IF(OR(A169="",E169=""),"",IF(C169="","",C169+E169))</f>
        <v/>
      </c>
      <c r="G169" s="39" t="s">
        <v>138</v>
      </c>
      <c r="H169" s="81"/>
      <c r="I169" s="82" t="str">
        <f>IF(A169="","Pending",IF(H169="","⚠️ Enter Agent Code",IF(IFERROR(VLOOKUP(G169,DB_Agents!$B:$I,8,0),"")=H169,IF(AND(A169&lt;&gt;"",E169&lt;&gt;""),"Saved","Pending"),"🔒 BLOCKED — Wrong Code")))</f>
        <v>Pending</v>
      </c>
      <c r="J169" s="83" t="str">
        <f t="shared" ref="J169:J200" ca="1" si="17">IF(I169="Saved",TEXT(TODAY(),"YYYY-MM-DD")&amp;" Auto","—")</f>
        <v>—</v>
      </c>
      <c r="K169" s="84"/>
    </row>
    <row r="170" spans="1:11" ht="15" customHeight="1" x14ac:dyDescent="0.25">
      <c r="A170" s="85"/>
      <c r="B170" s="41" t="str">
        <f>IF(A170="","",IFERROR(VLOOKUP(A170,DB_Customers!$A:$D,4,0),"❌ Account Not Found"))</f>
        <v/>
      </c>
      <c r="C170" s="86" t="str">
        <f>IF(A170="","",IFERROR(IF(SUMIF(DB_Savings!$C:$C,A170,DB_Savings!$F:$F)=0,VLOOKUP(A170,DB_Customers!$A:$I,9,0),VLOOKUP(A170,DB_Customers!$A:$N,14,0)),"❌ Acct Not Found"))</f>
        <v/>
      </c>
      <c r="D170" s="87" t="str">
        <f t="shared" ca="1" si="15"/>
        <v/>
      </c>
      <c r="E170" s="79"/>
      <c r="F170" s="88" t="str">
        <f t="shared" si="16"/>
        <v/>
      </c>
      <c r="G170" s="43" t="s">
        <v>138</v>
      </c>
      <c r="H170" s="81"/>
      <c r="I170" s="89" t="str">
        <f>IF(A170="","Pending",IF(H170="","⚠️ Enter Agent Code",IF(IFERROR(VLOOKUP(G170,DB_Agents!$B:$I,8,0),"")=H170,IF(AND(A170&lt;&gt;"",E170&lt;&gt;""),"Saved","Pending"),"🔒 BLOCKED — Wrong Code")))</f>
        <v>Pending</v>
      </c>
      <c r="J170" s="90" t="str">
        <f t="shared" ca="1" si="17"/>
        <v>—</v>
      </c>
      <c r="K170" s="91"/>
    </row>
    <row r="171" spans="1:11" ht="15" customHeight="1" x14ac:dyDescent="0.25">
      <c r="A171" s="76"/>
      <c r="B171" s="37" t="str">
        <f>IF(A171="","",IFERROR(VLOOKUP(A171,DB_Customers!$A:$D,4,0),"❌ Account Not Found"))</f>
        <v/>
      </c>
      <c r="C171" s="77" t="str">
        <f>IF(A171="","",IFERROR(IF(SUMIF(DB_Savings!$C:$C,A171,DB_Savings!$F:$F)=0,VLOOKUP(A171,DB_Customers!$A:$I,9,0),VLOOKUP(A171,DB_Customers!$A:$N,14,0)),"❌ Acct Not Found"))</f>
        <v/>
      </c>
      <c r="D171" s="78" t="str">
        <f t="shared" ca="1" si="15"/>
        <v/>
      </c>
      <c r="E171" s="79"/>
      <c r="F171" s="80" t="str">
        <f t="shared" si="16"/>
        <v/>
      </c>
      <c r="G171" s="39" t="s">
        <v>138</v>
      </c>
      <c r="H171" s="81"/>
      <c r="I171" s="82" t="str">
        <f>IF(A171="","Pending",IF(H171="","⚠️ Enter Agent Code",IF(IFERROR(VLOOKUP(G171,DB_Agents!$B:$I,8,0),"")=H171,IF(AND(A171&lt;&gt;"",E171&lt;&gt;""),"Saved","Pending"),"🔒 BLOCKED — Wrong Code")))</f>
        <v>Pending</v>
      </c>
      <c r="J171" s="83" t="str">
        <f t="shared" ca="1" si="17"/>
        <v>—</v>
      </c>
      <c r="K171" s="84"/>
    </row>
    <row r="172" spans="1:11" ht="15" customHeight="1" x14ac:dyDescent="0.25">
      <c r="A172" s="85"/>
      <c r="B172" s="41" t="str">
        <f>IF(A172="","",IFERROR(VLOOKUP(A172,DB_Customers!$A:$D,4,0),"❌ Account Not Found"))</f>
        <v/>
      </c>
      <c r="C172" s="86" t="str">
        <f>IF(A172="","",IFERROR(IF(SUMIF(DB_Savings!$C:$C,A172,DB_Savings!$F:$F)=0,VLOOKUP(A172,DB_Customers!$A:$I,9,0),VLOOKUP(A172,DB_Customers!$A:$N,14,0)),"❌ Acct Not Found"))</f>
        <v/>
      </c>
      <c r="D172" s="87" t="str">
        <f t="shared" ca="1" si="15"/>
        <v/>
      </c>
      <c r="E172" s="79"/>
      <c r="F172" s="88" t="str">
        <f t="shared" si="16"/>
        <v/>
      </c>
      <c r="G172" s="43" t="s">
        <v>138</v>
      </c>
      <c r="H172" s="81"/>
      <c r="I172" s="89" t="str">
        <f>IF(A172="","Pending",IF(H172="","⚠️ Enter Agent Code",IF(IFERROR(VLOOKUP(G172,DB_Agents!$B:$I,8,0),"")=H172,IF(AND(A172&lt;&gt;"",E172&lt;&gt;""),"Saved","Pending"),"🔒 BLOCKED — Wrong Code")))</f>
        <v>Pending</v>
      </c>
      <c r="J172" s="90" t="str">
        <f t="shared" ca="1" si="17"/>
        <v>—</v>
      </c>
      <c r="K172" s="91"/>
    </row>
    <row r="173" spans="1:11" ht="15" customHeight="1" x14ac:dyDescent="0.25">
      <c r="A173" s="76"/>
      <c r="B173" s="37" t="str">
        <f>IF(A173="","",IFERROR(VLOOKUP(A173,DB_Customers!$A:$D,4,0),"❌ Account Not Found"))</f>
        <v/>
      </c>
      <c r="C173" s="77" t="str">
        <f>IF(A173="","",IFERROR(IF(SUMIF(DB_Savings!$C:$C,A173,DB_Savings!$F:$F)=0,VLOOKUP(A173,DB_Customers!$A:$I,9,0),VLOOKUP(A173,DB_Customers!$A:$N,14,0)),"❌ Acct Not Found"))</f>
        <v/>
      </c>
      <c r="D173" s="78" t="str">
        <f t="shared" ca="1" si="15"/>
        <v/>
      </c>
      <c r="E173" s="79"/>
      <c r="F173" s="80" t="str">
        <f t="shared" si="16"/>
        <v/>
      </c>
      <c r="G173" s="39" t="s">
        <v>138</v>
      </c>
      <c r="H173" s="81"/>
      <c r="I173" s="82" t="str">
        <f>IF(A173="","Pending",IF(H173="","⚠️ Enter Agent Code",IF(IFERROR(VLOOKUP(G173,DB_Agents!$B:$I,8,0),"")=H173,IF(AND(A173&lt;&gt;"",E173&lt;&gt;""),"Saved","Pending"),"🔒 BLOCKED — Wrong Code")))</f>
        <v>Pending</v>
      </c>
      <c r="J173" s="83" t="str">
        <f t="shared" ca="1" si="17"/>
        <v>—</v>
      </c>
      <c r="K173" s="84"/>
    </row>
    <row r="174" spans="1:11" ht="15" customHeight="1" x14ac:dyDescent="0.25">
      <c r="A174" s="85"/>
      <c r="B174" s="41" t="str">
        <f>IF(A174="","",IFERROR(VLOOKUP(A174,DB_Customers!$A:$D,4,0),"❌ Account Not Found"))</f>
        <v/>
      </c>
      <c r="C174" s="86" t="str">
        <f>IF(A174="","",IFERROR(IF(SUMIF(DB_Savings!$C:$C,A174,DB_Savings!$F:$F)=0,VLOOKUP(A174,DB_Customers!$A:$I,9,0),VLOOKUP(A174,DB_Customers!$A:$N,14,0)),"❌ Acct Not Found"))</f>
        <v/>
      </c>
      <c r="D174" s="87" t="str">
        <f t="shared" ca="1" si="15"/>
        <v/>
      </c>
      <c r="E174" s="79"/>
      <c r="F174" s="88" t="str">
        <f t="shared" si="16"/>
        <v/>
      </c>
      <c r="G174" s="43" t="s">
        <v>138</v>
      </c>
      <c r="H174" s="81"/>
      <c r="I174" s="89" t="str">
        <f>IF(A174="","Pending",IF(H174="","⚠️ Enter Agent Code",IF(IFERROR(VLOOKUP(G174,DB_Agents!$B:$I,8,0),"")=H174,IF(AND(A174&lt;&gt;"",E174&lt;&gt;""),"Saved","Pending"),"🔒 BLOCKED — Wrong Code")))</f>
        <v>Pending</v>
      </c>
      <c r="J174" s="90" t="str">
        <f t="shared" ca="1" si="17"/>
        <v>—</v>
      </c>
      <c r="K174" s="91"/>
    </row>
    <row r="175" spans="1:11" ht="15" customHeight="1" x14ac:dyDescent="0.25">
      <c r="A175" s="76"/>
      <c r="B175" s="37" t="str">
        <f>IF(A175="","",IFERROR(VLOOKUP(A175,DB_Customers!$A:$D,4,0),"❌ Account Not Found"))</f>
        <v/>
      </c>
      <c r="C175" s="77" t="str">
        <f>IF(A175="","",IFERROR(IF(SUMIF(DB_Savings!$C:$C,A175,DB_Savings!$F:$F)=0,VLOOKUP(A175,DB_Customers!$A:$I,9,0),VLOOKUP(A175,DB_Customers!$A:$N,14,0)),"❌ Acct Not Found"))</f>
        <v/>
      </c>
      <c r="D175" s="78" t="str">
        <f t="shared" ca="1" si="15"/>
        <v/>
      </c>
      <c r="E175" s="79"/>
      <c r="F175" s="80" t="str">
        <f t="shared" si="16"/>
        <v/>
      </c>
      <c r="G175" s="39" t="s">
        <v>138</v>
      </c>
      <c r="H175" s="81"/>
      <c r="I175" s="82" t="str">
        <f>IF(A175="","Pending",IF(H175="","⚠️ Enter Agent Code",IF(IFERROR(VLOOKUP(G175,DB_Agents!$B:$I,8,0),"")=H175,IF(AND(A175&lt;&gt;"",E175&lt;&gt;""),"Saved","Pending"),"🔒 BLOCKED — Wrong Code")))</f>
        <v>Pending</v>
      </c>
      <c r="J175" s="83" t="str">
        <f t="shared" ca="1" si="17"/>
        <v>—</v>
      </c>
      <c r="K175" s="84"/>
    </row>
    <row r="176" spans="1:11" ht="15" customHeight="1" x14ac:dyDescent="0.25">
      <c r="A176" s="85"/>
      <c r="B176" s="41" t="str">
        <f>IF(A176="","",IFERROR(VLOOKUP(A176,DB_Customers!$A:$D,4,0),"❌ Account Not Found"))</f>
        <v/>
      </c>
      <c r="C176" s="86" t="str">
        <f>IF(A176="","",IFERROR(IF(SUMIF(DB_Savings!$C:$C,A176,DB_Savings!$F:$F)=0,VLOOKUP(A176,DB_Customers!$A:$I,9,0),VLOOKUP(A176,DB_Customers!$A:$N,14,0)),"❌ Acct Not Found"))</f>
        <v/>
      </c>
      <c r="D176" s="87" t="str">
        <f t="shared" ca="1" si="15"/>
        <v/>
      </c>
      <c r="E176" s="79"/>
      <c r="F176" s="88" t="str">
        <f t="shared" si="16"/>
        <v/>
      </c>
      <c r="G176" s="43" t="s">
        <v>138</v>
      </c>
      <c r="H176" s="81"/>
      <c r="I176" s="89" t="str">
        <f>IF(A176="","Pending",IF(H176="","⚠️ Enter Agent Code",IF(IFERROR(VLOOKUP(G176,DB_Agents!$B:$I,8,0),"")=H176,IF(AND(A176&lt;&gt;"",E176&lt;&gt;""),"Saved","Pending"),"🔒 BLOCKED — Wrong Code")))</f>
        <v>Pending</v>
      </c>
      <c r="J176" s="90" t="str">
        <f t="shared" ca="1" si="17"/>
        <v>—</v>
      </c>
      <c r="K176" s="91"/>
    </row>
    <row r="177" spans="1:11" ht="15" customHeight="1" x14ac:dyDescent="0.25">
      <c r="A177" s="76"/>
      <c r="B177" s="37" t="str">
        <f>IF(A177="","",IFERROR(VLOOKUP(A177,DB_Customers!$A:$D,4,0),"❌ Account Not Found"))</f>
        <v/>
      </c>
      <c r="C177" s="77" t="str">
        <f>IF(A177="","",IFERROR(IF(SUMIF(DB_Savings!$C:$C,A177,DB_Savings!$F:$F)=0,VLOOKUP(A177,DB_Customers!$A:$I,9,0),VLOOKUP(A177,DB_Customers!$A:$N,14,0)),"❌ Acct Not Found"))</f>
        <v/>
      </c>
      <c r="D177" s="78" t="str">
        <f t="shared" ca="1" si="15"/>
        <v/>
      </c>
      <c r="E177" s="79"/>
      <c r="F177" s="80" t="str">
        <f t="shared" si="16"/>
        <v/>
      </c>
      <c r="G177" s="39" t="s">
        <v>138</v>
      </c>
      <c r="H177" s="81"/>
      <c r="I177" s="82" t="str">
        <f>IF(A177="","Pending",IF(H177="","⚠️ Enter Agent Code",IF(IFERROR(VLOOKUP(G177,DB_Agents!$B:$I,8,0),"")=H177,IF(AND(A177&lt;&gt;"",E177&lt;&gt;""),"Saved","Pending"),"🔒 BLOCKED — Wrong Code")))</f>
        <v>Pending</v>
      </c>
      <c r="J177" s="83" t="str">
        <f t="shared" ca="1" si="17"/>
        <v>—</v>
      </c>
      <c r="K177" s="84"/>
    </row>
    <row r="178" spans="1:11" ht="15" customHeight="1" x14ac:dyDescent="0.25">
      <c r="A178" s="85"/>
      <c r="B178" s="41" t="str">
        <f>IF(A178="","",IFERROR(VLOOKUP(A178,DB_Customers!$A:$D,4,0),"❌ Account Not Found"))</f>
        <v/>
      </c>
      <c r="C178" s="86" t="str">
        <f>IF(A178="","",IFERROR(IF(SUMIF(DB_Savings!$C:$C,A178,DB_Savings!$F:$F)=0,VLOOKUP(A178,DB_Customers!$A:$I,9,0),VLOOKUP(A178,DB_Customers!$A:$N,14,0)),"❌ Acct Not Found"))</f>
        <v/>
      </c>
      <c r="D178" s="87" t="str">
        <f t="shared" ca="1" si="15"/>
        <v/>
      </c>
      <c r="E178" s="79"/>
      <c r="F178" s="88" t="str">
        <f t="shared" si="16"/>
        <v/>
      </c>
      <c r="G178" s="43" t="s">
        <v>138</v>
      </c>
      <c r="H178" s="81"/>
      <c r="I178" s="89" t="str">
        <f>IF(A178="","Pending",IF(H178="","⚠️ Enter Agent Code",IF(IFERROR(VLOOKUP(G178,DB_Agents!$B:$I,8,0),"")=H178,IF(AND(A178&lt;&gt;"",E178&lt;&gt;""),"Saved","Pending"),"🔒 BLOCKED — Wrong Code")))</f>
        <v>Pending</v>
      </c>
      <c r="J178" s="90" t="str">
        <f t="shared" ca="1" si="17"/>
        <v>—</v>
      </c>
      <c r="K178" s="91"/>
    </row>
    <row r="179" spans="1:11" ht="15" customHeight="1" x14ac:dyDescent="0.25">
      <c r="A179" s="76"/>
      <c r="B179" s="37" t="str">
        <f>IF(A179="","",IFERROR(VLOOKUP(A179,DB_Customers!$A:$D,4,0),"❌ Account Not Found"))</f>
        <v/>
      </c>
      <c r="C179" s="77" t="str">
        <f>IF(A179="","",IFERROR(IF(SUMIF(DB_Savings!$C:$C,A179,DB_Savings!$F:$F)=0,VLOOKUP(A179,DB_Customers!$A:$I,9,0),VLOOKUP(A179,DB_Customers!$A:$N,14,0)),"❌ Acct Not Found"))</f>
        <v/>
      </c>
      <c r="D179" s="78" t="str">
        <f t="shared" ca="1" si="15"/>
        <v/>
      </c>
      <c r="E179" s="79"/>
      <c r="F179" s="80" t="str">
        <f t="shared" si="16"/>
        <v/>
      </c>
      <c r="G179" s="39" t="s">
        <v>138</v>
      </c>
      <c r="H179" s="81"/>
      <c r="I179" s="82" t="str">
        <f>IF(A179="","Pending",IF(H179="","⚠️ Enter Agent Code",IF(IFERROR(VLOOKUP(G179,DB_Agents!$B:$I,8,0),"")=H179,IF(AND(A179&lt;&gt;"",E179&lt;&gt;""),"Saved","Pending"),"🔒 BLOCKED — Wrong Code")))</f>
        <v>Pending</v>
      </c>
      <c r="J179" s="83" t="str">
        <f t="shared" ca="1" si="17"/>
        <v>—</v>
      </c>
      <c r="K179" s="84"/>
    </row>
    <row r="180" spans="1:11" ht="15" customHeight="1" x14ac:dyDescent="0.25">
      <c r="A180" s="85"/>
      <c r="B180" s="41" t="str">
        <f>IF(A180="","",IFERROR(VLOOKUP(A180,DB_Customers!$A:$D,4,0),"❌ Account Not Found"))</f>
        <v/>
      </c>
      <c r="C180" s="86" t="str">
        <f>IF(A180="","",IFERROR(IF(SUMIF(DB_Savings!$C:$C,A180,DB_Savings!$F:$F)=0,VLOOKUP(A180,DB_Customers!$A:$I,9,0),VLOOKUP(A180,DB_Customers!$A:$N,14,0)),"❌ Acct Not Found"))</f>
        <v/>
      </c>
      <c r="D180" s="87" t="str">
        <f t="shared" ca="1" si="15"/>
        <v/>
      </c>
      <c r="E180" s="79"/>
      <c r="F180" s="88" t="str">
        <f t="shared" si="16"/>
        <v/>
      </c>
      <c r="G180" s="43" t="s">
        <v>138</v>
      </c>
      <c r="H180" s="81"/>
      <c r="I180" s="89" t="str">
        <f>IF(A180="","Pending",IF(H180="","⚠️ Enter Agent Code",IF(IFERROR(VLOOKUP(G180,DB_Agents!$B:$I,8,0),"")=H180,IF(AND(A180&lt;&gt;"",E180&lt;&gt;""),"Saved","Pending"),"🔒 BLOCKED — Wrong Code")))</f>
        <v>Pending</v>
      </c>
      <c r="J180" s="90" t="str">
        <f t="shared" ca="1" si="17"/>
        <v>—</v>
      </c>
      <c r="K180" s="91"/>
    </row>
    <row r="181" spans="1:11" ht="15" customHeight="1" x14ac:dyDescent="0.25">
      <c r="A181" s="76"/>
      <c r="B181" s="37" t="str">
        <f>IF(A181="","",IFERROR(VLOOKUP(A181,DB_Customers!$A:$D,4,0),"❌ Account Not Found"))</f>
        <v/>
      </c>
      <c r="C181" s="77" t="str">
        <f>IF(A181="","",IFERROR(IF(SUMIF(DB_Savings!$C:$C,A181,DB_Savings!$F:$F)=0,VLOOKUP(A181,DB_Customers!$A:$I,9,0),VLOOKUP(A181,DB_Customers!$A:$N,14,0)),"❌ Acct Not Found"))</f>
        <v/>
      </c>
      <c r="D181" s="78" t="str">
        <f t="shared" ca="1" si="15"/>
        <v/>
      </c>
      <c r="E181" s="79"/>
      <c r="F181" s="80" t="str">
        <f t="shared" si="16"/>
        <v/>
      </c>
      <c r="G181" s="39" t="s">
        <v>138</v>
      </c>
      <c r="H181" s="81"/>
      <c r="I181" s="82" t="str">
        <f>IF(A181="","Pending",IF(H181="","⚠️ Enter Agent Code",IF(IFERROR(VLOOKUP(G181,DB_Agents!$B:$I,8,0),"")=H181,IF(AND(A181&lt;&gt;"",E181&lt;&gt;""),"Saved","Pending"),"🔒 BLOCKED — Wrong Code")))</f>
        <v>Pending</v>
      </c>
      <c r="J181" s="83" t="str">
        <f t="shared" ca="1" si="17"/>
        <v>—</v>
      </c>
      <c r="K181" s="84"/>
    </row>
    <row r="182" spans="1:11" ht="15" customHeight="1" x14ac:dyDescent="0.25">
      <c r="A182" s="85"/>
      <c r="B182" s="41" t="str">
        <f>IF(A182="","",IFERROR(VLOOKUP(A182,DB_Customers!$A:$D,4,0),"❌ Account Not Found"))</f>
        <v/>
      </c>
      <c r="C182" s="86" t="str">
        <f>IF(A182="","",IFERROR(IF(SUMIF(DB_Savings!$C:$C,A182,DB_Savings!$F:$F)=0,VLOOKUP(A182,DB_Customers!$A:$I,9,0),VLOOKUP(A182,DB_Customers!$A:$N,14,0)),"❌ Acct Not Found"))</f>
        <v/>
      </c>
      <c r="D182" s="87" t="str">
        <f t="shared" ca="1" si="15"/>
        <v/>
      </c>
      <c r="E182" s="79"/>
      <c r="F182" s="88" t="str">
        <f t="shared" si="16"/>
        <v/>
      </c>
      <c r="G182" s="43" t="s">
        <v>138</v>
      </c>
      <c r="H182" s="81"/>
      <c r="I182" s="89" t="str">
        <f>IF(A182="","Pending",IF(H182="","⚠️ Enter Agent Code",IF(IFERROR(VLOOKUP(G182,DB_Agents!$B:$I,8,0),"")=H182,IF(AND(A182&lt;&gt;"",E182&lt;&gt;""),"Saved","Pending"),"🔒 BLOCKED — Wrong Code")))</f>
        <v>Pending</v>
      </c>
      <c r="J182" s="90" t="str">
        <f t="shared" ca="1" si="17"/>
        <v>—</v>
      </c>
      <c r="K182" s="91"/>
    </row>
    <row r="183" spans="1:11" ht="15" customHeight="1" x14ac:dyDescent="0.25">
      <c r="A183" s="76"/>
      <c r="B183" s="37" t="str">
        <f>IF(A183="","",IFERROR(VLOOKUP(A183,DB_Customers!$A:$D,4,0),"❌ Account Not Found"))</f>
        <v/>
      </c>
      <c r="C183" s="77" t="str">
        <f>IF(A183="","",IFERROR(IF(SUMIF(DB_Savings!$C:$C,A183,DB_Savings!$F:$F)=0,VLOOKUP(A183,DB_Customers!$A:$I,9,0),VLOOKUP(A183,DB_Customers!$A:$N,14,0)),"❌ Acct Not Found"))</f>
        <v/>
      </c>
      <c r="D183" s="78" t="str">
        <f t="shared" ca="1" si="15"/>
        <v/>
      </c>
      <c r="E183" s="79"/>
      <c r="F183" s="80" t="str">
        <f t="shared" si="16"/>
        <v/>
      </c>
      <c r="G183" s="39" t="s">
        <v>138</v>
      </c>
      <c r="H183" s="81"/>
      <c r="I183" s="82" t="str">
        <f>IF(A183="","Pending",IF(H183="","⚠️ Enter Agent Code",IF(IFERROR(VLOOKUP(G183,DB_Agents!$B:$I,8,0),"")=H183,IF(AND(A183&lt;&gt;"",E183&lt;&gt;""),"Saved","Pending"),"🔒 BLOCKED — Wrong Code")))</f>
        <v>Pending</v>
      </c>
      <c r="J183" s="83" t="str">
        <f t="shared" ca="1" si="17"/>
        <v>—</v>
      </c>
      <c r="K183" s="84"/>
    </row>
    <row r="184" spans="1:11" ht="15" customHeight="1" x14ac:dyDescent="0.25">
      <c r="A184" s="85"/>
      <c r="B184" s="41" t="str">
        <f>IF(A184="","",IFERROR(VLOOKUP(A184,DB_Customers!$A:$D,4,0),"❌ Account Not Found"))</f>
        <v/>
      </c>
      <c r="C184" s="86" t="str">
        <f>IF(A184="","",IFERROR(IF(SUMIF(DB_Savings!$C:$C,A184,DB_Savings!$F:$F)=0,VLOOKUP(A184,DB_Customers!$A:$I,9,0),VLOOKUP(A184,DB_Customers!$A:$N,14,0)),"❌ Acct Not Found"))</f>
        <v/>
      </c>
      <c r="D184" s="87" t="str">
        <f t="shared" ca="1" si="15"/>
        <v/>
      </c>
      <c r="E184" s="79"/>
      <c r="F184" s="88" t="str">
        <f t="shared" si="16"/>
        <v/>
      </c>
      <c r="G184" s="43" t="s">
        <v>138</v>
      </c>
      <c r="H184" s="81"/>
      <c r="I184" s="89" t="str">
        <f>IF(A184="","Pending",IF(H184="","⚠️ Enter Agent Code",IF(IFERROR(VLOOKUP(G184,DB_Agents!$B:$I,8,0),"")=H184,IF(AND(A184&lt;&gt;"",E184&lt;&gt;""),"Saved","Pending"),"🔒 BLOCKED — Wrong Code")))</f>
        <v>Pending</v>
      </c>
      <c r="J184" s="90" t="str">
        <f t="shared" ca="1" si="17"/>
        <v>—</v>
      </c>
      <c r="K184" s="91"/>
    </row>
    <row r="185" spans="1:11" ht="15" customHeight="1" x14ac:dyDescent="0.25">
      <c r="A185" s="76"/>
      <c r="B185" s="37" t="str">
        <f>IF(A185="","",IFERROR(VLOOKUP(A185,DB_Customers!$A:$D,4,0),"❌ Account Not Found"))</f>
        <v/>
      </c>
      <c r="C185" s="77" t="str">
        <f>IF(A185="","",IFERROR(IF(SUMIF(DB_Savings!$C:$C,A185,DB_Savings!$F:$F)=0,VLOOKUP(A185,DB_Customers!$A:$I,9,0),VLOOKUP(A185,DB_Customers!$A:$N,14,0)),"❌ Acct Not Found"))</f>
        <v/>
      </c>
      <c r="D185" s="78" t="str">
        <f t="shared" ca="1" si="15"/>
        <v/>
      </c>
      <c r="E185" s="79"/>
      <c r="F185" s="80" t="str">
        <f t="shared" si="16"/>
        <v/>
      </c>
      <c r="G185" s="39" t="s">
        <v>138</v>
      </c>
      <c r="H185" s="81"/>
      <c r="I185" s="82" t="str">
        <f>IF(A185="","Pending",IF(H185="","⚠️ Enter Agent Code",IF(IFERROR(VLOOKUP(G185,DB_Agents!$B:$I,8,0),"")=H185,IF(AND(A185&lt;&gt;"",E185&lt;&gt;""),"Saved","Pending"),"🔒 BLOCKED — Wrong Code")))</f>
        <v>Pending</v>
      </c>
      <c r="J185" s="83" t="str">
        <f t="shared" ca="1" si="17"/>
        <v>—</v>
      </c>
      <c r="K185" s="84"/>
    </row>
    <row r="186" spans="1:11" ht="15" customHeight="1" x14ac:dyDescent="0.25">
      <c r="A186" s="85"/>
      <c r="B186" s="41" t="str">
        <f>IF(A186="","",IFERROR(VLOOKUP(A186,DB_Customers!$A:$D,4,0),"❌ Account Not Found"))</f>
        <v/>
      </c>
      <c r="C186" s="86" t="str">
        <f>IF(A186="","",IFERROR(IF(SUMIF(DB_Savings!$C:$C,A186,DB_Savings!$F:$F)=0,VLOOKUP(A186,DB_Customers!$A:$I,9,0),VLOOKUP(A186,DB_Customers!$A:$N,14,0)),"❌ Acct Not Found"))</f>
        <v/>
      </c>
      <c r="D186" s="87" t="str">
        <f t="shared" ca="1" si="15"/>
        <v/>
      </c>
      <c r="E186" s="79"/>
      <c r="F186" s="88" t="str">
        <f t="shared" si="16"/>
        <v/>
      </c>
      <c r="G186" s="43" t="s">
        <v>138</v>
      </c>
      <c r="H186" s="81"/>
      <c r="I186" s="89" t="str">
        <f>IF(A186="","Pending",IF(H186="","⚠️ Enter Agent Code",IF(IFERROR(VLOOKUP(G186,DB_Agents!$B:$I,8,0),"")=H186,IF(AND(A186&lt;&gt;"",E186&lt;&gt;""),"Saved","Pending"),"🔒 BLOCKED — Wrong Code")))</f>
        <v>Pending</v>
      </c>
      <c r="J186" s="90" t="str">
        <f t="shared" ca="1" si="17"/>
        <v>—</v>
      </c>
      <c r="K186" s="91"/>
    </row>
    <row r="187" spans="1:11" ht="15" customHeight="1" x14ac:dyDescent="0.25">
      <c r="A187" s="76"/>
      <c r="B187" s="37" t="str">
        <f>IF(A187="","",IFERROR(VLOOKUP(A187,DB_Customers!$A:$D,4,0),"❌ Account Not Found"))</f>
        <v/>
      </c>
      <c r="C187" s="77" t="str">
        <f>IF(A187="","",IFERROR(IF(SUMIF(DB_Savings!$C:$C,A187,DB_Savings!$F:$F)=0,VLOOKUP(A187,DB_Customers!$A:$I,9,0),VLOOKUP(A187,DB_Customers!$A:$N,14,0)),"❌ Acct Not Found"))</f>
        <v/>
      </c>
      <c r="D187" s="78" t="str">
        <f t="shared" ca="1" si="15"/>
        <v/>
      </c>
      <c r="E187" s="79"/>
      <c r="F187" s="80" t="str">
        <f t="shared" si="16"/>
        <v/>
      </c>
      <c r="G187" s="39" t="s">
        <v>138</v>
      </c>
      <c r="H187" s="81"/>
      <c r="I187" s="82" t="str">
        <f>IF(A187="","Pending",IF(H187="","⚠️ Enter Agent Code",IF(IFERROR(VLOOKUP(G187,DB_Agents!$B:$I,8,0),"")=H187,IF(AND(A187&lt;&gt;"",E187&lt;&gt;""),"Saved","Pending"),"🔒 BLOCKED — Wrong Code")))</f>
        <v>Pending</v>
      </c>
      <c r="J187" s="83" t="str">
        <f t="shared" ca="1" si="17"/>
        <v>—</v>
      </c>
      <c r="K187" s="84"/>
    </row>
    <row r="188" spans="1:11" ht="15" customHeight="1" x14ac:dyDescent="0.25">
      <c r="A188" s="85"/>
      <c r="B188" s="41" t="str">
        <f>IF(A188="","",IFERROR(VLOOKUP(A188,DB_Customers!$A:$D,4,0),"❌ Account Not Found"))</f>
        <v/>
      </c>
      <c r="C188" s="86" t="str">
        <f>IF(A188="","",IFERROR(IF(SUMIF(DB_Savings!$C:$C,A188,DB_Savings!$F:$F)=0,VLOOKUP(A188,DB_Customers!$A:$I,9,0),VLOOKUP(A188,DB_Customers!$A:$N,14,0)),"❌ Acct Not Found"))</f>
        <v/>
      </c>
      <c r="D188" s="87" t="str">
        <f t="shared" ca="1" si="15"/>
        <v/>
      </c>
      <c r="E188" s="79"/>
      <c r="F188" s="88" t="str">
        <f t="shared" si="16"/>
        <v/>
      </c>
      <c r="G188" s="43" t="s">
        <v>138</v>
      </c>
      <c r="H188" s="81"/>
      <c r="I188" s="89" t="str">
        <f>IF(A188="","Pending",IF(H188="","⚠️ Enter Agent Code",IF(IFERROR(VLOOKUP(G188,DB_Agents!$B:$I,8,0),"")=H188,IF(AND(A188&lt;&gt;"",E188&lt;&gt;""),"Saved","Pending"),"🔒 BLOCKED — Wrong Code")))</f>
        <v>Pending</v>
      </c>
      <c r="J188" s="90" t="str">
        <f t="shared" ca="1" si="17"/>
        <v>—</v>
      </c>
      <c r="K188" s="91"/>
    </row>
    <row r="189" spans="1:11" ht="15" customHeight="1" x14ac:dyDescent="0.25">
      <c r="A189" s="76"/>
      <c r="B189" s="37" t="str">
        <f>IF(A189="","",IFERROR(VLOOKUP(A189,DB_Customers!$A:$D,4,0),"❌ Account Not Found"))</f>
        <v/>
      </c>
      <c r="C189" s="77" t="str">
        <f>IF(A189="","",IFERROR(IF(SUMIF(DB_Savings!$C:$C,A189,DB_Savings!$F:$F)=0,VLOOKUP(A189,DB_Customers!$A:$I,9,0),VLOOKUP(A189,DB_Customers!$A:$N,14,0)),"❌ Acct Not Found"))</f>
        <v/>
      </c>
      <c r="D189" s="78" t="str">
        <f t="shared" ca="1" si="15"/>
        <v/>
      </c>
      <c r="E189" s="79"/>
      <c r="F189" s="80" t="str">
        <f t="shared" si="16"/>
        <v/>
      </c>
      <c r="G189" s="39" t="s">
        <v>138</v>
      </c>
      <c r="H189" s="81"/>
      <c r="I189" s="82" t="str">
        <f>IF(A189="","Pending",IF(H189="","⚠️ Enter Agent Code",IF(IFERROR(VLOOKUP(G189,DB_Agents!$B:$I,8,0),"")=H189,IF(AND(A189&lt;&gt;"",E189&lt;&gt;""),"Saved","Pending"),"🔒 BLOCKED — Wrong Code")))</f>
        <v>Pending</v>
      </c>
      <c r="J189" s="83" t="str">
        <f t="shared" ca="1" si="17"/>
        <v>—</v>
      </c>
      <c r="K189" s="84"/>
    </row>
    <row r="190" spans="1:11" ht="15" customHeight="1" x14ac:dyDescent="0.25">
      <c r="A190" s="85"/>
      <c r="B190" s="41" t="str">
        <f>IF(A190="","",IFERROR(VLOOKUP(A190,DB_Customers!$A:$D,4,0),"❌ Account Not Found"))</f>
        <v/>
      </c>
      <c r="C190" s="86" t="str">
        <f>IF(A190="","",IFERROR(IF(SUMIF(DB_Savings!$C:$C,A190,DB_Savings!$F:$F)=0,VLOOKUP(A190,DB_Customers!$A:$I,9,0),VLOOKUP(A190,DB_Customers!$A:$N,14,0)),"❌ Acct Not Found"))</f>
        <v/>
      </c>
      <c r="D190" s="87" t="str">
        <f t="shared" ca="1" si="15"/>
        <v/>
      </c>
      <c r="E190" s="79"/>
      <c r="F190" s="88" t="str">
        <f t="shared" si="16"/>
        <v/>
      </c>
      <c r="G190" s="43" t="s">
        <v>138</v>
      </c>
      <c r="H190" s="81"/>
      <c r="I190" s="89" t="str">
        <f>IF(A190="","Pending",IF(H190="","⚠️ Enter Agent Code",IF(IFERROR(VLOOKUP(G190,DB_Agents!$B:$I,8,0),"")=H190,IF(AND(A190&lt;&gt;"",E190&lt;&gt;""),"Saved","Pending"),"🔒 BLOCKED — Wrong Code")))</f>
        <v>Pending</v>
      </c>
      <c r="J190" s="90" t="str">
        <f t="shared" ca="1" si="17"/>
        <v>—</v>
      </c>
      <c r="K190" s="91"/>
    </row>
    <row r="191" spans="1:11" ht="15" customHeight="1" x14ac:dyDescent="0.25">
      <c r="A191" s="76"/>
      <c r="B191" s="37" t="str">
        <f>IF(A191="","",IFERROR(VLOOKUP(A191,DB_Customers!$A:$D,4,0),"❌ Account Not Found"))</f>
        <v/>
      </c>
      <c r="C191" s="77" t="str">
        <f>IF(A191="","",IFERROR(IF(SUMIF(DB_Savings!$C:$C,A191,DB_Savings!$F:$F)=0,VLOOKUP(A191,DB_Customers!$A:$I,9,0),VLOOKUP(A191,DB_Customers!$A:$N,14,0)),"❌ Acct Not Found"))</f>
        <v/>
      </c>
      <c r="D191" s="78" t="str">
        <f t="shared" ca="1" si="15"/>
        <v/>
      </c>
      <c r="E191" s="79"/>
      <c r="F191" s="80" t="str">
        <f t="shared" si="16"/>
        <v/>
      </c>
      <c r="G191" s="39" t="s">
        <v>138</v>
      </c>
      <c r="H191" s="81"/>
      <c r="I191" s="82" t="str">
        <f>IF(A191="","Pending",IF(H191="","⚠️ Enter Agent Code",IF(IFERROR(VLOOKUP(G191,DB_Agents!$B:$I,8,0),"")=H191,IF(AND(A191&lt;&gt;"",E191&lt;&gt;""),"Saved","Pending"),"🔒 BLOCKED — Wrong Code")))</f>
        <v>Pending</v>
      </c>
      <c r="J191" s="83" t="str">
        <f t="shared" ca="1" si="17"/>
        <v>—</v>
      </c>
      <c r="K191" s="84"/>
    </row>
    <row r="192" spans="1:11" ht="15" customHeight="1" x14ac:dyDescent="0.25">
      <c r="A192" s="85"/>
      <c r="B192" s="41" t="str">
        <f>IF(A192="","",IFERROR(VLOOKUP(A192,DB_Customers!$A:$D,4,0),"❌ Account Not Found"))</f>
        <v/>
      </c>
      <c r="C192" s="86" t="str">
        <f>IF(A192="","",IFERROR(IF(SUMIF(DB_Savings!$C:$C,A192,DB_Savings!$F:$F)=0,VLOOKUP(A192,DB_Customers!$A:$I,9,0),VLOOKUP(A192,DB_Customers!$A:$N,14,0)),"❌ Acct Not Found"))</f>
        <v/>
      </c>
      <c r="D192" s="87" t="str">
        <f t="shared" ca="1" si="15"/>
        <v/>
      </c>
      <c r="E192" s="79"/>
      <c r="F192" s="88" t="str">
        <f t="shared" si="16"/>
        <v/>
      </c>
      <c r="G192" s="43" t="s">
        <v>138</v>
      </c>
      <c r="H192" s="81"/>
      <c r="I192" s="89" t="str">
        <f>IF(A192="","Pending",IF(H192="","⚠️ Enter Agent Code",IF(IFERROR(VLOOKUP(G192,DB_Agents!$B:$I,8,0),"")=H192,IF(AND(A192&lt;&gt;"",E192&lt;&gt;""),"Saved","Pending"),"🔒 BLOCKED — Wrong Code")))</f>
        <v>Pending</v>
      </c>
      <c r="J192" s="90" t="str">
        <f t="shared" ca="1" si="17"/>
        <v>—</v>
      </c>
      <c r="K192" s="91"/>
    </row>
    <row r="193" spans="1:11" ht="15" customHeight="1" x14ac:dyDescent="0.25">
      <c r="A193" s="76"/>
      <c r="B193" s="37" t="str">
        <f>IF(A193="","",IFERROR(VLOOKUP(A193,DB_Customers!$A:$D,4,0),"❌ Account Not Found"))</f>
        <v/>
      </c>
      <c r="C193" s="77" t="str">
        <f>IF(A193="","",IFERROR(IF(SUMIF(DB_Savings!$C:$C,A193,DB_Savings!$F:$F)=0,VLOOKUP(A193,DB_Customers!$A:$I,9,0),VLOOKUP(A193,DB_Customers!$A:$N,14,0)),"❌ Acct Not Found"))</f>
        <v/>
      </c>
      <c r="D193" s="78" t="str">
        <f t="shared" ca="1" si="15"/>
        <v/>
      </c>
      <c r="E193" s="79"/>
      <c r="F193" s="80" t="str">
        <f t="shared" si="16"/>
        <v/>
      </c>
      <c r="G193" s="39" t="s">
        <v>138</v>
      </c>
      <c r="H193" s="81"/>
      <c r="I193" s="82" t="str">
        <f>IF(A193="","Pending",IF(H193="","⚠️ Enter Agent Code",IF(IFERROR(VLOOKUP(G193,DB_Agents!$B:$I,8,0),"")=H193,IF(AND(A193&lt;&gt;"",E193&lt;&gt;""),"Saved","Pending"),"🔒 BLOCKED — Wrong Code")))</f>
        <v>Pending</v>
      </c>
      <c r="J193" s="83" t="str">
        <f t="shared" ca="1" si="17"/>
        <v>—</v>
      </c>
      <c r="K193" s="84"/>
    </row>
    <row r="194" spans="1:11" ht="15" customHeight="1" x14ac:dyDescent="0.25">
      <c r="A194" s="85"/>
      <c r="B194" s="41" t="str">
        <f>IF(A194="","",IFERROR(VLOOKUP(A194,DB_Customers!$A:$D,4,0),"❌ Account Not Found"))</f>
        <v/>
      </c>
      <c r="C194" s="86" t="str">
        <f>IF(A194="","",IFERROR(IF(SUMIF(DB_Savings!$C:$C,A194,DB_Savings!$F:$F)=0,VLOOKUP(A194,DB_Customers!$A:$I,9,0),VLOOKUP(A194,DB_Customers!$A:$N,14,0)),"❌ Acct Not Found"))</f>
        <v/>
      </c>
      <c r="D194" s="87" t="str">
        <f t="shared" ca="1" si="15"/>
        <v/>
      </c>
      <c r="E194" s="79"/>
      <c r="F194" s="88" t="str">
        <f t="shared" si="16"/>
        <v/>
      </c>
      <c r="G194" s="43" t="s">
        <v>138</v>
      </c>
      <c r="H194" s="81"/>
      <c r="I194" s="89" t="str">
        <f>IF(A194="","Pending",IF(H194="","⚠️ Enter Agent Code",IF(IFERROR(VLOOKUP(G194,DB_Agents!$B:$I,8,0),"")=H194,IF(AND(A194&lt;&gt;"",E194&lt;&gt;""),"Saved","Pending"),"🔒 BLOCKED — Wrong Code")))</f>
        <v>Pending</v>
      </c>
      <c r="J194" s="90" t="str">
        <f t="shared" ca="1" si="17"/>
        <v>—</v>
      </c>
      <c r="K194" s="91"/>
    </row>
    <row r="195" spans="1:11" ht="15" customHeight="1" x14ac:dyDescent="0.25">
      <c r="A195" s="76"/>
      <c r="B195" s="37" t="str">
        <f>IF(A195="","",IFERROR(VLOOKUP(A195,DB_Customers!$A:$D,4,0),"❌ Account Not Found"))</f>
        <v/>
      </c>
      <c r="C195" s="77" t="str">
        <f>IF(A195="","",IFERROR(IF(SUMIF(DB_Savings!$C:$C,A195,DB_Savings!$F:$F)=0,VLOOKUP(A195,DB_Customers!$A:$I,9,0),VLOOKUP(A195,DB_Customers!$A:$N,14,0)),"❌ Acct Not Found"))</f>
        <v/>
      </c>
      <c r="D195" s="78" t="str">
        <f t="shared" ca="1" si="15"/>
        <v/>
      </c>
      <c r="E195" s="79"/>
      <c r="F195" s="80" t="str">
        <f t="shared" si="16"/>
        <v/>
      </c>
      <c r="G195" s="39" t="s">
        <v>138</v>
      </c>
      <c r="H195" s="81"/>
      <c r="I195" s="82" t="str">
        <f>IF(A195="","Pending",IF(H195="","⚠️ Enter Agent Code",IF(IFERROR(VLOOKUP(G195,DB_Agents!$B:$I,8,0),"")=H195,IF(AND(A195&lt;&gt;"",E195&lt;&gt;""),"Saved","Pending"),"🔒 BLOCKED — Wrong Code")))</f>
        <v>Pending</v>
      </c>
      <c r="J195" s="83" t="str">
        <f t="shared" ca="1" si="17"/>
        <v>—</v>
      </c>
      <c r="K195" s="84"/>
    </row>
    <row r="196" spans="1:11" ht="15" customHeight="1" x14ac:dyDescent="0.25">
      <c r="A196" s="85"/>
      <c r="B196" s="41" t="str">
        <f>IF(A196="","",IFERROR(VLOOKUP(A196,DB_Customers!$A:$D,4,0),"❌ Account Not Found"))</f>
        <v/>
      </c>
      <c r="C196" s="86" t="str">
        <f>IF(A196="","",IFERROR(IF(SUMIF(DB_Savings!$C:$C,A196,DB_Savings!$F:$F)=0,VLOOKUP(A196,DB_Customers!$A:$I,9,0),VLOOKUP(A196,DB_Customers!$A:$N,14,0)),"❌ Acct Not Found"))</f>
        <v/>
      </c>
      <c r="D196" s="87" t="str">
        <f t="shared" ca="1" si="15"/>
        <v/>
      </c>
      <c r="E196" s="79"/>
      <c r="F196" s="88" t="str">
        <f t="shared" si="16"/>
        <v/>
      </c>
      <c r="G196" s="43" t="s">
        <v>138</v>
      </c>
      <c r="H196" s="81"/>
      <c r="I196" s="89" t="str">
        <f>IF(A196="","Pending",IF(H196="","⚠️ Enter Agent Code",IF(IFERROR(VLOOKUP(G196,DB_Agents!$B:$I,8,0),"")=H196,IF(AND(A196&lt;&gt;"",E196&lt;&gt;""),"Saved","Pending"),"🔒 BLOCKED — Wrong Code")))</f>
        <v>Pending</v>
      </c>
      <c r="J196" s="90" t="str">
        <f t="shared" ca="1" si="17"/>
        <v>—</v>
      </c>
      <c r="K196" s="91"/>
    </row>
    <row r="197" spans="1:11" ht="15" customHeight="1" x14ac:dyDescent="0.25">
      <c r="A197" s="76"/>
      <c r="B197" s="37" t="str">
        <f>IF(A197="","",IFERROR(VLOOKUP(A197,DB_Customers!$A:$D,4,0),"❌ Account Not Found"))</f>
        <v/>
      </c>
      <c r="C197" s="77" t="str">
        <f>IF(A197="","",IFERROR(IF(SUMIF(DB_Savings!$C:$C,A197,DB_Savings!$F:$F)=0,VLOOKUP(A197,DB_Customers!$A:$I,9,0),VLOOKUP(A197,DB_Customers!$A:$N,14,0)),"❌ Acct Not Found"))</f>
        <v/>
      </c>
      <c r="D197" s="78" t="str">
        <f t="shared" ca="1" si="15"/>
        <v/>
      </c>
      <c r="E197" s="79"/>
      <c r="F197" s="80" t="str">
        <f t="shared" si="16"/>
        <v/>
      </c>
      <c r="G197" s="39" t="s">
        <v>138</v>
      </c>
      <c r="H197" s="81"/>
      <c r="I197" s="82" t="str">
        <f>IF(A197="","Pending",IF(H197="","⚠️ Enter Agent Code",IF(IFERROR(VLOOKUP(G197,DB_Agents!$B:$I,8,0),"")=H197,IF(AND(A197&lt;&gt;"",E197&lt;&gt;""),"Saved","Pending"),"🔒 BLOCKED — Wrong Code")))</f>
        <v>Pending</v>
      </c>
      <c r="J197" s="83" t="str">
        <f t="shared" ca="1" si="17"/>
        <v>—</v>
      </c>
      <c r="K197" s="84"/>
    </row>
    <row r="198" spans="1:11" ht="15" customHeight="1" x14ac:dyDescent="0.25">
      <c r="A198" s="85"/>
      <c r="B198" s="41" t="str">
        <f>IF(A198="","",IFERROR(VLOOKUP(A198,DB_Customers!$A:$D,4,0),"❌ Account Not Found"))</f>
        <v/>
      </c>
      <c r="C198" s="86" t="str">
        <f>IF(A198="","",IFERROR(IF(SUMIF(DB_Savings!$C:$C,A198,DB_Savings!$F:$F)=0,VLOOKUP(A198,DB_Customers!$A:$I,9,0),VLOOKUP(A198,DB_Customers!$A:$N,14,0)),"❌ Acct Not Found"))</f>
        <v/>
      </c>
      <c r="D198" s="87" t="str">
        <f t="shared" ca="1" si="15"/>
        <v/>
      </c>
      <c r="E198" s="79"/>
      <c r="F198" s="88" t="str">
        <f t="shared" si="16"/>
        <v/>
      </c>
      <c r="G198" s="43" t="s">
        <v>138</v>
      </c>
      <c r="H198" s="81"/>
      <c r="I198" s="89" t="str">
        <f>IF(A198="","Pending",IF(H198="","⚠️ Enter Agent Code",IF(IFERROR(VLOOKUP(G198,DB_Agents!$B:$I,8,0),"")=H198,IF(AND(A198&lt;&gt;"",E198&lt;&gt;""),"Saved","Pending"),"🔒 BLOCKED — Wrong Code")))</f>
        <v>Pending</v>
      </c>
      <c r="J198" s="90" t="str">
        <f t="shared" ca="1" si="17"/>
        <v>—</v>
      </c>
      <c r="K198" s="91"/>
    </row>
    <row r="199" spans="1:11" ht="15" customHeight="1" x14ac:dyDescent="0.25">
      <c r="A199" s="76"/>
      <c r="B199" s="37" t="str">
        <f>IF(A199="","",IFERROR(VLOOKUP(A199,DB_Customers!$A:$D,4,0),"❌ Account Not Found"))</f>
        <v/>
      </c>
      <c r="C199" s="77" t="str">
        <f>IF(A199="","",IFERROR(IF(SUMIF(DB_Savings!$C:$C,A199,DB_Savings!$F:$F)=0,VLOOKUP(A199,DB_Customers!$A:$I,9,0),VLOOKUP(A199,DB_Customers!$A:$N,14,0)),"❌ Acct Not Found"))</f>
        <v/>
      </c>
      <c r="D199" s="78" t="str">
        <f t="shared" ca="1" si="15"/>
        <v/>
      </c>
      <c r="E199" s="79"/>
      <c r="F199" s="80" t="str">
        <f t="shared" si="16"/>
        <v/>
      </c>
      <c r="G199" s="39" t="s">
        <v>138</v>
      </c>
      <c r="H199" s="81"/>
      <c r="I199" s="82" t="str">
        <f>IF(A199="","Pending",IF(H199="","⚠️ Enter Agent Code",IF(IFERROR(VLOOKUP(G199,DB_Agents!$B:$I,8,0),"")=H199,IF(AND(A199&lt;&gt;"",E199&lt;&gt;""),"Saved","Pending"),"🔒 BLOCKED — Wrong Code")))</f>
        <v>Pending</v>
      </c>
      <c r="J199" s="83" t="str">
        <f t="shared" ca="1" si="17"/>
        <v>—</v>
      </c>
      <c r="K199" s="84"/>
    </row>
    <row r="200" spans="1:11" ht="15" customHeight="1" x14ac:dyDescent="0.25">
      <c r="A200" s="85"/>
      <c r="B200" s="41" t="str">
        <f>IF(A200="","",IFERROR(VLOOKUP(A200,DB_Customers!$A:$D,4,0),"❌ Account Not Found"))</f>
        <v/>
      </c>
      <c r="C200" s="86" t="str">
        <f>IF(A200="","",IFERROR(IF(SUMIF(DB_Savings!$C:$C,A200,DB_Savings!$F:$F)=0,VLOOKUP(A200,DB_Customers!$A:$I,9,0),VLOOKUP(A200,DB_Customers!$A:$N,14,0)),"❌ Acct Not Found"))</f>
        <v/>
      </c>
      <c r="D200" s="87" t="str">
        <f t="shared" ca="1" si="15"/>
        <v/>
      </c>
      <c r="E200" s="79"/>
      <c r="F200" s="88" t="str">
        <f t="shared" si="16"/>
        <v/>
      </c>
      <c r="G200" s="43" t="s">
        <v>138</v>
      </c>
      <c r="H200" s="81"/>
      <c r="I200" s="89" t="str">
        <f>IF(A200="","Pending",IF(H200="","⚠️ Enter Agent Code",IF(IFERROR(VLOOKUP(G200,DB_Agents!$B:$I,8,0),"")=H200,IF(AND(A200&lt;&gt;"",E200&lt;&gt;""),"Saved","Pending"),"🔒 BLOCKED — Wrong Code")))</f>
        <v>Pending</v>
      </c>
      <c r="J200" s="90" t="str">
        <f t="shared" ca="1" si="17"/>
        <v>—</v>
      </c>
      <c r="K200" s="91"/>
    </row>
    <row r="201" spans="1:11" ht="15" customHeight="1" x14ac:dyDescent="0.25">
      <c r="A201" s="76"/>
      <c r="B201" s="37" t="str">
        <f>IF(A201="","",IFERROR(VLOOKUP(A201,DB_Customers!$A:$D,4,0),"❌ Account Not Found"))</f>
        <v/>
      </c>
      <c r="C201" s="77" t="str">
        <f>IF(A201="","",IFERROR(IF(SUMIF(DB_Savings!$C:$C,A201,DB_Savings!$F:$F)=0,VLOOKUP(A201,DB_Customers!$A:$I,9,0),VLOOKUP(A201,DB_Customers!$A:$N,14,0)),"❌ Acct Not Found"))</f>
        <v/>
      </c>
      <c r="D201" s="78" t="str">
        <f t="shared" ref="D201:D208" ca="1" si="18">IF(A201="","",TODAY())</f>
        <v/>
      </c>
      <c r="E201" s="79"/>
      <c r="F201" s="80" t="str">
        <f t="shared" ref="F201:F208" si="19">IF(OR(A201="",E201=""),"",IF(C201="","",C201+E201))</f>
        <v/>
      </c>
      <c r="G201" s="39" t="s">
        <v>138</v>
      </c>
      <c r="H201" s="81"/>
      <c r="I201" s="82" t="str">
        <f>IF(A201="","Pending",IF(H201="","⚠️ Enter Agent Code",IF(IFERROR(VLOOKUP(G201,DB_Agents!$B:$I,8,0),"")=H201,IF(AND(A201&lt;&gt;"",E201&lt;&gt;""),"Saved","Pending"),"🔒 BLOCKED — Wrong Code")))</f>
        <v>Pending</v>
      </c>
      <c r="J201" s="83" t="str">
        <f t="shared" ref="J201:J208" ca="1" si="20">IF(I201="Saved",TEXT(TODAY(),"YYYY-MM-DD")&amp;" Auto","—")</f>
        <v>—</v>
      </c>
      <c r="K201" s="84"/>
    </row>
    <row r="202" spans="1:11" ht="15" customHeight="1" x14ac:dyDescent="0.25">
      <c r="A202" s="85"/>
      <c r="B202" s="41" t="str">
        <f>IF(A202="","",IFERROR(VLOOKUP(A202,DB_Customers!$A:$D,4,0),"❌ Account Not Found"))</f>
        <v/>
      </c>
      <c r="C202" s="86" t="str">
        <f>IF(A202="","",IFERROR(IF(SUMIF(DB_Savings!$C:$C,A202,DB_Savings!$F:$F)=0,VLOOKUP(A202,DB_Customers!$A:$I,9,0),VLOOKUP(A202,DB_Customers!$A:$N,14,0)),"❌ Acct Not Found"))</f>
        <v/>
      </c>
      <c r="D202" s="87" t="str">
        <f t="shared" ca="1" si="18"/>
        <v/>
      </c>
      <c r="E202" s="79"/>
      <c r="F202" s="88" t="str">
        <f t="shared" si="19"/>
        <v/>
      </c>
      <c r="G202" s="43" t="s">
        <v>138</v>
      </c>
      <c r="H202" s="81"/>
      <c r="I202" s="89" t="str">
        <f>IF(A202="","Pending",IF(H202="","⚠️ Enter Agent Code",IF(IFERROR(VLOOKUP(G202,DB_Agents!$B:$I,8,0),"")=H202,IF(AND(A202&lt;&gt;"",E202&lt;&gt;""),"Saved","Pending"),"🔒 BLOCKED — Wrong Code")))</f>
        <v>Pending</v>
      </c>
      <c r="J202" s="90" t="str">
        <f t="shared" ca="1" si="20"/>
        <v>—</v>
      </c>
      <c r="K202" s="91"/>
    </row>
    <row r="203" spans="1:11" ht="15" customHeight="1" x14ac:dyDescent="0.25">
      <c r="A203" s="76"/>
      <c r="B203" s="37" t="str">
        <f>IF(A203="","",IFERROR(VLOOKUP(A203,DB_Customers!$A:$D,4,0),"❌ Account Not Found"))</f>
        <v/>
      </c>
      <c r="C203" s="77" t="str">
        <f>IF(A203="","",IFERROR(IF(SUMIF(DB_Savings!$C:$C,A203,DB_Savings!$F:$F)=0,VLOOKUP(A203,DB_Customers!$A:$I,9,0),VLOOKUP(A203,DB_Customers!$A:$N,14,0)),"❌ Acct Not Found"))</f>
        <v/>
      </c>
      <c r="D203" s="78" t="str">
        <f t="shared" ca="1" si="18"/>
        <v/>
      </c>
      <c r="E203" s="79"/>
      <c r="F203" s="80" t="str">
        <f t="shared" si="19"/>
        <v/>
      </c>
      <c r="G203" s="39" t="s">
        <v>138</v>
      </c>
      <c r="H203" s="81"/>
      <c r="I203" s="82" t="str">
        <f>IF(A203="","Pending",IF(H203="","⚠️ Enter Agent Code",IF(IFERROR(VLOOKUP(G203,DB_Agents!$B:$I,8,0),"")=H203,IF(AND(A203&lt;&gt;"",E203&lt;&gt;""),"Saved","Pending"),"🔒 BLOCKED — Wrong Code")))</f>
        <v>Pending</v>
      </c>
      <c r="J203" s="83" t="str">
        <f t="shared" ca="1" si="20"/>
        <v>—</v>
      </c>
      <c r="K203" s="84"/>
    </row>
    <row r="204" spans="1:11" ht="15" customHeight="1" x14ac:dyDescent="0.25">
      <c r="A204" s="85"/>
      <c r="B204" s="41" t="str">
        <f>IF(A204="","",IFERROR(VLOOKUP(A204,DB_Customers!$A:$D,4,0),"❌ Account Not Found"))</f>
        <v/>
      </c>
      <c r="C204" s="86" t="str">
        <f>IF(A204="","",IFERROR(IF(SUMIF(DB_Savings!$C:$C,A204,DB_Savings!$F:$F)=0,VLOOKUP(A204,DB_Customers!$A:$I,9,0),VLOOKUP(A204,DB_Customers!$A:$N,14,0)),"❌ Acct Not Found"))</f>
        <v/>
      </c>
      <c r="D204" s="87" t="str">
        <f t="shared" ca="1" si="18"/>
        <v/>
      </c>
      <c r="E204" s="79"/>
      <c r="F204" s="88" t="str">
        <f t="shared" si="19"/>
        <v/>
      </c>
      <c r="G204" s="43" t="s">
        <v>138</v>
      </c>
      <c r="H204" s="81"/>
      <c r="I204" s="89" t="str">
        <f>IF(A204="","Pending",IF(H204="","⚠️ Enter Agent Code",IF(IFERROR(VLOOKUP(G204,DB_Agents!$B:$I,8,0),"")=H204,IF(AND(A204&lt;&gt;"",E204&lt;&gt;""),"Saved","Pending"),"🔒 BLOCKED — Wrong Code")))</f>
        <v>Pending</v>
      </c>
      <c r="J204" s="90" t="str">
        <f t="shared" ca="1" si="20"/>
        <v>—</v>
      </c>
      <c r="K204" s="91"/>
    </row>
    <row r="205" spans="1:11" ht="15" customHeight="1" x14ac:dyDescent="0.25">
      <c r="A205" s="76"/>
      <c r="B205" s="37" t="str">
        <f>IF(A205="","",IFERROR(VLOOKUP(A205,DB_Customers!$A:$D,4,0),"❌ Account Not Found"))</f>
        <v/>
      </c>
      <c r="C205" s="77" t="str">
        <f>IF(A205="","",IFERROR(IF(SUMIF(DB_Savings!$C:$C,A205,DB_Savings!$F:$F)=0,VLOOKUP(A205,DB_Customers!$A:$I,9,0),VLOOKUP(A205,DB_Customers!$A:$N,14,0)),"❌ Acct Not Found"))</f>
        <v/>
      </c>
      <c r="D205" s="78" t="str">
        <f t="shared" ca="1" si="18"/>
        <v/>
      </c>
      <c r="E205" s="79"/>
      <c r="F205" s="80" t="str">
        <f t="shared" si="19"/>
        <v/>
      </c>
      <c r="G205" s="39" t="s">
        <v>138</v>
      </c>
      <c r="H205" s="81"/>
      <c r="I205" s="82" t="str">
        <f>IF(A205="","Pending",IF(H205="","⚠️ Enter Agent Code",IF(IFERROR(VLOOKUP(G205,DB_Agents!$B:$I,8,0),"")=H205,IF(AND(A205&lt;&gt;"",E205&lt;&gt;""),"Saved","Pending"),"🔒 BLOCKED — Wrong Code")))</f>
        <v>Pending</v>
      </c>
      <c r="J205" s="83" t="str">
        <f t="shared" ca="1" si="20"/>
        <v>—</v>
      </c>
      <c r="K205" s="84"/>
    </row>
    <row r="206" spans="1:11" ht="15" customHeight="1" x14ac:dyDescent="0.25">
      <c r="A206" s="85"/>
      <c r="B206" s="41" t="str">
        <f>IF(A206="","",IFERROR(VLOOKUP(A206,DB_Customers!$A:$D,4,0),"❌ Account Not Found"))</f>
        <v/>
      </c>
      <c r="C206" s="86" t="str">
        <f>IF(A206="","",IFERROR(IF(SUMIF(DB_Savings!$C:$C,A206,DB_Savings!$F:$F)=0,VLOOKUP(A206,DB_Customers!$A:$I,9,0),VLOOKUP(A206,DB_Customers!$A:$N,14,0)),"❌ Acct Not Found"))</f>
        <v/>
      </c>
      <c r="D206" s="87" t="str">
        <f t="shared" ca="1" si="18"/>
        <v/>
      </c>
      <c r="E206" s="79"/>
      <c r="F206" s="88" t="str">
        <f t="shared" si="19"/>
        <v/>
      </c>
      <c r="G206" s="43" t="s">
        <v>138</v>
      </c>
      <c r="H206" s="81"/>
      <c r="I206" s="89" t="str">
        <f>IF(A206="","Pending",IF(H206="","⚠️ Enter Agent Code",IF(IFERROR(VLOOKUP(G206,DB_Agents!$B:$I,8,0),"")=H206,IF(AND(A206&lt;&gt;"",E206&lt;&gt;""),"Saved","Pending"),"🔒 BLOCKED — Wrong Code")))</f>
        <v>Pending</v>
      </c>
      <c r="J206" s="90" t="str">
        <f t="shared" ca="1" si="20"/>
        <v>—</v>
      </c>
      <c r="K206" s="91"/>
    </row>
    <row r="207" spans="1:11" ht="15" customHeight="1" x14ac:dyDescent="0.25">
      <c r="A207" s="76"/>
      <c r="B207" s="37" t="str">
        <f>IF(A207="","",IFERROR(VLOOKUP(A207,DB_Customers!$A:$D,4,0),"❌ Account Not Found"))</f>
        <v/>
      </c>
      <c r="C207" s="77" t="str">
        <f>IF(A207="","",IFERROR(IF(SUMIF(DB_Savings!$C:$C,A207,DB_Savings!$F:$F)=0,VLOOKUP(A207,DB_Customers!$A:$I,9,0),VLOOKUP(A207,DB_Customers!$A:$N,14,0)),"❌ Acct Not Found"))</f>
        <v/>
      </c>
      <c r="D207" s="78" t="str">
        <f t="shared" ca="1" si="18"/>
        <v/>
      </c>
      <c r="E207" s="79"/>
      <c r="F207" s="80" t="str">
        <f t="shared" si="19"/>
        <v/>
      </c>
      <c r="G207" s="39" t="s">
        <v>138</v>
      </c>
      <c r="H207" s="81"/>
      <c r="I207" s="82" t="str">
        <f>IF(A207="","Pending",IF(H207="","⚠️ Enter Agent Code",IF(IFERROR(VLOOKUP(G207,DB_Agents!$B:$I,8,0),"")=H207,IF(AND(A207&lt;&gt;"",E207&lt;&gt;""),"Saved","Pending"),"🔒 BLOCKED — Wrong Code")))</f>
        <v>Pending</v>
      </c>
      <c r="J207" s="83" t="str">
        <f t="shared" ca="1" si="20"/>
        <v>—</v>
      </c>
      <c r="K207" s="84"/>
    </row>
    <row r="208" spans="1:11" ht="15" customHeight="1" x14ac:dyDescent="0.25">
      <c r="A208" s="85"/>
      <c r="B208" s="41" t="str">
        <f>IF(A208="","",IFERROR(VLOOKUP(A208,DB_Customers!$A:$D,4,0),"❌ Account Not Found"))</f>
        <v/>
      </c>
      <c r="C208" s="86" t="str">
        <f>IF(A208="","",IFERROR(IF(SUMIF(DB_Savings!$C:$C,A208,DB_Savings!$F:$F)=0,VLOOKUP(A208,DB_Customers!$A:$I,9,0),VLOOKUP(A208,DB_Customers!$A:$N,14,0)),"❌ Acct Not Found"))</f>
        <v/>
      </c>
      <c r="D208" s="87" t="str">
        <f t="shared" ca="1" si="18"/>
        <v/>
      </c>
      <c r="E208" s="79"/>
      <c r="F208" s="88" t="str">
        <f t="shared" si="19"/>
        <v/>
      </c>
      <c r="G208" s="43" t="s">
        <v>138</v>
      </c>
      <c r="H208" s="81"/>
      <c r="I208" s="89" t="str">
        <f>IF(A208="","Pending",IF(H208="","⚠️ Enter Agent Code",IF(IFERROR(VLOOKUP(G208,DB_Agents!$B:$I,8,0),"")=H208,IF(AND(A208&lt;&gt;"",E208&lt;&gt;""),"Saved","Pending"),"🔒 BLOCKED — Wrong Code")))</f>
        <v>Pending</v>
      </c>
      <c r="J208" s="90" t="str">
        <f t="shared" ca="1" si="20"/>
        <v>—</v>
      </c>
      <c r="K208" s="91"/>
    </row>
  </sheetData>
  <mergeCells count="12">
    <mergeCell ref="A2:L2"/>
    <mergeCell ref="A7:L7"/>
    <mergeCell ref="A1:L1"/>
    <mergeCell ref="A5:L5"/>
    <mergeCell ref="D4:F4"/>
    <mergeCell ref="G4:I4"/>
    <mergeCell ref="A3:C3"/>
    <mergeCell ref="J4:L4"/>
    <mergeCell ref="D3:F3"/>
    <mergeCell ref="G3:I3"/>
    <mergeCell ref="A4:C4"/>
    <mergeCell ref="J3:L3"/>
  </mergeCells>
  <conditionalFormatting sqref="H9:H208">
    <cfRule type="cellIs" dxfId="52" priority="2" operator="equal">
      <formula>"Saved"</formula>
    </cfRule>
    <cfRule type="cellIs" dxfId="51" priority="3" operator="equal">
      <formula>"Pending"</formula>
    </cfRule>
  </conditionalFormatting>
  <conditionalFormatting sqref="A9:J208">
    <cfRule type="expression" dxfId="50" priority="4">
      <formula>$H9="Saved"</formula>
    </cfRule>
  </conditionalFormatting>
  <dataValidations count="2">
    <dataValidation type="decimal" operator="greaterThan" showErrorMessage="1" error="Must be &gt; 0" sqref="E9:E208" xr:uid="{00000000-0002-0000-1800-000000000000}">
      <formula1>0</formula1>
      <formula2>0</formula2>
    </dataValidation>
    <dataValidation type="list" sqref="G9:G208" xr:uid="{00000000-0002-0000-18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67" t="s">
        <v>365</v>
      </c>
      <c r="B1" s="265"/>
      <c r="C1" s="265"/>
      <c r="D1" s="265"/>
      <c r="E1" s="265"/>
      <c r="F1" s="265"/>
      <c r="G1" s="265"/>
      <c r="H1" s="265"/>
      <c r="I1" s="265"/>
      <c r="J1" s="265"/>
      <c r="K1" s="265"/>
      <c r="L1" s="265"/>
      <c r="M1" s="265"/>
    </row>
    <row r="2" spans="1:13" ht="19.5" customHeight="1" x14ac:dyDescent="0.25">
      <c r="A2" s="366" t="s">
        <v>366</v>
      </c>
      <c r="B2" s="265"/>
      <c r="C2" s="265"/>
      <c r="D2" s="265"/>
      <c r="E2" s="265"/>
      <c r="F2" s="265"/>
      <c r="G2" s="265"/>
      <c r="H2" s="265"/>
      <c r="I2" s="265"/>
      <c r="J2" s="265"/>
      <c r="K2" s="265"/>
      <c r="L2" s="265"/>
      <c r="M2" s="265"/>
    </row>
    <row r="3" spans="1:13" ht="18" customHeight="1" x14ac:dyDescent="0.25">
      <c r="A3" s="328" t="s">
        <v>324</v>
      </c>
      <c r="B3" s="265"/>
      <c r="C3" s="265"/>
      <c r="D3" s="323" t="s">
        <v>325</v>
      </c>
      <c r="E3" s="265"/>
      <c r="F3" s="265"/>
      <c r="G3" s="35" t="s">
        <v>326</v>
      </c>
      <c r="K3" s="66" t="s">
        <v>313</v>
      </c>
    </row>
    <row r="4" spans="1:13" ht="27.75" customHeight="1" x14ac:dyDescent="0.25">
      <c r="A4" s="365">
        <f ca="1">SUMIFS(DB_Withdrawals!$G:$G,DB_Withdrawals!$J:$J,"Agent 06",DB_Withdrawals!$F:$F,TODAY())</f>
        <v>0</v>
      </c>
      <c r="B4" s="265"/>
      <c r="C4" s="265"/>
      <c r="D4" s="369">
        <f ca="1">COUNTIFS(DB_Withdrawals!$J:$J,"Agent 06",DB_Withdrawals!$K:$K,"Successful",DB_Withdrawals!$F:$F,TODAY())</f>
        <v>0</v>
      </c>
      <c r="E4" s="265"/>
      <c r="F4" s="265"/>
      <c r="G4" s="92">
        <f ca="1">COUNTIFS(DB_Withdrawals!$J:$J,"Agent 06",DB_Withdrawals!$K:$K,"Unsuccessful",DB_Withdrawals!$F:$F,TODAY())</f>
        <v>0</v>
      </c>
      <c r="K4" s="74" t="str">
        <f ca="1">TEXT(TODAY(),"DD MMM YYYY")</f>
        <v>24 Apr 2026</v>
      </c>
    </row>
    <row r="5" spans="1:13" ht="19.5" customHeight="1" x14ac:dyDescent="0.25">
      <c r="A5" s="368" t="s">
        <v>327</v>
      </c>
      <c r="B5" s="265"/>
      <c r="C5" s="265"/>
      <c r="D5" s="265"/>
      <c r="E5" s="265"/>
      <c r="F5" s="265"/>
      <c r="G5" s="265"/>
      <c r="H5" s="265"/>
      <c r="I5" s="265"/>
      <c r="J5" s="265"/>
      <c r="K5" s="265"/>
      <c r="L5" s="265"/>
      <c r="M5" s="265"/>
    </row>
    <row r="6" spans="1:13" ht="7.5" customHeight="1" x14ac:dyDescent="0.25"/>
    <row r="7" spans="1:13" ht="19.5" customHeight="1" x14ac:dyDescent="0.25">
      <c r="A7" s="364" t="s">
        <v>328</v>
      </c>
      <c r="B7" s="265"/>
      <c r="C7" s="265"/>
      <c r="D7" s="265"/>
      <c r="E7" s="265"/>
      <c r="F7" s="265"/>
      <c r="G7" s="265"/>
      <c r="H7" s="265"/>
      <c r="I7" s="265"/>
      <c r="J7" s="265"/>
      <c r="K7" s="265"/>
      <c r="L7" s="265"/>
      <c r="M7" s="265"/>
    </row>
    <row r="8" spans="1:13" ht="19.5" customHeight="1" x14ac:dyDescent="0.25">
      <c r="A8" s="93" t="s">
        <v>315</v>
      </c>
      <c r="B8" s="93" t="s">
        <v>77</v>
      </c>
      <c r="C8" s="93" t="s">
        <v>329</v>
      </c>
      <c r="D8" s="93" t="s">
        <v>78</v>
      </c>
      <c r="E8" s="93" t="s">
        <v>330</v>
      </c>
      <c r="F8" s="93" t="s">
        <v>331</v>
      </c>
      <c r="G8" s="93" t="s">
        <v>318</v>
      </c>
      <c r="H8" s="93" t="s">
        <v>14</v>
      </c>
      <c r="I8" s="75" t="s">
        <v>319</v>
      </c>
      <c r="J8" s="93" t="s">
        <v>13</v>
      </c>
      <c r="K8" s="93" t="s">
        <v>320</v>
      </c>
      <c r="L8" s="93" t="s">
        <v>321</v>
      </c>
    </row>
    <row r="9" spans="1:13" ht="15" customHeight="1" x14ac:dyDescent="0.25">
      <c r="A9" s="76"/>
      <c r="B9" s="37" t="str">
        <f>IF(A9="","",IFERROR(VLOOKUP(A9,DB_Customers!$A:$D,4,0),"❌ Account Not Found"))</f>
        <v/>
      </c>
      <c r="C9" s="77" t="str">
        <f>IF(A9="","",IFERROR(VLOOKUP(A9,DB_Customers!$A:$N,14,0),"❌ Acct Not Found"))</f>
        <v/>
      </c>
      <c r="D9" s="78" t="str">
        <f t="shared" ref="D9:D40" ca="1" si="0">IF(A9="","",TODAY())</f>
        <v/>
      </c>
      <c r="E9" s="94"/>
      <c r="F9" s="37"/>
      <c r="G9" s="95" t="str">
        <f t="shared" ref="G9:G40" si="1">IF(OR(A9="",E9=""),"",IF(C9="","",C9-E9))</f>
        <v/>
      </c>
      <c r="H9" s="39" t="s">
        <v>138</v>
      </c>
      <c r="I9" s="81"/>
      <c r="J9" s="82" t="str">
        <f>IF(AND(A9&lt;&gt;"",E9&lt;&gt;""),IF(I9="","⚠️ Enter Code",IF(IFERROR(VLOOKUP(H9,DB_Agents!$B:$I,8,0),"")=I9,IF(C9&gt;=E9,"Successful","Unsuccessful"),"🔒 BLOCKED — Wrong Code")),"Pending")</f>
        <v>Pending</v>
      </c>
      <c r="K9" s="83" t="str">
        <f t="shared" ref="K9:K40" ca="1" si="2">IF(J9="Successful",TEXT(TODAY(),"YYYY-MM-DD")&amp;" Auto","—")</f>
        <v>—</v>
      </c>
      <c r="L9" s="84"/>
    </row>
    <row r="10" spans="1:13" ht="15" customHeight="1" x14ac:dyDescent="0.25">
      <c r="A10" s="85"/>
      <c r="B10" s="41" t="str">
        <f>IF(A10="","",IFERROR(VLOOKUP(A10,DB_Customers!$A:$D,4,0),"❌ Account Not Found"))</f>
        <v/>
      </c>
      <c r="C10" s="86" t="str">
        <f>IF(A10="","",IFERROR(VLOOKUP(A10,DB_Customers!$A:$N,14,0),"❌ Acct Not Found"))</f>
        <v/>
      </c>
      <c r="D10" s="87" t="str">
        <f t="shared" ca="1" si="0"/>
        <v/>
      </c>
      <c r="E10" s="94"/>
      <c r="F10" s="41"/>
      <c r="G10" s="96" t="str">
        <f t="shared" si="1"/>
        <v/>
      </c>
      <c r="H10" s="43" t="s">
        <v>138</v>
      </c>
      <c r="I10" s="81"/>
      <c r="J10" s="89" t="str">
        <f>IF(AND(A10&lt;&gt;"",E10&lt;&gt;""),IF(I10="","⚠️ Enter Code",IF(IFERROR(VLOOKUP(H10,DB_Agents!$B:$I,8,0),"")=I10,IF(C10&gt;=E10,"Successful","Unsuccessful"),"🔒 BLOCKED — Wrong Code")),"Pending")</f>
        <v>Pending</v>
      </c>
      <c r="K10" s="90" t="str">
        <f t="shared" ca="1" si="2"/>
        <v>—</v>
      </c>
      <c r="L10" s="91"/>
    </row>
    <row r="11" spans="1:13" ht="15" customHeight="1" x14ac:dyDescent="0.25">
      <c r="A11" s="76"/>
      <c r="B11" s="37" t="str">
        <f>IF(A11="","",IFERROR(VLOOKUP(A11,DB_Customers!$A:$D,4,0),"❌ Account Not Found"))</f>
        <v/>
      </c>
      <c r="C11" s="77" t="str">
        <f>IF(A11="","",IFERROR(VLOOKUP(A11,DB_Customers!$A:$N,14,0),"❌ Acct Not Found"))</f>
        <v/>
      </c>
      <c r="D11" s="78" t="str">
        <f t="shared" ca="1" si="0"/>
        <v/>
      </c>
      <c r="E11" s="94"/>
      <c r="F11" s="37"/>
      <c r="G11" s="95" t="str">
        <f t="shared" si="1"/>
        <v/>
      </c>
      <c r="H11" s="39" t="s">
        <v>138</v>
      </c>
      <c r="I11" s="81"/>
      <c r="J11" s="82" t="str">
        <f>IF(AND(A11&lt;&gt;"",E11&lt;&gt;""),IF(I11="","⚠️ Enter Code",IF(IFERROR(VLOOKUP(H11,DB_Agents!$B:$I,8,0),"")=I11,IF(C11&gt;=E11,"Successful","Unsuccessful"),"🔒 BLOCKED — Wrong Code")),"Pending")</f>
        <v>Pending</v>
      </c>
      <c r="K11" s="83" t="str">
        <f t="shared" ca="1" si="2"/>
        <v>—</v>
      </c>
      <c r="L11" s="84"/>
    </row>
    <row r="12" spans="1:13" ht="15" customHeight="1" x14ac:dyDescent="0.25">
      <c r="A12" s="85"/>
      <c r="B12" s="41" t="str">
        <f>IF(A12="","",IFERROR(VLOOKUP(A12,DB_Customers!$A:$D,4,0),"❌ Account Not Found"))</f>
        <v/>
      </c>
      <c r="C12" s="86" t="str">
        <f>IF(A12="","",IFERROR(VLOOKUP(A12,DB_Customers!$A:$N,14,0),"❌ Acct Not Found"))</f>
        <v/>
      </c>
      <c r="D12" s="87" t="str">
        <f t="shared" ca="1" si="0"/>
        <v/>
      </c>
      <c r="E12" s="94"/>
      <c r="F12" s="41"/>
      <c r="G12" s="96" t="str">
        <f t="shared" si="1"/>
        <v/>
      </c>
      <c r="H12" s="43" t="s">
        <v>138</v>
      </c>
      <c r="I12" s="81"/>
      <c r="J12" s="89" t="str">
        <f>IF(AND(A12&lt;&gt;"",E12&lt;&gt;""),IF(I12="","⚠️ Enter Code",IF(IFERROR(VLOOKUP(H12,DB_Agents!$B:$I,8,0),"")=I12,IF(C12&gt;=E12,"Successful","Unsuccessful"),"🔒 BLOCKED — Wrong Code")),"Pending")</f>
        <v>Pending</v>
      </c>
      <c r="K12" s="90" t="str">
        <f t="shared" ca="1" si="2"/>
        <v>—</v>
      </c>
      <c r="L12" s="91"/>
    </row>
    <row r="13" spans="1:13" ht="15" customHeight="1" x14ac:dyDescent="0.25">
      <c r="A13" s="76"/>
      <c r="B13" s="37" t="str">
        <f>IF(A13="","",IFERROR(VLOOKUP(A13,DB_Customers!$A:$D,4,0),"❌ Account Not Found"))</f>
        <v/>
      </c>
      <c r="C13" s="77" t="str">
        <f>IF(A13="","",IFERROR(VLOOKUP(A13,DB_Customers!$A:$N,14,0),"❌ Acct Not Found"))</f>
        <v/>
      </c>
      <c r="D13" s="78" t="str">
        <f t="shared" ca="1" si="0"/>
        <v/>
      </c>
      <c r="E13" s="94"/>
      <c r="F13" s="37"/>
      <c r="G13" s="95" t="str">
        <f t="shared" si="1"/>
        <v/>
      </c>
      <c r="H13" s="39" t="s">
        <v>138</v>
      </c>
      <c r="I13" s="81"/>
      <c r="J13" s="82" t="str">
        <f>IF(AND(A13&lt;&gt;"",E13&lt;&gt;""),IF(I13="","⚠️ Enter Code",IF(IFERROR(VLOOKUP(H13,DB_Agents!$B:$I,8,0),"")=I13,IF(C13&gt;=E13,"Successful","Unsuccessful"),"🔒 BLOCKED — Wrong Code")),"Pending")</f>
        <v>Pending</v>
      </c>
      <c r="K13" s="83" t="str">
        <f t="shared" ca="1" si="2"/>
        <v>—</v>
      </c>
      <c r="L13" s="84"/>
    </row>
    <row r="14" spans="1:13" ht="15" customHeight="1" x14ac:dyDescent="0.25">
      <c r="A14" s="85"/>
      <c r="B14" s="41" t="str">
        <f>IF(A14="","",IFERROR(VLOOKUP(A14,DB_Customers!$A:$D,4,0),"❌ Account Not Found"))</f>
        <v/>
      </c>
      <c r="C14" s="86" t="str">
        <f>IF(A14="","",IFERROR(VLOOKUP(A14,DB_Customers!$A:$N,14,0),"❌ Acct Not Found"))</f>
        <v/>
      </c>
      <c r="D14" s="87" t="str">
        <f t="shared" ca="1" si="0"/>
        <v/>
      </c>
      <c r="E14" s="94"/>
      <c r="F14" s="41"/>
      <c r="G14" s="96" t="str">
        <f t="shared" si="1"/>
        <v/>
      </c>
      <c r="H14" s="43" t="s">
        <v>138</v>
      </c>
      <c r="I14" s="81"/>
      <c r="J14" s="89" t="str">
        <f>IF(AND(A14&lt;&gt;"",E14&lt;&gt;""),IF(I14="","⚠️ Enter Code",IF(IFERROR(VLOOKUP(H14,DB_Agents!$B:$I,8,0),"")=I14,IF(C14&gt;=E14,"Successful","Unsuccessful"),"🔒 BLOCKED — Wrong Code")),"Pending")</f>
        <v>Pending</v>
      </c>
      <c r="K14" s="90" t="str">
        <f t="shared" ca="1" si="2"/>
        <v>—</v>
      </c>
      <c r="L14" s="91"/>
    </row>
    <row r="15" spans="1:13" ht="15" customHeight="1" x14ac:dyDescent="0.25">
      <c r="A15" s="76"/>
      <c r="B15" s="37" t="str">
        <f>IF(A15="","",IFERROR(VLOOKUP(A15,DB_Customers!$A:$D,4,0),"❌ Account Not Found"))</f>
        <v/>
      </c>
      <c r="C15" s="77" t="str">
        <f>IF(A15="","",IFERROR(VLOOKUP(A15,DB_Customers!$A:$N,14,0),"❌ Acct Not Found"))</f>
        <v/>
      </c>
      <c r="D15" s="78" t="str">
        <f t="shared" ca="1" si="0"/>
        <v/>
      </c>
      <c r="E15" s="94"/>
      <c r="F15" s="37"/>
      <c r="G15" s="95" t="str">
        <f t="shared" si="1"/>
        <v/>
      </c>
      <c r="H15" s="39" t="s">
        <v>138</v>
      </c>
      <c r="I15" s="81"/>
      <c r="J15" s="82" t="str">
        <f>IF(AND(A15&lt;&gt;"",E15&lt;&gt;""),IF(I15="","⚠️ Enter Code",IF(IFERROR(VLOOKUP(H15,DB_Agents!$B:$I,8,0),"")=I15,IF(C15&gt;=E15,"Successful","Unsuccessful"),"🔒 BLOCKED — Wrong Code")),"Pending")</f>
        <v>Pending</v>
      </c>
      <c r="K15" s="83" t="str">
        <f t="shared" ca="1" si="2"/>
        <v>—</v>
      </c>
      <c r="L15" s="84"/>
    </row>
    <row r="16" spans="1:13" ht="15" customHeight="1" x14ac:dyDescent="0.25">
      <c r="A16" s="85"/>
      <c r="B16" s="41" t="str">
        <f>IF(A16="","",IFERROR(VLOOKUP(A16,DB_Customers!$A:$D,4,0),"❌ Account Not Found"))</f>
        <v/>
      </c>
      <c r="C16" s="86" t="str">
        <f>IF(A16="","",IFERROR(VLOOKUP(A16,DB_Customers!$A:$N,14,0),"❌ Acct Not Found"))</f>
        <v/>
      </c>
      <c r="D16" s="87" t="str">
        <f t="shared" ca="1" si="0"/>
        <v/>
      </c>
      <c r="E16" s="94"/>
      <c r="F16" s="41"/>
      <c r="G16" s="96" t="str">
        <f t="shared" si="1"/>
        <v/>
      </c>
      <c r="H16" s="43" t="s">
        <v>138</v>
      </c>
      <c r="I16" s="81"/>
      <c r="J16" s="89" t="str">
        <f>IF(AND(A16&lt;&gt;"",E16&lt;&gt;""),IF(I16="","⚠️ Enter Code",IF(IFERROR(VLOOKUP(H16,DB_Agents!$B:$I,8,0),"")=I16,IF(C16&gt;=E16,"Successful","Unsuccessful"),"🔒 BLOCKED — Wrong Code")),"Pending")</f>
        <v>Pending</v>
      </c>
      <c r="K16" s="90" t="str">
        <f t="shared" ca="1" si="2"/>
        <v>—</v>
      </c>
      <c r="L16" s="91"/>
    </row>
    <row r="17" spans="1:12" ht="15" customHeight="1" x14ac:dyDescent="0.25">
      <c r="A17" s="76"/>
      <c r="B17" s="37" t="str">
        <f>IF(A17="","",IFERROR(VLOOKUP(A17,DB_Customers!$A:$D,4,0),"❌ Account Not Found"))</f>
        <v/>
      </c>
      <c r="C17" s="77" t="str">
        <f>IF(A17="","",IFERROR(VLOOKUP(A17,DB_Customers!$A:$N,14,0),"❌ Acct Not Found"))</f>
        <v/>
      </c>
      <c r="D17" s="78" t="str">
        <f t="shared" ca="1" si="0"/>
        <v/>
      </c>
      <c r="E17" s="94"/>
      <c r="F17" s="37"/>
      <c r="G17" s="95" t="str">
        <f t="shared" si="1"/>
        <v/>
      </c>
      <c r="H17" s="39" t="s">
        <v>138</v>
      </c>
      <c r="I17" s="81"/>
      <c r="J17" s="82" t="str">
        <f>IF(AND(A17&lt;&gt;"",E17&lt;&gt;""),IF(I17="","⚠️ Enter Code",IF(IFERROR(VLOOKUP(H17,DB_Agents!$B:$I,8,0),"")=I17,IF(C17&gt;=E17,"Successful","Unsuccessful"),"🔒 BLOCKED — Wrong Code")),"Pending")</f>
        <v>Pending</v>
      </c>
      <c r="K17" s="83" t="str">
        <f t="shared" ca="1" si="2"/>
        <v>—</v>
      </c>
      <c r="L17" s="84"/>
    </row>
    <row r="18" spans="1:12" ht="15" customHeight="1" x14ac:dyDescent="0.25">
      <c r="A18" s="85"/>
      <c r="B18" s="41" t="str">
        <f>IF(A18="","",IFERROR(VLOOKUP(A18,DB_Customers!$A:$D,4,0),"❌ Account Not Found"))</f>
        <v/>
      </c>
      <c r="C18" s="86" t="str">
        <f>IF(A18="","",IFERROR(VLOOKUP(A18,DB_Customers!$A:$N,14,0),"❌ Acct Not Found"))</f>
        <v/>
      </c>
      <c r="D18" s="87" t="str">
        <f t="shared" ca="1" si="0"/>
        <v/>
      </c>
      <c r="E18" s="94"/>
      <c r="F18" s="41"/>
      <c r="G18" s="96" t="str">
        <f t="shared" si="1"/>
        <v/>
      </c>
      <c r="H18" s="43" t="s">
        <v>138</v>
      </c>
      <c r="I18" s="81"/>
      <c r="J18" s="89" t="str">
        <f>IF(AND(A18&lt;&gt;"",E18&lt;&gt;""),IF(I18="","⚠️ Enter Code",IF(IFERROR(VLOOKUP(H18,DB_Agents!$B:$I,8,0),"")=I18,IF(C18&gt;=E18,"Successful","Unsuccessful"),"🔒 BLOCKED — Wrong Code")),"Pending")</f>
        <v>Pending</v>
      </c>
      <c r="K18" s="90" t="str">
        <f t="shared" ca="1" si="2"/>
        <v>—</v>
      </c>
      <c r="L18" s="91"/>
    </row>
    <row r="19" spans="1:12" ht="15" customHeight="1" x14ac:dyDescent="0.25">
      <c r="A19" s="76"/>
      <c r="B19" s="37" t="str">
        <f>IF(A19="","",IFERROR(VLOOKUP(A19,DB_Customers!$A:$D,4,0),"❌ Account Not Found"))</f>
        <v/>
      </c>
      <c r="C19" s="77" t="str">
        <f>IF(A19="","",IFERROR(VLOOKUP(A19,DB_Customers!$A:$N,14,0),"❌ Acct Not Found"))</f>
        <v/>
      </c>
      <c r="D19" s="78" t="str">
        <f t="shared" ca="1" si="0"/>
        <v/>
      </c>
      <c r="E19" s="94"/>
      <c r="F19" s="37"/>
      <c r="G19" s="95" t="str">
        <f t="shared" si="1"/>
        <v/>
      </c>
      <c r="H19" s="39" t="s">
        <v>138</v>
      </c>
      <c r="I19" s="81"/>
      <c r="J19" s="82" t="str">
        <f>IF(AND(A19&lt;&gt;"",E19&lt;&gt;""),IF(I19="","⚠️ Enter Code",IF(IFERROR(VLOOKUP(H19,DB_Agents!$B:$I,8,0),"")=I19,IF(C19&gt;=E19,"Successful","Unsuccessful"),"🔒 BLOCKED — Wrong Code")),"Pending")</f>
        <v>Pending</v>
      </c>
      <c r="K19" s="83" t="str">
        <f t="shared" ca="1" si="2"/>
        <v>—</v>
      </c>
      <c r="L19" s="84"/>
    </row>
    <row r="20" spans="1:12" ht="15" customHeight="1" x14ac:dyDescent="0.25">
      <c r="A20" s="85"/>
      <c r="B20" s="41" t="str">
        <f>IF(A20="","",IFERROR(VLOOKUP(A20,DB_Customers!$A:$D,4,0),"❌ Account Not Found"))</f>
        <v/>
      </c>
      <c r="C20" s="86" t="str">
        <f>IF(A20="","",IFERROR(VLOOKUP(A20,DB_Customers!$A:$N,14,0),"❌ Acct Not Found"))</f>
        <v/>
      </c>
      <c r="D20" s="87" t="str">
        <f t="shared" ca="1" si="0"/>
        <v/>
      </c>
      <c r="E20" s="94"/>
      <c r="F20" s="41"/>
      <c r="G20" s="96" t="str">
        <f t="shared" si="1"/>
        <v/>
      </c>
      <c r="H20" s="43" t="s">
        <v>138</v>
      </c>
      <c r="I20" s="81"/>
      <c r="J20" s="89" t="str">
        <f>IF(AND(A20&lt;&gt;"",E20&lt;&gt;""),IF(I20="","⚠️ Enter Code",IF(IFERROR(VLOOKUP(H20,DB_Agents!$B:$I,8,0),"")=I20,IF(C20&gt;=E20,"Successful","Unsuccessful"),"🔒 BLOCKED — Wrong Code")),"Pending")</f>
        <v>Pending</v>
      </c>
      <c r="K20" s="90" t="str">
        <f t="shared" ca="1" si="2"/>
        <v>—</v>
      </c>
      <c r="L20" s="91"/>
    </row>
    <row r="21" spans="1:12" ht="15" customHeight="1" x14ac:dyDescent="0.25">
      <c r="A21" s="76"/>
      <c r="B21" s="37" t="str">
        <f>IF(A21="","",IFERROR(VLOOKUP(A21,DB_Customers!$A:$D,4,0),"❌ Account Not Found"))</f>
        <v/>
      </c>
      <c r="C21" s="77" t="str">
        <f>IF(A21="","",IFERROR(VLOOKUP(A21,DB_Customers!$A:$N,14,0),"❌ Acct Not Found"))</f>
        <v/>
      </c>
      <c r="D21" s="78" t="str">
        <f t="shared" ca="1" si="0"/>
        <v/>
      </c>
      <c r="E21" s="94"/>
      <c r="F21" s="37"/>
      <c r="G21" s="95" t="str">
        <f t="shared" si="1"/>
        <v/>
      </c>
      <c r="H21" s="39" t="s">
        <v>138</v>
      </c>
      <c r="I21" s="81"/>
      <c r="J21" s="82" t="str">
        <f>IF(AND(A21&lt;&gt;"",E21&lt;&gt;""),IF(I21="","⚠️ Enter Code",IF(IFERROR(VLOOKUP(H21,DB_Agents!$B:$I,8,0),"")=I21,IF(C21&gt;=E21,"Successful","Unsuccessful"),"🔒 BLOCKED — Wrong Code")),"Pending")</f>
        <v>Pending</v>
      </c>
      <c r="K21" s="83" t="str">
        <f t="shared" ca="1" si="2"/>
        <v>—</v>
      </c>
      <c r="L21" s="84"/>
    </row>
    <row r="22" spans="1:12" ht="15" customHeight="1" x14ac:dyDescent="0.25">
      <c r="A22" s="85"/>
      <c r="B22" s="41" t="str">
        <f>IF(A22="","",IFERROR(VLOOKUP(A22,DB_Customers!$A:$D,4,0),"❌ Account Not Found"))</f>
        <v/>
      </c>
      <c r="C22" s="86" t="str">
        <f>IF(A22="","",IFERROR(VLOOKUP(A22,DB_Customers!$A:$N,14,0),"❌ Acct Not Found"))</f>
        <v/>
      </c>
      <c r="D22" s="87" t="str">
        <f t="shared" ca="1" si="0"/>
        <v/>
      </c>
      <c r="E22" s="94"/>
      <c r="F22" s="41"/>
      <c r="G22" s="96" t="str">
        <f t="shared" si="1"/>
        <v/>
      </c>
      <c r="H22" s="43" t="s">
        <v>138</v>
      </c>
      <c r="I22" s="81"/>
      <c r="J22" s="89" t="str">
        <f>IF(AND(A22&lt;&gt;"",E22&lt;&gt;""),IF(I22="","⚠️ Enter Code",IF(IFERROR(VLOOKUP(H22,DB_Agents!$B:$I,8,0),"")=I22,IF(C22&gt;=E22,"Successful","Unsuccessful"),"🔒 BLOCKED — Wrong Code")),"Pending")</f>
        <v>Pending</v>
      </c>
      <c r="K22" s="90" t="str">
        <f t="shared" ca="1" si="2"/>
        <v>—</v>
      </c>
      <c r="L22" s="91"/>
    </row>
    <row r="23" spans="1:12" ht="15" customHeight="1" x14ac:dyDescent="0.25">
      <c r="A23" s="76"/>
      <c r="B23" s="37" t="str">
        <f>IF(A23="","",IFERROR(VLOOKUP(A23,DB_Customers!$A:$D,4,0),"❌ Account Not Found"))</f>
        <v/>
      </c>
      <c r="C23" s="77" t="str">
        <f>IF(A23="","",IFERROR(VLOOKUP(A23,DB_Customers!$A:$N,14,0),"❌ Acct Not Found"))</f>
        <v/>
      </c>
      <c r="D23" s="78" t="str">
        <f t="shared" ca="1" si="0"/>
        <v/>
      </c>
      <c r="E23" s="94"/>
      <c r="F23" s="37"/>
      <c r="G23" s="95" t="str">
        <f t="shared" si="1"/>
        <v/>
      </c>
      <c r="H23" s="39" t="s">
        <v>138</v>
      </c>
      <c r="I23" s="81"/>
      <c r="J23" s="82" t="str">
        <f>IF(AND(A23&lt;&gt;"",E23&lt;&gt;""),IF(I23="","⚠️ Enter Code",IF(IFERROR(VLOOKUP(H23,DB_Agents!$B:$I,8,0),"")=I23,IF(C23&gt;=E23,"Successful","Unsuccessful"),"🔒 BLOCKED — Wrong Code")),"Pending")</f>
        <v>Pending</v>
      </c>
      <c r="K23" s="83" t="str">
        <f t="shared" ca="1" si="2"/>
        <v>—</v>
      </c>
      <c r="L23" s="84"/>
    </row>
    <row r="24" spans="1:12" ht="15" customHeight="1" x14ac:dyDescent="0.25">
      <c r="A24" s="85"/>
      <c r="B24" s="41" t="str">
        <f>IF(A24="","",IFERROR(VLOOKUP(A24,DB_Customers!$A:$D,4,0),"❌ Account Not Found"))</f>
        <v/>
      </c>
      <c r="C24" s="86" t="str">
        <f>IF(A24="","",IFERROR(VLOOKUP(A24,DB_Customers!$A:$N,14,0),"❌ Acct Not Found"))</f>
        <v/>
      </c>
      <c r="D24" s="87" t="str">
        <f t="shared" ca="1" si="0"/>
        <v/>
      </c>
      <c r="E24" s="94"/>
      <c r="F24" s="41"/>
      <c r="G24" s="96" t="str">
        <f t="shared" si="1"/>
        <v/>
      </c>
      <c r="H24" s="43" t="s">
        <v>138</v>
      </c>
      <c r="I24" s="81"/>
      <c r="J24" s="89" t="str">
        <f>IF(AND(A24&lt;&gt;"",E24&lt;&gt;""),IF(I24="","⚠️ Enter Code",IF(IFERROR(VLOOKUP(H24,DB_Agents!$B:$I,8,0),"")=I24,IF(C24&gt;=E24,"Successful","Unsuccessful"),"🔒 BLOCKED — Wrong Code")),"Pending")</f>
        <v>Pending</v>
      </c>
      <c r="K24" s="90" t="str">
        <f t="shared" ca="1" si="2"/>
        <v>—</v>
      </c>
      <c r="L24" s="91"/>
    </row>
    <row r="25" spans="1:12" ht="15" customHeight="1" x14ac:dyDescent="0.25">
      <c r="A25" s="76"/>
      <c r="B25" s="37" t="str">
        <f>IF(A25="","",IFERROR(VLOOKUP(A25,DB_Customers!$A:$D,4,0),"❌ Account Not Found"))</f>
        <v/>
      </c>
      <c r="C25" s="77" t="str">
        <f>IF(A25="","",IFERROR(VLOOKUP(A25,DB_Customers!$A:$N,14,0),"❌ Acct Not Found"))</f>
        <v/>
      </c>
      <c r="D25" s="78" t="str">
        <f t="shared" ca="1" si="0"/>
        <v/>
      </c>
      <c r="E25" s="94"/>
      <c r="F25" s="37"/>
      <c r="G25" s="95" t="str">
        <f t="shared" si="1"/>
        <v/>
      </c>
      <c r="H25" s="39" t="s">
        <v>138</v>
      </c>
      <c r="I25" s="81"/>
      <c r="J25" s="82" t="str">
        <f>IF(AND(A25&lt;&gt;"",E25&lt;&gt;""),IF(I25="","⚠️ Enter Code",IF(IFERROR(VLOOKUP(H25,DB_Agents!$B:$I,8,0),"")=I25,IF(C25&gt;=E25,"Successful","Unsuccessful"),"🔒 BLOCKED — Wrong Code")),"Pending")</f>
        <v>Pending</v>
      </c>
      <c r="K25" s="83" t="str">
        <f t="shared" ca="1" si="2"/>
        <v>—</v>
      </c>
      <c r="L25" s="84"/>
    </row>
    <row r="26" spans="1:12" ht="15" customHeight="1" x14ac:dyDescent="0.25">
      <c r="A26" s="85"/>
      <c r="B26" s="41" t="str">
        <f>IF(A26="","",IFERROR(VLOOKUP(A26,DB_Customers!$A:$D,4,0),"❌ Account Not Found"))</f>
        <v/>
      </c>
      <c r="C26" s="86" t="str">
        <f>IF(A26="","",IFERROR(VLOOKUP(A26,DB_Customers!$A:$N,14,0),"❌ Acct Not Found"))</f>
        <v/>
      </c>
      <c r="D26" s="87" t="str">
        <f t="shared" ca="1" si="0"/>
        <v/>
      </c>
      <c r="E26" s="94"/>
      <c r="F26" s="41"/>
      <c r="G26" s="96" t="str">
        <f t="shared" si="1"/>
        <v/>
      </c>
      <c r="H26" s="43" t="s">
        <v>138</v>
      </c>
      <c r="I26" s="81"/>
      <c r="J26" s="89" t="str">
        <f>IF(AND(A26&lt;&gt;"",E26&lt;&gt;""),IF(I26="","⚠️ Enter Code",IF(IFERROR(VLOOKUP(H26,DB_Agents!$B:$I,8,0),"")=I26,IF(C26&gt;=E26,"Successful","Unsuccessful"),"🔒 BLOCKED — Wrong Code")),"Pending")</f>
        <v>Pending</v>
      </c>
      <c r="K26" s="90" t="str">
        <f t="shared" ca="1" si="2"/>
        <v>—</v>
      </c>
      <c r="L26" s="91"/>
    </row>
    <row r="27" spans="1:12" ht="15" customHeight="1" x14ac:dyDescent="0.25">
      <c r="A27" s="76"/>
      <c r="B27" s="37" t="str">
        <f>IF(A27="","",IFERROR(VLOOKUP(A27,DB_Customers!$A:$D,4,0),"❌ Account Not Found"))</f>
        <v/>
      </c>
      <c r="C27" s="77" t="str">
        <f>IF(A27="","",IFERROR(VLOOKUP(A27,DB_Customers!$A:$N,14,0),"❌ Acct Not Found"))</f>
        <v/>
      </c>
      <c r="D27" s="78" t="str">
        <f t="shared" ca="1" si="0"/>
        <v/>
      </c>
      <c r="E27" s="94"/>
      <c r="F27" s="37"/>
      <c r="G27" s="95" t="str">
        <f t="shared" si="1"/>
        <v/>
      </c>
      <c r="H27" s="39" t="s">
        <v>138</v>
      </c>
      <c r="I27" s="81"/>
      <c r="J27" s="82" t="str">
        <f>IF(AND(A27&lt;&gt;"",E27&lt;&gt;""),IF(I27="","⚠️ Enter Code",IF(IFERROR(VLOOKUP(H27,DB_Agents!$B:$I,8,0),"")=I27,IF(C27&gt;=E27,"Successful","Unsuccessful"),"🔒 BLOCKED — Wrong Code")),"Pending")</f>
        <v>Pending</v>
      </c>
      <c r="K27" s="83" t="str">
        <f t="shared" ca="1" si="2"/>
        <v>—</v>
      </c>
      <c r="L27" s="84"/>
    </row>
    <row r="28" spans="1:12" ht="15" customHeight="1" x14ac:dyDescent="0.25">
      <c r="A28" s="85"/>
      <c r="B28" s="41" t="str">
        <f>IF(A28="","",IFERROR(VLOOKUP(A28,DB_Customers!$A:$D,4,0),"❌ Account Not Found"))</f>
        <v/>
      </c>
      <c r="C28" s="86" t="str">
        <f>IF(A28="","",IFERROR(VLOOKUP(A28,DB_Customers!$A:$N,14,0),"❌ Acct Not Found"))</f>
        <v/>
      </c>
      <c r="D28" s="87" t="str">
        <f t="shared" ca="1" si="0"/>
        <v/>
      </c>
      <c r="E28" s="94"/>
      <c r="F28" s="41"/>
      <c r="G28" s="96" t="str">
        <f t="shared" si="1"/>
        <v/>
      </c>
      <c r="H28" s="43" t="s">
        <v>138</v>
      </c>
      <c r="I28" s="81"/>
      <c r="J28" s="89" t="str">
        <f>IF(AND(A28&lt;&gt;"",E28&lt;&gt;""),IF(I28="","⚠️ Enter Code",IF(IFERROR(VLOOKUP(H28,DB_Agents!$B:$I,8,0),"")=I28,IF(C28&gt;=E28,"Successful","Unsuccessful"),"🔒 BLOCKED — Wrong Code")),"Pending")</f>
        <v>Pending</v>
      </c>
      <c r="K28" s="90" t="str">
        <f t="shared" ca="1" si="2"/>
        <v>—</v>
      </c>
      <c r="L28" s="91"/>
    </row>
    <row r="29" spans="1:12" ht="15" customHeight="1" x14ac:dyDescent="0.25">
      <c r="A29" s="76"/>
      <c r="B29" s="37" t="str">
        <f>IF(A29="","",IFERROR(VLOOKUP(A29,DB_Customers!$A:$D,4,0),"❌ Account Not Found"))</f>
        <v/>
      </c>
      <c r="C29" s="77" t="str">
        <f>IF(A29="","",IFERROR(VLOOKUP(A29,DB_Customers!$A:$N,14,0),"❌ Acct Not Found"))</f>
        <v/>
      </c>
      <c r="D29" s="78" t="str">
        <f t="shared" ca="1" si="0"/>
        <v/>
      </c>
      <c r="E29" s="94"/>
      <c r="F29" s="37"/>
      <c r="G29" s="95" t="str">
        <f t="shared" si="1"/>
        <v/>
      </c>
      <c r="H29" s="39" t="s">
        <v>138</v>
      </c>
      <c r="I29" s="81"/>
      <c r="J29" s="82" t="str">
        <f>IF(AND(A29&lt;&gt;"",E29&lt;&gt;""),IF(I29="","⚠️ Enter Code",IF(IFERROR(VLOOKUP(H29,DB_Agents!$B:$I,8,0),"")=I29,IF(C29&gt;=E29,"Successful","Unsuccessful"),"🔒 BLOCKED — Wrong Code")),"Pending")</f>
        <v>Pending</v>
      </c>
      <c r="K29" s="83" t="str">
        <f t="shared" ca="1" si="2"/>
        <v>—</v>
      </c>
      <c r="L29" s="84"/>
    </row>
    <row r="30" spans="1:12" ht="15" customHeight="1" x14ac:dyDescent="0.25">
      <c r="A30" s="85"/>
      <c r="B30" s="41" t="str">
        <f>IF(A30="","",IFERROR(VLOOKUP(A30,DB_Customers!$A:$D,4,0),"❌ Account Not Found"))</f>
        <v/>
      </c>
      <c r="C30" s="86" t="str">
        <f>IF(A30="","",IFERROR(VLOOKUP(A30,DB_Customers!$A:$N,14,0),"❌ Acct Not Found"))</f>
        <v/>
      </c>
      <c r="D30" s="87" t="str">
        <f t="shared" ca="1" si="0"/>
        <v/>
      </c>
      <c r="E30" s="94"/>
      <c r="F30" s="41"/>
      <c r="G30" s="96" t="str">
        <f t="shared" si="1"/>
        <v/>
      </c>
      <c r="H30" s="43" t="s">
        <v>138</v>
      </c>
      <c r="I30" s="81"/>
      <c r="J30" s="89" t="str">
        <f>IF(AND(A30&lt;&gt;"",E30&lt;&gt;""),IF(I30="","⚠️ Enter Code",IF(IFERROR(VLOOKUP(H30,DB_Agents!$B:$I,8,0),"")=I30,IF(C30&gt;=E30,"Successful","Unsuccessful"),"🔒 BLOCKED — Wrong Code")),"Pending")</f>
        <v>Pending</v>
      </c>
      <c r="K30" s="90" t="str">
        <f t="shared" ca="1" si="2"/>
        <v>—</v>
      </c>
      <c r="L30" s="91"/>
    </row>
    <row r="31" spans="1:12" ht="15" customHeight="1" x14ac:dyDescent="0.25">
      <c r="A31" s="76"/>
      <c r="B31" s="37" t="str">
        <f>IF(A31="","",IFERROR(VLOOKUP(A31,DB_Customers!$A:$D,4,0),"❌ Account Not Found"))</f>
        <v/>
      </c>
      <c r="C31" s="77" t="str">
        <f>IF(A31="","",IFERROR(VLOOKUP(A31,DB_Customers!$A:$N,14,0),"❌ Acct Not Found"))</f>
        <v/>
      </c>
      <c r="D31" s="78" t="str">
        <f t="shared" ca="1" si="0"/>
        <v/>
      </c>
      <c r="E31" s="94"/>
      <c r="F31" s="37"/>
      <c r="G31" s="95" t="str">
        <f t="shared" si="1"/>
        <v/>
      </c>
      <c r="H31" s="39" t="s">
        <v>138</v>
      </c>
      <c r="I31" s="81"/>
      <c r="J31" s="82" t="str">
        <f>IF(AND(A31&lt;&gt;"",E31&lt;&gt;""),IF(I31="","⚠️ Enter Code",IF(IFERROR(VLOOKUP(H31,DB_Agents!$B:$I,8,0),"")=I31,IF(C31&gt;=E31,"Successful","Unsuccessful"),"🔒 BLOCKED — Wrong Code")),"Pending")</f>
        <v>Pending</v>
      </c>
      <c r="K31" s="83" t="str">
        <f t="shared" ca="1" si="2"/>
        <v>—</v>
      </c>
      <c r="L31" s="84"/>
    </row>
    <row r="32" spans="1:12" ht="15" customHeight="1" x14ac:dyDescent="0.25">
      <c r="A32" s="85"/>
      <c r="B32" s="41" t="str">
        <f>IF(A32="","",IFERROR(VLOOKUP(A32,DB_Customers!$A:$D,4,0),"❌ Account Not Found"))</f>
        <v/>
      </c>
      <c r="C32" s="86" t="str">
        <f>IF(A32="","",IFERROR(VLOOKUP(A32,DB_Customers!$A:$N,14,0),"❌ Acct Not Found"))</f>
        <v/>
      </c>
      <c r="D32" s="87" t="str">
        <f t="shared" ca="1" si="0"/>
        <v/>
      </c>
      <c r="E32" s="94"/>
      <c r="F32" s="41"/>
      <c r="G32" s="96" t="str">
        <f t="shared" si="1"/>
        <v/>
      </c>
      <c r="H32" s="43" t="s">
        <v>138</v>
      </c>
      <c r="I32" s="81"/>
      <c r="J32" s="89" t="str">
        <f>IF(AND(A32&lt;&gt;"",E32&lt;&gt;""),IF(I32="","⚠️ Enter Code",IF(IFERROR(VLOOKUP(H32,DB_Agents!$B:$I,8,0),"")=I32,IF(C32&gt;=E32,"Successful","Unsuccessful"),"🔒 BLOCKED — Wrong Code")),"Pending")</f>
        <v>Pending</v>
      </c>
      <c r="K32" s="90" t="str">
        <f t="shared" ca="1" si="2"/>
        <v>—</v>
      </c>
      <c r="L32" s="91"/>
    </row>
    <row r="33" spans="1:12" ht="15" customHeight="1" x14ac:dyDescent="0.25">
      <c r="A33" s="76"/>
      <c r="B33" s="37" t="str">
        <f>IF(A33="","",IFERROR(VLOOKUP(A33,DB_Customers!$A:$D,4,0),"❌ Account Not Found"))</f>
        <v/>
      </c>
      <c r="C33" s="77" t="str">
        <f>IF(A33="","",IFERROR(VLOOKUP(A33,DB_Customers!$A:$N,14,0),"❌ Acct Not Found"))</f>
        <v/>
      </c>
      <c r="D33" s="78" t="str">
        <f t="shared" ca="1" si="0"/>
        <v/>
      </c>
      <c r="E33" s="94"/>
      <c r="F33" s="37"/>
      <c r="G33" s="95" t="str">
        <f t="shared" si="1"/>
        <v/>
      </c>
      <c r="H33" s="39" t="s">
        <v>138</v>
      </c>
      <c r="I33" s="81"/>
      <c r="J33" s="82" t="str">
        <f>IF(AND(A33&lt;&gt;"",E33&lt;&gt;""),IF(I33="","⚠️ Enter Code",IF(IFERROR(VLOOKUP(H33,DB_Agents!$B:$I,8,0),"")=I33,IF(C33&gt;=E33,"Successful","Unsuccessful"),"🔒 BLOCKED — Wrong Code")),"Pending")</f>
        <v>Pending</v>
      </c>
      <c r="K33" s="83" t="str">
        <f t="shared" ca="1" si="2"/>
        <v>—</v>
      </c>
      <c r="L33" s="84"/>
    </row>
    <row r="34" spans="1:12" ht="15" customHeight="1" x14ac:dyDescent="0.25">
      <c r="A34" s="85"/>
      <c r="B34" s="41" t="str">
        <f>IF(A34="","",IFERROR(VLOOKUP(A34,DB_Customers!$A:$D,4,0),"❌ Account Not Found"))</f>
        <v/>
      </c>
      <c r="C34" s="86" t="str">
        <f>IF(A34="","",IFERROR(VLOOKUP(A34,DB_Customers!$A:$N,14,0),"❌ Acct Not Found"))</f>
        <v/>
      </c>
      <c r="D34" s="87" t="str">
        <f t="shared" ca="1" si="0"/>
        <v/>
      </c>
      <c r="E34" s="94"/>
      <c r="F34" s="41"/>
      <c r="G34" s="96" t="str">
        <f t="shared" si="1"/>
        <v/>
      </c>
      <c r="H34" s="43" t="s">
        <v>138</v>
      </c>
      <c r="I34" s="81"/>
      <c r="J34" s="89" t="str">
        <f>IF(AND(A34&lt;&gt;"",E34&lt;&gt;""),IF(I34="","⚠️ Enter Code",IF(IFERROR(VLOOKUP(H34,DB_Agents!$B:$I,8,0),"")=I34,IF(C34&gt;=E34,"Successful","Unsuccessful"),"🔒 BLOCKED — Wrong Code")),"Pending")</f>
        <v>Pending</v>
      </c>
      <c r="K34" s="90" t="str">
        <f t="shared" ca="1" si="2"/>
        <v>—</v>
      </c>
      <c r="L34" s="91"/>
    </row>
    <row r="35" spans="1:12" ht="15" customHeight="1" x14ac:dyDescent="0.25">
      <c r="A35" s="76"/>
      <c r="B35" s="37" t="str">
        <f>IF(A35="","",IFERROR(VLOOKUP(A35,DB_Customers!$A:$D,4,0),"❌ Account Not Found"))</f>
        <v/>
      </c>
      <c r="C35" s="77" t="str">
        <f>IF(A35="","",IFERROR(VLOOKUP(A35,DB_Customers!$A:$N,14,0),"❌ Acct Not Found"))</f>
        <v/>
      </c>
      <c r="D35" s="78" t="str">
        <f t="shared" ca="1" si="0"/>
        <v/>
      </c>
      <c r="E35" s="94"/>
      <c r="F35" s="37"/>
      <c r="G35" s="95" t="str">
        <f t="shared" si="1"/>
        <v/>
      </c>
      <c r="H35" s="39" t="s">
        <v>138</v>
      </c>
      <c r="I35" s="81"/>
      <c r="J35" s="82" t="str">
        <f>IF(AND(A35&lt;&gt;"",E35&lt;&gt;""),IF(I35="","⚠️ Enter Code",IF(IFERROR(VLOOKUP(H35,DB_Agents!$B:$I,8,0),"")=I35,IF(C35&gt;=E35,"Successful","Unsuccessful"),"🔒 BLOCKED — Wrong Code")),"Pending")</f>
        <v>Pending</v>
      </c>
      <c r="K35" s="83" t="str">
        <f t="shared" ca="1" si="2"/>
        <v>—</v>
      </c>
      <c r="L35" s="84"/>
    </row>
    <row r="36" spans="1:12" ht="15" customHeight="1" x14ac:dyDescent="0.25">
      <c r="A36" s="85"/>
      <c r="B36" s="41" t="str">
        <f>IF(A36="","",IFERROR(VLOOKUP(A36,DB_Customers!$A:$D,4,0),"❌ Account Not Found"))</f>
        <v/>
      </c>
      <c r="C36" s="86" t="str">
        <f>IF(A36="","",IFERROR(VLOOKUP(A36,DB_Customers!$A:$N,14,0),"❌ Acct Not Found"))</f>
        <v/>
      </c>
      <c r="D36" s="87" t="str">
        <f t="shared" ca="1" si="0"/>
        <v/>
      </c>
      <c r="E36" s="94"/>
      <c r="F36" s="41"/>
      <c r="G36" s="96" t="str">
        <f t="shared" si="1"/>
        <v/>
      </c>
      <c r="H36" s="43" t="s">
        <v>138</v>
      </c>
      <c r="I36" s="81"/>
      <c r="J36" s="89" t="str">
        <f>IF(AND(A36&lt;&gt;"",E36&lt;&gt;""),IF(I36="","⚠️ Enter Code",IF(IFERROR(VLOOKUP(H36,DB_Agents!$B:$I,8,0),"")=I36,IF(C36&gt;=E36,"Successful","Unsuccessful"),"🔒 BLOCKED — Wrong Code")),"Pending")</f>
        <v>Pending</v>
      </c>
      <c r="K36" s="90" t="str">
        <f t="shared" ca="1" si="2"/>
        <v>—</v>
      </c>
      <c r="L36" s="91"/>
    </row>
    <row r="37" spans="1:12" ht="15" customHeight="1" x14ac:dyDescent="0.25">
      <c r="A37" s="76"/>
      <c r="B37" s="37" t="str">
        <f>IF(A37="","",IFERROR(VLOOKUP(A37,DB_Customers!$A:$D,4,0),"❌ Account Not Found"))</f>
        <v/>
      </c>
      <c r="C37" s="77" t="str">
        <f>IF(A37="","",IFERROR(VLOOKUP(A37,DB_Customers!$A:$N,14,0),"❌ Acct Not Found"))</f>
        <v/>
      </c>
      <c r="D37" s="78" t="str">
        <f t="shared" ca="1" si="0"/>
        <v/>
      </c>
      <c r="E37" s="94"/>
      <c r="F37" s="37"/>
      <c r="G37" s="95" t="str">
        <f t="shared" si="1"/>
        <v/>
      </c>
      <c r="H37" s="39" t="s">
        <v>138</v>
      </c>
      <c r="I37" s="81"/>
      <c r="J37" s="82" t="str">
        <f>IF(AND(A37&lt;&gt;"",E37&lt;&gt;""),IF(I37="","⚠️ Enter Code",IF(IFERROR(VLOOKUP(H37,DB_Agents!$B:$I,8,0),"")=I37,IF(C37&gt;=E37,"Successful","Unsuccessful"),"🔒 BLOCKED — Wrong Code")),"Pending")</f>
        <v>Pending</v>
      </c>
      <c r="K37" s="83" t="str">
        <f t="shared" ca="1" si="2"/>
        <v>—</v>
      </c>
      <c r="L37" s="84"/>
    </row>
    <row r="38" spans="1:12" ht="15" customHeight="1" x14ac:dyDescent="0.25">
      <c r="A38" s="85"/>
      <c r="B38" s="41" t="str">
        <f>IF(A38="","",IFERROR(VLOOKUP(A38,DB_Customers!$A:$D,4,0),"❌ Account Not Found"))</f>
        <v/>
      </c>
      <c r="C38" s="86" t="str">
        <f>IF(A38="","",IFERROR(VLOOKUP(A38,DB_Customers!$A:$N,14,0),"❌ Acct Not Found"))</f>
        <v/>
      </c>
      <c r="D38" s="87" t="str">
        <f t="shared" ca="1" si="0"/>
        <v/>
      </c>
      <c r="E38" s="94"/>
      <c r="F38" s="41"/>
      <c r="G38" s="96" t="str">
        <f t="shared" si="1"/>
        <v/>
      </c>
      <c r="H38" s="43" t="s">
        <v>138</v>
      </c>
      <c r="I38" s="81"/>
      <c r="J38" s="89" t="str">
        <f>IF(AND(A38&lt;&gt;"",E38&lt;&gt;""),IF(I38="","⚠️ Enter Code",IF(IFERROR(VLOOKUP(H38,DB_Agents!$B:$I,8,0),"")=I38,IF(C38&gt;=E38,"Successful","Unsuccessful"),"🔒 BLOCKED — Wrong Code")),"Pending")</f>
        <v>Pending</v>
      </c>
      <c r="K38" s="90" t="str">
        <f t="shared" ca="1" si="2"/>
        <v>—</v>
      </c>
      <c r="L38" s="91"/>
    </row>
    <row r="39" spans="1:12" ht="15" customHeight="1" x14ac:dyDescent="0.25">
      <c r="A39" s="76"/>
      <c r="B39" s="37" t="str">
        <f>IF(A39="","",IFERROR(VLOOKUP(A39,DB_Customers!$A:$D,4,0),"❌ Account Not Found"))</f>
        <v/>
      </c>
      <c r="C39" s="77" t="str">
        <f>IF(A39="","",IFERROR(VLOOKUP(A39,DB_Customers!$A:$N,14,0),"❌ Acct Not Found"))</f>
        <v/>
      </c>
      <c r="D39" s="78" t="str">
        <f t="shared" ca="1" si="0"/>
        <v/>
      </c>
      <c r="E39" s="94"/>
      <c r="F39" s="37"/>
      <c r="G39" s="95" t="str">
        <f t="shared" si="1"/>
        <v/>
      </c>
      <c r="H39" s="39" t="s">
        <v>138</v>
      </c>
      <c r="I39" s="81"/>
      <c r="J39" s="82" t="str">
        <f>IF(AND(A39&lt;&gt;"",E39&lt;&gt;""),IF(I39="","⚠️ Enter Code",IF(IFERROR(VLOOKUP(H39,DB_Agents!$B:$I,8,0),"")=I39,IF(C39&gt;=E39,"Successful","Unsuccessful"),"🔒 BLOCKED — Wrong Code")),"Pending")</f>
        <v>Pending</v>
      </c>
      <c r="K39" s="83" t="str">
        <f t="shared" ca="1" si="2"/>
        <v>—</v>
      </c>
      <c r="L39" s="84"/>
    </row>
    <row r="40" spans="1:12" ht="15" customHeight="1" x14ac:dyDescent="0.25">
      <c r="A40" s="85"/>
      <c r="B40" s="41" t="str">
        <f>IF(A40="","",IFERROR(VLOOKUP(A40,DB_Customers!$A:$D,4,0),"❌ Account Not Found"))</f>
        <v/>
      </c>
      <c r="C40" s="86" t="str">
        <f>IF(A40="","",IFERROR(VLOOKUP(A40,DB_Customers!$A:$N,14,0),"❌ Acct Not Found"))</f>
        <v/>
      </c>
      <c r="D40" s="87" t="str">
        <f t="shared" ca="1" si="0"/>
        <v/>
      </c>
      <c r="E40" s="94"/>
      <c r="F40" s="41"/>
      <c r="G40" s="96" t="str">
        <f t="shared" si="1"/>
        <v/>
      </c>
      <c r="H40" s="43" t="s">
        <v>138</v>
      </c>
      <c r="I40" s="81"/>
      <c r="J40" s="89" t="str">
        <f>IF(AND(A40&lt;&gt;"",E40&lt;&gt;""),IF(I40="","⚠️ Enter Code",IF(IFERROR(VLOOKUP(H40,DB_Agents!$B:$I,8,0),"")=I40,IF(C40&gt;=E40,"Successful","Unsuccessful"),"🔒 BLOCKED — Wrong Code")),"Pending")</f>
        <v>Pending</v>
      </c>
      <c r="K40" s="90" t="str">
        <f t="shared" ca="1" si="2"/>
        <v>—</v>
      </c>
      <c r="L40" s="91"/>
    </row>
    <row r="41" spans="1:12" ht="15" customHeight="1" x14ac:dyDescent="0.25">
      <c r="A41" s="76"/>
      <c r="B41" s="37" t="str">
        <f>IF(A41="","",IFERROR(VLOOKUP(A41,DB_Customers!$A:$D,4,0),"❌ Account Not Found"))</f>
        <v/>
      </c>
      <c r="C41" s="77" t="str">
        <f>IF(A41="","",IFERROR(VLOOKUP(A41,DB_Customers!$A:$N,14,0),"❌ Acct Not Found"))</f>
        <v/>
      </c>
      <c r="D41" s="78" t="str">
        <f t="shared" ref="D41:D72" ca="1" si="3">IF(A41="","",TODAY())</f>
        <v/>
      </c>
      <c r="E41" s="94"/>
      <c r="F41" s="37"/>
      <c r="G41" s="95" t="str">
        <f t="shared" ref="G41:G72" si="4">IF(OR(A41="",E41=""),"",IF(C41="","",C41-E41))</f>
        <v/>
      </c>
      <c r="H41" s="39" t="s">
        <v>138</v>
      </c>
      <c r="I41" s="81"/>
      <c r="J41" s="82" t="str">
        <f>IF(AND(A41&lt;&gt;"",E41&lt;&gt;""),IF(I41="","⚠️ Enter Code",IF(IFERROR(VLOOKUP(H41,DB_Agents!$B:$I,8,0),"")=I41,IF(C41&gt;=E41,"Successful","Unsuccessful"),"🔒 BLOCKED — Wrong Code")),"Pending")</f>
        <v>Pending</v>
      </c>
      <c r="K41" s="83" t="str">
        <f t="shared" ref="K41:K72" ca="1" si="5">IF(J41="Successful",TEXT(TODAY(),"YYYY-MM-DD")&amp;" Auto","—")</f>
        <v>—</v>
      </c>
      <c r="L41" s="84"/>
    </row>
    <row r="42" spans="1:12" ht="15" customHeight="1" x14ac:dyDescent="0.25">
      <c r="A42" s="85"/>
      <c r="B42" s="41" t="str">
        <f>IF(A42="","",IFERROR(VLOOKUP(A42,DB_Customers!$A:$D,4,0),"❌ Account Not Found"))</f>
        <v/>
      </c>
      <c r="C42" s="86" t="str">
        <f>IF(A42="","",IFERROR(VLOOKUP(A42,DB_Customers!$A:$N,14,0),"❌ Acct Not Found"))</f>
        <v/>
      </c>
      <c r="D42" s="87" t="str">
        <f t="shared" ca="1" si="3"/>
        <v/>
      </c>
      <c r="E42" s="94"/>
      <c r="F42" s="41"/>
      <c r="G42" s="96" t="str">
        <f t="shared" si="4"/>
        <v/>
      </c>
      <c r="H42" s="43" t="s">
        <v>138</v>
      </c>
      <c r="I42" s="81"/>
      <c r="J42" s="89" t="str">
        <f>IF(AND(A42&lt;&gt;"",E42&lt;&gt;""),IF(I42="","⚠️ Enter Code",IF(IFERROR(VLOOKUP(H42,DB_Agents!$B:$I,8,0),"")=I42,IF(C42&gt;=E42,"Successful","Unsuccessful"),"🔒 BLOCKED — Wrong Code")),"Pending")</f>
        <v>Pending</v>
      </c>
      <c r="K42" s="90" t="str">
        <f t="shared" ca="1" si="5"/>
        <v>—</v>
      </c>
      <c r="L42" s="91"/>
    </row>
    <row r="43" spans="1:12" ht="15" customHeight="1" x14ac:dyDescent="0.25">
      <c r="A43" s="76"/>
      <c r="B43" s="37" t="str">
        <f>IF(A43="","",IFERROR(VLOOKUP(A43,DB_Customers!$A:$D,4,0),"❌ Account Not Found"))</f>
        <v/>
      </c>
      <c r="C43" s="77" t="str">
        <f>IF(A43="","",IFERROR(VLOOKUP(A43,DB_Customers!$A:$N,14,0),"❌ Acct Not Found"))</f>
        <v/>
      </c>
      <c r="D43" s="78" t="str">
        <f t="shared" ca="1" si="3"/>
        <v/>
      </c>
      <c r="E43" s="94"/>
      <c r="F43" s="37"/>
      <c r="G43" s="95" t="str">
        <f t="shared" si="4"/>
        <v/>
      </c>
      <c r="H43" s="39" t="s">
        <v>138</v>
      </c>
      <c r="I43" s="81"/>
      <c r="J43" s="82" t="str">
        <f>IF(AND(A43&lt;&gt;"",E43&lt;&gt;""),IF(I43="","⚠️ Enter Code",IF(IFERROR(VLOOKUP(H43,DB_Agents!$B:$I,8,0),"")=I43,IF(C43&gt;=E43,"Successful","Unsuccessful"),"🔒 BLOCKED — Wrong Code")),"Pending")</f>
        <v>Pending</v>
      </c>
      <c r="K43" s="83" t="str">
        <f t="shared" ca="1" si="5"/>
        <v>—</v>
      </c>
      <c r="L43" s="84"/>
    </row>
    <row r="44" spans="1:12" ht="15" customHeight="1" x14ac:dyDescent="0.25">
      <c r="A44" s="85"/>
      <c r="B44" s="41" t="str">
        <f>IF(A44="","",IFERROR(VLOOKUP(A44,DB_Customers!$A:$D,4,0),"❌ Account Not Found"))</f>
        <v/>
      </c>
      <c r="C44" s="86" t="str">
        <f>IF(A44="","",IFERROR(VLOOKUP(A44,DB_Customers!$A:$N,14,0),"❌ Acct Not Found"))</f>
        <v/>
      </c>
      <c r="D44" s="87" t="str">
        <f t="shared" ca="1" si="3"/>
        <v/>
      </c>
      <c r="E44" s="94"/>
      <c r="F44" s="41"/>
      <c r="G44" s="96" t="str">
        <f t="shared" si="4"/>
        <v/>
      </c>
      <c r="H44" s="43" t="s">
        <v>138</v>
      </c>
      <c r="I44" s="81"/>
      <c r="J44" s="89" t="str">
        <f>IF(AND(A44&lt;&gt;"",E44&lt;&gt;""),IF(I44="","⚠️ Enter Code",IF(IFERROR(VLOOKUP(H44,DB_Agents!$B:$I,8,0),"")=I44,IF(C44&gt;=E44,"Successful","Unsuccessful"),"🔒 BLOCKED — Wrong Code")),"Pending")</f>
        <v>Pending</v>
      </c>
      <c r="K44" s="90" t="str">
        <f t="shared" ca="1" si="5"/>
        <v>—</v>
      </c>
      <c r="L44" s="91"/>
    </row>
    <row r="45" spans="1:12" ht="15" customHeight="1" x14ac:dyDescent="0.25">
      <c r="A45" s="76"/>
      <c r="B45" s="37" t="str">
        <f>IF(A45="","",IFERROR(VLOOKUP(A45,DB_Customers!$A:$D,4,0),"❌ Account Not Found"))</f>
        <v/>
      </c>
      <c r="C45" s="77" t="str">
        <f>IF(A45="","",IFERROR(VLOOKUP(A45,DB_Customers!$A:$N,14,0),"❌ Acct Not Found"))</f>
        <v/>
      </c>
      <c r="D45" s="78" t="str">
        <f t="shared" ca="1" si="3"/>
        <v/>
      </c>
      <c r="E45" s="94"/>
      <c r="F45" s="37"/>
      <c r="G45" s="95" t="str">
        <f t="shared" si="4"/>
        <v/>
      </c>
      <c r="H45" s="39" t="s">
        <v>138</v>
      </c>
      <c r="I45" s="81"/>
      <c r="J45" s="82" t="str">
        <f>IF(AND(A45&lt;&gt;"",E45&lt;&gt;""),IF(I45="","⚠️ Enter Code",IF(IFERROR(VLOOKUP(H45,DB_Agents!$B:$I,8,0),"")=I45,IF(C45&gt;=E45,"Successful","Unsuccessful"),"🔒 BLOCKED — Wrong Code")),"Pending")</f>
        <v>Pending</v>
      </c>
      <c r="K45" s="83" t="str">
        <f t="shared" ca="1" si="5"/>
        <v>—</v>
      </c>
      <c r="L45" s="84"/>
    </row>
    <row r="46" spans="1:12" ht="15" customHeight="1" x14ac:dyDescent="0.25">
      <c r="A46" s="85"/>
      <c r="B46" s="41" t="str">
        <f>IF(A46="","",IFERROR(VLOOKUP(A46,DB_Customers!$A:$D,4,0),"❌ Account Not Found"))</f>
        <v/>
      </c>
      <c r="C46" s="86" t="str">
        <f>IF(A46="","",IFERROR(VLOOKUP(A46,DB_Customers!$A:$N,14,0),"❌ Acct Not Found"))</f>
        <v/>
      </c>
      <c r="D46" s="87" t="str">
        <f t="shared" ca="1" si="3"/>
        <v/>
      </c>
      <c r="E46" s="94"/>
      <c r="F46" s="41"/>
      <c r="G46" s="96" t="str">
        <f t="shared" si="4"/>
        <v/>
      </c>
      <c r="H46" s="43" t="s">
        <v>138</v>
      </c>
      <c r="I46" s="81"/>
      <c r="J46" s="89" t="str">
        <f>IF(AND(A46&lt;&gt;"",E46&lt;&gt;""),IF(I46="","⚠️ Enter Code",IF(IFERROR(VLOOKUP(H46,DB_Agents!$B:$I,8,0),"")=I46,IF(C46&gt;=E46,"Successful","Unsuccessful"),"🔒 BLOCKED — Wrong Code")),"Pending")</f>
        <v>Pending</v>
      </c>
      <c r="K46" s="90" t="str">
        <f t="shared" ca="1" si="5"/>
        <v>—</v>
      </c>
      <c r="L46" s="91"/>
    </row>
    <row r="47" spans="1:12" ht="15" customHeight="1" x14ac:dyDescent="0.25">
      <c r="A47" s="76"/>
      <c r="B47" s="37" t="str">
        <f>IF(A47="","",IFERROR(VLOOKUP(A47,DB_Customers!$A:$D,4,0),"❌ Account Not Found"))</f>
        <v/>
      </c>
      <c r="C47" s="77" t="str">
        <f>IF(A47="","",IFERROR(VLOOKUP(A47,DB_Customers!$A:$N,14,0),"❌ Acct Not Found"))</f>
        <v/>
      </c>
      <c r="D47" s="78" t="str">
        <f t="shared" ca="1" si="3"/>
        <v/>
      </c>
      <c r="E47" s="94"/>
      <c r="F47" s="37"/>
      <c r="G47" s="95" t="str">
        <f t="shared" si="4"/>
        <v/>
      </c>
      <c r="H47" s="39" t="s">
        <v>138</v>
      </c>
      <c r="I47" s="81"/>
      <c r="J47" s="82" t="str">
        <f>IF(AND(A47&lt;&gt;"",E47&lt;&gt;""),IF(I47="","⚠️ Enter Code",IF(IFERROR(VLOOKUP(H47,DB_Agents!$B:$I,8,0),"")=I47,IF(C47&gt;=E47,"Successful","Unsuccessful"),"🔒 BLOCKED — Wrong Code")),"Pending")</f>
        <v>Pending</v>
      </c>
      <c r="K47" s="83" t="str">
        <f t="shared" ca="1" si="5"/>
        <v>—</v>
      </c>
      <c r="L47" s="84"/>
    </row>
    <row r="48" spans="1:12" ht="15" customHeight="1" x14ac:dyDescent="0.25">
      <c r="A48" s="85"/>
      <c r="B48" s="41" t="str">
        <f>IF(A48="","",IFERROR(VLOOKUP(A48,DB_Customers!$A:$D,4,0),"❌ Account Not Found"))</f>
        <v/>
      </c>
      <c r="C48" s="86" t="str">
        <f>IF(A48="","",IFERROR(VLOOKUP(A48,DB_Customers!$A:$N,14,0),"❌ Acct Not Found"))</f>
        <v/>
      </c>
      <c r="D48" s="87" t="str">
        <f t="shared" ca="1" si="3"/>
        <v/>
      </c>
      <c r="E48" s="94"/>
      <c r="F48" s="41"/>
      <c r="G48" s="96" t="str">
        <f t="shared" si="4"/>
        <v/>
      </c>
      <c r="H48" s="43" t="s">
        <v>138</v>
      </c>
      <c r="I48" s="81"/>
      <c r="J48" s="89" t="str">
        <f>IF(AND(A48&lt;&gt;"",E48&lt;&gt;""),IF(I48="","⚠️ Enter Code",IF(IFERROR(VLOOKUP(H48,DB_Agents!$B:$I,8,0),"")=I48,IF(C48&gt;=E48,"Successful","Unsuccessful"),"🔒 BLOCKED — Wrong Code")),"Pending")</f>
        <v>Pending</v>
      </c>
      <c r="K48" s="90" t="str">
        <f t="shared" ca="1" si="5"/>
        <v>—</v>
      </c>
      <c r="L48" s="91"/>
    </row>
    <row r="49" spans="1:12" ht="15" customHeight="1" x14ac:dyDescent="0.25">
      <c r="A49" s="76"/>
      <c r="B49" s="37" t="str">
        <f>IF(A49="","",IFERROR(VLOOKUP(A49,DB_Customers!$A:$D,4,0),"❌ Account Not Found"))</f>
        <v/>
      </c>
      <c r="C49" s="77" t="str">
        <f>IF(A49="","",IFERROR(VLOOKUP(A49,DB_Customers!$A:$N,14,0),"❌ Acct Not Found"))</f>
        <v/>
      </c>
      <c r="D49" s="78" t="str">
        <f t="shared" ca="1" si="3"/>
        <v/>
      </c>
      <c r="E49" s="94"/>
      <c r="F49" s="37"/>
      <c r="G49" s="95" t="str">
        <f t="shared" si="4"/>
        <v/>
      </c>
      <c r="H49" s="39" t="s">
        <v>138</v>
      </c>
      <c r="I49" s="81"/>
      <c r="J49" s="82" t="str">
        <f>IF(AND(A49&lt;&gt;"",E49&lt;&gt;""),IF(I49="","⚠️ Enter Code",IF(IFERROR(VLOOKUP(H49,DB_Agents!$B:$I,8,0),"")=I49,IF(C49&gt;=E49,"Successful","Unsuccessful"),"🔒 BLOCKED — Wrong Code")),"Pending")</f>
        <v>Pending</v>
      </c>
      <c r="K49" s="83" t="str">
        <f t="shared" ca="1" si="5"/>
        <v>—</v>
      </c>
      <c r="L49" s="84"/>
    </row>
    <row r="50" spans="1:12" ht="15" customHeight="1" x14ac:dyDescent="0.25">
      <c r="A50" s="85"/>
      <c r="B50" s="41" t="str">
        <f>IF(A50="","",IFERROR(VLOOKUP(A50,DB_Customers!$A:$D,4,0),"❌ Account Not Found"))</f>
        <v/>
      </c>
      <c r="C50" s="86" t="str">
        <f>IF(A50="","",IFERROR(VLOOKUP(A50,DB_Customers!$A:$N,14,0),"❌ Acct Not Found"))</f>
        <v/>
      </c>
      <c r="D50" s="87" t="str">
        <f t="shared" ca="1" si="3"/>
        <v/>
      </c>
      <c r="E50" s="94"/>
      <c r="F50" s="41"/>
      <c r="G50" s="96" t="str">
        <f t="shared" si="4"/>
        <v/>
      </c>
      <c r="H50" s="43" t="s">
        <v>138</v>
      </c>
      <c r="I50" s="81"/>
      <c r="J50" s="89" t="str">
        <f>IF(AND(A50&lt;&gt;"",E50&lt;&gt;""),IF(I50="","⚠️ Enter Code",IF(IFERROR(VLOOKUP(H50,DB_Agents!$B:$I,8,0),"")=I50,IF(C50&gt;=E50,"Successful","Unsuccessful"),"🔒 BLOCKED — Wrong Code")),"Pending")</f>
        <v>Pending</v>
      </c>
      <c r="K50" s="90" t="str">
        <f t="shared" ca="1" si="5"/>
        <v>—</v>
      </c>
      <c r="L50" s="91"/>
    </row>
    <row r="51" spans="1:12" ht="15" customHeight="1" x14ac:dyDescent="0.25">
      <c r="A51" s="76"/>
      <c r="B51" s="37" t="str">
        <f>IF(A51="","",IFERROR(VLOOKUP(A51,DB_Customers!$A:$D,4,0),"❌ Account Not Found"))</f>
        <v/>
      </c>
      <c r="C51" s="77" t="str">
        <f>IF(A51="","",IFERROR(VLOOKUP(A51,DB_Customers!$A:$N,14,0),"❌ Acct Not Found"))</f>
        <v/>
      </c>
      <c r="D51" s="78" t="str">
        <f t="shared" ca="1" si="3"/>
        <v/>
      </c>
      <c r="E51" s="94"/>
      <c r="F51" s="37"/>
      <c r="G51" s="95" t="str">
        <f t="shared" si="4"/>
        <v/>
      </c>
      <c r="H51" s="39" t="s">
        <v>138</v>
      </c>
      <c r="I51" s="81"/>
      <c r="J51" s="82" t="str">
        <f>IF(AND(A51&lt;&gt;"",E51&lt;&gt;""),IF(I51="","⚠️ Enter Code",IF(IFERROR(VLOOKUP(H51,DB_Agents!$B:$I,8,0),"")=I51,IF(C51&gt;=E51,"Successful","Unsuccessful"),"🔒 BLOCKED — Wrong Code")),"Pending")</f>
        <v>Pending</v>
      </c>
      <c r="K51" s="83" t="str">
        <f t="shared" ca="1" si="5"/>
        <v>—</v>
      </c>
      <c r="L51" s="84"/>
    </row>
    <row r="52" spans="1:12" ht="15" customHeight="1" x14ac:dyDescent="0.25">
      <c r="A52" s="85"/>
      <c r="B52" s="41" t="str">
        <f>IF(A52="","",IFERROR(VLOOKUP(A52,DB_Customers!$A:$D,4,0),"❌ Account Not Found"))</f>
        <v/>
      </c>
      <c r="C52" s="86" t="str">
        <f>IF(A52="","",IFERROR(VLOOKUP(A52,DB_Customers!$A:$N,14,0),"❌ Acct Not Found"))</f>
        <v/>
      </c>
      <c r="D52" s="87" t="str">
        <f t="shared" ca="1" si="3"/>
        <v/>
      </c>
      <c r="E52" s="94"/>
      <c r="F52" s="41"/>
      <c r="G52" s="96" t="str">
        <f t="shared" si="4"/>
        <v/>
      </c>
      <c r="H52" s="43" t="s">
        <v>138</v>
      </c>
      <c r="I52" s="81"/>
      <c r="J52" s="89" t="str">
        <f>IF(AND(A52&lt;&gt;"",E52&lt;&gt;""),IF(I52="","⚠️ Enter Code",IF(IFERROR(VLOOKUP(H52,DB_Agents!$B:$I,8,0),"")=I52,IF(C52&gt;=E52,"Successful","Unsuccessful"),"🔒 BLOCKED — Wrong Code")),"Pending")</f>
        <v>Pending</v>
      </c>
      <c r="K52" s="90" t="str">
        <f t="shared" ca="1" si="5"/>
        <v>—</v>
      </c>
      <c r="L52" s="91"/>
    </row>
    <row r="53" spans="1:12" ht="15" customHeight="1" x14ac:dyDescent="0.25">
      <c r="A53" s="76"/>
      <c r="B53" s="37" t="str">
        <f>IF(A53="","",IFERROR(VLOOKUP(A53,DB_Customers!$A:$D,4,0),"❌ Account Not Found"))</f>
        <v/>
      </c>
      <c r="C53" s="77" t="str">
        <f>IF(A53="","",IFERROR(VLOOKUP(A53,DB_Customers!$A:$N,14,0),"❌ Acct Not Found"))</f>
        <v/>
      </c>
      <c r="D53" s="78" t="str">
        <f t="shared" ca="1" si="3"/>
        <v/>
      </c>
      <c r="E53" s="94"/>
      <c r="F53" s="37"/>
      <c r="G53" s="95" t="str">
        <f t="shared" si="4"/>
        <v/>
      </c>
      <c r="H53" s="39" t="s">
        <v>138</v>
      </c>
      <c r="I53" s="81"/>
      <c r="J53" s="82" t="str">
        <f>IF(AND(A53&lt;&gt;"",E53&lt;&gt;""),IF(I53="","⚠️ Enter Code",IF(IFERROR(VLOOKUP(H53,DB_Agents!$B:$I,8,0),"")=I53,IF(C53&gt;=E53,"Successful","Unsuccessful"),"🔒 BLOCKED — Wrong Code")),"Pending")</f>
        <v>Pending</v>
      </c>
      <c r="K53" s="83" t="str">
        <f t="shared" ca="1" si="5"/>
        <v>—</v>
      </c>
      <c r="L53" s="84"/>
    </row>
    <row r="54" spans="1:12" ht="15" customHeight="1" x14ac:dyDescent="0.25">
      <c r="A54" s="85"/>
      <c r="B54" s="41" t="str">
        <f>IF(A54="","",IFERROR(VLOOKUP(A54,DB_Customers!$A:$D,4,0),"❌ Account Not Found"))</f>
        <v/>
      </c>
      <c r="C54" s="86" t="str">
        <f>IF(A54="","",IFERROR(VLOOKUP(A54,DB_Customers!$A:$N,14,0),"❌ Acct Not Found"))</f>
        <v/>
      </c>
      <c r="D54" s="87" t="str">
        <f t="shared" ca="1" si="3"/>
        <v/>
      </c>
      <c r="E54" s="94"/>
      <c r="F54" s="41"/>
      <c r="G54" s="96" t="str">
        <f t="shared" si="4"/>
        <v/>
      </c>
      <c r="H54" s="43" t="s">
        <v>138</v>
      </c>
      <c r="I54" s="81"/>
      <c r="J54" s="89" t="str">
        <f>IF(AND(A54&lt;&gt;"",E54&lt;&gt;""),IF(I54="","⚠️ Enter Code",IF(IFERROR(VLOOKUP(H54,DB_Agents!$B:$I,8,0),"")=I54,IF(C54&gt;=E54,"Successful","Unsuccessful"),"🔒 BLOCKED — Wrong Code")),"Pending")</f>
        <v>Pending</v>
      </c>
      <c r="K54" s="90" t="str">
        <f t="shared" ca="1" si="5"/>
        <v>—</v>
      </c>
      <c r="L54" s="91"/>
    </row>
    <row r="55" spans="1:12" ht="15" customHeight="1" x14ac:dyDescent="0.25">
      <c r="A55" s="76"/>
      <c r="B55" s="37" t="str">
        <f>IF(A55="","",IFERROR(VLOOKUP(A55,DB_Customers!$A:$D,4,0),"❌ Account Not Found"))</f>
        <v/>
      </c>
      <c r="C55" s="77" t="str">
        <f>IF(A55="","",IFERROR(VLOOKUP(A55,DB_Customers!$A:$N,14,0),"❌ Acct Not Found"))</f>
        <v/>
      </c>
      <c r="D55" s="78" t="str">
        <f t="shared" ca="1" si="3"/>
        <v/>
      </c>
      <c r="E55" s="94"/>
      <c r="F55" s="37"/>
      <c r="G55" s="95" t="str">
        <f t="shared" si="4"/>
        <v/>
      </c>
      <c r="H55" s="39" t="s">
        <v>138</v>
      </c>
      <c r="I55" s="81"/>
      <c r="J55" s="82" t="str">
        <f>IF(AND(A55&lt;&gt;"",E55&lt;&gt;""),IF(I55="","⚠️ Enter Code",IF(IFERROR(VLOOKUP(H55,DB_Agents!$B:$I,8,0),"")=I55,IF(C55&gt;=E55,"Successful","Unsuccessful"),"🔒 BLOCKED — Wrong Code")),"Pending")</f>
        <v>Pending</v>
      </c>
      <c r="K55" s="83" t="str">
        <f t="shared" ca="1" si="5"/>
        <v>—</v>
      </c>
      <c r="L55" s="84"/>
    </row>
    <row r="56" spans="1:12" ht="15" customHeight="1" x14ac:dyDescent="0.25">
      <c r="A56" s="85"/>
      <c r="B56" s="41" t="str">
        <f>IF(A56="","",IFERROR(VLOOKUP(A56,DB_Customers!$A:$D,4,0),"❌ Account Not Found"))</f>
        <v/>
      </c>
      <c r="C56" s="86" t="str">
        <f>IF(A56="","",IFERROR(VLOOKUP(A56,DB_Customers!$A:$N,14,0),"❌ Acct Not Found"))</f>
        <v/>
      </c>
      <c r="D56" s="87" t="str">
        <f t="shared" ca="1" si="3"/>
        <v/>
      </c>
      <c r="E56" s="94"/>
      <c r="F56" s="41"/>
      <c r="G56" s="96" t="str">
        <f t="shared" si="4"/>
        <v/>
      </c>
      <c r="H56" s="43" t="s">
        <v>138</v>
      </c>
      <c r="I56" s="81"/>
      <c r="J56" s="89" t="str">
        <f>IF(AND(A56&lt;&gt;"",E56&lt;&gt;""),IF(I56="","⚠️ Enter Code",IF(IFERROR(VLOOKUP(H56,DB_Agents!$B:$I,8,0),"")=I56,IF(C56&gt;=E56,"Successful","Unsuccessful"),"🔒 BLOCKED — Wrong Code")),"Pending")</f>
        <v>Pending</v>
      </c>
      <c r="K56" s="90" t="str">
        <f t="shared" ca="1" si="5"/>
        <v>—</v>
      </c>
      <c r="L56" s="91"/>
    </row>
    <row r="57" spans="1:12" ht="15" customHeight="1" x14ac:dyDescent="0.25">
      <c r="A57" s="76"/>
      <c r="B57" s="37" t="str">
        <f>IF(A57="","",IFERROR(VLOOKUP(A57,DB_Customers!$A:$D,4,0),"❌ Account Not Found"))</f>
        <v/>
      </c>
      <c r="C57" s="77" t="str">
        <f>IF(A57="","",IFERROR(VLOOKUP(A57,DB_Customers!$A:$N,14,0),"❌ Acct Not Found"))</f>
        <v/>
      </c>
      <c r="D57" s="78" t="str">
        <f t="shared" ca="1" si="3"/>
        <v/>
      </c>
      <c r="E57" s="94"/>
      <c r="F57" s="37"/>
      <c r="G57" s="95" t="str">
        <f t="shared" si="4"/>
        <v/>
      </c>
      <c r="H57" s="39" t="s">
        <v>138</v>
      </c>
      <c r="I57" s="81"/>
      <c r="J57" s="82" t="str">
        <f>IF(AND(A57&lt;&gt;"",E57&lt;&gt;""),IF(I57="","⚠️ Enter Code",IF(IFERROR(VLOOKUP(H57,DB_Agents!$B:$I,8,0),"")=I57,IF(C57&gt;=E57,"Successful","Unsuccessful"),"🔒 BLOCKED — Wrong Code")),"Pending")</f>
        <v>Pending</v>
      </c>
      <c r="K57" s="83" t="str">
        <f t="shared" ca="1" si="5"/>
        <v>—</v>
      </c>
      <c r="L57" s="84"/>
    </row>
    <row r="58" spans="1:12" ht="15" customHeight="1" x14ac:dyDescent="0.25">
      <c r="A58" s="85"/>
      <c r="B58" s="41" t="str">
        <f>IF(A58="","",IFERROR(VLOOKUP(A58,DB_Customers!$A:$D,4,0),"❌ Account Not Found"))</f>
        <v/>
      </c>
      <c r="C58" s="86" t="str">
        <f>IF(A58="","",IFERROR(VLOOKUP(A58,DB_Customers!$A:$N,14,0),"❌ Acct Not Found"))</f>
        <v/>
      </c>
      <c r="D58" s="87" t="str">
        <f t="shared" ca="1" si="3"/>
        <v/>
      </c>
      <c r="E58" s="94"/>
      <c r="F58" s="41"/>
      <c r="G58" s="96" t="str">
        <f t="shared" si="4"/>
        <v/>
      </c>
      <c r="H58" s="43" t="s">
        <v>138</v>
      </c>
      <c r="I58" s="81"/>
      <c r="J58" s="89" t="str">
        <f>IF(AND(A58&lt;&gt;"",E58&lt;&gt;""),IF(I58="","⚠️ Enter Code",IF(IFERROR(VLOOKUP(H58,DB_Agents!$B:$I,8,0),"")=I58,IF(C58&gt;=E58,"Successful","Unsuccessful"),"🔒 BLOCKED — Wrong Code")),"Pending")</f>
        <v>Pending</v>
      </c>
      <c r="K58" s="90" t="str">
        <f t="shared" ca="1" si="5"/>
        <v>—</v>
      </c>
      <c r="L58" s="91"/>
    </row>
    <row r="59" spans="1:12" ht="15" customHeight="1" x14ac:dyDescent="0.25">
      <c r="A59" s="76"/>
      <c r="B59" s="37" t="str">
        <f>IF(A59="","",IFERROR(VLOOKUP(A59,DB_Customers!$A:$D,4,0),"❌ Account Not Found"))</f>
        <v/>
      </c>
      <c r="C59" s="77" t="str">
        <f>IF(A59="","",IFERROR(VLOOKUP(A59,DB_Customers!$A:$N,14,0),"❌ Acct Not Found"))</f>
        <v/>
      </c>
      <c r="D59" s="78" t="str">
        <f t="shared" ca="1" si="3"/>
        <v/>
      </c>
      <c r="E59" s="94"/>
      <c r="F59" s="37"/>
      <c r="G59" s="95" t="str">
        <f t="shared" si="4"/>
        <v/>
      </c>
      <c r="H59" s="39" t="s">
        <v>138</v>
      </c>
      <c r="I59" s="81"/>
      <c r="J59" s="82" t="str">
        <f>IF(AND(A59&lt;&gt;"",E59&lt;&gt;""),IF(I59="","⚠️ Enter Code",IF(IFERROR(VLOOKUP(H59,DB_Agents!$B:$I,8,0),"")=I59,IF(C59&gt;=E59,"Successful","Unsuccessful"),"🔒 BLOCKED — Wrong Code")),"Pending")</f>
        <v>Pending</v>
      </c>
      <c r="K59" s="83" t="str">
        <f t="shared" ca="1" si="5"/>
        <v>—</v>
      </c>
      <c r="L59" s="84"/>
    </row>
    <row r="60" spans="1:12" ht="15" customHeight="1" x14ac:dyDescent="0.25">
      <c r="A60" s="85"/>
      <c r="B60" s="41" t="str">
        <f>IF(A60="","",IFERROR(VLOOKUP(A60,DB_Customers!$A:$D,4,0),"❌ Account Not Found"))</f>
        <v/>
      </c>
      <c r="C60" s="86" t="str">
        <f>IF(A60="","",IFERROR(VLOOKUP(A60,DB_Customers!$A:$N,14,0),"❌ Acct Not Found"))</f>
        <v/>
      </c>
      <c r="D60" s="87" t="str">
        <f t="shared" ca="1" si="3"/>
        <v/>
      </c>
      <c r="E60" s="94"/>
      <c r="F60" s="41"/>
      <c r="G60" s="96" t="str">
        <f t="shared" si="4"/>
        <v/>
      </c>
      <c r="H60" s="43" t="s">
        <v>138</v>
      </c>
      <c r="I60" s="81"/>
      <c r="J60" s="89" t="str">
        <f>IF(AND(A60&lt;&gt;"",E60&lt;&gt;""),IF(I60="","⚠️ Enter Code",IF(IFERROR(VLOOKUP(H60,DB_Agents!$B:$I,8,0),"")=I60,IF(C60&gt;=E60,"Successful","Unsuccessful"),"🔒 BLOCKED — Wrong Code")),"Pending")</f>
        <v>Pending</v>
      </c>
      <c r="K60" s="90" t="str">
        <f t="shared" ca="1" si="5"/>
        <v>—</v>
      </c>
      <c r="L60" s="91"/>
    </row>
    <row r="61" spans="1:12" ht="15" customHeight="1" x14ac:dyDescent="0.25">
      <c r="A61" s="76"/>
      <c r="B61" s="37" t="str">
        <f>IF(A61="","",IFERROR(VLOOKUP(A61,DB_Customers!$A:$D,4,0),"❌ Account Not Found"))</f>
        <v/>
      </c>
      <c r="C61" s="77" t="str">
        <f>IF(A61="","",IFERROR(VLOOKUP(A61,DB_Customers!$A:$N,14,0),"❌ Acct Not Found"))</f>
        <v/>
      </c>
      <c r="D61" s="78" t="str">
        <f t="shared" ca="1" si="3"/>
        <v/>
      </c>
      <c r="E61" s="94"/>
      <c r="F61" s="37"/>
      <c r="G61" s="95" t="str">
        <f t="shared" si="4"/>
        <v/>
      </c>
      <c r="H61" s="39" t="s">
        <v>138</v>
      </c>
      <c r="I61" s="81"/>
      <c r="J61" s="82" t="str">
        <f>IF(AND(A61&lt;&gt;"",E61&lt;&gt;""),IF(I61="","⚠️ Enter Code",IF(IFERROR(VLOOKUP(H61,DB_Agents!$B:$I,8,0),"")=I61,IF(C61&gt;=E61,"Successful","Unsuccessful"),"🔒 BLOCKED — Wrong Code")),"Pending")</f>
        <v>Pending</v>
      </c>
      <c r="K61" s="83" t="str">
        <f t="shared" ca="1" si="5"/>
        <v>—</v>
      </c>
      <c r="L61" s="84"/>
    </row>
    <row r="62" spans="1:12" ht="15" customHeight="1" x14ac:dyDescent="0.25">
      <c r="A62" s="85"/>
      <c r="B62" s="41" t="str">
        <f>IF(A62="","",IFERROR(VLOOKUP(A62,DB_Customers!$A:$D,4,0),"❌ Account Not Found"))</f>
        <v/>
      </c>
      <c r="C62" s="86" t="str">
        <f>IF(A62="","",IFERROR(VLOOKUP(A62,DB_Customers!$A:$N,14,0),"❌ Acct Not Found"))</f>
        <v/>
      </c>
      <c r="D62" s="87" t="str">
        <f t="shared" ca="1" si="3"/>
        <v/>
      </c>
      <c r="E62" s="94"/>
      <c r="F62" s="41"/>
      <c r="G62" s="96" t="str">
        <f t="shared" si="4"/>
        <v/>
      </c>
      <c r="H62" s="43" t="s">
        <v>138</v>
      </c>
      <c r="I62" s="81"/>
      <c r="J62" s="89" t="str">
        <f>IF(AND(A62&lt;&gt;"",E62&lt;&gt;""),IF(I62="","⚠️ Enter Code",IF(IFERROR(VLOOKUP(H62,DB_Agents!$B:$I,8,0),"")=I62,IF(C62&gt;=E62,"Successful","Unsuccessful"),"🔒 BLOCKED — Wrong Code")),"Pending")</f>
        <v>Pending</v>
      </c>
      <c r="K62" s="90" t="str">
        <f t="shared" ca="1" si="5"/>
        <v>—</v>
      </c>
      <c r="L62" s="91"/>
    </row>
    <row r="63" spans="1:12" ht="15" customHeight="1" x14ac:dyDescent="0.25">
      <c r="A63" s="76"/>
      <c r="B63" s="37" t="str">
        <f>IF(A63="","",IFERROR(VLOOKUP(A63,DB_Customers!$A:$D,4,0),"❌ Account Not Found"))</f>
        <v/>
      </c>
      <c r="C63" s="77" t="str">
        <f>IF(A63="","",IFERROR(VLOOKUP(A63,DB_Customers!$A:$N,14,0),"❌ Acct Not Found"))</f>
        <v/>
      </c>
      <c r="D63" s="78" t="str">
        <f t="shared" ca="1" si="3"/>
        <v/>
      </c>
      <c r="E63" s="94"/>
      <c r="F63" s="37"/>
      <c r="G63" s="95" t="str">
        <f t="shared" si="4"/>
        <v/>
      </c>
      <c r="H63" s="39" t="s">
        <v>138</v>
      </c>
      <c r="I63" s="81"/>
      <c r="J63" s="82" t="str">
        <f>IF(AND(A63&lt;&gt;"",E63&lt;&gt;""),IF(I63="","⚠️ Enter Code",IF(IFERROR(VLOOKUP(H63,DB_Agents!$B:$I,8,0),"")=I63,IF(C63&gt;=E63,"Successful","Unsuccessful"),"🔒 BLOCKED — Wrong Code")),"Pending")</f>
        <v>Pending</v>
      </c>
      <c r="K63" s="83" t="str">
        <f t="shared" ca="1" si="5"/>
        <v>—</v>
      </c>
      <c r="L63" s="84"/>
    </row>
    <row r="64" spans="1:12" ht="15" customHeight="1" x14ac:dyDescent="0.25">
      <c r="A64" s="85"/>
      <c r="B64" s="41" t="str">
        <f>IF(A64="","",IFERROR(VLOOKUP(A64,DB_Customers!$A:$D,4,0),"❌ Account Not Found"))</f>
        <v/>
      </c>
      <c r="C64" s="86" t="str">
        <f>IF(A64="","",IFERROR(VLOOKUP(A64,DB_Customers!$A:$N,14,0),"❌ Acct Not Found"))</f>
        <v/>
      </c>
      <c r="D64" s="87" t="str">
        <f t="shared" ca="1" si="3"/>
        <v/>
      </c>
      <c r="E64" s="94"/>
      <c r="F64" s="41"/>
      <c r="G64" s="96" t="str">
        <f t="shared" si="4"/>
        <v/>
      </c>
      <c r="H64" s="43" t="s">
        <v>138</v>
      </c>
      <c r="I64" s="81"/>
      <c r="J64" s="89" t="str">
        <f>IF(AND(A64&lt;&gt;"",E64&lt;&gt;""),IF(I64="","⚠️ Enter Code",IF(IFERROR(VLOOKUP(H64,DB_Agents!$B:$I,8,0),"")=I64,IF(C64&gt;=E64,"Successful","Unsuccessful"),"🔒 BLOCKED — Wrong Code")),"Pending")</f>
        <v>Pending</v>
      </c>
      <c r="K64" s="90" t="str">
        <f t="shared" ca="1" si="5"/>
        <v>—</v>
      </c>
      <c r="L64" s="91"/>
    </row>
    <row r="65" spans="1:12" ht="15" customHeight="1" x14ac:dyDescent="0.25">
      <c r="A65" s="76"/>
      <c r="B65" s="37" t="str">
        <f>IF(A65="","",IFERROR(VLOOKUP(A65,DB_Customers!$A:$D,4,0),"❌ Account Not Found"))</f>
        <v/>
      </c>
      <c r="C65" s="77" t="str">
        <f>IF(A65="","",IFERROR(VLOOKUP(A65,DB_Customers!$A:$N,14,0),"❌ Acct Not Found"))</f>
        <v/>
      </c>
      <c r="D65" s="78" t="str">
        <f t="shared" ca="1" si="3"/>
        <v/>
      </c>
      <c r="E65" s="94"/>
      <c r="F65" s="37"/>
      <c r="G65" s="95" t="str">
        <f t="shared" si="4"/>
        <v/>
      </c>
      <c r="H65" s="39" t="s">
        <v>138</v>
      </c>
      <c r="I65" s="81"/>
      <c r="J65" s="82" t="str">
        <f>IF(AND(A65&lt;&gt;"",E65&lt;&gt;""),IF(I65="","⚠️ Enter Code",IF(IFERROR(VLOOKUP(H65,DB_Agents!$B:$I,8,0),"")=I65,IF(C65&gt;=E65,"Successful","Unsuccessful"),"🔒 BLOCKED — Wrong Code")),"Pending")</f>
        <v>Pending</v>
      </c>
      <c r="K65" s="83" t="str">
        <f t="shared" ca="1" si="5"/>
        <v>—</v>
      </c>
      <c r="L65" s="84"/>
    </row>
    <row r="66" spans="1:12" ht="15" customHeight="1" x14ac:dyDescent="0.25">
      <c r="A66" s="85"/>
      <c r="B66" s="41" t="str">
        <f>IF(A66="","",IFERROR(VLOOKUP(A66,DB_Customers!$A:$D,4,0),"❌ Account Not Found"))</f>
        <v/>
      </c>
      <c r="C66" s="86" t="str">
        <f>IF(A66="","",IFERROR(VLOOKUP(A66,DB_Customers!$A:$N,14,0),"❌ Acct Not Found"))</f>
        <v/>
      </c>
      <c r="D66" s="87" t="str">
        <f t="shared" ca="1" si="3"/>
        <v/>
      </c>
      <c r="E66" s="94"/>
      <c r="F66" s="41"/>
      <c r="G66" s="96" t="str">
        <f t="shared" si="4"/>
        <v/>
      </c>
      <c r="H66" s="43" t="s">
        <v>138</v>
      </c>
      <c r="I66" s="81"/>
      <c r="J66" s="89" t="str">
        <f>IF(AND(A66&lt;&gt;"",E66&lt;&gt;""),IF(I66="","⚠️ Enter Code",IF(IFERROR(VLOOKUP(H66,DB_Agents!$B:$I,8,0),"")=I66,IF(C66&gt;=E66,"Successful","Unsuccessful"),"🔒 BLOCKED — Wrong Code")),"Pending")</f>
        <v>Pending</v>
      </c>
      <c r="K66" s="90" t="str">
        <f t="shared" ca="1" si="5"/>
        <v>—</v>
      </c>
      <c r="L66" s="91"/>
    </row>
    <row r="67" spans="1:12" ht="15" customHeight="1" x14ac:dyDescent="0.25">
      <c r="A67" s="76"/>
      <c r="B67" s="37" t="str">
        <f>IF(A67="","",IFERROR(VLOOKUP(A67,DB_Customers!$A:$D,4,0),"❌ Account Not Found"))</f>
        <v/>
      </c>
      <c r="C67" s="77" t="str">
        <f>IF(A67="","",IFERROR(VLOOKUP(A67,DB_Customers!$A:$N,14,0),"❌ Acct Not Found"))</f>
        <v/>
      </c>
      <c r="D67" s="78" t="str">
        <f t="shared" ca="1" si="3"/>
        <v/>
      </c>
      <c r="E67" s="94"/>
      <c r="F67" s="37"/>
      <c r="G67" s="95" t="str">
        <f t="shared" si="4"/>
        <v/>
      </c>
      <c r="H67" s="39" t="s">
        <v>138</v>
      </c>
      <c r="I67" s="81"/>
      <c r="J67" s="82" t="str">
        <f>IF(AND(A67&lt;&gt;"",E67&lt;&gt;""),IF(I67="","⚠️ Enter Code",IF(IFERROR(VLOOKUP(H67,DB_Agents!$B:$I,8,0),"")=I67,IF(C67&gt;=E67,"Successful","Unsuccessful"),"🔒 BLOCKED — Wrong Code")),"Pending")</f>
        <v>Pending</v>
      </c>
      <c r="K67" s="83" t="str">
        <f t="shared" ca="1" si="5"/>
        <v>—</v>
      </c>
      <c r="L67" s="84"/>
    </row>
    <row r="68" spans="1:12" ht="15" customHeight="1" x14ac:dyDescent="0.25">
      <c r="A68" s="85"/>
      <c r="B68" s="41" t="str">
        <f>IF(A68="","",IFERROR(VLOOKUP(A68,DB_Customers!$A:$D,4,0),"❌ Account Not Found"))</f>
        <v/>
      </c>
      <c r="C68" s="86" t="str">
        <f>IF(A68="","",IFERROR(VLOOKUP(A68,DB_Customers!$A:$N,14,0),"❌ Acct Not Found"))</f>
        <v/>
      </c>
      <c r="D68" s="87" t="str">
        <f t="shared" ca="1" si="3"/>
        <v/>
      </c>
      <c r="E68" s="94"/>
      <c r="F68" s="41"/>
      <c r="G68" s="96" t="str">
        <f t="shared" si="4"/>
        <v/>
      </c>
      <c r="H68" s="43" t="s">
        <v>138</v>
      </c>
      <c r="I68" s="81"/>
      <c r="J68" s="89" t="str">
        <f>IF(AND(A68&lt;&gt;"",E68&lt;&gt;""),IF(I68="","⚠️ Enter Code",IF(IFERROR(VLOOKUP(H68,DB_Agents!$B:$I,8,0),"")=I68,IF(C68&gt;=E68,"Successful","Unsuccessful"),"🔒 BLOCKED — Wrong Code")),"Pending")</f>
        <v>Pending</v>
      </c>
      <c r="K68" s="90" t="str">
        <f t="shared" ca="1" si="5"/>
        <v>—</v>
      </c>
      <c r="L68" s="91"/>
    </row>
    <row r="69" spans="1:12" ht="15" customHeight="1" x14ac:dyDescent="0.25">
      <c r="A69" s="76"/>
      <c r="B69" s="37" t="str">
        <f>IF(A69="","",IFERROR(VLOOKUP(A69,DB_Customers!$A:$D,4,0),"❌ Account Not Found"))</f>
        <v/>
      </c>
      <c r="C69" s="77" t="str">
        <f>IF(A69="","",IFERROR(VLOOKUP(A69,DB_Customers!$A:$N,14,0),"❌ Acct Not Found"))</f>
        <v/>
      </c>
      <c r="D69" s="78" t="str">
        <f t="shared" ca="1" si="3"/>
        <v/>
      </c>
      <c r="E69" s="94"/>
      <c r="F69" s="37"/>
      <c r="G69" s="95" t="str">
        <f t="shared" si="4"/>
        <v/>
      </c>
      <c r="H69" s="39" t="s">
        <v>138</v>
      </c>
      <c r="I69" s="81"/>
      <c r="J69" s="82" t="str">
        <f>IF(AND(A69&lt;&gt;"",E69&lt;&gt;""),IF(I69="","⚠️ Enter Code",IF(IFERROR(VLOOKUP(H69,DB_Agents!$B:$I,8,0),"")=I69,IF(C69&gt;=E69,"Successful","Unsuccessful"),"🔒 BLOCKED — Wrong Code")),"Pending")</f>
        <v>Pending</v>
      </c>
      <c r="K69" s="83" t="str">
        <f t="shared" ca="1" si="5"/>
        <v>—</v>
      </c>
      <c r="L69" s="84"/>
    </row>
    <row r="70" spans="1:12" ht="15" customHeight="1" x14ac:dyDescent="0.25">
      <c r="A70" s="85"/>
      <c r="B70" s="41" t="str">
        <f>IF(A70="","",IFERROR(VLOOKUP(A70,DB_Customers!$A:$D,4,0),"❌ Account Not Found"))</f>
        <v/>
      </c>
      <c r="C70" s="86" t="str">
        <f>IF(A70="","",IFERROR(VLOOKUP(A70,DB_Customers!$A:$N,14,0),"❌ Acct Not Found"))</f>
        <v/>
      </c>
      <c r="D70" s="87" t="str">
        <f t="shared" ca="1" si="3"/>
        <v/>
      </c>
      <c r="E70" s="94"/>
      <c r="F70" s="41"/>
      <c r="G70" s="96" t="str">
        <f t="shared" si="4"/>
        <v/>
      </c>
      <c r="H70" s="43" t="s">
        <v>138</v>
      </c>
      <c r="I70" s="81"/>
      <c r="J70" s="89" t="str">
        <f>IF(AND(A70&lt;&gt;"",E70&lt;&gt;""),IF(I70="","⚠️ Enter Code",IF(IFERROR(VLOOKUP(H70,DB_Agents!$B:$I,8,0),"")=I70,IF(C70&gt;=E70,"Successful","Unsuccessful"),"🔒 BLOCKED — Wrong Code")),"Pending")</f>
        <v>Pending</v>
      </c>
      <c r="K70" s="90" t="str">
        <f t="shared" ca="1" si="5"/>
        <v>—</v>
      </c>
      <c r="L70" s="91"/>
    </row>
    <row r="71" spans="1:12" ht="15" customHeight="1" x14ac:dyDescent="0.25">
      <c r="A71" s="76"/>
      <c r="B71" s="37" t="str">
        <f>IF(A71="","",IFERROR(VLOOKUP(A71,DB_Customers!$A:$D,4,0),"❌ Account Not Found"))</f>
        <v/>
      </c>
      <c r="C71" s="77" t="str">
        <f>IF(A71="","",IFERROR(VLOOKUP(A71,DB_Customers!$A:$N,14,0),"❌ Acct Not Found"))</f>
        <v/>
      </c>
      <c r="D71" s="78" t="str">
        <f t="shared" ca="1" si="3"/>
        <v/>
      </c>
      <c r="E71" s="94"/>
      <c r="F71" s="37"/>
      <c r="G71" s="95" t="str">
        <f t="shared" si="4"/>
        <v/>
      </c>
      <c r="H71" s="39" t="s">
        <v>138</v>
      </c>
      <c r="I71" s="81"/>
      <c r="J71" s="82" t="str">
        <f>IF(AND(A71&lt;&gt;"",E71&lt;&gt;""),IF(I71="","⚠️ Enter Code",IF(IFERROR(VLOOKUP(H71,DB_Agents!$B:$I,8,0),"")=I71,IF(C71&gt;=E71,"Successful","Unsuccessful"),"🔒 BLOCKED — Wrong Code")),"Pending")</f>
        <v>Pending</v>
      </c>
      <c r="K71" s="83" t="str">
        <f t="shared" ca="1" si="5"/>
        <v>—</v>
      </c>
      <c r="L71" s="84"/>
    </row>
    <row r="72" spans="1:12" ht="15" customHeight="1" x14ac:dyDescent="0.25">
      <c r="A72" s="85"/>
      <c r="B72" s="41" t="str">
        <f>IF(A72="","",IFERROR(VLOOKUP(A72,DB_Customers!$A:$D,4,0),"❌ Account Not Found"))</f>
        <v/>
      </c>
      <c r="C72" s="86" t="str">
        <f>IF(A72="","",IFERROR(VLOOKUP(A72,DB_Customers!$A:$N,14,0),"❌ Acct Not Found"))</f>
        <v/>
      </c>
      <c r="D72" s="87" t="str">
        <f t="shared" ca="1" si="3"/>
        <v/>
      </c>
      <c r="E72" s="94"/>
      <c r="F72" s="41"/>
      <c r="G72" s="96" t="str">
        <f t="shared" si="4"/>
        <v/>
      </c>
      <c r="H72" s="43" t="s">
        <v>138</v>
      </c>
      <c r="I72" s="81"/>
      <c r="J72" s="89" t="str">
        <f>IF(AND(A72&lt;&gt;"",E72&lt;&gt;""),IF(I72="","⚠️ Enter Code",IF(IFERROR(VLOOKUP(H72,DB_Agents!$B:$I,8,0),"")=I72,IF(C72&gt;=E72,"Successful","Unsuccessful"),"🔒 BLOCKED — Wrong Code")),"Pending")</f>
        <v>Pending</v>
      </c>
      <c r="K72" s="90" t="str">
        <f t="shared" ca="1" si="5"/>
        <v>—</v>
      </c>
      <c r="L72" s="91"/>
    </row>
    <row r="73" spans="1:12" ht="15" customHeight="1" x14ac:dyDescent="0.25">
      <c r="A73" s="76"/>
      <c r="B73" s="37" t="str">
        <f>IF(A73="","",IFERROR(VLOOKUP(A73,DB_Customers!$A:$D,4,0),"❌ Account Not Found"))</f>
        <v/>
      </c>
      <c r="C73" s="77" t="str">
        <f>IF(A73="","",IFERROR(VLOOKUP(A73,DB_Customers!$A:$N,14,0),"❌ Acct Not Found"))</f>
        <v/>
      </c>
      <c r="D73" s="78" t="str">
        <f t="shared" ref="D73:D104" ca="1" si="6">IF(A73="","",TODAY())</f>
        <v/>
      </c>
      <c r="E73" s="94"/>
      <c r="F73" s="37"/>
      <c r="G73" s="95" t="str">
        <f t="shared" ref="G73:G104" si="7">IF(OR(A73="",E73=""),"",IF(C73="","",C73-E73))</f>
        <v/>
      </c>
      <c r="H73" s="39" t="s">
        <v>138</v>
      </c>
      <c r="I73" s="81"/>
      <c r="J73" s="82" t="str">
        <f>IF(AND(A73&lt;&gt;"",E73&lt;&gt;""),IF(I73="","⚠️ Enter Code",IF(IFERROR(VLOOKUP(H73,DB_Agents!$B:$I,8,0),"")=I73,IF(C73&gt;=E73,"Successful","Unsuccessful"),"🔒 BLOCKED — Wrong Code")),"Pending")</f>
        <v>Pending</v>
      </c>
      <c r="K73" s="83" t="str">
        <f t="shared" ref="K73:K104" ca="1" si="8">IF(J73="Successful",TEXT(TODAY(),"YYYY-MM-DD")&amp;" Auto","—")</f>
        <v>—</v>
      </c>
      <c r="L73" s="84"/>
    </row>
    <row r="74" spans="1:12" ht="15" customHeight="1" x14ac:dyDescent="0.25">
      <c r="A74" s="85"/>
      <c r="B74" s="41" t="str">
        <f>IF(A74="","",IFERROR(VLOOKUP(A74,DB_Customers!$A:$D,4,0),"❌ Account Not Found"))</f>
        <v/>
      </c>
      <c r="C74" s="86" t="str">
        <f>IF(A74="","",IFERROR(VLOOKUP(A74,DB_Customers!$A:$N,14,0),"❌ Acct Not Found"))</f>
        <v/>
      </c>
      <c r="D74" s="87" t="str">
        <f t="shared" ca="1" si="6"/>
        <v/>
      </c>
      <c r="E74" s="94"/>
      <c r="F74" s="41"/>
      <c r="G74" s="96" t="str">
        <f t="shared" si="7"/>
        <v/>
      </c>
      <c r="H74" s="43" t="s">
        <v>138</v>
      </c>
      <c r="I74" s="81"/>
      <c r="J74" s="89" t="str">
        <f>IF(AND(A74&lt;&gt;"",E74&lt;&gt;""),IF(I74="","⚠️ Enter Code",IF(IFERROR(VLOOKUP(H74,DB_Agents!$B:$I,8,0),"")=I74,IF(C74&gt;=E74,"Successful","Unsuccessful"),"🔒 BLOCKED — Wrong Code")),"Pending")</f>
        <v>Pending</v>
      </c>
      <c r="K74" s="90" t="str">
        <f t="shared" ca="1" si="8"/>
        <v>—</v>
      </c>
      <c r="L74" s="91"/>
    </row>
    <row r="75" spans="1:12" ht="15" customHeight="1" x14ac:dyDescent="0.25">
      <c r="A75" s="76"/>
      <c r="B75" s="37" t="str">
        <f>IF(A75="","",IFERROR(VLOOKUP(A75,DB_Customers!$A:$D,4,0),"❌ Account Not Found"))</f>
        <v/>
      </c>
      <c r="C75" s="77" t="str">
        <f>IF(A75="","",IFERROR(VLOOKUP(A75,DB_Customers!$A:$N,14,0),"❌ Acct Not Found"))</f>
        <v/>
      </c>
      <c r="D75" s="78" t="str">
        <f t="shared" ca="1" si="6"/>
        <v/>
      </c>
      <c r="E75" s="94"/>
      <c r="F75" s="37"/>
      <c r="G75" s="95" t="str">
        <f t="shared" si="7"/>
        <v/>
      </c>
      <c r="H75" s="39" t="s">
        <v>138</v>
      </c>
      <c r="I75" s="81"/>
      <c r="J75" s="82" t="str">
        <f>IF(AND(A75&lt;&gt;"",E75&lt;&gt;""),IF(I75="","⚠️ Enter Code",IF(IFERROR(VLOOKUP(H75,DB_Agents!$B:$I,8,0),"")=I75,IF(C75&gt;=E75,"Successful","Unsuccessful"),"🔒 BLOCKED — Wrong Code")),"Pending")</f>
        <v>Pending</v>
      </c>
      <c r="K75" s="83" t="str">
        <f t="shared" ca="1" si="8"/>
        <v>—</v>
      </c>
      <c r="L75" s="84"/>
    </row>
    <row r="76" spans="1:12" ht="15" customHeight="1" x14ac:dyDescent="0.25">
      <c r="A76" s="85"/>
      <c r="B76" s="41" t="str">
        <f>IF(A76="","",IFERROR(VLOOKUP(A76,DB_Customers!$A:$D,4,0),"❌ Account Not Found"))</f>
        <v/>
      </c>
      <c r="C76" s="86" t="str">
        <f>IF(A76="","",IFERROR(VLOOKUP(A76,DB_Customers!$A:$N,14,0),"❌ Acct Not Found"))</f>
        <v/>
      </c>
      <c r="D76" s="87" t="str">
        <f t="shared" ca="1" si="6"/>
        <v/>
      </c>
      <c r="E76" s="94"/>
      <c r="F76" s="41"/>
      <c r="G76" s="96" t="str">
        <f t="shared" si="7"/>
        <v/>
      </c>
      <c r="H76" s="43" t="s">
        <v>138</v>
      </c>
      <c r="I76" s="81"/>
      <c r="J76" s="89" t="str">
        <f>IF(AND(A76&lt;&gt;"",E76&lt;&gt;""),IF(I76="","⚠️ Enter Code",IF(IFERROR(VLOOKUP(H76,DB_Agents!$B:$I,8,0),"")=I76,IF(C76&gt;=E76,"Successful","Unsuccessful"),"🔒 BLOCKED — Wrong Code")),"Pending")</f>
        <v>Pending</v>
      </c>
      <c r="K76" s="90" t="str">
        <f t="shared" ca="1" si="8"/>
        <v>—</v>
      </c>
      <c r="L76" s="91"/>
    </row>
    <row r="77" spans="1:12" ht="15" customHeight="1" x14ac:dyDescent="0.25">
      <c r="A77" s="76"/>
      <c r="B77" s="37" t="str">
        <f>IF(A77="","",IFERROR(VLOOKUP(A77,DB_Customers!$A:$D,4,0),"❌ Account Not Found"))</f>
        <v/>
      </c>
      <c r="C77" s="77" t="str">
        <f>IF(A77="","",IFERROR(VLOOKUP(A77,DB_Customers!$A:$N,14,0),"❌ Acct Not Found"))</f>
        <v/>
      </c>
      <c r="D77" s="78" t="str">
        <f t="shared" ca="1" si="6"/>
        <v/>
      </c>
      <c r="E77" s="94"/>
      <c r="F77" s="37"/>
      <c r="G77" s="95" t="str">
        <f t="shared" si="7"/>
        <v/>
      </c>
      <c r="H77" s="39" t="s">
        <v>138</v>
      </c>
      <c r="I77" s="81"/>
      <c r="J77" s="82" t="str">
        <f>IF(AND(A77&lt;&gt;"",E77&lt;&gt;""),IF(I77="","⚠️ Enter Code",IF(IFERROR(VLOOKUP(H77,DB_Agents!$B:$I,8,0),"")=I77,IF(C77&gt;=E77,"Successful","Unsuccessful"),"🔒 BLOCKED — Wrong Code")),"Pending")</f>
        <v>Pending</v>
      </c>
      <c r="K77" s="83" t="str">
        <f t="shared" ca="1" si="8"/>
        <v>—</v>
      </c>
      <c r="L77" s="84"/>
    </row>
    <row r="78" spans="1:12" ht="15" customHeight="1" x14ac:dyDescent="0.25">
      <c r="A78" s="85"/>
      <c r="B78" s="41" t="str">
        <f>IF(A78="","",IFERROR(VLOOKUP(A78,DB_Customers!$A:$D,4,0),"❌ Account Not Found"))</f>
        <v/>
      </c>
      <c r="C78" s="86" t="str">
        <f>IF(A78="","",IFERROR(VLOOKUP(A78,DB_Customers!$A:$N,14,0),"❌ Acct Not Found"))</f>
        <v/>
      </c>
      <c r="D78" s="87" t="str">
        <f t="shared" ca="1" si="6"/>
        <v/>
      </c>
      <c r="E78" s="94"/>
      <c r="F78" s="41"/>
      <c r="G78" s="96" t="str">
        <f t="shared" si="7"/>
        <v/>
      </c>
      <c r="H78" s="43" t="s">
        <v>138</v>
      </c>
      <c r="I78" s="81"/>
      <c r="J78" s="89" t="str">
        <f>IF(AND(A78&lt;&gt;"",E78&lt;&gt;""),IF(I78="","⚠️ Enter Code",IF(IFERROR(VLOOKUP(H78,DB_Agents!$B:$I,8,0),"")=I78,IF(C78&gt;=E78,"Successful","Unsuccessful"),"🔒 BLOCKED — Wrong Code")),"Pending")</f>
        <v>Pending</v>
      </c>
      <c r="K78" s="90" t="str">
        <f t="shared" ca="1" si="8"/>
        <v>—</v>
      </c>
      <c r="L78" s="91"/>
    </row>
    <row r="79" spans="1:12" ht="15" customHeight="1" x14ac:dyDescent="0.25">
      <c r="A79" s="76"/>
      <c r="B79" s="37" t="str">
        <f>IF(A79="","",IFERROR(VLOOKUP(A79,DB_Customers!$A:$D,4,0),"❌ Account Not Found"))</f>
        <v/>
      </c>
      <c r="C79" s="77" t="str">
        <f>IF(A79="","",IFERROR(VLOOKUP(A79,DB_Customers!$A:$N,14,0),"❌ Acct Not Found"))</f>
        <v/>
      </c>
      <c r="D79" s="78" t="str">
        <f t="shared" ca="1" si="6"/>
        <v/>
      </c>
      <c r="E79" s="94"/>
      <c r="F79" s="37"/>
      <c r="G79" s="95" t="str">
        <f t="shared" si="7"/>
        <v/>
      </c>
      <c r="H79" s="39" t="s">
        <v>138</v>
      </c>
      <c r="I79" s="81"/>
      <c r="J79" s="82" t="str">
        <f>IF(AND(A79&lt;&gt;"",E79&lt;&gt;""),IF(I79="","⚠️ Enter Code",IF(IFERROR(VLOOKUP(H79,DB_Agents!$B:$I,8,0),"")=I79,IF(C79&gt;=E79,"Successful","Unsuccessful"),"🔒 BLOCKED — Wrong Code")),"Pending")</f>
        <v>Pending</v>
      </c>
      <c r="K79" s="83" t="str">
        <f t="shared" ca="1" si="8"/>
        <v>—</v>
      </c>
      <c r="L79" s="84"/>
    </row>
    <row r="80" spans="1:12" ht="15" customHeight="1" x14ac:dyDescent="0.25">
      <c r="A80" s="85"/>
      <c r="B80" s="41" t="str">
        <f>IF(A80="","",IFERROR(VLOOKUP(A80,DB_Customers!$A:$D,4,0),"❌ Account Not Found"))</f>
        <v/>
      </c>
      <c r="C80" s="86" t="str">
        <f>IF(A80="","",IFERROR(VLOOKUP(A80,DB_Customers!$A:$N,14,0),"❌ Acct Not Found"))</f>
        <v/>
      </c>
      <c r="D80" s="87" t="str">
        <f t="shared" ca="1" si="6"/>
        <v/>
      </c>
      <c r="E80" s="94"/>
      <c r="F80" s="41"/>
      <c r="G80" s="96" t="str">
        <f t="shared" si="7"/>
        <v/>
      </c>
      <c r="H80" s="43" t="s">
        <v>138</v>
      </c>
      <c r="I80" s="81"/>
      <c r="J80" s="89" t="str">
        <f>IF(AND(A80&lt;&gt;"",E80&lt;&gt;""),IF(I80="","⚠️ Enter Code",IF(IFERROR(VLOOKUP(H80,DB_Agents!$B:$I,8,0),"")=I80,IF(C80&gt;=E80,"Successful","Unsuccessful"),"🔒 BLOCKED — Wrong Code")),"Pending")</f>
        <v>Pending</v>
      </c>
      <c r="K80" s="90" t="str">
        <f t="shared" ca="1" si="8"/>
        <v>—</v>
      </c>
      <c r="L80" s="91"/>
    </row>
    <row r="81" spans="1:12" ht="15" customHeight="1" x14ac:dyDescent="0.25">
      <c r="A81" s="76"/>
      <c r="B81" s="37" t="str">
        <f>IF(A81="","",IFERROR(VLOOKUP(A81,DB_Customers!$A:$D,4,0),"❌ Account Not Found"))</f>
        <v/>
      </c>
      <c r="C81" s="77" t="str">
        <f>IF(A81="","",IFERROR(VLOOKUP(A81,DB_Customers!$A:$N,14,0),"❌ Acct Not Found"))</f>
        <v/>
      </c>
      <c r="D81" s="78" t="str">
        <f t="shared" ca="1" si="6"/>
        <v/>
      </c>
      <c r="E81" s="94"/>
      <c r="F81" s="37"/>
      <c r="G81" s="95" t="str">
        <f t="shared" si="7"/>
        <v/>
      </c>
      <c r="H81" s="39" t="s">
        <v>138</v>
      </c>
      <c r="I81" s="81"/>
      <c r="J81" s="82" t="str">
        <f>IF(AND(A81&lt;&gt;"",E81&lt;&gt;""),IF(I81="","⚠️ Enter Code",IF(IFERROR(VLOOKUP(H81,DB_Agents!$B:$I,8,0),"")=I81,IF(C81&gt;=E81,"Successful","Unsuccessful"),"🔒 BLOCKED — Wrong Code")),"Pending")</f>
        <v>Pending</v>
      </c>
      <c r="K81" s="83" t="str">
        <f t="shared" ca="1" si="8"/>
        <v>—</v>
      </c>
      <c r="L81" s="84"/>
    </row>
    <row r="82" spans="1:12" ht="15" customHeight="1" x14ac:dyDescent="0.25">
      <c r="A82" s="85"/>
      <c r="B82" s="41" t="str">
        <f>IF(A82="","",IFERROR(VLOOKUP(A82,DB_Customers!$A:$D,4,0),"❌ Account Not Found"))</f>
        <v/>
      </c>
      <c r="C82" s="86" t="str">
        <f>IF(A82="","",IFERROR(VLOOKUP(A82,DB_Customers!$A:$N,14,0),"❌ Acct Not Found"))</f>
        <v/>
      </c>
      <c r="D82" s="87" t="str">
        <f t="shared" ca="1" si="6"/>
        <v/>
      </c>
      <c r="E82" s="94"/>
      <c r="F82" s="41"/>
      <c r="G82" s="96" t="str">
        <f t="shared" si="7"/>
        <v/>
      </c>
      <c r="H82" s="43" t="s">
        <v>138</v>
      </c>
      <c r="I82" s="81"/>
      <c r="J82" s="89" t="str">
        <f>IF(AND(A82&lt;&gt;"",E82&lt;&gt;""),IF(I82="","⚠️ Enter Code",IF(IFERROR(VLOOKUP(H82,DB_Agents!$B:$I,8,0),"")=I82,IF(C82&gt;=E82,"Successful","Unsuccessful"),"🔒 BLOCKED — Wrong Code")),"Pending")</f>
        <v>Pending</v>
      </c>
      <c r="K82" s="90" t="str">
        <f t="shared" ca="1" si="8"/>
        <v>—</v>
      </c>
      <c r="L82" s="91"/>
    </row>
    <row r="83" spans="1:12" ht="15" customHeight="1" x14ac:dyDescent="0.25">
      <c r="A83" s="76"/>
      <c r="B83" s="37" t="str">
        <f>IF(A83="","",IFERROR(VLOOKUP(A83,DB_Customers!$A:$D,4,0),"❌ Account Not Found"))</f>
        <v/>
      </c>
      <c r="C83" s="77" t="str">
        <f>IF(A83="","",IFERROR(VLOOKUP(A83,DB_Customers!$A:$N,14,0),"❌ Acct Not Found"))</f>
        <v/>
      </c>
      <c r="D83" s="78" t="str">
        <f t="shared" ca="1" si="6"/>
        <v/>
      </c>
      <c r="E83" s="94"/>
      <c r="F83" s="37"/>
      <c r="G83" s="95" t="str">
        <f t="shared" si="7"/>
        <v/>
      </c>
      <c r="H83" s="39" t="s">
        <v>138</v>
      </c>
      <c r="I83" s="81"/>
      <c r="J83" s="82" t="str">
        <f>IF(AND(A83&lt;&gt;"",E83&lt;&gt;""),IF(I83="","⚠️ Enter Code",IF(IFERROR(VLOOKUP(H83,DB_Agents!$B:$I,8,0),"")=I83,IF(C83&gt;=E83,"Successful","Unsuccessful"),"🔒 BLOCKED — Wrong Code")),"Pending")</f>
        <v>Pending</v>
      </c>
      <c r="K83" s="83" t="str">
        <f t="shared" ca="1" si="8"/>
        <v>—</v>
      </c>
      <c r="L83" s="84"/>
    </row>
    <row r="84" spans="1:12" ht="15" customHeight="1" x14ac:dyDescent="0.25">
      <c r="A84" s="85"/>
      <c r="B84" s="41" t="str">
        <f>IF(A84="","",IFERROR(VLOOKUP(A84,DB_Customers!$A:$D,4,0),"❌ Account Not Found"))</f>
        <v/>
      </c>
      <c r="C84" s="86" t="str">
        <f>IF(A84="","",IFERROR(VLOOKUP(A84,DB_Customers!$A:$N,14,0),"❌ Acct Not Found"))</f>
        <v/>
      </c>
      <c r="D84" s="87" t="str">
        <f t="shared" ca="1" si="6"/>
        <v/>
      </c>
      <c r="E84" s="94"/>
      <c r="F84" s="41"/>
      <c r="G84" s="96" t="str">
        <f t="shared" si="7"/>
        <v/>
      </c>
      <c r="H84" s="43" t="s">
        <v>138</v>
      </c>
      <c r="I84" s="81"/>
      <c r="J84" s="89" t="str">
        <f>IF(AND(A84&lt;&gt;"",E84&lt;&gt;""),IF(I84="","⚠️ Enter Code",IF(IFERROR(VLOOKUP(H84,DB_Agents!$B:$I,8,0),"")=I84,IF(C84&gt;=E84,"Successful","Unsuccessful"),"🔒 BLOCKED — Wrong Code")),"Pending")</f>
        <v>Pending</v>
      </c>
      <c r="K84" s="90" t="str">
        <f t="shared" ca="1" si="8"/>
        <v>—</v>
      </c>
      <c r="L84" s="91"/>
    </row>
    <row r="85" spans="1:12" ht="15" customHeight="1" x14ac:dyDescent="0.25">
      <c r="A85" s="76"/>
      <c r="B85" s="37" t="str">
        <f>IF(A85="","",IFERROR(VLOOKUP(A85,DB_Customers!$A:$D,4,0),"❌ Account Not Found"))</f>
        <v/>
      </c>
      <c r="C85" s="77" t="str">
        <f>IF(A85="","",IFERROR(VLOOKUP(A85,DB_Customers!$A:$N,14,0),"❌ Acct Not Found"))</f>
        <v/>
      </c>
      <c r="D85" s="78" t="str">
        <f t="shared" ca="1" si="6"/>
        <v/>
      </c>
      <c r="E85" s="94"/>
      <c r="F85" s="37"/>
      <c r="G85" s="95" t="str">
        <f t="shared" si="7"/>
        <v/>
      </c>
      <c r="H85" s="39" t="s">
        <v>138</v>
      </c>
      <c r="I85" s="81"/>
      <c r="J85" s="82" t="str">
        <f>IF(AND(A85&lt;&gt;"",E85&lt;&gt;""),IF(I85="","⚠️ Enter Code",IF(IFERROR(VLOOKUP(H85,DB_Agents!$B:$I,8,0),"")=I85,IF(C85&gt;=E85,"Successful","Unsuccessful"),"🔒 BLOCKED — Wrong Code")),"Pending")</f>
        <v>Pending</v>
      </c>
      <c r="K85" s="83" t="str">
        <f t="shared" ca="1" si="8"/>
        <v>—</v>
      </c>
      <c r="L85" s="84"/>
    </row>
    <row r="86" spans="1:12" ht="15" customHeight="1" x14ac:dyDescent="0.25">
      <c r="A86" s="85"/>
      <c r="B86" s="41" t="str">
        <f>IF(A86="","",IFERROR(VLOOKUP(A86,DB_Customers!$A:$D,4,0),"❌ Account Not Found"))</f>
        <v/>
      </c>
      <c r="C86" s="86" t="str">
        <f>IF(A86="","",IFERROR(VLOOKUP(A86,DB_Customers!$A:$N,14,0),"❌ Acct Not Found"))</f>
        <v/>
      </c>
      <c r="D86" s="87" t="str">
        <f t="shared" ca="1" si="6"/>
        <v/>
      </c>
      <c r="E86" s="94"/>
      <c r="F86" s="41"/>
      <c r="G86" s="96" t="str">
        <f t="shared" si="7"/>
        <v/>
      </c>
      <c r="H86" s="43" t="s">
        <v>138</v>
      </c>
      <c r="I86" s="81"/>
      <c r="J86" s="89" t="str">
        <f>IF(AND(A86&lt;&gt;"",E86&lt;&gt;""),IF(I86="","⚠️ Enter Code",IF(IFERROR(VLOOKUP(H86,DB_Agents!$B:$I,8,0),"")=I86,IF(C86&gt;=E86,"Successful","Unsuccessful"),"🔒 BLOCKED — Wrong Code")),"Pending")</f>
        <v>Pending</v>
      </c>
      <c r="K86" s="90" t="str">
        <f t="shared" ca="1" si="8"/>
        <v>—</v>
      </c>
      <c r="L86" s="91"/>
    </row>
    <row r="87" spans="1:12" ht="15" customHeight="1" x14ac:dyDescent="0.25">
      <c r="A87" s="76"/>
      <c r="B87" s="37" t="str">
        <f>IF(A87="","",IFERROR(VLOOKUP(A87,DB_Customers!$A:$D,4,0),"❌ Account Not Found"))</f>
        <v/>
      </c>
      <c r="C87" s="77" t="str">
        <f>IF(A87="","",IFERROR(VLOOKUP(A87,DB_Customers!$A:$N,14,0),"❌ Acct Not Found"))</f>
        <v/>
      </c>
      <c r="D87" s="78" t="str">
        <f t="shared" ca="1" si="6"/>
        <v/>
      </c>
      <c r="E87" s="94"/>
      <c r="F87" s="37"/>
      <c r="G87" s="95" t="str">
        <f t="shared" si="7"/>
        <v/>
      </c>
      <c r="H87" s="39" t="s">
        <v>138</v>
      </c>
      <c r="I87" s="81"/>
      <c r="J87" s="82" t="str">
        <f>IF(AND(A87&lt;&gt;"",E87&lt;&gt;""),IF(I87="","⚠️ Enter Code",IF(IFERROR(VLOOKUP(H87,DB_Agents!$B:$I,8,0),"")=I87,IF(C87&gt;=E87,"Successful","Unsuccessful"),"🔒 BLOCKED — Wrong Code")),"Pending")</f>
        <v>Pending</v>
      </c>
      <c r="K87" s="83" t="str">
        <f t="shared" ca="1" si="8"/>
        <v>—</v>
      </c>
      <c r="L87" s="84"/>
    </row>
    <row r="88" spans="1:12" ht="15" customHeight="1" x14ac:dyDescent="0.25">
      <c r="A88" s="85"/>
      <c r="B88" s="41" t="str">
        <f>IF(A88="","",IFERROR(VLOOKUP(A88,DB_Customers!$A:$D,4,0),"❌ Account Not Found"))</f>
        <v/>
      </c>
      <c r="C88" s="86" t="str">
        <f>IF(A88="","",IFERROR(VLOOKUP(A88,DB_Customers!$A:$N,14,0),"❌ Acct Not Found"))</f>
        <v/>
      </c>
      <c r="D88" s="87" t="str">
        <f t="shared" ca="1" si="6"/>
        <v/>
      </c>
      <c r="E88" s="94"/>
      <c r="F88" s="41"/>
      <c r="G88" s="96" t="str">
        <f t="shared" si="7"/>
        <v/>
      </c>
      <c r="H88" s="43" t="s">
        <v>138</v>
      </c>
      <c r="I88" s="81"/>
      <c r="J88" s="89" t="str">
        <f>IF(AND(A88&lt;&gt;"",E88&lt;&gt;""),IF(I88="","⚠️ Enter Code",IF(IFERROR(VLOOKUP(H88,DB_Agents!$B:$I,8,0),"")=I88,IF(C88&gt;=E88,"Successful","Unsuccessful"),"🔒 BLOCKED — Wrong Code")),"Pending")</f>
        <v>Pending</v>
      </c>
      <c r="K88" s="90" t="str">
        <f t="shared" ca="1" si="8"/>
        <v>—</v>
      </c>
      <c r="L88" s="91"/>
    </row>
    <row r="89" spans="1:12" ht="15" customHeight="1" x14ac:dyDescent="0.25">
      <c r="A89" s="76"/>
      <c r="B89" s="37" t="str">
        <f>IF(A89="","",IFERROR(VLOOKUP(A89,DB_Customers!$A:$D,4,0),"❌ Account Not Found"))</f>
        <v/>
      </c>
      <c r="C89" s="77" t="str">
        <f>IF(A89="","",IFERROR(VLOOKUP(A89,DB_Customers!$A:$N,14,0),"❌ Acct Not Found"))</f>
        <v/>
      </c>
      <c r="D89" s="78" t="str">
        <f t="shared" ca="1" si="6"/>
        <v/>
      </c>
      <c r="E89" s="94"/>
      <c r="F89" s="37"/>
      <c r="G89" s="95" t="str">
        <f t="shared" si="7"/>
        <v/>
      </c>
      <c r="H89" s="39" t="s">
        <v>138</v>
      </c>
      <c r="I89" s="81"/>
      <c r="J89" s="82" t="str">
        <f>IF(AND(A89&lt;&gt;"",E89&lt;&gt;""),IF(I89="","⚠️ Enter Code",IF(IFERROR(VLOOKUP(H89,DB_Agents!$B:$I,8,0),"")=I89,IF(C89&gt;=E89,"Successful","Unsuccessful"),"🔒 BLOCKED — Wrong Code")),"Pending")</f>
        <v>Pending</v>
      </c>
      <c r="K89" s="83" t="str">
        <f t="shared" ca="1" si="8"/>
        <v>—</v>
      </c>
      <c r="L89" s="84"/>
    </row>
    <row r="90" spans="1:12" ht="15" customHeight="1" x14ac:dyDescent="0.25">
      <c r="A90" s="85"/>
      <c r="B90" s="41" t="str">
        <f>IF(A90="","",IFERROR(VLOOKUP(A90,DB_Customers!$A:$D,4,0),"❌ Account Not Found"))</f>
        <v/>
      </c>
      <c r="C90" s="86" t="str">
        <f>IF(A90="","",IFERROR(VLOOKUP(A90,DB_Customers!$A:$N,14,0),"❌ Acct Not Found"))</f>
        <v/>
      </c>
      <c r="D90" s="87" t="str">
        <f t="shared" ca="1" si="6"/>
        <v/>
      </c>
      <c r="E90" s="94"/>
      <c r="F90" s="41"/>
      <c r="G90" s="96" t="str">
        <f t="shared" si="7"/>
        <v/>
      </c>
      <c r="H90" s="43" t="s">
        <v>138</v>
      </c>
      <c r="I90" s="81"/>
      <c r="J90" s="89" t="str">
        <f>IF(AND(A90&lt;&gt;"",E90&lt;&gt;""),IF(I90="","⚠️ Enter Code",IF(IFERROR(VLOOKUP(H90,DB_Agents!$B:$I,8,0),"")=I90,IF(C90&gt;=E90,"Successful","Unsuccessful"),"🔒 BLOCKED — Wrong Code")),"Pending")</f>
        <v>Pending</v>
      </c>
      <c r="K90" s="90" t="str">
        <f t="shared" ca="1" si="8"/>
        <v>—</v>
      </c>
      <c r="L90" s="91"/>
    </row>
    <row r="91" spans="1:12" ht="15" customHeight="1" x14ac:dyDescent="0.25">
      <c r="A91" s="76"/>
      <c r="B91" s="37" t="str">
        <f>IF(A91="","",IFERROR(VLOOKUP(A91,DB_Customers!$A:$D,4,0),"❌ Account Not Found"))</f>
        <v/>
      </c>
      <c r="C91" s="77" t="str">
        <f>IF(A91="","",IFERROR(VLOOKUP(A91,DB_Customers!$A:$N,14,0),"❌ Acct Not Found"))</f>
        <v/>
      </c>
      <c r="D91" s="78" t="str">
        <f t="shared" ca="1" si="6"/>
        <v/>
      </c>
      <c r="E91" s="94"/>
      <c r="F91" s="37"/>
      <c r="G91" s="95" t="str">
        <f t="shared" si="7"/>
        <v/>
      </c>
      <c r="H91" s="39" t="s">
        <v>138</v>
      </c>
      <c r="I91" s="81"/>
      <c r="J91" s="82" t="str">
        <f>IF(AND(A91&lt;&gt;"",E91&lt;&gt;""),IF(I91="","⚠️ Enter Code",IF(IFERROR(VLOOKUP(H91,DB_Agents!$B:$I,8,0),"")=I91,IF(C91&gt;=E91,"Successful","Unsuccessful"),"🔒 BLOCKED — Wrong Code")),"Pending")</f>
        <v>Pending</v>
      </c>
      <c r="K91" s="83" t="str">
        <f t="shared" ca="1" si="8"/>
        <v>—</v>
      </c>
      <c r="L91" s="84"/>
    </row>
    <row r="92" spans="1:12" ht="15" customHeight="1" x14ac:dyDescent="0.25">
      <c r="A92" s="85"/>
      <c r="B92" s="41" t="str">
        <f>IF(A92="","",IFERROR(VLOOKUP(A92,DB_Customers!$A:$D,4,0),"❌ Account Not Found"))</f>
        <v/>
      </c>
      <c r="C92" s="86" t="str">
        <f>IF(A92="","",IFERROR(VLOOKUP(A92,DB_Customers!$A:$N,14,0),"❌ Acct Not Found"))</f>
        <v/>
      </c>
      <c r="D92" s="87" t="str">
        <f t="shared" ca="1" si="6"/>
        <v/>
      </c>
      <c r="E92" s="94"/>
      <c r="F92" s="41"/>
      <c r="G92" s="96" t="str">
        <f t="shared" si="7"/>
        <v/>
      </c>
      <c r="H92" s="43" t="s">
        <v>138</v>
      </c>
      <c r="I92" s="81"/>
      <c r="J92" s="89" t="str">
        <f>IF(AND(A92&lt;&gt;"",E92&lt;&gt;""),IF(I92="","⚠️ Enter Code",IF(IFERROR(VLOOKUP(H92,DB_Agents!$B:$I,8,0),"")=I92,IF(C92&gt;=E92,"Successful","Unsuccessful"),"🔒 BLOCKED — Wrong Code")),"Pending")</f>
        <v>Pending</v>
      </c>
      <c r="K92" s="90" t="str">
        <f t="shared" ca="1" si="8"/>
        <v>—</v>
      </c>
      <c r="L92" s="91"/>
    </row>
    <row r="93" spans="1:12" ht="15" customHeight="1" x14ac:dyDescent="0.25">
      <c r="A93" s="76"/>
      <c r="B93" s="37" t="str">
        <f>IF(A93="","",IFERROR(VLOOKUP(A93,DB_Customers!$A:$D,4,0),"❌ Account Not Found"))</f>
        <v/>
      </c>
      <c r="C93" s="77" t="str">
        <f>IF(A93="","",IFERROR(VLOOKUP(A93,DB_Customers!$A:$N,14,0),"❌ Acct Not Found"))</f>
        <v/>
      </c>
      <c r="D93" s="78" t="str">
        <f t="shared" ca="1" si="6"/>
        <v/>
      </c>
      <c r="E93" s="94"/>
      <c r="F93" s="37"/>
      <c r="G93" s="95" t="str">
        <f t="shared" si="7"/>
        <v/>
      </c>
      <c r="H93" s="39" t="s">
        <v>138</v>
      </c>
      <c r="I93" s="81"/>
      <c r="J93" s="82" t="str">
        <f>IF(AND(A93&lt;&gt;"",E93&lt;&gt;""),IF(I93="","⚠️ Enter Code",IF(IFERROR(VLOOKUP(H93,DB_Agents!$B:$I,8,0),"")=I93,IF(C93&gt;=E93,"Successful","Unsuccessful"),"🔒 BLOCKED — Wrong Code")),"Pending")</f>
        <v>Pending</v>
      </c>
      <c r="K93" s="83" t="str">
        <f t="shared" ca="1" si="8"/>
        <v>—</v>
      </c>
      <c r="L93" s="84"/>
    </row>
    <row r="94" spans="1:12" ht="15" customHeight="1" x14ac:dyDescent="0.25">
      <c r="A94" s="85"/>
      <c r="B94" s="41" t="str">
        <f>IF(A94="","",IFERROR(VLOOKUP(A94,DB_Customers!$A:$D,4,0),"❌ Account Not Found"))</f>
        <v/>
      </c>
      <c r="C94" s="86" t="str">
        <f>IF(A94="","",IFERROR(VLOOKUP(A94,DB_Customers!$A:$N,14,0),"❌ Acct Not Found"))</f>
        <v/>
      </c>
      <c r="D94" s="87" t="str">
        <f t="shared" ca="1" si="6"/>
        <v/>
      </c>
      <c r="E94" s="94"/>
      <c r="F94" s="41"/>
      <c r="G94" s="96" t="str">
        <f t="shared" si="7"/>
        <v/>
      </c>
      <c r="H94" s="43" t="s">
        <v>138</v>
      </c>
      <c r="I94" s="81"/>
      <c r="J94" s="89" t="str">
        <f>IF(AND(A94&lt;&gt;"",E94&lt;&gt;""),IF(I94="","⚠️ Enter Code",IF(IFERROR(VLOOKUP(H94,DB_Agents!$B:$I,8,0),"")=I94,IF(C94&gt;=E94,"Successful","Unsuccessful"),"🔒 BLOCKED — Wrong Code")),"Pending")</f>
        <v>Pending</v>
      </c>
      <c r="K94" s="90" t="str">
        <f t="shared" ca="1" si="8"/>
        <v>—</v>
      </c>
      <c r="L94" s="91"/>
    </row>
    <row r="95" spans="1:12" ht="15" customHeight="1" x14ac:dyDescent="0.25">
      <c r="A95" s="76"/>
      <c r="B95" s="37" t="str">
        <f>IF(A95="","",IFERROR(VLOOKUP(A95,DB_Customers!$A:$D,4,0),"❌ Account Not Found"))</f>
        <v/>
      </c>
      <c r="C95" s="77" t="str">
        <f>IF(A95="","",IFERROR(VLOOKUP(A95,DB_Customers!$A:$N,14,0),"❌ Acct Not Found"))</f>
        <v/>
      </c>
      <c r="D95" s="78" t="str">
        <f t="shared" ca="1" si="6"/>
        <v/>
      </c>
      <c r="E95" s="94"/>
      <c r="F95" s="37"/>
      <c r="G95" s="95" t="str">
        <f t="shared" si="7"/>
        <v/>
      </c>
      <c r="H95" s="39" t="s">
        <v>138</v>
      </c>
      <c r="I95" s="81"/>
      <c r="J95" s="82" t="str">
        <f>IF(AND(A95&lt;&gt;"",E95&lt;&gt;""),IF(I95="","⚠️ Enter Code",IF(IFERROR(VLOOKUP(H95,DB_Agents!$B:$I,8,0),"")=I95,IF(C95&gt;=E95,"Successful","Unsuccessful"),"🔒 BLOCKED — Wrong Code")),"Pending")</f>
        <v>Pending</v>
      </c>
      <c r="K95" s="83" t="str">
        <f t="shared" ca="1" si="8"/>
        <v>—</v>
      </c>
      <c r="L95" s="84"/>
    </row>
    <row r="96" spans="1:12" ht="15" customHeight="1" x14ac:dyDescent="0.25">
      <c r="A96" s="85"/>
      <c r="B96" s="41" t="str">
        <f>IF(A96="","",IFERROR(VLOOKUP(A96,DB_Customers!$A:$D,4,0),"❌ Account Not Found"))</f>
        <v/>
      </c>
      <c r="C96" s="86" t="str">
        <f>IF(A96="","",IFERROR(VLOOKUP(A96,DB_Customers!$A:$N,14,0),"❌ Acct Not Found"))</f>
        <v/>
      </c>
      <c r="D96" s="87" t="str">
        <f t="shared" ca="1" si="6"/>
        <v/>
      </c>
      <c r="E96" s="94"/>
      <c r="F96" s="41"/>
      <c r="G96" s="96" t="str">
        <f t="shared" si="7"/>
        <v/>
      </c>
      <c r="H96" s="43" t="s">
        <v>138</v>
      </c>
      <c r="I96" s="81"/>
      <c r="J96" s="89" t="str">
        <f>IF(AND(A96&lt;&gt;"",E96&lt;&gt;""),IF(I96="","⚠️ Enter Code",IF(IFERROR(VLOOKUP(H96,DB_Agents!$B:$I,8,0),"")=I96,IF(C96&gt;=E96,"Successful","Unsuccessful"),"🔒 BLOCKED — Wrong Code")),"Pending")</f>
        <v>Pending</v>
      </c>
      <c r="K96" s="90" t="str">
        <f t="shared" ca="1" si="8"/>
        <v>—</v>
      </c>
      <c r="L96" s="91"/>
    </row>
    <row r="97" spans="1:12" ht="15" customHeight="1" x14ac:dyDescent="0.25">
      <c r="A97" s="76"/>
      <c r="B97" s="37" t="str">
        <f>IF(A97="","",IFERROR(VLOOKUP(A97,DB_Customers!$A:$D,4,0),"❌ Account Not Found"))</f>
        <v/>
      </c>
      <c r="C97" s="77" t="str">
        <f>IF(A97="","",IFERROR(VLOOKUP(A97,DB_Customers!$A:$N,14,0),"❌ Acct Not Found"))</f>
        <v/>
      </c>
      <c r="D97" s="78" t="str">
        <f t="shared" ca="1" si="6"/>
        <v/>
      </c>
      <c r="E97" s="94"/>
      <c r="F97" s="37"/>
      <c r="G97" s="95" t="str">
        <f t="shared" si="7"/>
        <v/>
      </c>
      <c r="H97" s="39" t="s">
        <v>138</v>
      </c>
      <c r="I97" s="81"/>
      <c r="J97" s="82" t="str">
        <f>IF(AND(A97&lt;&gt;"",E97&lt;&gt;""),IF(I97="","⚠️ Enter Code",IF(IFERROR(VLOOKUP(H97,DB_Agents!$B:$I,8,0),"")=I97,IF(C97&gt;=E97,"Successful","Unsuccessful"),"🔒 BLOCKED — Wrong Code")),"Pending")</f>
        <v>Pending</v>
      </c>
      <c r="K97" s="83" t="str">
        <f t="shared" ca="1" si="8"/>
        <v>—</v>
      </c>
      <c r="L97" s="84"/>
    </row>
    <row r="98" spans="1:12" ht="15" customHeight="1" x14ac:dyDescent="0.25">
      <c r="A98" s="85"/>
      <c r="B98" s="41" t="str">
        <f>IF(A98="","",IFERROR(VLOOKUP(A98,DB_Customers!$A:$D,4,0),"❌ Account Not Found"))</f>
        <v/>
      </c>
      <c r="C98" s="86" t="str">
        <f>IF(A98="","",IFERROR(VLOOKUP(A98,DB_Customers!$A:$N,14,0),"❌ Acct Not Found"))</f>
        <v/>
      </c>
      <c r="D98" s="87" t="str">
        <f t="shared" ca="1" si="6"/>
        <v/>
      </c>
      <c r="E98" s="94"/>
      <c r="F98" s="41"/>
      <c r="G98" s="96" t="str">
        <f t="shared" si="7"/>
        <v/>
      </c>
      <c r="H98" s="43" t="s">
        <v>138</v>
      </c>
      <c r="I98" s="81"/>
      <c r="J98" s="89" t="str">
        <f>IF(AND(A98&lt;&gt;"",E98&lt;&gt;""),IF(I98="","⚠️ Enter Code",IF(IFERROR(VLOOKUP(H98,DB_Agents!$B:$I,8,0),"")=I98,IF(C98&gt;=E98,"Successful","Unsuccessful"),"🔒 BLOCKED — Wrong Code")),"Pending")</f>
        <v>Pending</v>
      </c>
      <c r="K98" s="90" t="str">
        <f t="shared" ca="1" si="8"/>
        <v>—</v>
      </c>
      <c r="L98" s="91"/>
    </row>
    <row r="99" spans="1:12" ht="15" customHeight="1" x14ac:dyDescent="0.25">
      <c r="A99" s="76"/>
      <c r="B99" s="37" t="str">
        <f>IF(A99="","",IFERROR(VLOOKUP(A99,DB_Customers!$A:$D,4,0),"❌ Account Not Found"))</f>
        <v/>
      </c>
      <c r="C99" s="77" t="str">
        <f>IF(A99="","",IFERROR(VLOOKUP(A99,DB_Customers!$A:$N,14,0),"❌ Acct Not Found"))</f>
        <v/>
      </c>
      <c r="D99" s="78" t="str">
        <f t="shared" ca="1" si="6"/>
        <v/>
      </c>
      <c r="E99" s="94"/>
      <c r="F99" s="37"/>
      <c r="G99" s="95" t="str">
        <f t="shared" si="7"/>
        <v/>
      </c>
      <c r="H99" s="39" t="s">
        <v>138</v>
      </c>
      <c r="I99" s="81"/>
      <c r="J99" s="82" t="str">
        <f>IF(AND(A99&lt;&gt;"",E99&lt;&gt;""),IF(I99="","⚠️ Enter Code",IF(IFERROR(VLOOKUP(H99,DB_Agents!$B:$I,8,0),"")=I99,IF(C99&gt;=E99,"Successful","Unsuccessful"),"🔒 BLOCKED — Wrong Code")),"Pending")</f>
        <v>Pending</v>
      </c>
      <c r="K99" s="83" t="str">
        <f t="shared" ca="1" si="8"/>
        <v>—</v>
      </c>
      <c r="L99" s="84"/>
    </row>
    <row r="100" spans="1:12" ht="15" customHeight="1" x14ac:dyDescent="0.25">
      <c r="A100" s="85"/>
      <c r="B100" s="41" t="str">
        <f>IF(A100="","",IFERROR(VLOOKUP(A100,DB_Customers!$A:$D,4,0),"❌ Account Not Found"))</f>
        <v/>
      </c>
      <c r="C100" s="86" t="str">
        <f>IF(A100="","",IFERROR(VLOOKUP(A100,DB_Customers!$A:$N,14,0),"❌ Acct Not Found"))</f>
        <v/>
      </c>
      <c r="D100" s="87" t="str">
        <f t="shared" ca="1" si="6"/>
        <v/>
      </c>
      <c r="E100" s="94"/>
      <c r="F100" s="41"/>
      <c r="G100" s="96" t="str">
        <f t="shared" si="7"/>
        <v/>
      </c>
      <c r="H100" s="43" t="s">
        <v>138</v>
      </c>
      <c r="I100" s="81"/>
      <c r="J100" s="89" t="str">
        <f>IF(AND(A100&lt;&gt;"",E100&lt;&gt;""),IF(I100="","⚠️ Enter Code",IF(IFERROR(VLOOKUP(H100,DB_Agents!$B:$I,8,0),"")=I100,IF(C100&gt;=E100,"Successful","Unsuccessful"),"🔒 BLOCKED — Wrong Code")),"Pending")</f>
        <v>Pending</v>
      </c>
      <c r="K100" s="90" t="str">
        <f t="shared" ca="1" si="8"/>
        <v>—</v>
      </c>
      <c r="L100" s="91"/>
    </row>
    <row r="101" spans="1:12" ht="15" customHeight="1" x14ac:dyDescent="0.25">
      <c r="A101" s="76"/>
      <c r="B101" s="37" t="str">
        <f>IF(A101="","",IFERROR(VLOOKUP(A101,DB_Customers!$A:$D,4,0),"❌ Account Not Found"))</f>
        <v/>
      </c>
      <c r="C101" s="77" t="str">
        <f>IF(A101="","",IFERROR(VLOOKUP(A101,DB_Customers!$A:$N,14,0),"❌ Acct Not Found"))</f>
        <v/>
      </c>
      <c r="D101" s="78" t="str">
        <f t="shared" ca="1" si="6"/>
        <v/>
      </c>
      <c r="E101" s="94"/>
      <c r="F101" s="37"/>
      <c r="G101" s="95" t="str">
        <f t="shared" si="7"/>
        <v/>
      </c>
      <c r="H101" s="39" t="s">
        <v>138</v>
      </c>
      <c r="I101" s="81"/>
      <c r="J101" s="82" t="str">
        <f>IF(AND(A101&lt;&gt;"",E101&lt;&gt;""),IF(I101="","⚠️ Enter Code",IF(IFERROR(VLOOKUP(H101,DB_Agents!$B:$I,8,0),"")=I101,IF(C101&gt;=E101,"Successful","Unsuccessful"),"🔒 BLOCKED — Wrong Code")),"Pending")</f>
        <v>Pending</v>
      </c>
      <c r="K101" s="83" t="str">
        <f t="shared" ca="1" si="8"/>
        <v>—</v>
      </c>
      <c r="L101" s="84"/>
    </row>
    <row r="102" spans="1:12" ht="15" customHeight="1" x14ac:dyDescent="0.25">
      <c r="A102" s="85"/>
      <c r="B102" s="41" t="str">
        <f>IF(A102="","",IFERROR(VLOOKUP(A102,DB_Customers!$A:$D,4,0),"❌ Account Not Found"))</f>
        <v/>
      </c>
      <c r="C102" s="86" t="str">
        <f>IF(A102="","",IFERROR(VLOOKUP(A102,DB_Customers!$A:$N,14,0),"❌ Acct Not Found"))</f>
        <v/>
      </c>
      <c r="D102" s="87" t="str">
        <f t="shared" ca="1" si="6"/>
        <v/>
      </c>
      <c r="E102" s="94"/>
      <c r="F102" s="41"/>
      <c r="G102" s="96" t="str">
        <f t="shared" si="7"/>
        <v/>
      </c>
      <c r="H102" s="43" t="s">
        <v>138</v>
      </c>
      <c r="I102" s="81"/>
      <c r="J102" s="89" t="str">
        <f>IF(AND(A102&lt;&gt;"",E102&lt;&gt;""),IF(I102="","⚠️ Enter Code",IF(IFERROR(VLOOKUP(H102,DB_Agents!$B:$I,8,0),"")=I102,IF(C102&gt;=E102,"Successful","Unsuccessful"),"🔒 BLOCKED — Wrong Code")),"Pending")</f>
        <v>Pending</v>
      </c>
      <c r="K102" s="90" t="str">
        <f t="shared" ca="1" si="8"/>
        <v>—</v>
      </c>
      <c r="L102" s="91"/>
    </row>
    <row r="103" spans="1:12" ht="15" customHeight="1" x14ac:dyDescent="0.25">
      <c r="A103" s="76"/>
      <c r="B103" s="37" t="str">
        <f>IF(A103="","",IFERROR(VLOOKUP(A103,DB_Customers!$A:$D,4,0),"❌ Account Not Found"))</f>
        <v/>
      </c>
      <c r="C103" s="77" t="str">
        <f>IF(A103="","",IFERROR(VLOOKUP(A103,DB_Customers!$A:$N,14,0),"❌ Acct Not Found"))</f>
        <v/>
      </c>
      <c r="D103" s="78" t="str">
        <f t="shared" ca="1" si="6"/>
        <v/>
      </c>
      <c r="E103" s="94"/>
      <c r="F103" s="37"/>
      <c r="G103" s="95" t="str">
        <f t="shared" si="7"/>
        <v/>
      </c>
      <c r="H103" s="39" t="s">
        <v>138</v>
      </c>
      <c r="I103" s="81"/>
      <c r="J103" s="82" t="str">
        <f>IF(AND(A103&lt;&gt;"",E103&lt;&gt;""),IF(I103="","⚠️ Enter Code",IF(IFERROR(VLOOKUP(H103,DB_Agents!$B:$I,8,0),"")=I103,IF(C103&gt;=E103,"Successful","Unsuccessful"),"🔒 BLOCKED — Wrong Code")),"Pending")</f>
        <v>Pending</v>
      </c>
      <c r="K103" s="83" t="str">
        <f t="shared" ca="1" si="8"/>
        <v>—</v>
      </c>
      <c r="L103" s="84"/>
    </row>
    <row r="104" spans="1:12" ht="15" customHeight="1" x14ac:dyDescent="0.25">
      <c r="A104" s="85"/>
      <c r="B104" s="41" t="str">
        <f>IF(A104="","",IFERROR(VLOOKUP(A104,DB_Customers!$A:$D,4,0),"❌ Account Not Found"))</f>
        <v/>
      </c>
      <c r="C104" s="86" t="str">
        <f>IF(A104="","",IFERROR(VLOOKUP(A104,DB_Customers!$A:$N,14,0),"❌ Acct Not Found"))</f>
        <v/>
      </c>
      <c r="D104" s="87" t="str">
        <f t="shared" ca="1" si="6"/>
        <v/>
      </c>
      <c r="E104" s="94"/>
      <c r="F104" s="41"/>
      <c r="G104" s="96" t="str">
        <f t="shared" si="7"/>
        <v/>
      </c>
      <c r="H104" s="43" t="s">
        <v>138</v>
      </c>
      <c r="I104" s="81"/>
      <c r="J104" s="89" t="str">
        <f>IF(AND(A104&lt;&gt;"",E104&lt;&gt;""),IF(I104="","⚠️ Enter Code",IF(IFERROR(VLOOKUP(H104,DB_Agents!$B:$I,8,0),"")=I104,IF(C104&gt;=E104,"Successful","Unsuccessful"),"🔒 BLOCKED — Wrong Code")),"Pending")</f>
        <v>Pending</v>
      </c>
      <c r="K104" s="90" t="str">
        <f t="shared" ca="1" si="8"/>
        <v>—</v>
      </c>
      <c r="L104" s="91"/>
    </row>
    <row r="105" spans="1:12" ht="15" customHeight="1" x14ac:dyDescent="0.25">
      <c r="A105" s="76"/>
      <c r="B105" s="37" t="str">
        <f>IF(A105="","",IFERROR(VLOOKUP(A105,DB_Customers!$A:$D,4,0),"❌ Account Not Found"))</f>
        <v/>
      </c>
      <c r="C105" s="77" t="str">
        <f>IF(A105="","",IFERROR(VLOOKUP(A105,DB_Customers!$A:$N,14,0),"❌ Acct Not Found"))</f>
        <v/>
      </c>
      <c r="D105" s="78" t="str">
        <f t="shared" ref="D105:D136" ca="1" si="9">IF(A105="","",TODAY())</f>
        <v/>
      </c>
      <c r="E105" s="94"/>
      <c r="F105" s="37"/>
      <c r="G105" s="95" t="str">
        <f t="shared" ref="G105:G136" si="10">IF(OR(A105="",E105=""),"",IF(C105="","",C105-E105))</f>
        <v/>
      </c>
      <c r="H105" s="39" t="s">
        <v>138</v>
      </c>
      <c r="I105" s="81"/>
      <c r="J105" s="82" t="str">
        <f>IF(AND(A105&lt;&gt;"",E105&lt;&gt;""),IF(I105="","⚠️ Enter Code",IF(IFERROR(VLOOKUP(H105,DB_Agents!$B:$I,8,0),"")=I105,IF(C105&gt;=E105,"Successful","Unsuccessful"),"🔒 BLOCKED — Wrong Code")),"Pending")</f>
        <v>Pending</v>
      </c>
      <c r="K105" s="83" t="str">
        <f t="shared" ref="K105:K136" ca="1" si="11">IF(J105="Successful",TEXT(TODAY(),"YYYY-MM-DD")&amp;" Auto","—")</f>
        <v>—</v>
      </c>
      <c r="L105" s="84"/>
    </row>
    <row r="106" spans="1:12" ht="15" customHeight="1" x14ac:dyDescent="0.25">
      <c r="A106" s="85"/>
      <c r="B106" s="41" t="str">
        <f>IF(A106="","",IFERROR(VLOOKUP(A106,DB_Customers!$A:$D,4,0),"❌ Account Not Found"))</f>
        <v/>
      </c>
      <c r="C106" s="86" t="str">
        <f>IF(A106="","",IFERROR(VLOOKUP(A106,DB_Customers!$A:$N,14,0),"❌ Acct Not Found"))</f>
        <v/>
      </c>
      <c r="D106" s="87" t="str">
        <f t="shared" ca="1" si="9"/>
        <v/>
      </c>
      <c r="E106" s="94"/>
      <c r="F106" s="41"/>
      <c r="G106" s="96" t="str">
        <f t="shared" si="10"/>
        <v/>
      </c>
      <c r="H106" s="43" t="s">
        <v>138</v>
      </c>
      <c r="I106" s="81"/>
      <c r="J106" s="89" t="str">
        <f>IF(AND(A106&lt;&gt;"",E106&lt;&gt;""),IF(I106="","⚠️ Enter Code",IF(IFERROR(VLOOKUP(H106,DB_Agents!$B:$I,8,0),"")=I106,IF(C106&gt;=E106,"Successful","Unsuccessful"),"🔒 BLOCKED — Wrong Code")),"Pending")</f>
        <v>Pending</v>
      </c>
      <c r="K106" s="90" t="str">
        <f t="shared" ca="1" si="11"/>
        <v>—</v>
      </c>
      <c r="L106" s="91"/>
    </row>
    <row r="107" spans="1:12" ht="15" customHeight="1" x14ac:dyDescent="0.25">
      <c r="A107" s="76"/>
      <c r="B107" s="37" t="str">
        <f>IF(A107="","",IFERROR(VLOOKUP(A107,DB_Customers!$A:$D,4,0),"❌ Account Not Found"))</f>
        <v/>
      </c>
      <c r="C107" s="77" t="str">
        <f>IF(A107="","",IFERROR(VLOOKUP(A107,DB_Customers!$A:$N,14,0),"❌ Acct Not Found"))</f>
        <v/>
      </c>
      <c r="D107" s="78" t="str">
        <f t="shared" ca="1" si="9"/>
        <v/>
      </c>
      <c r="E107" s="94"/>
      <c r="F107" s="37"/>
      <c r="G107" s="95" t="str">
        <f t="shared" si="10"/>
        <v/>
      </c>
      <c r="H107" s="39" t="s">
        <v>138</v>
      </c>
      <c r="I107" s="81"/>
      <c r="J107" s="82" t="str">
        <f>IF(AND(A107&lt;&gt;"",E107&lt;&gt;""),IF(I107="","⚠️ Enter Code",IF(IFERROR(VLOOKUP(H107,DB_Agents!$B:$I,8,0),"")=I107,IF(C107&gt;=E107,"Successful","Unsuccessful"),"🔒 BLOCKED — Wrong Code")),"Pending")</f>
        <v>Pending</v>
      </c>
      <c r="K107" s="83" t="str">
        <f t="shared" ca="1" si="11"/>
        <v>—</v>
      </c>
      <c r="L107" s="84"/>
    </row>
    <row r="108" spans="1:12" ht="15" customHeight="1" x14ac:dyDescent="0.25">
      <c r="A108" s="85"/>
      <c r="B108" s="41" t="str">
        <f>IF(A108="","",IFERROR(VLOOKUP(A108,DB_Customers!$A:$D,4,0),"❌ Account Not Found"))</f>
        <v/>
      </c>
      <c r="C108" s="86" t="str">
        <f>IF(A108="","",IFERROR(VLOOKUP(A108,DB_Customers!$A:$N,14,0),"❌ Acct Not Found"))</f>
        <v/>
      </c>
      <c r="D108" s="87" t="str">
        <f t="shared" ca="1" si="9"/>
        <v/>
      </c>
      <c r="E108" s="94"/>
      <c r="F108" s="41"/>
      <c r="G108" s="96" t="str">
        <f t="shared" si="10"/>
        <v/>
      </c>
      <c r="H108" s="43" t="s">
        <v>138</v>
      </c>
      <c r="I108" s="81"/>
      <c r="J108" s="89" t="str">
        <f>IF(AND(A108&lt;&gt;"",E108&lt;&gt;""),IF(I108="","⚠️ Enter Code",IF(IFERROR(VLOOKUP(H108,DB_Agents!$B:$I,8,0),"")=I108,IF(C108&gt;=E108,"Successful","Unsuccessful"),"🔒 BLOCKED — Wrong Code")),"Pending")</f>
        <v>Pending</v>
      </c>
      <c r="K108" s="90" t="str">
        <f t="shared" ca="1" si="11"/>
        <v>—</v>
      </c>
      <c r="L108" s="91"/>
    </row>
    <row r="109" spans="1:12" ht="15" customHeight="1" x14ac:dyDescent="0.25">
      <c r="A109" s="76"/>
      <c r="B109" s="37" t="str">
        <f>IF(A109="","",IFERROR(VLOOKUP(A109,DB_Customers!$A:$D,4,0),"❌ Account Not Found"))</f>
        <v/>
      </c>
      <c r="C109" s="77" t="str">
        <f>IF(A109="","",IFERROR(VLOOKUP(A109,DB_Customers!$A:$N,14,0),"❌ Acct Not Found"))</f>
        <v/>
      </c>
      <c r="D109" s="78" t="str">
        <f t="shared" ca="1" si="9"/>
        <v/>
      </c>
      <c r="E109" s="94"/>
      <c r="F109" s="37"/>
      <c r="G109" s="95" t="str">
        <f t="shared" si="10"/>
        <v/>
      </c>
      <c r="H109" s="39" t="s">
        <v>138</v>
      </c>
      <c r="I109" s="81"/>
      <c r="J109" s="82" t="str">
        <f>IF(AND(A109&lt;&gt;"",E109&lt;&gt;""),IF(I109="","⚠️ Enter Code",IF(IFERROR(VLOOKUP(H109,DB_Agents!$B:$I,8,0),"")=I109,IF(C109&gt;=E109,"Successful","Unsuccessful"),"🔒 BLOCKED — Wrong Code")),"Pending")</f>
        <v>Pending</v>
      </c>
      <c r="K109" s="83" t="str">
        <f t="shared" ca="1" si="11"/>
        <v>—</v>
      </c>
      <c r="L109" s="84"/>
    </row>
    <row r="110" spans="1:12" ht="15" customHeight="1" x14ac:dyDescent="0.25">
      <c r="A110" s="85"/>
      <c r="B110" s="41" t="str">
        <f>IF(A110="","",IFERROR(VLOOKUP(A110,DB_Customers!$A:$D,4,0),"❌ Account Not Found"))</f>
        <v/>
      </c>
      <c r="C110" s="86" t="str">
        <f>IF(A110="","",IFERROR(VLOOKUP(A110,DB_Customers!$A:$N,14,0),"❌ Acct Not Found"))</f>
        <v/>
      </c>
      <c r="D110" s="87" t="str">
        <f t="shared" ca="1" si="9"/>
        <v/>
      </c>
      <c r="E110" s="94"/>
      <c r="F110" s="41"/>
      <c r="G110" s="96" t="str">
        <f t="shared" si="10"/>
        <v/>
      </c>
      <c r="H110" s="43" t="s">
        <v>138</v>
      </c>
      <c r="I110" s="81"/>
      <c r="J110" s="89" t="str">
        <f>IF(AND(A110&lt;&gt;"",E110&lt;&gt;""),IF(I110="","⚠️ Enter Code",IF(IFERROR(VLOOKUP(H110,DB_Agents!$B:$I,8,0),"")=I110,IF(C110&gt;=E110,"Successful","Unsuccessful"),"🔒 BLOCKED — Wrong Code")),"Pending")</f>
        <v>Pending</v>
      </c>
      <c r="K110" s="90" t="str">
        <f t="shared" ca="1" si="11"/>
        <v>—</v>
      </c>
      <c r="L110" s="91"/>
    </row>
    <row r="111" spans="1:12" ht="15" customHeight="1" x14ac:dyDescent="0.25">
      <c r="A111" s="76"/>
      <c r="B111" s="37" t="str">
        <f>IF(A111="","",IFERROR(VLOOKUP(A111,DB_Customers!$A:$D,4,0),"❌ Account Not Found"))</f>
        <v/>
      </c>
      <c r="C111" s="77" t="str">
        <f>IF(A111="","",IFERROR(VLOOKUP(A111,DB_Customers!$A:$N,14,0),"❌ Acct Not Found"))</f>
        <v/>
      </c>
      <c r="D111" s="78" t="str">
        <f t="shared" ca="1" si="9"/>
        <v/>
      </c>
      <c r="E111" s="94"/>
      <c r="F111" s="37"/>
      <c r="G111" s="95" t="str">
        <f t="shared" si="10"/>
        <v/>
      </c>
      <c r="H111" s="39" t="s">
        <v>138</v>
      </c>
      <c r="I111" s="81"/>
      <c r="J111" s="82" t="str">
        <f>IF(AND(A111&lt;&gt;"",E111&lt;&gt;""),IF(I111="","⚠️ Enter Code",IF(IFERROR(VLOOKUP(H111,DB_Agents!$B:$I,8,0),"")=I111,IF(C111&gt;=E111,"Successful","Unsuccessful"),"🔒 BLOCKED — Wrong Code")),"Pending")</f>
        <v>Pending</v>
      </c>
      <c r="K111" s="83" t="str">
        <f t="shared" ca="1" si="11"/>
        <v>—</v>
      </c>
      <c r="L111" s="84"/>
    </row>
    <row r="112" spans="1:12" ht="15" customHeight="1" x14ac:dyDescent="0.25">
      <c r="A112" s="85"/>
      <c r="B112" s="41" t="str">
        <f>IF(A112="","",IFERROR(VLOOKUP(A112,DB_Customers!$A:$D,4,0),"❌ Account Not Found"))</f>
        <v/>
      </c>
      <c r="C112" s="86" t="str">
        <f>IF(A112="","",IFERROR(VLOOKUP(A112,DB_Customers!$A:$N,14,0),"❌ Acct Not Found"))</f>
        <v/>
      </c>
      <c r="D112" s="87" t="str">
        <f t="shared" ca="1" si="9"/>
        <v/>
      </c>
      <c r="E112" s="94"/>
      <c r="F112" s="41"/>
      <c r="G112" s="96" t="str">
        <f t="shared" si="10"/>
        <v/>
      </c>
      <c r="H112" s="43" t="s">
        <v>138</v>
      </c>
      <c r="I112" s="81"/>
      <c r="J112" s="89" t="str">
        <f>IF(AND(A112&lt;&gt;"",E112&lt;&gt;""),IF(I112="","⚠️ Enter Code",IF(IFERROR(VLOOKUP(H112,DB_Agents!$B:$I,8,0),"")=I112,IF(C112&gt;=E112,"Successful","Unsuccessful"),"🔒 BLOCKED — Wrong Code")),"Pending")</f>
        <v>Pending</v>
      </c>
      <c r="K112" s="90" t="str">
        <f t="shared" ca="1" si="11"/>
        <v>—</v>
      </c>
      <c r="L112" s="91"/>
    </row>
    <row r="113" spans="1:12" ht="15" customHeight="1" x14ac:dyDescent="0.25">
      <c r="A113" s="76"/>
      <c r="B113" s="37" t="str">
        <f>IF(A113="","",IFERROR(VLOOKUP(A113,DB_Customers!$A:$D,4,0),"❌ Account Not Found"))</f>
        <v/>
      </c>
      <c r="C113" s="77" t="str">
        <f>IF(A113="","",IFERROR(VLOOKUP(A113,DB_Customers!$A:$N,14,0),"❌ Acct Not Found"))</f>
        <v/>
      </c>
      <c r="D113" s="78" t="str">
        <f t="shared" ca="1" si="9"/>
        <v/>
      </c>
      <c r="E113" s="94"/>
      <c r="F113" s="37"/>
      <c r="G113" s="95" t="str">
        <f t="shared" si="10"/>
        <v/>
      </c>
      <c r="H113" s="39" t="s">
        <v>138</v>
      </c>
      <c r="I113" s="81"/>
      <c r="J113" s="82" t="str">
        <f>IF(AND(A113&lt;&gt;"",E113&lt;&gt;""),IF(I113="","⚠️ Enter Code",IF(IFERROR(VLOOKUP(H113,DB_Agents!$B:$I,8,0),"")=I113,IF(C113&gt;=E113,"Successful","Unsuccessful"),"🔒 BLOCKED — Wrong Code")),"Pending")</f>
        <v>Pending</v>
      </c>
      <c r="K113" s="83" t="str">
        <f t="shared" ca="1" si="11"/>
        <v>—</v>
      </c>
      <c r="L113" s="84"/>
    </row>
    <row r="114" spans="1:12" ht="15" customHeight="1" x14ac:dyDescent="0.25">
      <c r="A114" s="85"/>
      <c r="B114" s="41" t="str">
        <f>IF(A114="","",IFERROR(VLOOKUP(A114,DB_Customers!$A:$D,4,0),"❌ Account Not Found"))</f>
        <v/>
      </c>
      <c r="C114" s="86" t="str">
        <f>IF(A114="","",IFERROR(VLOOKUP(A114,DB_Customers!$A:$N,14,0),"❌ Acct Not Found"))</f>
        <v/>
      </c>
      <c r="D114" s="87" t="str">
        <f t="shared" ca="1" si="9"/>
        <v/>
      </c>
      <c r="E114" s="94"/>
      <c r="F114" s="41"/>
      <c r="G114" s="96" t="str">
        <f t="shared" si="10"/>
        <v/>
      </c>
      <c r="H114" s="43" t="s">
        <v>138</v>
      </c>
      <c r="I114" s="81"/>
      <c r="J114" s="89" t="str">
        <f>IF(AND(A114&lt;&gt;"",E114&lt;&gt;""),IF(I114="","⚠️ Enter Code",IF(IFERROR(VLOOKUP(H114,DB_Agents!$B:$I,8,0),"")=I114,IF(C114&gt;=E114,"Successful","Unsuccessful"),"🔒 BLOCKED — Wrong Code")),"Pending")</f>
        <v>Pending</v>
      </c>
      <c r="K114" s="90" t="str">
        <f t="shared" ca="1" si="11"/>
        <v>—</v>
      </c>
      <c r="L114" s="91"/>
    </row>
    <row r="115" spans="1:12" ht="15" customHeight="1" x14ac:dyDescent="0.25">
      <c r="A115" s="76"/>
      <c r="B115" s="37" t="str">
        <f>IF(A115="","",IFERROR(VLOOKUP(A115,DB_Customers!$A:$D,4,0),"❌ Account Not Found"))</f>
        <v/>
      </c>
      <c r="C115" s="77" t="str">
        <f>IF(A115="","",IFERROR(VLOOKUP(A115,DB_Customers!$A:$N,14,0),"❌ Acct Not Found"))</f>
        <v/>
      </c>
      <c r="D115" s="78" t="str">
        <f t="shared" ca="1" si="9"/>
        <v/>
      </c>
      <c r="E115" s="94"/>
      <c r="F115" s="37"/>
      <c r="G115" s="95" t="str">
        <f t="shared" si="10"/>
        <v/>
      </c>
      <c r="H115" s="39" t="s">
        <v>138</v>
      </c>
      <c r="I115" s="81"/>
      <c r="J115" s="82" t="str">
        <f>IF(AND(A115&lt;&gt;"",E115&lt;&gt;""),IF(I115="","⚠️ Enter Code",IF(IFERROR(VLOOKUP(H115,DB_Agents!$B:$I,8,0),"")=I115,IF(C115&gt;=E115,"Successful","Unsuccessful"),"🔒 BLOCKED — Wrong Code")),"Pending")</f>
        <v>Pending</v>
      </c>
      <c r="K115" s="83" t="str">
        <f t="shared" ca="1" si="11"/>
        <v>—</v>
      </c>
      <c r="L115" s="84"/>
    </row>
    <row r="116" spans="1:12" ht="15" customHeight="1" x14ac:dyDescent="0.25">
      <c r="A116" s="85"/>
      <c r="B116" s="41" t="str">
        <f>IF(A116="","",IFERROR(VLOOKUP(A116,DB_Customers!$A:$D,4,0),"❌ Account Not Found"))</f>
        <v/>
      </c>
      <c r="C116" s="86" t="str">
        <f>IF(A116="","",IFERROR(VLOOKUP(A116,DB_Customers!$A:$N,14,0),"❌ Acct Not Found"))</f>
        <v/>
      </c>
      <c r="D116" s="87" t="str">
        <f t="shared" ca="1" si="9"/>
        <v/>
      </c>
      <c r="E116" s="94"/>
      <c r="F116" s="41"/>
      <c r="G116" s="96" t="str">
        <f t="shared" si="10"/>
        <v/>
      </c>
      <c r="H116" s="43" t="s">
        <v>138</v>
      </c>
      <c r="I116" s="81"/>
      <c r="J116" s="89" t="str">
        <f>IF(AND(A116&lt;&gt;"",E116&lt;&gt;""),IF(I116="","⚠️ Enter Code",IF(IFERROR(VLOOKUP(H116,DB_Agents!$B:$I,8,0),"")=I116,IF(C116&gt;=E116,"Successful","Unsuccessful"),"🔒 BLOCKED — Wrong Code")),"Pending")</f>
        <v>Pending</v>
      </c>
      <c r="K116" s="90" t="str">
        <f t="shared" ca="1" si="11"/>
        <v>—</v>
      </c>
      <c r="L116" s="91"/>
    </row>
    <row r="117" spans="1:12" ht="15" customHeight="1" x14ac:dyDescent="0.25">
      <c r="A117" s="76"/>
      <c r="B117" s="37" t="str">
        <f>IF(A117="","",IFERROR(VLOOKUP(A117,DB_Customers!$A:$D,4,0),"❌ Account Not Found"))</f>
        <v/>
      </c>
      <c r="C117" s="77" t="str">
        <f>IF(A117="","",IFERROR(VLOOKUP(A117,DB_Customers!$A:$N,14,0),"❌ Acct Not Found"))</f>
        <v/>
      </c>
      <c r="D117" s="78" t="str">
        <f t="shared" ca="1" si="9"/>
        <v/>
      </c>
      <c r="E117" s="94"/>
      <c r="F117" s="37"/>
      <c r="G117" s="95" t="str">
        <f t="shared" si="10"/>
        <v/>
      </c>
      <c r="H117" s="39" t="s">
        <v>138</v>
      </c>
      <c r="I117" s="81"/>
      <c r="J117" s="82" t="str">
        <f>IF(AND(A117&lt;&gt;"",E117&lt;&gt;""),IF(I117="","⚠️ Enter Code",IF(IFERROR(VLOOKUP(H117,DB_Agents!$B:$I,8,0),"")=I117,IF(C117&gt;=E117,"Successful","Unsuccessful"),"🔒 BLOCKED — Wrong Code")),"Pending")</f>
        <v>Pending</v>
      </c>
      <c r="K117" s="83" t="str">
        <f t="shared" ca="1" si="11"/>
        <v>—</v>
      </c>
      <c r="L117" s="84"/>
    </row>
    <row r="118" spans="1:12" ht="15" customHeight="1" x14ac:dyDescent="0.25">
      <c r="A118" s="85"/>
      <c r="B118" s="41" t="str">
        <f>IF(A118="","",IFERROR(VLOOKUP(A118,DB_Customers!$A:$D,4,0),"❌ Account Not Found"))</f>
        <v/>
      </c>
      <c r="C118" s="86" t="str">
        <f>IF(A118="","",IFERROR(VLOOKUP(A118,DB_Customers!$A:$N,14,0),"❌ Acct Not Found"))</f>
        <v/>
      </c>
      <c r="D118" s="87" t="str">
        <f t="shared" ca="1" si="9"/>
        <v/>
      </c>
      <c r="E118" s="94"/>
      <c r="F118" s="41"/>
      <c r="G118" s="96" t="str">
        <f t="shared" si="10"/>
        <v/>
      </c>
      <c r="H118" s="43" t="s">
        <v>138</v>
      </c>
      <c r="I118" s="81"/>
      <c r="J118" s="89" t="str">
        <f>IF(AND(A118&lt;&gt;"",E118&lt;&gt;""),IF(I118="","⚠️ Enter Code",IF(IFERROR(VLOOKUP(H118,DB_Agents!$B:$I,8,0),"")=I118,IF(C118&gt;=E118,"Successful","Unsuccessful"),"🔒 BLOCKED — Wrong Code")),"Pending")</f>
        <v>Pending</v>
      </c>
      <c r="K118" s="90" t="str">
        <f t="shared" ca="1" si="11"/>
        <v>—</v>
      </c>
      <c r="L118" s="91"/>
    </row>
    <row r="119" spans="1:12" ht="15" customHeight="1" x14ac:dyDescent="0.25">
      <c r="A119" s="76"/>
      <c r="B119" s="37" t="str">
        <f>IF(A119="","",IFERROR(VLOOKUP(A119,DB_Customers!$A:$D,4,0),"❌ Account Not Found"))</f>
        <v/>
      </c>
      <c r="C119" s="77" t="str">
        <f>IF(A119="","",IFERROR(VLOOKUP(A119,DB_Customers!$A:$N,14,0),"❌ Acct Not Found"))</f>
        <v/>
      </c>
      <c r="D119" s="78" t="str">
        <f t="shared" ca="1" si="9"/>
        <v/>
      </c>
      <c r="E119" s="94"/>
      <c r="F119" s="37"/>
      <c r="G119" s="95" t="str">
        <f t="shared" si="10"/>
        <v/>
      </c>
      <c r="H119" s="39" t="s">
        <v>138</v>
      </c>
      <c r="I119" s="81"/>
      <c r="J119" s="82" t="str">
        <f>IF(AND(A119&lt;&gt;"",E119&lt;&gt;""),IF(I119="","⚠️ Enter Code",IF(IFERROR(VLOOKUP(H119,DB_Agents!$B:$I,8,0),"")=I119,IF(C119&gt;=E119,"Successful","Unsuccessful"),"🔒 BLOCKED — Wrong Code")),"Pending")</f>
        <v>Pending</v>
      </c>
      <c r="K119" s="83" t="str">
        <f t="shared" ca="1" si="11"/>
        <v>—</v>
      </c>
      <c r="L119" s="84"/>
    </row>
    <row r="120" spans="1:12" ht="15" customHeight="1" x14ac:dyDescent="0.25">
      <c r="A120" s="85"/>
      <c r="B120" s="41" t="str">
        <f>IF(A120="","",IFERROR(VLOOKUP(A120,DB_Customers!$A:$D,4,0),"❌ Account Not Found"))</f>
        <v/>
      </c>
      <c r="C120" s="86" t="str">
        <f>IF(A120="","",IFERROR(VLOOKUP(A120,DB_Customers!$A:$N,14,0),"❌ Acct Not Found"))</f>
        <v/>
      </c>
      <c r="D120" s="87" t="str">
        <f t="shared" ca="1" si="9"/>
        <v/>
      </c>
      <c r="E120" s="94"/>
      <c r="F120" s="41"/>
      <c r="G120" s="96" t="str">
        <f t="shared" si="10"/>
        <v/>
      </c>
      <c r="H120" s="43" t="s">
        <v>138</v>
      </c>
      <c r="I120" s="81"/>
      <c r="J120" s="89" t="str">
        <f>IF(AND(A120&lt;&gt;"",E120&lt;&gt;""),IF(I120="","⚠️ Enter Code",IF(IFERROR(VLOOKUP(H120,DB_Agents!$B:$I,8,0),"")=I120,IF(C120&gt;=E120,"Successful","Unsuccessful"),"🔒 BLOCKED — Wrong Code")),"Pending")</f>
        <v>Pending</v>
      </c>
      <c r="K120" s="90" t="str">
        <f t="shared" ca="1" si="11"/>
        <v>—</v>
      </c>
      <c r="L120" s="91"/>
    </row>
    <row r="121" spans="1:12" ht="15" customHeight="1" x14ac:dyDescent="0.25">
      <c r="A121" s="76"/>
      <c r="B121" s="37" t="str">
        <f>IF(A121="","",IFERROR(VLOOKUP(A121,DB_Customers!$A:$D,4,0),"❌ Account Not Found"))</f>
        <v/>
      </c>
      <c r="C121" s="77" t="str">
        <f>IF(A121="","",IFERROR(VLOOKUP(A121,DB_Customers!$A:$N,14,0),"❌ Acct Not Found"))</f>
        <v/>
      </c>
      <c r="D121" s="78" t="str">
        <f t="shared" ca="1" si="9"/>
        <v/>
      </c>
      <c r="E121" s="94"/>
      <c r="F121" s="37"/>
      <c r="G121" s="95" t="str">
        <f t="shared" si="10"/>
        <v/>
      </c>
      <c r="H121" s="39" t="s">
        <v>138</v>
      </c>
      <c r="I121" s="81"/>
      <c r="J121" s="82" t="str">
        <f>IF(AND(A121&lt;&gt;"",E121&lt;&gt;""),IF(I121="","⚠️ Enter Code",IF(IFERROR(VLOOKUP(H121,DB_Agents!$B:$I,8,0),"")=I121,IF(C121&gt;=E121,"Successful","Unsuccessful"),"🔒 BLOCKED — Wrong Code")),"Pending")</f>
        <v>Pending</v>
      </c>
      <c r="K121" s="83" t="str">
        <f t="shared" ca="1" si="11"/>
        <v>—</v>
      </c>
      <c r="L121" s="84"/>
    </row>
    <row r="122" spans="1:12" ht="15" customHeight="1" x14ac:dyDescent="0.25">
      <c r="A122" s="85"/>
      <c r="B122" s="41" t="str">
        <f>IF(A122="","",IFERROR(VLOOKUP(A122,DB_Customers!$A:$D,4,0),"❌ Account Not Found"))</f>
        <v/>
      </c>
      <c r="C122" s="86" t="str">
        <f>IF(A122="","",IFERROR(VLOOKUP(A122,DB_Customers!$A:$N,14,0),"❌ Acct Not Found"))</f>
        <v/>
      </c>
      <c r="D122" s="87" t="str">
        <f t="shared" ca="1" si="9"/>
        <v/>
      </c>
      <c r="E122" s="94"/>
      <c r="F122" s="41"/>
      <c r="G122" s="96" t="str">
        <f t="shared" si="10"/>
        <v/>
      </c>
      <c r="H122" s="43" t="s">
        <v>138</v>
      </c>
      <c r="I122" s="81"/>
      <c r="J122" s="89" t="str">
        <f>IF(AND(A122&lt;&gt;"",E122&lt;&gt;""),IF(I122="","⚠️ Enter Code",IF(IFERROR(VLOOKUP(H122,DB_Agents!$B:$I,8,0),"")=I122,IF(C122&gt;=E122,"Successful","Unsuccessful"),"🔒 BLOCKED — Wrong Code")),"Pending")</f>
        <v>Pending</v>
      </c>
      <c r="K122" s="90" t="str">
        <f t="shared" ca="1" si="11"/>
        <v>—</v>
      </c>
      <c r="L122" s="91"/>
    </row>
    <row r="123" spans="1:12" ht="15" customHeight="1" x14ac:dyDescent="0.25">
      <c r="A123" s="76"/>
      <c r="B123" s="37" t="str">
        <f>IF(A123="","",IFERROR(VLOOKUP(A123,DB_Customers!$A:$D,4,0),"❌ Account Not Found"))</f>
        <v/>
      </c>
      <c r="C123" s="77" t="str">
        <f>IF(A123="","",IFERROR(VLOOKUP(A123,DB_Customers!$A:$N,14,0),"❌ Acct Not Found"))</f>
        <v/>
      </c>
      <c r="D123" s="78" t="str">
        <f t="shared" ca="1" si="9"/>
        <v/>
      </c>
      <c r="E123" s="94"/>
      <c r="F123" s="37"/>
      <c r="G123" s="95" t="str">
        <f t="shared" si="10"/>
        <v/>
      </c>
      <c r="H123" s="39" t="s">
        <v>138</v>
      </c>
      <c r="I123" s="81"/>
      <c r="J123" s="82" t="str">
        <f>IF(AND(A123&lt;&gt;"",E123&lt;&gt;""),IF(I123="","⚠️ Enter Code",IF(IFERROR(VLOOKUP(H123,DB_Agents!$B:$I,8,0),"")=I123,IF(C123&gt;=E123,"Successful","Unsuccessful"),"🔒 BLOCKED — Wrong Code")),"Pending")</f>
        <v>Pending</v>
      </c>
      <c r="K123" s="83" t="str">
        <f t="shared" ca="1" si="11"/>
        <v>—</v>
      </c>
      <c r="L123" s="84"/>
    </row>
    <row r="124" spans="1:12" ht="15" customHeight="1" x14ac:dyDescent="0.25">
      <c r="A124" s="85"/>
      <c r="B124" s="41" t="str">
        <f>IF(A124="","",IFERROR(VLOOKUP(A124,DB_Customers!$A:$D,4,0),"❌ Account Not Found"))</f>
        <v/>
      </c>
      <c r="C124" s="86" t="str">
        <f>IF(A124="","",IFERROR(VLOOKUP(A124,DB_Customers!$A:$N,14,0),"❌ Acct Not Found"))</f>
        <v/>
      </c>
      <c r="D124" s="87" t="str">
        <f t="shared" ca="1" si="9"/>
        <v/>
      </c>
      <c r="E124" s="94"/>
      <c r="F124" s="41"/>
      <c r="G124" s="96" t="str">
        <f t="shared" si="10"/>
        <v/>
      </c>
      <c r="H124" s="43" t="s">
        <v>138</v>
      </c>
      <c r="I124" s="81"/>
      <c r="J124" s="89" t="str">
        <f>IF(AND(A124&lt;&gt;"",E124&lt;&gt;""),IF(I124="","⚠️ Enter Code",IF(IFERROR(VLOOKUP(H124,DB_Agents!$B:$I,8,0),"")=I124,IF(C124&gt;=E124,"Successful","Unsuccessful"),"🔒 BLOCKED — Wrong Code")),"Pending")</f>
        <v>Pending</v>
      </c>
      <c r="K124" s="90" t="str">
        <f t="shared" ca="1" si="11"/>
        <v>—</v>
      </c>
      <c r="L124" s="91"/>
    </row>
    <row r="125" spans="1:12" ht="15" customHeight="1" x14ac:dyDescent="0.25">
      <c r="A125" s="76"/>
      <c r="B125" s="37" t="str">
        <f>IF(A125="","",IFERROR(VLOOKUP(A125,DB_Customers!$A:$D,4,0),"❌ Account Not Found"))</f>
        <v/>
      </c>
      <c r="C125" s="77" t="str">
        <f>IF(A125="","",IFERROR(VLOOKUP(A125,DB_Customers!$A:$N,14,0),"❌ Acct Not Found"))</f>
        <v/>
      </c>
      <c r="D125" s="78" t="str">
        <f t="shared" ca="1" si="9"/>
        <v/>
      </c>
      <c r="E125" s="94"/>
      <c r="F125" s="37"/>
      <c r="G125" s="95" t="str">
        <f t="shared" si="10"/>
        <v/>
      </c>
      <c r="H125" s="39" t="s">
        <v>138</v>
      </c>
      <c r="I125" s="81"/>
      <c r="J125" s="82" t="str">
        <f>IF(AND(A125&lt;&gt;"",E125&lt;&gt;""),IF(I125="","⚠️ Enter Code",IF(IFERROR(VLOOKUP(H125,DB_Agents!$B:$I,8,0),"")=I125,IF(C125&gt;=E125,"Successful","Unsuccessful"),"🔒 BLOCKED — Wrong Code")),"Pending")</f>
        <v>Pending</v>
      </c>
      <c r="K125" s="83" t="str">
        <f t="shared" ca="1" si="11"/>
        <v>—</v>
      </c>
      <c r="L125" s="84"/>
    </row>
    <row r="126" spans="1:12" ht="15" customHeight="1" x14ac:dyDescent="0.25">
      <c r="A126" s="85"/>
      <c r="B126" s="41" t="str">
        <f>IF(A126="","",IFERROR(VLOOKUP(A126,DB_Customers!$A:$D,4,0),"❌ Account Not Found"))</f>
        <v/>
      </c>
      <c r="C126" s="86" t="str">
        <f>IF(A126="","",IFERROR(VLOOKUP(A126,DB_Customers!$A:$N,14,0),"❌ Acct Not Found"))</f>
        <v/>
      </c>
      <c r="D126" s="87" t="str">
        <f t="shared" ca="1" si="9"/>
        <v/>
      </c>
      <c r="E126" s="94"/>
      <c r="F126" s="41"/>
      <c r="G126" s="96" t="str">
        <f t="shared" si="10"/>
        <v/>
      </c>
      <c r="H126" s="43" t="s">
        <v>138</v>
      </c>
      <c r="I126" s="81"/>
      <c r="J126" s="89" t="str">
        <f>IF(AND(A126&lt;&gt;"",E126&lt;&gt;""),IF(I126="","⚠️ Enter Code",IF(IFERROR(VLOOKUP(H126,DB_Agents!$B:$I,8,0),"")=I126,IF(C126&gt;=E126,"Successful","Unsuccessful"),"🔒 BLOCKED — Wrong Code")),"Pending")</f>
        <v>Pending</v>
      </c>
      <c r="K126" s="90" t="str">
        <f t="shared" ca="1" si="11"/>
        <v>—</v>
      </c>
      <c r="L126" s="91"/>
    </row>
    <row r="127" spans="1:12" ht="15" customHeight="1" x14ac:dyDescent="0.25">
      <c r="A127" s="76"/>
      <c r="B127" s="37" t="str">
        <f>IF(A127="","",IFERROR(VLOOKUP(A127,DB_Customers!$A:$D,4,0),"❌ Account Not Found"))</f>
        <v/>
      </c>
      <c r="C127" s="77" t="str">
        <f>IF(A127="","",IFERROR(VLOOKUP(A127,DB_Customers!$A:$N,14,0),"❌ Acct Not Found"))</f>
        <v/>
      </c>
      <c r="D127" s="78" t="str">
        <f t="shared" ca="1" si="9"/>
        <v/>
      </c>
      <c r="E127" s="94"/>
      <c r="F127" s="37"/>
      <c r="G127" s="95" t="str">
        <f t="shared" si="10"/>
        <v/>
      </c>
      <c r="H127" s="39" t="s">
        <v>138</v>
      </c>
      <c r="I127" s="81"/>
      <c r="J127" s="82" t="str">
        <f>IF(AND(A127&lt;&gt;"",E127&lt;&gt;""),IF(I127="","⚠️ Enter Code",IF(IFERROR(VLOOKUP(H127,DB_Agents!$B:$I,8,0),"")=I127,IF(C127&gt;=E127,"Successful","Unsuccessful"),"🔒 BLOCKED — Wrong Code")),"Pending")</f>
        <v>Pending</v>
      </c>
      <c r="K127" s="83" t="str">
        <f t="shared" ca="1" si="11"/>
        <v>—</v>
      </c>
      <c r="L127" s="84"/>
    </row>
    <row r="128" spans="1:12" ht="15" customHeight="1" x14ac:dyDescent="0.25">
      <c r="A128" s="85"/>
      <c r="B128" s="41" t="str">
        <f>IF(A128="","",IFERROR(VLOOKUP(A128,DB_Customers!$A:$D,4,0),"❌ Account Not Found"))</f>
        <v/>
      </c>
      <c r="C128" s="86" t="str">
        <f>IF(A128="","",IFERROR(VLOOKUP(A128,DB_Customers!$A:$N,14,0),"❌ Acct Not Found"))</f>
        <v/>
      </c>
      <c r="D128" s="87" t="str">
        <f t="shared" ca="1" si="9"/>
        <v/>
      </c>
      <c r="E128" s="94"/>
      <c r="F128" s="41"/>
      <c r="G128" s="96" t="str">
        <f t="shared" si="10"/>
        <v/>
      </c>
      <c r="H128" s="43" t="s">
        <v>138</v>
      </c>
      <c r="I128" s="81"/>
      <c r="J128" s="89" t="str">
        <f>IF(AND(A128&lt;&gt;"",E128&lt;&gt;""),IF(I128="","⚠️ Enter Code",IF(IFERROR(VLOOKUP(H128,DB_Agents!$B:$I,8,0),"")=I128,IF(C128&gt;=E128,"Successful","Unsuccessful"),"🔒 BLOCKED — Wrong Code")),"Pending")</f>
        <v>Pending</v>
      </c>
      <c r="K128" s="90" t="str">
        <f t="shared" ca="1" si="11"/>
        <v>—</v>
      </c>
      <c r="L128" s="91"/>
    </row>
    <row r="129" spans="1:12" ht="15" customHeight="1" x14ac:dyDescent="0.25">
      <c r="A129" s="76"/>
      <c r="B129" s="37" t="str">
        <f>IF(A129="","",IFERROR(VLOOKUP(A129,DB_Customers!$A:$D,4,0),"❌ Account Not Found"))</f>
        <v/>
      </c>
      <c r="C129" s="77" t="str">
        <f>IF(A129="","",IFERROR(VLOOKUP(A129,DB_Customers!$A:$N,14,0),"❌ Acct Not Found"))</f>
        <v/>
      </c>
      <c r="D129" s="78" t="str">
        <f t="shared" ca="1" si="9"/>
        <v/>
      </c>
      <c r="E129" s="94"/>
      <c r="F129" s="37"/>
      <c r="G129" s="95" t="str">
        <f t="shared" si="10"/>
        <v/>
      </c>
      <c r="H129" s="39" t="s">
        <v>138</v>
      </c>
      <c r="I129" s="81"/>
      <c r="J129" s="82" t="str">
        <f>IF(AND(A129&lt;&gt;"",E129&lt;&gt;""),IF(I129="","⚠️ Enter Code",IF(IFERROR(VLOOKUP(H129,DB_Agents!$B:$I,8,0),"")=I129,IF(C129&gt;=E129,"Successful","Unsuccessful"),"🔒 BLOCKED — Wrong Code")),"Pending")</f>
        <v>Pending</v>
      </c>
      <c r="K129" s="83" t="str">
        <f t="shared" ca="1" si="11"/>
        <v>—</v>
      </c>
      <c r="L129" s="84"/>
    </row>
    <row r="130" spans="1:12" ht="15" customHeight="1" x14ac:dyDescent="0.25">
      <c r="A130" s="85"/>
      <c r="B130" s="41" t="str">
        <f>IF(A130="","",IFERROR(VLOOKUP(A130,DB_Customers!$A:$D,4,0),"❌ Account Not Found"))</f>
        <v/>
      </c>
      <c r="C130" s="86" t="str">
        <f>IF(A130="","",IFERROR(VLOOKUP(A130,DB_Customers!$A:$N,14,0),"❌ Acct Not Found"))</f>
        <v/>
      </c>
      <c r="D130" s="87" t="str">
        <f t="shared" ca="1" si="9"/>
        <v/>
      </c>
      <c r="E130" s="94"/>
      <c r="F130" s="41"/>
      <c r="G130" s="96" t="str">
        <f t="shared" si="10"/>
        <v/>
      </c>
      <c r="H130" s="43" t="s">
        <v>138</v>
      </c>
      <c r="I130" s="81"/>
      <c r="J130" s="89" t="str">
        <f>IF(AND(A130&lt;&gt;"",E130&lt;&gt;""),IF(I130="","⚠️ Enter Code",IF(IFERROR(VLOOKUP(H130,DB_Agents!$B:$I,8,0),"")=I130,IF(C130&gt;=E130,"Successful","Unsuccessful"),"🔒 BLOCKED — Wrong Code")),"Pending")</f>
        <v>Pending</v>
      </c>
      <c r="K130" s="90" t="str">
        <f t="shared" ca="1" si="11"/>
        <v>—</v>
      </c>
      <c r="L130" s="91"/>
    </row>
    <row r="131" spans="1:12" ht="15" customHeight="1" x14ac:dyDescent="0.25">
      <c r="A131" s="76"/>
      <c r="B131" s="37" t="str">
        <f>IF(A131="","",IFERROR(VLOOKUP(A131,DB_Customers!$A:$D,4,0),"❌ Account Not Found"))</f>
        <v/>
      </c>
      <c r="C131" s="77" t="str">
        <f>IF(A131="","",IFERROR(VLOOKUP(A131,DB_Customers!$A:$N,14,0),"❌ Acct Not Found"))</f>
        <v/>
      </c>
      <c r="D131" s="78" t="str">
        <f t="shared" ca="1" si="9"/>
        <v/>
      </c>
      <c r="E131" s="94"/>
      <c r="F131" s="37"/>
      <c r="G131" s="95" t="str">
        <f t="shared" si="10"/>
        <v/>
      </c>
      <c r="H131" s="39" t="s">
        <v>138</v>
      </c>
      <c r="I131" s="81"/>
      <c r="J131" s="82" t="str">
        <f>IF(AND(A131&lt;&gt;"",E131&lt;&gt;""),IF(I131="","⚠️ Enter Code",IF(IFERROR(VLOOKUP(H131,DB_Agents!$B:$I,8,0),"")=I131,IF(C131&gt;=E131,"Successful","Unsuccessful"),"🔒 BLOCKED — Wrong Code")),"Pending")</f>
        <v>Pending</v>
      </c>
      <c r="K131" s="83" t="str">
        <f t="shared" ca="1" si="11"/>
        <v>—</v>
      </c>
      <c r="L131" s="84"/>
    </row>
    <row r="132" spans="1:12" ht="15" customHeight="1" x14ac:dyDescent="0.25">
      <c r="A132" s="85"/>
      <c r="B132" s="41" t="str">
        <f>IF(A132="","",IFERROR(VLOOKUP(A132,DB_Customers!$A:$D,4,0),"❌ Account Not Found"))</f>
        <v/>
      </c>
      <c r="C132" s="86" t="str">
        <f>IF(A132="","",IFERROR(VLOOKUP(A132,DB_Customers!$A:$N,14,0),"❌ Acct Not Found"))</f>
        <v/>
      </c>
      <c r="D132" s="87" t="str">
        <f t="shared" ca="1" si="9"/>
        <v/>
      </c>
      <c r="E132" s="94"/>
      <c r="F132" s="41"/>
      <c r="G132" s="96" t="str">
        <f t="shared" si="10"/>
        <v/>
      </c>
      <c r="H132" s="43" t="s">
        <v>138</v>
      </c>
      <c r="I132" s="81"/>
      <c r="J132" s="89" t="str">
        <f>IF(AND(A132&lt;&gt;"",E132&lt;&gt;""),IF(I132="","⚠️ Enter Code",IF(IFERROR(VLOOKUP(H132,DB_Agents!$B:$I,8,0),"")=I132,IF(C132&gt;=E132,"Successful","Unsuccessful"),"🔒 BLOCKED — Wrong Code")),"Pending")</f>
        <v>Pending</v>
      </c>
      <c r="K132" s="90" t="str">
        <f t="shared" ca="1" si="11"/>
        <v>—</v>
      </c>
      <c r="L132" s="91"/>
    </row>
    <row r="133" spans="1:12" ht="15" customHeight="1" x14ac:dyDescent="0.25">
      <c r="A133" s="76"/>
      <c r="B133" s="37" t="str">
        <f>IF(A133="","",IFERROR(VLOOKUP(A133,DB_Customers!$A:$D,4,0),"❌ Account Not Found"))</f>
        <v/>
      </c>
      <c r="C133" s="77" t="str">
        <f>IF(A133="","",IFERROR(VLOOKUP(A133,DB_Customers!$A:$N,14,0),"❌ Acct Not Found"))</f>
        <v/>
      </c>
      <c r="D133" s="78" t="str">
        <f t="shared" ca="1" si="9"/>
        <v/>
      </c>
      <c r="E133" s="94"/>
      <c r="F133" s="37"/>
      <c r="G133" s="95" t="str">
        <f t="shared" si="10"/>
        <v/>
      </c>
      <c r="H133" s="39" t="s">
        <v>138</v>
      </c>
      <c r="I133" s="81"/>
      <c r="J133" s="82" t="str">
        <f>IF(AND(A133&lt;&gt;"",E133&lt;&gt;""),IF(I133="","⚠️ Enter Code",IF(IFERROR(VLOOKUP(H133,DB_Agents!$B:$I,8,0),"")=I133,IF(C133&gt;=E133,"Successful","Unsuccessful"),"🔒 BLOCKED — Wrong Code")),"Pending")</f>
        <v>Pending</v>
      </c>
      <c r="K133" s="83" t="str">
        <f t="shared" ca="1" si="11"/>
        <v>—</v>
      </c>
      <c r="L133" s="84"/>
    </row>
    <row r="134" spans="1:12" ht="15" customHeight="1" x14ac:dyDescent="0.25">
      <c r="A134" s="85"/>
      <c r="B134" s="41" t="str">
        <f>IF(A134="","",IFERROR(VLOOKUP(A134,DB_Customers!$A:$D,4,0),"❌ Account Not Found"))</f>
        <v/>
      </c>
      <c r="C134" s="86" t="str">
        <f>IF(A134="","",IFERROR(VLOOKUP(A134,DB_Customers!$A:$N,14,0),"❌ Acct Not Found"))</f>
        <v/>
      </c>
      <c r="D134" s="87" t="str">
        <f t="shared" ca="1" si="9"/>
        <v/>
      </c>
      <c r="E134" s="94"/>
      <c r="F134" s="41"/>
      <c r="G134" s="96" t="str">
        <f t="shared" si="10"/>
        <v/>
      </c>
      <c r="H134" s="43" t="s">
        <v>138</v>
      </c>
      <c r="I134" s="81"/>
      <c r="J134" s="89" t="str">
        <f>IF(AND(A134&lt;&gt;"",E134&lt;&gt;""),IF(I134="","⚠️ Enter Code",IF(IFERROR(VLOOKUP(H134,DB_Agents!$B:$I,8,0),"")=I134,IF(C134&gt;=E134,"Successful","Unsuccessful"),"🔒 BLOCKED — Wrong Code")),"Pending")</f>
        <v>Pending</v>
      </c>
      <c r="K134" s="90" t="str">
        <f t="shared" ca="1" si="11"/>
        <v>—</v>
      </c>
      <c r="L134" s="91"/>
    </row>
    <row r="135" spans="1:12" ht="15" customHeight="1" x14ac:dyDescent="0.25">
      <c r="A135" s="76"/>
      <c r="B135" s="37" t="str">
        <f>IF(A135="","",IFERROR(VLOOKUP(A135,DB_Customers!$A:$D,4,0),"❌ Account Not Found"))</f>
        <v/>
      </c>
      <c r="C135" s="77" t="str">
        <f>IF(A135="","",IFERROR(VLOOKUP(A135,DB_Customers!$A:$N,14,0),"❌ Acct Not Found"))</f>
        <v/>
      </c>
      <c r="D135" s="78" t="str">
        <f t="shared" ca="1" si="9"/>
        <v/>
      </c>
      <c r="E135" s="94"/>
      <c r="F135" s="37"/>
      <c r="G135" s="95" t="str">
        <f t="shared" si="10"/>
        <v/>
      </c>
      <c r="H135" s="39" t="s">
        <v>138</v>
      </c>
      <c r="I135" s="81"/>
      <c r="J135" s="82" t="str">
        <f>IF(AND(A135&lt;&gt;"",E135&lt;&gt;""),IF(I135="","⚠️ Enter Code",IF(IFERROR(VLOOKUP(H135,DB_Agents!$B:$I,8,0),"")=I135,IF(C135&gt;=E135,"Successful","Unsuccessful"),"🔒 BLOCKED — Wrong Code")),"Pending")</f>
        <v>Pending</v>
      </c>
      <c r="K135" s="83" t="str">
        <f t="shared" ca="1" si="11"/>
        <v>—</v>
      </c>
      <c r="L135" s="84"/>
    </row>
    <row r="136" spans="1:12" ht="15" customHeight="1" x14ac:dyDescent="0.25">
      <c r="A136" s="85"/>
      <c r="B136" s="41" t="str">
        <f>IF(A136="","",IFERROR(VLOOKUP(A136,DB_Customers!$A:$D,4,0),"❌ Account Not Found"))</f>
        <v/>
      </c>
      <c r="C136" s="86" t="str">
        <f>IF(A136="","",IFERROR(VLOOKUP(A136,DB_Customers!$A:$N,14,0),"❌ Acct Not Found"))</f>
        <v/>
      </c>
      <c r="D136" s="87" t="str">
        <f t="shared" ca="1" si="9"/>
        <v/>
      </c>
      <c r="E136" s="94"/>
      <c r="F136" s="41"/>
      <c r="G136" s="96" t="str">
        <f t="shared" si="10"/>
        <v/>
      </c>
      <c r="H136" s="43" t="s">
        <v>138</v>
      </c>
      <c r="I136" s="81"/>
      <c r="J136" s="89" t="str">
        <f>IF(AND(A136&lt;&gt;"",E136&lt;&gt;""),IF(I136="","⚠️ Enter Code",IF(IFERROR(VLOOKUP(H136,DB_Agents!$B:$I,8,0),"")=I136,IF(C136&gt;=E136,"Successful","Unsuccessful"),"🔒 BLOCKED — Wrong Code")),"Pending")</f>
        <v>Pending</v>
      </c>
      <c r="K136" s="90" t="str">
        <f t="shared" ca="1" si="11"/>
        <v>—</v>
      </c>
      <c r="L136" s="91"/>
    </row>
    <row r="137" spans="1:12" ht="15" customHeight="1" x14ac:dyDescent="0.25">
      <c r="A137" s="76"/>
      <c r="B137" s="37" t="str">
        <f>IF(A137="","",IFERROR(VLOOKUP(A137,DB_Customers!$A:$D,4,0),"❌ Account Not Found"))</f>
        <v/>
      </c>
      <c r="C137" s="77" t="str">
        <f>IF(A137="","",IFERROR(VLOOKUP(A137,DB_Customers!$A:$N,14,0),"❌ Acct Not Found"))</f>
        <v/>
      </c>
      <c r="D137" s="78" t="str">
        <f t="shared" ref="D137:D168" ca="1" si="12">IF(A137="","",TODAY())</f>
        <v/>
      </c>
      <c r="E137" s="94"/>
      <c r="F137" s="37"/>
      <c r="G137" s="95" t="str">
        <f t="shared" ref="G137:G168" si="13">IF(OR(A137="",E137=""),"",IF(C137="","",C137-E137))</f>
        <v/>
      </c>
      <c r="H137" s="39" t="s">
        <v>138</v>
      </c>
      <c r="I137" s="81"/>
      <c r="J137" s="82" t="str">
        <f>IF(AND(A137&lt;&gt;"",E137&lt;&gt;""),IF(I137="","⚠️ Enter Code",IF(IFERROR(VLOOKUP(H137,DB_Agents!$B:$I,8,0),"")=I137,IF(C137&gt;=E137,"Successful","Unsuccessful"),"🔒 BLOCKED — Wrong Code")),"Pending")</f>
        <v>Pending</v>
      </c>
      <c r="K137" s="83" t="str">
        <f t="shared" ref="K137:K168" ca="1" si="14">IF(J137="Successful",TEXT(TODAY(),"YYYY-MM-DD")&amp;" Auto","—")</f>
        <v>—</v>
      </c>
      <c r="L137" s="84"/>
    </row>
    <row r="138" spans="1:12" ht="15" customHeight="1" x14ac:dyDescent="0.25">
      <c r="A138" s="85"/>
      <c r="B138" s="41" t="str">
        <f>IF(A138="","",IFERROR(VLOOKUP(A138,DB_Customers!$A:$D,4,0),"❌ Account Not Found"))</f>
        <v/>
      </c>
      <c r="C138" s="86" t="str">
        <f>IF(A138="","",IFERROR(VLOOKUP(A138,DB_Customers!$A:$N,14,0),"❌ Acct Not Found"))</f>
        <v/>
      </c>
      <c r="D138" s="87" t="str">
        <f t="shared" ca="1" si="12"/>
        <v/>
      </c>
      <c r="E138" s="94"/>
      <c r="F138" s="41"/>
      <c r="G138" s="96" t="str">
        <f t="shared" si="13"/>
        <v/>
      </c>
      <c r="H138" s="43" t="s">
        <v>138</v>
      </c>
      <c r="I138" s="81"/>
      <c r="J138" s="89" t="str">
        <f>IF(AND(A138&lt;&gt;"",E138&lt;&gt;""),IF(I138="","⚠️ Enter Code",IF(IFERROR(VLOOKUP(H138,DB_Agents!$B:$I,8,0),"")=I138,IF(C138&gt;=E138,"Successful","Unsuccessful"),"🔒 BLOCKED — Wrong Code")),"Pending")</f>
        <v>Pending</v>
      </c>
      <c r="K138" s="90" t="str">
        <f t="shared" ca="1" si="14"/>
        <v>—</v>
      </c>
      <c r="L138" s="91"/>
    </row>
    <row r="139" spans="1:12" ht="15" customHeight="1" x14ac:dyDescent="0.25">
      <c r="A139" s="76"/>
      <c r="B139" s="37" t="str">
        <f>IF(A139="","",IFERROR(VLOOKUP(A139,DB_Customers!$A:$D,4,0),"❌ Account Not Found"))</f>
        <v/>
      </c>
      <c r="C139" s="77" t="str">
        <f>IF(A139="","",IFERROR(VLOOKUP(A139,DB_Customers!$A:$N,14,0),"❌ Acct Not Found"))</f>
        <v/>
      </c>
      <c r="D139" s="78" t="str">
        <f t="shared" ca="1" si="12"/>
        <v/>
      </c>
      <c r="E139" s="94"/>
      <c r="F139" s="37"/>
      <c r="G139" s="95" t="str">
        <f t="shared" si="13"/>
        <v/>
      </c>
      <c r="H139" s="39" t="s">
        <v>138</v>
      </c>
      <c r="I139" s="81"/>
      <c r="J139" s="82" t="str">
        <f>IF(AND(A139&lt;&gt;"",E139&lt;&gt;""),IF(I139="","⚠️ Enter Code",IF(IFERROR(VLOOKUP(H139,DB_Agents!$B:$I,8,0),"")=I139,IF(C139&gt;=E139,"Successful","Unsuccessful"),"🔒 BLOCKED — Wrong Code")),"Pending")</f>
        <v>Pending</v>
      </c>
      <c r="K139" s="83" t="str">
        <f t="shared" ca="1" si="14"/>
        <v>—</v>
      </c>
      <c r="L139" s="84"/>
    </row>
    <row r="140" spans="1:12" ht="15" customHeight="1" x14ac:dyDescent="0.25">
      <c r="A140" s="85"/>
      <c r="B140" s="41" t="str">
        <f>IF(A140="","",IFERROR(VLOOKUP(A140,DB_Customers!$A:$D,4,0),"❌ Account Not Found"))</f>
        <v/>
      </c>
      <c r="C140" s="86" t="str">
        <f>IF(A140="","",IFERROR(VLOOKUP(A140,DB_Customers!$A:$N,14,0),"❌ Acct Not Found"))</f>
        <v/>
      </c>
      <c r="D140" s="87" t="str">
        <f t="shared" ca="1" si="12"/>
        <v/>
      </c>
      <c r="E140" s="94"/>
      <c r="F140" s="41"/>
      <c r="G140" s="96" t="str">
        <f t="shared" si="13"/>
        <v/>
      </c>
      <c r="H140" s="43" t="s">
        <v>138</v>
      </c>
      <c r="I140" s="81"/>
      <c r="J140" s="89" t="str">
        <f>IF(AND(A140&lt;&gt;"",E140&lt;&gt;""),IF(I140="","⚠️ Enter Code",IF(IFERROR(VLOOKUP(H140,DB_Agents!$B:$I,8,0),"")=I140,IF(C140&gt;=E140,"Successful","Unsuccessful"),"🔒 BLOCKED — Wrong Code")),"Pending")</f>
        <v>Pending</v>
      </c>
      <c r="K140" s="90" t="str">
        <f t="shared" ca="1" si="14"/>
        <v>—</v>
      </c>
      <c r="L140" s="91"/>
    </row>
    <row r="141" spans="1:12" ht="15" customHeight="1" x14ac:dyDescent="0.25">
      <c r="A141" s="76"/>
      <c r="B141" s="37" t="str">
        <f>IF(A141="","",IFERROR(VLOOKUP(A141,DB_Customers!$A:$D,4,0),"❌ Account Not Found"))</f>
        <v/>
      </c>
      <c r="C141" s="77" t="str">
        <f>IF(A141="","",IFERROR(VLOOKUP(A141,DB_Customers!$A:$N,14,0),"❌ Acct Not Found"))</f>
        <v/>
      </c>
      <c r="D141" s="78" t="str">
        <f t="shared" ca="1" si="12"/>
        <v/>
      </c>
      <c r="E141" s="94"/>
      <c r="F141" s="37"/>
      <c r="G141" s="95" t="str">
        <f t="shared" si="13"/>
        <v/>
      </c>
      <c r="H141" s="39" t="s">
        <v>138</v>
      </c>
      <c r="I141" s="81"/>
      <c r="J141" s="82" t="str">
        <f>IF(AND(A141&lt;&gt;"",E141&lt;&gt;""),IF(I141="","⚠️ Enter Code",IF(IFERROR(VLOOKUP(H141,DB_Agents!$B:$I,8,0),"")=I141,IF(C141&gt;=E141,"Successful","Unsuccessful"),"🔒 BLOCKED — Wrong Code")),"Pending")</f>
        <v>Pending</v>
      </c>
      <c r="K141" s="83" t="str">
        <f t="shared" ca="1" si="14"/>
        <v>—</v>
      </c>
      <c r="L141" s="84"/>
    </row>
    <row r="142" spans="1:12" ht="15" customHeight="1" x14ac:dyDescent="0.25">
      <c r="A142" s="85"/>
      <c r="B142" s="41" t="str">
        <f>IF(A142="","",IFERROR(VLOOKUP(A142,DB_Customers!$A:$D,4,0),"❌ Account Not Found"))</f>
        <v/>
      </c>
      <c r="C142" s="86" t="str">
        <f>IF(A142="","",IFERROR(VLOOKUP(A142,DB_Customers!$A:$N,14,0),"❌ Acct Not Found"))</f>
        <v/>
      </c>
      <c r="D142" s="87" t="str">
        <f t="shared" ca="1" si="12"/>
        <v/>
      </c>
      <c r="E142" s="94"/>
      <c r="F142" s="41"/>
      <c r="G142" s="96" t="str">
        <f t="shared" si="13"/>
        <v/>
      </c>
      <c r="H142" s="43" t="s">
        <v>138</v>
      </c>
      <c r="I142" s="81"/>
      <c r="J142" s="89" t="str">
        <f>IF(AND(A142&lt;&gt;"",E142&lt;&gt;""),IF(I142="","⚠️ Enter Code",IF(IFERROR(VLOOKUP(H142,DB_Agents!$B:$I,8,0),"")=I142,IF(C142&gt;=E142,"Successful","Unsuccessful"),"🔒 BLOCKED — Wrong Code")),"Pending")</f>
        <v>Pending</v>
      </c>
      <c r="K142" s="90" t="str">
        <f t="shared" ca="1" si="14"/>
        <v>—</v>
      </c>
      <c r="L142" s="91"/>
    </row>
    <row r="143" spans="1:12" ht="15" customHeight="1" x14ac:dyDescent="0.25">
      <c r="A143" s="76"/>
      <c r="B143" s="37" t="str">
        <f>IF(A143="","",IFERROR(VLOOKUP(A143,DB_Customers!$A:$D,4,0),"❌ Account Not Found"))</f>
        <v/>
      </c>
      <c r="C143" s="77" t="str">
        <f>IF(A143="","",IFERROR(VLOOKUP(A143,DB_Customers!$A:$N,14,0),"❌ Acct Not Found"))</f>
        <v/>
      </c>
      <c r="D143" s="78" t="str">
        <f t="shared" ca="1" si="12"/>
        <v/>
      </c>
      <c r="E143" s="94"/>
      <c r="F143" s="37"/>
      <c r="G143" s="95" t="str">
        <f t="shared" si="13"/>
        <v/>
      </c>
      <c r="H143" s="39" t="s">
        <v>138</v>
      </c>
      <c r="I143" s="81"/>
      <c r="J143" s="82" t="str">
        <f>IF(AND(A143&lt;&gt;"",E143&lt;&gt;""),IF(I143="","⚠️ Enter Code",IF(IFERROR(VLOOKUP(H143,DB_Agents!$B:$I,8,0),"")=I143,IF(C143&gt;=E143,"Successful","Unsuccessful"),"🔒 BLOCKED — Wrong Code")),"Pending")</f>
        <v>Pending</v>
      </c>
      <c r="K143" s="83" t="str">
        <f t="shared" ca="1" si="14"/>
        <v>—</v>
      </c>
      <c r="L143" s="84"/>
    </row>
    <row r="144" spans="1:12" ht="15" customHeight="1" x14ac:dyDescent="0.25">
      <c r="A144" s="85"/>
      <c r="B144" s="41" t="str">
        <f>IF(A144="","",IFERROR(VLOOKUP(A144,DB_Customers!$A:$D,4,0),"❌ Account Not Found"))</f>
        <v/>
      </c>
      <c r="C144" s="86" t="str">
        <f>IF(A144="","",IFERROR(VLOOKUP(A144,DB_Customers!$A:$N,14,0),"❌ Acct Not Found"))</f>
        <v/>
      </c>
      <c r="D144" s="87" t="str">
        <f t="shared" ca="1" si="12"/>
        <v/>
      </c>
      <c r="E144" s="94"/>
      <c r="F144" s="41"/>
      <c r="G144" s="96" t="str">
        <f t="shared" si="13"/>
        <v/>
      </c>
      <c r="H144" s="43" t="s">
        <v>138</v>
      </c>
      <c r="I144" s="81"/>
      <c r="J144" s="89" t="str">
        <f>IF(AND(A144&lt;&gt;"",E144&lt;&gt;""),IF(I144="","⚠️ Enter Code",IF(IFERROR(VLOOKUP(H144,DB_Agents!$B:$I,8,0),"")=I144,IF(C144&gt;=E144,"Successful","Unsuccessful"),"🔒 BLOCKED — Wrong Code")),"Pending")</f>
        <v>Pending</v>
      </c>
      <c r="K144" s="90" t="str">
        <f t="shared" ca="1" si="14"/>
        <v>—</v>
      </c>
      <c r="L144" s="91"/>
    </row>
    <row r="145" spans="1:12" ht="15" customHeight="1" x14ac:dyDescent="0.25">
      <c r="A145" s="76"/>
      <c r="B145" s="37" t="str">
        <f>IF(A145="","",IFERROR(VLOOKUP(A145,DB_Customers!$A:$D,4,0),"❌ Account Not Found"))</f>
        <v/>
      </c>
      <c r="C145" s="77" t="str">
        <f>IF(A145="","",IFERROR(VLOOKUP(A145,DB_Customers!$A:$N,14,0),"❌ Acct Not Found"))</f>
        <v/>
      </c>
      <c r="D145" s="78" t="str">
        <f t="shared" ca="1" si="12"/>
        <v/>
      </c>
      <c r="E145" s="94"/>
      <c r="F145" s="37"/>
      <c r="G145" s="95" t="str">
        <f t="shared" si="13"/>
        <v/>
      </c>
      <c r="H145" s="39" t="s">
        <v>138</v>
      </c>
      <c r="I145" s="81"/>
      <c r="J145" s="82" t="str">
        <f>IF(AND(A145&lt;&gt;"",E145&lt;&gt;""),IF(I145="","⚠️ Enter Code",IF(IFERROR(VLOOKUP(H145,DB_Agents!$B:$I,8,0),"")=I145,IF(C145&gt;=E145,"Successful","Unsuccessful"),"🔒 BLOCKED — Wrong Code")),"Pending")</f>
        <v>Pending</v>
      </c>
      <c r="K145" s="83" t="str">
        <f t="shared" ca="1" si="14"/>
        <v>—</v>
      </c>
      <c r="L145" s="84"/>
    </row>
    <row r="146" spans="1:12" ht="15" customHeight="1" x14ac:dyDescent="0.25">
      <c r="A146" s="85"/>
      <c r="B146" s="41" t="str">
        <f>IF(A146="","",IFERROR(VLOOKUP(A146,DB_Customers!$A:$D,4,0),"❌ Account Not Found"))</f>
        <v/>
      </c>
      <c r="C146" s="86" t="str">
        <f>IF(A146="","",IFERROR(VLOOKUP(A146,DB_Customers!$A:$N,14,0),"❌ Acct Not Found"))</f>
        <v/>
      </c>
      <c r="D146" s="87" t="str">
        <f t="shared" ca="1" si="12"/>
        <v/>
      </c>
      <c r="E146" s="94"/>
      <c r="F146" s="41"/>
      <c r="G146" s="96" t="str">
        <f t="shared" si="13"/>
        <v/>
      </c>
      <c r="H146" s="43" t="s">
        <v>138</v>
      </c>
      <c r="I146" s="81"/>
      <c r="J146" s="89" t="str">
        <f>IF(AND(A146&lt;&gt;"",E146&lt;&gt;""),IF(I146="","⚠️ Enter Code",IF(IFERROR(VLOOKUP(H146,DB_Agents!$B:$I,8,0),"")=I146,IF(C146&gt;=E146,"Successful","Unsuccessful"),"🔒 BLOCKED — Wrong Code")),"Pending")</f>
        <v>Pending</v>
      </c>
      <c r="K146" s="90" t="str">
        <f t="shared" ca="1" si="14"/>
        <v>—</v>
      </c>
      <c r="L146" s="91"/>
    </row>
    <row r="147" spans="1:12" ht="15" customHeight="1" x14ac:dyDescent="0.25">
      <c r="A147" s="76"/>
      <c r="B147" s="37" t="str">
        <f>IF(A147="","",IFERROR(VLOOKUP(A147,DB_Customers!$A:$D,4,0),"❌ Account Not Found"))</f>
        <v/>
      </c>
      <c r="C147" s="77" t="str">
        <f>IF(A147="","",IFERROR(VLOOKUP(A147,DB_Customers!$A:$N,14,0),"❌ Acct Not Found"))</f>
        <v/>
      </c>
      <c r="D147" s="78" t="str">
        <f t="shared" ca="1" si="12"/>
        <v/>
      </c>
      <c r="E147" s="94"/>
      <c r="F147" s="37"/>
      <c r="G147" s="95" t="str">
        <f t="shared" si="13"/>
        <v/>
      </c>
      <c r="H147" s="39" t="s">
        <v>138</v>
      </c>
      <c r="I147" s="81"/>
      <c r="J147" s="82" t="str">
        <f>IF(AND(A147&lt;&gt;"",E147&lt;&gt;""),IF(I147="","⚠️ Enter Code",IF(IFERROR(VLOOKUP(H147,DB_Agents!$B:$I,8,0),"")=I147,IF(C147&gt;=E147,"Successful","Unsuccessful"),"🔒 BLOCKED — Wrong Code")),"Pending")</f>
        <v>Pending</v>
      </c>
      <c r="K147" s="83" t="str">
        <f t="shared" ca="1" si="14"/>
        <v>—</v>
      </c>
      <c r="L147" s="84"/>
    </row>
    <row r="148" spans="1:12" ht="15" customHeight="1" x14ac:dyDescent="0.25">
      <c r="A148" s="85"/>
      <c r="B148" s="41" t="str">
        <f>IF(A148="","",IFERROR(VLOOKUP(A148,DB_Customers!$A:$D,4,0),"❌ Account Not Found"))</f>
        <v/>
      </c>
      <c r="C148" s="86" t="str">
        <f>IF(A148="","",IFERROR(VLOOKUP(A148,DB_Customers!$A:$N,14,0),"❌ Acct Not Found"))</f>
        <v/>
      </c>
      <c r="D148" s="87" t="str">
        <f t="shared" ca="1" si="12"/>
        <v/>
      </c>
      <c r="E148" s="94"/>
      <c r="F148" s="41"/>
      <c r="G148" s="96" t="str">
        <f t="shared" si="13"/>
        <v/>
      </c>
      <c r="H148" s="43" t="s">
        <v>138</v>
      </c>
      <c r="I148" s="81"/>
      <c r="J148" s="89" t="str">
        <f>IF(AND(A148&lt;&gt;"",E148&lt;&gt;""),IF(I148="","⚠️ Enter Code",IF(IFERROR(VLOOKUP(H148,DB_Agents!$B:$I,8,0),"")=I148,IF(C148&gt;=E148,"Successful","Unsuccessful"),"🔒 BLOCKED — Wrong Code")),"Pending")</f>
        <v>Pending</v>
      </c>
      <c r="K148" s="90" t="str">
        <f t="shared" ca="1" si="14"/>
        <v>—</v>
      </c>
      <c r="L148" s="91"/>
    </row>
    <row r="149" spans="1:12" ht="15" customHeight="1" x14ac:dyDescent="0.25">
      <c r="A149" s="76"/>
      <c r="B149" s="37" t="str">
        <f>IF(A149="","",IFERROR(VLOOKUP(A149,DB_Customers!$A:$D,4,0),"❌ Account Not Found"))</f>
        <v/>
      </c>
      <c r="C149" s="77" t="str">
        <f>IF(A149="","",IFERROR(VLOOKUP(A149,DB_Customers!$A:$N,14,0),"❌ Acct Not Found"))</f>
        <v/>
      </c>
      <c r="D149" s="78" t="str">
        <f t="shared" ca="1" si="12"/>
        <v/>
      </c>
      <c r="E149" s="94"/>
      <c r="F149" s="37"/>
      <c r="G149" s="95" t="str">
        <f t="shared" si="13"/>
        <v/>
      </c>
      <c r="H149" s="39" t="s">
        <v>138</v>
      </c>
      <c r="I149" s="81"/>
      <c r="J149" s="82" t="str">
        <f>IF(AND(A149&lt;&gt;"",E149&lt;&gt;""),IF(I149="","⚠️ Enter Code",IF(IFERROR(VLOOKUP(H149,DB_Agents!$B:$I,8,0),"")=I149,IF(C149&gt;=E149,"Successful","Unsuccessful"),"🔒 BLOCKED — Wrong Code")),"Pending")</f>
        <v>Pending</v>
      </c>
      <c r="K149" s="83" t="str">
        <f t="shared" ca="1" si="14"/>
        <v>—</v>
      </c>
      <c r="L149" s="84"/>
    </row>
    <row r="150" spans="1:12" ht="15" customHeight="1" x14ac:dyDescent="0.25">
      <c r="A150" s="85"/>
      <c r="B150" s="41" t="str">
        <f>IF(A150="","",IFERROR(VLOOKUP(A150,DB_Customers!$A:$D,4,0),"❌ Account Not Found"))</f>
        <v/>
      </c>
      <c r="C150" s="86" t="str">
        <f>IF(A150="","",IFERROR(VLOOKUP(A150,DB_Customers!$A:$N,14,0),"❌ Acct Not Found"))</f>
        <v/>
      </c>
      <c r="D150" s="87" t="str">
        <f t="shared" ca="1" si="12"/>
        <v/>
      </c>
      <c r="E150" s="94"/>
      <c r="F150" s="41"/>
      <c r="G150" s="96" t="str">
        <f t="shared" si="13"/>
        <v/>
      </c>
      <c r="H150" s="43" t="s">
        <v>138</v>
      </c>
      <c r="I150" s="81"/>
      <c r="J150" s="89" t="str">
        <f>IF(AND(A150&lt;&gt;"",E150&lt;&gt;""),IF(I150="","⚠️ Enter Code",IF(IFERROR(VLOOKUP(H150,DB_Agents!$B:$I,8,0),"")=I150,IF(C150&gt;=E150,"Successful","Unsuccessful"),"🔒 BLOCKED — Wrong Code")),"Pending")</f>
        <v>Pending</v>
      </c>
      <c r="K150" s="90" t="str">
        <f t="shared" ca="1" si="14"/>
        <v>—</v>
      </c>
      <c r="L150" s="91"/>
    </row>
    <row r="151" spans="1:12" ht="15" customHeight="1" x14ac:dyDescent="0.25">
      <c r="A151" s="76"/>
      <c r="B151" s="37" t="str">
        <f>IF(A151="","",IFERROR(VLOOKUP(A151,DB_Customers!$A:$D,4,0),"❌ Account Not Found"))</f>
        <v/>
      </c>
      <c r="C151" s="77" t="str">
        <f>IF(A151="","",IFERROR(VLOOKUP(A151,DB_Customers!$A:$N,14,0),"❌ Acct Not Found"))</f>
        <v/>
      </c>
      <c r="D151" s="78" t="str">
        <f t="shared" ca="1" si="12"/>
        <v/>
      </c>
      <c r="E151" s="94"/>
      <c r="F151" s="37"/>
      <c r="G151" s="95" t="str">
        <f t="shared" si="13"/>
        <v/>
      </c>
      <c r="H151" s="39" t="s">
        <v>138</v>
      </c>
      <c r="I151" s="81"/>
      <c r="J151" s="82" t="str">
        <f>IF(AND(A151&lt;&gt;"",E151&lt;&gt;""),IF(I151="","⚠️ Enter Code",IF(IFERROR(VLOOKUP(H151,DB_Agents!$B:$I,8,0),"")=I151,IF(C151&gt;=E151,"Successful","Unsuccessful"),"🔒 BLOCKED — Wrong Code")),"Pending")</f>
        <v>Pending</v>
      </c>
      <c r="K151" s="83" t="str">
        <f t="shared" ca="1" si="14"/>
        <v>—</v>
      </c>
      <c r="L151" s="84"/>
    </row>
    <row r="152" spans="1:12" ht="15" customHeight="1" x14ac:dyDescent="0.25">
      <c r="A152" s="85"/>
      <c r="B152" s="41" t="str">
        <f>IF(A152="","",IFERROR(VLOOKUP(A152,DB_Customers!$A:$D,4,0),"❌ Account Not Found"))</f>
        <v/>
      </c>
      <c r="C152" s="86" t="str">
        <f>IF(A152="","",IFERROR(VLOOKUP(A152,DB_Customers!$A:$N,14,0),"❌ Acct Not Found"))</f>
        <v/>
      </c>
      <c r="D152" s="87" t="str">
        <f t="shared" ca="1" si="12"/>
        <v/>
      </c>
      <c r="E152" s="94"/>
      <c r="F152" s="41"/>
      <c r="G152" s="96" t="str">
        <f t="shared" si="13"/>
        <v/>
      </c>
      <c r="H152" s="43" t="s">
        <v>138</v>
      </c>
      <c r="I152" s="81"/>
      <c r="J152" s="89" t="str">
        <f>IF(AND(A152&lt;&gt;"",E152&lt;&gt;""),IF(I152="","⚠️ Enter Code",IF(IFERROR(VLOOKUP(H152,DB_Agents!$B:$I,8,0),"")=I152,IF(C152&gt;=E152,"Successful","Unsuccessful"),"🔒 BLOCKED — Wrong Code")),"Pending")</f>
        <v>Pending</v>
      </c>
      <c r="K152" s="90" t="str">
        <f t="shared" ca="1" si="14"/>
        <v>—</v>
      </c>
      <c r="L152" s="91"/>
    </row>
    <row r="153" spans="1:12" ht="15" customHeight="1" x14ac:dyDescent="0.25">
      <c r="A153" s="76"/>
      <c r="B153" s="37" t="str">
        <f>IF(A153="","",IFERROR(VLOOKUP(A153,DB_Customers!$A:$D,4,0),"❌ Account Not Found"))</f>
        <v/>
      </c>
      <c r="C153" s="77" t="str">
        <f>IF(A153="","",IFERROR(VLOOKUP(A153,DB_Customers!$A:$N,14,0),"❌ Acct Not Found"))</f>
        <v/>
      </c>
      <c r="D153" s="78" t="str">
        <f t="shared" ca="1" si="12"/>
        <v/>
      </c>
      <c r="E153" s="94"/>
      <c r="F153" s="37"/>
      <c r="G153" s="95" t="str">
        <f t="shared" si="13"/>
        <v/>
      </c>
      <c r="H153" s="39" t="s">
        <v>138</v>
      </c>
      <c r="I153" s="81"/>
      <c r="J153" s="82" t="str">
        <f>IF(AND(A153&lt;&gt;"",E153&lt;&gt;""),IF(I153="","⚠️ Enter Code",IF(IFERROR(VLOOKUP(H153,DB_Agents!$B:$I,8,0),"")=I153,IF(C153&gt;=E153,"Successful","Unsuccessful"),"🔒 BLOCKED — Wrong Code")),"Pending")</f>
        <v>Pending</v>
      </c>
      <c r="K153" s="83" t="str">
        <f t="shared" ca="1" si="14"/>
        <v>—</v>
      </c>
      <c r="L153" s="84"/>
    </row>
    <row r="154" spans="1:12" ht="15" customHeight="1" x14ac:dyDescent="0.25">
      <c r="A154" s="85"/>
      <c r="B154" s="41" t="str">
        <f>IF(A154="","",IFERROR(VLOOKUP(A154,DB_Customers!$A:$D,4,0),"❌ Account Not Found"))</f>
        <v/>
      </c>
      <c r="C154" s="86" t="str">
        <f>IF(A154="","",IFERROR(VLOOKUP(A154,DB_Customers!$A:$N,14,0),"❌ Acct Not Found"))</f>
        <v/>
      </c>
      <c r="D154" s="87" t="str">
        <f t="shared" ca="1" si="12"/>
        <v/>
      </c>
      <c r="E154" s="94"/>
      <c r="F154" s="41"/>
      <c r="G154" s="96" t="str">
        <f t="shared" si="13"/>
        <v/>
      </c>
      <c r="H154" s="43" t="s">
        <v>138</v>
      </c>
      <c r="I154" s="81"/>
      <c r="J154" s="89" t="str">
        <f>IF(AND(A154&lt;&gt;"",E154&lt;&gt;""),IF(I154="","⚠️ Enter Code",IF(IFERROR(VLOOKUP(H154,DB_Agents!$B:$I,8,0),"")=I154,IF(C154&gt;=E154,"Successful","Unsuccessful"),"🔒 BLOCKED — Wrong Code")),"Pending")</f>
        <v>Pending</v>
      </c>
      <c r="K154" s="90" t="str">
        <f t="shared" ca="1" si="14"/>
        <v>—</v>
      </c>
      <c r="L154" s="91"/>
    </row>
    <row r="155" spans="1:12" ht="15" customHeight="1" x14ac:dyDescent="0.25">
      <c r="A155" s="76"/>
      <c r="B155" s="37" t="str">
        <f>IF(A155="","",IFERROR(VLOOKUP(A155,DB_Customers!$A:$D,4,0),"❌ Account Not Found"))</f>
        <v/>
      </c>
      <c r="C155" s="77" t="str">
        <f>IF(A155="","",IFERROR(VLOOKUP(A155,DB_Customers!$A:$N,14,0),"❌ Acct Not Found"))</f>
        <v/>
      </c>
      <c r="D155" s="78" t="str">
        <f t="shared" ca="1" si="12"/>
        <v/>
      </c>
      <c r="E155" s="94"/>
      <c r="F155" s="37"/>
      <c r="G155" s="95" t="str">
        <f t="shared" si="13"/>
        <v/>
      </c>
      <c r="H155" s="39" t="s">
        <v>138</v>
      </c>
      <c r="I155" s="81"/>
      <c r="J155" s="82" t="str">
        <f>IF(AND(A155&lt;&gt;"",E155&lt;&gt;""),IF(I155="","⚠️ Enter Code",IF(IFERROR(VLOOKUP(H155,DB_Agents!$B:$I,8,0),"")=I155,IF(C155&gt;=E155,"Successful","Unsuccessful"),"🔒 BLOCKED — Wrong Code")),"Pending")</f>
        <v>Pending</v>
      </c>
      <c r="K155" s="83" t="str">
        <f t="shared" ca="1" si="14"/>
        <v>—</v>
      </c>
      <c r="L155" s="84"/>
    </row>
    <row r="156" spans="1:12" ht="15" customHeight="1" x14ac:dyDescent="0.25">
      <c r="A156" s="85"/>
      <c r="B156" s="41" t="str">
        <f>IF(A156="","",IFERROR(VLOOKUP(A156,DB_Customers!$A:$D,4,0),"❌ Account Not Found"))</f>
        <v/>
      </c>
      <c r="C156" s="86" t="str">
        <f>IF(A156="","",IFERROR(VLOOKUP(A156,DB_Customers!$A:$N,14,0),"❌ Acct Not Found"))</f>
        <v/>
      </c>
      <c r="D156" s="87" t="str">
        <f t="shared" ca="1" si="12"/>
        <v/>
      </c>
      <c r="E156" s="94"/>
      <c r="F156" s="41"/>
      <c r="G156" s="96" t="str">
        <f t="shared" si="13"/>
        <v/>
      </c>
      <c r="H156" s="43" t="s">
        <v>138</v>
      </c>
      <c r="I156" s="81"/>
      <c r="J156" s="89" t="str">
        <f>IF(AND(A156&lt;&gt;"",E156&lt;&gt;""),IF(I156="","⚠️ Enter Code",IF(IFERROR(VLOOKUP(H156,DB_Agents!$B:$I,8,0),"")=I156,IF(C156&gt;=E156,"Successful","Unsuccessful"),"🔒 BLOCKED — Wrong Code")),"Pending")</f>
        <v>Pending</v>
      </c>
      <c r="K156" s="90" t="str">
        <f t="shared" ca="1" si="14"/>
        <v>—</v>
      </c>
      <c r="L156" s="91"/>
    </row>
    <row r="157" spans="1:12" ht="15" customHeight="1" x14ac:dyDescent="0.25">
      <c r="A157" s="76"/>
      <c r="B157" s="37" t="str">
        <f>IF(A157="","",IFERROR(VLOOKUP(A157,DB_Customers!$A:$D,4,0),"❌ Account Not Found"))</f>
        <v/>
      </c>
      <c r="C157" s="77" t="str">
        <f>IF(A157="","",IFERROR(VLOOKUP(A157,DB_Customers!$A:$N,14,0),"❌ Acct Not Found"))</f>
        <v/>
      </c>
      <c r="D157" s="78" t="str">
        <f t="shared" ca="1" si="12"/>
        <v/>
      </c>
      <c r="E157" s="94"/>
      <c r="F157" s="37"/>
      <c r="G157" s="95" t="str">
        <f t="shared" si="13"/>
        <v/>
      </c>
      <c r="H157" s="39" t="s">
        <v>138</v>
      </c>
      <c r="I157" s="81"/>
      <c r="J157" s="82" t="str">
        <f>IF(AND(A157&lt;&gt;"",E157&lt;&gt;""),IF(I157="","⚠️ Enter Code",IF(IFERROR(VLOOKUP(H157,DB_Agents!$B:$I,8,0),"")=I157,IF(C157&gt;=E157,"Successful","Unsuccessful"),"🔒 BLOCKED — Wrong Code")),"Pending")</f>
        <v>Pending</v>
      </c>
      <c r="K157" s="83" t="str">
        <f t="shared" ca="1" si="14"/>
        <v>—</v>
      </c>
      <c r="L157" s="84"/>
    </row>
    <row r="158" spans="1:12" ht="15" customHeight="1" x14ac:dyDescent="0.25">
      <c r="A158" s="85"/>
      <c r="B158" s="41" t="str">
        <f>IF(A158="","",IFERROR(VLOOKUP(A158,DB_Customers!$A:$D,4,0),"❌ Account Not Found"))</f>
        <v/>
      </c>
      <c r="C158" s="86" t="str">
        <f>IF(A158="","",IFERROR(VLOOKUP(A158,DB_Customers!$A:$N,14,0),"❌ Acct Not Found"))</f>
        <v/>
      </c>
      <c r="D158" s="87" t="str">
        <f t="shared" ca="1" si="12"/>
        <v/>
      </c>
      <c r="E158" s="94"/>
      <c r="F158" s="41"/>
      <c r="G158" s="96" t="str">
        <f t="shared" si="13"/>
        <v/>
      </c>
      <c r="H158" s="43" t="s">
        <v>138</v>
      </c>
      <c r="I158" s="81"/>
      <c r="J158" s="89" t="str">
        <f>IF(AND(A158&lt;&gt;"",E158&lt;&gt;""),IF(I158="","⚠️ Enter Code",IF(IFERROR(VLOOKUP(H158,DB_Agents!$B:$I,8,0),"")=I158,IF(C158&gt;=E158,"Successful","Unsuccessful"),"🔒 BLOCKED — Wrong Code")),"Pending")</f>
        <v>Pending</v>
      </c>
      <c r="K158" s="90" t="str">
        <f t="shared" ca="1" si="14"/>
        <v>—</v>
      </c>
      <c r="L158" s="91"/>
    </row>
    <row r="159" spans="1:12" ht="15" customHeight="1" x14ac:dyDescent="0.25">
      <c r="A159" s="76"/>
      <c r="B159" s="37" t="str">
        <f>IF(A159="","",IFERROR(VLOOKUP(A159,DB_Customers!$A:$D,4,0),"❌ Account Not Found"))</f>
        <v/>
      </c>
      <c r="C159" s="77" t="str">
        <f>IF(A159="","",IFERROR(VLOOKUP(A159,DB_Customers!$A:$N,14,0),"❌ Acct Not Found"))</f>
        <v/>
      </c>
      <c r="D159" s="78" t="str">
        <f t="shared" ca="1" si="12"/>
        <v/>
      </c>
      <c r="E159" s="94"/>
      <c r="F159" s="37"/>
      <c r="G159" s="95" t="str">
        <f t="shared" si="13"/>
        <v/>
      </c>
      <c r="H159" s="39" t="s">
        <v>138</v>
      </c>
      <c r="I159" s="81"/>
      <c r="J159" s="82" t="str">
        <f>IF(AND(A159&lt;&gt;"",E159&lt;&gt;""),IF(I159="","⚠️ Enter Code",IF(IFERROR(VLOOKUP(H159,DB_Agents!$B:$I,8,0),"")=I159,IF(C159&gt;=E159,"Successful","Unsuccessful"),"🔒 BLOCKED — Wrong Code")),"Pending")</f>
        <v>Pending</v>
      </c>
      <c r="K159" s="83" t="str">
        <f t="shared" ca="1" si="14"/>
        <v>—</v>
      </c>
      <c r="L159" s="84"/>
    </row>
    <row r="160" spans="1:12" ht="15" customHeight="1" x14ac:dyDescent="0.25">
      <c r="A160" s="85"/>
      <c r="B160" s="41" t="str">
        <f>IF(A160="","",IFERROR(VLOOKUP(A160,DB_Customers!$A:$D,4,0),"❌ Account Not Found"))</f>
        <v/>
      </c>
      <c r="C160" s="86" t="str">
        <f>IF(A160="","",IFERROR(VLOOKUP(A160,DB_Customers!$A:$N,14,0),"❌ Acct Not Found"))</f>
        <v/>
      </c>
      <c r="D160" s="87" t="str">
        <f t="shared" ca="1" si="12"/>
        <v/>
      </c>
      <c r="E160" s="94"/>
      <c r="F160" s="41"/>
      <c r="G160" s="96" t="str">
        <f t="shared" si="13"/>
        <v/>
      </c>
      <c r="H160" s="43" t="s">
        <v>138</v>
      </c>
      <c r="I160" s="81"/>
      <c r="J160" s="89" t="str">
        <f>IF(AND(A160&lt;&gt;"",E160&lt;&gt;""),IF(I160="","⚠️ Enter Code",IF(IFERROR(VLOOKUP(H160,DB_Agents!$B:$I,8,0),"")=I160,IF(C160&gt;=E160,"Successful","Unsuccessful"),"🔒 BLOCKED — Wrong Code")),"Pending")</f>
        <v>Pending</v>
      </c>
      <c r="K160" s="90" t="str">
        <f t="shared" ca="1" si="14"/>
        <v>—</v>
      </c>
      <c r="L160" s="91"/>
    </row>
    <row r="161" spans="1:12" ht="15" customHeight="1" x14ac:dyDescent="0.25">
      <c r="A161" s="76"/>
      <c r="B161" s="37" t="str">
        <f>IF(A161="","",IFERROR(VLOOKUP(A161,DB_Customers!$A:$D,4,0),"❌ Account Not Found"))</f>
        <v/>
      </c>
      <c r="C161" s="77" t="str">
        <f>IF(A161="","",IFERROR(VLOOKUP(A161,DB_Customers!$A:$N,14,0),"❌ Acct Not Found"))</f>
        <v/>
      </c>
      <c r="D161" s="78" t="str">
        <f t="shared" ca="1" si="12"/>
        <v/>
      </c>
      <c r="E161" s="94"/>
      <c r="F161" s="37"/>
      <c r="G161" s="95" t="str">
        <f t="shared" si="13"/>
        <v/>
      </c>
      <c r="H161" s="39" t="s">
        <v>138</v>
      </c>
      <c r="I161" s="81"/>
      <c r="J161" s="82" t="str">
        <f>IF(AND(A161&lt;&gt;"",E161&lt;&gt;""),IF(I161="","⚠️ Enter Code",IF(IFERROR(VLOOKUP(H161,DB_Agents!$B:$I,8,0),"")=I161,IF(C161&gt;=E161,"Successful","Unsuccessful"),"🔒 BLOCKED — Wrong Code")),"Pending")</f>
        <v>Pending</v>
      </c>
      <c r="K161" s="83" t="str">
        <f t="shared" ca="1" si="14"/>
        <v>—</v>
      </c>
      <c r="L161" s="84"/>
    </row>
    <row r="162" spans="1:12" ht="15" customHeight="1" x14ac:dyDescent="0.25">
      <c r="A162" s="85"/>
      <c r="B162" s="41" t="str">
        <f>IF(A162="","",IFERROR(VLOOKUP(A162,DB_Customers!$A:$D,4,0),"❌ Account Not Found"))</f>
        <v/>
      </c>
      <c r="C162" s="86" t="str">
        <f>IF(A162="","",IFERROR(VLOOKUP(A162,DB_Customers!$A:$N,14,0),"❌ Acct Not Found"))</f>
        <v/>
      </c>
      <c r="D162" s="87" t="str">
        <f t="shared" ca="1" si="12"/>
        <v/>
      </c>
      <c r="E162" s="94"/>
      <c r="F162" s="41"/>
      <c r="G162" s="96" t="str">
        <f t="shared" si="13"/>
        <v/>
      </c>
      <c r="H162" s="43" t="s">
        <v>138</v>
      </c>
      <c r="I162" s="81"/>
      <c r="J162" s="89" t="str">
        <f>IF(AND(A162&lt;&gt;"",E162&lt;&gt;""),IF(I162="","⚠️ Enter Code",IF(IFERROR(VLOOKUP(H162,DB_Agents!$B:$I,8,0),"")=I162,IF(C162&gt;=E162,"Successful","Unsuccessful"),"🔒 BLOCKED — Wrong Code")),"Pending")</f>
        <v>Pending</v>
      </c>
      <c r="K162" s="90" t="str">
        <f t="shared" ca="1" si="14"/>
        <v>—</v>
      </c>
      <c r="L162" s="91"/>
    </row>
    <row r="163" spans="1:12" ht="15" customHeight="1" x14ac:dyDescent="0.25">
      <c r="A163" s="76"/>
      <c r="B163" s="37" t="str">
        <f>IF(A163="","",IFERROR(VLOOKUP(A163,DB_Customers!$A:$D,4,0),"❌ Account Not Found"))</f>
        <v/>
      </c>
      <c r="C163" s="77" t="str">
        <f>IF(A163="","",IFERROR(VLOOKUP(A163,DB_Customers!$A:$N,14,0),"❌ Acct Not Found"))</f>
        <v/>
      </c>
      <c r="D163" s="78" t="str">
        <f t="shared" ca="1" si="12"/>
        <v/>
      </c>
      <c r="E163" s="94"/>
      <c r="F163" s="37"/>
      <c r="G163" s="95" t="str">
        <f t="shared" si="13"/>
        <v/>
      </c>
      <c r="H163" s="39" t="s">
        <v>138</v>
      </c>
      <c r="I163" s="81"/>
      <c r="J163" s="82" t="str">
        <f>IF(AND(A163&lt;&gt;"",E163&lt;&gt;""),IF(I163="","⚠️ Enter Code",IF(IFERROR(VLOOKUP(H163,DB_Agents!$B:$I,8,0),"")=I163,IF(C163&gt;=E163,"Successful","Unsuccessful"),"🔒 BLOCKED — Wrong Code")),"Pending")</f>
        <v>Pending</v>
      </c>
      <c r="K163" s="83" t="str">
        <f t="shared" ca="1" si="14"/>
        <v>—</v>
      </c>
      <c r="L163" s="84"/>
    </row>
    <row r="164" spans="1:12" ht="15" customHeight="1" x14ac:dyDescent="0.25">
      <c r="A164" s="85"/>
      <c r="B164" s="41" t="str">
        <f>IF(A164="","",IFERROR(VLOOKUP(A164,DB_Customers!$A:$D,4,0),"❌ Account Not Found"))</f>
        <v/>
      </c>
      <c r="C164" s="86" t="str">
        <f>IF(A164="","",IFERROR(VLOOKUP(A164,DB_Customers!$A:$N,14,0),"❌ Acct Not Found"))</f>
        <v/>
      </c>
      <c r="D164" s="87" t="str">
        <f t="shared" ca="1" si="12"/>
        <v/>
      </c>
      <c r="E164" s="94"/>
      <c r="F164" s="41"/>
      <c r="G164" s="96" t="str">
        <f t="shared" si="13"/>
        <v/>
      </c>
      <c r="H164" s="43" t="s">
        <v>138</v>
      </c>
      <c r="I164" s="81"/>
      <c r="J164" s="89" t="str">
        <f>IF(AND(A164&lt;&gt;"",E164&lt;&gt;""),IF(I164="","⚠️ Enter Code",IF(IFERROR(VLOOKUP(H164,DB_Agents!$B:$I,8,0),"")=I164,IF(C164&gt;=E164,"Successful","Unsuccessful"),"🔒 BLOCKED — Wrong Code")),"Pending")</f>
        <v>Pending</v>
      </c>
      <c r="K164" s="90" t="str">
        <f t="shared" ca="1" si="14"/>
        <v>—</v>
      </c>
      <c r="L164" s="91"/>
    </row>
    <row r="165" spans="1:12" ht="15" customHeight="1" x14ac:dyDescent="0.25">
      <c r="A165" s="76"/>
      <c r="B165" s="37" t="str">
        <f>IF(A165="","",IFERROR(VLOOKUP(A165,DB_Customers!$A:$D,4,0),"❌ Account Not Found"))</f>
        <v/>
      </c>
      <c r="C165" s="77" t="str">
        <f>IF(A165="","",IFERROR(VLOOKUP(A165,DB_Customers!$A:$N,14,0),"❌ Acct Not Found"))</f>
        <v/>
      </c>
      <c r="D165" s="78" t="str">
        <f t="shared" ca="1" si="12"/>
        <v/>
      </c>
      <c r="E165" s="94"/>
      <c r="F165" s="37"/>
      <c r="G165" s="95" t="str">
        <f t="shared" si="13"/>
        <v/>
      </c>
      <c r="H165" s="39" t="s">
        <v>138</v>
      </c>
      <c r="I165" s="81"/>
      <c r="J165" s="82" t="str">
        <f>IF(AND(A165&lt;&gt;"",E165&lt;&gt;""),IF(I165="","⚠️ Enter Code",IF(IFERROR(VLOOKUP(H165,DB_Agents!$B:$I,8,0),"")=I165,IF(C165&gt;=E165,"Successful","Unsuccessful"),"🔒 BLOCKED — Wrong Code")),"Pending")</f>
        <v>Pending</v>
      </c>
      <c r="K165" s="83" t="str">
        <f t="shared" ca="1" si="14"/>
        <v>—</v>
      </c>
      <c r="L165" s="84"/>
    </row>
    <row r="166" spans="1:12" ht="15" customHeight="1" x14ac:dyDescent="0.25">
      <c r="A166" s="85"/>
      <c r="B166" s="41" t="str">
        <f>IF(A166="","",IFERROR(VLOOKUP(A166,DB_Customers!$A:$D,4,0),"❌ Account Not Found"))</f>
        <v/>
      </c>
      <c r="C166" s="86" t="str">
        <f>IF(A166="","",IFERROR(VLOOKUP(A166,DB_Customers!$A:$N,14,0),"❌ Acct Not Found"))</f>
        <v/>
      </c>
      <c r="D166" s="87" t="str">
        <f t="shared" ca="1" si="12"/>
        <v/>
      </c>
      <c r="E166" s="94"/>
      <c r="F166" s="41"/>
      <c r="G166" s="96" t="str">
        <f t="shared" si="13"/>
        <v/>
      </c>
      <c r="H166" s="43" t="s">
        <v>138</v>
      </c>
      <c r="I166" s="81"/>
      <c r="J166" s="89" t="str">
        <f>IF(AND(A166&lt;&gt;"",E166&lt;&gt;""),IF(I166="","⚠️ Enter Code",IF(IFERROR(VLOOKUP(H166,DB_Agents!$B:$I,8,0),"")=I166,IF(C166&gt;=E166,"Successful","Unsuccessful"),"🔒 BLOCKED — Wrong Code")),"Pending")</f>
        <v>Pending</v>
      </c>
      <c r="K166" s="90" t="str">
        <f t="shared" ca="1" si="14"/>
        <v>—</v>
      </c>
      <c r="L166" s="91"/>
    </row>
    <row r="167" spans="1:12" ht="15" customHeight="1" x14ac:dyDescent="0.25">
      <c r="A167" s="76"/>
      <c r="B167" s="37" t="str">
        <f>IF(A167="","",IFERROR(VLOOKUP(A167,DB_Customers!$A:$D,4,0),"❌ Account Not Found"))</f>
        <v/>
      </c>
      <c r="C167" s="77" t="str">
        <f>IF(A167="","",IFERROR(VLOOKUP(A167,DB_Customers!$A:$N,14,0),"❌ Acct Not Found"))</f>
        <v/>
      </c>
      <c r="D167" s="78" t="str">
        <f t="shared" ca="1" si="12"/>
        <v/>
      </c>
      <c r="E167" s="94"/>
      <c r="F167" s="37"/>
      <c r="G167" s="95" t="str">
        <f t="shared" si="13"/>
        <v/>
      </c>
      <c r="H167" s="39" t="s">
        <v>138</v>
      </c>
      <c r="I167" s="81"/>
      <c r="J167" s="82" t="str">
        <f>IF(AND(A167&lt;&gt;"",E167&lt;&gt;""),IF(I167="","⚠️ Enter Code",IF(IFERROR(VLOOKUP(H167,DB_Agents!$B:$I,8,0),"")=I167,IF(C167&gt;=E167,"Successful","Unsuccessful"),"🔒 BLOCKED — Wrong Code")),"Pending")</f>
        <v>Pending</v>
      </c>
      <c r="K167" s="83" t="str">
        <f t="shared" ca="1" si="14"/>
        <v>—</v>
      </c>
      <c r="L167" s="84"/>
    </row>
    <row r="168" spans="1:12" ht="15" customHeight="1" x14ac:dyDescent="0.25">
      <c r="A168" s="85"/>
      <c r="B168" s="41" t="str">
        <f>IF(A168="","",IFERROR(VLOOKUP(A168,DB_Customers!$A:$D,4,0),"❌ Account Not Found"))</f>
        <v/>
      </c>
      <c r="C168" s="86" t="str">
        <f>IF(A168="","",IFERROR(VLOOKUP(A168,DB_Customers!$A:$N,14,0),"❌ Acct Not Found"))</f>
        <v/>
      </c>
      <c r="D168" s="87" t="str">
        <f t="shared" ca="1" si="12"/>
        <v/>
      </c>
      <c r="E168" s="94"/>
      <c r="F168" s="41"/>
      <c r="G168" s="96" t="str">
        <f t="shared" si="13"/>
        <v/>
      </c>
      <c r="H168" s="43" t="s">
        <v>138</v>
      </c>
      <c r="I168" s="81"/>
      <c r="J168" s="89" t="str">
        <f>IF(AND(A168&lt;&gt;"",E168&lt;&gt;""),IF(I168="","⚠️ Enter Code",IF(IFERROR(VLOOKUP(H168,DB_Agents!$B:$I,8,0),"")=I168,IF(C168&gt;=E168,"Successful","Unsuccessful"),"🔒 BLOCKED — Wrong Code")),"Pending")</f>
        <v>Pending</v>
      </c>
      <c r="K168" s="90" t="str">
        <f t="shared" ca="1" si="14"/>
        <v>—</v>
      </c>
      <c r="L168" s="91"/>
    </row>
    <row r="169" spans="1:12" ht="15" customHeight="1" x14ac:dyDescent="0.25">
      <c r="A169" s="76"/>
      <c r="B169" s="37" t="str">
        <f>IF(A169="","",IFERROR(VLOOKUP(A169,DB_Customers!$A:$D,4,0),"❌ Account Not Found"))</f>
        <v/>
      </c>
      <c r="C169" s="77" t="str">
        <f>IF(A169="","",IFERROR(VLOOKUP(A169,DB_Customers!$A:$N,14,0),"❌ Acct Not Found"))</f>
        <v/>
      </c>
      <c r="D169" s="78" t="str">
        <f t="shared" ref="D169:D200" ca="1" si="15">IF(A169="","",TODAY())</f>
        <v/>
      </c>
      <c r="E169" s="94"/>
      <c r="F169" s="37"/>
      <c r="G169" s="95" t="str">
        <f t="shared" ref="G169:G200" si="16">IF(OR(A169="",E169=""),"",IF(C169="","",C169-E169))</f>
        <v/>
      </c>
      <c r="H169" s="39" t="s">
        <v>138</v>
      </c>
      <c r="I169" s="81"/>
      <c r="J169" s="82" t="str">
        <f>IF(AND(A169&lt;&gt;"",E169&lt;&gt;""),IF(I169="","⚠️ Enter Code",IF(IFERROR(VLOOKUP(H169,DB_Agents!$B:$I,8,0),"")=I169,IF(C169&gt;=E169,"Successful","Unsuccessful"),"🔒 BLOCKED — Wrong Code")),"Pending")</f>
        <v>Pending</v>
      </c>
      <c r="K169" s="83" t="str">
        <f t="shared" ref="K169:K200" ca="1" si="17">IF(J169="Successful",TEXT(TODAY(),"YYYY-MM-DD")&amp;" Auto","—")</f>
        <v>—</v>
      </c>
      <c r="L169" s="84"/>
    </row>
    <row r="170" spans="1:12" ht="15" customHeight="1" x14ac:dyDescent="0.25">
      <c r="A170" s="85"/>
      <c r="B170" s="41" t="str">
        <f>IF(A170="","",IFERROR(VLOOKUP(A170,DB_Customers!$A:$D,4,0),"❌ Account Not Found"))</f>
        <v/>
      </c>
      <c r="C170" s="86" t="str">
        <f>IF(A170="","",IFERROR(VLOOKUP(A170,DB_Customers!$A:$N,14,0),"❌ Acct Not Found"))</f>
        <v/>
      </c>
      <c r="D170" s="87" t="str">
        <f t="shared" ca="1" si="15"/>
        <v/>
      </c>
      <c r="E170" s="94"/>
      <c r="F170" s="41"/>
      <c r="G170" s="96" t="str">
        <f t="shared" si="16"/>
        <v/>
      </c>
      <c r="H170" s="43" t="s">
        <v>138</v>
      </c>
      <c r="I170" s="81"/>
      <c r="J170" s="89" t="str">
        <f>IF(AND(A170&lt;&gt;"",E170&lt;&gt;""),IF(I170="","⚠️ Enter Code",IF(IFERROR(VLOOKUP(H170,DB_Agents!$B:$I,8,0),"")=I170,IF(C170&gt;=E170,"Successful","Unsuccessful"),"🔒 BLOCKED — Wrong Code")),"Pending")</f>
        <v>Pending</v>
      </c>
      <c r="K170" s="90" t="str">
        <f t="shared" ca="1" si="17"/>
        <v>—</v>
      </c>
      <c r="L170" s="91"/>
    </row>
    <row r="171" spans="1:12" ht="15" customHeight="1" x14ac:dyDescent="0.25">
      <c r="A171" s="76"/>
      <c r="B171" s="37" t="str">
        <f>IF(A171="","",IFERROR(VLOOKUP(A171,DB_Customers!$A:$D,4,0),"❌ Account Not Found"))</f>
        <v/>
      </c>
      <c r="C171" s="77" t="str">
        <f>IF(A171="","",IFERROR(VLOOKUP(A171,DB_Customers!$A:$N,14,0),"❌ Acct Not Found"))</f>
        <v/>
      </c>
      <c r="D171" s="78" t="str">
        <f t="shared" ca="1" si="15"/>
        <v/>
      </c>
      <c r="E171" s="94"/>
      <c r="F171" s="37"/>
      <c r="G171" s="95" t="str">
        <f t="shared" si="16"/>
        <v/>
      </c>
      <c r="H171" s="39" t="s">
        <v>138</v>
      </c>
      <c r="I171" s="81"/>
      <c r="J171" s="82" t="str">
        <f>IF(AND(A171&lt;&gt;"",E171&lt;&gt;""),IF(I171="","⚠️ Enter Code",IF(IFERROR(VLOOKUP(H171,DB_Agents!$B:$I,8,0),"")=I171,IF(C171&gt;=E171,"Successful","Unsuccessful"),"🔒 BLOCKED — Wrong Code")),"Pending")</f>
        <v>Pending</v>
      </c>
      <c r="K171" s="83" t="str">
        <f t="shared" ca="1" si="17"/>
        <v>—</v>
      </c>
      <c r="L171" s="84"/>
    </row>
    <row r="172" spans="1:12" ht="15" customHeight="1" x14ac:dyDescent="0.25">
      <c r="A172" s="85"/>
      <c r="B172" s="41" t="str">
        <f>IF(A172="","",IFERROR(VLOOKUP(A172,DB_Customers!$A:$D,4,0),"❌ Account Not Found"))</f>
        <v/>
      </c>
      <c r="C172" s="86" t="str">
        <f>IF(A172="","",IFERROR(VLOOKUP(A172,DB_Customers!$A:$N,14,0),"❌ Acct Not Found"))</f>
        <v/>
      </c>
      <c r="D172" s="87" t="str">
        <f t="shared" ca="1" si="15"/>
        <v/>
      </c>
      <c r="E172" s="94"/>
      <c r="F172" s="41"/>
      <c r="G172" s="96" t="str">
        <f t="shared" si="16"/>
        <v/>
      </c>
      <c r="H172" s="43" t="s">
        <v>138</v>
      </c>
      <c r="I172" s="81"/>
      <c r="J172" s="89" t="str">
        <f>IF(AND(A172&lt;&gt;"",E172&lt;&gt;""),IF(I172="","⚠️ Enter Code",IF(IFERROR(VLOOKUP(H172,DB_Agents!$B:$I,8,0),"")=I172,IF(C172&gt;=E172,"Successful","Unsuccessful"),"🔒 BLOCKED — Wrong Code")),"Pending")</f>
        <v>Pending</v>
      </c>
      <c r="K172" s="90" t="str">
        <f t="shared" ca="1" si="17"/>
        <v>—</v>
      </c>
      <c r="L172" s="91"/>
    </row>
    <row r="173" spans="1:12" ht="15" customHeight="1" x14ac:dyDescent="0.25">
      <c r="A173" s="76"/>
      <c r="B173" s="37" t="str">
        <f>IF(A173="","",IFERROR(VLOOKUP(A173,DB_Customers!$A:$D,4,0),"❌ Account Not Found"))</f>
        <v/>
      </c>
      <c r="C173" s="77" t="str">
        <f>IF(A173="","",IFERROR(VLOOKUP(A173,DB_Customers!$A:$N,14,0),"❌ Acct Not Found"))</f>
        <v/>
      </c>
      <c r="D173" s="78" t="str">
        <f t="shared" ca="1" si="15"/>
        <v/>
      </c>
      <c r="E173" s="94"/>
      <c r="F173" s="37"/>
      <c r="G173" s="95" t="str">
        <f t="shared" si="16"/>
        <v/>
      </c>
      <c r="H173" s="39" t="s">
        <v>138</v>
      </c>
      <c r="I173" s="81"/>
      <c r="J173" s="82" t="str">
        <f>IF(AND(A173&lt;&gt;"",E173&lt;&gt;""),IF(I173="","⚠️ Enter Code",IF(IFERROR(VLOOKUP(H173,DB_Agents!$B:$I,8,0),"")=I173,IF(C173&gt;=E173,"Successful","Unsuccessful"),"🔒 BLOCKED — Wrong Code")),"Pending")</f>
        <v>Pending</v>
      </c>
      <c r="K173" s="83" t="str">
        <f t="shared" ca="1" si="17"/>
        <v>—</v>
      </c>
      <c r="L173" s="84"/>
    </row>
    <row r="174" spans="1:12" ht="15" customHeight="1" x14ac:dyDescent="0.25">
      <c r="A174" s="85"/>
      <c r="B174" s="41" t="str">
        <f>IF(A174="","",IFERROR(VLOOKUP(A174,DB_Customers!$A:$D,4,0),"❌ Account Not Found"))</f>
        <v/>
      </c>
      <c r="C174" s="86" t="str">
        <f>IF(A174="","",IFERROR(VLOOKUP(A174,DB_Customers!$A:$N,14,0),"❌ Acct Not Found"))</f>
        <v/>
      </c>
      <c r="D174" s="87" t="str">
        <f t="shared" ca="1" si="15"/>
        <v/>
      </c>
      <c r="E174" s="94"/>
      <c r="F174" s="41"/>
      <c r="G174" s="96" t="str">
        <f t="shared" si="16"/>
        <v/>
      </c>
      <c r="H174" s="43" t="s">
        <v>138</v>
      </c>
      <c r="I174" s="81"/>
      <c r="J174" s="89" t="str">
        <f>IF(AND(A174&lt;&gt;"",E174&lt;&gt;""),IF(I174="","⚠️ Enter Code",IF(IFERROR(VLOOKUP(H174,DB_Agents!$B:$I,8,0),"")=I174,IF(C174&gt;=E174,"Successful","Unsuccessful"),"🔒 BLOCKED — Wrong Code")),"Pending")</f>
        <v>Pending</v>
      </c>
      <c r="K174" s="90" t="str">
        <f t="shared" ca="1" si="17"/>
        <v>—</v>
      </c>
      <c r="L174" s="91"/>
    </row>
    <row r="175" spans="1:12" ht="15" customHeight="1" x14ac:dyDescent="0.25">
      <c r="A175" s="76"/>
      <c r="B175" s="37" t="str">
        <f>IF(A175="","",IFERROR(VLOOKUP(A175,DB_Customers!$A:$D,4,0),"❌ Account Not Found"))</f>
        <v/>
      </c>
      <c r="C175" s="77" t="str">
        <f>IF(A175="","",IFERROR(VLOOKUP(A175,DB_Customers!$A:$N,14,0),"❌ Acct Not Found"))</f>
        <v/>
      </c>
      <c r="D175" s="78" t="str">
        <f t="shared" ca="1" si="15"/>
        <v/>
      </c>
      <c r="E175" s="94"/>
      <c r="F175" s="37"/>
      <c r="G175" s="95" t="str">
        <f t="shared" si="16"/>
        <v/>
      </c>
      <c r="H175" s="39" t="s">
        <v>138</v>
      </c>
      <c r="I175" s="81"/>
      <c r="J175" s="82" t="str">
        <f>IF(AND(A175&lt;&gt;"",E175&lt;&gt;""),IF(I175="","⚠️ Enter Code",IF(IFERROR(VLOOKUP(H175,DB_Agents!$B:$I,8,0),"")=I175,IF(C175&gt;=E175,"Successful","Unsuccessful"),"🔒 BLOCKED — Wrong Code")),"Pending")</f>
        <v>Pending</v>
      </c>
      <c r="K175" s="83" t="str">
        <f t="shared" ca="1" si="17"/>
        <v>—</v>
      </c>
      <c r="L175" s="84"/>
    </row>
    <row r="176" spans="1:12" ht="15" customHeight="1" x14ac:dyDescent="0.25">
      <c r="A176" s="85"/>
      <c r="B176" s="41" t="str">
        <f>IF(A176="","",IFERROR(VLOOKUP(A176,DB_Customers!$A:$D,4,0),"❌ Account Not Found"))</f>
        <v/>
      </c>
      <c r="C176" s="86" t="str">
        <f>IF(A176="","",IFERROR(VLOOKUP(A176,DB_Customers!$A:$N,14,0),"❌ Acct Not Found"))</f>
        <v/>
      </c>
      <c r="D176" s="87" t="str">
        <f t="shared" ca="1" si="15"/>
        <v/>
      </c>
      <c r="E176" s="94"/>
      <c r="F176" s="41"/>
      <c r="G176" s="96" t="str">
        <f t="shared" si="16"/>
        <v/>
      </c>
      <c r="H176" s="43" t="s">
        <v>138</v>
      </c>
      <c r="I176" s="81"/>
      <c r="J176" s="89" t="str">
        <f>IF(AND(A176&lt;&gt;"",E176&lt;&gt;""),IF(I176="","⚠️ Enter Code",IF(IFERROR(VLOOKUP(H176,DB_Agents!$B:$I,8,0),"")=I176,IF(C176&gt;=E176,"Successful","Unsuccessful"),"🔒 BLOCKED — Wrong Code")),"Pending")</f>
        <v>Pending</v>
      </c>
      <c r="K176" s="90" t="str">
        <f t="shared" ca="1" si="17"/>
        <v>—</v>
      </c>
      <c r="L176" s="91"/>
    </row>
    <row r="177" spans="1:12" ht="15" customHeight="1" x14ac:dyDescent="0.25">
      <c r="A177" s="76"/>
      <c r="B177" s="37" t="str">
        <f>IF(A177="","",IFERROR(VLOOKUP(A177,DB_Customers!$A:$D,4,0),"❌ Account Not Found"))</f>
        <v/>
      </c>
      <c r="C177" s="77" t="str">
        <f>IF(A177="","",IFERROR(VLOOKUP(A177,DB_Customers!$A:$N,14,0),"❌ Acct Not Found"))</f>
        <v/>
      </c>
      <c r="D177" s="78" t="str">
        <f t="shared" ca="1" si="15"/>
        <v/>
      </c>
      <c r="E177" s="94"/>
      <c r="F177" s="37"/>
      <c r="G177" s="95" t="str">
        <f t="shared" si="16"/>
        <v/>
      </c>
      <c r="H177" s="39" t="s">
        <v>138</v>
      </c>
      <c r="I177" s="81"/>
      <c r="J177" s="82" t="str">
        <f>IF(AND(A177&lt;&gt;"",E177&lt;&gt;""),IF(I177="","⚠️ Enter Code",IF(IFERROR(VLOOKUP(H177,DB_Agents!$B:$I,8,0),"")=I177,IF(C177&gt;=E177,"Successful","Unsuccessful"),"🔒 BLOCKED — Wrong Code")),"Pending")</f>
        <v>Pending</v>
      </c>
      <c r="K177" s="83" t="str">
        <f t="shared" ca="1" si="17"/>
        <v>—</v>
      </c>
      <c r="L177" s="84"/>
    </row>
    <row r="178" spans="1:12" ht="15" customHeight="1" x14ac:dyDescent="0.25">
      <c r="A178" s="85"/>
      <c r="B178" s="41" t="str">
        <f>IF(A178="","",IFERROR(VLOOKUP(A178,DB_Customers!$A:$D,4,0),"❌ Account Not Found"))</f>
        <v/>
      </c>
      <c r="C178" s="86" t="str">
        <f>IF(A178="","",IFERROR(VLOOKUP(A178,DB_Customers!$A:$N,14,0),"❌ Acct Not Found"))</f>
        <v/>
      </c>
      <c r="D178" s="87" t="str">
        <f t="shared" ca="1" si="15"/>
        <v/>
      </c>
      <c r="E178" s="94"/>
      <c r="F178" s="41"/>
      <c r="G178" s="96" t="str">
        <f t="shared" si="16"/>
        <v/>
      </c>
      <c r="H178" s="43" t="s">
        <v>138</v>
      </c>
      <c r="I178" s="81"/>
      <c r="J178" s="89" t="str">
        <f>IF(AND(A178&lt;&gt;"",E178&lt;&gt;""),IF(I178="","⚠️ Enter Code",IF(IFERROR(VLOOKUP(H178,DB_Agents!$B:$I,8,0),"")=I178,IF(C178&gt;=E178,"Successful","Unsuccessful"),"🔒 BLOCKED — Wrong Code")),"Pending")</f>
        <v>Pending</v>
      </c>
      <c r="K178" s="90" t="str">
        <f t="shared" ca="1" si="17"/>
        <v>—</v>
      </c>
      <c r="L178" s="91"/>
    </row>
    <row r="179" spans="1:12" ht="15" customHeight="1" x14ac:dyDescent="0.25">
      <c r="A179" s="76"/>
      <c r="B179" s="37" t="str">
        <f>IF(A179="","",IFERROR(VLOOKUP(A179,DB_Customers!$A:$D,4,0),"❌ Account Not Found"))</f>
        <v/>
      </c>
      <c r="C179" s="77" t="str">
        <f>IF(A179="","",IFERROR(VLOOKUP(A179,DB_Customers!$A:$N,14,0),"❌ Acct Not Found"))</f>
        <v/>
      </c>
      <c r="D179" s="78" t="str">
        <f t="shared" ca="1" si="15"/>
        <v/>
      </c>
      <c r="E179" s="94"/>
      <c r="F179" s="37"/>
      <c r="G179" s="95" t="str">
        <f t="shared" si="16"/>
        <v/>
      </c>
      <c r="H179" s="39" t="s">
        <v>138</v>
      </c>
      <c r="I179" s="81"/>
      <c r="J179" s="82" t="str">
        <f>IF(AND(A179&lt;&gt;"",E179&lt;&gt;""),IF(I179="","⚠️ Enter Code",IF(IFERROR(VLOOKUP(H179,DB_Agents!$B:$I,8,0),"")=I179,IF(C179&gt;=E179,"Successful","Unsuccessful"),"🔒 BLOCKED — Wrong Code")),"Pending")</f>
        <v>Pending</v>
      </c>
      <c r="K179" s="83" t="str">
        <f t="shared" ca="1" si="17"/>
        <v>—</v>
      </c>
      <c r="L179" s="84"/>
    </row>
    <row r="180" spans="1:12" ht="15" customHeight="1" x14ac:dyDescent="0.25">
      <c r="A180" s="85"/>
      <c r="B180" s="41" t="str">
        <f>IF(A180="","",IFERROR(VLOOKUP(A180,DB_Customers!$A:$D,4,0),"❌ Account Not Found"))</f>
        <v/>
      </c>
      <c r="C180" s="86" t="str">
        <f>IF(A180="","",IFERROR(VLOOKUP(A180,DB_Customers!$A:$N,14,0),"❌ Acct Not Found"))</f>
        <v/>
      </c>
      <c r="D180" s="87" t="str">
        <f t="shared" ca="1" si="15"/>
        <v/>
      </c>
      <c r="E180" s="94"/>
      <c r="F180" s="41"/>
      <c r="G180" s="96" t="str">
        <f t="shared" si="16"/>
        <v/>
      </c>
      <c r="H180" s="43" t="s">
        <v>138</v>
      </c>
      <c r="I180" s="81"/>
      <c r="J180" s="89" t="str">
        <f>IF(AND(A180&lt;&gt;"",E180&lt;&gt;""),IF(I180="","⚠️ Enter Code",IF(IFERROR(VLOOKUP(H180,DB_Agents!$B:$I,8,0),"")=I180,IF(C180&gt;=E180,"Successful","Unsuccessful"),"🔒 BLOCKED — Wrong Code")),"Pending")</f>
        <v>Pending</v>
      </c>
      <c r="K180" s="90" t="str">
        <f t="shared" ca="1" si="17"/>
        <v>—</v>
      </c>
      <c r="L180" s="91"/>
    </row>
    <row r="181" spans="1:12" ht="15" customHeight="1" x14ac:dyDescent="0.25">
      <c r="A181" s="76"/>
      <c r="B181" s="37" t="str">
        <f>IF(A181="","",IFERROR(VLOOKUP(A181,DB_Customers!$A:$D,4,0),"❌ Account Not Found"))</f>
        <v/>
      </c>
      <c r="C181" s="77" t="str">
        <f>IF(A181="","",IFERROR(VLOOKUP(A181,DB_Customers!$A:$N,14,0),"❌ Acct Not Found"))</f>
        <v/>
      </c>
      <c r="D181" s="78" t="str">
        <f t="shared" ca="1" si="15"/>
        <v/>
      </c>
      <c r="E181" s="94"/>
      <c r="F181" s="37"/>
      <c r="G181" s="95" t="str">
        <f t="shared" si="16"/>
        <v/>
      </c>
      <c r="H181" s="39" t="s">
        <v>138</v>
      </c>
      <c r="I181" s="81"/>
      <c r="J181" s="82" t="str">
        <f>IF(AND(A181&lt;&gt;"",E181&lt;&gt;""),IF(I181="","⚠️ Enter Code",IF(IFERROR(VLOOKUP(H181,DB_Agents!$B:$I,8,0),"")=I181,IF(C181&gt;=E181,"Successful","Unsuccessful"),"🔒 BLOCKED — Wrong Code")),"Pending")</f>
        <v>Pending</v>
      </c>
      <c r="K181" s="83" t="str">
        <f t="shared" ca="1" si="17"/>
        <v>—</v>
      </c>
      <c r="L181" s="84"/>
    </row>
    <row r="182" spans="1:12" ht="15" customHeight="1" x14ac:dyDescent="0.25">
      <c r="A182" s="85"/>
      <c r="B182" s="41" t="str">
        <f>IF(A182="","",IFERROR(VLOOKUP(A182,DB_Customers!$A:$D,4,0),"❌ Account Not Found"))</f>
        <v/>
      </c>
      <c r="C182" s="86" t="str">
        <f>IF(A182="","",IFERROR(VLOOKUP(A182,DB_Customers!$A:$N,14,0),"❌ Acct Not Found"))</f>
        <v/>
      </c>
      <c r="D182" s="87" t="str">
        <f t="shared" ca="1" si="15"/>
        <v/>
      </c>
      <c r="E182" s="94"/>
      <c r="F182" s="41"/>
      <c r="G182" s="96" t="str">
        <f t="shared" si="16"/>
        <v/>
      </c>
      <c r="H182" s="43" t="s">
        <v>138</v>
      </c>
      <c r="I182" s="81"/>
      <c r="J182" s="89" t="str">
        <f>IF(AND(A182&lt;&gt;"",E182&lt;&gt;""),IF(I182="","⚠️ Enter Code",IF(IFERROR(VLOOKUP(H182,DB_Agents!$B:$I,8,0),"")=I182,IF(C182&gt;=E182,"Successful","Unsuccessful"),"🔒 BLOCKED — Wrong Code")),"Pending")</f>
        <v>Pending</v>
      </c>
      <c r="K182" s="90" t="str">
        <f t="shared" ca="1" si="17"/>
        <v>—</v>
      </c>
      <c r="L182" s="91"/>
    </row>
    <row r="183" spans="1:12" ht="15" customHeight="1" x14ac:dyDescent="0.25">
      <c r="A183" s="76"/>
      <c r="B183" s="37" t="str">
        <f>IF(A183="","",IFERROR(VLOOKUP(A183,DB_Customers!$A:$D,4,0),"❌ Account Not Found"))</f>
        <v/>
      </c>
      <c r="C183" s="77" t="str">
        <f>IF(A183="","",IFERROR(VLOOKUP(A183,DB_Customers!$A:$N,14,0),"❌ Acct Not Found"))</f>
        <v/>
      </c>
      <c r="D183" s="78" t="str">
        <f t="shared" ca="1" si="15"/>
        <v/>
      </c>
      <c r="E183" s="94"/>
      <c r="F183" s="37"/>
      <c r="G183" s="95" t="str">
        <f t="shared" si="16"/>
        <v/>
      </c>
      <c r="H183" s="39" t="s">
        <v>138</v>
      </c>
      <c r="I183" s="81"/>
      <c r="J183" s="82" t="str">
        <f>IF(AND(A183&lt;&gt;"",E183&lt;&gt;""),IF(I183="","⚠️ Enter Code",IF(IFERROR(VLOOKUP(H183,DB_Agents!$B:$I,8,0),"")=I183,IF(C183&gt;=E183,"Successful","Unsuccessful"),"🔒 BLOCKED — Wrong Code")),"Pending")</f>
        <v>Pending</v>
      </c>
      <c r="K183" s="83" t="str">
        <f t="shared" ca="1" si="17"/>
        <v>—</v>
      </c>
      <c r="L183" s="84"/>
    </row>
    <row r="184" spans="1:12" ht="15" customHeight="1" x14ac:dyDescent="0.25">
      <c r="A184" s="85"/>
      <c r="B184" s="41" t="str">
        <f>IF(A184="","",IFERROR(VLOOKUP(A184,DB_Customers!$A:$D,4,0),"❌ Account Not Found"))</f>
        <v/>
      </c>
      <c r="C184" s="86" t="str">
        <f>IF(A184="","",IFERROR(VLOOKUP(A184,DB_Customers!$A:$N,14,0),"❌ Acct Not Found"))</f>
        <v/>
      </c>
      <c r="D184" s="87" t="str">
        <f t="shared" ca="1" si="15"/>
        <v/>
      </c>
      <c r="E184" s="94"/>
      <c r="F184" s="41"/>
      <c r="G184" s="96" t="str">
        <f t="shared" si="16"/>
        <v/>
      </c>
      <c r="H184" s="43" t="s">
        <v>138</v>
      </c>
      <c r="I184" s="81"/>
      <c r="J184" s="89" t="str">
        <f>IF(AND(A184&lt;&gt;"",E184&lt;&gt;""),IF(I184="","⚠️ Enter Code",IF(IFERROR(VLOOKUP(H184,DB_Agents!$B:$I,8,0),"")=I184,IF(C184&gt;=E184,"Successful","Unsuccessful"),"🔒 BLOCKED — Wrong Code")),"Pending")</f>
        <v>Pending</v>
      </c>
      <c r="K184" s="90" t="str">
        <f t="shared" ca="1" si="17"/>
        <v>—</v>
      </c>
      <c r="L184" s="91"/>
    </row>
    <row r="185" spans="1:12" ht="15" customHeight="1" x14ac:dyDescent="0.25">
      <c r="A185" s="76"/>
      <c r="B185" s="37" t="str">
        <f>IF(A185="","",IFERROR(VLOOKUP(A185,DB_Customers!$A:$D,4,0),"❌ Account Not Found"))</f>
        <v/>
      </c>
      <c r="C185" s="77" t="str">
        <f>IF(A185="","",IFERROR(VLOOKUP(A185,DB_Customers!$A:$N,14,0),"❌ Acct Not Found"))</f>
        <v/>
      </c>
      <c r="D185" s="78" t="str">
        <f t="shared" ca="1" si="15"/>
        <v/>
      </c>
      <c r="E185" s="94"/>
      <c r="F185" s="37"/>
      <c r="G185" s="95" t="str">
        <f t="shared" si="16"/>
        <v/>
      </c>
      <c r="H185" s="39" t="s">
        <v>138</v>
      </c>
      <c r="I185" s="81"/>
      <c r="J185" s="82" t="str">
        <f>IF(AND(A185&lt;&gt;"",E185&lt;&gt;""),IF(I185="","⚠️ Enter Code",IF(IFERROR(VLOOKUP(H185,DB_Agents!$B:$I,8,0),"")=I185,IF(C185&gt;=E185,"Successful","Unsuccessful"),"🔒 BLOCKED — Wrong Code")),"Pending")</f>
        <v>Pending</v>
      </c>
      <c r="K185" s="83" t="str">
        <f t="shared" ca="1" si="17"/>
        <v>—</v>
      </c>
      <c r="L185" s="84"/>
    </row>
    <row r="186" spans="1:12" ht="15" customHeight="1" x14ac:dyDescent="0.25">
      <c r="A186" s="85"/>
      <c r="B186" s="41" t="str">
        <f>IF(A186="","",IFERROR(VLOOKUP(A186,DB_Customers!$A:$D,4,0),"❌ Account Not Found"))</f>
        <v/>
      </c>
      <c r="C186" s="86" t="str">
        <f>IF(A186="","",IFERROR(VLOOKUP(A186,DB_Customers!$A:$N,14,0),"❌ Acct Not Found"))</f>
        <v/>
      </c>
      <c r="D186" s="87" t="str">
        <f t="shared" ca="1" si="15"/>
        <v/>
      </c>
      <c r="E186" s="94"/>
      <c r="F186" s="41"/>
      <c r="G186" s="96" t="str">
        <f t="shared" si="16"/>
        <v/>
      </c>
      <c r="H186" s="43" t="s">
        <v>138</v>
      </c>
      <c r="I186" s="81"/>
      <c r="J186" s="89" t="str">
        <f>IF(AND(A186&lt;&gt;"",E186&lt;&gt;""),IF(I186="","⚠️ Enter Code",IF(IFERROR(VLOOKUP(H186,DB_Agents!$B:$I,8,0),"")=I186,IF(C186&gt;=E186,"Successful","Unsuccessful"),"🔒 BLOCKED — Wrong Code")),"Pending")</f>
        <v>Pending</v>
      </c>
      <c r="K186" s="90" t="str">
        <f t="shared" ca="1" si="17"/>
        <v>—</v>
      </c>
      <c r="L186" s="91"/>
    </row>
    <row r="187" spans="1:12" ht="15" customHeight="1" x14ac:dyDescent="0.25">
      <c r="A187" s="76"/>
      <c r="B187" s="37" t="str">
        <f>IF(A187="","",IFERROR(VLOOKUP(A187,DB_Customers!$A:$D,4,0),"❌ Account Not Found"))</f>
        <v/>
      </c>
      <c r="C187" s="77" t="str">
        <f>IF(A187="","",IFERROR(VLOOKUP(A187,DB_Customers!$A:$N,14,0),"❌ Acct Not Found"))</f>
        <v/>
      </c>
      <c r="D187" s="78" t="str">
        <f t="shared" ca="1" si="15"/>
        <v/>
      </c>
      <c r="E187" s="94"/>
      <c r="F187" s="37"/>
      <c r="G187" s="95" t="str">
        <f t="shared" si="16"/>
        <v/>
      </c>
      <c r="H187" s="39" t="s">
        <v>138</v>
      </c>
      <c r="I187" s="81"/>
      <c r="J187" s="82" t="str">
        <f>IF(AND(A187&lt;&gt;"",E187&lt;&gt;""),IF(I187="","⚠️ Enter Code",IF(IFERROR(VLOOKUP(H187,DB_Agents!$B:$I,8,0),"")=I187,IF(C187&gt;=E187,"Successful","Unsuccessful"),"🔒 BLOCKED — Wrong Code")),"Pending")</f>
        <v>Pending</v>
      </c>
      <c r="K187" s="83" t="str">
        <f t="shared" ca="1" si="17"/>
        <v>—</v>
      </c>
      <c r="L187" s="84"/>
    </row>
    <row r="188" spans="1:12" ht="15" customHeight="1" x14ac:dyDescent="0.25">
      <c r="A188" s="85"/>
      <c r="B188" s="41" t="str">
        <f>IF(A188="","",IFERROR(VLOOKUP(A188,DB_Customers!$A:$D,4,0),"❌ Account Not Found"))</f>
        <v/>
      </c>
      <c r="C188" s="86" t="str">
        <f>IF(A188="","",IFERROR(VLOOKUP(A188,DB_Customers!$A:$N,14,0),"❌ Acct Not Found"))</f>
        <v/>
      </c>
      <c r="D188" s="87" t="str">
        <f t="shared" ca="1" si="15"/>
        <v/>
      </c>
      <c r="E188" s="94"/>
      <c r="F188" s="41"/>
      <c r="G188" s="96" t="str">
        <f t="shared" si="16"/>
        <v/>
      </c>
      <c r="H188" s="43" t="s">
        <v>138</v>
      </c>
      <c r="I188" s="81"/>
      <c r="J188" s="89" t="str">
        <f>IF(AND(A188&lt;&gt;"",E188&lt;&gt;""),IF(I188="","⚠️ Enter Code",IF(IFERROR(VLOOKUP(H188,DB_Agents!$B:$I,8,0),"")=I188,IF(C188&gt;=E188,"Successful","Unsuccessful"),"🔒 BLOCKED — Wrong Code")),"Pending")</f>
        <v>Pending</v>
      </c>
      <c r="K188" s="90" t="str">
        <f t="shared" ca="1" si="17"/>
        <v>—</v>
      </c>
      <c r="L188" s="91"/>
    </row>
    <row r="189" spans="1:12" ht="15" customHeight="1" x14ac:dyDescent="0.25">
      <c r="A189" s="76"/>
      <c r="B189" s="37" t="str">
        <f>IF(A189="","",IFERROR(VLOOKUP(A189,DB_Customers!$A:$D,4,0),"❌ Account Not Found"))</f>
        <v/>
      </c>
      <c r="C189" s="77" t="str">
        <f>IF(A189="","",IFERROR(VLOOKUP(A189,DB_Customers!$A:$N,14,0),"❌ Acct Not Found"))</f>
        <v/>
      </c>
      <c r="D189" s="78" t="str">
        <f t="shared" ca="1" si="15"/>
        <v/>
      </c>
      <c r="E189" s="94"/>
      <c r="F189" s="37"/>
      <c r="G189" s="95" t="str">
        <f t="shared" si="16"/>
        <v/>
      </c>
      <c r="H189" s="39" t="s">
        <v>138</v>
      </c>
      <c r="I189" s="81"/>
      <c r="J189" s="82" t="str">
        <f>IF(AND(A189&lt;&gt;"",E189&lt;&gt;""),IF(I189="","⚠️ Enter Code",IF(IFERROR(VLOOKUP(H189,DB_Agents!$B:$I,8,0),"")=I189,IF(C189&gt;=E189,"Successful","Unsuccessful"),"🔒 BLOCKED — Wrong Code")),"Pending")</f>
        <v>Pending</v>
      </c>
      <c r="K189" s="83" t="str">
        <f t="shared" ca="1" si="17"/>
        <v>—</v>
      </c>
      <c r="L189" s="84"/>
    </row>
    <row r="190" spans="1:12" ht="15" customHeight="1" x14ac:dyDescent="0.25">
      <c r="A190" s="85"/>
      <c r="B190" s="41" t="str">
        <f>IF(A190="","",IFERROR(VLOOKUP(A190,DB_Customers!$A:$D,4,0),"❌ Account Not Found"))</f>
        <v/>
      </c>
      <c r="C190" s="86" t="str">
        <f>IF(A190="","",IFERROR(VLOOKUP(A190,DB_Customers!$A:$N,14,0),"❌ Acct Not Found"))</f>
        <v/>
      </c>
      <c r="D190" s="87" t="str">
        <f t="shared" ca="1" si="15"/>
        <v/>
      </c>
      <c r="E190" s="94"/>
      <c r="F190" s="41"/>
      <c r="G190" s="96" t="str">
        <f t="shared" si="16"/>
        <v/>
      </c>
      <c r="H190" s="43" t="s">
        <v>138</v>
      </c>
      <c r="I190" s="81"/>
      <c r="J190" s="89" t="str">
        <f>IF(AND(A190&lt;&gt;"",E190&lt;&gt;""),IF(I190="","⚠️ Enter Code",IF(IFERROR(VLOOKUP(H190,DB_Agents!$B:$I,8,0),"")=I190,IF(C190&gt;=E190,"Successful","Unsuccessful"),"🔒 BLOCKED — Wrong Code")),"Pending")</f>
        <v>Pending</v>
      </c>
      <c r="K190" s="90" t="str">
        <f t="shared" ca="1" si="17"/>
        <v>—</v>
      </c>
      <c r="L190" s="91"/>
    </row>
    <row r="191" spans="1:12" ht="15" customHeight="1" x14ac:dyDescent="0.25">
      <c r="A191" s="76"/>
      <c r="B191" s="37" t="str">
        <f>IF(A191="","",IFERROR(VLOOKUP(A191,DB_Customers!$A:$D,4,0),"❌ Account Not Found"))</f>
        <v/>
      </c>
      <c r="C191" s="77" t="str">
        <f>IF(A191="","",IFERROR(VLOOKUP(A191,DB_Customers!$A:$N,14,0),"❌ Acct Not Found"))</f>
        <v/>
      </c>
      <c r="D191" s="78" t="str">
        <f t="shared" ca="1" si="15"/>
        <v/>
      </c>
      <c r="E191" s="94"/>
      <c r="F191" s="37"/>
      <c r="G191" s="95" t="str">
        <f t="shared" si="16"/>
        <v/>
      </c>
      <c r="H191" s="39" t="s">
        <v>138</v>
      </c>
      <c r="I191" s="81"/>
      <c r="J191" s="82" t="str">
        <f>IF(AND(A191&lt;&gt;"",E191&lt;&gt;""),IF(I191="","⚠️ Enter Code",IF(IFERROR(VLOOKUP(H191,DB_Agents!$B:$I,8,0),"")=I191,IF(C191&gt;=E191,"Successful","Unsuccessful"),"🔒 BLOCKED — Wrong Code")),"Pending")</f>
        <v>Pending</v>
      </c>
      <c r="K191" s="83" t="str">
        <f t="shared" ca="1" si="17"/>
        <v>—</v>
      </c>
      <c r="L191" s="84"/>
    </row>
    <row r="192" spans="1:12" ht="15" customHeight="1" x14ac:dyDescent="0.25">
      <c r="A192" s="85"/>
      <c r="B192" s="41" t="str">
        <f>IF(A192="","",IFERROR(VLOOKUP(A192,DB_Customers!$A:$D,4,0),"❌ Account Not Found"))</f>
        <v/>
      </c>
      <c r="C192" s="86" t="str">
        <f>IF(A192="","",IFERROR(VLOOKUP(A192,DB_Customers!$A:$N,14,0),"❌ Acct Not Found"))</f>
        <v/>
      </c>
      <c r="D192" s="87" t="str">
        <f t="shared" ca="1" si="15"/>
        <v/>
      </c>
      <c r="E192" s="94"/>
      <c r="F192" s="41"/>
      <c r="G192" s="96" t="str">
        <f t="shared" si="16"/>
        <v/>
      </c>
      <c r="H192" s="43" t="s">
        <v>138</v>
      </c>
      <c r="I192" s="81"/>
      <c r="J192" s="89" t="str">
        <f>IF(AND(A192&lt;&gt;"",E192&lt;&gt;""),IF(I192="","⚠️ Enter Code",IF(IFERROR(VLOOKUP(H192,DB_Agents!$B:$I,8,0),"")=I192,IF(C192&gt;=E192,"Successful","Unsuccessful"),"🔒 BLOCKED — Wrong Code")),"Pending")</f>
        <v>Pending</v>
      </c>
      <c r="K192" s="90" t="str">
        <f t="shared" ca="1" si="17"/>
        <v>—</v>
      </c>
      <c r="L192" s="91"/>
    </row>
    <row r="193" spans="1:12" ht="15" customHeight="1" x14ac:dyDescent="0.25">
      <c r="A193" s="76"/>
      <c r="B193" s="37" t="str">
        <f>IF(A193="","",IFERROR(VLOOKUP(A193,DB_Customers!$A:$D,4,0),"❌ Account Not Found"))</f>
        <v/>
      </c>
      <c r="C193" s="77" t="str">
        <f>IF(A193="","",IFERROR(VLOOKUP(A193,DB_Customers!$A:$N,14,0),"❌ Acct Not Found"))</f>
        <v/>
      </c>
      <c r="D193" s="78" t="str">
        <f t="shared" ca="1" si="15"/>
        <v/>
      </c>
      <c r="E193" s="94"/>
      <c r="F193" s="37"/>
      <c r="G193" s="95" t="str">
        <f t="shared" si="16"/>
        <v/>
      </c>
      <c r="H193" s="39" t="s">
        <v>138</v>
      </c>
      <c r="I193" s="81"/>
      <c r="J193" s="82" t="str">
        <f>IF(AND(A193&lt;&gt;"",E193&lt;&gt;""),IF(I193="","⚠️ Enter Code",IF(IFERROR(VLOOKUP(H193,DB_Agents!$B:$I,8,0),"")=I193,IF(C193&gt;=E193,"Successful","Unsuccessful"),"🔒 BLOCKED — Wrong Code")),"Pending")</f>
        <v>Pending</v>
      </c>
      <c r="K193" s="83" t="str">
        <f t="shared" ca="1" si="17"/>
        <v>—</v>
      </c>
      <c r="L193" s="84"/>
    </row>
    <row r="194" spans="1:12" ht="15" customHeight="1" x14ac:dyDescent="0.25">
      <c r="A194" s="85"/>
      <c r="B194" s="41" t="str">
        <f>IF(A194="","",IFERROR(VLOOKUP(A194,DB_Customers!$A:$D,4,0),"❌ Account Not Found"))</f>
        <v/>
      </c>
      <c r="C194" s="86" t="str">
        <f>IF(A194="","",IFERROR(VLOOKUP(A194,DB_Customers!$A:$N,14,0),"❌ Acct Not Found"))</f>
        <v/>
      </c>
      <c r="D194" s="87" t="str">
        <f t="shared" ca="1" si="15"/>
        <v/>
      </c>
      <c r="E194" s="94"/>
      <c r="F194" s="41"/>
      <c r="G194" s="96" t="str">
        <f t="shared" si="16"/>
        <v/>
      </c>
      <c r="H194" s="43" t="s">
        <v>138</v>
      </c>
      <c r="I194" s="81"/>
      <c r="J194" s="89" t="str">
        <f>IF(AND(A194&lt;&gt;"",E194&lt;&gt;""),IF(I194="","⚠️ Enter Code",IF(IFERROR(VLOOKUP(H194,DB_Agents!$B:$I,8,0),"")=I194,IF(C194&gt;=E194,"Successful","Unsuccessful"),"🔒 BLOCKED — Wrong Code")),"Pending")</f>
        <v>Pending</v>
      </c>
      <c r="K194" s="90" t="str">
        <f t="shared" ca="1" si="17"/>
        <v>—</v>
      </c>
      <c r="L194" s="91"/>
    </row>
    <row r="195" spans="1:12" ht="15" customHeight="1" x14ac:dyDescent="0.25">
      <c r="A195" s="76"/>
      <c r="B195" s="37" t="str">
        <f>IF(A195="","",IFERROR(VLOOKUP(A195,DB_Customers!$A:$D,4,0),"❌ Account Not Found"))</f>
        <v/>
      </c>
      <c r="C195" s="77" t="str">
        <f>IF(A195="","",IFERROR(VLOOKUP(A195,DB_Customers!$A:$N,14,0),"❌ Acct Not Found"))</f>
        <v/>
      </c>
      <c r="D195" s="78" t="str">
        <f t="shared" ca="1" si="15"/>
        <v/>
      </c>
      <c r="E195" s="94"/>
      <c r="F195" s="37"/>
      <c r="G195" s="95" t="str">
        <f t="shared" si="16"/>
        <v/>
      </c>
      <c r="H195" s="39" t="s">
        <v>138</v>
      </c>
      <c r="I195" s="81"/>
      <c r="J195" s="82" t="str">
        <f>IF(AND(A195&lt;&gt;"",E195&lt;&gt;""),IF(I195="","⚠️ Enter Code",IF(IFERROR(VLOOKUP(H195,DB_Agents!$B:$I,8,0),"")=I195,IF(C195&gt;=E195,"Successful","Unsuccessful"),"🔒 BLOCKED — Wrong Code")),"Pending")</f>
        <v>Pending</v>
      </c>
      <c r="K195" s="83" t="str">
        <f t="shared" ca="1" si="17"/>
        <v>—</v>
      </c>
      <c r="L195" s="84"/>
    </row>
    <row r="196" spans="1:12" ht="15" customHeight="1" x14ac:dyDescent="0.25">
      <c r="A196" s="85"/>
      <c r="B196" s="41" t="str">
        <f>IF(A196="","",IFERROR(VLOOKUP(A196,DB_Customers!$A:$D,4,0),"❌ Account Not Found"))</f>
        <v/>
      </c>
      <c r="C196" s="86" t="str">
        <f>IF(A196="","",IFERROR(VLOOKUP(A196,DB_Customers!$A:$N,14,0),"❌ Acct Not Found"))</f>
        <v/>
      </c>
      <c r="D196" s="87" t="str">
        <f t="shared" ca="1" si="15"/>
        <v/>
      </c>
      <c r="E196" s="94"/>
      <c r="F196" s="41"/>
      <c r="G196" s="96" t="str">
        <f t="shared" si="16"/>
        <v/>
      </c>
      <c r="H196" s="43" t="s">
        <v>138</v>
      </c>
      <c r="I196" s="81"/>
      <c r="J196" s="89" t="str">
        <f>IF(AND(A196&lt;&gt;"",E196&lt;&gt;""),IF(I196="","⚠️ Enter Code",IF(IFERROR(VLOOKUP(H196,DB_Agents!$B:$I,8,0),"")=I196,IF(C196&gt;=E196,"Successful","Unsuccessful"),"🔒 BLOCKED — Wrong Code")),"Pending")</f>
        <v>Pending</v>
      </c>
      <c r="K196" s="90" t="str">
        <f t="shared" ca="1" si="17"/>
        <v>—</v>
      </c>
      <c r="L196" s="91"/>
    </row>
    <row r="197" spans="1:12" ht="15" customHeight="1" x14ac:dyDescent="0.25">
      <c r="A197" s="76"/>
      <c r="B197" s="37" t="str">
        <f>IF(A197="","",IFERROR(VLOOKUP(A197,DB_Customers!$A:$D,4,0),"❌ Account Not Found"))</f>
        <v/>
      </c>
      <c r="C197" s="77" t="str">
        <f>IF(A197="","",IFERROR(VLOOKUP(A197,DB_Customers!$A:$N,14,0),"❌ Acct Not Found"))</f>
        <v/>
      </c>
      <c r="D197" s="78" t="str">
        <f t="shared" ca="1" si="15"/>
        <v/>
      </c>
      <c r="E197" s="94"/>
      <c r="F197" s="37"/>
      <c r="G197" s="95" t="str">
        <f t="shared" si="16"/>
        <v/>
      </c>
      <c r="H197" s="39" t="s">
        <v>138</v>
      </c>
      <c r="I197" s="81"/>
      <c r="J197" s="82" t="str">
        <f>IF(AND(A197&lt;&gt;"",E197&lt;&gt;""),IF(I197="","⚠️ Enter Code",IF(IFERROR(VLOOKUP(H197,DB_Agents!$B:$I,8,0),"")=I197,IF(C197&gt;=E197,"Successful","Unsuccessful"),"🔒 BLOCKED — Wrong Code")),"Pending")</f>
        <v>Pending</v>
      </c>
      <c r="K197" s="83" t="str">
        <f t="shared" ca="1" si="17"/>
        <v>—</v>
      </c>
      <c r="L197" s="84"/>
    </row>
    <row r="198" spans="1:12" ht="15" customHeight="1" x14ac:dyDescent="0.25">
      <c r="A198" s="85"/>
      <c r="B198" s="41" t="str">
        <f>IF(A198="","",IFERROR(VLOOKUP(A198,DB_Customers!$A:$D,4,0),"❌ Account Not Found"))</f>
        <v/>
      </c>
      <c r="C198" s="86" t="str">
        <f>IF(A198="","",IFERROR(VLOOKUP(A198,DB_Customers!$A:$N,14,0),"❌ Acct Not Found"))</f>
        <v/>
      </c>
      <c r="D198" s="87" t="str">
        <f t="shared" ca="1" si="15"/>
        <v/>
      </c>
      <c r="E198" s="94"/>
      <c r="F198" s="41"/>
      <c r="G198" s="96" t="str">
        <f t="shared" si="16"/>
        <v/>
      </c>
      <c r="H198" s="43" t="s">
        <v>138</v>
      </c>
      <c r="I198" s="81"/>
      <c r="J198" s="89" t="str">
        <f>IF(AND(A198&lt;&gt;"",E198&lt;&gt;""),IF(I198="","⚠️ Enter Code",IF(IFERROR(VLOOKUP(H198,DB_Agents!$B:$I,8,0),"")=I198,IF(C198&gt;=E198,"Successful","Unsuccessful"),"🔒 BLOCKED — Wrong Code")),"Pending")</f>
        <v>Pending</v>
      </c>
      <c r="K198" s="90" t="str">
        <f t="shared" ca="1" si="17"/>
        <v>—</v>
      </c>
      <c r="L198" s="91"/>
    </row>
    <row r="199" spans="1:12" ht="15" customHeight="1" x14ac:dyDescent="0.25">
      <c r="A199" s="76"/>
      <c r="B199" s="37" t="str">
        <f>IF(A199="","",IFERROR(VLOOKUP(A199,DB_Customers!$A:$D,4,0),"❌ Account Not Found"))</f>
        <v/>
      </c>
      <c r="C199" s="77" t="str">
        <f>IF(A199="","",IFERROR(VLOOKUP(A199,DB_Customers!$A:$N,14,0),"❌ Acct Not Found"))</f>
        <v/>
      </c>
      <c r="D199" s="78" t="str">
        <f t="shared" ca="1" si="15"/>
        <v/>
      </c>
      <c r="E199" s="94"/>
      <c r="F199" s="37"/>
      <c r="G199" s="95" t="str">
        <f t="shared" si="16"/>
        <v/>
      </c>
      <c r="H199" s="39" t="s">
        <v>138</v>
      </c>
      <c r="I199" s="81"/>
      <c r="J199" s="82" t="str">
        <f>IF(AND(A199&lt;&gt;"",E199&lt;&gt;""),IF(I199="","⚠️ Enter Code",IF(IFERROR(VLOOKUP(H199,DB_Agents!$B:$I,8,0),"")=I199,IF(C199&gt;=E199,"Successful","Unsuccessful"),"🔒 BLOCKED — Wrong Code")),"Pending")</f>
        <v>Pending</v>
      </c>
      <c r="K199" s="83" t="str">
        <f t="shared" ca="1" si="17"/>
        <v>—</v>
      </c>
      <c r="L199" s="84"/>
    </row>
    <row r="200" spans="1:12" ht="15" customHeight="1" x14ac:dyDescent="0.25">
      <c r="A200" s="85"/>
      <c r="B200" s="41" t="str">
        <f>IF(A200="","",IFERROR(VLOOKUP(A200,DB_Customers!$A:$D,4,0),"❌ Account Not Found"))</f>
        <v/>
      </c>
      <c r="C200" s="86" t="str">
        <f>IF(A200="","",IFERROR(VLOOKUP(A200,DB_Customers!$A:$N,14,0),"❌ Acct Not Found"))</f>
        <v/>
      </c>
      <c r="D200" s="87" t="str">
        <f t="shared" ca="1" si="15"/>
        <v/>
      </c>
      <c r="E200" s="94"/>
      <c r="F200" s="41"/>
      <c r="G200" s="96" t="str">
        <f t="shared" si="16"/>
        <v/>
      </c>
      <c r="H200" s="43" t="s">
        <v>138</v>
      </c>
      <c r="I200" s="81"/>
      <c r="J200" s="89" t="str">
        <f>IF(AND(A200&lt;&gt;"",E200&lt;&gt;""),IF(I200="","⚠️ Enter Code",IF(IFERROR(VLOOKUP(H200,DB_Agents!$B:$I,8,0),"")=I200,IF(C200&gt;=E200,"Successful","Unsuccessful"),"🔒 BLOCKED — Wrong Code")),"Pending")</f>
        <v>Pending</v>
      </c>
      <c r="K200" s="90" t="str">
        <f t="shared" ca="1" si="17"/>
        <v>—</v>
      </c>
      <c r="L200" s="91"/>
    </row>
    <row r="201" spans="1:12" ht="15" customHeight="1" x14ac:dyDescent="0.25">
      <c r="A201" s="76"/>
      <c r="B201" s="37" t="str">
        <f>IF(A201="","",IFERROR(VLOOKUP(A201,DB_Customers!$A:$D,4,0),"❌ Account Not Found"))</f>
        <v/>
      </c>
      <c r="C201" s="77" t="str">
        <f>IF(A201="","",IFERROR(VLOOKUP(A201,DB_Customers!$A:$N,14,0),"❌ Acct Not Found"))</f>
        <v/>
      </c>
      <c r="D201" s="78" t="str">
        <f t="shared" ref="D201:D208" ca="1" si="18">IF(A201="","",TODAY())</f>
        <v/>
      </c>
      <c r="E201" s="94"/>
      <c r="F201" s="37"/>
      <c r="G201" s="95" t="str">
        <f t="shared" ref="G201:G208" si="19">IF(OR(A201="",E201=""),"",IF(C201="","",C201-E201))</f>
        <v/>
      </c>
      <c r="H201" s="39" t="s">
        <v>138</v>
      </c>
      <c r="I201" s="81"/>
      <c r="J201" s="82" t="str">
        <f>IF(AND(A201&lt;&gt;"",E201&lt;&gt;""),IF(I201="","⚠️ Enter Code",IF(IFERROR(VLOOKUP(H201,DB_Agents!$B:$I,8,0),"")=I201,IF(C201&gt;=E201,"Successful","Unsuccessful"),"🔒 BLOCKED — Wrong Code")),"Pending")</f>
        <v>Pending</v>
      </c>
      <c r="K201" s="83" t="str">
        <f t="shared" ref="K201:K208" ca="1" si="20">IF(J201="Successful",TEXT(TODAY(),"YYYY-MM-DD")&amp;" Auto","—")</f>
        <v>—</v>
      </c>
      <c r="L201" s="84"/>
    </row>
    <row r="202" spans="1:12" ht="15" customHeight="1" x14ac:dyDescent="0.25">
      <c r="A202" s="85"/>
      <c r="B202" s="41" t="str">
        <f>IF(A202="","",IFERROR(VLOOKUP(A202,DB_Customers!$A:$D,4,0),"❌ Account Not Found"))</f>
        <v/>
      </c>
      <c r="C202" s="86" t="str">
        <f>IF(A202="","",IFERROR(VLOOKUP(A202,DB_Customers!$A:$N,14,0),"❌ Acct Not Found"))</f>
        <v/>
      </c>
      <c r="D202" s="87" t="str">
        <f t="shared" ca="1" si="18"/>
        <v/>
      </c>
      <c r="E202" s="94"/>
      <c r="F202" s="41"/>
      <c r="G202" s="96" t="str">
        <f t="shared" si="19"/>
        <v/>
      </c>
      <c r="H202" s="43" t="s">
        <v>138</v>
      </c>
      <c r="I202" s="81"/>
      <c r="J202" s="89" t="str">
        <f>IF(AND(A202&lt;&gt;"",E202&lt;&gt;""),IF(I202="","⚠️ Enter Code",IF(IFERROR(VLOOKUP(H202,DB_Agents!$B:$I,8,0),"")=I202,IF(C202&gt;=E202,"Successful","Unsuccessful"),"🔒 BLOCKED — Wrong Code")),"Pending")</f>
        <v>Pending</v>
      </c>
      <c r="K202" s="90" t="str">
        <f t="shared" ca="1" si="20"/>
        <v>—</v>
      </c>
      <c r="L202" s="91"/>
    </row>
    <row r="203" spans="1:12" ht="15" customHeight="1" x14ac:dyDescent="0.25">
      <c r="A203" s="76"/>
      <c r="B203" s="37" t="str">
        <f>IF(A203="","",IFERROR(VLOOKUP(A203,DB_Customers!$A:$D,4,0),"❌ Account Not Found"))</f>
        <v/>
      </c>
      <c r="C203" s="77" t="str">
        <f>IF(A203="","",IFERROR(VLOOKUP(A203,DB_Customers!$A:$N,14,0),"❌ Acct Not Found"))</f>
        <v/>
      </c>
      <c r="D203" s="78" t="str">
        <f t="shared" ca="1" si="18"/>
        <v/>
      </c>
      <c r="E203" s="94"/>
      <c r="F203" s="37"/>
      <c r="G203" s="95" t="str">
        <f t="shared" si="19"/>
        <v/>
      </c>
      <c r="H203" s="39" t="s">
        <v>138</v>
      </c>
      <c r="I203" s="81"/>
      <c r="J203" s="82" t="str">
        <f>IF(AND(A203&lt;&gt;"",E203&lt;&gt;""),IF(I203="","⚠️ Enter Code",IF(IFERROR(VLOOKUP(H203,DB_Agents!$B:$I,8,0),"")=I203,IF(C203&gt;=E203,"Successful","Unsuccessful"),"🔒 BLOCKED — Wrong Code")),"Pending")</f>
        <v>Pending</v>
      </c>
      <c r="K203" s="83" t="str">
        <f t="shared" ca="1" si="20"/>
        <v>—</v>
      </c>
      <c r="L203" s="84"/>
    </row>
    <row r="204" spans="1:12" ht="15" customHeight="1" x14ac:dyDescent="0.25">
      <c r="A204" s="85"/>
      <c r="B204" s="41" t="str">
        <f>IF(A204="","",IFERROR(VLOOKUP(A204,DB_Customers!$A:$D,4,0),"❌ Account Not Found"))</f>
        <v/>
      </c>
      <c r="C204" s="86" t="str">
        <f>IF(A204="","",IFERROR(VLOOKUP(A204,DB_Customers!$A:$N,14,0),"❌ Acct Not Found"))</f>
        <v/>
      </c>
      <c r="D204" s="87" t="str">
        <f t="shared" ca="1" si="18"/>
        <v/>
      </c>
      <c r="E204" s="94"/>
      <c r="F204" s="41"/>
      <c r="G204" s="96" t="str">
        <f t="shared" si="19"/>
        <v/>
      </c>
      <c r="H204" s="43" t="s">
        <v>138</v>
      </c>
      <c r="I204" s="81"/>
      <c r="J204" s="89" t="str">
        <f>IF(AND(A204&lt;&gt;"",E204&lt;&gt;""),IF(I204="","⚠️ Enter Code",IF(IFERROR(VLOOKUP(H204,DB_Agents!$B:$I,8,0),"")=I204,IF(C204&gt;=E204,"Successful","Unsuccessful"),"🔒 BLOCKED — Wrong Code")),"Pending")</f>
        <v>Pending</v>
      </c>
      <c r="K204" s="90" t="str">
        <f t="shared" ca="1" si="20"/>
        <v>—</v>
      </c>
      <c r="L204" s="91"/>
    </row>
    <row r="205" spans="1:12" ht="15" customHeight="1" x14ac:dyDescent="0.25">
      <c r="A205" s="76"/>
      <c r="B205" s="37" t="str">
        <f>IF(A205="","",IFERROR(VLOOKUP(A205,DB_Customers!$A:$D,4,0),"❌ Account Not Found"))</f>
        <v/>
      </c>
      <c r="C205" s="77" t="str">
        <f>IF(A205="","",IFERROR(VLOOKUP(A205,DB_Customers!$A:$N,14,0),"❌ Acct Not Found"))</f>
        <v/>
      </c>
      <c r="D205" s="78" t="str">
        <f t="shared" ca="1" si="18"/>
        <v/>
      </c>
      <c r="E205" s="94"/>
      <c r="F205" s="37"/>
      <c r="G205" s="95" t="str">
        <f t="shared" si="19"/>
        <v/>
      </c>
      <c r="H205" s="39" t="s">
        <v>138</v>
      </c>
      <c r="I205" s="81"/>
      <c r="J205" s="82" t="str">
        <f>IF(AND(A205&lt;&gt;"",E205&lt;&gt;""),IF(I205="","⚠️ Enter Code",IF(IFERROR(VLOOKUP(H205,DB_Agents!$B:$I,8,0),"")=I205,IF(C205&gt;=E205,"Successful","Unsuccessful"),"🔒 BLOCKED — Wrong Code")),"Pending")</f>
        <v>Pending</v>
      </c>
      <c r="K205" s="83" t="str">
        <f t="shared" ca="1" si="20"/>
        <v>—</v>
      </c>
      <c r="L205" s="84"/>
    </row>
    <row r="206" spans="1:12" ht="15" customHeight="1" x14ac:dyDescent="0.25">
      <c r="A206" s="85"/>
      <c r="B206" s="41" t="str">
        <f>IF(A206="","",IFERROR(VLOOKUP(A206,DB_Customers!$A:$D,4,0),"❌ Account Not Found"))</f>
        <v/>
      </c>
      <c r="C206" s="86" t="str">
        <f>IF(A206="","",IFERROR(VLOOKUP(A206,DB_Customers!$A:$N,14,0),"❌ Acct Not Found"))</f>
        <v/>
      </c>
      <c r="D206" s="87" t="str">
        <f t="shared" ca="1" si="18"/>
        <v/>
      </c>
      <c r="E206" s="94"/>
      <c r="F206" s="41"/>
      <c r="G206" s="96" t="str">
        <f t="shared" si="19"/>
        <v/>
      </c>
      <c r="H206" s="43" t="s">
        <v>138</v>
      </c>
      <c r="I206" s="81"/>
      <c r="J206" s="89" t="str">
        <f>IF(AND(A206&lt;&gt;"",E206&lt;&gt;""),IF(I206="","⚠️ Enter Code",IF(IFERROR(VLOOKUP(H206,DB_Agents!$B:$I,8,0),"")=I206,IF(C206&gt;=E206,"Successful","Unsuccessful"),"🔒 BLOCKED — Wrong Code")),"Pending")</f>
        <v>Pending</v>
      </c>
      <c r="K206" s="90" t="str">
        <f t="shared" ca="1" si="20"/>
        <v>—</v>
      </c>
      <c r="L206" s="91"/>
    </row>
    <row r="207" spans="1:12" ht="15" customHeight="1" x14ac:dyDescent="0.25">
      <c r="A207" s="76"/>
      <c r="B207" s="37" t="str">
        <f>IF(A207="","",IFERROR(VLOOKUP(A207,DB_Customers!$A:$D,4,0),"❌ Account Not Found"))</f>
        <v/>
      </c>
      <c r="C207" s="77" t="str">
        <f>IF(A207="","",IFERROR(VLOOKUP(A207,DB_Customers!$A:$N,14,0),"❌ Acct Not Found"))</f>
        <v/>
      </c>
      <c r="D207" s="78" t="str">
        <f t="shared" ca="1" si="18"/>
        <v/>
      </c>
      <c r="E207" s="94"/>
      <c r="F207" s="37"/>
      <c r="G207" s="95" t="str">
        <f t="shared" si="19"/>
        <v/>
      </c>
      <c r="H207" s="39" t="s">
        <v>138</v>
      </c>
      <c r="I207" s="81"/>
      <c r="J207" s="82" t="str">
        <f>IF(AND(A207&lt;&gt;"",E207&lt;&gt;""),IF(I207="","⚠️ Enter Code",IF(IFERROR(VLOOKUP(H207,DB_Agents!$B:$I,8,0),"")=I207,IF(C207&gt;=E207,"Successful","Unsuccessful"),"🔒 BLOCKED — Wrong Code")),"Pending")</f>
        <v>Pending</v>
      </c>
      <c r="K207" s="83" t="str">
        <f t="shared" ca="1" si="20"/>
        <v>—</v>
      </c>
      <c r="L207" s="84"/>
    </row>
    <row r="208" spans="1:12" ht="15" customHeight="1" x14ac:dyDescent="0.25">
      <c r="A208" s="85"/>
      <c r="B208" s="41" t="str">
        <f>IF(A208="","",IFERROR(VLOOKUP(A208,DB_Customers!$A:$D,4,0),"❌ Account Not Found"))</f>
        <v/>
      </c>
      <c r="C208" s="86" t="str">
        <f>IF(A208="","",IFERROR(VLOOKUP(A208,DB_Customers!$A:$N,14,0),"❌ Acct Not Found"))</f>
        <v/>
      </c>
      <c r="D208" s="87" t="str">
        <f t="shared" ca="1" si="18"/>
        <v/>
      </c>
      <c r="E208" s="94"/>
      <c r="F208" s="41"/>
      <c r="G208" s="96" t="str">
        <f t="shared" si="19"/>
        <v/>
      </c>
      <c r="H208" s="43" t="s">
        <v>138</v>
      </c>
      <c r="I208" s="81"/>
      <c r="J208" s="89" t="str">
        <f>IF(AND(A208&lt;&gt;"",E208&lt;&gt;""),IF(I208="","⚠️ Enter Code",IF(IFERROR(VLOOKUP(H208,DB_Agents!$B:$I,8,0),"")=I208,IF(C208&gt;=E208,"Successful","Unsuccessful"),"🔒 BLOCKED — Wrong Code")),"Pending")</f>
        <v>Pending</v>
      </c>
      <c r="K208" s="90" t="str">
        <f t="shared" ca="1" si="20"/>
        <v>—</v>
      </c>
      <c r="L208" s="91"/>
    </row>
  </sheetData>
  <mergeCells count="8">
    <mergeCell ref="A7:M7"/>
    <mergeCell ref="A4:C4"/>
    <mergeCell ref="A2:M2"/>
    <mergeCell ref="A1:M1"/>
    <mergeCell ref="A5:M5"/>
    <mergeCell ref="D4:F4"/>
    <mergeCell ref="D3:F3"/>
    <mergeCell ref="A3:C3"/>
  </mergeCells>
  <conditionalFormatting sqref="I9:I208">
    <cfRule type="cellIs" dxfId="49" priority="2" operator="equal">
      <formula>"Successful"</formula>
    </cfRule>
    <cfRule type="cellIs" dxfId="48" priority="3" operator="equal">
      <formula>"Unsuccessful"</formula>
    </cfRule>
  </conditionalFormatting>
  <conditionalFormatting sqref="A9:K208">
    <cfRule type="expression" dxfId="47" priority="4">
      <formula>$I9="Unsuccessful"</formula>
    </cfRule>
  </conditionalFormatting>
  <conditionalFormatting sqref="G9:G208">
    <cfRule type="cellIs" dxfId="46" priority="5" operator="lessThan">
      <formula>0</formula>
    </cfRule>
  </conditionalFormatting>
  <dataValidations count="1">
    <dataValidation type="list" sqref="H9:H208" xr:uid="{00000000-0002-0000-19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5" width="13" customWidth="1"/>
    <col min="6" max="6" width="20" customWidth="1"/>
    <col min="7" max="7" width="9" customWidth="1"/>
    <col min="8" max="8" width="8" customWidth="1"/>
    <col min="9" max="10" width="14" customWidth="1"/>
    <col min="11" max="11" width="18" customWidth="1"/>
    <col min="12" max="12" width="10" customWidth="1"/>
    <col min="13" max="13" width="12" customWidth="1"/>
    <col min="14" max="14" width="18" customWidth="1"/>
  </cols>
  <sheetData>
    <row r="1" spans="1:14" ht="31.5" customHeight="1" x14ac:dyDescent="0.25">
      <c r="A1" s="226" t="s">
        <v>367</v>
      </c>
    </row>
    <row r="2" spans="1:14" ht="19.5" customHeight="1" x14ac:dyDescent="0.25">
      <c r="A2" s="201" t="s">
        <v>2</v>
      </c>
    </row>
    <row r="4" spans="1:14" ht="21.75" customHeight="1" x14ac:dyDescent="0.25">
      <c r="A4" s="97" t="s">
        <v>333</v>
      </c>
    </row>
    <row r="5" spans="1:14" ht="19.5" customHeight="1" x14ac:dyDescent="0.25">
      <c r="A5" s="227" t="s">
        <v>334</v>
      </c>
      <c r="B5" s="202"/>
    </row>
    <row r="6" spans="1:14" ht="19.5" customHeight="1" x14ac:dyDescent="0.25">
      <c r="A6" s="227" t="s">
        <v>335</v>
      </c>
      <c r="B6" s="202"/>
    </row>
    <row r="7" spans="1:14" ht="19.5" customHeight="1" x14ac:dyDescent="0.25">
      <c r="A7" s="227" t="s">
        <v>336</v>
      </c>
      <c r="B7" s="228">
        <v>2.5</v>
      </c>
    </row>
    <row r="8" spans="1:14" ht="19.5" customHeight="1" x14ac:dyDescent="0.25">
      <c r="A8" s="99" t="s">
        <v>337</v>
      </c>
      <c r="B8" s="203" t="str">
        <f>IF(B5="","",B5*B7/100*B6)</f>
        <v/>
      </c>
    </row>
    <row r="9" spans="1:14" ht="19.5" customHeight="1" x14ac:dyDescent="0.25">
      <c r="A9" s="99" t="s">
        <v>338</v>
      </c>
      <c r="B9" s="204" t="str">
        <f>IF(B5="","",B5+(B5*B7/100*B6))</f>
        <v/>
      </c>
    </row>
    <row r="10" spans="1:14" ht="19.5" customHeight="1" x14ac:dyDescent="0.25">
      <c r="A10" s="99" t="s">
        <v>339</v>
      </c>
      <c r="B10" s="204" t="str">
        <f>IFERROR(B9/B6,"")</f>
        <v/>
      </c>
    </row>
    <row r="11" spans="1:14" ht="7.5" customHeight="1" x14ac:dyDescent="0.25"/>
    <row r="12" spans="1:14" ht="21.75" customHeight="1" x14ac:dyDescent="0.25">
      <c r="A12" s="205"/>
    </row>
    <row r="13" spans="1:14" ht="27.95" customHeight="1" x14ac:dyDescent="0.25">
      <c r="A13" s="212" t="s">
        <v>82</v>
      </c>
      <c r="B13" s="212" t="s">
        <v>315</v>
      </c>
      <c r="C13" s="212" t="s">
        <v>77</v>
      </c>
      <c r="D13" s="212" t="s">
        <v>84</v>
      </c>
      <c r="E13" s="212" t="s">
        <v>340</v>
      </c>
      <c r="F13" s="212" t="s">
        <v>8</v>
      </c>
      <c r="G13" s="212" t="s">
        <v>9</v>
      </c>
      <c r="H13" s="212" t="s">
        <v>86</v>
      </c>
      <c r="I13" s="212" t="s">
        <v>341</v>
      </c>
      <c r="J13" s="212" t="s">
        <v>342</v>
      </c>
      <c r="K13" s="212" t="s">
        <v>13</v>
      </c>
      <c r="L13" s="212" t="s">
        <v>14</v>
      </c>
      <c r="M13" s="212" t="s">
        <v>319</v>
      </c>
      <c r="N13" s="212" t="s">
        <v>15</v>
      </c>
    </row>
    <row r="14" spans="1:14" ht="18" customHeight="1" x14ac:dyDescent="0.25">
      <c r="A14" s="229" t="str">
        <f t="shared" ref="A14:A45" si="0">IF(B14="","",IF(C14="❌ Account Not Found","INVALID","LN"&amp;TEXT(D14,"YYYYMMDD")&amp;TEXT(ROW()-13,"0000")))</f>
        <v/>
      </c>
      <c r="B14" s="230"/>
      <c r="C14" s="231" t="str">
        <f>IF(B14="","",IFERROR(VLOOKUP(B14,DB_Customers!$A:$D,4,0),"❌ Account Not Found"))</f>
        <v/>
      </c>
      <c r="D14" s="232" t="str">
        <f t="shared" ref="D14:D45" ca="1" si="1">IF(B14="","",TODAY())</f>
        <v/>
      </c>
      <c r="E14" s="233"/>
      <c r="F14" s="231"/>
      <c r="G14" s="234"/>
      <c r="H14" s="235">
        <v>2.5</v>
      </c>
      <c r="I14" s="236" t="str">
        <f t="shared" ref="I14:I45" si="2">IF(E14="","",E14+(E14*H14/100*G14))</f>
        <v/>
      </c>
      <c r="J14" s="237" t="str">
        <f t="shared" ref="J14:J45" si="3">IFERROR(I14/G14,"")</f>
        <v/>
      </c>
      <c r="K14" s="238" t="str">
        <f>IF(B14="","Pending",IF(M14="","⚠️ Enter Code",IF(IFERROR(VLOOKUP(L14,DB_Agents!$B:$I,8,0),"")=M14,"Pending","🔒 BLOCKED — Wrong Code")))</f>
        <v>Pending</v>
      </c>
      <c r="L14" s="239" t="s">
        <v>138</v>
      </c>
      <c r="M14" s="240"/>
      <c r="N14" s="230"/>
    </row>
    <row r="15" spans="1:14" ht="18" customHeight="1" x14ac:dyDescent="0.25">
      <c r="A15" s="241" t="str">
        <f t="shared" si="0"/>
        <v/>
      </c>
      <c r="B15" s="242"/>
      <c r="C15" s="243" t="str">
        <f>IF(B15="","",IFERROR(VLOOKUP(B15,DB_Customers!$A:$D,4,0),"❌ Account Not Found"))</f>
        <v/>
      </c>
      <c r="D15" s="244" t="str">
        <f t="shared" ca="1" si="1"/>
        <v/>
      </c>
      <c r="E15" s="245"/>
      <c r="F15" s="243"/>
      <c r="G15" s="246"/>
      <c r="H15" s="247">
        <v>2.5</v>
      </c>
      <c r="I15" s="248" t="str">
        <f t="shared" si="2"/>
        <v/>
      </c>
      <c r="J15" s="249" t="str">
        <f t="shared" si="3"/>
        <v/>
      </c>
      <c r="K15" s="250" t="str">
        <f>IF(B15="","Pending",IF(M15="","⚠️ Enter Code",IF(IFERROR(VLOOKUP(L15,DB_Agents!$B:$I,8,0),"")=M15,"Pending","🔒 BLOCKED — Wrong Code")))</f>
        <v>Pending</v>
      </c>
      <c r="L15" s="251" t="s">
        <v>138</v>
      </c>
      <c r="M15" s="252"/>
      <c r="N15" s="242"/>
    </row>
    <row r="16" spans="1:14" ht="18" customHeight="1" x14ac:dyDescent="0.25">
      <c r="A16" s="229" t="str">
        <f t="shared" si="0"/>
        <v/>
      </c>
      <c r="B16" s="230"/>
      <c r="C16" s="231" t="str">
        <f>IF(B16="","",IFERROR(VLOOKUP(B16,DB_Customers!$A:$D,4,0),"❌ Account Not Found"))</f>
        <v/>
      </c>
      <c r="D16" s="232" t="str">
        <f t="shared" ca="1" si="1"/>
        <v/>
      </c>
      <c r="E16" s="233"/>
      <c r="F16" s="231"/>
      <c r="G16" s="234"/>
      <c r="H16" s="235">
        <v>2.5</v>
      </c>
      <c r="I16" s="236" t="str">
        <f t="shared" si="2"/>
        <v/>
      </c>
      <c r="J16" s="237" t="str">
        <f t="shared" si="3"/>
        <v/>
      </c>
      <c r="K16" s="238" t="str">
        <f>IF(B16="","Pending",IF(M16="","⚠️ Enter Code",IF(IFERROR(VLOOKUP(L16,DB_Agents!$B:$I,8,0),"")=M16,"Pending","🔒 BLOCKED — Wrong Code")))</f>
        <v>Pending</v>
      </c>
      <c r="L16" s="239" t="s">
        <v>138</v>
      </c>
      <c r="M16" s="240"/>
      <c r="N16" s="230"/>
    </row>
    <row r="17" spans="1:14" ht="18" customHeight="1" x14ac:dyDescent="0.25">
      <c r="A17" s="241" t="str">
        <f t="shared" si="0"/>
        <v/>
      </c>
      <c r="B17" s="242"/>
      <c r="C17" s="243" t="str">
        <f>IF(B17="","",IFERROR(VLOOKUP(B17,DB_Customers!$A:$D,4,0),"❌ Account Not Found"))</f>
        <v/>
      </c>
      <c r="D17" s="244" t="str">
        <f t="shared" ca="1" si="1"/>
        <v/>
      </c>
      <c r="E17" s="245"/>
      <c r="F17" s="243"/>
      <c r="G17" s="246"/>
      <c r="H17" s="247">
        <v>2.5</v>
      </c>
      <c r="I17" s="248" t="str">
        <f t="shared" si="2"/>
        <v/>
      </c>
      <c r="J17" s="249" t="str">
        <f t="shared" si="3"/>
        <v/>
      </c>
      <c r="K17" s="250" t="str">
        <f>IF(B17="","Pending",IF(M17="","⚠️ Enter Code",IF(IFERROR(VLOOKUP(L17,DB_Agents!$B:$I,8,0),"")=M17,"Pending","🔒 BLOCKED — Wrong Code")))</f>
        <v>Pending</v>
      </c>
      <c r="L17" s="251" t="s">
        <v>138</v>
      </c>
      <c r="M17" s="252"/>
      <c r="N17" s="242"/>
    </row>
    <row r="18" spans="1:14" ht="18" customHeight="1" x14ac:dyDescent="0.25">
      <c r="A18" s="229" t="str">
        <f t="shared" si="0"/>
        <v/>
      </c>
      <c r="B18" s="230"/>
      <c r="C18" s="231" t="str">
        <f>IF(B18="","",IFERROR(VLOOKUP(B18,DB_Customers!$A:$D,4,0),"❌ Account Not Found"))</f>
        <v/>
      </c>
      <c r="D18" s="232" t="str">
        <f t="shared" ca="1" si="1"/>
        <v/>
      </c>
      <c r="E18" s="233"/>
      <c r="F18" s="231"/>
      <c r="G18" s="234"/>
      <c r="H18" s="235">
        <v>2.5</v>
      </c>
      <c r="I18" s="236" t="str">
        <f t="shared" si="2"/>
        <v/>
      </c>
      <c r="J18" s="237" t="str">
        <f t="shared" si="3"/>
        <v/>
      </c>
      <c r="K18" s="238" t="str">
        <f>IF(B18="","Pending",IF(M18="","⚠️ Enter Code",IF(IFERROR(VLOOKUP(L18,DB_Agents!$B:$I,8,0),"")=M18,"Pending","🔒 BLOCKED — Wrong Code")))</f>
        <v>Pending</v>
      </c>
      <c r="L18" s="239" t="s">
        <v>138</v>
      </c>
      <c r="M18" s="240"/>
      <c r="N18" s="230"/>
    </row>
    <row r="19" spans="1:14" ht="18" customHeight="1" x14ac:dyDescent="0.25">
      <c r="A19" s="241" t="str">
        <f t="shared" si="0"/>
        <v/>
      </c>
      <c r="B19" s="242"/>
      <c r="C19" s="243" t="str">
        <f>IF(B19="","",IFERROR(VLOOKUP(B19,DB_Customers!$A:$D,4,0),"❌ Account Not Found"))</f>
        <v/>
      </c>
      <c r="D19" s="244" t="str">
        <f t="shared" ca="1" si="1"/>
        <v/>
      </c>
      <c r="E19" s="245"/>
      <c r="F19" s="243"/>
      <c r="G19" s="246"/>
      <c r="H19" s="247">
        <v>2.5</v>
      </c>
      <c r="I19" s="248" t="str">
        <f t="shared" si="2"/>
        <v/>
      </c>
      <c r="J19" s="249" t="str">
        <f t="shared" si="3"/>
        <v/>
      </c>
      <c r="K19" s="250" t="str">
        <f>IF(B19="","Pending",IF(M19="","⚠️ Enter Code",IF(IFERROR(VLOOKUP(L19,DB_Agents!$B:$I,8,0),"")=M19,"Pending","🔒 BLOCKED — Wrong Code")))</f>
        <v>Pending</v>
      </c>
      <c r="L19" s="251" t="s">
        <v>138</v>
      </c>
      <c r="M19" s="252"/>
      <c r="N19" s="242"/>
    </row>
    <row r="20" spans="1:14" ht="18" customHeight="1" x14ac:dyDescent="0.25">
      <c r="A20" s="229" t="str">
        <f t="shared" si="0"/>
        <v/>
      </c>
      <c r="B20" s="230"/>
      <c r="C20" s="231" t="str">
        <f>IF(B20="","",IFERROR(VLOOKUP(B20,DB_Customers!$A:$D,4,0),"❌ Account Not Found"))</f>
        <v/>
      </c>
      <c r="D20" s="232" t="str">
        <f t="shared" ca="1" si="1"/>
        <v/>
      </c>
      <c r="E20" s="233"/>
      <c r="F20" s="231"/>
      <c r="G20" s="234"/>
      <c r="H20" s="235">
        <v>2.5</v>
      </c>
      <c r="I20" s="236" t="str">
        <f t="shared" si="2"/>
        <v/>
      </c>
      <c r="J20" s="237" t="str">
        <f t="shared" si="3"/>
        <v/>
      </c>
      <c r="K20" s="238" t="str">
        <f>IF(B20="","Pending",IF(M20="","⚠️ Enter Code",IF(IFERROR(VLOOKUP(L20,DB_Agents!$B:$I,8,0),"")=M20,"Pending","🔒 BLOCKED — Wrong Code")))</f>
        <v>Pending</v>
      </c>
      <c r="L20" s="239" t="s">
        <v>138</v>
      </c>
      <c r="M20" s="240"/>
      <c r="N20" s="230"/>
    </row>
    <row r="21" spans="1:14" ht="18" customHeight="1" x14ac:dyDescent="0.25">
      <c r="A21" s="241" t="str">
        <f t="shared" si="0"/>
        <v/>
      </c>
      <c r="B21" s="242"/>
      <c r="C21" s="243" t="str">
        <f>IF(B21="","",IFERROR(VLOOKUP(B21,DB_Customers!$A:$D,4,0),"❌ Account Not Found"))</f>
        <v/>
      </c>
      <c r="D21" s="244" t="str">
        <f t="shared" ca="1" si="1"/>
        <v/>
      </c>
      <c r="E21" s="245"/>
      <c r="F21" s="243"/>
      <c r="G21" s="246"/>
      <c r="H21" s="247">
        <v>2.5</v>
      </c>
      <c r="I21" s="248" t="str">
        <f t="shared" si="2"/>
        <v/>
      </c>
      <c r="J21" s="249" t="str">
        <f t="shared" si="3"/>
        <v/>
      </c>
      <c r="K21" s="250" t="str">
        <f>IF(B21="","Pending",IF(M21="","⚠️ Enter Code",IF(IFERROR(VLOOKUP(L21,DB_Agents!$B:$I,8,0),"")=M21,"Pending","🔒 BLOCKED — Wrong Code")))</f>
        <v>Pending</v>
      </c>
      <c r="L21" s="251" t="s">
        <v>138</v>
      </c>
      <c r="M21" s="252"/>
      <c r="N21" s="242"/>
    </row>
    <row r="22" spans="1:14" ht="18" customHeight="1" x14ac:dyDescent="0.25">
      <c r="A22" s="229" t="str">
        <f t="shared" si="0"/>
        <v/>
      </c>
      <c r="B22" s="230"/>
      <c r="C22" s="231" t="str">
        <f>IF(B22="","",IFERROR(VLOOKUP(B22,DB_Customers!$A:$D,4,0),"❌ Account Not Found"))</f>
        <v/>
      </c>
      <c r="D22" s="232" t="str">
        <f t="shared" ca="1" si="1"/>
        <v/>
      </c>
      <c r="E22" s="233"/>
      <c r="F22" s="231"/>
      <c r="G22" s="234"/>
      <c r="H22" s="235">
        <v>2.5</v>
      </c>
      <c r="I22" s="236" t="str">
        <f t="shared" si="2"/>
        <v/>
      </c>
      <c r="J22" s="237" t="str">
        <f t="shared" si="3"/>
        <v/>
      </c>
      <c r="K22" s="238" t="str">
        <f>IF(B22="","Pending",IF(M22="","⚠️ Enter Code",IF(IFERROR(VLOOKUP(L22,DB_Agents!$B:$I,8,0),"")=M22,"Pending","🔒 BLOCKED — Wrong Code")))</f>
        <v>Pending</v>
      </c>
      <c r="L22" s="239" t="s">
        <v>138</v>
      </c>
      <c r="M22" s="240"/>
      <c r="N22" s="230"/>
    </row>
    <row r="23" spans="1:14" ht="18" customHeight="1" x14ac:dyDescent="0.25">
      <c r="A23" s="241" t="str">
        <f t="shared" si="0"/>
        <v/>
      </c>
      <c r="B23" s="242"/>
      <c r="C23" s="243" t="str">
        <f>IF(B23="","",IFERROR(VLOOKUP(B23,DB_Customers!$A:$D,4,0),"❌ Account Not Found"))</f>
        <v/>
      </c>
      <c r="D23" s="244" t="str">
        <f t="shared" ca="1" si="1"/>
        <v/>
      </c>
      <c r="E23" s="245"/>
      <c r="F23" s="243"/>
      <c r="G23" s="246"/>
      <c r="H23" s="247">
        <v>2.5</v>
      </c>
      <c r="I23" s="248" t="str">
        <f t="shared" si="2"/>
        <v/>
      </c>
      <c r="J23" s="249" t="str">
        <f t="shared" si="3"/>
        <v/>
      </c>
      <c r="K23" s="250" t="str">
        <f>IF(B23="","Pending",IF(M23="","⚠️ Enter Code",IF(IFERROR(VLOOKUP(L23,DB_Agents!$B:$I,8,0),"")=M23,"Pending","🔒 BLOCKED — Wrong Code")))</f>
        <v>Pending</v>
      </c>
      <c r="L23" s="251" t="s">
        <v>138</v>
      </c>
      <c r="M23" s="252"/>
      <c r="N23" s="242"/>
    </row>
    <row r="24" spans="1:14" ht="18" customHeight="1" x14ac:dyDescent="0.25">
      <c r="A24" s="229" t="str">
        <f t="shared" si="0"/>
        <v/>
      </c>
      <c r="B24" s="230"/>
      <c r="C24" s="231" t="str">
        <f>IF(B24="","",IFERROR(VLOOKUP(B24,DB_Customers!$A:$D,4,0),"❌ Account Not Found"))</f>
        <v/>
      </c>
      <c r="D24" s="232" t="str">
        <f t="shared" ca="1" si="1"/>
        <v/>
      </c>
      <c r="E24" s="233"/>
      <c r="F24" s="231"/>
      <c r="G24" s="234"/>
      <c r="H24" s="235">
        <v>2.5</v>
      </c>
      <c r="I24" s="236" t="str">
        <f t="shared" si="2"/>
        <v/>
      </c>
      <c r="J24" s="237" t="str">
        <f t="shared" si="3"/>
        <v/>
      </c>
      <c r="K24" s="238" t="str">
        <f>IF(B24="","Pending",IF(M24="","⚠️ Enter Code",IF(IFERROR(VLOOKUP(L24,DB_Agents!$B:$I,8,0),"")=M24,"Pending","🔒 BLOCKED — Wrong Code")))</f>
        <v>Pending</v>
      </c>
      <c r="L24" s="239" t="s">
        <v>138</v>
      </c>
      <c r="M24" s="240"/>
      <c r="N24" s="230"/>
    </row>
    <row r="25" spans="1:14" ht="18" customHeight="1" x14ac:dyDescent="0.25">
      <c r="A25" s="241" t="str">
        <f t="shared" si="0"/>
        <v/>
      </c>
      <c r="B25" s="242"/>
      <c r="C25" s="243" t="str">
        <f>IF(B25="","",IFERROR(VLOOKUP(B25,DB_Customers!$A:$D,4,0),"❌ Account Not Found"))</f>
        <v/>
      </c>
      <c r="D25" s="244" t="str">
        <f t="shared" ca="1" si="1"/>
        <v/>
      </c>
      <c r="E25" s="245"/>
      <c r="F25" s="243"/>
      <c r="G25" s="246"/>
      <c r="H25" s="247">
        <v>2.5</v>
      </c>
      <c r="I25" s="248" t="str">
        <f t="shared" si="2"/>
        <v/>
      </c>
      <c r="J25" s="249" t="str">
        <f t="shared" si="3"/>
        <v/>
      </c>
      <c r="K25" s="250" t="str">
        <f>IF(B25="","Pending",IF(M25="","⚠️ Enter Code",IF(IFERROR(VLOOKUP(L25,DB_Agents!$B:$I,8,0),"")=M25,"Pending","🔒 BLOCKED — Wrong Code")))</f>
        <v>Pending</v>
      </c>
      <c r="L25" s="251" t="s">
        <v>138</v>
      </c>
      <c r="M25" s="252"/>
      <c r="N25" s="242"/>
    </row>
    <row r="26" spans="1:14" ht="18" customHeight="1" x14ac:dyDescent="0.25">
      <c r="A26" s="229" t="str">
        <f t="shared" si="0"/>
        <v/>
      </c>
      <c r="B26" s="230"/>
      <c r="C26" s="231" t="str">
        <f>IF(B26="","",IFERROR(VLOOKUP(B26,DB_Customers!$A:$D,4,0),"❌ Account Not Found"))</f>
        <v/>
      </c>
      <c r="D26" s="232" t="str">
        <f t="shared" ca="1" si="1"/>
        <v/>
      </c>
      <c r="E26" s="233"/>
      <c r="F26" s="231"/>
      <c r="G26" s="234"/>
      <c r="H26" s="235">
        <v>2.5</v>
      </c>
      <c r="I26" s="236" t="str">
        <f t="shared" si="2"/>
        <v/>
      </c>
      <c r="J26" s="237" t="str">
        <f t="shared" si="3"/>
        <v/>
      </c>
      <c r="K26" s="238" t="str">
        <f>IF(B26="","Pending",IF(M26="","⚠️ Enter Code",IF(IFERROR(VLOOKUP(L26,DB_Agents!$B:$I,8,0),"")=M26,"Pending","🔒 BLOCKED — Wrong Code")))</f>
        <v>Pending</v>
      </c>
      <c r="L26" s="239" t="s">
        <v>138</v>
      </c>
      <c r="M26" s="240"/>
      <c r="N26" s="230"/>
    </row>
    <row r="27" spans="1:14" ht="18" customHeight="1" x14ac:dyDescent="0.25">
      <c r="A27" s="241" t="str">
        <f t="shared" si="0"/>
        <v/>
      </c>
      <c r="B27" s="242"/>
      <c r="C27" s="243" t="str">
        <f>IF(B27="","",IFERROR(VLOOKUP(B27,DB_Customers!$A:$D,4,0),"❌ Account Not Found"))</f>
        <v/>
      </c>
      <c r="D27" s="244" t="str">
        <f t="shared" ca="1" si="1"/>
        <v/>
      </c>
      <c r="E27" s="245"/>
      <c r="F27" s="243"/>
      <c r="G27" s="246"/>
      <c r="H27" s="247">
        <v>2.5</v>
      </c>
      <c r="I27" s="248" t="str">
        <f t="shared" si="2"/>
        <v/>
      </c>
      <c r="J27" s="249" t="str">
        <f t="shared" si="3"/>
        <v/>
      </c>
      <c r="K27" s="250" t="str">
        <f>IF(B27="","Pending",IF(M27="","⚠️ Enter Code",IF(IFERROR(VLOOKUP(L27,DB_Agents!$B:$I,8,0),"")=M27,"Pending","🔒 BLOCKED — Wrong Code")))</f>
        <v>Pending</v>
      </c>
      <c r="L27" s="251" t="s">
        <v>138</v>
      </c>
      <c r="M27" s="252"/>
      <c r="N27" s="242"/>
    </row>
    <row r="28" spans="1:14" ht="18" customHeight="1" x14ac:dyDescent="0.25">
      <c r="A28" s="229" t="str">
        <f t="shared" si="0"/>
        <v/>
      </c>
      <c r="B28" s="230"/>
      <c r="C28" s="231" t="str">
        <f>IF(B28="","",IFERROR(VLOOKUP(B28,DB_Customers!$A:$D,4,0),"❌ Account Not Found"))</f>
        <v/>
      </c>
      <c r="D28" s="232" t="str">
        <f t="shared" ca="1" si="1"/>
        <v/>
      </c>
      <c r="E28" s="233"/>
      <c r="F28" s="231"/>
      <c r="G28" s="234"/>
      <c r="H28" s="235">
        <v>2.5</v>
      </c>
      <c r="I28" s="236" t="str">
        <f t="shared" si="2"/>
        <v/>
      </c>
      <c r="J28" s="237" t="str">
        <f t="shared" si="3"/>
        <v/>
      </c>
      <c r="K28" s="238" t="str">
        <f>IF(B28="","Pending",IF(M28="","⚠️ Enter Code",IF(IFERROR(VLOOKUP(L28,DB_Agents!$B:$I,8,0),"")=M28,"Pending","🔒 BLOCKED — Wrong Code")))</f>
        <v>Pending</v>
      </c>
      <c r="L28" s="239" t="s">
        <v>138</v>
      </c>
      <c r="M28" s="240"/>
      <c r="N28" s="230"/>
    </row>
    <row r="29" spans="1:14" ht="18" customHeight="1" x14ac:dyDescent="0.25">
      <c r="A29" s="241" t="str">
        <f t="shared" si="0"/>
        <v/>
      </c>
      <c r="B29" s="242"/>
      <c r="C29" s="243" t="str">
        <f>IF(B29="","",IFERROR(VLOOKUP(B29,DB_Customers!$A:$D,4,0),"❌ Account Not Found"))</f>
        <v/>
      </c>
      <c r="D29" s="244" t="str">
        <f t="shared" ca="1" si="1"/>
        <v/>
      </c>
      <c r="E29" s="245"/>
      <c r="F29" s="243"/>
      <c r="G29" s="246"/>
      <c r="H29" s="247">
        <v>2.5</v>
      </c>
      <c r="I29" s="248" t="str">
        <f t="shared" si="2"/>
        <v/>
      </c>
      <c r="J29" s="249" t="str">
        <f t="shared" si="3"/>
        <v/>
      </c>
      <c r="K29" s="250" t="str">
        <f>IF(B29="","Pending",IF(M29="","⚠️ Enter Code",IF(IFERROR(VLOOKUP(L29,DB_Agents!$B:$I,8,0),"")=M29,"Pending","🔒 BLOCKED — Wrong Code")))</f>
        <v>Pending</v>
      </c>
      <c r="L29" s="251" t="s">
        <v>138</v>
      </c>
      <c r="M29" s="252"/>
      <c r="N29" s="242"/>
    </row>
    <row r="30" spans="1:14" ht="18" customHeight="1" x14ac:dyDescent="0.25">
      <c r="A30" s="229" t="str">
        <f t="shared" si="0"/>
        <v/>
      </c>
      <c r="B30" s="230"/>
      <c r="C30" s="231" t="str">
        <f>IF(B30="","",IFERROR(VLOOKUP(B30,DB_Customers!$A:$D,4,0),"❌ Account Not Found"))</f>
        <v/>
      </c>
      <c r="D30" s="232" t="str">
        <f t="shared" ca="1" si="1"/>
        <v/>
      </c>
      <c r="E30" s="233"/>
      <c r="F30" s="231"/>
      <c r="G30" s="234"/>
      <c r="H30" s="235">
        <v>2.5</v>
      </c>
      <c r="I30" s="236" t="str">
        <f t="shared" si="2"/>
        <v/>
      </c>
      <c r="J30" s="237" t="str">
        <f t="shared" si="3"/>
        <v/>
      </c>
      <c r="K30" s="238" t="str">
        <f>IF(B30="","Pending",IF(M30="","⚠️ Enter Code",IF(IFERROR(VLOOKUP(L30,DB_Agents!$B:$I,8,0),"")=M30,"Pending","🔒 BLOCKED — Wrong Code")))</f>
        <v>Pending</v>
      </c>
      <c r="L30" s="239" t="s">
        <v>138</v>
      </c>
      <c r="M30" s="240"/>
      <c r="N30" s="230"/>
    </row>
    <row r="31" spans="1:14" ht="18" customHeight="1" x14ac:dyDescent="0.25">
      <c r="A31" s="241" t="str">
        <f t="shared" si="0"/>
        <v/>
      </c>
      <c r="B31" s="242"/>
      <c r="C31" s="243" t="str">
        <f>IF(B31="","",IFERROR(VLOOKUP(B31,DB_Customers!$A:$D,4,0),"❌ Account Not Found"))</f>
        <v/>
      </c>
      <c r="D31" s="244" t="str">
        <f t="shared" ca="1" si="1"/>
        <v/>
      </c>
      <c r="E31" s="245"/>
      <c r="F31" s="243"/>
      <c r="G31" s="246"/>
      <c r="H31" s="247">
        <v>2.5</v>
      </c>
      <c r="I31" s="248" t="str">
        <f t="shared" si="2"/>
        <v/>
      </c>
      <c r="J31" s="249" t="str">
        <f t="shared" si="3"/>
        <v/>
      </c>
      <c r="K31" s="250" t="str">
        <f>IF(B31="","Pending",IF(M31="","⚠️ Enter Code",IF(IFERROR(VLOOKUP(L31,DB_Agents!$B:$I,8,0),"")=M31,"Pending","🔒 BLOCKED — Wrong Code")))</f>
        <v>Pending</v>
      </c>
      <c r="L31" s="251" t="s">
        <v>138</v>
      </c>
      <c r="M31" s="252"/>
      <c r="N31" s="242"/>
    </row>
    <row r="32" spans="1:14" ht="18" customHeight="1" x14ac:dyDescent="0.25">
      <c r="A32" s="229" t="str">
        <f t="shared" si="0"/>
        <v/>
      </c>
      <c r="B32" s="230"/>
      <c r="C32" s="231" t="str">
        <f>IF(B32="","",IFERROR(VLOOKUP(B32,DB_Customers!$A:$D,4,0),"❌ Account Not Found"))</f>
        <v/>
      </c>
      <c r="D32" s="232" t="str">
        <f t="shared" ca="1" si="1"/>
        <v/>
      </c>
      <c r="E32" s="233"/>
      <c r="F32" s="231"/>
      <c r="G32" s="234"/>
      <c r="H32" s="235">
        <v>2.5</v>
      </c>
      <c r="I32" s="236" t="str">
        <f t="shared" si="2"/>
        <v/>
      </c>
      <c r="J32" s="237" t="str">
        <f t="shared" si="3"/>
        <v/>
      </c>
      <c r="K32" s="238" t="str">
        <f>IF(B32="","Pending",IF(M32="","⚠️ Enter Code",IF(IFERROR(VLOOKUP(L32,DB_Agents!$B:$I,8,0),"")=M32,"Pending","🔒 BLOCKED — Wrong Code")))</f>
        <v>Pending</v>
      </c>
      <c r="L32" s="239" t="s">
        <v>138</v>
      </c>
      <c r="M32" s="240"/>
      <c r="N32" s="230"/>
    </row>
    <row r="33" spans="1:14" ht="18" customHeight="1" x14ac:dyDescent="0.25">
      <c r="A33" s="241" t="str">
        <f t="shared" si="0"/>
        <v/>
      </c>
      <c r="B33" s="242"/>
      <c r="C33" s="243" t="str">
        <f>IF(B33="","",IFERROR(VLOOKUP(B33,DB_Customers!$A:$D,4,0),"❌ Account Not Found"))</f>
        <v/>
      </c>
      <c r="D33" s="244" t="str">
        <f t="shared" ca="1" si="1"/>
        <v/>
      </c>
      <c r="E33" s="245"/>
      <c r="F33" s="243"/>
      <c r="G33" s="246"/>
      <c r="H33" s="247">
        <v>2.5</v>
      </c>
      <c r="I33" s="248" t="str">
        <f t="shared" si="2"/>
        <v/>
      </c>
      <c r="J33" s="249" t="str">
        <f t="shared" si="3"/>
        <v/>
      </c>
      <c r="K33" s="250" t="str">
        <f>IF(B33="","Pending",IF(M33="","⚠️ Enter Code",IF(IFERROR(VLOOKUP(L33,DB_Agents!$B:$I,8,0),"")=M33,"Pending","🔒 BLOCKED — Wrong Code")))</f>
        <v>Pending</v>
      </c>
      <c r="L33" s="251" t="s">
        <v>138</v>
      </c>
      <c r="M33" s="252"/>
      <c r="N33" s="242"/>
    </row>
    <row r="34" spans="1:14" ht="18" customHeight="1" x14ac:dyDescent="0.25">
      <c r="A34" s="229" t="str">
        <f t="shared" si="0"/>
        <v/>
      </c>
      <c r="B34" s="230"/>
      <c r="C34" s="231" t="str">
        <f>IF(B34="","",IFERROR(VLOOKUP(B34,DB_Customers!$A:$D,4,0),"❌ Account Not Found"))</f>
        <v/>
      </c>
      <c r="D34" s="232" t="str">
        <f t="shared" ca="1" si="1"/>
        <v/>
      </c>
      <c r="E34" s="233"/>
      <c r="F34" s="231"/>
      <c r="G34" s="234"/>
      <c r="H34" s="235">
        <v>2.5</v>
      </c>
      <c r="I34" s="236" t="str">
        <f t="shared" si="2"/>
        <v/>
      </c>
      <c r="J34" s="237" t="str">
        <f t="shared" si="3"/>
        <v/>
      </c>
      <c r="K34" s="238" t="str">
        <f>IF(B34="","Pending",IF(M34="","⚠️ Enter Code",IF(IFERROR(VLOOKUP(L34,DB_Agents!$B:$I,8,0),"")=M34,"Pending","🔒 BLOCKED — Wrong Code")))</f>
        <v>Pending</v>
      </c>
      <c r="L34" s="239" t="s">
        <v>138</v>
      </c>
      <c r="M34" s="240"/>
      <c r="N34" s="230"/>
    </row>
    <row r="35" spans="1:14" ht="18" customHeight="1" x14ac:dyDescent="0.25">
      <c r="A35" s="241" t="str">
        <f t="shared" si="0"/>
        <v/>
      </c>
      <c r="B35" s="242"/>
      <c r="C35" s="243" t="str">
        <f>IF(B35="","",IFERROR(VLOOKUP(B35,DB_Customers!$A:$D,4,0),"❌ Account Not Found"))</f>
        <v/>
      </c>
      <c r="D35" s="244" t="str">
        <f t="shared" ca="1" si="1"/>
        <v/>
      </c>
      <c r="E35" s="245"/>
      <c r="F35" s="243"/>
      <c r="G35" s="246"/>
      <c r="H35" s="247">
        <v>2.5</v>
      </c>
      <c r="I35" s="248" t="str">
        <f t="shared" si="2"/>
        <v/>
      </c>
      <c r="J35" s="249" t="str">
        <f t="shared" si="3"/>
        <v/>
      </c>
      <c r="K35" s="250" t="str">
        <f>IF(B35="","Pending",IF(M35="","⚠️ Enter Code",IF(IFERROR(VLOOKUP(L35,DB_Agents!$B:$I,8,0),"")=M35,"Pending","🔒 BLOCKED — Wrong Code")))</f>
        <v>Pending</v>
      </c>
      <c r="L35" s="251" t="s">
        <v>138</v>
      </c>
      <c r="M35" s="252"/>
      <c r="N35" s="242"/>
    </row>
    <row r="36" spans="1:14" ht="18" customHeight="1" x14ac:dyDescent="0.25">
      <c r="A36" s="229" t="str">
        <f t="shared" si="0"/>
        <v/>
      </c>
      <c r="B36" s="230"/>
      <c r="C36" s="231" t="str">
        <f>IF(B36="","",IFERROR(VLOOKUP(B36,DB_Customers!$A:$D,4,0),"❌ Account Not Found"))</f>
        <v/>
      </c>
      <c r="D36" s="232" t="str">
        <f t="shared" ca="1" si="1"/>
        <v/>
      </c>
      <c r="E36" s="233"/>
      <c r="F36" s="231"/>
      <c r="G36" s="234"/>
      <c r="H36" s="235">
        <v>2.5</v>
      </c>
      <c r="I36" s="236" t="str">
        <f t="shared" si="2"/>
        <v/>
      </c>
      <c r="J36" s="237" t="str">
        <f t="shared" si="3"/>
        <v/>
      </c>
      <c r="K36" s="238" t="str">
        <f>IF(B36="","Pending",IF(M36="","⚠️ Enter Code",IF(IFERROR(VLOOKUP(L36,DB_Agents!$B:$I,8,0),"")=M36,"Pending","🔒 BLOCKED — Wrong Code")))</f>
        <v>Pending</v>
      </c>
      <c r="L36" s="239" t="s">
        <v>138</v>
      </c>
      <c r="M36" s="240"/>
      <c r="N36" s="230"/>
    </row>
    <row r="37" spans="1:14" ht="18" customHeight="1" x14ac:dyDescent="0.25">
      <c r="A37" s="241" t="str">
        <f t="shared" si="0"/>
        <v/>
      </c>
      <c r="B37" s="242"/>
      <c r="C37" s="243" t="str">
        <f>IF(B37="","",IFERROR(VLOOKUP(B37,DB_Customers!$A:$D,4,0),"❌ Account Not Found"))</f>
        <v/>
      </c>
      <c r="D37" s="244" t="str">
        <f t="shared" ca="1" si="1"/>
        <v/>
      </c>
      <c r="E37" s="245"/>
      <c r="F37" s="243"/>
      <c r="G37" s="246"/>
      <c r="H37" s="247">
        <v>2.5</v>
      </c>
      <c r="I37" s="248" t="str">
        <f t="shared" si="2"/>
        <v/>
      </c>
      <c r="J37" s="249" t="str">
        <f t="shared" si="3"/>
        <v/>
      </c>
      <c r="K37" s="250" t="str">
        <f>IF(B37="","Pending",IF(M37="","⚠️ Enter Code",IF(IFERROR(VLOOKUP(L37,DB_Agents!$B:$I,8,0),"")=M37,"Pending","🔒 BLOCKED — Wrong Code")))</f>
        <v>Pending</v>
      </c>
      <c r="L37" s="251" t="s">
        <v>138</v>
      </c>
      <c r="M37" s="252"/>
      <c r="N37" s="242"/>
    </row>
    <row r="38" spans="1:14" ht="18" customHeight="1" x14ac:dyDescent="0.25">
      <c r="A38" s="229" t="str">
        <f t="shared" si="0"/>
        <v/>
      </c>
      <c r="B38" s="230"/>
      <c r="C38" s="231" t="str">
        <f>IF(B38="","",IFERROR(VLOOKUP(B38,DB_Customers!$A:$D,4,0),"❌ Account Not Found"))</f>
        <v/>
      </c>
      <c r="D38" s="232" t="str">
        <f t="shared" ca="1" si="1"/>
        <v/>
      </c>
      <c r="E38" s="233"/>
      <c r="F38" s="231"/>
      <c r="G38" s="234"/>
      <c r="H38" s="235">
        <v>2.5</v>
      </c>
      <c r="I38" s="236" t="str">
        <f t="shared" si="2"/>
        <v/>
      </c>
      <c r="J38" s="237" t="str">
        <f t="shared" si="3"/>
        <v/>
      </c>
      <c r="K38" s="238" t="str">
        <f>IF(B38="","Pending",IF(M38="","⚠️ Enter Code",IF(IFERROR(VLOOKUP(L38,DB_Agents!$B:$I,8,0),"")=M38,"Pending","🔒 BLOCKED — Wrong Code")))</f>
        <v>Pending</v>
      </c>
      <c r="L38" s="239" t="s">
        <v>138</v>
      </c>
      <c r="M38" s="240"/>
      <c r="N38" s="230"/>
    </row>
    <row r="39" spans="1:14" ht="18" customHeight="1" x14ac:dyDescent="0.25">
      <c r="A39" s="241" t="str">
        <f t="shared" si="0"/>
        <v/>
      </c>
      <c r="B39" s="242"/>
      <c r="C39" s="243" t="str">
        <f>IF(B39="","",IFERROR(VLOOKUP(B39,DB_Customers!$A:$D,4,0),"❌ Account Not Found"))</f>
        <v/>
      </c>
      <c r="D39" s="244" t="str">
        <f t="shared" ca="1" si="1"/>
        <v/>
      </c>
      <c r="E39" s="245"/>
      <c r="F39" s="243"/>
      <c r="G39" s="246"/>
      <c r="H39" s="247">
        <v>2.5</v>
      </c>
      <c r="I39" s="248" t="str">
        <f t="shared" si="2"/>
        <v/>
      </c>
      <c r="J39" s="249" t="str">
        <f t="shared" si="3"/>
        <v/>
      </c>
      <c r="K39" s="250" t="str">
        <f>IF(B39="","Pending",IF(M39="","⚠️ Enter Code",IF(IFERROR(VLOOKUP(L39,DB_Agents!$B:$I,8,0),"")=M39,"Pending","🔒 BLOCKED — Wrong Code")))</f>
        <v>Pending</v>
      </c>
      <c r="L39" s="251" t="s">
        <v>138</v>
      </c>
      <c r="M39" s="252"/>
      <c r="N39" s="242"/>
    </row>
    <row r="40" spans="1:14" ht="18" customHeight="1" x14ac:dyDescent="0.25">
      <c r="A40" s="229" t="str">
        <f t="shared" si="0"/>
        <v/>
      </c>
      <c r="B40" s="230"/>
      <c r="C40" s="231" t="str">
        <f>IF(B40="","",IFERROR(VLOOKUP(B40,DB_Customers!$A:$D,4,0),"❌ Account Not Found"))</f>
        <v/>
      </c>
      <c r="D40" s="232" t="str">
        <f t="shared" ca="1" si="1"/>
        <v/>
      </c>
      <c r="E40" s="233"/>
      <c r="F40" s="231"/>
      <c r="G40" s="234"/>
      <c r="H40" s="235">
        <v>2.5</v>
      </c>
      <c r="I40" s="236" t="str">
        <f t="shared" si="2"/>
        <v/>
      </c>
      <c r="J40" s="237" t="str">
        <f t="shared" si="3"/>
        <v/>
      </c>
      <c r="K40" s="238" t="str">
        <f>IF(B40="","Pending",IF(M40="","⚠️ Enter Code",IF(IFERROR(VLOOKUP(L40,DB_Agents!$B:$I,8,0),"")=M40,"Pending","🔒 BLOCKED — Wrong Code")))</f>
        <v>Pending</v>
      </c>
      <c r="L40" s="239" t="s">
        <v>138</v>
      </c>
      <c r="M40" s="240"/>
      <c r="N40" s="230"/>
    </row>
    <row r="41" spans="1:14" ht="18" customHeight="1" x14ac:dyDescent="0.25">
      <c r="A41" s="241" t="str">
        <f t="shared" si="0"/>
        <v/>
      </c>
      <c r="B41" s="242"/>
      <c r="C41" s="243" t="str">
        <f>IF(B41="","",IFERROR(VLOOKUP(B41,DB_Customers!$A:$D,4,0),"❌ Account Not Found"))</f>
        <v/>
      </c>
      <c r="D41" s="244" t="str">
        <f t="shared" ca="1" si="1"/>
        <v/>
      </c>
      <c r="E41" s="245"/>
      <c r="F41" s="243"/>
      <c r="G41" s="246"/>
      <c r="H41" s="247">
        <v>2.5</v>
      </c>
      <c r="I41" s="248" t="str">
        <f t="shared" si="2"/>
        <v/>
      </c>
      <c r="J41" s="249" t="str">
        <f t="shared" si="3"/>
        <v/>
      </c>
      <c r="K41" s="250" t="str">
        <f>IF(B41="","Pending",IF(M41="","⚠️ Enter Code",IF(IFERROR(VLOOKUP(L41,DB_Agents!$B:$I,8,0),"")=M41,"Pending","🔒 BLOCKED — Wrong Code")))</f>
        <v>Pending</v>
      </c>
      <c r="L41" s="251" t="s">
        <v>138</v>
      </c>
      <c r="M41" s="252"/>
      <c r="N41" s="242"/>
    </row>
    <row r="42" spans="1:14" ht="18" customHeight="1" x14ac:dyDescent="0.25">
      <c r="A42" s="229" t="str">
        <f t="shared" si="0"/>
        <v/>
      </c>
      <c r="B42" s="230"/>
      <c r="C42" s="231" t="str">
        <f>IF(B42="","",IFERROR(VLOOKUP(B42,DB_Customers!$A:$D,4,0),"❌ Account Not Found"))</f>
        <v/>
      </c>
      <c r="D42" s="232" t="str">
        <f t="shared" ca="1" si="1"/>
        <v/>
      </c>
      <c r="E42" s="233"/>
      <c r="F42" s="231"/>
      <c r="G42" s="234"/>
      <c r="H42" s="235">
        <v>2.5</v>
      </c>
      <c r="I42" s="236" t="str">
        <f t="shared" si="2"/>
        <v/>
      </c>
      <c r="J42" s="237" t="str">
        <f t="shared" si="3"/>
        <v/>
      </c>
      <c r="K42" s="238" t="str">
        <f>IF(B42="","Pending",IF(M42="","⚠️ Enter Code",IF(IFERROR(VLOOKUP(L42,DB_Agents!$B:$I,8,0),"")=M42,"Pending","🔒 BLOCKED — Wrong Code")))</f>
        <v>Pending</v>
      </c>
      <c r="L42" s="239" t="s">
        <v>138</v>
      </c>
      <c r="M42" s="240"/>
      <c r="N42" s="230"/>
    </row>
    <row r="43" spans="1:14" ht="18" customHeight="1" x14ac:dyDescent="0.25">
      <c r="A43" s="241" t="str">
        <f t="shared" si="0"/>
        <v/>
      </c>
      <c r="B43" s="242"/>
      <c r="C43" s="243" t="str">
        <f>IF(B43="","",IFERROR(VLOOKUP(B43,DB_Customers!$A:$D,4,0),"❌ Account Not Found"))</f>
        <v/>
      </c>
      <c r="D43" s="244" t="str">
        <f t="shared" ca="1" si="1"/>
        <v/>
      </c>
      <c r="E43" s="245"/>
      <c r="F43" s="243"/>
      <c r="G43" s="246"/>
      <c r="H43" s="247">
        <v>2.5</v>
      </c>
      <c r="I43" s="248" t="str">
        <f t="shared" si="2"/>
        <v/>
      </c>
      <c r="J43" s="249" t="str">
        <f t="shared" si="3"/>
        <v/>
      </c>
      <c r="K43" s="250" t="str">
        <f>IF(B43="","Pending",IF(M43="","⚠️ Enter Code",IF(IFERROR(VLOOKUP(L43,DB_Agents!$B:$I,8,0),"")=M43,"Pending","🔒 BLOCKED — Wrong Code")))</f>
        <v>Pending</v>
      </c>
      <c r="L43" s="251" t="s">
        <v>138</v>
      </c>
      <c r="M43" s="252"/>
      <c r="N43" s="242"/>
    </row>
    <row r="44" spans="1:14" ht="18" customHeight="1" x14ac:dyDescent="0.25">
      <c r="A44" s="229" t="str">
        <f t="shared" si="0"/>
        <v/>
      </c>
      <c r="B44" s="230"/>
      <c r="C44" s="231" t="str">
        <f>IF(B44="","",IFERROR(VLOOKUP(B44,DB_Customers!$A:$D,4,0),"❌ Account Not Found"))</f>
        <v/>
      </c>
      <c r="D44" s="232" t="str">
        <f t="shared" ca="1" si="1"/>
        <v/>
      </c>
      <c r="E44" s="233"/>
      <c r="F44" s="231"/>
      <c r="G44" s="234"/>
      <c r="H44" s="235">
        <v>2.5</v>
      </c>
      <c r="I44" s="236" t="str">
        <f t="shared" si="2"/>
        <v/>
      </c>
      <c r="J44" s="237" t="str">
        <f t="shared" si="3"/>
        <v/>
      </c>
      <c r="K44" s="238" t="str">
        <f>IF(B44="","Pending",IF(M44="","⚠️ Enter Code",IF(IFERROR(VLOOKUP(L44,DB_Agents!$B:$I,8,0),"")=M44,"Pending","🔒 BLOCKED — Wrong Code")))</f>
        <v>Pending</v>
      </c>
      <c r="L44" s="239" t="s">
        <v>138</v>
      </c>
      <c r="M44" s="240"/>
      <c r="N44" s="230"/>
    </row>
    <row r="45" spans="1:14" ht="18" customHeight="1" x14ac:dyDescent="0.25">
      <c r="A45" s="241" t="str">
        <f t="shared" si="0"/>
        <v/>
      </c>
      <c r="B45" s="242"/>
      <c r="C45" s="243" t="str">
        <f>IF(B45="","",IFERROR(VLOOKUP(B45,DB_Customers!$A:$D,4,0),"❌ Account Not Found"))</f>
        <v/>
      </c>
      <c r="D45" s="244" t="str">
        <f t="shared" ca="1" si="1"/>
        <v/>
      </c>
      <c r="E45" s="245"/>
      <c r="F45" s="243"/>
      <c r="G45" s="246"/>
      <c r="H45" s="247">
        <v>2.5</v>
      </c>
      <c r="I45" s="248" t="str">
        <f t="shared" si="2"/>
        <v/>
      </c>
      <c r="J45" s="249" t="str">
        <f t="shared" si="3"/>
        <v/>
      </c>
      <c r="K45" s="250" t="str">
        <f>IF(B45="","Pending",IF(M45="","⚠️ Enter Code",IF(IFERROR(VLOOKUP(L45,DB_Agents!$B:$I,8,0),"")=M45,"Pending","🔒 BLOCKED — Wrong Code")))</f>
        <v>Pending</v>
      </c>
      <c r="L45" s="251" t="s">
        <v>138</v>
      </c>
      <c r="M45" s="252"/>
      <c r="N45" s="242"/>
    </row>
    <row r="46" spans="1:14" ht="18" customHeight="1" x14ac:dyDescent="0.25">
      <c r="A46" s="229" t="str">
        <f t="shared" ref="A46:A77" si="4">IF(B46="","",IF(C46="❌ Account Not Found","INVALID","LN"&amp;TEXT(D46,"YYYYMMDD")&amp;TEXT(ROW()-13,"0000")))</f>
        <v/>
      </c>
      <c r="B46" s="230"/>
      <c r="C46" s="231" t="str">
        <f>IF(B46="","",IFERROR(VLOOKUP(B46,DB_Customers!$A:$D,4,0),"❌ Account Not Found"))</f>
        <v/>
      </c>
      <c r="D46" s="232" t="str">
        <f t="shared" ref="D46:D77" ca="1" si="5">IF(B46="","",TODAY())</f>
        <v/>
      </c>
      <c r="E46" s="233"/>
      <c r="F46" s="231"/>
      <c r="G46" s="234"/>
      <c r="H46" s="235">
        <v>2.5</v>
      </c>
      <c r="I46" s="236" t="str">
        <f t="shared" ref="I46:I77" si="6">IF(E46="","",E46+(E46*H46/100*G46))</f>
        <v/>
      </c>
      <c r="J46" s="237" t="str">
        <f t="shared" ref="J46:J77" si="7">IFERROR(I46/G46,"")</f>
        <v/>
      </c>
      <c r="K46" s="238" t="str">
        <f>IF(B46="","Pending",IF(M46="","⚠️ Enter Code",IF(IFERROR(VLOOKUP(L46,DB_Agents!$B:$I,8,0),"")=M46,"Pending","🔒 BLOCKED — Wrong Code")))</f>
        <v>Pending</v>
      </c>
      <c r="L46" s="239" t="s">
        <v>138</v>
      </c>
      <c r="M46" s="240"/>
      <c r="N46" s="230"/>
    </row>
    <row r="47" spans="1:14" ht="18" customHeight="1" x14ac:dyDescent="0.25">
      <c r="A47" s="241" t="str">
        <f t="shared" si="4"/>
        <v/>
      </c>
      <c r="B47" s="242"/>
      <c r="C47" s="243" t="str">
        <f>IF(B47="","",IFERROR(VLOOKUP(B47,DB_Customers!$A:$D,4,0),"❌ Account Not Found"))</f>
        <v/>
      </c>
      <c r="D47" s="244" t="str">
        <f t="shared" ca="1" si="5"/>
        <v/>
      </c>
      <c r="E47" s="245"/>
      <c r="F47" s="243"/>
      <c r="G47" s="246"/>
      <c r="H47" s="247">
        <v>2.5</v>
      </c>
      <c r="I47" s="248" t="str">
        <f t="shared" si="6"/>
        <v/>
      </c>
      <c r="J47" s="249" t="str">
        <f t="shared" si="7"/>
        <v/>
      </c>
      <c r="K47" s="250" t="str">
        <f>IF(B47="","Pending",IF(M47="","⚠️ Enter Code",IF(IFERROR(VLOOKUP(L47,DB_Agents!$B:$I,8,0),"")=M47,"Pending","🔒 BLOCKED — Wrong Code")))</f>
        <v>Pending</v>
      </c>
      <c r="L47" s="251" t="s">
        <v>138</v>
      </c>
      <c r="M47" s="252"/>
      <c r="N47" s="242"/>
    </row>
    <row r="48" spans="1:14" ht="18" customHeight="1" x14ac:dyDescent="0.25">
      <c r="A48" s="229" t="str">
        <f t="shared" si="4"/>
        <v/>
      </c>
      <c r="B48" s="230"/>
      <c r="C48" s="231" t="str">
        <f>IF(B48="","",IFERROR(VLOOKUP(B48,DB_Customers!$A:$D,4,0),"❌ Account Not Found"))</f>
        <v/>
      </c>
      <c r="D48" s="232" t="str">
        <f t="shared" ca="1" si="5"/>
        <v/>
      </c>
      <c r="E48" s="233"/>
      <c r="F48" s="231"/>
      <c r="G48" s="234"/>
      <c r="H48" s="235">
        <v>2.5</v>
      </c>
      <c r="I48" s="236" t="str">
        <f t="shared" si="6"/>
        <v/>
      </c>
      <c r="J48" s="237" t="str">
        <f t="shared" si="7"/>
        <v/>
      </c>
      <c r="K48" s="238" t="str">
        <f>IF(B48="","Pending",IF(M48="","⚠️ Enter Code",IF(IFERROR(VLOOKUP(L48,DB_Agents!$B:$I,8,0),"")=M48,"Pending","🔒 BLOCKED — Wrong Code")))</f>
        <v>Pending</v>
      </c>
      <c r="L48" s="239" t="s">
        <v>138</v>
      </c>
      <c r="M48" s="240"/>
      <c r="N48" s="230"/>
    </row>
    <row r="49" spans="1:14" ht="18" customHeight="1" x14ac:dyDescent="0.25">
      <c r="A49" s="241" t="str">
        <f t="shared" si="4"/>
        <v/>
      </c>
      <c r="B49" s="242"/>
      <c r="C49" s="243" t="str">
        <f>IF(B49="","",IFERROR(VLOOKUP(B49,DB_Customers!$A:$D,4,0),"❌ Account Not Found"))</f>
        <v/>
      </c>
      <c r="D49" s="244" t="str">
        <f t="shared" ca="1" si="5"/>
        <v/>
      </c>
      <c r="E49" s="245"/>
      <c r="F49" s="243"/>
      <c r="G49" s="246"/>
      <c r="H49" s="247">
        <v>2.5</v>
      </c>
      <c r="I49" s="248" t="str">
        <f t="shared" si="6"/>
        <v/>
      </c>
      <c r="J49" s="249" t="str">
        <f t="shared" si="7"/>
        <v/>
      </c>
      <c r="K49" s="250" t="str">
        <f>IF(B49="","Pending",IF(M49="","⚠️ Enter Code",IF(IFERROR(VLOOKUP(L49,DB_Agents!$B:$I,8,0),"")=M49,"Pending","🔒 BLOCKED — Wrong Code")))</f>
        <v>Pending</v>
      </c>
      <c r="L49" s="251" t="s">
        <v>138</v>
      </c>
      <c r="M49" s="252"/>
      <c r="N49" s="242"/>
    </row>
    <row r="50" spans="1:14" ht="18" customHeight="1" x14ac:dyDescent="0.25">
      <c r="A50" s="229" t="str">
        <f t="shared" si="4"/>
        <v/>
      </c>
      <c r="B50" s="230"/>
      <c r="C50" s="231" t="str">
        <f>IF(B50="","",IFERROR(VLOOKUP(B50,DB_Customers!$A:$D,4,0),"❌ Account Not Found"))</f>
        <v/>
      </c>
      <c r="D50" s="232" t="str">
        <f t="shared" ca="1" si="5"/>
        <v/>
      </c>
      <c r="E50" s="233"/>
      <c r="F50" s="231"/>
      <c r="G50" s="234"/>
      <c r="H50" s="235">
        <v>2.5</v>
      </c>
      <c r="I50" s="236" t="str">
        <f t="shared" si="6"/>
        <v/>
      </c>
      <c r="J50" s="237" t="str">
        <f t="shared" si="7"/>
        <v/>
      </c>
      <c r="K50" s="238" t="str">
        <f>IF(B50="","Pending",IF(M50="","⚠️ Enter Code",IF(IFERROR(VLOOKUP(L50,DB_Agents!$B:$I,8,0),"")=M50,"Pending","🔒 BLOCKED — Wrong Code")))</f>
        <v>Pending</v>
      </c>
      <c r="L50" s="239" t="s">
        <v>138</v>
      </c>
      <c r="M50" s="240"/>
      <c r="N50" s="230"/>
    </row>
    <row r="51" spans="1:14" ht="18" customHeight="1" x14ac:dyDescent="0.25">
      <c r="A51" s="241" t="str">
        <f t="shared" si="4"/>
        <v/>
      </c>
      <c r="B51" s="242"/>
      <c r="C51" s="243" t="str">
        <f>IF(B51="","",IFERROR(VLOOKUP(B51,DB_Customers!$A:$D,4,0),"❌ Account Not Found"))</f>
        <v/>
      </c>
      <c r="D51" s="244" t="str">
        <f t="shared" ca="1" si="5"/>
        <v/>
      </c>
      <c r="E51" s="245"/>
      <c r="F51" s="243"/>
      <c r="G51" s="246"/>
      <c r="H51" s="247">
        <v>2.5</v>
      </c>
      <c r="I51" s="248" t="str">
        <f t="shared" si="6"/>
        <v/>
      </c>
      <c r="J51" s="249" t="str">
        <f t="shared" si="7"/>
        <v/>
      </c>
      <c r="K51" s="250" t="str">
        <f>IF(B51="","Pending",IF(M51="","⚠️ Enter Code",IF(IFERROR(VLOOKUP(L51,DB_Agents!$B:$I,8,0),"")=M51,"Pending","🔒 BLOCKED — Wrong Code")))</f>
        <v>Pending</v>
      </c>
      <c r="L51" s="251" t="s">
        <v>138</v>
      </c>
      <c r="M51" s="252"/>
      <c r="N51" s="242"/>
    </row>
    <row r="52" spans="1:14" ht="18" customHeight="1" x14ac:dyDescent="0.25">
      <c r="A52" s="229" t="str">
        <f t="shared" si="4"/>
        <v/>
      </c>
      <c r="B52" s="230"/>
      <c r="C52" s="231" t="str">
        <f>IF(B52="","",IFERROR(VLOOKUP(B52,DB_Customers!$A:$D,4,0),"❌ Account Not Found"))</f>
        <v/>
      </c>
      <c r="D52" s="232" t="str">
        <f t="shared" ca="1" si="5"/>
        <v/>
      </c>
      <c r="E52" s="233"/>
      <c r="F52" s="231"/>
      <c r="G52" s="234"/>
      <c r="H52" s="235">
        <v>2.5</v>
      </c>
      <c r="I52" s="236" t="str">
        <f t="shared" si="6"/>
        <v/>
      </c>
      <c r="J52" s="237" t="str">
        <f t="shared" si="7"/>
        <v/>
      </c>
      <c r="K52" s="238" t="str">
        <f>IF(B52="","Pending",IF(M52="","⚠️ Enter Code",IF(IFERROR(VLOOKUP(L52,DB_Agents!$B:$I,8,0),"")=M52,"Pending","🔒 BLOCKED — Wrong Code")))</f>
        <v>Pending</v>
      </c>
      <c r="L52" s="239" t="s">
        <v>138</v>
      </c>
      <c r="M52" s="240"/>
      <c r="N52" s="230"/>
    </row>
    <row r="53" spans="1:14" ht="18" customHeight="1" x14ac:dyDescent="0.25">
      <c r="A53" s="241" t="str">
        <f t="shared" si="4"/>
        <v/>
      </c>
      <c r="B53" s="242"/>
      <c r="C53" s="243" t="str">
        <f>IF(B53="","",IFERROR(VLOOKUP(B53,DB_Customers!$A:$D,4,0),"❌ Account Not Found"))</f>
        <v/>
      </c>
      <c r="D53" s="244" t="str">
        <f t="shared" ca="1" si="5"/>
        <v/>
      </c>
      <c r="E53" s="245"/>
      <c r="F53" s="243"/>
      <c r="G53" s="246"/>
      <c r="H53" s="247">
        <v>2.5</v>
      </c>
      <c r="I53" s="248" t="str">
        <f t="shared" si="6"/>
        <v/>
      </c>
      <c r="J53" s="249" t="str">
        <f t="shared" si="7"/>
        <v/>
      </c>
      <c r="K53" s="250" t="str">
        <f>IF(B53="","Pending",IF(M53="","⚠️ Enter Code",IF(IFERROR(VLOOKUP(L53,DB_Agents!$B:$I,8,0),"")=M53,"Pending","🔒 BLOCKED — Wrong Code")))</f>
        <v>Pending</v>
      </c>
      <c r="L53" s="251" t="s">
        <v>138</v>
      </c>
      <c r="M53" s="252"/>
      <c r="N53" s="242"/>
    </row>
    <row r="54" spans="1:14" ht="18" customHeight="1" x14ac:dyDescent="0.25">
      <c r="A54" s="229" t="str">
        <f t="shared" si="4"/>
        <v/>
      </c>
      <c r="B54" s="230"/>
      <c r="C54" s="231" t="str">
        <f>IF(B54="","",IFERROR(VLOOKUP(B54,DB_Customers!$A:$D,4,0),"❌ Account Not Found"))</f>
        <v/>
      </c>
      <c r="D54" s="232" t="str">
        <f t="shared" ca="1" si="5"/>
        <v/>
      </c>
      <c r="E54" s="233"/>
      <c r="F54" s="231"/>
      <c r="G54" s="234"/>
      <c r="H54" s="235">
        <v>2.5</v>
      </c>
      <c r="I54" s="236" t="str">
        <f t="shared" si="6"/>
        <v/>
      </c>
      <c r="J54" s="237" t="str">
        <f t="shared" si="7"/>
        <v/>
      </c>
      <c r="K54" s="238" t="str">
        <f>IF(B54="","Pending",IF(M54="","⚠️ Enter Code",IF(IFERROR(VLOOKUP(L54,DB_Agents!$B:$I,8,0),"")=M54,"Pending","🔒 BLOCKED — Wrong Code")))</f>
        <v>Pending</v>
      </c>
      <c r="L54" s="239" t="s">
        <v>138</v>
      </c>
      <c r="M54" s="240"/>
      <c r="N54" s="230"/>
    </row>
    <row r="55" spans="1:14" ht="18" customHeight="1" x14ac:dyDescent="0.25">
      <c r="A55" s="241" t="str">
        <f t="shared" si="4"/>
        <v/>
      </c>
      <c r="B55" s="242"/>
      <c r="C55" s="243" t="str">
        <f>IF(B55="","",IFERROR(VLOOKUP(B55,DB_Customers!$A:$D,4,0),"❌ Account Not Found"))</f>
        <v/>
      </c>
      <c r="D55" s="244" t="str">
        <f t="shared" ca="1" si="5"/>
        <v/>
      </c>
      <c r="E55" s="245"/>
      <c r="F55" s="243"/>
      <c r="G55" s="246"/>
      <c r="H55" s="247">
        <v>2.5</v>
      </c>
      <c r="I55" s="248" t="str">
        <f t="shared" si="6"/>
        <v/>
      </c>
      <c r="J55" s="249" t="str">
        <f t="shared" si="7"/>
        <v/>
      </c>
      <c r="K55" s="250" t="str">
        <f>IF(B55="","Pending",IF(M55="","⚠️ Enter Code",IF(IFERROR(VLOOKUP(L55,DB_Agents!$B:$I,8,0),"")=M55,"Pending","🔒 BLOCKED — Wrong Code")))</f>
        <v>Pending</v>
      </c>
      <c r="L55" s="251" t="s">
        <v>138</v>
      </c>
      <c r="M55" s="252"/>
      <c r="N55" s="242"/>
    </row>
    <row r="56" spans="1:14" ht="18" customHeight="1" x14ac:dyDescent="0.25">
      <c r="A56" s="229" t="str">
        <f t="shared" si="4"/>
        <v/>
      </c>
      <c r="B56" s="230"/>
      <c r="C56" s="231" t="str">
        <f>IF(B56="","",IFERROR(VLOOKUP(B56,DB_Customers!$A:$D,4,0),"❌ Account Not Found"))</f>
        <v/>
      </c>
      <c r="D56" s="232" t="str">
        <f t="shared" ca="1" si="5"/>
        <v/>
      </c>
      <c r="E56" s="233"/>
      <c r="F56" s="231"/>
      <c r="G56" s="234"/>
      <c r="H56" s="235">
        <v>2.5</v>
      </c>
      <c r="I56" s="236" t="str">
        <f t="shared" si="6"/>
        <v/>
      </c>
      <c r="J56" s="237" t="str">
        <f t="shared" si="7"/>
        <v/>
      </c>
      <c r="K56" s="238" t="str">
        <f>IF(B56="","Pending",IF(M56="","⚠️ Enter Code",IF(IFERROR(VLOOKUP(L56,DB_Agents!$B:$I,8,0),"")=M56,"Pending","🔒 BLOCKED — Wrong Code")))</f>
        <v>Pending</v>
      </c>
      <c r="L56" s="239" t="s">
        <v>138</v>
      </c>
      <c r="M56" s="240"/>
      <c r="N56" s="230"/>
    </row>
    <row r="57" spans="1:14" ht="18" customHeight="1" x14ac:dyDescent="0.25">
      <c r="A57" s="241" t="str">
        <f t="shared" si="4"/>
        <v/>
      </c>
      <c r="B57" s="242"/>
      <c r="C57" s="243" t="str">
        <f>IF(B57="","",IFERROR(VLOOKUP(B57,DB_Customers!$A:$D,4,0),"❌ Account Not Found"))</f>
        <v/>
      </c>
      <c r="D57" s="244" t="str">
        <f t="shared" ca="1" si="5"/>
        <v/>
      </c>
      <c r="E57" s="245"/>
      <c r="F57" s="243"/>
      <c r="G57" s="246"/>
      <c r="H57" s="247">
        <v>2.5</v>
      </c>
      <c r="I57" s="248" t="str">
        <f t="shared" si="6"/>
        <v/>
      </c>
      <c r="J57" s="249" t="str">
        <f t="shared" si="7"/>
        <v/>
      </c>
      <c r="K57" s="250" t="str">
        <f>IF(B57="","Pending",IF(M57="","⚠️ Enter Code",IF(IFERROR(VLOOKUP(L57,DB_Agents!$B:$I,8,0),"")=M57,"Pending","🔒 BLOCKED — Wrong Code")))</f>
        <v>Pending</v>
      </c>
      <c r="L57" s="251" t="s">
        <v>138</v>
      </c>
      <c r="M57" s="252"/>
      <c r="N57" s="242"/>
    </row>
    <row r="58" spans="1:14" ht="18" customHeight="1" x14ac:dyDescent="0.25">
      <c r="A58" s="229" t="str">
        <f t="shared" si="4"/>
        <v/>
      </c>
      <c r="B58" s="230"/>
      <c r="C58" s="231" t="str">
        <f>IF(B58="","",IFERROR(VLOOKUP(B58,DB_Customers!$A:$D,4,0),"❌ Account Not Found"))</f>
        <v/>
      </c>
      <c r="D58" s="232" t="str">
        <f t="shared" ca="1" si="5"/>
        <v/>
      </c>
      <c r="E58" s="233"/>
      <c r="F58" s="231"/>
      <c r="G58" s="234"/>
      <c r="H58" s="235">
        <v>2.5</v>
      </c>
      <c r="I58" s="236" t="str">
        <f t="shared" si="6"/>
        <v/>
      </c>
      <c r="J58" s="237" t="str">
        <f t="shared" si="7"/>
        <v/>
      </c>
      <c r="K58" s="238" t="str">
        <f>IF(B58="","Pending",IF(M58="","⚠️ Enter Code",IF(IFERROR(VLOOKUP(L58,DB_Agents!$B:$I,8,0),"")=M58,"Pending","🔒 BLOCKED — Wrong Code")))</f>
        <v>Pending</v>
      </c>
      <c r="L58" s="239" t="s">
        <v>138</v>
      </c>
      <c r="M58" s="240"/>
      <c r="N58" s="230"/>
    </row>
    <row r="59" spans="1:14" ht="18" customHeight="1" x14ac:dyDescent="0.25">
      <c r="A59" s="241" t="str">
        <f t="shared" si="4"/>
        <v/>
      </c>
      <c r="B59" s="242"/>
      <c r="C59" s="243" t="str">
        <f>IF(B59="","",IFERROR(VLOOKUP(B59,DB_Customers!$A:$D,4,0),"❌ Account Not Found"))</f>
        <v/>
      </c>
      <c r="D59" s="244" t="str">
        <f t="shared" ca="1" si="5"/>
        <v/>
      </c>
      <c r="E59" s="245"/>
      <c r="F59" s="243"/>
      <c r="G59" s="246"/>
      <c r="H59" s="247">
        <v>2.5</v>
      </c>
      <c r="I59" s="248" t="str">
        <f t="shared" si="6"/>
        <v/>
      </c>
      <c r="J59" s="249" t="str">
        <f t="shared" si="7"/>
        <v/>
      </c>
      <c r="K59" s="250" t="str">
        <f>IF(B59="","Pending",IF(M59="","⚠️ Enter Code",IF(IFERROR(VLOOKUP(L59,DB_Agents!$B:$I,8,0),"")=M59,"Pending","🔒 BLOCKED — Wrong Code")))</f>
        <v>Pending</v>
      </c>
      <c r="L59" s="251" t="s">
        <v>138</v>
      </c>
      <c r="M59" s="252"/>
      <c r="N59" s="242"/>
    </row>
    <row r="60" spans="1:14" ht="18" customHeight="1" x14ac:dyDescent="0.25">
      <c r="A60" s="229" t="str">
        <f t="shared" si="4"/>
        <v/>
      </c>
      <c r="B60" s="230"/>
      <c r="C60" s="231" t="str">
        <f>IF(B60="","",IFERROR(VLOOKUP(B60,DB_Customers!$A:$D,4,0),"❌ Account Not Found"))</f>
        <v/>
      </c>
      <c r="D60" s="232" t="str">
        <f t="shared" ca="1" si="5"/>
        <v/>
      </c>
      <c r="E60" s="233"/>
      <c r="F60" s="231"/>
      <c r="G60" s="234"/>
      <c r="H60" s="235">
        <v>2.5</v>
      </c>
      <c r="I60" s="236" t="str">
        <f t="shared" si="6"/>
        <v/>
      </c>
      <c r="J60" s="237" t="str">
        <f t="shared" si="7"/>
        <v/>
      </c>
      <c r="K60" s="238" t="str">
        <f>IF(B60="","Pending",IF(M60="","⚠️ Enter Code",IF(IFERROR(VLOOKUP(L60,DB_Agents!$B:$I,8,0),"")=M60,"Pending","🔒 BLOCKED — Wrong Code")))</f>
        <v>Pending</v>
      </c>
      <c r="L60" s="239" t="s">
        <v>138</v>
      </c>
      <c r="M60" s="240"/>
      <c r="N60" s="230"/>
    </row>
    <row r="61" spans="1:14" ht="18" customHeight="1" x14ac:dyDescent="0.25">
      <c r="A61" s="241" t="str">
        <f t="shared" si="4"/>
        <v/>
      </c>
      <c r="B61" s="242"/>
      <c r="C61" s="243" t="str">
        <f>IF(B61="","",IFERROR(VLOOKUP(B61,DB_Customers!$A:$D,4,0),"❌ Account Not Found"))</f>
        <v/>
      </c>
      <c r="D61" s="244" t="str">
        <f t="shared" ca="1" si="5"/>
        <v/>
      </c>
      <c r="E61" s="245"/>
      <c r="F61" s="243"/>
      <c r="G61" s="246"/>
      <c r="H61" s="247">
        <v>2.5</v>
      </c>
      <c r="I61" s="248" t="str">
        <f t="shared" si="6"/>
        <v/>
      </c>
      <c r="J61" s="249" t="str">
        <f t="shared" si="7"/>
        <v/>
      </c>
      <c r="K61" s="250" t="str">
        <f>IF(B61="","Pending",IF(M61="","⚠️ Enter Code",IF(IFERROR(VLOOKUP(L61,DB_Agents!$B:$I,8,0),"")=M61,"Pending","🔒 BLOCKED — Wrong Code")))</f>
        <v>Pending</v>
      </c>
      <c r="L61" s="251" t="s">
        <v>138</v>
      </c>
      <c r="M61" s="252"/>
      <c r="N61" s="242"/>
    </row>
    <row r="62" spans="1:14" ht="18" customHeight="1" x14ac:dyDescent="0.25">
      <c r="A62" s="229" t="str">
        <f t="shared" si="4"/>
        <v/>
      </c>
      <c r="B62" s="230"/>
      <c r="C62" s="231" t="str">
        <f>IF(B62="","",IFERROR(VLOOKUP(B62,DB_Customers!$A:$D,4,0),"❌ Account Not Found"))</f>
        <v/>
      </c>
      <c r="D62" s="232" t="str">
        <f t="shared" ca="1" si="5"/>
        <v/>
      </c>
      <c r="E62" s="233"/>
      <c r="F62" s="231"/>
      <c r="G62" s="234"/>
      <c r="H62" s="235">
        <v>2.5</v>
      </c>
      <c r="I62" s="236" t="str">
        <f t="shared" si="6"/>
        <v/>
      </c>
      <c r="J62" s="237" t="str">
        <f t="shared" si="7"/>
        <v/>
      </c>
      <c r="K62" s="238" t="str">
        <f>IF(B62="","Pending",IF(M62="","⚠️ Enter Code",IF(IFERROR(VLOOKUP(L62,DB_Agents!$B:$I,8,0),"")=M62,"Pending","🔒 BLOCKED — Wrong Code")))</f>
        <v>Pending</v>
      </c>
      <c r="L62" s="239" t="s">
        <v>138</v>
      </c>
      <c r="M62" s="240"/>
      <c r="N62" s="230"/>
    </row>
    <row r="63" spans="1:14" ht="18" customHeight="1" x14ac:dyDescent="0.25">
      <c r="A63" s="241" t="str">
        <f t="shared" si="4"/>
        <v/>
      </c>
      <c r="B63" s="242"/>
      <c r="C63" s="243" t="str">
        <f>IF(B63="","",IFERROR(VLOOKUP(B63,DB_Customers!$A:$D,4,0),"❌ Account Not Found"))</f>
        <v/>
      </c>
      <c r="D63" s="244" t="str">
        <f t="shared" ca="1" si="5"/>
        <v/>
      </c>
      <c r="E63" s="245"/>
      <c r="F63" s="243"/>
      <c r="G63" s="246"/>
      <c r="H63" s="247">
        <v>2.5</v>
      </c>
      <c r="I63" s="248" t="str">
        <f t="shared" si="6"/>
        <v/>
      </c>
      <c r="J63" s="249" t="str">
        <f t="shared" si="7"/>
        <v/>
      </c>
      <c r="K63" s="250" t="str">
        <f>IF(B63="","Pending",IF(M63="","⚠️ Enter Code",IF(IFERROR(VLOOKUP(L63,DB_Agents!$B:$I,8,0),"")=M63,"Pending","🔒 BLOCKED — Wrong Code")))</f>
        <v>Pending</v>
      </c>
      <c r="L63" s="251" t="s">
        <v>138</v>
      </c>
      <c r="M63" s="252"/>
      <c r="N63" s="242"/>
    </row>
    <row r="64" spans="1:14" ht="18" customHeight="1" x14ac:dyDescent="0.25">
      <c r="A64" s="229" t="str">
        <f t="shared" si="4"/>
        <v/>
      </c>
      <c r="B64" s="230"/>
      <c r="C64" s="231" t="str">
        <f>IF(B64="","",IFERROR(VLOOKUP(B64,DB_Customers!$A:$D,4,0),"❌ Account Not Found"))</f>
        <v/>
      </c>
      <c r="D64" s="232" t="str">
        <f t="shared" ca="1" si="5"/>
        <v/>
      </c>
      <c r="E64" s="233"/>
      <c r="F64" s="231"/>
      <c r="G64" s="234"/>
      <c r="H64" s="235">
        <v>2.5</v>
      </c>
      <c r="I64" s="236" t="str">
        <f t="shared" si="6"/>
        <v/>
      </c>
      <c r="J64" s="237" t="str">
        <f t="shared" si="7"/>
        <v/>
      </c>
      <c r="K64" s="238" t="str">
        <f>IF(B64="","Pending",IF(M64="","⚠️ Enter Code",IF(IFERROR(VLOOKUP(L64,DB_Agents!$B:$I,8,0),"")=M64,"Pending","🔒 BLOCKED — Wrong Code")))</f>
        <v>Pending</v>
      </c>
      <c r="L64" s="239" t="s">
        <v>138</v>
      </c>
      <c r="M64" s="240"/>
      <c r="N64" s="230"/>
    </row>
    <row r="65" spans="1:14" ht="18" customHeight="1" x14ac:dyDescent="0.25">
      <c r="A65" s="241" t="str">
        <f t="shared" si="4"/>
        <v/>
      </c>
      <c r="B65" s="242"/>
      <c r="C65" s="243" t="str">
        <f>IF(B65="","",IFERROR(VLOOKUP(B65,DB_Customers!$A:$D,4,0),"❌ Account Not Found"))</f>
        <v/>
      </c>
      <c r="D65" s="244" t="str">
        <f t="shared" ca="1" si="5"/>
        <v/>
      </c>
      <c r="E65" s="245"/>
      <c r="F65" s="243"/>
      <c r="G65" s="246"/>
      <c r="H65" s="247">
        <v>2.5</v>
      </c>
      <c r="I65" s="248" t="str">
        <f t="shared" si="6"/>
        <v/>
      </c>
      <c r="J65" s="249" t="str">
        <f t="shared" si="7"/>
        <v/>
      </c>
      <c r="K65" s="250" t="str">
        <f>IF(B65="","Pending",IF(M65="","⚠️ Enter Code",IF(IFERROR(VLOOKUP(L65,DB_Agents!$B:$I,8,0),"")=M65,"Pending","🔒 BLOCKED — Wrong Code")))</f>
        <v>Pending</v>
      </c>
      <c r="L65" s="251" t="s">
        <v>138</v>
      </c>
      <c r="M65" s="252"/>
      <c r="N65" s="242"/>
    </row>
    <row r="66" spans="1:14" ht="18" customHeight="1" x14ac:dyDescent="0.25">
      <c r="A66" s="229" t="str">
        <f t="shared" si="4"/>
        <v/>
      </c>
      <c r="B66" s="230"/>
      <c r="C66" s="231" t="str">
        <f>IF(B66="","",IFERROR(VLOOKUP(B66,DB_Customers!$A:$D,4,0),"❌ Account Not Found"))</f>
        <v/>
      </c>
      <c r="D66" s="232" t="str">
        <f t="shared" ca="1" si="5"/>
        <v/>
      </c>
      <c r="E66" s="233"/>
      <c r="F66" s="231"/>
      <c r="G66" s="234"/>
      <c r="H66" s="235">
        <v>2.5</v>
      </c>
      <c r="I66" s="236" t="str">
        <f t="shared" si="6"/>
        <v/>
      </c>
      <c r="J66" s="237" t="str">
        <f t="shared" si="7"/>
        <v/>
      </c>
      <c r="K66" s="238" t="str">
        <f>IF(B66="","Pending",IF(M66="","⚠️ Enter Code",IF(IFERROR(VLOOKUP(L66,DB_Agents!$B:$I,8,0),"")=M66,"Pending","🔒 BLOCKED — Wrong Code")))</f>
        <v>Pending</v>
      </c>
      <c r="L66" s="239" t="s">
        <v>138</v>
      </c>
      <c r="M66" s="240"/>
      <c r="N66" s="230"/>
    </row>
    <row r="67" spans="1:14" ht="18" customHeight="1" x14ac:dyDescent="0.25">
      <c r="A67" s="241" t="str">
        <f t="shared" si="4"/>
        <v/>
      </c>
      <c r="B67" s="242"/>
      <c r="C67" s="243" t="str">
        <f>IF(B67="","",IFERROR(VLOOKUP(B67,DB_Customers!$A:$D,4,0),"❌ Account Not Found"))</f>
        <v/>
      </c>
      <c r="D67" s="244" t="str">
        <f t="shared" ca="1" si="5"/>
        <v/>
      </c>
      <c r="E67" s="245"/>
      <c r="F67" s="243"/>
      <c r="G67" s="246"/>
      <c r="H67" s="247">
        <v>2.5</v>
      </c>
      <c r="I67" s="248" t="str">
        <f t="shared" si="6"/>
        <v/>
      </c>
      <c r="J67" s="249" t="str">
        <f t="shared" si="7"/>
        <v/>
      </c>
      <c r="K67" s="250" t="str">
        <f>IF(B67="","Pending",IF(M67="","⚠️ Enter Code",IF(IFERROR(VLOOKUP(L67,DB_Agents!$B:$I,8,0),"")=M67,"Pending","🔒 BLOCKED — Wrong Code")))</f>
        <v>Pending</v>
      </c>
      <c r="L67" s="251" t="s">
        <v>138</v>
      </c>
      <c r="M67" s="252"/>
      <c r="N67" s="242"/>
    </row>
    <row r="68" spans="1:14" ht="18" customHeight="1" x14ac:dyDescent="0.25">
      <c r="A68" s="229" t="str">
        <f t="shared" si="4"/>
        <v/>
      </c>
      <c r="B68" s="230"/>
      <c r="C68" s="231" t="str">
        <f>IF(B68="","",IFERROR(VLOOKUP(B68,DB_Customers!$A:$D,4,0),"❌ Account Not Found"))</f>
        <v/>
      </c>
      <c r="D68" s="232" t="str">
        <f t="shared" ca="1" si="5"/>
        <v/>
      </c>
      <c r="E68" s="233"/>
      <c r="F68" s="231"/>
      <c r="G68" s="234"/>
      <c r="H68" s="235">
        <v>2.5</v>
      </c>
      <c r="I68" s="236" t="str">
        <f t="shared" si="6"/>
        <v/>
      </c>
      <c r="J68" s="237" t="str">
        <f t="shared" si="7"/>
        <v/>
      </c>
      <c r="K68" s="238" t="str">
        <f>IF(B68="","Pending",IF(M68="","⚠️ Enter Code",IF(IFERROR(VLOOKUP(L68,DB_Agents!$B:$I,8,0),"")=M68,"Pending","🔒 BLOCKED — Wrong Code")))</f>
        <v>Pending</v>
      </c>
      <c r="L68" s="239" t="s">
        <v>138</v>
      </c>
      <c r="M68" s="240"/>
      <c r="N68" s="230"/>
    </row>
    <row r="69" spans="1:14" ht="18" customHeight="1" x14ac:dyDescent="0.25">
      <c r="A69" s="241" t="str">
        <f t="shared" si="4"/>
        <v/>
      </c>
      <c r="B69" s="242"/>
      <c r="C69" s="243" t="str">
        <f>IF(B69="","",IFERROR(VLOOKUP(B69,DB_Customers!$A:$D,4,0),"❌ Account Not Found"))</f>
        <v/>
      </c>
      <c r="D69" s="244" t="str">
        <f t="shared" ca="1" si="5"/>
        <v/>
      </c>
      <c r="E69" s="245"/>
      <c r="F69" s="243"/>
      <c r="G69" s="246"/>
      <c r="H69" s="247">
        <v>2.5</v>
      </c>
      <c r="I69" s="248" t="str">
        <f t="shared" si="6"/>
        <v/>
      </c>
      <c r="J69" s="249" t="str">
        <f t="shared" si="7"/>
        <v/>
      </c>
      <c r="K69" s="250" t="str">
        <f>IF(B69="","Pending",IF(M69="","⚠️ Enter Code",IF(IFERROR(VLOOKUP(L69,DB_Agents!$B:$I,8,0),"")=M69,"Pending","🔒 BLOCKED — Wrong Code")))</f>
        <v>Pending</v>
      </c>
      <c r="L69" s="251" t="s">
        <v>138</v>
      </c>
      <c r="M69" s="252"/>
      <c r="N69" s="242"/>
    </row>
    <row r="70" spans="1:14" ht="18" customHeight="1" x14ac:dyDescent="0.25">
      <c r="A70" s="229" t="str">
        <f t="shared" si="4"/>
        <v/>
      </c>
      <c r="B70" s="230"/>
      <c r="C70" s="231" t="str">
        <f>IF(B70="","",IFERROR(VLOOKUP(B70,DB_Customers!$A:$D,4,0),"❌ Account Not Found"))</f>
        <v/>
      </c>
      <c r="D70" s="232" t="str">
        <f t="shared" ca="1" si="5"/>
        <v/>
      </c>
      <c r="E70" s="233"/>
      <c r="F70" s="231"/>
      <c r="G70" s="234"/>
      <c r="H70" s="235">
        <v>2.5</v>
      </c>
      <c r="I70" s="236" t="str">
        <f t="shared" si="6"/>
        <v/>
      </c>
      <c r="J70" s="237" t="str">
        <f t="shared" si="7"/>
        <v/>
      </c>
      <c r="K70" s="238" t="str">
        <f>IF(B70="","Pending",IF(M70="","⚠️ Enter Code",IF(IFERROR(VLOOKUP(L70,DB_Agents!$B:$I,8,0),"")=M70,"Pending","🔒 BLOCKED — Wrong Code")))</f>
        <v>Pending</v>
      </c>
      <c r="L70" s="239" t="s">
        <v>138</v>
      </c>
      <c r="M70" s="240"/>
      <c r="N70" s="230"/>
    </row>
    <row r="71" spans="1:14" ht="18" customHeight="1" x14ac:dyDescent="0.25">
      <c r="A71" s="241" t="str">
        <f t="shared" si="4"/>
        <v/>
      </c>
      <c r="B71" s="242"/>
      <c r="C71" s="243" t="str">
        <f>IF(B71="","",IFERROR(VLOOKUP(B71,DB_Customers!$A:$D,4,0),"❌ Account Not Found"))</f>
        <v/>
      </c>
      <c r="D71" s="244" t="str">
        <f t="shared" ca="1" si="5"/>
        <v/>
      </c>
      <c r="E71" s="245"/>
      <c r="F71" s="243"/>
      <c r="G71" s="246"/>
      <c r="H71" s="247">
        <v>2.5</v>
      </c>
      <c r="I71" s="248" t="str">
        <f t="shared" si="6"/>
        <v/>
      </c>
      <c r="J71" s="249" t="str">
        <f t="shared" si="7"/>
        <v/>
      </c>
      <c r="K71" s="250" t="str">
        <f>IF(B71="","Pending",IF(M71="","⚠️ Enter Code",IF(IFERROR(VLOOKUP(L71,DB_Agents!$B:$I,8,0),"")=M71,"Pending","🔒 BLOCKED — Wrong Code")))</f>
        <v>Pending</v>
      </c>
      <c r="L71" s="251" t="s">
        <v>138</v>
      </c>
      <c r="M71" s="252"/>
      <c r="N71" s="242"/>
    </row>
    <row r="72" spans="1:14" ht="18" customHeight="1" x14ac:dyDescent="0.25">
      <c r="A72" s="229" t="str">
        <f t="shared" si="4"/>
        <v/>
      </c>
      <c r="B72" s="230"/>
      <c r="C72" s="231" t="str">
        <f>IF(B72="","",IFERROR(VLOOKUP(B72,DB_Customers!$A:$D,4,0),"❌ Account Not Found"))</f>
        <v/>
      </c>
      <c r="D72" s="232" t="str">
        <f t="shared" ca="1" si="5"/>
        <v/>
      </c>
      <c r="E72" s="233"/>
      <c r="F72" s="231"/>
      <c r="G72" s="234"/>
      <c r="H72" s="235">
        <v>2.5</v>
      </c>
      <c r="I72" s="236" t="str">
        <f t="shared" si="6"/>
        <v/>
      </c>
      <c r="J72" s="237" t="str">
        <f t="shared" si="7"/>
        <v/>
      </c>
      <c r="K72" s="238" t="str">
        <f>IF(B72="","Pending",IF(M72="","⚠️ Enter Code",IF(IFERROR(VLOOKUP(L72,DB_Agents!$B:$I,8,0),"")=M72,"Pending","🔒 BLOCKED — Wrong Code")))</f>
        <v>Pending</v>
      </c>
      <c r="L72" s="239" t="s">
        <v>138</v>
      </c>
      <c r="M72" s="240"/>
      <c r="N72" s="230"/>
    </row>
    <row r="73" spans="1:14" ht="18" customHeight="1" x14ac:dyDescent="0.25">
      <c r="A73" s="241" t="str">
        <f t="shared" si="4"/>
        <v/>
      </c>
      <c r="B73" s="242"/>
      <c r="C73" s="243" t="str">
        <f>IF(B73="","",IFERROR(VLOOKUP(B73,DB_Customers!$A:$D,4,0),"❌ Account Not Found"))</f>
        <v/>
      </c>
      <c r="D73" s="244" t="str">
        <f t="shared" ca="1" si="5"/>
        <v/>
      </c>
      <c r="E73" s="245"/>
      <c r="F73" s="243"/>
      <c r="G73" s="246"/>
      <c r="H73" s="247">
        <v>2.5</v>
      </c>
      <c r="I73" s="248" t="str">
        <f t="shared" si="6"/>
        <v/>
      </c>
      <c r="J73" s="249" t="str">
        <f t="shared" si="7"/>
        <v/>
      </c>
      <c r="K73" s="250" t="str">
        <f>IF(B73="","Pending",IF(M73="","⚠️ Enter Code",IF(IFERROR(VLOOKUP(L73,DB_Agents!$B:$I,8,0),"")=M73,"Pending","🔒 BLOCKED — Wrong Code")))</f>
        <v>Pending</v>
      </c>
      <c r="L73" s="251" t="s">
        <v>138</v>
      </c>
      <c r="M73" s="252"/>
      <c r="N73" s="242"/>
    </row>
    <row r="74" spans="1:14" ht="18" customHeight="1" x14ac:dyDescent="0.25">
      <c r="A74" s="229" t="str">
        <f t="shared" si="4"/>
        <v/>
      </c>
      <c r="B74" s="230"/>
      <c r="C74" s="231" t="str">
        <f>IF(B74="","",IFERROR(VLOOKUP(B74,DB_Customers!$A:$D,4,0),"❌ Account Not Found"))</f>
        <v/>
      </c>
      <c r="D74" s="232" t="str">
        <f t="shared" ca="1" si="5"/>
        <v/>
      </c>
      <c r="E74" s="233"/>
      <c r="F74" s="231"/>
      <c r="G74" s="234"/>
      <c r="H74" s="235">
        <v>2.5</v>
      </c>
      <c r="I74" s="236" t="str">
        <f t="shared" si="6"/>
        <v/>
      </c>
      <c r="J74" s="237" t="str">
        <f t="shared" si="7"/>
        <v/>
      </c>
      <c r="K74" s="238" t="str">
        <f>IF(B74="","Pending",IF(M74="","⚠️ Enter Code",IF(IFERROR(VLOOKUP(L74,DB_Agents!$B:$I,8,0),"")=M74,"Pending","🔒 BLOCKED — Wrong Code")))</f>
        <v>Pending</v>
      </c>
      <c r="L74" s="239" t="s">
        <v>138</v>
      </c>
      <c r="M74" s="240"/>
      <c r="N74" s="230"/>
    </row>
    <row r="75" spans="1:14" ht="18" customHeight="1" x14ac:dyDescent="0.25">
      <c r="A75" s="241" t="str">
        <f t="shared" si="4"/>
        <v/>
      </c>
      <c r="B75" s="242"/>
      <c r="C75" s="243" t="str">
        <f>IF(B75="","",IFERROR(VLOOKUP(B75,DB_Customers!$A:$D,4,0),"❌ Account Not Found"))</f>
        <v/>
      </c>
      <c r="D75" s="244" t="str">
        <f t="shared" ca="1" si="5"/>
        <v/>
      </c>
      <c r="E75" s="245"/>
      <c r="F75" s="243"/>
      <c r="G75" s="246"/>
      <c r="H75" s="247">
        <v>2.5</v>
      </c>
      <c r="I75" s="248" t="str">
        <f t="shared" si="6"/>
        <v/>
      </c>
      <c r="J75" s="249" t="str">
        <f t="shared" si="7"/>
        <v/>
      </c>
      <c r="K75" s="250" t="str">
        <f>IF(B75="","Pending",IF(M75="","⚠️ Enter Code",IF(IFERROR(VLOOKUP(L75,DB_Agents!$B:$I,8,0),"")=M75,"Pending","🔒 BLOCKED — Wrong Code")))</f>
        <v>Pending</v>
      </c>
      <c r="L75" s="251" t="s">
        <v>138</v>
      </c>
      <c r="M75" s="252"/>
      <c r="N75" s="242"/>
    </row>
    <row r="76" spans="1:14" ht="18" customHeight="1" x14ac:dyDescent="0.25">
      <c r="A76" s="229" t="str">
        <f t="shared" si="4"/>
        <v/>
      </c>
      <c r="B76" s="230"/>
      <c r="C76" s="231" t="str">
        <f>IF(B76="","",IFERROR(VLOOKUP(B76,DB_Customers!$A:$D,4,0),"❌ Account Not Found"))</f>
        <v/>
      </c>
      <c r="D76" s="232" t="str">
        <f t="shared" ca="1" si="5"/>
        <v/>
      </c>
      <c r="E76" s="233"/>
      <c r="F76" s="231"/>
      <c r="G76" s="234"/>
      <c r="H76" s="235">
        <v>2.5</v>
      </c>
      <c r="I76" s="236" t="str">
        <f t="shared" si="6"/>
        <v/>
      </c>
      <c r="J76" s="237" t="str">
        <f t="shared" si="7"/>
        <v/>
      </c>
      <c r="K76" s="238" t="str">
        <f>IF(B76="","Pending",IF(M76="","⚠️ Enter Code",IF(IFERROR(VLOOKUP(L76,DB_Agents!$B:$I,8,0),"")=M76,"Pending","🔒 BLOCKED — Wrong Code")))</f>
        <v>Pending</v>
      </c>
      <c r="L76" s="239" t="s">
        <v>138</v>
      </c>
      <c r="M76" s="240"/>
      <c r="N76" s="230"/>
    </row>
    <row r="77" spans="1:14" ht="18" customHeight="1" x14ac:dyDescent="0.25">
      <c r="A77" s="241" t="str">
        <f t="shared" si="4"/>
        <v/>
      </c>
      <c r="B77" s="242"/>
      <c r="C77" s="243" t="str">
        <f>IF(B77="","",IFERROR(VLOOKUP(B77,DB_Customers!$A:$D,4,0),"❌ Account Not Found"))</f>
        <v/>
      </c>
      <c r="D77" s="244" t="str">
        <f t="shared" ca="1" si="5"/>
        <v/>
      </c>
      <c r="E77" s="245"/>
      <c r="F77" s="243"/>
      <c r="G77" s="246"/>
      <c r="H77" s="247">
        <v>2.5</v>
      </c>
      <c r="I77" s="248" t="str">
        <f t="shared" si="6"/>
        <v/>
      </c>
      <c r="J77" s="249" t="str">
        <f t="shared" si="7"/>
        <v/>
      </c>
      <c r="K77" s="250" t="str">
        <f>IF(B77="","Pending",IF(M77="","⚠️ Enter Code",IF(IFERROR(VLOOKUP(L77,DB_Agents!$B:$I,8,0),"")=M77,"Pending","🔒 BLOCKED — Wrong Code")))</f>
        <v>Pending</v>
      </c>
      <c r="L77" s="251" t="s">
        <v>138</v>
      </c>
      <c r="M77" s="252"/>
      <c r="N77" s="242"/>
    </row>
    <row r="78" spans="1:14" ht="18" customHeight="1" x14ac:dyDescent="0.25">
      <c r="A78" s="229" t="str">
        <f t="shared" ref="A78:A109" si="8">IF(B78="","",IF(C78="❌ Account Not Found","INVALID","LN"&amp;TEXT(D78,"YYYYMMDD")&amp;TEXT(ROW()-13,"0000")))</f>
        <v/>
      </c>
      <c r="B78" s="230"/>
      <c r="C78" s="231" t="str">
        <f>IF(B78="","",IFERROR(VLOOKUP(B78,DB_Customers!$A:$D,4,0),"❌ Account Not Found"))</f>
        <v/>
      </c>
      <c r="D78" s="232" t="str">
        <f t="shared" ref="D78:D109" ca="1" si="9">IF(B78="","",TODAY())</f>
        <v/>
      </c>
      <c r="E78" s="233"/>
      <c r="F78" s="231"/>
      <c r="G78" s="234"/>
      <c r="H78" s="235">
        <v>2.5</v>
      </c>
      <c r="I78" s="236" t="str">
        <f t="shared" ref="I78:I109" si="10">IF(E78="","",E78+(E78*H78/100*G78))</f>
        <v/>
      </c>
      <c r="J78" s="237" t="str">
        <f t="shared" ref="J78:J109" si="11">IFERROR(I78/G78,"")</f>
        <v/>
      </c>
      <c r="K78" s="238" t="str">
        <f>IF(B78="","Pending",IF(M78="","⚠️ Enter Code",IF(IFERROR(VLOOKUP(L78,DB_Agents!$B:$I,8,0),"")=M78,"Pending","🔒 BLOCKED — Wrong Code")))</f>
        <v>Pending</v>
      </c>
      <c r="L78" s="239" t="s">
        <v>138</v>
      </c>
      <c r="M78" s="240"/>
      <c r="N78" s="230"/>
    </row>
    <row r="79" spans="1:14" ht="18" customHeight="1" x14ac:dyDescent="0.25">
      <c r="A79" s="241" t="str">
        <f t="shared" si="8"/>
        <v/>
      </c>
      <c r="B79" s="242"/>
      <c r="C79" s="243" t="str">
        <f>IF(B79="","",IFERROR(VLOOKUP(B79,DB_Customers!$A:$D,4,0),"❌ Account Not Found"))</f>
        <v/>
      </c>
      <c r="D79" s="244" t="str">
        <f t="shared" ca="1" si="9"/>
        <v/>
      </c>
      <c r="E79" s="245"/>
      <c r="F79" s="243"/>
      <c r="G79" s="246"/>
      <c r="H79" s="247">
        <v>2.5</v>
      </c>
      <c r="I79" s="248" t="str">
        <f t="shared" si="10"/>
        <v/>
      </c>
      <c r="J79" s="249" t="str">
        <f t="shared" si="11"/>
        <v/>
      </c>
      <c r="K79" s="250" t="str">
        <f>IF(B79="","Pending",IF(M79="","⚠️ Enter Code",IF(IFERROR(VLOOKUP(L79,DB_Agents!$B:$I,8,0),"")=M79,"Pending","🔒 BLOCKED — Wrong Code")))</f>
        <v>Pending</v>
      </c>
      <c r="L79" s="251" t="s">
        <v>138</v>
      </c>
      <c r="M79" s="252"/>
      <c r="N79" s="242"/>
    </row>
    <row r="80" spans="1:14" ht="18" customHeight="1" x14ac:dyDescent="0.25">
      <c r="A80" s="229" t="str">
        <f t="shared" si="8"/>
        <v/>
      </c>
      <c r="B80" s="230"/>
      <c r="C80" s="231" t="str">
        <f>IF(B80="","",IFERROR(VLOOKUP(B80,DB_Customers!$A:$D,4,0),"❌ Account Not Found"))</f>
        <v/>
      </c>
      <c r="D80" s="232" t="str">
        <f t="shared" ca="1" si="9"/>
        <v/>
      </c>
      <c r="E80" s="233"/>
      <c r="F80" s="231"/>
      <c r="G80" s="234"/>
      <c r="H80" s="235">
        <v>2.5</v>
      </c>
      <c r="I80" s="236" t="str">
        <f t="shared" si="10"/>
        <v/>
      </c>
      <c r="J80" s="237" t="str">
        <f t="shared" si="11"/>
        <v/>
      </c>
      <c r="K80" s="238" t="str">
        <f>IF(B80="","Pending",IF(M80="","⚠️ Enter Code",IF(IFERROR(VLOOKUP(L80,DB_Agents!$B:$I,8,0),"")=M80,"Pending","🔒 BLOCKED — Wrong Code")))</f>
        <v>Pending</v>
      </c>
      <c r="L80" s="239" t="s">
        <v>138</v>
      </c>
      <c r="M80" s="240"/>
      <c r="N80" s="230"/>
    </row>
    <row r="81" spans="1:14" ht="18" customHeight="1" x14ac:dyDescent="0.25">
      <c r="A81" s="241" t="str">
        <f t="shared" si="8"/>
        <v/>
      </c>
      <c r="B81" s="242"/>
      <c r="C81" s="243" t="str">
        <f>IF(B81="","",IFERROR(VLOOKUP(B81,DB_Customers!$A:$D,4,0),"❌ Account Not Found"))</f>
        <v/>
      </c>
      <c r="D81" s="244" t="str">
        <f t="shared" ca="1" si="9"/>
        <v/>
      </c>
      <c r="E81" s="245"/>
      <c r="F81" s="243"/>
      <c r="G81" s="246"/>
      <c r="H81" s="247">
        <v>2.5</v>
      </c>
      <c r="I81" s="248" t="str">
        <f t="shared" si="10"/>
        <v/>
      </c>
      <c r="J81" s="249" t="str">
        <f t="shared" si="11"/>
        <v/>
      </c>
      <c r="K81" s="250" t="str">
        <f>IF(B81="","Pending",IF(M81="","⚠️ Enter Code",IF(IFERROR(VLOOKUP(L81,DB_Agents!$B:$I,8,0),"")=M81,"Pending","🔒 BLOCKED — Wrong Code")))</f>
        <v>Pending</v>
      </c>
      <c r="L81" s="251" t="s">
        <v>138</v>
      </c>
      <c r="M81" s="252"/>
      <c r="N81" s="242"/>
    </row>
    <row r="82" spans="1:14" ht="18" customHeight="1" x14ac:dyDescent="0.25">
      <c r="A82" s="229" t="str">
        <f t="shared" si="8"/>
        <v/>
      </c>
      <c r="B82" s="230"/>
      <c r="C82" s="231" t="str">
        <f>IF(B82="","",IFERROR(VLOOKUP(B82,DB_Customers!$A:$D,4,0),"❌ Account Not Found"))</f>
        <v/>
      </c>
      <c r="D82" s="232" t="str">
        <f t="shared" ca="1" si="9"/>
        <v/>
      </c>
      <c r="E82" s="233"/>
      <c r="F82" s="231"/>
      <c r="G82" s="234"/>
      <c r="H82" s="235">
        <v>2.5</v>
      </c>
      <c r="I82" s="236" t="str">
        <f t="shared" si="10"/>
        <v/>
      </c>
      <c r="J82" s="237" t="str">
        <f t="shared" si="11"/>
        <v/>
      </c>
      <c r="K82" s="238" t="str">
        <f>IF(B82="","Pending",IF(M82="","⚠️ Enter Code",IF(IFERROR(VLOOKUP(L82,DB_Agents!$B:$I,8,0),"")=M82,"Pending","🔒 BLOCKED — Wrong Code")))</f>
        <v>Pending</v>
      </c>
      <c r="L82" s="239" t="s">
        <v>138</v>
      </c>
      <c r="M82" s="240"/>
      <c r="N82" s="230"/>
    </row>
    <row r="83" spans="1:14" ht="18" customHeight="1" x14ac:dyDescent="0.25">
      <c r="A83" s="241" t="str">
        <f t="shared" si="8"/>
        <v/>
      </c>
      <c r="B83" s="242"/>
      <c r="C83" s="243" t="str">
        <f>IF(B83="","",IFERROR(VLOOKUP(B83,DB_Customers!$A:$D,4,0),"❌ Account Not Found"))</f>
        <v/>
      </c>
      <c r="D83" s="244" t="str">
        <f t="shared" ca="1" si="9"/>
        <v/>
      </c>
      <c r="E83" s="245"/>
      <c r="F83" s="243"/>
      <c r="G83" s="246"/>
      <c r="H83" s="247">
        <v>2.5</v>
      </c>
      <c r="I83" s="248" t="str">
        <f t="shared" si="10"/>
        <v/>
      </c>
      <c r="J83" s="249" t="str">
        <f t="shared" si="11"/>
        <v/>
      </c>
      <c r="K83" s="250" t="str">
        <f>IF(B83="","Pending",IF(M83="","⚠️ Enter Code",IF(IFERROR(VLOOKUP(L83,DB_Agents!$B:$I,8,0),"")=M83,"Pending","🔒 BLOCKED — Wrong Code")))</f>
        <v>Pending</v>
      </c>
      <c r="L83" s="251" t="s">
        <v>138</v>
      </c>
      <c r="M83" s="252"/>
      <c r="N83" s="242"/>
    </row>
    <row r="84" spans="1:14" ht="18" customHeight="1" x14ac:dyDescent="0.25">
      <c r="A84" s="229" t="str">
        <f t="shared" si="8"/>
        <v/>
      </c>
      <c r="B84" s="230"/>
      <c r="C84" s="231" t="str">
        <f>IF(B84="","",IFERROR(VLOOKUP(B84,DB_Customers!$A:$D,4,0),"❌ Account Not Found"))</f>
        <v/>
      </c>
      <c r="D84" s="232" t="str">
        <f t="shared" ca="1" si="9"/>
        <v/>
      </c>
      <c r="E84" s="233"/>
      <c r="F84" s="231"/>
      <c r="G84" s="234"/>
      <c r="H84" s="235">
        <v>2.5</v>
      </c>
      <c r="I84" s="236" t="str">
        <f t="shared" si="10"/>
        <v/>
      </c>
      <c r="J84" s="237" t="str">
        <f t="shared" si="11"/>
        <v/>
      </c>
      <c r="K84" s="238" t="str">
        <f>IF(B84="","Pending",IF(M84="","⚠️ Enter Code",IF(IFERROR(VLOOKUP(L84,DB_Agents!$B:$I,8,0),"")=M84,"Pending","🔒 BLOCKED — Wrong Code")))</f>
        <v>Pending</v>
      </c>
      <c r="L84" s="239" t="s">
        <v>138</v>
      </c>
      <c r="M84" s="240"/>
      <c r="N84" s="230"/>
    </row>
    <row r="85" spans="1:14" ht="18" customHeight="1" x14ac:dyDescent="0.25">
      <c r="A85" s="241" t="str">
        <f t="shared" si="8"/>
        <v/>
      </c>
      <c r="B85" s="242"/>
      <c r="C85" s="243" t="str">
        <f>IF(B85="","",IFERROR(VLOOKUP(B85,DB_Customers!$A:$D,4,0),"❌ Account Not Found"))</f>
        <v/>
      </c>
      <c r="D85" s="244" t="str">
        <f t="shared" ca="1" si="9"/>
        <v/>
      </c>
      <c r="E85" s="245"/>
      <c r="F85" s="243"/>
      <c r="G85" s="246"/>
      <c r="H85" s="247">
        <v>2.5</v>
      </c>
      <c r="I85" s="248" t="str">
        <f t="shared" si="10"/>
        <v/>
      </c>
      <c r="J85" s="249" t="str">
        <f t="shared" si="11"/>
        <v/>
      </c>
      <c r="K85" s="250" t="str">
        <f>IF(B85="","Pending",IF(M85="","⚠️ Enter Code",IF(IFERROR(VLOOKUP(L85,DB_Agents!$B:$I,8,0),"")=M85,"Pending","🔒 BLOCKED — Wrong Code")))</f>
        <v>Pending</v>
      </c>
      <c r="L85" s="251" t="s">
        <v>138</v>
      </c>
      <c r="M85" s="252"/>
      <c r="N85" s="242"/>
    </row>
    <row r="86" spans="1:14" ht="18" customHeight="1" x14ac:dyDescent="0.25">
      <c r="A86" s="229" t="str">
        <f t="shared" si="8"/>
        <v/>
      </c>
      <c r="B86" s="230"/>
      <c r="C86" s="231" t="str">
        <f>IF(B86="","",IFERROR(VLOOKUP(B86,DB_Customers!$A:$D,4,0),"❌ Account Not Found"))</f>
        <v/>
      </c>
      <c r="D86" s="232" t="str">
        <f t="shared" ca="1" si="9"/>
        <v/>
      </c>
      <c r="E86" s="233"/>
      <c r="F86" s="231"/>
      <c r="G86" s="234"/>
      <c r="H86" s="235">
        <v>2.5</v>
      </c>
      <c r="I86" s="236" t="str">
        <f t="shared" si="10"/>
        <v/>
      </c>
      <c r="J86" s="237" t="str">
        <f t="shared" si="11"/>
        <v/>
      </c>
      <c r="K86" s="238" t="str">
        <f>IF(B86="","Pending",IF(M86="","⚠️ Enter Code",IF(IFERROR(VLOOKUP(L86,DB_Agents!$B:$I,8,0),"")=M86,"Pending","🔒 BLOCKED — Wrong Code")))</f>
        <v>Pending</v>
      </c>
      <c r="L86" s="239" t="s">
        <v>138</v>
      </c>
      <c r="M86" s="240"/>
      <c r="N86" s="230"/>
    </row>
    <row r="87" spans="1:14" ht="18" customHeight="1" x14ac:dyDescent="0.25">
      <c r="A87" s="241" t="str">
        <f t="shared" si="8"/>
        <v/>
      </c>
      <c r="B87" s="242"/>
      <c r="C87" s="243" t="str">
        <f>IF(B87="","",IFERROR(VLOOKUP(B87,DB_Customers!$A:$D,4,0),"❌ Account Not Found"))</f>
        <v/>
      </c>
      <c r="D87" s="244" t="str">
        <f t="shared" ca="1" si="9"/>
        <v/>
      </c>
      <c r="E87" s="245"/>
      <c r="F87" s="243"/>
      <c r="G87" s="246"/>
      <c r="H87" s="247">
        <v>2.5</v>
      </c>
      <c r="I87" s="248" t="str">
        <f t="shared" si="10"/>
        <v/>
      </c>
      <c r="J87" s="249" t="str">
        <f t="shared" si="11"/>
        <v/>
      </c>
      <c r="K87" s="250" t="str">
        <f>IF(B87="","Pending",IF(M87="","⚠️ Enter Code",IF(IFERROR(VLOOKUP(L87,DB_Agents!$B:$I,8,0),"")=M87,"Pending","🔒 BLOCKED — Wrong Code")))</f>
        <v>Pending</v>
      </c>
      <c r="L87" s="251" t="s">
        <v>138</v>
      </c>
      <c r="M87" s="252"/>
      <c r="N87" s="242"/>
    </row>
    <row r="88" spans="1:14" ht="18" customHeight="1" x14ac:dyDescent="0.25">
      <c r="A88" s="229" t="str">
        <f t="shared" si="8"/>
        <v/>
      </c>
      <c r="B88" s="230"/>
      <c r="C88" s="231" t="str">
        <f>IF(B88="","",IFERROR(VLOOKUP(B88,DB_Customers!$A:$D,4,0),"❌ Account Not Found"))</f>
        <v/>
      </c>
      <c r="D88" s="232" t="str">
        <f t="shared" ca="1" si="9"/>
        <v/>
      </c>
      <c r="E88" s="233"/>
      <c r="F88" s="231"/>
      <c r="G88" s="234"/>
      <c r="H88" s="235">
        <v>2.5</v>
      </c>
      <c r="I88" s="236" t="str">
        <f t="shared" si="10"/>
        <v/>
      </c>
      <c r="J88" s="237" t="str">
        <f t="shared" si="11"/>
        <v/>
      </c>
      <c r="K88" s="238" t="str">
        <f>IF(B88="","Pending",IF(M88="","⚠️ Enter Code",IF(IFERROR(VLOOKUP(L88,DB_Agents!$B:$I,8,0),"")=M88,"Pending","🔒 BLOCKED — Wrong Code")))</f>
        <v>Pending</v>
      </c>
      <c r="L88" s="239" t="s">
        <v>138</v>
      </c>
      <c r="M88" s="240"/>
      <c r="N88" s="230"/>
    </row>
    <row r="89" spans="1:14" ht="18" customHeight="1" x14ac:dyDescent="0.25">
      <c r="A89" s="241" t="str">
        <f t="shared" si="8"/>
        <v/>
      </c>
      <c r="B89" s="242"/>
      <c r="C89" s="243" t="str">
        <f>IF(B89="","",IFERROR(VLOOKUP(B89,DB_Customers!$A:$D,4,0),"❌ Account Not Found"))</f>
        <v/>
      </c>
      <c r="D89" s="244" t="str">
        <f t="shared" ca="1" si="9"/>
        <v/>
      </c>
      <c r="E89" s="245"/>
      <c r="F89" s="243"/>
      <c r="G89" s="246"/>
      <c r="H89" s="247">
        <v>2.5</v>
      </c>
      <c r="I89" s="248" t="str">
        <f t="shared" si="10"/>
        <v/>
      </c>
      <c r="J89" s="249" t="str">
        <f t="shared" si="11"/>
        <v/>
      </c>
      <c r="K89" s="250" t="str">
        <f>IF(B89="","Pending",IF(M89="","⚠️ Enter Code",IF(IFERROR(VLOOKUP(L89,DB_Agents!$B:$I,8,0),"")=M89,"Pending","🔒 BLOCKED — Wrong Code")))</f>
        <v>Pending</v>
      </c>
      <c r="L89" s="251" t="s">
        <v>138</v>
      </c>
      <c r="M89" s="252"/>
      <c r="N89" s="242"/>
    </row>
    <row r="90" spans="1:14" ht="18" customHeight="1" x14ac:dyDescent="0.25">
      <c r="A90" s="229" t="str">
        <f t="shared" si="8"/>
        <v/>
      </c>
      <c r="B90" s="230"/>
      <c r="C90" s="231" t="str">
        <f>IF(B90="","",IFERROR(VLOOKUP(B90,DB_Customers!$A:$D,4,0),"❌ Account Not Found"))</f>
        <v/>
      </c>
      <c r="D90" s="232" t="str">
        <f t="shared" ca="1" si="9"/>
        <v/>
      </c>
      <c r="E90" s="233"/>
      <c r="F90" s="231"/>
      <c r="G90" s="234"/>
      <c r="H90" s="235">
        <v>2.5</v>
      </c>
      <c r="I90" s="236" t="str">
        <f t="shared" si="10"/>
        <v/>
      </c>
      <c r="J90" s="237" t="str">
        <f t="shared" si="11"/>
        <v/>
      </c>
      <c r="K90" s="238" t="str">
        <f>IF(B90="","Pending",IF(M90="","⚠️ Enter Code",IF(IFERROR(VLOOKUP(L90,DB_Agents!$B:$I,8,0),"")=M90,"Pending","🔒 BLOCKED — Wrong Code")))</f>
        <v>Pending</v>
      </c>
      <c r="L90" s="239" t="s">
        <v>138</v>
      </c>
      <c r="M90" s="240"/>
      <c r="N90" s="230"/>
    </row>
    <row r="91" spans="1:14" ht="18" customHeight="1" x14ac:dyDescent="0.25">
      <c r="A91" s="241" t="str">
        <f t="shared" si="8"/>
        <v/>
      </c>
      <c r="B91" s="242"/>
      <c r="C91" s="243" t="str">
        <f>IF(B91="","",IFERROR(VLOOKUP(B91,DB_Customers!$A:$D,4,0),"❌ Account Not Found"))</f>
        <v/>
      </c>
      <c r="D91" s="244" t="str">
        <f t="shared" ca="1" si="9"/>
        <v/>
      </c>
      <c r="E91" s="245"/>
      <c r="F91" s="243"/>
      <c r="G91" s="246"/>
      <c r="H91" s="247">
        <v>2.5</v>
      </c>
      <c r="I91" s="248" t="str">
        <f t="shared" si="10"/>
        <v/>
      </c>
      <c r="J91" s="249" t="str">
        <f t="shared" si="11"/>
        <v/>
      </c>
      <c r="K91" s="250" t="str">
        <f>IF(B91="","Pending",IF(M91="","⚠️ Enter Code",IF(IFERROR(VLOOKUP(L91,DB_Agents!$B:$I,8,0),"")=M91,"Pending","🔒 BLOCKED — Wrong Code")))</f>
        <v>Pending</v>
      </c>
      <c r="L91" s="251" t="s">
        <v>138</v>
      </c>
      <c r="M91" s="252"/>
      <c r="N91" s="242"/>
    </row>
    <row r="92" spans="1:14" ht="18" customHeight="1" x14ac:dyDescent="0.25">
      <c r="A92" s="229" t="str">
        <f t="shared" si="8"/>
        <v/>
      </c>
      <c r="B92" s="230"/>
      <c r="C92" s="231" t="str">
        <f>IF(B92="","",IFERROR(VLOOKUP(B92,DB_Customers!$A:$D,4,0),"❌ Account Not Found"))</f>
        <v/>
      </c>
      <c r="D92" s="232" t="str">
        <f t="shared" ca="1" si="9"/>
        <v/>
      </c>
      <c r="E92" s="233"/>
      <c r="F92" s="231"/>
      <c r="G92" s="234"/>
      <c r="H92" s="235">
        <v>2.5</v>
      </c>
      <c r="I92" s="236" t="str">
        <f t="shared" si="10"/>
        <v/>
      </c>
      <c r="J92" s="237" t="str">
        <f t="shared" si="11"/>
        <v/>
      </c>
      <c r="K92" s="238" t="str">
        <f>IF(B92="","Pending",IF(M92="","⚠️ Enter Code",IF(IFERROR(VLOOKUP(L92,DB_Agents!$B:$I,8,0),"")=M92,"Pending","🔒 BLOCKED — Wrong Code")))</f>
        <v>Pending</v>
      </c>
      <c r="L92" s="239" t="s">
        <v>138</v>
      </c>
      <c r="M92" s="240"/>
      <c r="N92" s="230"/>
    </row>
    <row r="93" spans="1:14" ht="18" customHeight="1" x14ac:dyDescent="0.25">
      <c r="A93" s="241" t="str">
        <f t="shared" si="8"/>
        <v/>
      </c>
      <c r="B93" s="242"/>
      <c r="C93" s="243" t="str">
        <f>IF(B93="","",IFERROR(VLOOKUP(B93,DB_Customers!$A:$D,4,0),"❌ Account Not Found"))</f>
        <v/>
      </c>
      <c r="D93" s="244" t="str">
        <f t="shared" ca="1" si="9"/>
        <v/>
      </c>
      <c r="E93" s="245"/>
      <c r="F93" s="243"/>
      <c r="G93" s="246"/>
      <c r="H93" s="247">
        <v>2.5</v>
      </c>
      <c r="I93" s="248" t="str">
        <f t="shared" si="10"/>
        <v/>
      </c>
      <c r="J93" s="249" t="str">
        <f t="shared" si="11"/>
        <v/>
      </c>
      <c r="K93" s="250" t="str">
        <f>IF(B93="","Pending",IF(M93="","⚠️ Enter Code",IF(IFERROR(VLOOKUP(L93,DB_Agents!$B:$I,8,0),"")=M93,"Pending","🔒 BLOCKED — Wrong Code")))</f>
        <v>Pending</v>
      </c>
      <c r="L93" s="251" t="s">
        <v>138</v>
      </c>
      <c r="M93" s="252"/>
      <c r="N93" s="242"/>
    </row>
    <row r="94" spans="1:14" ht="18" customHeight="1" x14ac:dyDescent="0.25">
      <c r="A94" s="229" t="str">
        <f t="shared" si="8"/>
        <v/>
      </c>
      <c r="B94" s="230"/>
      <c r="C94" s="231" t="str">
        <f>IF(B94="","",IFERROR(VLOOKUP(B94,DB_Customers!$A:$D,4,0),"❌ Account Not Found"))</f>
        <v/>
      </c>
      <c r="D94" s="232" t="str">
        <f t="shared" ca="1" si="9"/>
        <v/>
      </c>
      <c r="E94" s="233"/>
      <c r="F94" s="231"/>
      <c r="G94" s="234"/>
      <c r="H94" s="235">
        <v>2.5</v>
      </c>
      <c r="I94" s="236" t="str">
        <f t="shared" si="10"/>
        <v/>
      </c>
      <c r="J94" s="237" t="str">
        <f t="shared" si="11"/>
        <v/>
      </c>
      <c r="K94" s="238" t="str">
        <f>IF(B94="","Pending",IF(M94="","⚠️ Enter Code",IF(IFERROR(VLOOKUP(L94,DB_Agents!$B:$I,8,0),"")=M94,"Pending","🔒 BLOCKED — Wrong Code")))</f>
        <v>Pending</v>
      </c>
      <c r="L94" s="239" t="s">
        <v>138</v>
      </c>
      <c r="M94" s="240"/>
      <c r="N94" s="230"/>
    </row>
    <row r="95" spans="1:14" ht="18" customHeight="1" x14ac:dyDescent="0.25">
      <c r="A95" s="241" t="str">
        <f t="shared" si="8"/>
        <v/>
      </c>
      <c r="B95" s="242"/>
      <c r="C95" s="243" t="str">
        <f>IF(B95="","",IFERROR(VLOOKUP(B95,DB_Customers!$A:$D,4,0),"❌ Account Not Found"))</f>
        <v/>
      </c>
      <c r="D95" s="244" t="str">
        <f t="shared" ca="1" si="9"/>
        <v/>
      </c>
      <c r="E95" s="245"/>
      <c r="F95" s="243"/>
      <c r="G95" s="246"/>
      <c r="H95" s="247">
        <v>2.5</v>
      </c>
      <c r="I95" s="248" t="str">
        <f t="shared" si="10"/>
        <v/>
      </c>
      <c r="J95" s="249" t="str">
        <f t="shared" si="11"/>
        <v/>
      </c>
      <c r="K95" s="250" t="str">
        <f>IF(B95="","Pending",IF(M95="","⚠️ Enter Code",IF(IFERROR(VLOOKUP(L95,DB_Agents!$B:$I,8,0),"")=M95,"Pending","🔒 BLOCKED — Wrong Code")))</f>
        <v>Pending</v>
      </c>
      <c r="L95" s="251" t="s">
        <v>138</v>
      </c>
      <c r="M95" s="252"/>
      <c r="N95" s="242"/>
    </row>
    <row r="96" spans="1:14" ht="18" customHeight="1" x14ac:dyDescent="0.25">
      <c r="A96" s="229" t="str">
        <f t="shared" si="8"/>
        <v/>
      </c>
      <c r="B96" s="230"/>
      <c r="C96" s="231" t="str">
        <f>IF(B96="","",IFERROR(VLOOKUP(B96,DB_Customers!$A:$D,4,0),"❌ Account Not Found"))</f>
        <v/>
      </c>
      <c r="D96" s="232" t="str">
        <f t="shared" ca="1" si="9"/>
        <v/>
      </c>
      <c r="E96" s="233"/>
      <c r="F96" s="231"/>
      <c r="G96" s="234"/>
      <c r="H96" s="235">
        <v>2.5</v>
      </c>
      <c r="I96" s="236" t="str">
        <f t="shared" si="10"/>
        <v/>
      </c>
      <c r="J96" s="237" t="str">
        <f t="shared" si="11"/>
        <v/>
      </c>
      <c r="K96" s="238" t="str">
        <f>IF(B96="","Pending",IF(M96="","⚠️ Enter Code",IF(IFERROR(VLOOKUP(L96,DB_Agents!$B:$I,8,0),"")=M96,"Pending","🔒 BLOCKED — Wrong Code")))</f>
        <v>Pending</v>
      </c>
      <c r="L96" s="239" t="s">
        <v>138</v>
      </c>
      <c r="M96" s="240"/>
      <c r="N96" s="230"/>
    </row>
    <row r="97" spans="1:14" ht="18" customHeight="1" x14ac:dyDescent="0.25">
      <c r="A97" s="241" t="str">
        <f t="shared" si="8"/>
        <v/>
      </c>
      <c r="B97" s="242"/>
      <c r="C97" s="243" t="str">
        <f>IF(B97="","",IFERROR(VLOOKUP(B97,DB_Customers!$A:$D,4,0),"❌ Account Not Found"))</f>
        <v/>
      </c>
      <c r="D97" s="244" t="str">
        <f t="shared" ca="1" si="9"/>
        <v/>
      </c>
      <c r="E97" s="245"/>
      <c r="F97" s="243"/>
      <c r="G97" s="246"/>
      <c r="H97" s="247">
        <v>2.5</v>
      </c>
      <c r="I97" s="248" t="str">
        <f t="shared" si="10"/>
        <v/>
      </c>
      <c r="J97" s="249" t="str">
        <f t="shared" si="11"/>
        <v/>
      </c>
      <c r="K97" s="250" t="str">
        <f>IF(B97="","Pending",IF(M97="","⚠️ Enter Code",IF(IFERROR(VLOOKUP(L97,DB_Agents!$B:$I,8,0),"")=M97,"Pending","🔒 BLOCKED — Wrong Code")))</f>
        <v>Pending</v>
      </c>
      <c r="L97" s="251" t="s">
        <v>138</v>
      </c>
      <c r="M97" s="252"/>
      <c r="N97" s="242"/>
    </row>
    <row r="98" spans="1:14" ht="18" customHeight="1" x14ac:dyDescent="0.25">
      <c r="A98" s="229" t="str">
        <f t="shared" si="8"/>
        <v/>
      </c>
      <c r="B98" s="230"/>
      <c r="C98" s="231" t="str">
        <f>IF(B98="","",IFERROR(VLOOKUP(B98,DB_Customers!$A:$D,4,0),"❌ Account Not Found"))</f>
        <v/>
      </c>
      <c r="D98" s="232" t="str">
        <f t="shared" ca="1" si="9"/>
        <v/>
      </c>
      <c r="E98" s="233"/>
      <c r="F98" s="231"/>
      <c r="G98" s="234"/>
      <c r="H98" s="235">
        <v>2.5</v>
      </c>
      <c r="I98" s="236" t="str">
        <f t="shared" si="10"/>
        <v/>
      </c>
      <c r="J98" s="237" t="str">
        <f t="shared" si="11"/>
        <v/>
      </c>
      <c r="K98" s="238" t="str">
        <f>IF(B98="","Pending",IF(M98="","⚠️ Enter Code",IF(IFERROR(VLOOKUP(L98,DB_Agents!$B:$I,8,0),"")=M98,"Pending","🔒 BLOCKED — Wrong Code")))</f>
        <v>Pending</v>
      </c>
      <c r="L98" s="239" t="s">
        <v>138</v>
      </c>
      <c r="M98" s="240"/>
      <c r="N98" s="230"/>
    </row>
    <row r="99" spans="1:14" ht="18" customHeight="1" x14ac:dyDescent="0.25">
      <c r="A99" s="241" t="str">
        <f t="shared" si="8"/>
        <v/>
      </c>
      <c r="B99" s="242"/>
      <c r="C99" s="243" t="str">
        <f>IF(B99="","",IFERROR(VLOOKUP(B99,DB_Customers!$A:$D,4,0),"❌ Account Not Found"))</f>
        <v/>
      </c>
      <c r="D99" s="244" t="str">
        <f t="shared" ca="1" si="9"/>
        <v/>
      </c>
      <c r="E99" s="245"/>
      <c r="F99" s="243"/>
      <c r="G99" s="246"/>
      <c r="H99" s="247">
        <v>2.5</v>
      </c>
      <c r="I99" s="248" t="str">
        <f t="shared" si="10"/>
        <v/>
      </c>
      <c r="J99" s="249" t="str">
        <f t="shared" si="11"/>
        <v/>
      </c>
      <c r="K99" s="250" t="str">
        <f>IF(B99="","Pending",IF(M99="","⚠️ Enter Code",IF(IFERROR(VLOOKUP(L99,DB_Agents!$B:$I,8,0),"")=M99,"Pending","🔒 BLOCKED — Wrong Code")))</f>
        <v>Pending</v>
      </c>
      <c r="L99" s="251" t="s">
        <v>138</v>
      </c>
      <c r="M99" s="252"/>
      <c r="N99" s="242"/>
    </row>
    <row r="100" spans="1:14" ht="18" customHeight="1" x14ac:dyDescent="0.25">
      <c r="A100" s="229" t="str">
        <f t="shared" si="8"/>
        <v/>
      </c>
      <c r="B100" s="230"/>
      <c r="C100" s="231" t="str">
        <f>IF(B100="","",IFERROR(VLOOKUP(B100,DB_Customers!$A:$D,4,0),"❌ Account Not Found"))</f>
        <v/>
      </c>
      <c r="D100" s="232" t="str">
        <f t="shared" ca="1" si="9"/>
        <v/>
      </c>
      <c r="E100" s="233"/>
      <c r="F100" s="231"/>
      <c r="G100" s="234"/>
      <c r="H100" s="235">
        <v>2.5</v>
      </c>
      <c r="I100" s="236" t="str">
        <f t="shared" si="10"/>
        <v/>
      </c>
      <c r="J100" s="237" t="str">
        <f t="shared" si="11"/>
        <v/>
      </c>
      <c r="K100" s="238" t="str">
        <f>IF(B100="","Pending",IF(M100="","⚠️ Enter Code",IF(IFERROR(VLOOKUP(L100,DB_Agents!$B:$I,8,0),"")=M100,"Pending","🔒 BLOCKED — Wrong Code")))</f>
        <v>Pending</v>
      </c>
      <c r="L100" s="239" t="s">
        <v>138</v>
      </c>
      <c r="M100" s="240"/>
      <c r="N100" s="230"/>
    </row>
    <row r="101" spans="1:14" ht="18" customHeight="1" x14ac:dyDescent="0.25">
      <c r="A101" s="241" t="str">
        <f t="shared" si="8"/>
        <v/>
      </c>
      <c r="B101" s="242"/>
      <c r="C101" s="243" t="str">
        <f>IF(B101="","",IFERROR(VLOOKUP(B101,DB_Customers!$A:$D,4,0),"❌ Account Not Found"))</f>
        <v/>
      </c>
      <c r="D101" s="244" t="str">
        <f t="shared" ca="1" si="9"/>
        <v/>
      </c>
      <c r="E101" s="245"/>
      <c r="F101" s="243"/>
      <c r="G101" s="246"/>
      <c r="H101" s="247">
        <v>2.5</v>
      </c>
      <c r="I101" s="248" t="str">
        <f t="shared" si="10"/>
        <v/>
      </c>
      <c r="J101" s="249" t="str">
        <f t="shared" si="11"/>
        <v/>
      </c>
      <c r="K101" s="250" t="str">
        <f>IF(B101="","Pending",IF(M101="","⚠️ Enter Code",IF(IFERROR(VLOOKUP(L101,DB_Agents!$B:$I,8,0),"")=M101,"Pending","🔒 BLOCKED — Wrong Code")))</f>
        <v>Pending</v>
      </c>
      <c r="L101" s="251" t="s">
        <v>138</v>
      </c>
      <c r="M101" s="252"/>
      <c r="N101" s="242"/>
    </row>
    <row r="102" spans="1:14" ht="18" customHeight="1" x14ac:dyDescent="0.25">
      <c r="A102" s="229" t="str">
        <f t="shared" si="8"/>
        <v/>
      </c>
      <c r="B102" s="230"/>
      <c r="C102" s="231" t="str">
        <f>IF(B102="","",IFERROR(VLOOKUP(B102,DB_Customers!$A:$D,4,0),"❌ Account Not Found"))</f>
        <v/>
      </c>
      <c r="D102" s="232" t="str">
        <f t="shared" ca="1" si="9"/>
        <v/>
      </c>
      <c r="E102" s="233"/>
      <c r="F102" s="231"/>
      <c r="G102" s="234"/>
      <c r="H102" s="235">
        <v>2.5</v>
      </c>
      <c r="I102" s="236" t="str">
        <f t="shared" si="10"/>
        <v/>
      </c>
      <c r="J102" s="237" t="str">
        <f t="shared" si="11"/>
        <v/>
      </c>
      <c r="K102" s="238" t="str">
        <f>IF(B102="","Pending",IF(M102="","⚠️ Enter Code",IF(IFERROR(VLOOKUP(L102,DB_Agents!$B:$I,8,0),"")=M102,"Pending","🔒 BLOCKED — Wrong Code")))</f>
        <v>Pending</v>
      </c>
      <c r="L102" s="239" t="s">
        <v>138</v>
      </c>
      <c r="M102" s="240"/>
      <c r="N102" s="230"/>
    </row>
    <row r="103" spans="1:14" ht="18" customHeight="1" x14ac:dyDescent="0.25">
      <c r="A103" s="241" t="str">
        <f t="shared" si="8"/>
        <v/>
      </c>
      <c r="B103" s="242"/>
      <c r="C103" s="243" t="str">
        <f>IF(B103="","",IFERROR(VLOOKUP(B103,DB_Customers!$A:$D,4,0),"❌ Account Not Found"))</f>
        <v/>
      </c>
      <c r="D103" s="244" t="str">
        <f t="shared" ca="1" si="9"/>
        <v/>
      </c>
      <c r="E103" s="245"/>
      <c r="F103" s="243"/>
      <c r="G103" s="246"/>
      <c r="H103" s="247">
        <v>2.5</v>
      </c>
      <c r="I103" s="248" t="str">
        <f t="shared" si="10"/>
        <v/>
      </c>
      <c r="J103" s="249" t="str">
        <f t="shared" si="11"/>
        <v/>
      </c>
      <c r="K103" s="250" t="str">
        <f>IF(B103="","Pending",IF(M103="","⚠️ Enter Code",IF(IFERROR(VLOOKUP(L103,DB_Agents!$B:$I,8,0),"")=M103,"Pending","🔒 BLOCKED — Wrong Code")))</f>
        <v>Pending</v>
      </c>
      <c r="L103" s="251" t="s">
        <v>138</v>
      </c>
      <c r="M103" s="252"/>
      <c r="N103" s="242"/>
    </row>
    <row r="104" spans="1:14" ht="18" customHeight="1" x14ac:dyDescent="0.25">
      <c r="A104" s="229" t="str">
        <f t="shared" si="8"/>
        <v/>
      </c>
      <c r="B104" s="230"/>
      <c r="C104" s="231" t="str">
        <f>IF(B104="","",IFERROR(VLOOKUP(B104,DB_Customers!$A:$D,4,0),"❌ Account Not Found"))</f>
        <v/>
      </c>
      <c r="D104" s="232" t="str">
        <f t="shared" ca="1" si="9"/>
        <v/>
      </c>
      <c r="E104" s="233"/>
      <c r="F104" s="231"/>
      <c r="G104" s="234"/>
      <c r="H104" s="235">
        <v>2.5</v>
      </c>
      <c r="I104" s="236" t="str">
        <f t="shared" si="10"/>
        <v/>
      </c>
      <c r="J104" s="237" t="str">
        <f t="shared" si="11"/>
        <v/>
      </c>
      <c r="K104" s="238" t="str">
        <f>IF(B104="","Pending",IF(M104="","⚠️ Enter Code",IF(IFERROR(VLOOKUP(L104,DB_Agents!$B:$I,8,0),"")=M104,"Pending","🔒 BLOCKED — Wrong Code")))</f>
        <v>Pending</v>
      </c>
      <c r="L104" s="239" t="s">
        <v>138</v>
      </c>
      <c r="M104" s="240"/>
      <c r="N104" s="230"/>
    </row>
    <row r="105" spans="1:14" ht="18" customHeight="1" x14ac:dyDescent="0.25">
      <c r="A105" s="241" t="str">
        <f t="shared" si="8"/>
        <v/>
      </c>
      <c r="B105" s="242"/>
      <c r="C105" s="243" t="str">
        <f>IF(B105="","",IFERROR(VLOOKUP(B105,DB_Customers!$A:$D,4,0),"❌ Account Not Found"))</f>
        <v/>
      </c>
      <c r="D105" s="244" t="str">
        <f t="shared" ca="1" si="9"/>
        <v/>
      </c>
      <c r="E105" s="245"/>
      <c r="F105" s="243"/>
      <c r="G105" s="246"/>
      <c r="H105" s="247">
        <v>2.5</v>
      </c>
      <c r="I105" s="248" t="str">
        <f t="shared" si="10"/>
        <v/>
      </c>
      <c r="J105" s="249" t="str">
        <f t="shared" si="11"/>
        <v/>
      </c>
      <c r="K105" s="250" t="str">
        <f>IF(B105="","Pending",IF(M105="","⚠️ Enter Code",IF(IFERROR(VLOOKUP(L105,DB_Agents!$B:$I,8,0),"")=M105,"Pending","🔒 BLOCKED — Wrong Code")))</f>
        <v>Pending</v>
      </c>
      <c r="L105" s="251" t="s">
        <v>138</v>
      </c>
      <c r="M105" s="252"/>
      <c r="N105" s="242"/>
    </row>
    <row r="106" spans="1:14" ht="18" customHeight="1" x14ac:dyDescent="0.25">
      <c r="A106" s="229" t="str">
        <f t="shared" si="8"/>
        <v/>
      </c>
      <c r="B106" s="230"/>
      <c r="C106" s="231" t="str">
        <f>IF(B106="","",IFERROR(VLOOKUP(B106,DB_Customers!$A:$D,4,0),"❌ Account Not Found"))</f>
        <v/>
      </c>
      <c r="D106" s="232" t="str">
        <f t="shared" ca="1" si="9"/>
        <v/>
      </c>
      <c r="E106" s="233"/>
      <c r="F106" s="231"/>
      <c r="G106" s="234"/>
      <c r="H106" s="235">
        <v>2.5</v>
      </c>
      <c r="I106" s="236" t="str">
        <f t="shared" si="10"/>
        <v/>
      </c>
      <c r="J106" s="237" t="str">
        <f t="shared" si="11"/>
        <v/>
      </c>
      <c r="K106" s="238" t="str">
        <f>IF(B106="","Pending",IF(M106="","⚠️ Enter Code",IF(IFERROR(VLOOKUP(L106,DB_Agents!$B:$I,8,0),"")=M106,"Pending","🔒 BLOCKED — Wrong Code")))</f>
        <v>Pending</v>
      </c>
      <c r="L106" s="239" t="s">
        <v>138</v>
      </c>
      <c r="M106" s="240"/>
      <c r="N106" s="230"/>
    </row>
    <row r="107" spans="1:14" ht="18" customHeight="1" x14ac:dyDescent="0.25">
      <c r="A107" s="241" t="str">
        <f t="shared" si="8"/>
        <v/>
      </c>
      <c r="B107" s="242"/>
      <c r="C107" s="243" t="str">
        <f>IF(B107="","",IFERROR(VLOOKUP(B107,DB_Customers!$A:$D,4,0),"❌ Account Not Found"))</f>
        <v/>
      </c>
      <c r="D107" s="244" t="str">
        <f t="shared" ca="1" si="9"/>
        <v/>
      </c>
      <c r="E107" s="245"/>
      <c r="F107" s="243"/>
      <c r="G107" s="246"/>
      <c r="H107" s="247">
        <v>2.5</v>
      </c>
      <c r="I107" s="248" t="str">
        <f t="shared" si="10"/>
        <v/>
      </c>
      <c r="J107" s="249" t="str">
        <f t="shared" si="11"/>
        <v/>
      </c>
      <c r="K107" s="250" t="str">
        <f>IF(B107="","Pending",IF(M107="","⚠️ Enter Code",IF(IFERROR(VLOOKUP(L107,DB_Agents!$B:$I,8,0),"")=M107,"Pending","🔒 BLOCKED — Wrong Code")))</f>
        <v>Pending</v>
      </c>
      <c r="L107" s="251" t="s">
        <v>138</v>
      </c>
      <c r="M107" s="252"/>
      <c r="N107" s="242"/>
    </row>
    <row r="108" spans="1:14" ht="18" customHeight="1" x14ac:dyDescent="0.25">
      <c r="A108" s="229" t="str">
        <f t="shared" si="8"/>
        <v/>
      </c>
      <c r="B108" s="230"/>
      <c r="C108" s="231" t="str">
        <f>IF(B108="","",IFERROR(VLOOKUP(B108,DB_Customers!$A:$D,4,0),"❌ Account Not Found"))</f>
        <v/>
      </c>
      <c r="D108" s="232" t="str">
        <f t="shared" ca="1" si="9"/>
        <v/>
      </c>
      <c r="E108" s="233"/>
      <c r="F108" s="231"/>
      <c r="G108" s="234"/>
      <c r="H108" s="235">
        <v>2.5</v>
      </c>
      <c r="I108" s="236" t="str">
        <f t="shared" si="10"/>
        <v/>
      </c>
      <c r="J108" s="237" t="str">
        <f t="shared" si="11"/>
        <v/>
      </c>
      <c r="K108" s="238" t="str">
        <f>IF(B108="","Pending",IF(M108="","⚠️ Enter Code",IF(IFERROR(VLOOKUP(L108,DB_Agents!$B:$I,8,0),"")=M108,"Pending","🔒 BLOCKED — Wrong Code")))</f>
        <v>Pending</v>
      </c>
      <c r="L108" s="239" t="s">
        <v>138</v>
      </c>
      <c r="M108" s="240"/>
      <c r="N108" s="230"/>
    </row>
    <row r="109" spans="1:14" ht="18" customHeight="1" x14ac:dyDescent="0.25">
      <c r="A109" s="241" t="str">
        <f t="shared" si="8"/>
        <v/>
      </c>
      <c r="B109" s="242"/>
      <c r="C109" s="243" t="str">
        <f>IF(B109="","",IFERROR(VLOOKUP(B109,DB_Customers!$A:$D,4,0),"❌ Account Not Found"))</f>
        <v/>
      </c>
      <c r="D109" s="244" t="str">
        <f t="shared" ca="1" si="9"/>
        <v/>
      </c>
      <c r="E109" s="245"/>
      <c r="F109" s="243"/>
      <c r="G109" s="246"/>
      <c r="H109" s="247">
        <v>2.5</v>
      </c>
      <c r="I109" s="248" t="str">
        <f t="shared" si="10"/>
        <v/>
      </c>
      <c r="J109" s="249" t="str">
        <f t="shared" si="11"/>
        <v/>
      </c>
      <c r="K109" s="250" t="str">
        <f>IF(B109="","Pending",IF(M109="","⚠️ Enter Code",IF(IFERROR(VLOOKUP(L109,DB_Agents!$B:$I,8,0),"")=M109,"Pending","🔒 BLOCKED — Wrong Code")))</f>
        <v>Pending</v>
      </c>
      <c r="L109" s="251" t="s">
        <v>138</v>
      </c>
      <c r="M109" s="252"/>
      <c r="N109" s="242"/>
    </row>
    <row r="110" spans="1:14" ht="18" customHeight="1" x14ac:dyDescent="0.25">
      <c r="A110" s="229" t="str">
        <f t="shared" ref="A110:A141" si="12">IF(B110="","",IF(C110="❌ Account Not Found","INVALID","LN"&amp;TEXT(D110,"YYYYMMDD")&amp;TEXT(ROW()-13,"0000")))</f>
        <v/>
      </c>
      <c r="B110" s="230"/>
      <c r="C110" s="231" t="str">
        <f>IF(B110="","",IFERROR(VLOOKUP(B110,DB_Customers!$A:$D,4,0),"❌ Account Not Found"))</f>
        <v/>
      </c>
      <c r="D110" s="232" t="str">
        <f t="shared" ref="D110:D141" ca="1" si="13">IF(B110="","",TODAY())</f>
        <v/>
      </c>
      <c r="E110" s="233"/>
      <c r="F110" s="231"/>
      <c r="G110" s="234"/>
      <c r="H110" s="235">
        <v>2.5</v>
      </c>
      <c r="I110" s="236" t="str">
        <f t="shared" ref="I110:I141" si="14">IF(E110="","",E110+(E110*H110/100*G110))</f>
        <v/>
      </c>
      <c r="J110" s="237" t="str">
        <f t="shared" ref="J110:J141" si="15">IFERROR(I110/G110,"")</f>
        <v/>
      </c>
      <c r="K110" s="238" t="str">
        <f>IF(B110="","Pending",IF(M110="","⚠️ Enter Code",IF(IFERROR(VLOOKUP(L110,DB_Agents!$B:$I,8,0),"")=M110,"Pending","🔒 BLOCKED — Wrong Code")))</f>
        <v>Pending</v>
      </c>
      <c r="L110" s="239" t="s">
        <v>138</v>
      </c>
      <c r="M110" s="240"/>
      <c r="N110" s="230"/>
    </row>
    <row r="111" spans="1:14" ht="18" customHeight="1" x14ac:dyDescent="0.25">
      <c r="A111" s="241" t="str">
        <f t="shared" si="12"/>
        <v/>
      </c>
      <c r="B111" s="242"/>
      <c r="C111" s="243" t="str">
        <f>IF(B111="","",IFERROR(VLOOKUP(B111,DB_Customers!$A:$D,4,0),"❌ Account Not Found"))</f>
        <v/>
      </c>
      <c r="D111" s="244" t="str">
        <f t="shared" ca="1" si="13"/>
        <v/>
      </c>
      <c r="E111" s="245"/>
      <c r="F111" s="243"/>
      <c r="G111" s="246"/>
      <c r="H111" s="247">
        <v>2.5</v>
      </c>
      <c r="I111" s="248" t="str">
        <f t="shared" si="14"/>
        <v/>
      </c>
      <c r="J111" s="249" t="str">
        <f t="shared" si="15"/>
        <v/>
      </c>
      <c r="K111" s="250" t="str">
        <f>IF(B111="","Pending",IF(M111="","⚠️ Enter Code",IF(IFERROR(VLOOKUP(L111,DB_Agents!$B:$I,8,0),"")=M111,"Pending","🔒 BLOCKED — Wrong Code")))</f>
        <v>Pending</v>
      </c>
      <c r="L111" s="251" t="s">
        <v>138</v>
      </c>
      <c r="M111" s="252"/>
      <c r="N111" s="242"/>
    </row>
    <row r="112" spans="1:14" ht="18" customHeight="1" x14ac:dyDescent="0.25">
      <c r="A112" s="229" t="str">
        <f t="shared" si="12"/>
        <v/>
      </c>
      <c r="B112" s="230"/>
      <c r="C112" s="231" t="str">
        <f>IF(B112="","",IFERROR(VLOOKUP(B112,DB_Customers!$A:$D,4,0),"❌ Account Not Found"))</f>
        <v/>
      </c>
      <c r="D112" s="232" t="str">
        <f t="shared" ca="1" si="13"/>
        <v/>
      </c>
      <c r="E112" s="233"/>
      <c r="F112" s="231"/>
      <c r="G112" s="234"/>
      <c r="H112" s="235">
        <v>2.5</v>
      </c>
      <c r="I112" s="236" t="str">
        <f t="shared" si="14"/>
        <v/>
      </c>
      <c r="J112" s="237" t="str">
        <f t="shared" si="15"/>
        <v/>
      </c>
      <c r="K112" s="238" t="str">
        <f>IF(B112="","Pending",IF(M112="","⚠️ Enter Code",IF(IFERROR(VLOOKUP(L112,DB_Agents!$B:$I,8,0),"")=M112,"Pending","🔒 BLOCKED — Wrong Code")))</f>
        <v>Pending</v>
      </c>
      <c r="L112" s="239" t="s">
        <v>138</v>
      </c>
      <c r="M112" s="240"/>
      <c r="N112" s="230"/>
    </row>
    <row r="113" spans="1:14" ht="18" customHeight="1" x14ac:dyDescent="0.25">
      <c r="A113" s="241" t="str">
        <f t="shared" si="12"/>
        <v/>
      </c>
      <c r="B113" s="242"/>
      <c r="C113" s="243" t="str">
        <f>IF(B113="","",IFERROR(VLOOKUP(B113,DB_Customers!$A:$D,4,0),"❌ Account Not Found"))</f>
        <v/>
      </c>
      <c r="D113" s="244" t="str">
        <f t="shared" ca="1" si="13"/>
        <v/>
      </c>
      <c r="E113" s="245"/>
      <c r="F113" s="243"/>
      <c r="G113" s="246"/>
      <c r="H113" s="247">
        <v>2.5</v>
      </c>
      <c r="I113" s="248" t="str">
        <f t="shared" si="14"/>
        <v/>
      </c>
      <c r="J113" s="249" t="str">
        <f t="shared" si="15"/>
        <v/>
      </c>
      <c r="K113" s="250" t="str">
        <f>IF(B113="","Pending",IF(M113="","⚠️ Enter Code",IF(IFERROR(VLOOKUP(L113,DB_Agents!$B:$I,8,0),"")=M113,"Pending","🔒 BLOCKED — Wrong Code")))</f>
        <v>Pending</v>
      </c>
      <c r="L113" s="251" t="s">
        <v>138</v>
      </c>
      <c r="M113" s="252"/>
      <c r="N113" s="242"/>
    </row>
    <row r="114" spans="1:14" ht="18" customHeight="1" x14ac:dyDescent="0.25">
      <c r="A114" s="253" t="str">
        <f t="shared" si="12"/>
        <v/>
      </c>
      <c r="B114" s="254"/>
      <c r="C114" s="254" t="str">
        <f>IF(B114="","",IFERROR(VLOOKUP(B114,DB_Customers!$A:$D,4,0),"❌ Account Not Found"))</f>
        <v/>
      </c>
      <c r="D114" s="253" t="str">
        <f t="shared" ca="1" si="13"/>
        <v/>
      </c>
      <c r="E114" s="254"/>
      <c r="F114" s="254"/>
      <c r="G114" s="253"/>
      <c r="H114" s="255">
        <v>2.5</v>
      </c>
      <c r="I114" s="253" t="str">
        <f t="shared" si="14"/>
        <v/>
      </c>
      <c r="J114" s="253" t="str">
        <f t="shared" si="15"/>
        <v/>
      </c>
      <c r="K114" s="253" t="str">
        <f>IF(B114="","Pending",IF(M114="","⚠️ Enter Code",IF(IFERROR(VLOOKUP(L114,DB_Agents!$B:$I,8,0),"")=M114,"Pending","🔒 BLOCKED — Wrong Code")))</f>
        <v>Pending</v>
      </c>
      <c r="L114" s="253" t="s">
        <v>138</v>
      </c>
      <c r="M114" s="240"/>
      <c r="N114" s="254"/>
    </row>
    <row r="115" spans="1:14" ht="18" customHeight="1" x14ac:dyDescent="0.25">
      <c r="A115" s="256" t="str">
        <f t="shared" si="12"/>
        <v/>
      </c>
      <c r="B115" s="257"/>
      <c r="C115" s="257" t="str">
        <f>IF(B115="","",IFERROR(VLOOKUP(B115,DB_Customers!$A:$D,4,0),"❌ Account Not Found"))</f>
        <v/>
      </c>
      <c r="D115" s="256" t="str">
        <f t="shared" ca="1" si="13"/>
        <v/>
      </c>
      <c r="E115" s="257"/>
      <c r="F115" s="257"/>
      <c r="G115" s="256"/>
      <c r="H115" s="258">
        <v>2.5</v>
      </c>
      <c r="I115" s="256" t="str">
        <f t="shared" si="14"/>
        <v/>
      </c>
      <c r="J115" s="256" t="str">
        <f t="shared" si="15"/>
        <v/>
      </c>
      <c r="K115" s="256" t="str">
        <f>IF(B115="","Pending",IF(M115="","⚠️ Enter Code",IF(IFERROR(VLOOKUP(L115,DB_Agents!$B:$I,8,0),"")=M115,"Pending","🔒 BLOCKED — Wrong Code")))</f>
        <v>Pending</v>
      </c>
      <c r="L115" s="256" t="s">
        <v>138</v>
      </c>
      <c r="M115" s="252"/>
      <c r="N115" s="257"/>
    </row>
    <row r="116" spans="1:14" ht="18" customHeight="1" x14ac:dyDescent="0.25">
      <c r="A116" s="253" t="str">
        <f t="shared" si="12"/>
        <v/>
      </c>
      <c r="B116" s="254"/>
      <c r="C116" s="254" t="str">
        <f>IF(B116="","",IFERROR(VLOOKUP(B116,DB_Customers!$A:$D,4,0),"❌ Account Not Found"))</f>
        <v/>
      </c>
      <c r="D116" s="253" t="str">
        <f t="shared" ca="1" si="13"/>
        <v/>
      </c>
      <c r="E116" s="254"/>
      <c r="F116" s="254"/>
      <c r="G116" s="253"/>
      <c r="H116" s="255">
        <v>2.5</v>
      </c>
      <c r="I116" s="253" t="str">
        <f t="shared" si="14"/>
        <v/>
      </c>
      <c r="J116" s="253" t="str">
        <f t="shared" si="15"/>
        <v/>
      </c>
      <c r="K116" s="253" t="str">
        <f>IF(B116="","Pending",IF(M116="","⚠️ Enter Code",IF(IFERROR(VLOOKUP(L116,DB_Agents!$B:$I,8,0),"")=M116,"Pending","🔒 BLOCKED — Wrong Code")))</f>
        <v>Pending</v>
      </c>
      <c r="L116" s="253" t="s">
        <v>138</v>
      </c>
      <c r="M116" s="240"/>
      <c r="N116" s="254"/>
    </row>
    <row r="117" spans="1:14" ht="18" customHeight="1" x14ac:dyDescent="0.25">
      <c r="A117" s="256" t="str">
        <f t="shared" si="12"/>
        <v/>
      </c>
      <c r="B117" s="257"/>
      <c r="C117" s="257" t="str">
        <f>IF(B117="","",IFERROR(VLOOKUP(B117,DB_Customers!$A:$D,4,0),"❌ Account Not Found"))</f>
        <v/>
      </c>
      <c r="D117" s="256" t="str">
        <f t="shared" ca="1" si="13"/>
        <v/>
      </c>
      <c r="E117" s="257"/>
      <c r="F117" s="257"/>
      <c r="G117" s="256"/>
      <c r="H117" s="258">
        <v>2.5</v>
      </c>
      <c r="I117" s="256" t="str">
        <f t="shared" si="14"/>
        <v/>
      </c>
      <c r="J117" s="256" t="str">
        <f t="shared" si="15"/>
        <v/>
      </c>
      <c r="K117" s="256" t="str">
        <f>IF(B117="","Pending",IF(M117="","⚠️ Enter Code",IF(IFERROR(VLOOKUP(L117,DB_Agents!$B:$I,8,0),"")=M117,"Pending","🔒 BLOCKED — Wrong Code")))</f>
        <v>Pending</v>
      </c>
      <c r="L117" s="256" t="s">
        <v>138</v>
      </c>
      <c r="M117" s="252"/>
      <c r="N117" s="257"/>
    </row>
    <row r="118" spans="1:14" ht="18" customHeight="1" x14ac:dyDescent="0.25">
      <c r="A118" s="253" t="str">
        <f t="shared" si="12"/>
        <v/>
      </c>
      <c r="B118" s="254"/>
      <c r="C118" s="254" t="str">
        <f>IF(B118="","",IFERROR(VLOOKUP(B118,DB_Customers!$A:$D,4,0),"❌ Account Not Found"))</f>
        <v/>
      </c>
      <c r="D118" s="253" t="str">
        <f t="shared" ca="1" si="13"/>
        <v/>
      </c>
      <c r="E118" s="254"/>
      <c r="F118" s="254"/>
      <c r="G118" s="253"/>
      <c r="H118" s="255">
        <v>2.5</v>
      </c>
      <c r="I118" s="253" t="str">
        <f t="shared" si="14"/>
        <v/>
      </c>
      <c r="J118" s="253" t="str">
        <f t="shared" si="15"/>
        <v/>
      </c>
      <c r="K118" s="253" t="str">
        <f>IF(B118="","Pending",IF(M118="","⚠️ Enter Code",IF(IFERROR(VLOOKUP(L118,DB_Agents!$B:$I,8,0),"")=M118,"Pending","🔒 BLOCKED — Wrong Code")))</f>
        <v>Pending</v>
      </c>
      <c r="L118" s="253" t="s">
        <v>138</v>
      </c>
      <c r="M118" s="240"/>
      <c r="N118" s="254"/>
    </row>
    <row r="119" spans="1:14" ht="18" customHeight="1" x14ac:dyDescent="0.25">
      <c r="A119" s="256" t="str">
        <f t="shared" si="12"/>
        <v/>
      </c>
      <c r="B119" s="257"/>
      <c r="C119" s="257" t="str">
        <f>IF(B119="","",IFERROR(VLOOKUP(B119,DB_Customers!$A:$D,4,0),"❌ Account Not Found"))</f>
        <v/>
      </c>
      <c r="D119" s="256" t="str">
        <f t="shared" ca="1" si="13"/>
        <v/>
      </c>
      <c r="E119" s="257"/>
      <c r="F119" s="257"/>
      <c r="G119" s="256"/>
      <c r="H119" s="258">
        <v>2.5</v>
      </c>
      <c r="I119" s="256" t="str">
        <f t="shared" si="14"/>
        <v/>
      </c>
      <c r="J119" s="256" t="str">
        <f t="shared" si="15"/>
        <v/>
      </c>
      <c r="K119" s="256" t="str">
        <f>IF(B119="","Pending",IF(M119="","⚠️ Enter Code",IF(IFERROR(VLOOKUP(L119,DB_Agents!$B:$I,8,0),"")=M119,"Pending","🔒 BLOCKED — Wrong Code")))</f>
        <v>Pending</v>
      </c>
      <c r="L119" s="256" t="s">
        <v>138</v>
      </c>
      <c r="M119" s="252"/>
      <c r="N119" s="257"/>
    </row>
    <row r="120" spans="1:14" ht="18" customHeight="1" x14ac:dyDescent="0.25">
      <c r="A120" s="253" t="str">
        <f t="shared" si="12"/>
        <v/>
      </c>
      <c r="B120" s="254"/>
      <c r="C120" s="254" t="str">
        <f>IF(B120="","",IFERROR(VLOOKUP(B120,DB_Customers!$A:$D,4,0),"❌ Account Not Found"))</f>
        <v/>
      </c>
      <c r="D120" s="253" t="str">
        <f t="shared" ca="1" si="13"/>
        <v/>
      </c>
      <c r="E120" s="254"/>
      <c r="F120" s="254"/>
      <c r="G120" s="253"/>
      <c r="H120" s="255">
        <v>2.5</v>
      </c>
      <c r="I120" s="253" t="str">
        <f t="shared" si="14"/>
        <v/>
      </c>
      <c r="J120" s="253" t="str">
        <f t="shared" si="15"/>
        <v/>
      </c>
      <c r="K120" s="253" t="str">
        <f>IF(B120="","Pending",IF(M120="","⚠️ Enter Code",IF(IFERROR(VLOOKUP(L120,DB_Agents!$B:$I,8,0),"")=M120,"Pending","🔒 BLOCKED — Wrong Code")))</f>
        <v>Pending</v>
      </c>
      <c r="L120" s="253" t="s">
        <v>138</v>
      </c>
      <c r="M120" s="240"/>
      <c r="N120" s="254"/>
    </row>
    <row r="121" spans="1:14" ht="18" customHeight="1" x14ac:dyDescent="0.25">
      <c r="A121" s="256" t="str">
        <f t="shared" si="12"/>
        <v/>
      </c>
      <c r="B121" s="257"/>
      <c r="C121" s="257" t="str">
        <f>IF(B121="","",IFERROR(VLOOKUP(B121,DB_Customers!$A:$D,4,0),"❌ Account Not Found"))</f>
        <v/>
      </c>
      <c r="D121" s="256" t="str">
        <f t="shared" ca="1" si="13"/>
        <v/>
      </c>
      <c r="E121" s="257"/>
      <c r="F121" s="257"/>
      <c r="G121" s="256"/>
      <c r="H121" s="258">
        <v>2.5</v>
      </c>
      <c r="I121" s="256" t="str">
        <f t="shared" si="14"/>
        <v/>
      </c>
      <c r="J121" s="256" t="str">
        <f t="shared" si="15"/>
        <v/>
      </c>
      <c r="K121" s="256" t="str">
        <f>IF(B121="","Pending",IF(M121="","⚠️ Enter Code",IF(IFERROR(VLOOKUP(L121,DB_Agents!$B:$I,8,0),"")=M121,"Pending","🔒 BLOCKED — Wrong Code")))</f>
        <v>Pending</v>
      </c>
      <c r="L121" s="256" t="s">
        <v>138</v>
      </c>
      <c r="M121" s="252"/>
      <c r="N121" s="257"/>
    </row>
    <row r="122" spans="1:14" ht="18" customHeight="1" x14ac:dyDescent="0.25">
      <c r="A122" s="253" t="str">
        <f t="shared" si="12"/>
        <v/>
      </c>
      <c r="B122" s="254"/>
      <c r="C122" s="254" t="str">
        <f>IF(B122="","",IFERROR(VLOOKUP(B122,DB_Customers!$A:$D,4,0),"❌ Account Not Found"))</f>
        <v/>
      </c>
      <c r="D122" s="253" t="str">
        <f t="shared" ca="1" si="13"/>
        <v/>
      </c>
      <c r="E122" s="254"/>
      <c r="F122" s="254"/>
      <c r="G122" s="253"/>
      <c r="H122" s="255">
        <v>2.5</v>
      </c>
      <c r="I122" s="253" t="str">
        <f t="shared" si="14"/>
        <v/>
      </c>
      <c r="J122" s="253" t="str">
        <f t="shared" si="15"/>
        <v/>
      </c>
      <c r="K122" s="253" t="str">
        <f>IF(B122="","Pending",IF(M122="","⚠️ Enter Code",IF(IFERROR(VLOOKUP(L122,DB_Agents!$B:$I,8,0),"")=M122,"Pending","🔒 BLOCKED — Wrong Code")))</f>
        <v>Pending</v>
      </c>
      <c r="L122" s="253" t="s">
        <v>138</v>
      </c>
      <c r="M122" s="240"/>
      <c r="N122" s="254"/>
    </row>
    <row r="123" spans="1:14" ht="18" customHeight="1" x14ac:dyDescent="0.25">
      <c r="A123" s="256" t="str">
        <f t="shared" si="12"/>
        <v/>
      </c>
      <c r="B123" s="257"/>
      <c r="C123" s="257" t="str">
        <f>IF(B123="","",IFERROR(VLOOKUP(B123,DB_Customers!$A:$D,4,0),"❌ Account Not Found"))</f>
        <v/>
      </c>
      <c r="D123" s="256" t="str">
        <f t="shared" ca="1" si="13"/>
        <v/>
      </c>
      <c r="E123" s="257"/>
      <c r="F123" s="257"/>
      <c r="G123" s="256"/>
      <c r="H123" s="258">
        <v>2.5</v>
      </c>
      <c r="I123" s="256" t="str">
        <f t="shared" si="14"/>
        <v/>
      </c>
      <c r="J123" s="256" t="str">
        <f t="shared" si="15"/>
        <v/>
      </c>
      <c r="K123" s="256" t="str">
        <f>IF(B123="","Pending",IF(M123="","⚠️ Enter Code",IF(IFERROR(VLOOKUP(L123,DB_Agents!$B:$I,8,0),"")=M123,"Pending","🔒 BLOCKED — Wrong Code")))</f>
        <v>Pending</v>
      </c>
      <c r="L123" s="256" t="s">
        <v>138</v>
      </c>
      <c r="M123" s="252"/>
      <c r="N123" s="257"/>
    </row>
    <row r="124" spans="1:14" ht="18" customHeight="1" x14ac:dyDescent="0.25">
      <c r="A124" s="253" t="str">
        <f t="shared" si="12"/>
        <v/>
      </c>
      <c r="B124" s="254"/>
      <c r="C124" s="254" t="str">
        <f>IF(B124="","",IFERROR(VLOOKUP(B124,DB_Customers!$A:$D,4,0),"❌ Account Not Found"))</f>
        <v/>
      </c>
      <c r="D124" s="253" t="str">
        <f t="shared" ca="1" si="13"/>
        <v/>
      </c>
      <c r="E124" s="254"/>
      <c r="F124" s="254"/>
      <c r="G124" s="253"/>
      <c r="H124" s="255">
        <v>2.5</v>
      </c>
      <c r="I124" s="253" t="str">
        <f t="shared" si="14"/>
        <v/>
      </c>
      <c r="J124" s="253" t="str">
        <f t="shared" si="15"/>
        <v/>
      </c>
      <c r="K124" s="253" t="str">
        <f>IF(B124="","Pending",IF(M124="","⚠️ Enter Code",IF(IFERROR(VLOOKUP(L124,DB_Agents!$B:$I,8,0),"")=M124,"Pending","🔒 BLOCKED — Wrong Code")))</f>
        <v>Pending</v>
      </c>
      <c r="L124" s="253" t="s">
        <v>138</v>
      </c>
      <c r="M124" s="240"/>
      <c r="N124" s="254"/>
    </row>
    <row r="125" spans="1:14" ht="18" customHeight="1" x14ac:dyDescent="0.25">
      <c r="A125" s="256" t="str">
        <f t="shared" si="12"/>
        <v/>
      </c>
      <c r="B125" s="257"/>
      <c r="C125" s="257" t="str">
        <f>IF(B125="","",IFERROR(VLOOKUP(B125,DB_Customers!$A:$D,4,0),"❌ Account Not Found"))</f>
        <v/>
      </c>
      <c r="D125" s="256" t="str">
        <f t="shared" ca="1" si="13"/>
        <v/>
      </c>
      <c r="E125" s="257"/>
      <c r="F125" s="257"/>
      <c r="G125" s="256"/>
      <c r="H125" s="258">
        <v>2.5</v>
      </c>
      <c r="I125" s="256" t="str">
        <f t="shared" si="14"/>
        <v/>
      </c>
      <c r="J125" s="256" t="str">
        <f t="shared" si="15"/>
        <v/>
      </c>
      <c r="K125" s="256" t="str">
        <f>IF(B125="","Pending",IF(M125="","⚠️ Enter Code",IF(IFERROR(VLOOKUP(L125,DB_Agents!$B:$I,8,0),"")=M125,"Pending","🔒 BLOCKED — Wrong Code")))</f>
        <v>Pending</v>
      </c>
      <c r="L125" s="256" t="s">
        <v>138</v>
      </c>
      <c r="M125" s="252"/>
      <c r="N125" s="257"/>
    </row>
    <row r="126" spans="1:14" ht="18" customHeight="1" x14ac:dyDescent="0.25">
      <c r="A126" s="253" t="str">
        <f t="shared" si="12"/>
        <v/>
      </c>
      <c r="B126" s="254"/>
      <c r="C126" s="254" t="str">
        <f>IF(B126="","",IFERROR(VLOOKUP(B126,DB_Customers!$A:$D,4,0),"❌ Account Not Found"))</f>
        <v/>
      </c>
      <c r="D126" s="253" t="str">
        <f t="shared" ca="1" si="13"/>
        <v/>
      </c>
      <c r="E126" s="254"/>
      <c r="F126" s="254"/>
      <c r="G126" s="253"/>
      <c r="H126" s="255">
        <v>2.5</v>
      </c>
      <c r="I126" s="253" t="str">
        <f t="shared" si="14"/>
        <v/>
      </c>
      <c r="J126" s="253" t="str">
        <f t="shared" si="15"/>
        <v/>
      </c>
      <c r="K126" s="253" t="str">
        <f>IF(B126="","Pending",IF(M126="","⚠️ Enter Code",IF(IFERROR(VLOOKUP(L126,DB_Agents!$B:$I,8,0),"")=M126,"Pending","🔒 BLOCKED — Wrong Code")))</f>
        <v>Pending</v>
      </c>
      <c r="L126" s="253" t="s">
        <v>138</v>
      </c>
      <c r="M126" s="240"/>
      <c r="N126" s="254"/>
    </row>
    <row r="127" spans="1:14" ht="18" customHeight="1" x14ac:dyDescent="0.25">
      <c r="A127" s="256" t="str">
        <f t="shared" si="12"/>
        <v/>
      </c>
      <c r="B127" s="257"/>
      <c r="C127" s="257" t="str">
        <f>IF(B127="","",IFERROR(VLOOKUP(B127,DB_Customers!$A:$D,4,0),"❌ Account Not Found"))</f>
        <v/>
      </c>
      <c r="D127" s="256" t="str">
        <f t="shared" ca="1" si="13"/>
        <v/>
      </c>
      <c r="E127" s="257"/>
      <c r="F127" s="257"/>
      <c r="G127" s="256"/>
      <c r="H127" s="258">
        <v>2.5</v>
      </c>
      <c r="I127" s="256" t="str">
        <f t="shared" si="14"/>
        <v/>
      </c>
      <c r="J127" s="256" t="str">
        <f t="shared" si="15"/>
        <v/>
      </c>
      <c r="K127" s="256" t="str">
        <f>IF(B127="","Pending",IF(M127="","⚠️ Enter Code",IF(IFERROR(VLOOKUP(L127,DB_Agents!$B:$I,8,0),"")=M127,"Pending","🔒 BLOCKED — Wrong Code")))</f>
        <v>Pending</v>
      </c>
      <c r="L127" s="256" t="s">
        <v>138</v>
      </c>
      <c r="M127" s="252"/>
      <c r="N127" s="257"/>
    </row>
    <row r="128" spans="1:14" ht="18" customHeight="1" x14ac:dyDescent="0.25">
      <c r="A128" s="253" t="str">
        <f t="shared" si="12"/>
        <v/>
      </c>
      <c r="B128" s="254"/>
      <c r="C128" s="254" t="str">
        <f>IF(B128="","",IFERROR(VLOOKUP(B128,DB_Customers!$A:$D,4,0),"❌ Account Not Found"))</f>
        <v/>
      </c>
      <c r="D128" s="253" t="str">
        <f t="shared" ca="1" si="13"/>
        <v/>
      </c>
      <c r="E128" s="254"/>
      <c r="F128" s="254"/>
      <c r="G128" s="253"/>
      <c r="H128" s="255">
        <v>2.5</v>
      </c>
      <c r="I128" s="253" t="str">
        <f t="shared" si="14"/>
        <v/>
      </c>
      <c r="J128" s="253" t="str">
        <f t="shared" si="15"/>
        <v/>
      </c>
      <c r="K128" s="253" t="str">
        <f>IF(B128="","Pending",IF(M128="","⚠️ Enter Code",IF(IFERROR(VLOOKUP(L128,DB_Agents!$B:$I,8,0),"")=M128,"Pending","🔒 BLOCKED — Wrong Code")))</f>
        <v>Pending</v>
      </c>
      <c r="L128" s="253" t="s">
        <v>138</v>
      </c>
      <c r="M128" s="240"/>
      <c r="N128" s="254"/>
    </row>
    <row r="129" spans="1:14" ht="18" customHeight="1" x14ac:dyDescent="0.25">
      <c r="A129" s="256" t="str">
        <f t="shared" si="12"/>
        <v/>
      </c>
      <c r="B129" s="257"/>
      <c r="C129" s="257" t="str">
        <f>IF(B129="","",IFERROR(VLOOKUP(B129,DB_Customers!$A:$D,4,0),"❌ Account Not Found"))</f>
        <v/>
      </c>
      <c r="D129" s="256" t="str">
        <f t="shared" ca="1" si="13"/>
        <v/>
      </c>
      <c r="E129" s="257"/>
      <c r="F129" s="257"/>
      <c r="G129" s="256"/>
      <c r="H129" s="258">
        <v>2.5</v>
      </c>
      <c r="I129" s="256" t="str">
        <f t="shared" si="14"/>
        <v/>
      </c>
      <c r="J129" s="256" t="str">
        <f t="shared" si="15"/>
        <v/>
      </c>
      <c r="K129" s="256" t="str">
        <f>IF(B129="","Pending",IF(M129="","⚠️ Enter Code",IF(IFERROR(VLOOKUP(L129,DB_Agents!$B:$I,8,0),"")=M129,"Pending","🔒 BLOCKED — Wrong Code")))</f>
        <v>Pending</v>
      </c>
      <c r="L129" s="256" t="s">
        <v>138</v>
      </c>
      <c r="M129" s="252"/>
      <c r="N129" s="257"/>
    </row>
    <row r="130" spans="1:14" ht="18" customHeight="1" x14ac:dyDescent="0.25">
      <c r="A130" s="253" t="str">
        <f t="shared" si="12"/>
        <v/>
      </c>
      <c r="B130" s="254"/>
      <c r="C130" s="254" t="str">
        <f>IF(B130="","",IFERROR(VLOOKUP(B130,DB_Customers!$A:$D,4,0),"❌ Account Not Found"))</f>
        <v/>
      </c>
      <c r="D130" s="253" t="str">
        <f t="shared" ca="1" si="13"/>
        <v/>
      </c>
      <c r="E130" s="254"/>
      <c r="F130" s="254"/>
      <c r="G130" s="253"/>
      <c r="H130" s="255">
        <v>2.5</v>
      </c>
      <c r="I130" s="253" t="str">
        <f t="shared" si="14"/>
        <v/>
      </c>
      <c r="J130" s="253" t="str">
        <f t="shared" si="15"/>
        <v/>
      </c>
      <c r="K130" s="253" t="str">
        <f>IF(B130="","Pending",IF(M130="","⚠️ Enter Code",IF(IFERROR(VLOOKUP(L130,DB_Agents!$B:$I,8,0),"")=M130,"Pending","🔒 BLOCKED — Wrong Code")))</f>
        <v>Pending</v>
      </c>
      <c r="L130" s="253" t="s">
        <v>138</v>
      </c>
      <c r="M130" s="240"/>
      <c r="N130" s="254"/>
    </row>
    <row r="131" spans="1:14" ht="18" customHeight="1" x14ac:dyDescent="0.25">
      <c r="A131" s="256" t="str">
        <f t="shared" si="12"/>
        <v/>
      </c>
      <c r="B131" s="257"/>
      <c r="C131" s="257" t="str">
        <f>IF(B131="","",IFERROR(VLOOKUP(B131,DB_Customers!$A:$D,4,0),"❌ Account Not Found"))</f>
        <v/>
      </c>
      <c r="D131" s="256" t="str">
        <f t="shared" ca="1" si="13"/>
        <v/>
      </c>
      <c r="E131" s="257"/>
      <c r="F131" s="257"/>
      <c r="G131" s="256"/>
      <c r="H131" s="258">
        <v>2.5</v>
      </c>
      <c r="I131" s="256" t="str">
        <f t="shared" si="14"/>
        <v/>
      </c>
      <c r="J131" s="256" t="str">
        <f t="shared" si="15"/>
        <v/>
      </c>
      <c r="K131" s="256" t="str">
        <f>IF(B131="","Pending",IF(M131="","⚠️ Enter Code",IF(IFERROR(VLOOKUP(L131,DB_Agents!$B:$I,8,0),"")=M131,"Pending","🔒 BLOCKED — Wrong Code")))</f>
        <v>Pending</v>
      </c>
      <c r="L131" s="256" t="s">
        <v>138</v>
      </c>
      <c r="M131" s="252"/>
      <c r="N131" s="257"/>
    </row>
    <row r="132" spans="1:14" ht="18" customHeight="1" x14ac:dyDescent="0.25">
      <c r="A132" s="253" t="str">
        <f t="shared" si="12"/>
        <v/>
      </c>
      <c r="B132" s="254"/>
      <c r="C132" s="254" t="str">
        <f>IF(B132="","",IFERROR(VLOOKUP(B132,DB_Customers!$A:$D,4,0),"❌ Account Not Found"))</f>
        <v/>
      </c>
      <c r="D132" s="253" t="str">
        <f t="shared" ca="1" si="13"/>
        <v/>
      </c>
      <c r="E132" s="254"/>
      <c r="F132" s="254"/>
      <c r="G132" s="253"/>
      <c r="H132" s="255">
        <v>2.5</v>
      </c>
      <c r="I132" s="253" t="str">
        <f t="shared" si="14"/>
        <v/>
      </c>
      <c r="J132" s="253" t="str">
        <f t="shared" si="15"/>
        <v/>
      </c>
      <c r="K132" s="253" t="str">
        <f>IF(B132="","Pending",IF(M132="","⚠️ Enter Code",IF(IFERROR(VLOOKUP(L132,DB_Agents!$B:$I,8,0),"")=M132,"Pending","🔒 BLOCKED — Wrong Code")))</f>
        <v>Pending</v>
      </c>
      <c r="L132" s="253" t="s">
        <v>138</v>
      </c>
      <c r="M132" s="240"/>
      <c r="N132" s="254"/>
    </row>
    <row r="133" spans="1:14" ht="18" customHeight="1" x14ac:dyDescent="0.25">
      <c r="A133" s="256" t="str">
        <f t="shared" si="12"/>
        <v/>
      </c>
      <c r="B133" s="257"/>
      <c r="C133" s="257" t="str">
        <f>IF(B133="","",IFERROR(VLOOKUP(B133,DB_Customers!$A:$D,4,0),"❌ Account Not Found"))</f>
        <v/>
      </c>
      <c r="D133" s="256" t="str">
        <f t="shared" ca="1" si="13"/>
        <v/>
      </c>
      <c r="E133" s="257"/>
      <c r="F133" s="257"/>
      <c r="G133" s="256"/>
      <c r="H133" s="258">
        <v>2.5</v>
      </c>
      <c r="I133" s="256" t="str">
        <f t="shared" si="14"/>
        <v/>
      </c>
      <c r="J133" s="256" t="str">
        <f t="shared" si="15"/>
        <v/>
      </c>
      <c r="K133" s="256" t="str">
        <f>IF(B133="","Pending",IF(M133="","⚠️ Enter Code",IF(IFERROR(VLOOKUP(L133,DB_Agents!$B:$I,8,0),"")=M133,"Pending","🔒 BLOCKED — Wrong Code")))</f>
        <v>Pending</v>
      </c>
      <c r="L133" s="256" t="s">
        <v>138</v>
      </c>
      <c r="M133" s="252"/>
      <c r="N133" s="257"/>
    </row>
    <row r="134" spans="1:14" ht="18" customHeight="1" x14ac:dyDescent="0.25">
      <c r="A134" s="253" t="str">
        <f t="shared" si="12"/>
        <v/>
      </c>
      <c r="B134" s="254"/>
      <c r="C134" s="254" t="str">
        <f>IF(B134="","",IFERROR(VLOOKUP(B134,DB_Customers!$A:$D,4,0),"❌ Account Not Found"))</f>
        <v/>
      </c>
      <c r="D134" s="253" t="str">
        <f t="shared" ca="1" si="13"/>
        <v/>
      </c>
      <c r="E134" s="254"/>
      <c r="F134" s="254"/>
      <c r="G134" s="253"/>
      <c r="H134" s="255">
        <v>2.5</v>
      </c>
      <c r="I134" s="253" t="str">
        <f t="shared" si="14"/>
        <v/>
      </c>
      <c r="J134" s="253" t="str">
        <f t="shared" si="15"/>
        <v/>
      </c>
      <c r="K134" s="253" t="str">
        <f>IF(B134="","Pending",IF(M134="","⚠️ Enter Code",IF(IFERROR(VLOOKUP(L134,DB_Agents!$B:$I,8,0),"")=M134,"Pending","🔒 BLOCKED — Wrong Code")))</f>
        <v>Pending</v>
      </c>
      <c r="L134" s="253" t="s">
        <v>138</v>
      </c>
      <c r="M134" s="240"/>
      <c r="N134" s="254"/>
    </row>
    <row r="135" spans="1:14" ht="18" customHeight="1" x14ac:dyDescent="0.25">
      <c r="A135" s="256" t="str">
        <f t="shared" si="12"/>
        <v/>
      </c>
      <c r="B135" s="257"/>
      <c r="C135" s="257" t="str">
        <f>IF(B135="","",IFERROR(VLOOKUP(B135,DB_Customers!$A:$D,4,0),"❌ Account Not Found"))</f>
        <v/>
      </c>
      <c r="D135" s="256" t="str">
        <f t="shared" ca="1" si="13"/>
        <v/>
      </c>
      <c r="E135" s="257"/>
      <c r="F135" s="257"/>
      <c r="G135" s="256"/>
      <c r="H135" s="258">
        <v>2.5</v>
      </c>
      <c r="I135" s="256" t="str">
        <f t="shared" si="14"/>
        <v/>
      </c>
      <c r="J135" s="256" t="str">
        <f t="shared" si="15"/>
        <v/>
      </c>
      <c r="K135" s="256" t="str">
        <f>IF(B135="","Pending",IF(M135="","⚠️ Enter Code",IF(IFERROR(VLOOKUP(L135,DB_Agents!$B:$I,8,0),"")=M135,"Pending","🔒 BLOCKED — Wrong Code")))</f>
        <v>Pending</v>
      </c>
      <c r="L135" s="256" t="s">
        <v>138</v>
      </c>
      <c r="M135" s="252"/>
      <c r="N135" s="257"/>
    </row>
    <row r="136" spans="1:14" ht="18" customHeight="1" x14ac:dyDescent="0.25">
      <c r="A136" s="253" t="str">
        <f t="shared" si="12"/>
        <v/>
      </c>
      <c r="B136" s="254"/>
      <c r="C136" s="254" t="str">
        <f>IF(B136="","",IFERROR(VLOOKUP(B136,DB_Customers!$A:$D,4,0),"❌ Account Not Found"))</f>
        <v/>
      </c>
      <c r="D136" s="253" t="str">
        <f t="shared" ca="1" si="13"/>
        <v/>
      </c>
      <c r="E136" s="254"/>
      <c r="F136" s="254"/>
      <c r="G136" s="253"/>
      <c r="H136" s="255">
        <v>2.5</v>
      </c>
      <c r="I136" s="253" t="str">
        <f t="shared" si="14"/>
        <v/>
      </c>
      <c r="J136" s="253" t="str">
        <f t="shared" si="15"/>
        <v/>
      </c>
      <c r="K136" s="253" t="str">
        <f>IF(B136="","Pending",IF(M136="","⚠️ Enter Code",IF(IFERROR(VLOOKUP(L136,DB_Agents!$B:$I,8,0),"")=M136,"Pending","🔒 BLOCKED — Wrong Code")))</f>
        <v>Pending</v>
      </c>
      <c r="L136" s="253" t="s">
        <v>138</v>
      </c>
      <c r="M136" s="240"/>
      <c r="N136" s="254"/>
    </row>
    <row r="137" spans="1:14" ht="18" customHeight="1" x14ac:dyDescent="0.25">
      <c r="A137" s="256" t="str">
        <f t="shared" si="12"/>
        <v/>
      </c>
      <c r="B137" s="257"/>
      <c r="C137" s="257" t="str">
        <f>IF(B137="","",IFERROR(VLOOKUP(B137,DB_Customers!$A:$D,4,0),"❌ Account Not Found"))</f>
        <v/>
      </c>
      <c r="D137" s="256" t="str">
        <f t="shared" ca="1" si="13"/>
        <v/>
      </c>
      <c r="E137" s="257"/>
      <c r="F137" s="257"/>
      <c r="G137" s="256"/>
      <c r="H137" s="258">
        <v>2.5</v>
      </c>
      <c r="I137" s="256" t="str">
        <f t="shared" si="14"/>
        <v/>
      </c>
      <c r="J137" s="256" t="str">
        <f t="shared" si="15"/>
        <v/>
      </c>
      <c r="K137" s="256" t="str">
        <f>IF(B137="","Pending",IF(M137="","⚠️ Enter Code",IF(IFERROR(VLOOKUP(L137,DB_Agents!$B:$I,8,0),"")=M137,"Pending","🔒 BLOCKED — Wrong Code")))</f>
        <v>Pending</v>
      </c>
      <c r="L137" s="256" t="s">
        <v>138</v>
      </c>
      <c r="M137" s="252"/>
      <c r="N137" s="257"/>
    </row>
    <row r="138" spans="1:14" ht="18" customHeight="1" x14ac:dyDescent="0.25">
      <c r="A138" s="253" t="str">
        <f t="shared" si="12"/>
        <v/>
      </c>
      <c r="B138" s="254"/>
      <c r="C138" s="254" t="str">
        <f>IF(B138="","",IFERROR(VLOOKUP(B138,DB_Customers!$A:$D,4,0),"❌ Account Not Found"))</f>
        <v/>
      </c>
      <c r="D138" s="253" t="str">
        <f t="shared" ca="1" si="13"/>
        <v/>
      </c>
      <c r="E138" s="254"/>
      <c r="F138" s="254"/>
      <c r="G138" s="253"/>
      <c r="H138" s="255">
        <v>2.5</v>
      </c>
      <c r="I138" s="253" t="str">
        <f t="shared" si="14"/>
        <v/>
      </c>
      <c r="J138" s="253" t="str">
        <f t="shared" si="15"/>
        <v/>
      </c>
      <c r="K138" s="253" t="str">
        <f>IF(B138="","Pending",IF(M138="","⚠️ Enter Code",IF(IFERROR(VLOOKUP(L138,DB_Agents!$B:$I,8,0),"")=M138,"Pending","🔒 BLOCKED — Wrong Code")))</f>
        <v>Pending</v>
      </c>
      <c r="L138" s="253" t="s">
        <v>138</v>
      </c>
      <c r="M138" s="240"/>
      <c r="N138" s="254"/>
    </row>
    <row r="139" spans="1:14" ht="18" customHeight="1" x14ac:dyDescent="0.25">
      <c r="A139" s="256" t="str">
        <f t="shared" si="12"/>
        <v/>
      </c>
      <c r="B139" s="257"/>
      <c r="C139" s="257" t="str">
        <f>IF(B139="","",IFERROR(VLOOKUP(B139,DB_Customers!$A:$D,4,0),"❌ Account Not Found"))</f>
        <v/>
      </c>
      <c r="D139" s="256" t="str">
        <f t="shared" ca="1" si="13"/>
        <v/>
      </c>
      <c r="E139" s="257"/>
      <c r="F139" s="257"/>
      <c r="G139" s="256"/>
      <c r="H139" s="258">
        <v>2.5</v>
      </c>
      <c r="I139" s="256" t="str">
        <f t="shared" si="14"/>
        <v/>
      </c>
      <c r="J139" s="256" t="str">
        <f t="shared" si="15"/>
        <v/>
      </c>
      <c r="K139" s="256" t="str">
        <f>IF(B139="","Pending",IF(M139="","⚠️ Enter Code",IF(IFERROR(VLOOKUP(L139,DB_Agents!$B:$I,8,0),"")=M139,"Pending","🔒 BLOCKED — Wrong Code")))</f>
        <v>Pending</v>
      </c>
      <c r="L139" s="256" t="s">
        <v>138</v>
      </c>
      <c r="M139" s="252"/>
      <c r="N139" s="257"/>
    </row>
    <row r="140" spans="1:14" ht="18" customHeight="1" x14ac:dyDescent="0.25">
      <c r="A140" s="253" t="str">
        <f t="shared" si="12"/>
        <v/>
      </c>
      <c r="B140" s="254"/>
      <c r="C140" s="254" t="str">
        <f>IF(B140="","",IFERROR(VLOOKUP(B140,DB_Customers!$A:$D,4,0),"❌ Account Not Found"))</f>
        <v/>
      </c>
      <c r="D140" s="253" t="str">
        <f t="shared" ca="1" si="13"/>
        <v/>
      </c>
      <c r="E140" s="254"/>
      <c r="F140" s="254"/>
      <c r="G140" s="253"/>
      <c r="H140" s="255">
        <v>2.5</v>
      </c>
      <c r="I140" s="253" t="str">
        <f t="shared" si="14"/>
        <v/>
      </c>
      <c r="J140" s="253" t="str">
        <f t="shared" si="15"/>
        <v/>
      </c>
      <c r="K140" s="253" t="str">
        <f>IF(B140="","Pending",IF(M140="","⚠️ Enter Code",IF(IFERROR(VLOOKUP(L140,DB_Agents!$B:$I,8,0),"")=M140,"Pending","🔒 BLOCKED — Wrong Code")))</f>
        <v>Pending</v>
      </c>
      <c r="L140" s="253" t="s">
        <v>138</v>
      </c>
      <c r="M140" s="240"/>
      <c r="N140" s="254"/>
    </row>
    <row r="141" spans="1:14" ht="18" customHeight="1" x14ac:dyDescent="0.25">
      <c r="A141" s="256" t="str">
        <f t="shared" si="12"/>
        <v/>
      </c>
      <c r="B141" s="257"/>
      <c r="C141" s="257" t="str">
        <f>IF(B141="","",IFERROR(VLOOKUP(B141,DB_Customers!$A:$D,4,0),"❌ Account Not Found"))</f>
        <v/>
      </c>
      <c r="D141" s="256" t="str">
        <f t="shared" ca="1" si="13"/>
        <v/>
      </c>
      <c r="E141" s="257"/>
      <c r="F141" s="257"/>
      <c r="G141" s="256"/>
      <c r="H141" s="258">
        <v>2.5</v>
      </c>
      <c r="I141" s="256" t="str">
        <f t="shared" si="14"/>
        <v/>
      </c>
      <c r="J141" s="256" t="str">
        <f t="shared" si="15"/>
        <v/>
      </c>
      <c r="K141" s="256" t="str">
        <f>IF(B141="","Pending",IF(M141="","⚠️ Enter Code",IF(IFERROR(VLOOKUP(L141,DB_Agents!$B:$I,8,0),"")=M141,"Pending","🔒 BLOCKED — Wrong Code")))</f>
        <v>Pending</v>
      </c>
      <c r="L141" s="256" t="s">
        <v>138</v>
      </c>
      <c r="M141" s="252"/>
      <c r="N141" s="257"/>
    </row>
    <row r="142" spans="1:14" ht="18" customHeight="1" x14ac:dyDescent="0.25">
      <c r="A142" s="253" t="str">
        <f t="shared" ref="A142:A173" si="16">IF(B142="","",IF(C142="❌ Account Not Found","INVALID","LN"&amp;TEXT(D142,"YYYYMMDD")&amp;TEXT(ROW()-13,"0000")))</f>
        <v/>
      </c>
      <c r="B142" s="254"/>
      <c r="C142" s="254" t="str">
        <f>IF(B142="","",IFERROR(VLOOKUP(B142,DB_Customers!$A:$D,4,0),"❌ Account Not Found"))</f>
        <v/>
      </c>
      <c r="D142" s="253" t="str">
        <f t="shared" ref="D142:D173" ca="1" si="17">IF(B142="","",TODAY())</f>
        <v/>
      </c>
      <c r="E142" s="254"/>
      <c r="F142" s="254"/>
      <c r="G142" s="253"/>
      <c r="H142" s="255">
        <v>2.5</v>
      </c>
      <c r="I142" s="253" t="str">
        <f t="shared" ref="I142:I173" si="18">IF(E142="","",E142+(E142*H142/100*G142))</f>
        <v/>
      </c>
      <c r="J142" s="253" t="str">
        <f t="shared" ref="J142:J173" si="19">IFERROR(I142/G142,"")</f>
        <v/>
      </c>
      <c r="K142" s="253" t="str">
        <f>IF(B142="","Pending",IF(M142="","⚠️ Enter Code",IF(IFERROR(VLOOKUP(L142,DB_Agents!$B:$I,8,0),"")=M142,"Pending","🔒 BLOCKED — Wrong Code")))</f>
        <v>Pending</v>
      </c>
      <c r="L142" s="253" t="s">
        <v>138</v>
      </c>
      <c r="M142" s="240"/>
      <c r="N142" s="254"/>
    </row>
    <row r="143" spans="1:14" ht="18" customHeight="1" x14ac:dyDescent="0.25">
      <c r="A143" s="256" t="str">
        <f t="shared" si="16"/>
        <v/>
      </c>
      <c r="B143" s="257"/>
      <c r="C143" s="257" t="str">
        <f>IF(B143="","",IFERROR(VLOOKUP(B143,DB_Customers!$A:$D,4,0),"❌ Account Not Found"))</f>
        <v/>
      </c>
      <c r="D143" s="256" t="str">
        <f t="shared" ca="1" si="17"/>
        <v/>
      </c>
      <c r="E143" s="257"/>
      <c r="F143" s="257"/>
      <c r="G143" s="256"/>
      <c r="H143" s="258">
        <v>2.5</v>
      </c>
      <c r="I143" s="256" t="str">
        <f t="shared" si="18"/>
        <v/>
      </c>
      <c r="J143" s="256" t="str">
        <f t="shared" si="19"/>
        <v/>
      </c>
      <c r="K143" s="256" t="str">
        <f>IF(B143="","Pending",IF(M143="","⚠️ Enter Code",IF(IFERROR(VLOOKUP(L143,DB_Agents!$B:$I,8,0),"")=M143,"Pending","🔒 BLOCKED — Wrong Code")))</f>
        <v>Pending</v>
      </c>
      <c r="L143" s="256" t="s">
        <v>138</v>
      </c>
      <c r="M143" s="252"/>
      <c r="N143" s="257"/>
    </row>
    <row r="144" spans="1:14" ht="18" customHeight="1" x14ac:dyDescent="0.25">
      <c r="A144" s="253" t="str">
        <f t="shared" si="16"/>
        <v/>
      </c>
      <c r="B144" s="254"/>
      <c r="C144" s="254" t="str">
        <f>IF(B144="","",IFERROR(VLOOKUP(B144,DB_Customers!$A:$D,4,0),"❌ Account Not Found"))</f>
        <v/>
      </c>
      <c r="D144" s="253" t="str">
        <f t="shared" ca="1" si="17"/>
        <v/>
      </c>
      <c r="E144" s="254"/>
      <c r="F144" s="254"/>
      <c r="G144" s="253"/>
      <c r="H144" s="255">
        <v>2.5</v>
      </c>
      <c r="I144" s="253" t="str">
        <f t="shared" si="18"/>
        <v/>
      </c>
      <c r="J144" s="253" t="str">
        <f t="shared" si="19"/>
        <v/>
      </c>
      <c r="K144" s="253" t="str">
        <f>IF(B144="","Pending",IF(M144="","⚠️ Enter Code",IF(IFERROR(VLOOKUP(L144,DB_Agents!$B:$I,8,0),"")=M144,"Pending","🔒 BLOCKED — Wrong Code")))</f>
        <v>Pending</v>
      </c>
      <c r="L144" s="253" t="s">
        <v>138</v>
      </c>
      <c r="M144" s="240"/>
      <c r="N144" s="254"/>
    </row>
    <row r="145" spans="1:14" ht="18" customHeight="1" x14ac:dyDescent="0.25">
      <c r="A145" s="256" t="str">
        <f t="shared" si="16"/>
        <v/>
      </c>
      <c r="B145" s="257"/>
      <c r="C145" s="257" t="str">
        <f>IF(B145="","",IFERROR(VLOOKUP(B145,DB_Customers!$A:$D,4,0),"❌ Account Not Found"))</f>
        <v/>
      </c>
      <c r="D145" s="256" t="str">
        <f t="shared" ca="1" si="17"/>
        <v/>
      </c>
      <c r="E145" s="257"/>
      <c r="F145" s="257"/>
      <c r="G145" s="256"/>
      <c r="H145" s="258">
        <v>2.5</v>
      </c>
      <c r="I145" s="256" t="str">
        <f t="shared" si="18"/>
        <v/>
      </c>
      <c r="J145" s="256" t="str">
        <f t="shared" si="19"/>
        <v/>
      </c>
      <c r="K145" s="256" t="str">
        <f>IF(B145="","Pending",IF(M145="","⚠️ Enter Code",IF(IFERROR(VLOOKUP(L145,DB_Agents!$B:$I,8,0),"")=M145,"Pending","🔒 BLOCKED — Wrong Code")))</f>
        <v>Pending</v>
      </c>
      <c r="L145" s="256" t="s">
        <v>138</v>
      </c>
      <c r="M145" s="252"/>
      <c r="N145" s="257"/>
    </row>
    <row r="146" spans="1:14" ht="18" customHeight="1" x14ac:dyDescent="0.25">
      <c r="A146" s="253" t="str">
        <f t="shared" si="16"/>
        <v/>
      </c>
      <c r="B146" s="254"/>
      <c r="C146" s="254" t="str">
        <f>IF(B146="","",IFERROR(VLOOKUP(B146,DB_Customers!$A:$D,4,0),"❌ Account Not Found"))</f>
        <v/>
      </c>
      <c r="D146" s="253" t="str">
        <f t="shared" ca="1" si="17"/>
        <v/>
      </c>
      <c r="E146" s="254"/>
      <c r="F146" s="254"/>
      <c r="G146" s="253"/>
      <c r="H146" s="255">
        <v>2.5</v>
      </c>
      <c r="I146" s="253" t="str">
        <f t="shared" si="18"/>
        <v/>
      </c>
      <c r="J146" s="253" t="str">
        <f t="shared" si="19"/>
        <v/>
      </c>
      <c r="K146" s="253" t="str">
        <f>IF(B146="","Pending",IF(M146="","⚠️ Enter Code",IF(IFERROR(VLOOKUP(L146,DB_Agents!$B:$I,8,0),"")=M146,"Pending","🔒 BLOCKED — Wrong Code")))</f>
        <v>Pending</v>
      </c>
      <c r="L146" s="253" t="s">
        <v>138</v>
      </c>
      <c r="M146" s="240"/>
      <c r="N146" s="254"/>
    </row>
    <row r="147" spans="1:14" ht="18" customHeight="1" x14ac:dyDescent="0.25">
      <c r="A147" s="256" t="str">
        <f t="shared" si="16"/>
        <v/>
      </c>
      <c r="B147" s="257"/>
      <c r="C147" s="257" t="str">
        <f>IF(B147="","",IFERROR(VLOOKUP(B147,DB_Customers!$A:$D,4,0),"❌ Account Not Found"))</f>
        <v/>
      </c>
      <c r="D147" s="256" t="str">
        <f t="shared" ca="1" si="17"/>
        <v/>
      </c>
      <c r="E147" s="257"/>
      <c r="F147" s="257"/>
      <c r="G147" s="256"/>
      <c r="H147" s="258">
        <v>2.5</v>
      </c>
      <c r="I147" s="256" t="str">
        <f t="shared" si="18"/>
        <v/>
      </c>
      <c r="J147" s="256" t="str">
        <f t="shared" si="19"/>
        <v/>
      </c>
      <c r="K147" s="256" t="str">
        <f>IF(B147="","Pending",IF(M147="","⚠️ Enter Code",IF(IFERROR(VLOOKUP(L147,DB_Agents!$B:$I,8,0),"")=M147,"Pending","🔒 BLOCKED — Wrong Code")))</f>
        <v>Pending</v>
      </c>
      <c r="L147" s="256" t="s">
        <v>138</v>
      </c>
      <c r="M147" s="252"/>
      <c r="N147" s="257"/>
    </row>
    <row r="148" spans="1:14" ht="18" customHeight="1" x14ac:dyDescent="0.25">
      <c r="A148" s="253" t="str">
        <f t="shared" si="16"/>
        <v/>
      </c>
      <c r="B148" s="254"/>
      <c r="C148" s="254" t="str">
        <f>IF(B148="","",IFERROR(VLOOKUP(B148,DB_Customers!$A:$D,4,0),"❌ Account Not Found"))</f>
        <v/>
      </c>
      <c r="D148" s="253" t="str">
        <f t="shared" ca="1" si="17"/>
        <v/>
      </c>
      <c r="E148" s="254"/>
      <c r="F148" s="254"/>
      <c r="G148" s="253"/>
      <c r="H148" s="255">
        <v>2.5</v>
      </c>
      <c r="I148" s="253" t="str">
        <f t="shared" si="18"/>
        <v/>
      </c>
      <c r="J148" s="253" t="str">
        <f t="shared" si="19"/>
        <v/>
      </c>
      <c r="K148" s="253" t="str">
        <f>IF(B148="","Pending",IF(M148="","⚠️ Enter Code",IF(IFERROR(VLOOKUP(L148,DB_Agents!$B:$I,8,0),"")=M148,"Pending","🔒 BLOCKED — Wrong Code")))</f>
        <v>Pending</v>
      </c>
      <c r="L148" s="253" t="s">
        <v>138</v>
      </c>
      <c r="M148" s="240"/>
      <c r="N148" s="254"/>
    </row>
    <row r="149" spans="1:14" ht="18" customHeight="1" x14ac:dyDescent="0.25">
      <c r="A149" s="256" t="str">
        <f t="shared" si="16"/>
        <v/>
      </c>
      <c r="B149" s="257"/>
      <c r="C149" s="257" t="str">
        <f>IF(B149="","",IFERROR(VLOOKUP(B149,DB_Customers!$A:$D,4,0),"❌ Account Not Found"))</f>
        <v/>
      </c>
      <c r="D149" s="256" t="str">
        <f t="shared" ca="1" si="17"/>
        <v/>
      </c>
      <c r="E149" s="257"/>
      <c r="F149" s="257"/>
      <c r="G149" s="256"/>
      <c r="H149" s="258">
        <v>2.5</v>
      </c>
      <c r="I149" s="256" t="str">
        <f t="shared" si="18"/>
        <v/>
      </c>
      <c r="J149" s="256" t="str">
        <f t="shared" si="19"/>
        <v/>
      </c>
      <c r="K149" s="256" t="str">
        <f>IF(B149="","Pending",IF(M149="","⚠️ Enter Code",IF(IFERROR(VLOOKUP(L149,DB_Agents!$B:$I,8,0),"")=M149,"Pending","🔒 BLOCKED — Wrong Code")))</f>
        <v>Pending</v>
      </c>
      <c r="L149" s="256" t="s">
        <v>138</v>
      </c>
      <c r="M149" s="252"/>
      <c r="N149" s="257"/>
    </row>
    <row r="150" spans="1:14" ht="18" customHeight="1" x14ac:dyDescent="0.25">
      <c r="A150" s="253" t="str">
        <f t="shared" si="16"/>
        <v/>
      </c>
      <c r="B150" s="254"/>
      <c r="C150" s="254" t="str">
        <f>IF(B150="","",IFERROR(VLOOKUP(B150,DB_Customers!$A:$D,4,0),"❌ Account Not Found"))</f>
        <v/>
      </c>
      <c r="D150" s="253" t="str">
        <f t="shared" ca="1" si="17"/>
        <v/>
      </c>
      <c r="E150" s="254"/>
      <c r="F150" s="254"/>
      <c r="G150" s="253"/>
      <c r="H150" s="255">
        <v>2.5</v>
      </c>
      <c r="I150" s="253" t="str">
        <f t="shared" si="18"/>
        <v/>
      </c>
      <c r="J150" s="253" t="str">
        <f t="shared" si="19"/>
        <v/>
      </c>
      <c r="K150" s="253" t="str">
        <f>IF(B150="","Pending",IF(M150="","⚠️ Enter Code",IF(IFERROR(VLOOKUP(L150,DB_Agents!$B:$I,8,0),"")=M150,"Pending","🔒 BLOCKED — Wrong Code")))</f>
        <v>Pending</v>
      </c>
      <c r="L150" s="253" t="s">
        <v>138</v>
      </c>
      <c r="M150" s="240"/>
      <c r="N150" s="254"/>
    </row>
    <row r="151" spans="1:14" ht="18" customHeight="1" x14ac:dyDescent="0.25">
      <c r="A151" s="256" t="str">
        <f t="shared" si="16"/>
        <v/>
      </c>
      <c r="B151" s="257"/>
      <c r="C151" s="257" t="str">
        <f>IF(B151="","",IFERROR(VLOOKUP(B151,DB_Customers!$A:$D,4,0),"❌ Account Not Found"))</f>
        <v/>
      </c>
      <c r="D151" s="256" t="str">
        <f t="shared" ca="1" si="17"/>
        <v/>
      </c>
      <c r="E151" s="257"/>
      <c r="F151" s="257"/>
      <c r="G151" s="256"/>
      <c r="H151" s="258">
        <v>2.5</v>
      </c>
      <c r="I151" s="256" t="str">
        <f t="shared" si="18"/>
        <v/>
      </c>
      <c r="J151" s="256" t="str">
        <f t="shared" si="19"/>
        <v/>
      </c>
      <c r="K151" s="256" t="str">
        <f>IF(B151="","Pending",IF(M151="","⚠️ Enter Code",IF(IFERROR(VLOOKUP(L151,DB_Agents!$B:$I,8,0),"")=M151,"Pending","🔒 BLOCKED — Wrong Code")))</f>
        <v>Pending</v>
      </c>
      <c r="L151" s="256" t="s">
        <v>138</v>
      </c>
      <c r="M151" s="252"/>
      <c r="N151" s="257"/>
    </row>
    <row r="152" spans="1:14" ht="18" customHeight="1" x14ac:dyDescent="0.25">
      <c r="A152" s="253" t="str">
        <f t="shared" si="16"/>
        <v/>
      </c>
      <c r="B152" s="254"/>
      <c r="C152" s="254" t="str">
        <f>IF(B152="","",IFERROR(VLOOKUP(B152,DB_Customers!$A:$D,4,0),"❌ Account Not Found"))</f>
        <v/>
      </c>
      <c r="D152" s="253" t="str">
        <f t="shared" ca="1" si="17"/>
        <v/>
      </c>
      <c r="E152" s="254"/>
      <c r="F152" s="254"/>
      <c r="G152" s="253"/>
      <c r="H152" s="255">
        <v>2.5</v>
      </c>
      <c r="I152" s="253" t="str">
        <f t="shared" si="18"/>
        <v/>
      </c>
      <c r="J152" s="253" t="str">
        <f t="shared" si="19"/>
        <v/>
      </c>
      <c r="K152" s="253" t="str">
        <f>IF(B152="","Pending",IF(M152="","⚠️ Enter Code",IF(IFERROR(VLOOKUP(L152,DB_Agents!$B:$I,8,0),"")=M152,"Pending","🔒 BLOCKED — Wrong Code")))</f>
        <v>Pending</v>
      </c>
      <c r="L152" s="253" t="s">
        <v>138</v>
      </c>
      <c r="M152" s="240"/>
      <c r="N152" s="254"/>
    </row>
    <row r="153" spans="1:14" ht="18" customHeight="1" x14ac:dyDescent="0.25">
      <c r="A153" s="256" t="str">
        <f t="shared" si="16"/>
        <v/>
      </c>
      <c r="B153" s="257"/>
      <c r="C153" s="257" t="str">
        <f>IF(B153="","",IFERROR(VLOOKUP(B153,DB_Customers!$A:$D,4,0),"❌ Account Not Found"))</f>
        <v/>
      </c>
      <c r="D153" s="256" t="str">
        <f t="shared" ca="1" si="17"/>
        <v/>
      </c>
      <c r="E153" s="257"/>
      <c r="F153" s="257"/>
      <c r="G153" s="256"/>
      <c r="H153" s="258">
        <v>2.5</v>
      </c>
      <c r="I153" s="256" t="str">
        <f t="shared" si="18"/>
        <v/>
      </c>
      <c r="J153" s="256" t="str">
        <f t="shared" si="19"/>
        <v/>
      </c>
      <c r="K153" s="256" t="str">
        <f>IF(B153="","Pending",IF(M153="","⚠️ Enter Code",IF(IFERROR(VLOOKUP(L153,DB_Agents!$B:$I,8,0),"")=M153,"Pending","🔒 BLOCKED — Wrong Code")))</f>
        <v>Pending</v>
      </c>
      <c r="L153" s="256" t="s">
        <v>138</v>
      </c>
      <c r="M153" s="252"/>
      <c r="N153" s="257"/>
    </row>
    <row r="154" spans="1:14" ht="18" customHeight="1" x14ac:dyDescent="0.25">
      <c r="A154" s="253" t="str">
        <f t="shared" si="16"/>
        <v/>
      </c>
      <c r="B154" s="254"/>
      <c r="C154" s="254" t="str">
        <f>IF(B154="","",IFERROR(VLOOKUP(B154,DB_Customers!$A:$D,4,0),"❌ Account Not Found"))</f>
        <v/>
      </c>
      <c r="D154" s="253" t="str">
        <f t="shared" ca="1" si="17"/>
        <v/>
      </c>
      <c r="E154" s="254"/>
      <c r="F154" s="254"/>
      <c r="G154" s="253"/>
      <c r="H154" s="255">
        <v>2.5</v>
      </c>
      <c r="I154" s="253" t="str">
        <f t="shared" si="18"/>
        <v/>
      </c>
      <c r="J154" s="253" t="str">
        <f t="shared" si="19"/>
        <v/>
      </c>
      <c r="K154" s="253" t="str">
        <f>IF(B154="","Pending",IF(M154="","⚠️ Enter Code",IF(IFERROR(VLOOKUP(L154,DB_Agents!$B:$I,8,0),"")=M154,"Pending","🔒 BLOCKED — Wrong Code")))</f>
        <v>Pending</v>
      </c>
      <c r="L154" s="253" t="s">
        <v>138</v>
      </c>
      <c r="M154" s="240"/>
      <c r="N154" s="254"/>
    </row>
    <row r="155" spans="1:14" ht="18" customHeight="1" x14ac:dyDescent="0.25">
      <c r="A155" s="256" t="str">
        <f t="shared" si="16"/>
        <v/>
      </c>
      <c r="B155" s="257"/>
      <c r="C155" s="257" t="str">
        <f>IF(B155="","",IFERROR(VLOOKUP(B155,DB_Customers!$A:$D,4,0),"❌ Account Not Found"))</f>
        <v/>
      </c>
      <c r="D155" s="256" t="str">
        <f t="shared" ca="1" si="17"/>
        <v/>
      </c>
      <c r="E155" s="257"/>
      <c r="F155" s="257"/>
      <c r="G155" s="256"/>
      <c r="H155" s="258">
        <v>2.5</v>
      </c>
      <c r="I155" s="256" t="str">
        <f t="shared" si="18"/>
        <v/>
      </c>
      <c r="J155" s="256" t="str">
        <f t="shared" si="19"/>
        <v/>
      </c>
      <c r="K155" s="256" t="str">
        <f>IF(B155="","Pending",IF(M155="","⚠️ Enter Code",IF(IFERROR(VLOOKUP(L155,DB_Agents!$B:$I,8,0),"")=M155,"Pending","🔒 BLOCKED — Wrong Code")))</f>
        <v>Pending</v>
      </c>
      <c r="L155" s="256" t="s">
        <v>138</v>
      </c>
      <c r="M155" s="252"/>
      <c r="N155" s="257"/>
    </row>
    <row r="156" spans="1:14" ht="18" customHeight="1" x14ac:dyDescent="0.25">
      <c r="A156" s="253" t="str">
        <f t="shared" si="16"/>
        <v/>
      </c>
      <c r="B156" s="254"/>
      <c r="C156" s="254" t="str">
        <f>IF(B156="","",IFERROR(VLOOKUP(B156,DB_Customers!$A:$D,4,0),"❌ Account Not Found"))</f>
        <v/>
      </c>
      <c r="D156" s="253" t="str">
        <f t="shared" ca="1" si="17"/>
        <v/>
      </c>
      <c r="E156" s="254"/>
      <c r="F156" s="254"/>
      <c r="G156" s="253"/>
      <c r="H156" s="255">
        <v>2.5</v>
      </c>
      <c r="I156" s="253" t="str">
        <f t="shared" si="18"/>
        <v/>
      </c>
      <c r="J156" s="253" t="str">
        <f t="shared" si="19"/>
        <v/>
      </c>
      <c r="K156" s="253" t="str">
        <f>IF(B156="","Pending",IF(M156="","⚠️ Enter Code",IF(IFERROR(VLOOKUP(L156,DB_Agents!$B:$I,8,0),"")=M156,"Pending","🔒 BLOCKED — Wrong Code")))</f>
        <v>Pending</v>
      </c>
      <c r="L156" s="253" t="s">
        <v>138</v>
      </c>
      <c r="M156" s="240"/>
      <c r="N156" s="254"/>
    </row>
    <row r="157" spans="1:14" ht="18" customHeight="1" x14ac:dyDescent="0.25">
      <c r="A157" s="256" t="str">
        <f t="shared" si="16"/>
        <v/>
      </c>
      <c r="B157" s="257"/>
      <c r="C157" s="257" t="str">
        <f>IF(B157="","",IFERROR(VLOOKUP(B157,DB_Customers!$A:$D,4,0),"❌ Account Not Found"))</f>
        <v/>
      </c>
      <c r="D157" s="256" t="str">
        <f t="shared" ca="1" si="17"/>
        <v/>
      </c>
      <c r="E157" s="257"/>
      <c r="F157" s="257"/>
      <c r="G157" s="256"/>
      <c r="H157" s="258">
        <v>2.5</v>
      </c>
      <c r="I157" s="256" t="str">
        <f t="shared" si="18"/>
        <v/>
      </c>
      <c r="J157" s="256" t="str">
        <f t="shared" si="19"/>
        <v/>
      </c>
      <c r="K157" s="256" t="str">
        <f>IF(B157="","Pending",IF(M157="","⚠️ Enter Code",IF(IFERROR(VLOOKUP(L157,DB_Agents!$B:$I,8,0),"")=M157,"Pending","🔒 BLOCKED — Wrong Code")))</f>
        <v>Pending</v>
      </c>
      <c r="L157" s="256" t="s">
        <v>138</v>
      </c>
      <c r="M157" s="252"/>
      <c r="N157" s="257"/>
    </row>
    <row r="158" spans="1:14" ht="18" customHeight="1" x14ac:dyDescent="0.25">
      <c r="A158" s="253" t="str">
        <f t="shared" si="16"/>
        <v/>
      </c>
      <c r="B158" s="254"/>
      <c r="C158" s="254" t="str">
        <f>IF(B158="","",IFERROR(VLOOKUP(B158,DB_Customers!$A:$D,4,0),"❌ Account Not Found"))</f>
        <v/>
      </c>
      <c r="D158" s="253" t="str">
        <f t="shared" ca="1" si="17"/>
        <v/>
      </c>
      <c r="E158" s="254"/>
      <c r="F158" s="254"/>
      <c r="G158" s="253"/>
      <c r="H158" s="255">
        <v>2.5</v>
      </c>
      <c r="I158" s="253" t="str">
        <f t="shared" si="18"/>
        <v/>
      </c>
      <c r="J158" s="253" t="str">
        <f t="shared" si="19"/>
        <v/>
      </c>
      <c r="K158" s="253" t="str">
        <f>IF(B158="","Pending",IF(M158="","⚠️ Enter Code",IF(IFERROR(VLOOKUP(L158,DB_Agents!$B:$I,8,0),"")=M158,"Pending","🔒 BLOCKED — Wrong Code")))</f>
        <v>Pending</v>
      </c>
      <c r="L158" s="253" t="s">
        <v>138</v>
      </c>
      <c r="M158" s="240"/>
      <c r="N158" s="254"/>
    </row>
    <row r="159" spans="1:14" ht="18" customHeight="1" x14ac:dyDescent="0.25">
      <c r="A159" s="256" t="str">
        <f t="shared" si="16"/>
        <v/>
      </c>
      <c r="B159" s="257"/>
      <c r="C159" s="257" t="str">
        <f>IF(B159="","",IFERROR(VLOOKUP(B159,DB_Customers!$A:$D,4,0),"❌ Account Not Found"))</f>
        <v/>
      </c>
      <c r="D159" s="256" t="str">
        <f t="shared" ca="1" si="17"/>
        <v/>
      </c>
      <c r="E159" s="257"/>
      <c r="F159" s="257"/>
      <c r="G159" s="256"/>
      <c r="H159" s="258">
        <v>2.5</v>
      </c>
      <c r="I159" s="256" t="str">
        <f t="shared" si="18"/>
        <v/>
      </c>
      <c r="J159" s="256" t="str">
        <f t="shared" si="19"/>
        <v/>
      </c>
      <c r="K159" s="256" t="str">
        <f>IF(B159="","Pending",IF(M159="","⚠️ Enter Code",IF(IFERROR(VLOOKUP(L159,DB_Agents!$B:$I,8,0),"")=M159,"Pending","🔒 BLOCKED — Wrong Code")))</f>
        <v>Pending</v>
      </c>
      <c r="L159" s="256" t="s">
        <v>138</v>
      </c>
      <c r="M159" s="252"/>
      <c r="N159" s="257"/>
    </row>
    <row r="160" spans="1:14" ht="18" customHeight="1" x14ac:dyDescent="0.25">
      <c r="A160" s="253" t="str">
        <f t="shared" si="16"/>
        <v/>
      </c>
      <c r="B160" s="254"/>
      <c r="C160" s="254" t="str">
        <f>IF(B160="","",IFERROR(VLOOKUP(B160,DB_Customers!$A:$D,4,0),"❌ Account Not Found"))</f>
        <v/>
      </c>
      <c r="D160" s="253" t="str">
        <f t="shared" ca="1" si="17"/>
        <v/>
      </c>
      <c r="E160" s="254"/>
      <c r="F160" s="254"/>
      <c r="G160" s="253"/>
      <c r="H160" s="255">
        <v>2.5</v>
      </c>
      <c r="I160" s="253" t="str">
        <f t="shared" si="18"/>
        <v/>
      </c>
      <c r="J160" s="253" t="str">
        <f t="shared" si="19"/>
        <v/>
      </c>
      <c r="K160" s="253" t="str">
        <f>IF(B160="","Pending",IF(M160="","⚠️ Enter Code",IF(IFERROR(VLOOKUP(L160,DB_Agents!$B:$I,8,0),"")=M160,"Pending","🔒 BLOCKED — Wrong Code")))</f>
        <v>Pending</v>
      </c>
      <c r="L160" s="253" t="s">
        <v>138</v>
      </c>
      <c r="M160" s="240"/>
      <c r="N160" s="254"/>
    </row>
    <row r="161" spans="1:14" ht="18" customHeight="1" x14ac:dyDescent="0.25">
      <c r="A161" s="256" t="str">
        <f t="shared" si="16"/>
        <v/>
      </c>
      <c r="B161" s="257"/>
      <c r="C161" s="257" t="str">
        <f>IF(B161="","",IFERROR(VLOOKUP(B161,DB_Customers!$A:$D,4,0),"❌ Account Not Found"))</f>
        <v/>
      </c>
      <c r="D161" s="256" t="str">
        <f t="shared" ca="1" si="17"/>
        <v/>
      </c>
      <c r="E161" s="257"/>
      <c r="F161" s="257"/>
      <c r="G161" s="256"/>
      <c r="H161" s="258">
        <v>2.5</v>
      </c>
      <c r="I161" s="256" t="str">
        <f t="shared" si="18"/>
        <v/>
      </c>
      <c r="J161" s="256" t="str">
        <f t="shared" si="19"/>
        <v/>
      </c>
      <c r="K161" s="256" t="str">
        <f>IF(B161="","Pending",IF(M161="","⚠️ Enter Code",IF(IFERROR(VLOOKUP(L161,DB_Agents!$B:$I,8,0),"")=M161,"Pending","🔒 BLOCKED — Wrong Code")))</f>
        <v>Pending</v>
      </c>
      <c r="L161" s="256" t="s">
        <v>138</v>
      </c>
      <c r="M161" s="252"/>
      <c r="N161" s="257"/>
    </row>
    <row r="162" spans="1:14" ht="18" customHeight="1" x14ac:dyDescent="0.25">
      <c r="A162" s="253" t="str">
        <f t="shared" si="16"/>
        <v/>
      </c>
      <c r="B162" s="254"/>
      <c r="C162" s="254" t="str">
        <f>IF(B162="","",IFERROR(VLOOKUP(B162,DB_Customers!$A:$D,4,0),"❌ Account Not Found"))</f>
        <v/>
      </c>
      <c r="D162" s="253" t="str">
        <f t="shared" ca="1" si="17"/>
        <v/>
      </c>
      <c r="E162" s="254"/>
      <c r="F162" s="254"/>
      <c r="G162" s="253"/>
      <c r="H162" s="255">
        <v>2.5</v>
      </c>
      <c r="I162" s="253" t="str">
        <f t="shared" si="18"/>
        <v/>
      </c>
      <c r="J162" s="253" t="str">
        <f t="shared" si="19"/>
        <v/>
      </c>
      <c r="K162" s="253" t="str">
        <f>IF(B162="","Pending",IF(M162="","⚠️ Enter Code",IF(IFERROR(VLOOKUP(L162,DB_Agents!$B:$I,8,0),"")=M162,"Pending","🔒 BLOCKED — Wrong Code")))</f>
        <v>Pending</v>
      </c>
      <c r="L162" s="253" t="s">
        <v>138</v>
      </c>
      <c r="M162" s="240"/>
      <c r="N162" s="254"/>
    </row>
    <row r="163" spans="1:14" ht="18" customHeight="1" x14ac:dyDescent="0.25">
      <c r="A163" s="256" t="str">
        <f t="shared" si="16"/>
        <v/>
      </c>
      <c r="B163" s="257"/>
      <c r="C163" s="257" t="str">
        <f>IF(B163="","",IFERROR(VLOOKUP(B163,DB_Customers!$A:$D,4,0),"❌ Account Not Found"))</f>
        <v/>
      </c>
      <c r="D163" s="256" t="str">
        <f t="shared" ca="1" si="17"/>
        <v/>
      </c>
      <c r="E163" s="257"/>
      <c r="F163" s="257"/>
      <c r="G163" s="256"/>
      <c r="H163" s="258">
        <v>2.5</v>
      </c>
      <c r="I163" s="256" t="str">
        <f t="shared" si="18"/>
        <v/>
      </c>
      <c r="J163" s="256" t="str">
        <f t="shared" si="19"/>
        <v/>
      </c>
      <c r="K163" s="256" t="str">
        <f>IF(B163="","Pending",IF(M163="","⚠️ Enter Code",IF(IFERROR(VLOOKUP(L163,DB_Agents!$B:$I,8,0),"")=M163,"Pending","🔒 BLOCKED — Wrong Code")))</f>
        <v>Pending</v>
      </c>
      <c r="L163" s="256" t="s">
        <v>138</v>
      </c>
      <c r="M163" s="252"/>
      <c r="N163" s="257"/>
    </row>
    <row r="164" spans="1:14" ht="18" customHeight="1" x14ac:dyDescent="0.25">
      <c r="A164" s="253" t="str">
        <f t="shared" si="16"/>
        <v/>
      </c>
      <c r="B164" s="254"/>
      <c r="C164" s="254" t="str">
        <f>IF(B164="","",IFERROR(VLOOKUP(B164,DB_Customers!$A:$D,4,0),"❌ Account Not Found"))</f>
        <v/>
      </c>
      <c r="D164" s="253" t="str">
        <f t="shared" ca="1" si="17"/>
        <v/>
      </c>
      <c r="E164" s="254"/>
      <c r="F164" s="254"/>
      <c r="G164" s="253"/>
      <c r="H164" s="255">
        <v>2.5</v>
      </c>
      <c r="I164" s="253" t="str">
        <f t="shared" si="18"/>
        <v/>
      </c>
      <c r="J164" s="253" t="str">
        <f t="shared" si="19"/>
        <v/>
      </c>
      <c r="K164" s="253" t="str">
        <f>IF(B164="","Pending",IF(M164="","⚠️ Enter Code",IF(IFERROR(VLOOKUP(L164,DB_Agents!$B:$I,8,0),"")=M164,"Pending","🔒 BLOCKED — Wrong Code")))</f>
        <v>Pending</v>
      </c>
      <c r="L164" s="253" t="s">
        <v>138</v>
      </c>
      <c r="M164" s="240"/>
      <c r="N164" s="254"/>
    </row>
    <row r="165" spans="1:14" ht="18" customHeight="1" x14ac:dyDescent="0.25">
      <c r="A165" s="256" t="str">
        <f t="shared" si="16"/>
        <v/>
      </c>
      <c r="B165" s="257"/>
      <c r="C165" s="257" t="str">
        <f>IF(B165="","",IFERROR(VLOOKUP(B165,DB_Customers!$A:$D,4,0),"❌ Account Not Found"))</f>
        <v/>
      </c>
      <c r="D165" s="256" t="str">
        <f t="shared" ca="1" si="17"/>
        <v/>
      </c>
      <c r="E165" s="257"/>
      <c r="F165" s="257"/>
      <c r="G165" s="256"/>
      <c r="H165" s="258">
        <v>2.5</v>
      </c>
      <c r="I165" s="256" t="str">
        <f t="shared" si="18"/>
        <v/>
      </c>
      <c r="J165" s="256" t="str">
        <f t="shared" si="19"/>
        <v/>
      </c>
      <c r="K165" s="256" t="str">
        <f>IF(B165="","Pending",IF(M165="","⚠️ Enter Code",IF(IFERROR(VLOOKUP(L165,DB_Agents!$B:$I,8,0),"")=M165,"Pending","🔒 BLOCKED — Wrong Code")))</f>
        <v>Pending</v>
      </c>
      <c r="L165" s="256" t="s">
        <v>138</v>
      </c>
      <c r="M165" s="252"/>
      <c r="N165" s="257"/>
    </row>
    <row r="166" spans="1:14" ht="18" customHeight="1" x14ac:dyDescent="0.25">
      <c r="A166" s="253" t="str">
        <f t="shared" si="16"/>
        <v/>
      </c>
      <c r="B166" s="254"/>
      <c r="C166" s="254" t="str">
        <f>IF(B166="","",IFERROR(VLOOKUP(B166,DB_Customers!$A:$D,4,0),"❌ Account Not Found"))</f>
        <v/>
      </c>
      <c r="D166" s="253" t="str">
        <f t="shared" ca="1" si="17"/>
        <v/>
      </c>
      <c r="E166" s="254"/>
      <c r="F166" s="254"/>
      <c r="G166" s="253"/>
      <c r="H166" s="255">
        <v>2.5</v>
      </c>
      <c r="I166" s="253" t="str">
        <f t="shared" si="18"/>
        <v/>
      </c>
      <c r="J166" s="253" t="str">
        <f t="shared" si="19"/>
        <v/>
      </c>
      <c r="K166" s="253" t="str">
        <f>IF(B166="","Pending",IF(M166="","⚠️ Enter Code",IF(IFERROR(VLOOKUP(L166,DB_Agents!$B:$I,8,0),"")=M166,"Pending","🔒 BLOCKED — Wrong Code")))</f>
        <v>Pending</v>
      </c>
      <c r="L166" s="253" t="s">
        <v>138</v>
      </c>
      <c r="M166" s="240"/>
      <c r="N166" s="254"/>
    </row>
    <row r="167" spans="1:14" ht="18" customHeight="1" x14ac:dyDescent="0.25">
      <c r="A167" s="256" t="str">
        <f t="shared" si="16"/>
        <v/>
      </c>
      <c r="B167" s="257"/>
      <c r="C167" s="257" t="str">
        <f>IF(B167="","",IFERROR(VLOOKUP(B167,DB_Customers!$A:$D,4,0),"❌ Account Not Found"))</f>
        <v/>
      </c>
      <c r="D167" s="256" t="str">
        <f t="shared" ca="1" si="17"/>
        <v/>
      </c>
      <c r="E167" s="257"/>
      <c r="F167" s="257"/>
      <c r="G167" s="256"/>
      <c r="H167" s="258">
        <v>2.5</v>
      </c>
      <c r="I167" s="256" t="str">
        <f t="shared" si="18"/>
        <v/>
      </c>
      <c r="J167" s="256" t="str">
        <f t="shared" si="19"/>
        <v/>
      </c>
      <c r="K167" s="256" t="str">
        <f>IF(B167="","Pending",IF(M167="","⚠️ Enter Code",IF(IFERROR(VLOOKUP(L167,DB_Agents!$B:$I,8,0),"")=M167,"Pending","🔒 BLOCKED — Wrong Code")))</f>
        <v>Pending</v>
      </c>
      <c r="L167" s="256" t="s">
        <v>138</v>
      </c>
      <c r="M167" s="252"/>
      <c r="N167" s="257"/>
    </row>
    <row r="168" spans="1:14" ht="18" customHeight="1" x14ac:dyDescent="0.25">
      <c r="A168" s="253" t="str">
        <f t="shared" si="16"/>
        <v/>
      </c>
      <c r="B168" s="254"/>
      <c r="C168" s="254" t="str">
        <f>IF(B168="","",IFERROR(VLOOKUP(B168,DB_Customers!$A:$D,4,0),"❌ Account Not Found"))</f>
        <v/>
      </c>
      <c r="D168" s="253" t="str">
        <f t="shared" ca="1" si="17"/>
        <v/>
      </c>
      <c r="E168" s="254"/>
      <c r="F168" s="254"/>
      <c r="G168" s="253"/>
      <c r="H168" s="255">
        <v>2.5</v>
      </c>
      <c r="I168" s="253" t="str">
        <f t="shared" si="18"/>
        <v/>
      </c>
      <c r="J168" s="253" t="str">
        <f t="shared" si="19"/>
        <v/>
      </c>
      <c r="K168" s="253" t="str">
        <f>IF(B168="","Pending",IF(M168="","⚠️ Enter Code",IF(IFERROR(VLOOKUP(L168,DB_Agents!$B:$I,8,0),"")=M168,"Pending","🔒 BLOCKED — Wrong Code")))</f>
        <v>Pending</v>
      </c>
      <c r="L168" s="253" t="s">
        <v>138</v>
      </c>
      <c r="M168" s="240"/>
      <c r="N168" s="254"/>
    </row>
    <row r="169" spans="1:14" ht="18" customHeight="1" x14ac:dyDescent="0.25">
      <c r="A169" s="256" t="str">
        <f t="shared" si="16"/>
        <v/>
      </c>
      <c r="B169" s="257"/>
      <c r="C169" s="257" t="str">
        <f>IF(B169="","",IFERROR(VLOOKUP(B169,DB_Customers!$A:$D,4,0),"❌ Account Not Found"))</f>
        <v/>
      </c>
      <c r="D169" s="256" t="str">
        <f t="shared" ca="1" si="17"/>
        <v/>
      </c>
      <c r="E169" s="257"/>
      <c r="F169" s="257"/>
      <c r="G169" s="256"/>
      <c r="H169" s="258">
        <v>2.5</v>
      </c>
      <c r="I169" s="256" t="str">
        <f t="shared" si="18"/>
        <v/>
      </c>
      <c r="J169" s="256" t="str">
        <f t="shared" si="19"/>
        <v/>
      </c>
      <c r="K169" s="256" t="str">
        <f>IF(B169="","Pending",IF(M169="","⚠️ Enter Code",IF(IFERROR(VLOOKUP(L169,DB_Agents!$B:$I,8,0),"")=M169,"Pending","🔒 BLOCKED — Wrong Code")))</f>
        <v>Pending</v>
      </c>
      <c r="L169" s="256" t="s">
        <v>138</v>
      </c>
      <c r="M169" s="252"/>
      <c r="N169" s="257"/>
    </row>
    <row r="170" spans="1:14" ht="18" customHeight="1" x14ac:dyDescent="0.25">
      <c r="A170" s="253" t="str">
        <f t="shared" si="16"/>
        <v/>
      </c>
      <c r="B170" s="254"/>
      <c r="C170" s="254" t="str">
        <f>IF(B170="","",IFERROR(VLOOKUP(B170,DB_Customers!$A:$D,4,0),"❌ Account Not Found"))</f>
        <v/>
      </c>
      <c r="D170" s="253" t="str">
        <f t="shared" ca="1" si="17"/>
        <v/>
      </c>
      <c r="E170" s="254"/>
      <c r="F170" s="254"/>
      <c r="G170" s="253"/>
      <c r="H170" s="255">
        <v>2.5</v>
      </c>
      <c r="I170" s="253" t="str">
        <f t="shared" si="18"/>
        <v/>
      </c>
      <c r="J170" s="253" t="str">
        <f t="shared" si="19"/>
        <v/>
      </c>
      <c r="K170" s="253" t="str">
        <f>IF(B170="","Pending",IF(M170="","⚠️ Enter Code",IF(IFERROR(VLOOKUP(L170,DB_Agents!$B:$I,8,0),"")=M170,"Pending","🔒 BLOCKED — Wrong Code")))</f>
        <v>Pending</v>
      </c>
      <c r="L170" s="253" t="s">
        <v>138</v>
      </c>
      <c r="M170" s="240"/>
      <c r="N170" s="254"/>
    </row>
    <row r="171" spans="1:14" ht="18" customHeight="1" x14ac:dyDescent="0.25">
      <c r="A171" s="256" t="str">
        <f t="shared" si="16"/>
        <v/>
      </c>
      <c r="B171" s="257"/>
      <c r="C171" s="257" t="str">
        <f>IF(B171="","",IFERROR(VLOOKUP(B171,DB_Customers!$A:$D,4,0),"❌ Account Not Found"))</f>
        <v/>
      </c>
      <c r="D171" s="256" t="str">
        <f t="shared" ca="1" si="17"/>
        <v/>
      </c>
      <c r="E171" s="257"/>
      <c r="F171" s="257"/>
      <c r="G171" s="256"/>
      <c r="H171" s="258">
        <v>2.5</v>
      </c>
      <c r="I171" s="256" t="str">
        <f t="shared" si="18"/>
        <v/>
      </c>
      <c r="J171" s="256" t="str">
        <f t="shared" si="19"/>
        <v/>
      </c>
      <c r="K171" s="256" t="str">
        <f>IF(B171="","Pending",IF(M171="","⚠️ Enter Code",IF(IFERROR(VLOOKUP(L171,DB_Agents!$B:$I,8,0),"")=M171,"Pending","🔒 BLOCKED — Wrong Code")))</f>
        <v>Pending</v>
      </c>
      <c r="L171" s="256" t="s">
        <v>138</v>
      </c>
      <c r="M171" s="252"/>
      <c r="N171" s="257"/>
    </row>
    <row r="172" spans="1:14" ht="18" customHeight="1" x14ac:dyDescent="0.25">
      <c r="A172" s="253" t="str">
        <f t="shared" si="16"/>
        <v/>
      </c>
      <c r="B172" s="254"/>
      <c r="C172" s="254" t="str">
        <f>IF(B172="","",IFERROR(VLOOKUP(B172,DB_Customers!$A:$D,4,0),"❌ Account Not Found"))</f>
        <v/>
      </c>
      <c r="D172" s="253" t="str">
        <f t="shared" ca="1" si="17"/>
        <v/>
      </c>
      <c r="E172" s="254"/>
      <c r="F172" s="254"/>
      <c r="G172" s="253"/>
      <c r="H172" s="255">
        <v>2.5</v>
      </c>
      <c r="I172" s="253" t="str">
        <f t="shared" si="18"/>
        <v/>
      </c>
      <c r="J172" s="253" t="str">
        <f t="shared" si="19"/>
        <v/>
      </c>
      <c r="K172" s="253" t="str">
        <f>IF(B172="","Pending",IF(M172="","⚠️ Enter Code",IF(IFERROR(VLOOKUP(L172,DB_Agents!$B:$I,8,0),"")=M172,"Pending","🔒 BLOCKED — Wrong Code")))</f>
        <v>Pending</v>
      </c>
      <c r="L172" s="253" t="s">
        <v>138</v>
      </c>
      <c r="M172" s="240"/>
      <c r="N172" s="254"/>
    </row>
    <row r="173" spans="1:14" ht="18" customHeight="1" x14ac:dyDescent="0.25">
      <c r="A173" s="256" t="str">
        <f t="shared" si="16"/>
        <v/>
      </c>
      <c r="B173" s="257"/>
      <c r="C173" s="257" t="str">
        <f>IF(B173="","",IFERROR(VLOOKUP(B173,DB_Customers!$A:$D,4,0),"❌ Account Not Found"))</f>
        <v/>
      </c>
      <c r="D173" s="256" t="str">
        <f t="shared" ca="1" si="17"/>
        <v/>
      </c>
      <c r="E173" s="257"/>
      <c r="F173" s="257"/>
      <c r="G173" s="256"/>
      <c r="H173" s="258">
        <v>2.5</v>
      </c>
      <c r="I173" s="256" t="str">
        <f t="shared" si="18"/>
        <v/>
      </c>
      <c r="J173" s="256" t="str">
        <f t="shared" si="19"/>
        <v/>
      </c>
      <c r="K173" s="256" t="str">
        <f>IF(B173="","Pending",IF(M173="","⚠️ Enter Code",IF(IFERROR(VLOOKUP(L173,DB_Agents!$B:$I,8,0),"")=M173,"Pending","🔒 BLOCKED — Wrong Code")))</f>
        <v>Pending</v>
      </c>
      <c r="L173" s="256" t="s">
        <v>138</v>
      </c>
      <c r="M173" s="252"/>
      <c r="N173" s="257"/>
    </row>
    <row r="174" spans="1:14" ht="18" customHeight="1" x14ac:dyDescent="0.25">
      <c r="A174" s="253" t="str">
        <f t="shared" ref="A174:A205" si="20">IF(B174="","",IF(C174="❌ Account Not Found","INVALID","LN"&amp;TEXT(D174,"YYYYMMDD")&amp;TEXT(ROW()-13,"0000")))</f>
        <v/>
      </c>
      <c r="B174" s="254"/>
      <c r="C174" s="254" t="str">
        <f>IF(B174="","",IFERROR(VLOOKUP(B174,DB_Customers!$A:$D,4,0),"❌ Account Not Found"))</f>
        <v/>
      </c>
      <c r="D174" s="253" t="str">
        <f t="shared" ref="D174:D205" ca="1" si="21">IF(B174="","",TODAY())</f>
        <v/>
      </c>
      <c r="E174" s="254"/>
      <c r="F174" s="254"/>
      <c r="G174" s="253"/>
      <c r="H174" s="255">
        <v>2.5</v>
      </c>
      <c r="I174" s="253" t="str">
        <f t="shared" ref="I174:I205" si="22">IF(E174="","",E174+(E174*H174/100*G174))</f>
        <v/>
      </c>
      <c r="J174" s="253" t="str">
        <f t="shared" ref="J174:J205" si="23">IFERROR(I174/G174,"")</f>
        <v/>
      </c>
      <c r="K174" s="253" t="str">
        <f>IF(B174="","Pending",IF(M174="","⚠️ Enter Code",IF(IFERROR(VLOOKUP(L174,DB_Agents!$B:$I,8,0),"")=M174,"Pending","🔒 BLOCKED — Wrong Code")))</f>
        <v>Pending</v>
      </c>
      <c r="L174" s="253" t="s">
        <v>138</v>
      </c>
      <c r="M174" s="240"/>
      <c r="N174" s="254"/>
    </row>
    <row r="175" spans="1:14" ht="18" customHeight="1" x14ac:dyDescent="0.25">
      <c r="A175" s="256" t="str">
        <f t="shared" si="20"/>
        <v/>
      </c>
      <c r="B175" s="257"/>
      <c r="C175" s="257" t="str">
        <f>IF(B175="","",IFERROR(VLOOKUP(B175,DB_Customers!$A:$D,4,0),"❌ Account Not Found"))</f>
        <v/>
      </c>
      <c r="D175" s="256" t="str">
        <f t="shared" ca="1" si="21"/>
        <v/>
      </c>
      <c r="E175" s="257"/>
      <c r="F175" s="257"/>
      <c r="G175" s="256"/>
      <c r="H175" s="258">
        <v>2.5</v>
      </c>
      <c r="I175" s="256" t="str">
        <f t="shared" si="22"/>
        <v/>
      </c>
      <c r="J175" s="256" t="str">
        <f t="shared" si="23"/>
        <v/>
      </c>
      <c r="K175" s="256" t="str">
        <f>IF(B175="","Pending",IF(M175="","⚠️ Enter Code",IF(IFERROR(VLOOKUP(L175,DB_Agents!$B:$I,8,0),"")=M175,"Pending","🔒 BLOCKED — Wrong Code")))</f>
        <v>Pending</v>
      </c>
      <c r="L175" s="256" t="s">
        <v>138</v>
      </c>
      <c r="M175" s="252"/>
      <c r="N175" s="257"/>
    </row>
    <row r="176" spans="1:14" ht="18" customHeight="1" x14ac:dyDescent="0.25">
      <c r="A176" s="253" t="str">
        <f t="shared" si="20"/>
        <v/>
      </c>
      <c r="B176" s="254"/>
      <c r="C176" s="254" t="str">
        <f>IF(B176="","",IFERROR(VLOOKUP(B176,DB_Customers!$A:$D,4,0),"❌ Account Not Found"))</f>
        <v/>
      </c>
      <c r="D176" s="253" t="str">
        <f t="shared" ca="1" si="21"/>
        <v/>
      </c>
      <c r="E176" s="254"/>
      <c r="F176" s="254"/>
      <c r="G176" s="253"/>
      <c r="H176" s="255">
        <v>2.5</v>
      </c>
      <c r="I176" s="253" t="str">
        <f t="shared" si="22"/>
        <v/>
      </c>
      <c r="J176" s="253" t="str">
        <f t="shared" si="23"/>
        <v/>
      </c>
      <c r="K176" s="253" t="str">
        <f>IF(B176="","Pending",IF(M176="","⚠️ Enter Code",IF(IFERROR(VLOOKUP(L176,DB_Agents!$B:$I,8,0),"")=M176,"Pending","🔒 BLOCKED — Wrong Code")))</f>
        <v>Pending</v>
      </c>
      <c r="L176" s="253" t="s">
        <v>138</v>
      </c>
      <c r="M176" s="240"/>
      <c r="N176" s="254"/>
    </row>
    <row r="177" spans="1:14" ht="18" customHeight="1" x14ac:dyDescent="0.25">
      <c r="A177" s="256" t="str">
        <f t="shared" si="20"/>
        <v/>
      </c>
      <c r="B177" s="257"/>
      <c r="C177" s="257" t="str">
        <f>IF(B177="","",IFERROR(VLOOKUP(B177,DB_Customers!$A:$D,4,0),"❌ Account Not Found"))</f>
        <v/>
      </c>
      <c r="D177" s="256" t="str">
        <f t="shared" ca="1" si="21"/>
        <v/>
      </c>
      <c r="E177" s="257"/>
      <c r="F177" s="257"/>
      <c r="G177" s="256"/>
      <c r="H177" s="258">
        <v>2.5</v>
      </c>
      <c r="I177" s="256" t="str">
        <f t="shared" si="22"/>
        <v/>
      </c>
      <c r="J177" s="256" t="str">
        <f t="shared" si="23"/>
        <v/>
      </c>
      <c r="K177" s="256" t="str">
        <f>IF(B177="","Pending",IF(M177="","⚠️ Enter Code",IF(IFERROR(VLOOKUP(L177,DB_Agents!$B:$I,8,0),"")=M177,"Pending","🔒 BLOCKED — Wrong Code")))</f>
        <v>Pending</v>
      </c>
      <c r="L177" s="256" t="s">
        <v>138</v>
      </c>
      <c r="M177" s="252"/>
      <c r="N177" s="257"/>
    </row>
    <row r="178" spans="1:14" ht="18" customHeight="1" x14ac:dyDescent="0.25">
      <c r="A178" s="253" t="str">
        <f t="shared" si="20"/>
        <v/>
      </c>
      <c r="B178" s="254"/>
      <c r="C178" s="254" t="str">
        <f>IF(B178="","",IFERROR(VLOOKUP(B178,DB_Customers!$A:$D,4,0),"❌ Account Not Found"))</f>
        <v/>
      </c>
      <c r="D178" s="253" t="str">
        <f t="shared" ca="1" si="21"/>
        <v/>
      </c>
      <c r="E178" s="254"/>
      <c r="F178" s="254"/>
      <c r="G178" s="253"/>
      <c r="H178" s="255">
        <v>2.5</v>
      </c>
      <c r="I178" s="253" t="str">
        <f t="shared" si="22"/>
        <v/>
      </c>
      <c r="J178" s="253" t="str">
        <f t="shared" si="23"/>
        <v/>
      </c>
      <c r="K178" s="253" t="str">
        <f>IF(B178="","Pending",IF(M178="","⚠️ Enter Code",IF(IFERROR(VLOOKUP(L178,DB_Agents!$B:$I,8,0),"")=M178,"Pending","🔒 BLOCKED — Wrong Code")))</f>
        <v>Pending</v>
      </c>
      <c r="L178" s="253" t="s">
        <v>138</v>
      </c>
      <c r="M178" s="240"/>
      <c r="N178" s="254"/>
    </row>
    <row r="179" spans="1:14" ht="18" customHeight="1" x14ac:dyDescent="0.25">
      <c r="A179" s="256" t="str">
        <f t="shared" si="20"/>
        <v/>
      </c>
      <c r="B179" s="257"/>
      <c r="C179" s="257" t="str">
        <f>IF(B179="","",IFERROR(VLOOKUP(B179,DB_Customers!$A:$D,4,0),"❌ Account Not Found"))</f>
        <v/>
      </c>
      <c r="D179" s="256" t="str">
        <f t="shared" ca="1" si="21"/>
        <v/>
      </c>
      <c r="E179" s="257"/>
      <c r="F179" s="257"/>
      <c r="G179" s="256"/>
      <c r="H179" s="258">
        <v>2.5</v>
      </c>
      <c r="I179" s="256" t="str">
        <f t="shared" si="22"/>
        <v/>
      </c>
      <c r="J179" s="256" t="str">
        <f t="shared" si="23"/>
        <v/>
      </c>
      <c r="K179" s="256" t="str">
        <f>IF(B179="","Pending",IF(M179="","⚠️ Enter Code",IF(IFERROR(VLOOKUP(L179,DB_Agents!$B:$I,8,0),"")=M179,"Pending","🔒 BLOCKED — Wrong Code")))</f>
        <v>Pending</v>
      </c>
      <c r="L179" s="256" t="s">
        <v>138</v>
      </c>
      <c r="M179" s="252"/>
      <c r="N179" s="257"/>
    </row>
    <row r="180" spans="1:14" ht="18" customHeight="1" x14ac:dyDescent="0.25">
      <c r="A180" s="253" t="str">
        <f t="shared" si="20"/>
        <v/>
      </c>
      <c r="B180" s="254"/>
      <c r="C180" s="254" t="str">
        <f>IF(B180="","",IFERROR(VLOOKUP(B180,DB_Customers!$A:$D,4,0),"❌ Account Not Found"))</f>
        <v/>
      </c>
      <c r="D180" s="253" t="str">
        <f t="shared" ca="1" si="21"/>
        <v/>
      </c>
      <c r="E180" s="254"/>
      <c r="F180" s="254"/>
      <c r="G180" s="253"/>
      <c r="H180" s="255">
        <v>2.5</v>
      </c>
      <c r="I180" s="253" t="str">
        <f t="shared" si="22"/>
        <v/>
      </c>
      <c r="J180" s="253" t="str">
        <f t="shared" si="23"/>
        <v/>
      </c>
      <c r="K180" s="253" t="str">
        <f>IF(B180="","Pending",IF(M180="","⚠️ Enter Code",IF(IFERROR(VLOOKUP(L180,DB_Agents!$B:$I,8,0),"")=M180,"Pending","🔒 BLOCKED — Wrong Code")))</f>
        <v>Pending</v>
      </c>
      <c r="L180" s="253" t="s">
        <v>138</v>
      </c>
      <c r="M180" s="240"/>
      <c r="N180" s="254"/>
    </row>
    <row r="181" spans="1:14" ht="18" customHeight="1" x14ac:dyDescent="0.25">
      <c r="A181" s="256" t="str">
        <f t="shared" si="20"/>
        <v/>
      </c>
      <c r="B181" s="257"/>
      <c r="C181" s="257" t="str">
        <f>IF(B181="","",IFERROR(VLOOKUP(B181,DB_Customers!$A:$D,4,0),"❌ Account Not Found"))</f>
        <v/>
      </c>
      <c r="D181" s="256" t="str">
        <f t="shared" ca="1" si="21"/>
        <v/>
      </c>
      <c r="E181" s="257"/>
      <c r="F181" s="257"/>
      <c r="G181" s="256"/>
      <c r="H181" s="258">
        <v>2.5</v>
      </c>
      <c r="I181" s="256" t="str">
        <f t="shared" si="22"/>
        <v/>
      </c>
      <c r="J181" s="256" t="str">
        <f t="shared" si="23"/>
        <v/>
      </c>
      <c r="K181" s="256" t="str">
        <f>IF(B181="","Pending",IF(M181="","⚠️ Enter Code",IF(IFERROR(VLOOKUP(L181,DB_Agents!$B:$I,8,0),"")=M181,"Pending","🔒 BLOCKED — Wrong Code")))</f>
        <v>Pending</v>
      </c>
      <c r="L181" s="256" t="s">
        <v>138</v>
      </c>
      <c r="M181" s="252"/>
      <c r="N181" s="257"/>
    </row>
    <row r="182" spans="1:14" ht="18" customHeight="1" x14ac:dyDescent="0.25">
      <c r="A182" s="253" t="str">
        <f t="shared" si="20"/>
        <v/>
      </c>
      <c r="B182" s="254"/>
      <c r="C182" s="254" t="str">
        <f>IF(B182="","",IFERROR(VLOOKUP(B182,DB_Customers!$A:$D,4,0),"❌ Account Not Found"))</f>
        <v/>
      </c>
      <c r="D182" s="253" t="str">
        <f t="shared" ca="1" si="21"/>
        <v/>
      </c>
      <c r="E182" s="254"/>
      <c r="F182" s="254"/>
      <c r="G182" s="253"/>
      <c r="H182" s="255">
        <v>2.5</v>
      </c>
      <c r="I182" s="253" t="str">
        <f t="shared" si="22"/>
        <v/>
      </c>
      <c r="J182" s="253" t="str">
        <f t="shared" si="23"/>
        <v/>
      </c>
      <c r="K182" s="253" t="str">
        <f>IF(B182="","Pending",IF(M182="","⚠️ Enter Code",IF(IFERROR(VLOOKUP(L182,DB_Agents!$B:$I,8,0),"")=M182,"Pending","🔒 BLOCKED — Wrong Code")))</f>
        <v>Pending</v>
      </c>
      <c r="L182" s="253" t="s">
        <v>138</v>
      </c>
      <c r="M182" s="240"/>
      <c r="N182" s="254"/>
    </row>
    <row r="183" spans="1:14" ht="18" customHeight="1" x14ac:dyDescent="0.25">
      <c r="A183" s="256" t="str">
        <f t="shared" si="20"/>
        <v/>
      </c>
      <c r="B183" s="257"/>
      <c r="C183" s="257" t="str">
        <f>IF(B183="","",IFERROR(VLOOKUP(B183,DB_Customers!$A:$D,4,0),"❌ Account Not Found"))</f>
        <v/>
      </c>
      <c r="D183" s="256" t="str">
        <f t="shared" ca="1" si="21"/>
        <v/>
      </c>
      <c r="E183" s="257"/>
      <c r="F183" s="257"/>
      <c r="G183" s="256"/>
      <c r="H183" s="258">
        <v>2.5</v>
      </c>
      <c r="I183" s="256" t="str">
        <f t="shared" si="22"/>
        <v/>
      </c>
      <c r="J183" s="256" t="str">
        <f t="shared" si="23"/>
        <v/>
      </c>
      <c r="K183" s="256" t="str">
        <f>IF(B183="","Pending",IF(M183="","⚠️ Enter Code",IF(IFERROR(VLOOKUP(L183,DB_Agents!$B:$I,8,0),"")=M183,"Pending","🔒 BLOCKED — Wrong Code")))</f>
        <v>Pending</v>
      </c>
      <c r="L183" s="256" t="s">
        <v>138</v>
      </c>
      <c r="M183" s="252"/>
      <c r="N183" s="257"/>
    </row>
    <row r="184" spans="1:14" ht="18" customHeight="1" x14ac:dyDescent="0.25">
      <c r="A184" s="253" t="str">
        <f t="shared" si="20"/>
        <v/>
      </c>
      <c r="B184" s="254"/>
      <c r="C184" s="254" t="str">
        <f>IF(B184="","",IFERROR(VLOOKUP(B184,DB_Customers!$A:$D,4,0),"❌ Account Not Found"))</f>
        <v/>
      </c>
      <c r="D184" s="253" t="str">
        <f t="shared" ca="1" si="21"/>
        <v/>
      </c>
      <c r="E184" s="254"/>
      <c r="F184" s="254"/>
      <c r="G184" s="253"/>
      <c r="H184" s="255">
        <v>2.5</v>
      </c>
      <c r="I184" s="253" t="str">
        <f t="shared" si="22"/>
        <v/>
      </c>
      <c r="J184" s="253" t="str">
        <f t="shared" si="23"/>
        <v/>
      </c>
      <c r="K184" s="253" t="str">
        <f>IF(B184="","Pending",IF(M184="","⚠️ Enter Code",IF(IFERROR(VLOOKUP(L184,DB_Agents!$B:$I,8,0),"")=M184,"Pending","🔒 BLOCKED — Wrong Code")))</f>
        <v>Pending</v>
      </c>
      <c r="L184" s="253" t="s">
        <v>138</v>
      </c>
      <c r="M184" s="240"/>
      <c r="N184" s="254"/>
    </row>
    <row r="185" spans="1:14" ht="18" customHeight="1" x14ac:dyDescent="0.25">
      <c r="A185" s="256" t="str">
        <f t="shared" si="20"/>
        <v/>
      </c>
      <c r="B185" s="257"/>
      <c r="C185" s="257" t="str">
        <f>IF(B185="","",IFERROR(VLOOKUP(B185,DB_Customers!$A:$D,4,0),"❌ Account Not Found"))</f>
        <v/>
      </c>
      <c r="D185" s="256" t="str">
        <f t="shared" ca="1" si="21"/>
        <v/>
      </c>
      <c r="E185" s="257"/>
      <c r="F185" s="257"/>
      <c r="G185" s="256"/>
      <c r="H185" s="258">
        <v>2.5</v>
      </c>
      <c r="I185" s="256" t="str">
        <f t="shared" si="22"/>
        <v/>
      </c>
      <c r="J185" s="256" t="str">
        <f t="shared" si="23"/>
        <v/>
      </c>
      <c r="K185" s="256" t="str">
        <f>IF(B185="","Pending",IF(M185="","⚠️ Enter Code",IF(IFERROR(VLOOKUP(L185,DB_Agents!$B:$I,8,0),"")=M185,"Pending","🔒 BLOCKED — Wrong Code")))</f>
        <v>Pending</v>
      </c>
      <c r="L185" s="256" t="s">
        <v>138</v>
      </c>
      <c r="M185" s="252"/>
      <c r="N185" s="257"/>
    </row>
    <row r="186" spans="1:14" ht="18" customHeight="1" x14ac:dyDescent="0.25">
      <c r="A186" s="253" t="str">
        <f t="shared" si="20"/>
        <v/>
      </c>
      <c r="B186" s="254"/>
      <c r="C186" s="254" t="str">
        <f>IF(B186="","",IFERROR(VLOOKUP(B186,DB_Customers!$A:$D,4,0),"❌ Account Not Found"))</f>
        <v/>
      </c>
      <c r="D186" s="253" t="str">
        <f t="shared" ca="1" si="21"/>
        <v/>
      </c>
      <c r="E186" s="254"/>
      <c r="F186" s="254"/>
      <c r="G186" s="253"/>
      <c r="H186" s="255">
        <v>2.5</v>
      </c>
      <c r="I186" s="253" t="str">
        <f t="shared" si="22"/>
        <v/>
      </c>
      <c r="J186" s="253" t="str">
        <f t="shared" si="23"/>
        <v/>
      </c>
      <c r="K186" s="253" t="str">
        <f>IF(B186="","Pending",IF(M186="","⚠️ Enter Code",IF(IFERROR(VLOOKUP(L186,DB_Agents!$B:$I,8,0),"")=M186,"Pending","🔒 BLOCKED — Wrong Code")))</f>
        <v>Pending</v>
      </c>
      <c r="L186" s="253" t="s">
        <v>138</v>
      </c>
      <c r="M186" s="240"/>
      <c r="N186" s="254"/>
    </row>
    <row r="187" spans="1:14" ht="18" customHeight="1" x14ac:dyDescent="0.25">
      <c r="A187" s="256" t="str">
        <f t="shared" si="20"/>
        <v/>
      </c>
      <c r="B187" s="257"/>
      <c r="C187" s="257" t="str">
        <f>IF(B187="","",IFERROR(VLOOKUP(B187,DB_Customers!$A:$D,4,0),"❌ Account Not Found"))</f>
        <v/>
      </c>
      <c r="D187" s="256" t="str">
        <f t="shared" ca="1" si="21"/>
        <v/>
      </c>
      <c r="E187" s="257"/>
      <c r="F187" s="257"/>
      <c r="G187" s="256"/>
      <c r="H187" s="258">
        <v>2.5</v>
      </c>
      <c r="I187" s="256" t="str">
        <f t="shared" si="22"/>
        <v/>
      </c>
      <c r="J187" s="256" t="str">
        <f t="shared" si="23"/>
        <v/>
      </c>
      <c r="K187" s="256" t="str">
        <f>IF(B187="","Pending",IF(M187="","⚠️ Enter Code",IF(IFERROR(VLOOKUP(L187,DB_Agents!$B:$I,8,0),"")=M187,"Pending","🔒 BLOCKED — Wrong Code")))</f>
        <v>Pending</v>
      </c>
      <c r="L187" s="256" t="s">
        <v>138</v>
      </c>
      <c r="M187" s="252"/>
      <c r="N187" s="257"/>
    </row>
    <row r="188" spans="1:14" ht="18" customHeight="1" x14ac:dyDescent="0.25">
      <c r="A188" s="253" t="str">
        <f t="shared" si="20"/>
        <v/>
      </c>
      <c r="B188" s="254"/>
      <c r="C188" s="254" t="str">
        <f>IF(B188="","",IFERROR(VLOOKUP(B188,DB_Customers!$A:$D,4,0),"❌ Account Not Found"))</f>
        <v/>
      </c>
      <c r="D188" s="253" t="str">
        <f t="shared" ca="1" si="21"/>
        <v/>
      </c>
      <c r="E188" s="254"/>
      <c r="F188" s="254"/>
      <c r="G188" s="253"/>
      <c r="H188" s="255">
        <v>2.5</v>
      </c>
      <c r="I188" s="253" t="str">
        <f t="shared" si="22"/>
        <v/>
      </c>
      <c r="J188" s="253" t="str">
        <f t="shared" si="23"/>
        <v/>
      </c>
      <c r="K188" s="253" t="str">
        <f>IF(B188="","Pending",IF(M188="","⚠️ Enter Code",IF(IFERROR(VLOOKUP(L188,DB_Agents!$B:$I,8,0),"")=M188,"Pending","🔒 BLOCKED — Wrong Code")))</f>
        <v>Pending</v>
      </c>
      <c r="L188" s="253" t="s">
        <v>138</v>
      </c>
      <c r="M188" s="240"/>
      <c r="N188" s="254"/>
    </row>
    <row r="189" spans="1:14" ht="18" customHeight="1" x14ac:dyDescent="0.25">
      <c r="A189" s="256" t="str">
        <f t="shared" si="20"/>
        <v/>
      </c>
      <c r="B189" s="257"/>
      <c r="C189" s="257" t="str">
        <f>IF(B189="","",IFERROR(VLOOKUP(B189,DB_Customers!$A:$D,4,0),"❌ Account Not Found"))</f>
        <v/>
      </c>
      <c r="D189" s="256" t="str">
        <f t="shared" ca="1" si="21"/>
        <v/>
      </c>
      <c r="E189" s="257"/>
      <c r="F189" s="257"/>
      <c r="G189" s="256"/>
      <c r="H189" s="258">
        <v>2.5</v>
      </c>
      <c r="I189" s="256" t="str">
        <f t="shared" si="22"/>
        <v/>
      </c>
      <c r="J189" s="256" t="str">
        <f t="shared" si="23"/>
        <v/>
      </c>
      <c r="K189" s="256" t="str">
        <f>IF(B189="","Pending",IF(M189="","⚠️ Enter Code",IF(IFERROR(VLOOKUP(L189,DB_Agents!$B:$I,8,0),"")=M189,"Pending","🔒 BLOCKED — Wrong Code")))</f>
        <v>Pending</v>
      </c>
      <c r="L189" s="256" t="s">
        <v>138</v>
      </c>
      <c r="M189" s="252"/>
      <c r="N189" s="257"/>
    </row>
    <row r="190" spans="1:14" ht="18" customHeight="1" x14ac:dyDescent="0.25">
      <c r="A190" s="253" t="str">
        <f t="shared" si="20"/>
        <v/>
      </c>
      <c r="B190" s="254"/>
      <c r="C190" s="254" t="str">
        <f>IF(B190="","",IFERROR(VLOOKUP(B190,DB_Customers!$A:$D,4,0),"❌ Account Not Found"))</f>
        <v/>
      </c>
      <c r="D190" s="253" t="str">
        <f t="shared" ca="1" si="21"/>
        <v/>
      </c>
      <c r="E190" s="254"/>
      <c r="F190" s="254"/>
      <c r="G190" s="253"/>
      <c r="H190" s="255">
        <v>2.5</v>
      </c>
      <c r="I190" s="253" t="str">
        <f t="shared" si="22"/>
        <v/>
      </c>
      <c r="J190" s="253" t="str">
        <f t="shared" si="23"/>
        <v/>
      </c>
      <c r="K190" s="253" t="str">
        <f>IF(B190="","Pending",IF(M190="","⚠️ Enter Code",IF(IFERROR(VLOOKUP(L190,DB_Agents!$B:$I,8,0),"")=M190,"Pending","🔒 BLOCKED — Wrong Code")))</f>
        <v>Pending</v>
      </c>
      <c r="L190" s="253" t="s">
        <v>138</v>
      </c>
      <c r="M190" s="240"/>
      <c r="N190" s="254"/>
    </row>
    <row r="191" spans="1:14" ht="18" customHeight="1" x14ac:dyDescent="0.25">
      <c r="A191" s="256" t="str">
        <f t="shared" si="20"/>
        <v/>
      </c>
      <c r="B191" s="257"/>
      <c r="C191" s="257" t="str">
        <f>IF(B191="","",IFERROR(VLOOKUP(B191,DB_Customers!$A:$D,4,0),"❌ Account Not Found"))</f>
        <v/>
      </c>
      <c r="D191" s="256" t="str">
        <f t="shared" ca="1" si="21"/>
        <v/>
      </c>
      <c r="E191" s="257"/>
      <c r="F191" s="257"/>
      <c r="G191" s="256"/>
      <c r="H191" s="258">
        <v>2.5</v>
      </c>
      <c r="I191" s="256" t="str">
        <f t="shared" si="22"/>
        <v/>
      </c>
      <c r="J191" s="256" t="str">
        <f t="shared" si="23"/>
        <v/>
      </c>
      <c r="K191" s="256" t="str">
        <f>IF(B191="","Pending",IF(M191="","⚠️ Enter Code",IF(IFERROR(VLOOKUP(L191,DB_Agents!$B:$I,8,0),"")=M191,"Pending","🔒 BLOCKED — Wrong Code")))</f>
        <v>Pending</v>
      </c>
      <c r="L191" s="256" t="s">
        <v>138</v>
      </c>
      <c r="M191" s="252"/>
      <c r="N191" s="257"/>
    </row>
    <row r="192" spans="1:14" ht="18" customHeight="1" x14ac:dyDescent="0.25">
      <c r="A192" s="253" t="str">
        <f t="shared" si="20"/>
        <v/>
      </c>
      <c r="B192" s="254"/>
      <c r="C192" s="254" t="str">
        <f>IF(B192="","",IFERROR(VLOOKUP(B192,DB_Customers!$A:$D,4,0),"❌ Account Not Found"))</f>
        <v/>
      </c>
      <c r="D192" s="253" t="str">
        <f t="shared" ca="1" si="21"/>
        <v/>
      </c>
      <c r="E192" s="254"/>
      <c r="F192" s="254"/>
      <c r="G192" s="253"/>
      <c r="H192" s="255">
        <v>2.5</v>
      </c>
      <c r="I192" s="253" t="str">
        <f t="shared" si="22"/>
        <v/>
      </c>
      <c r="J192" s="253" t="str">
        <f t="shared" si="23"/>
        <v/>
      </c>
      <c r="K192" s="253" t="str">
        <f>IF(B192="","Pending",IF(M192="","⚠️ Enter Code",IF(IFERROR(VLOOKUP(L192,DB_Agents!$B:$I,8,0),"")=M192,"Pending","🔒 BLOCKED — Wrong Code")))</f>
        <v>Pending</v>
      </c>
      <c r="L192" s="253" t="s">
        <v>138</v>
      </c>
      <c r="M192" s="240"/>
      <c r="N192" s="254"/>
    </row>
    <row r="193" spans="1:14" ht="18" customHeight="1" x14ac:dyDescent="0.25">
      <c r="A193" s="256" t="str">
        <f t="shared" si="20"/>
        <v/>
      </c>
      <c r="B193" s="257"/>
      <c r="C193" s="257" t="str">
        <f>IF(B193="","",IFERROR(VLOOKUP(B193,DB_Customers!$A:$D,4,0),"❌ Account Not Found"))</f>
        <v/>
      </c>
      <c r="D193" s="256" t="str">
        <f t="shared" ca="1" si="21"/>
        <v/>
      </c>
      <c r="E193" s="257"/>
      <c r="F193" s="257"/>
      <c r="G193" s="256"/>
      <c r="H193" s="258">
        <v>2.5</v>
      </c>
      <c r="I193" s="256" t="str">
        <f t="shared" si="22"/>
        <v/>
      </c>
      <c r="J193" s="256" t="str">
        <f t="shared" si="23"/>
        <v/>
      </c>
      <c r="K193" s="256" t="str">
        <f>IF(B193="","Pending",IF(M193="","⚠️ Enter Code",IF(IFERROR(VLOOKUP(L193,DB_Agents!$B:$I,8,0),"")=M193,"Pending","🔒 BLOCKED — Wrong Code")))</f>
        <v>Pending</v>
      </c>
      <c r="L193" s="256" t="s">
        <v>138</v>
      </c>
      <c r="M193" s="252"/>
      <c r="N193" s="257"/>
    </row>
    <row r="194" spans="1:14" ht="18" customHeight="1" x14ac:dyDescent="0.25">
      <c r="A194" s="253" t="str">
        <f t="shared" si="20"/>
        <v/>
      </c>
      <c r="B194" s="254"/>
      <c r="C194" s="254" t="str">
        <f>IF(B194="","",IFERROR(VLOOKUP(B194,DB_Customers!$A:$D,4,0),"❌ Account Not Found"))</f>
        <v/>
      </c>
      <c r="D194" s="253" t="str">
        <f t="shared" ca="1" si="21"/>
        <v/>
      </c>
      <c r="E194" s="254"/>
      <c r="F194" s="254"/>
      <c r="G194" s="253"/>
      <c r="H194" s="255">
        <v>2.5</v>
      </c>
      <c r="I194" s="253" t="str">
        <f t="shared" si="22"/>
        <v/>
      </c>
      <c r="J194" s="253" t="str">
        <f t="shared" si="23"/>
        <v/>
      </c>
      <c r="K194" s="253" t="str">
        <f>IF(B194="","Pending",IF(M194="","⚠️ Enter Code",IF(IFERROR(VLOOKUP(L194,DB_Agents!$B:$I,8,0),"")=M194,"Pending","🔒 BLOCKED — Wrong Code")))</f>
        <v>Pending</v>
      </c>
      <c r="L194" s="253" t="s">
        <v>138</v>
      </c>
      <c r="M194" s="240"/>
      <c r="N194" s="254"/>
    </row>
    <row r="195" spans="1:14" ht="18" customHeight="1" x14ac:dyDescent="0.25">
      <c r="A195" s="256" t="str">
        <f t="shared" si="20"/>
        <v/>
      </c>
      <c r="B195" s="257"/>
      <c r="C195" s="257" t="str">
        <f>IF(B195="","",IFERROR(VLOOKUP(B195,DB_Customers!$A:$D,4,0),"❌ Account Not Found"))</f>
        <v/>
      </c>
      <c r="D195" s="256" t="str">
        <f t="shared" ca="1" si="21"/>
        <v/>
      </c>
      <c r="E195" s="257"/>
      <c r="F195" s="257"/>
      <c r="G195" s="256"/>
      <c r="H195" s="258">
        <v>2.5</v>
      </c>
      <c r="I195" s="256" t="str">
        <f t="shared" si="22"/>
        <v/>
      </c>
      <c r="J195" s="256" t="str">
        <f t="shared" si="23"/>
        <v/>
      </c>
      <c r="K195" s="256" t="str">
        <f>IF(B195="","Pending",IF(M195="","⚠️ Enter Code",IF(IFERROR(VLOOKUP(L195,DB_Agents!$B:$I,8,0),"")=M195,"Pending","🔒 BLOCKED — Wrong Code")))</f>
        <v>Pending</v>
      </c>
      <c r="L195" s="256" t="s">
        <v>138</v>
      </c>
      <c r="M195" s="252"/>
      <c r="N195" s="257"/>
    </row>
    <row r="196" spans="1:14" ht="18" customHeight="1" x14ac:dyDescent="0.25">
      <c r="A196" s="253" t="str">
        <f t="shared" si="20"/>
        <v/>
      </c>
      <c r="B196" s="254"/>
      <c r="C196" s="254" t="str">
        <f>IF(B196="","",IFERROR(VLOOKUP(B196,DB_Customers!$A:$D,4,0),"❌ Account Not Found"))</f>
        <v/>
      </c>
      <c r="D196" s="253" t="str">
        <f t="shared" ca="1" si="21"/>
        <v/>
      </c>
      <c r="E196" s="254"/>
      <c r="F196" s="254"/>
      <c r="G196" s="253"/>
      <c r="H196" s="255">
        <v>2.5</v>
      </c>
      <c r="I196" s="253" t="str">
        <f t="shared" si="22"/>
        <v/>
      </c>
      <c r="J196" s="253" t="str">
        <f t="shared" si="23"/>
        <v/>
      </c>
      <c r="K196" s="253" t="str">
        <f>IF(B196="","Pending",IF(M196="","⚠️ Enter Code",IF(IFERROR(VLOOKUP(L196,DB_Agents!$B:$I,8,0),"")=M196,"Pending","🔒 BLOCKED — Wrong Code")))</f>
        <v>Pending</v>
      </c>
      <c r="L196" s="253" t="s">
        <v>138</v>
      </c>
      <c r="M196" s="240"/>
      <c r="N196" s="254"/>
    </row>
    <row r="197" spans="1:14" ht="18" customHeight="1" x14ac:dyDescent="0.25">
      <c r="A197" s="256" t="str">
        <f t="shared" si="20"/>
        <v/>
      </c>
      <c r="B197" s="257"/>
      <c r="C197" s="257" t="str">
        <f>IF(B197="","",IFERROR(VLOOKUP(B197,DB_Customers!$A:$D,4,0),"❌ Account Not Found"))</f>
        <v/>
      </c>
      <c r="D197" s="256" t="str">
        <f t="shared" ca="1" si="21"/>
        <v/>
      </c>
      <c r="E197" s="257"/>
      <c r="F197" s="257"/>
      <c r="G197" s="256"/>
      <c r="H197" s="258">
        <v>2.5</v>
      </c>
      <c r="I197" s="256" t="str">
        <f t="shared" si="22"/>
        <v/>
      </c>
      <c r="J197" s="256" t="str">
        <f t="shared" si="23"/>
        <v/>
      </c>
      <c r="K197" s="256" t="str">
        <f>IF(B197="","Pending",IF(M197="","⚠️ Enter Code",IF(IFERROR(VLOOKUP(L197,DB_Agents!$B:$I,8,0),"")=M197,"Pending","🔒 BLOCKED — Wrong Code")))</f>
        <v>Pending</v>
      </c>
      <c r="L197" s="256" t="s">
        <v>138</v>
      </c>
      <c r="M197" s="252"/>
      <c r="N197" s="257"/>
    </row>
    <row r="198" spans="1:14" ht="18" customHeight="1" x14ac:dyDescent="0.25">
      <c r="A198" s="253" t="str">
        <f t="shared" si="20"/>
        <v/>
      </c>
      <c r="B198" s="254"/>
      <c r="C198" s="254" t="str">
        <f>IF(B198="","",IFERROR(VLOOKUP(B198,DB_Customers!$A:$D,4,0),"❌ Account Not Found"))</f>
        <v/>
      </c>
      <c r="D198" s="253" t="str">
        <f t="shared" ca="1" si="21"/>
        <v/>
      </c>
      <c r="E198" s="254"/>
      <c r="F198" s="254"/>
      <c r="G198" s="253"/>
      <c r="H198" s="255">
        <v>2.5</v>
      </c>
      <c r="I198" s="253" t="str">
        <f t="shared" si="22"/>
        <v/>
      </c>
      <c r="J198" s="253" t="str">
        <f t="shared" si="23"/>
        <v/>
      </c>
      <c r="K198" s="253" t="str">
        <f>IF(B198="","Pending",IF(M198="","⚠️ Enter Code",IF(IFERROR(VLOOKUP(L198,DB_Agents!$B:$I,8,0),"")=M198,"Pending","🔒 BLOCKED — Wrong Code")))</f>
        <v>Pending</v>
      </c>
      <c r="L198" s="253" t="s">
        <v>138</v>
      </c>
      <c r="M198" s="240"/>
      <c r="N198" s="254"/>
    </row>
    <row r="199" spans="1:14" ht="18" customHeight="1" x14ac:dyDescent="0.25">
      <c r="A199" s="256" t="str">
        <f t="shared" si="20"/>
        <v/>
      </c>
      <c r="B199" s="257"/>
      <c r="C199" s="257" t="str">
        <f>IF(B199="","",IFERROR(VLOOKUP(B199,DB_Customers!$A:$D,4,0),"❌ Account Not Found"))</f>
        <v/>
      </c>
      <c r="D199" s="256" t="str">
        <f t="shared" ca="1" si="21"/>
        <v/>
      </c>
      <c r="E199" s="257"/>
      <c r="F199" s="257"/>
      <c r="G199" s="256"/>
      <c r="H199" s="258">
        <v>2.5</v>
      </c>
      <c r="I199" s="256" t="str">
        <f t="shared" si="22"/>
        <v/>
      </c>
      <c r="J199" s="256" t="str">
        <f t="shared" si="23"/>
        <v/>
      </c>
      <c r="K199" s="256" t="str">
        <f>IF(B199="","Pending",IF(M199="","⚠️ Enter Code",IF(IFERROR(VLOOKUP(L199,DB_Agents!$B:$I,8,0),"")=M199,"Pending","🔒 BLOCKED — Wrong Code")))</f>
        <v>Pending</v>
      </c>
      <c r="L199" s="256" t="s">
        <v>138</v>
      </c>
      <c r="M199" s="252"/>
      <c r="N199" s="257"/>
    </row>
    <row r="200" spans="1:14" ht="18" customHeight="1" x14ac:dyDescent="0.25">
      <c r="A200" s="253" t="str">
        <f t="shared" si="20"/>
        <v/>
      </c>
      <c r="B200" s="254"/>
      <c r="C200" s="254" t="str">
        <f>IF(B200="","",IFERROR(VLOOKUP(B200,DB_Customers!$A:$D,4,0),"❌ Account Not Found"))</f>
        <v/>
      </c>
      <c r="D200" s="253" t="str">
        <f t="shared" ca="1" si="21"/>
        <v/>
      </c>
      <c r="E200" s="254"/>
      <c r="F200" s="254"/>
      <c r="G200" s="253"/>
      <c r="H200" s="255">
        <v>2.5</v>
      </c>
      <c r="I200" s="253" t="str">
        <f t="shared" si="22"/>
        <v/>
      </c>
      <c r="J200" s="253" t="str">
        <f t="shared" si="23"/>
        <v/>
      </c>
      <c r="K200" s="253" t="str">
        <f>IF(B200="","Pending",IF(M200="","⚠️ Enter Code",IF(IFERROR(VLOOKUP(L200,DB_Agents!$B:$I,8,0),"")=M200,"Pending","🔒 BLOCKED — Wrong Code")))</f>
        <v>Pending</v>
      </c>
      <c r="L200" s="253" t="s">
        <v>138</v>
      </c>
      <c r="M200" s="240"/>
      <c r="N200" s="254"/>
    </row>
    <row r="201" spans="1:14" ht="18" customHeight="1" x14ac:dyDescent="0.25">
      <c r="A201" s="256" t="str">
        <f t="shared" si="20"/>
        <v/>
      </c>
      <c r="B201" s="257"/>
      <c r="C201" s="257" t="str">
        <f>IF(B201="","",IFERROR(VLOOKUP(B201,DB_Customers!$A:$D,4,0),"❌ Account Not Found"))</f>
        <v/>
      </c>
      <c r="D201" s="256" t="str">
        <f t="shared" ca="1" si="21"/>
        <v/>
      </c>
      <c r="E201" s="257"/>
      <c r="F201" s="257"/>
      <c r="G201" s="256"/>
      <c r="H201" s="256">
        <v>2.5</v>
      </c>
      <c r="I201" s="256" t="str">
        <f t="shared" si="22"/>
        <v/>
      </c>
      <c r="J201" s="256" t="str">
        <f t="shared" si="23"/>
        <v/>
      </c>
      <c r="K201" s="256" t="str">
        <f>IF(B201="","Pending",IF(M201="","⚠️ Enter Code",IF(IFERROR(VLOOKUP(L201,DB_Agents!$B:$I,8,0),"")=M201,"Pending","🔒 BLOCKED — Wrong Code")))</f>
        <v>Pending</v>
      </c>
      <c r="L201" s="256" t="s">
        <v>138</v>
      </c>
      <c r="M201" s="252"/>
      <c r="N201" s="257"/>
    </row>
    <row r="202" spans="1:14" ht="18" customHeight="1" x14ac:dyDescent="0.25">
      <c r="A202" s="253" t="str">
        <f t="shared" si="20"/>
        <v/>
      </c>
      <c r="B202" s="254"/>
      <c r="C202" s="254" t="str">
        <f>IF(B202="","",IFERROR(VLOOKUP(B202,DB_Customers!$A:$D,4,0),"❌ Account Not Found"))</f>
        <v/>
      </c>
      <c r="D202" s="253" t="str">
        <f t="shared" ca="1" si="21"/>
        <v/>
      </c>
      <c r="E202" s="254"/>
      <c r="F202" s="254"/>
      <c r="G202" s="253"/>
      <c r="H202" s="253">
        <v>2.5</v>
      </c>
      <c r="I202" s="253" t="str">
        <f t="shared" si="22"/>
        <v/>
      </c>
      <c r="J202" s="253" t="str">
        <f t="shared" si="23"/>
        <v/>
      </c>
      <c r="K202" s="253" t="str">
        <f>IF(B202="","Pending",IF(M202="","⚠️ Enter Code",IF(IFERROR(VLOOKUP(L202,DB_Agents!$B:$I,8,0),"")=M202,"Pending","🔒 BLOCKED — Wrong Code")))</f>
        <v>Pending</v>
      </c>
      <c r="L202" s="253" t="s">
        <v>138</v>
      </c>
      <c r="M202" s="240"/>
      <c r="N202" s="254"/>
    </row>
    <row r="203" spans="1:14" ht="18" customHeight="1" x14ac:dyDescent="0.25">
      <c r="A203" s="256" t="str">
        <f t="shared" si="20"/>
        <v/>
      </c>
      <c r="B203" s="257"/>
      <c r="C203" s="257" t="str">
        <f>IF(B203="","",IFERROR(VLOOKUP(B203,DB_Customers!$A:$D,4,0),"❌ Account Not Found"))</f>
        <v/>
      </c>
      <c r="D203" s="256" t="str">
        <f t="shared" ca="1" si="21"/>
        <v/>
      </c>
      <c r="E203" s="257"/>
      <c r="F203" s="257"/>
      <c r="G203" s="256"/>
      <c r="H203" s="256">
        <v>2.5</v>
      </c>
      <c r="I203" s="256" t="str">
        <f t="shared" si="22"/>
        <v/>
      </c>
      <c r="J203" s="256" t="str">
        <f t="shared" si="23"/>
        <v/>
      </c>
      <c r="K203" s="256" t="str">
        <f>IF(B203="","Pending",IF(M203="","⚠️ Enter Code",IF(IFERROR(VLOOKUP(L203,DB_Agents!$B:$I,8,0),"")=M203,"Pending","🔒 BLOCKED — Wrong Code")))</f>
        <v>Pending</v>
      </c>
      <c r="L203" s="256" t="s">
        <v>138</v>
      </c>
      <c r="M203" s="252"/>
      <c r="N203" s="257"/>
    </row>
    <row r="204" spans="1:14" ht="18" customHeight="1" x14ac:dyDescent="0.25">
      <c r="A204" s="253" t="str">
        <f t="shared" si="20"/>
        <v/>
      </c>
      <c r="B204" s="254"/>
      <c r="C204" s="254" t="str">
        <f>IF(B204="","",IFERROR(VLOOKUP(B204,DB_Customers!$A:$D,4,0),"❌ Account Not Found"))</f>
        <v/>
      </c>
      <c r="D204" s="253" t="str">
        <f t="shared" ca="1" si="21"/>
        <v/>
      </c>
      <c r="E204" s="254"/>
      <c r="F204" s="254"/>
      <c r="G204" s="253"/>
      <c r="H204" s="253">
        <v>2.5</v>
      </c>
      <c r="I204" s="253" t="str">
        <f t="shared" si="22"/>
        <v/>
      </c>
      <c r="J204" s="253" t="str">
        <f t="shared" si="23"/>
        <v/>
      </c>
      <c r="K204" s="253" t="str">
        <f>IF(B204="","Pending",IF(M204="","⚠️ Enter Code",IF(IFERROR(VLOOKUP(L204,DB_Agents!$B:$I,8,0),"")=M204,"Pending","🔒 BLOCKED — Wrong Code")))</f>
        <v>Pending</v>
      </c>
      <c r="L204" s="253" t="s">
        <v>138</v>
      </c>
      <c r="M204" s="240"/>
      <c r="N204" s="254"/>
    </row>
    <row r="205" spans="1:14" ht="18" customHeight="1" x14ac:dyDescent="0.25">
      <c r="A205" s="256" t="str">
        <f t="shared" si="20"/>
        <v/>
      </c>
      <c r="B205" s="257"/>
      <c r="C205" s="257" t="str">
        <f>IF(B205="","",IFERROR(VLOOKUP(B205,DB_Customers!$A:$D,4,0),"❌ Account Not Found"))</f>
        <v/>
      </c>
      <c r="D205" s="256" t="str">
        <f t="shared" ca="1" si="21"/>
        <v/>
      </c>
      <c r="E205" s="257"/>
      <c r="F205" s="257"/>
      <c r="G205" s="256"/>
      <c r="H205" s="256">
        <v>2.5</v>
      </c>
      <c r="I205" s="256" t="str">
        <f t="shared" si="22"/>
        <v/>
      </c>
      <c r="J205" s="256" t="str">
        <f t="shared" si="23"/>
        <v/>
      </c>
      <c r="K205" s="256" t="str">
        <f>IF(B205="","Pending",IF(M205="","⚠️ Enter Code",IF(IFERROR(VLOOKUP(L205,DB_Agents!$B:$I,8,0),"")=M205,"Pending","🔒 BLOCKED — Wrong Code")))</f>
        <v>Pending</v>
      </c>
      <c r="L205" s="256" t="s">
        <v>138</v>
      </c>
      <c r="M205" s="252"/>
      <c r="N205" s="257"/>
    </row>
    <row r="206" spans="1:14" ht="18" customHeight="1" x14ac:dyDescent="0.25">
      <c r="A206" s="253" t="str">
        <f t="shared" ref="A206:A213" si="24">IF(B206="","",IF(C206="❌ Account Not Found","INVALID","LN"&amp;TEXT(D206,"YYYYMMDD")&amp;TEXT(ROW()-13,"0000")))</f>
        <v/>
      </c>
      <c r="B206" s="254"/>
      <c r="C206" s="254" t="str">
        <f>IF(B206="","",IFERROR(VLOOKUP(B206,DB_Customers!$A:$D,4,0),"❌ Account Not Found"))</f>
        <v/>
      </c>
      <c r="D206" s="253" t="str">
        <f t="shared" ref="D206:D213" ca="1" si="25">IF(B206="","",TODAY())</f>
        <v/>
      </c>
      <c r="E206" s="254"/>
      <c r="F206" s="254"/>
      <c r="G206" s="253"/>
      <c r="H206" s="253">
        <v>2.5</v>
      </c>
      <c r="I206" s="253" t="str">
        <f t="shared" ref="I206:I213" si="26">IF(E206="","",E206+(E206*H206/100*G206))</f>
        <v/>
      </c>
      <c r="J206" s="253" t="str">
        <f t="shared" ref="J206:J213" si="27">IFERROR(I206/G206,"")</f>
        <v/>
      </c>
      <c r="K206" s="253" t="str">
        <f>IF(B206="","Pending",IF(M206="","⚠️ Enter Code",IF(IFERROR(VLOOKUP(L206,DB_Agents!$B:$I,8,0),"")=M206,"Pending","🔒 BLOCKED — Wrong Code")))</f>
        <v>Pending</v>
      </c>
      <c r="L206" s="253" t="s">
        <v>138</v>
      </c>
      <c r="M206" s="240"/>
      <c r="N206" s="254"/>
    </row>
    <row r="207" spans="1:14" ht="18" customHeight="1" x14ac:dyDescent="0.25">
      <c r="A207" s="256" t="str">
        <f t="shared" si="24"/>
        <v/>
      </c>
      <c r="B207" s="257"/>
      <c r="C207" s="257" t="str">
        <f>IF(B207="","",IFERROR(VLOOKUP(B207,DB_Customers!$A:$D,4,0),"❌ Account Not Found"))</f>
        <v/>
      </c>
      <c r="D207" s="256" t="str">
        <f t="shared" ca="1" si="25"/>
        <v/>
      </c>
      <c r="E207" s="257"/>
      <c r="F207" s="257"/>
      <c r="G207" s="256"/>
      <c r="H207" s="256">
        <v>2.5</v>
      </c>
      <c r="I207" s="256" t="str">
        <f t="shared" si="26"/>
        <v/>
      </c>
      <c r="J207" s="256" t="str">
        <f t="shared" si="27"/>
        <v/>
      </c>
      <c r="K207" s="256" t="str">
        <f>IF(B207="","Pending",IF(M207="","⚠️ Enter Code",IF(IFERROR(VLOOKUP(L207,DB_Agents!$B:$I,8,0),"")=M207,"Pending","🔒 BLOCKED — Wrong Code")))</f>
        <v>Pending</v>
      </c>
      <c r="L207" s="256" t="s">
        <v>138</v>
      </c>
      <c r="M207" s="252"/>
      <c r="N207" s="257"/>
    </row>
    <row r="208" spans="1:14" ht="18" customHeight="1" x14ac:dyDescent="0.25">
      <c r="A208" s="253" t="str">
        <f t="shared" si="24"/>
        <v/>
      </c>
      <c r="B208" s="254"/>
      <c r="C208" s="254" t="str">
        <f>IF(B208="","",IFERROR(VLOOKUP(B208,DB_Customers!$A:$D,4,0),"❌ Account Not Found"))</f>
        <v/>
      </c>
      <c r="D208" s="253" t="str">
        <f t="shared" ca="1" si="25"/>
        <v/>
      </c>
      <c r="E208" s="254"/>
      <c r="F208" s="254"/>
      <c r="G208" s="253"/>
      <c r="H208" s="253">
        <v>2.5</v>
      </c>
      <c r="I208" s="253" t="str">
        <f t="shared" si="26"/>
        <v/>
      </c>
      <c r="J208" s="253" t="str">
        <f t="shared" si="27"/>
        <v/>
      </c>
      <c r="K208" s="253" t="str">
        <f>IF(B208="","Pending",IF(M208="","⚠️ Enter Code",IF(IFERROR(VLOOKUP(L208,DB_Agents!$B:$I,8,0),"")=M208,"Pending","🔒 BLOCKED — Wrong Code")))</f>
        <v>Pending</v>
      </c>
      <c r="L208" s="253" t="s">
        <v>138</v>
      </c>
      <c r="M208" s="240"/>
      <c r="N208" s="254"/>
    </row>
    <row r="209" spans="1:14" ht="18" customHeight="1" x14ac:dyDescent="0.25">
      <c r="A209" s="256" t="str">
        <f t="shared" si="24"/>
        <v/>
      </c>
      <c r="B209" s="257"/>
      <c r="C209" s="257" t="str">
        <f>IF(B209="","",IFERROR(VLOOKUP(B209,DB_Customers!$A:$D,4,0),"❌ Account Not Found"))</f>
        <v/>
      </c>
      <c r="D209" s="256" t="str">
        <f t="shared" ca="1" si="25"/>
        <v/>
      </c>
      <c r="E209" s="257"/>
      <c r="F209" s="257"/>
      <c r="G209" s="256"/>
      <c r="H209" s="256">
        <v>2.5</v>
      </c>
      <c r="I209" s="256" t="str">
        <f t="shared" si="26"/>
        <v/>
      </c>
      <c r="J209" s="256" t="str">
        <f t="shared" si="27"/>
        <v/>
      </c>
      <c r="K209" s="256" t="str">
        <f>IF(B209="","Pending",IF(M209="","⚠️ Enter Code",IF(IFERROR(VLOOKUP(L209,DB_Agents!$B:$I,8,0),"")=M209,"Pending","🔒 BLOCKED — Wrong Code")))</f>
        <v>Pending</v>
      </c>
      <c r="L209" s="256" t="s">
        <v>138</v>
      </c>
      <c r="M209" s="252"/>
      <c r="N209" s="257"/>
    </row>
    <row r="210" spans="1:14" ht="18" customHeight="1" x14ac:dyDescent="0.25">
      <c r="A210" s="253" t="str">
        <f t="shared" si="24"/>
        <v/>
      </c>
      <c r="B210" s="254"/>
      <c r="C210" s="254" t="str">
        <f>IF(B210="","",IFERROR(VLOOKUP(B210,DB_Customers!$A:$D,4,0),"❌ Account Not Found"))</f>
        <v/>
      </c>
      <c r="D210" s="253" t="str">
        <f t="shared" ca="1" si="25"/>
        <v/>
      </c>
      <c r="E210" s="254"/>
      <c r="F210" s="254"/>
      <c r="G210" s="253"/>
      <c r="H210" s="253">
        <v>2.5</v>
      </c>
      <c r="I210" s="253" t="str">
        <f t="shared" si="26"/>
        <v/>
      </c>
      <c r="J210" s="253" t="str">
        <f t="shared" si="27"/>
        <v/>
      </c>
      <c r="K210" s="253" t="str">
        <f>IF(B210="","Pending",IF(M210="","⚠️ Enter Code",IF(IFERROR(VLOOKUP(L210,DB_Agents!$B:$I,8,0),"")=M210,"Pending","🔒 BLOCKED — Wrong Code")))</f>
        <v>Pending</v>
      </c>
      <c r="L210" s="253" t="s">
        <v>138</v>
      </c>
      <c r="M210" s="240"/>
      <c r="N210" s="254"/>
    </row>
    <row r="211" spans="1:14" ht="18" customHeight="1" x14ac:dyDescent="0.25">
      <c r="A211" s="256" t="str">
        <f t="shared" si="24"/>
        <v/>
      </c>
      <c r="B211" s="257"/>
      <c r="C211" s="257" t="str">
        <f>IF(B211="","",IFERROR(VLOOKUP(B211,DB_Customers!$A:$D,4,0),"❌ Account Not Found"))</f>
        <v/>
      </c>
      <c r="D211" s="256" t="str">
        <f t="shared" ca="1" si="25"/>
        <v/>
      </c>
      <c r="E211" s="257"/>
      <c r="F211" s="257"/>
      <c r="G211" s="256"/>
      <c r="H211" s="256">
        <v>2.5</v>
      </c>
      <c r="I211" s="256" t="str">
        <f t="shared" si="26"/>
        <v/>
      </c>
      <c r="J211" s="256" t="str">
        <f t="shared" si="27"/>
        <v/>
      </c>
      <c r="K211" s="256" t="str">
        <f>IF(B211="","Pending",IF(M211="","⚠️ Enter Code",IF(IFERROR(VLOOKUP(L211,DB_Agents!$B:$I,8,0),"")=M211,"Pending","🔒 BLOCKED — Wrong Code")))</f>
        <v>Pending</v>
      </c>
      <c r="L211" s="256" t="s">
        <v>138</v>
      </c>
      <c r="M211" s="252"/>
      <c r="N211" s="257"/>
    </row>
    <row r="212" spans="1:14" ht="18" customHeight="1" x14ac:dyDescent="0.25">
      <c r="A212" s="253" t="str">
        <f t="shared" si="24"/>
        <v/>
      </c>
      <c r="B212" s="254"/>
      <c r="C212" s="254" t="str">
        <f>IF(B212="","",IFERROR(VLOOKUP(B212,DB_Customers!$A:$D,4,0),"❌ Account Not Found"))</f>
        <v/>
      </c>
      <c r="D212" s="253" t="str">
        <f t="shared" ca="1" si="25"/>
        <v/>
      </c>
      <c r="E212" s="254"/>
      <c r="F212" s="254"/>
      <c r="G212" s="253"/>
      <c r="H212" s="253">
        <v>2.5</v>
      </c>
      <c r="I212" s="253" t="str">
        <f t="shared" si="26"/>
        <v/>
      </c>
      <c r="J212" s="253" t="str">
        <f t="shared" si="27"/>
        <v/>
      </c>
      <c r="K212" s="253" t="str">
        <f>IF(B212="","Pending",IF(M212="","⚠️ Enter Code",IF(IFERROR(VLOOKUP(L212,DB_Agents!$B:$I,8,0),"")=M212,"Pending","🔒 BLOCKED — Wrong Code")))</f>
        <v>Pending</v>
      </c>
      <c r="L212" s="253" t="s">
        <v>138</v>
      </c>
      <c r="M212" s="240"/>
      <c r="N212" s="254"/>
    </row>
    <row r="213" spans="1:14" ht="18" customHeight="1" x14ac:dyDescent="0.25">
      <c r="A213" s="256" t="str">
        <f t="shared" si="24"/>
        <v/>
      </c>
      <c r="B213" s="257"/>
      <c r="C213" s="257" t="str">
        <f>IF(B213="","",IFERROR(VLOOKUP(B213,DB_Customers!$A:$D,4,0),"❌ Account Not Found"))</f>
        <v/>
      </c>
      <c r="D213" s="256" t="str">
        <f t="shared" ca="1" si="25"/>
        <v/>
      </c>
      <c r="E213" s="257"/>
      <c r="F213" s="257"/>
      <c r="G213" s="256"/>
      <c r="H213" s="256">
        <v>2.5</v>
      </c>
      <c r="I213" s="256" t="str">
        <f t="shared" si="26"/>
        <v/>
      </c>
      <c r="J213" s="256" t="str">
        <f t="shared" si="27"/>
        <v/>
      </c>
      <c r="K213" s="256" t="str">
        <f>IF(B213="","Pending",IF(M213="","⚠️ Enter Code",IF(IFERROR(VLOOKUP(L213,DB_Agents!$B:$I,8,0),"")=M213,"Pending","🔒 BLOCKED — Wrong Code")))</f>
        <v>Pending</v>
      </c>
      <c r="L213" s="256" t="s">
        <v>138</v>
      </c>
      <c r="M213" s="252"/>
      <c r="N213" s="257"/>
    </row>
  </sheetData>
  <conditionalFormatting sqref="K14:K113">
    <cfRule type="cellIs" dxfId="45" priority="2" operator="equal">
      <formula>"Approved"</formula>
    </cfRule>
    <cfRule type="cellIs" dxfId="44" priority="3" operator="equal">
      <formula>"Pending"</formula>
    </cfRule>
    <cfRule type="cellIs" dxfId="43" priority="4" operator="equal">
      <formula>"Rejected"</formula>
    </cfRule>
  </conditionalFormatting>
  <dataValidations count="2">
    <dataValidation type="whole" showErrorMessage="1" error="Enter 1-36 months" sqref="G14:G113" xr:uid="{00000000-0002-0000-1A00-000000000000}">
      <formula1>1</formula1>
      <formula2>36</formula2>
    </dataValidation>
    <dataValidation type="list" sqref="L14:L113" xr:uid="{00000000-0002-0000-1A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359" t="s">
        <v>368</v>
      </c>
      <c r="B1" s="265"/>
      <c r="C1" s="265"/>
      <c r="D1" s="265"/>
      <c r="E1" s="265"/>
      <c r="F1" s="265"/>
      <c r="G1" s="265"/>
      <c r="H1" s="265"/>
      <c r="I1" s="265"/>
      <c r="J1" s="265"/>
      <c r="K1" s="265"/>
      <c r="L1" s="265"/>
    </row>
    <row r="2" spans="1:12" ht="19.5" customHeight="1" x14ac:dyDescent="0.25">
      <c r="A2" s="357" t="s">
        <v>369</v>
      </c>
      <c r="B2" s="265"/>
      <c r="C2" s="265"/>
      <c r="D2" s="265"/>
      <c r="E2" s="265"/>
      <c r="F2" s="265"/>
      <c r="G2" s="265"/>
      <c r="H2" s="265"/>
      <c r="I2" s="265"/>
      <c r="J2" s="265"/>
      <c r="K2" s="265"/>
      <c r="L2" s="265"/>
    </row>
    <row r="3" spans="1:12" ht="18" customHeight="1" x14ac:dyDescent="0.25">
      <c r="A3" s="323" t="s">
        <v>311</v>
      </c>
      <c r="B3" s="265"/>
      <c r="C3" s="265"/>
      <c r="D3" s="324" t="s">
        <v>312</v>
      </c>
      <c r="E3" s="265"/>
      <c r="F3" s="265"/>
      <c r="G3" s="351" t="s">
        <v>313</v>
      </c>
      <c r="H3" s="265"/>
      <c r="I3" s="265"/>
      <c r="J3" s="265"/>
      <c r="K3" s="265"/>
      <c r="L3" s="265"/>
    </row>
    <row r="4" spans="1:12" ht="27.75" customHeight="1" x14ac:dyDescent="0.25">
      <c r="A4" s="363">
        <f ca="1">SUMIFS(DB_Savings!$F:$F,DB_Savings!$G:$G,"Agent 07",DB_Savings!$E:$E,TODAY())</f>
        <v>0</v>
      </c>
      <c r="B4" s="265"/>
      <c r="C4" s="265"/>
      <c r="D4" s="361">
        <f ca="1">COUNTIFS(DB_Savings!$G:$G,"Agent 07",DB_Savings!$E:$E,TODAY())</f>
        <v>0</v>
      </c>
      <c r="E4" s="265"/>
      <c r="F4" s="265"/>
      <c r="G4" s="362" t="str">
        <f ca="1">TEXT(TODAY(),"DDDD, DD MMMM YYYY")</f>
        <v>Friday, 24 April 2026</v>
      </c>
      <c r="H4" s="265"/>
      <c r="I4" s="265"/>
      <c r="J4" s="265"/>
      <c r="K4" s="265"/>
      <c r="L4" s="265"/>
    </row>
    <row r="5" spans="1:12" ht="21.75" customHeight="1" x14ac:dyDescent="0.25">
      <c r="A5" s="360" t="str">
        <f ca="1">IF(SUMIFS(DB_Savings!$F:$F,DB_Savings!$G:$G,"Agent 07",DB_Savings!$E:$E,TODAY())&gt;=J4,"✅ DAILY TARGET ACHIEVED! Well done Agent 07!","⏳ Collection in progress — Keep going! Remaining: GHC "&amp;TEXT(J4-SUMIFS(DB_Savings!$F:$F,DB_Savings!$G:$G,"Agent 07",DB_Savings!$E:$E,TODAY()),"#,##0.00"))</f>
        <v>✅ DAILY TARGET ACHIEVED! Well done Agent 07!</v>
      </c>
      <c r="B5" s="265"/>
      <c r="C5" s="265"/>
      <c r="D5" s="265"/>
      <c r="E5" s="265"/>
      <c r="F5" s="265"/>
      <c r="G5" s="265"/>
      <c r="H5" s="265"/>
      <c r="I5" s="265"/>
      <c r="J5" s="265"/>
      <c r="K5" s="265"/>
      <c r="L5" s="265"/>
    </row>
    <row r="6" spans="1:12" ht="7.5" customHeight="1" x14ac:dyDescent="0.25"/>
    <row r="7" spans="1:12" ht="19.5" customHeight="1" x14ac:dyDescent="0.25">
      <c r="A7" s="358" t="s">
        <v>314</v>
      </c>
      <c r="B7" s="265"/>
      <c r="C7" s="265"/>
      <c r="D7" s="265"/>
      <c r="E7" s="265"/>
      <c r="F7" s="265"/>
      <c r="G7" s="265"/>
      <c r="H7" s="265"/>
      <c r="I7" s="265"/>
      <c r="J7" s="265"/>
      <c r="K7" s="265"/>
      <c r="L7" s="265"/>
    </row>
    <row r="8" spans="1:12" ht="19.5" customHeight="1" x14ac:dyDescent="0.25">
      <c r="A8" s="36" t="s">
        <v>315</v>
      </c>
      <c r="B8" s="36" t="s">
        <v>77</v>
      </c>
      <c r="C8" s="36" t="s">
        <v>316</v>
      </c>
      <c r="D8" s="36" t="s">
        <v>78</v>
      </c>
      <c r="E8" s="36" t="s">
        <v>317</v>
      </c>
      <c r="F8" s="36" t="s">
        <v>318</v>
      </c>
      <c r="G8" s="36" t="s">
        <v>14</v>
      </c>
      <c r="H8" s="75" t="s">
        <v>319</v>
      </c>
      <c r="I8" s="36" t="s">
        <v>13</v>
      </c>
      <c r="J8" s="36" t="s">
        <v>320</v>
      </c>
      <c r="K8" s="36" t="s">
        <v>321</v>
      </c>
    </row>
    <row r="9" spans="1:12" ht="15" customHeight="1" x14ac:dyDescent="0.25">
      <c r="A9" s="76"/>
      <c r="B9" s="37" t="str">
        <f>IF(A9="","",IFERROR(VLOOKUP(A9,DB_Customers!$A:$D,4,0),"❌ Account Not Found"))</f>
        <v/>
      </c>
      <c r="C9" s="77" t="str">
        <f>IF(A9="","",IFERROR(IF(SUMIF(DB_Savings!$C:$C,A9,DB_Savings!$F:$F)=0,VLOOKUP(A9,DB_Customers!$A:$I,9,0),VLOOKUP(A9,DB_Customers!$A:$N,14,0)),"❌ Acct Not Found"))</f>
        <v/>
      </c>
      <c r="D9" s="78" t="str">
        <f t="shared" ref="D9:D40" ca="1" si="0">IF(A9="","",TODAY())</f>
        <v/>
      </c>
      <c r="E9" s="79"/>
      <c r="F9" s="80" t="str">
        <f t="shared" ref="F9:F40" si="1">IF(OR(A9="",E9=""),"",IF(C9="","",C9+E9))</f>
        <v/>
      </c>
      <c r="G9" s="39" t="s">
        <v>139</v>
      </c>
      <c r="H9" s="81"/>
      <c r="I9" s="82" t="str">
        <f>IF(A9="","Pending",IF(H9="","⚠️ Enter Agent Code",IF(IFERROR(VLOOKUP(G9,DB_Agents!$B:$I,8,0),"")=H9,IF(AND(A9&lt;&gt;"",E9&lt;&gt;""),"Saved","Pending"),"🔒 BLOCKED — Wrong Code")))</f>
        <v>Pending</v>
      </c>
      <c r="J9" s="83" t="str">
        <f t="shared" ref="J9:J40" ca="1" si="2">IF(I9="Saved",TEXT(TODAY(),"YYYY-MM-DD")&amp;" Auto","—")</f>
        <v>—</v>
      </c>
      <c r="K9" s="84"/>
    </row>
    <row r="10" spans="1:12" ht="15" customHeight="1" x14ac:dyDescent="0.25">
      <c r="A10" s="85"/>
      <c r="B10" s="41" t="str">
        <f>IF(A10="","",IFERROR(VLOOKUP(A10,DB_Customers!$A:$D,4,0),"❌ Account Not Found"))</f>
        <v/>
      </c>
      <c r="C10" s="86" t="str">
        <f>IF(A10="","",IFERROR(IF(SUMIF(DB_Savings!$C:$C,A10,DB_Savings!$F:$F)=0,VLOOKUP(A10,DB_Customers!$A:$I,9,0),VLOOKUP(A10,DB_Customers!$A:$N,14,0)),"❌ Acct Not Found"))</f>
        <v/>
      </c>
      <c r="D10" s="87" t="str">
        <f t="shared" ca="1" si="0"/>
        <v/>
      </c>
      <c r="E10" s="79"/>
      <c r="F10" s="88" t="str">
        <f t="shared" si="1"/>
        <v/>
      </c>
      <c r="G10" s="43" t="s">
        <v>139</v>
      </c>
      <c r="H10" s="81"/>
      <c r="I10" s="89" t="str">
        <f>IF(A10="","Pending",IF(H10="","⚠️ Enter Agent Code",IF(IFERROR(VLOOKUP(G10,DB_Agents!$B:$I,8,0),"")=H10,IF(AND(A10&lt;&gt;"",E10&lt;&gt;""),"Saved","Pending"),"🔒 BLOCKED — Wrong Code")))</f>
        <v>Pending</v>
      </c>
      <c r="J10" s="90" t="str">
        <f t="shared" ca="1" si="2"/>
        <v>—</v>
      </c>
      <c r="K10" s="91"/>
    </row>
    <row r="11" spans="1:12" ht="15" customHeight="1" x14ac:dyDescent="0.25">
      <c r="A11" s="76"/>
      <c r="B11" s="37" t="str">
        <f>IF(A11="","",IFERROR(VLOOKUP(A11,DB_Customers!$A:$D,4,0),"❌ Account Not Found"))</f>
        <v/>
      </c>
      <c r="C11" s="77" t="str">
        <f>IF(A11="","",IFERROR(IF(SUMIF(DB_Savings!$C:$C,A11,DB_Savings!$F:$F)=0,VLOOKUP(A11,DB_Customers!$A:$I,9,0),VLOOKUP(A11,DB_Customers!$A:$N,14,0)),"❌ Acct Not Found"))</f>
        <v/>
      </c>
      <c r="D11" s="78" t="str">
        <f t="shared" ca="1" si="0"/>
        <v/>
      </c>
      <c r="E11" s="79"/>
      <c r="F11" s="80" t="str">
        <f t="shared" si="1"/>
        <v/>
      </c>
      <c r="G11" s="39" t="s">
        <v>139</v>
      </c>
      <c r="H11" s="81"/>
      <c r="I11" s="82" t="str">
        <f>IF(A11="","Pending",IF(H11="","⚠️ Enter Agent Code",IF(IFERROR(VLOOKUP(G11,DB_Agents!$B:$I,8,0),"")=H11,IF(AND(A11&lt;&gt;"",E11&lt;&gt;""),"Saved","Pending"),"🔒 BLOCKED — Wrong Code")))</f>
        <v>Pending</v>
      </c>
      <c r="J11" s="83" t="str">
        <f t="shared" ca="1" si="2"/>
        <v>—</v>
      </c>
      <c r="K11" s="84"/>
    </row>
    <row r="12" spans="1:12" ht="15" customHeight="1" x14ac:dyDescent="0.25">
      <c r="A12" s="85"/>
      <c r="B12" s="41" t="str">
        <f>IF(A12="","",IFERROR(VLOOKUP(A12,DB_Customers!$A:$D,4,0),"❌ Account Not Found"))</f>
        <v/>
      </c>
      <c r="C12" s="86" t="str">
        <f>IF(A12="","",IFERROR(IF(SUMIF(DB_Savings!$C:$C,A12,DB_Savings!$F:$F)=0,VLOOKUP(A12,DB_Customers!$A:$I,9,0),VLOOKUP(A12,DB_Customers!$A:$N,14,0)),"❌ Acct Not Found"))</f>
        <v/>
      </c>
      <c r="D12" s="87" t="str">
        <f t="shared" ca="1" si="0"/>
        <v/>
      </c>
      <c r="E12" s="79"/>
      <c r="F12" s="88" t="str">
        <f t="shared" si="1"/>
        <v/>
      </c>
      <c r="G12" s="43" t="s">
        <v>139</v>
      </c>
      <c r="H12" s="81"/>
      <c r="I12" s="89" t="str">
        <f>IF(A12="","Pending",IF(H12="","⚠️ Enter Agent Code",IF(IFERROR(VLOOKUP(G12,DB_Agents!$B:$I,8,0),"")=H12,IF(AND(A12&lt;&gt;"",E12&lt;&gt;""),"Saved","Pending"),"🔒 BLOCKED — Wrong Code")))</f>
        <v>Pending</v>
      </c>
      <c r="J12" s="90" t="str">
        <f t="shared" ca="1" si="2"/>
        <v>—</v>
      </c>
      <c r="K12" s="91"/>
    </row>
    <row r="13" spans="1:12" ht="15" customHeight="1" x14ac:dyDescent="0.25">
      <c r="A13" s="76"/>
      <c r="B13" s="37" t="str">
        <f>IF(A13="","",IFERROR(VLOOKUP(A13,DB_Customers!$A:$D,4,0),"❌ Account Not Found"))</f>
        <v/>
      </c>
      <c r="C13" s="77" t="str">
        <f>IF(A13="","",IFERROR(IF(SUMIF(DB_Savings!$C:$C,A13,DB_Savings!$F:$F)=0,VLOOKUP(A13,DB_Customers!$A:$I,9,0),VLOOKUP(A13,DB_Customers!$A:$N,14,0)),"❌ Acct Not Found"))</f>
        <v/>
      </c>
      <c r="D13" s="78" t="str">
        <f t="shared" ca="1" si="0"/>
        <v/>
      </c>
      <c r="E13" s="79"/>
      <c r="F13" s="80" t="str">
        <f t="shared" si="1"/>
        <v/>
      </c>
      <c r="G13" s="39" t="s">
        <v>139</v>
      </c>
      <c r="H13" s="81"/>
      <c r="I13" s="82" t="str">
        <f>IF(A13="","Pending",IF(H13="","⚠️ Enter Agent Code",IF(IFERROR(VLOOKUP(G13,DB_Agents!$B:$I,8,0),"")=H13,IF(AND(A13&lt;&gt;"",E13&lt;&gt;""),"Saved","Pending"),"🔒 BLOCKED — Wrong Code")))</f>
        <v>Pending</v>
      </c>
      <c r="J13" s="83" t="str">
        <f t="shared" ca="1" si="2"/>
        <v>—</v>
      </c>
      <c r="K13" s="84"/>
    </row>
    <row r="14" spans="1:12" ht="15" customHeight="1" x14ac:dyDescent="0.25">
      <c r="A14" s="85"/>
      <c r="B14" s="41" t="str">
        <f>IF(A14="","",IFERROR(VLOOKUP(A14,DB_Customers!$A:$D,4,0),"❌ Account Not Found"))</f>
        <v/>
      </c>
      <c r="C14" s="86" t="str">
        <f>IF(A14="","",IFERROR(IF(SUMIF(DB_Savings!$C:$C,A14,DB_Savings!$F:$F)=0,VLOOKUP(A14,DB_Customers!$A:$I,9,0),VLOOKUP(A14,DB_Customers!$A:$N,14,0)),"❌ Acct Not Found"))</f>
        <v/>
      </c>
      <c r="D14" s="87" t="str">
        <f t="shared" ca="1" si="0"/>
        <v/>
      </c>
      <c r="E14" s="79"/>
      <c r="F14" s="88" t="str">
        <f t="shared" si="1"/>
        <v/>
      </c>
      <c r="G14" s="43" t="s">
        <v>139</v>
      </c>
      <c r="H14" s="81"/>
      <c r="I14" s="89" t="str">
        <f>IF(A14="","Pending",IF(H14="","⚠️ Enter Agent Code",IF(IFERROR(VLOOKUP(G14,DB_Agents!$B:$I,8,0),"")=H14,IF(AND(A14&lt;&gt;"",E14&lt;&gt;""),"Saved","Pending"),"🔒 BLOCKED — Wrong Code")))</f>
        <v>Pending</v>
      </c>
      <c r="J14" s="90" t="str">
        <f t="shared" ca="1" si="2"/>
        <v>—</v>
      </c>
      <c r="K14" s="91"/>
    </row>
    <row r="15" spans="1:12" ht="15" customHeight="1" x14ac:dyDescent="0.25">
      <c r="A15" s="76"/>
      <c r="B15" s="37" t="str">
        <f>IF(A15="","",IFERROR(VLOOKUP(A15,DB_Customers!$A:$D,4,0),"❌ Account Not Found"))</f>
        <v/>
      </c>
      <c r="C15" s="77" t="str">
        <f>IF(A15="","",IFERROR(IF(SUMIF(DB_Savings!$C:$C,A15,DB_Savings!$F:$F)=0,VLOOKUP(A15,DB_Customers!$A:$I,9,0),VLOOKUP(A15,DB_Customers!$A:$N,14,0)),"❌ Acct Not Found"))</f>
        <v/>
      </c>
      <c r="D15" s="78" t="str">
        <f t="shared" ca="1" si="0"/>
        <v/>
      </c>
      <c r="E15" s="79"/>
      <c r="F15" s="80" t="str">
        <f t="shared" si="1"/>
        <v/>
      </c>
      <c r="G15" s="39" t="s">
        <v>139</v>
      </c>
      <c r="H15" s="81"/>
      <c r="I15" s="82" t="str">
        <f>IF(A15="","Pending",IF(H15="","⚠️ Enter Agent Code",IF(IFERROR(VLOOKUP(G15,DB_Agents!$B:$I,8,0),"")=H15,IF(AND(A15&lt;&gt;"",E15&lt;&gt;""),"Saved","Pending"),"🔒 BLOCKED — Wrong Code")))</f>
        <v>Pending</v>
      </c>
      <c r="J15" s="83" t="str">
        <f t="shared" ca="1" si="2"/>
        <v>—</v>
      </c>
      <c r="K15" s="84"/>
    </row>
    <row r="16" spans="1:12" ht="15" customHeight="1" x14ac:dyDescent="0.25">
      <c r="A16" s="85"/>
      <c r="B16" s="41" t="str">
        <f>IF(A16="","",IFERROR(VLOOKUP(A16,DB_Customers!$A:$D,4,0),"❌ Account Not Found"))</f>
        <v/>
      </c>
      <c r="C16" s="86" t="str">
        <f>IF(A16="","",IFERROR(IF(SUMIF(DB_Savings!$C:$C,A16,DB_Savings!$F:$F)=0,VLOOKUP(A16,DB_Customers!$A:$I,9,0),VLOOKUP(A16,DB_Customers!$A:$N,14,0)),"❌ Acct Not Found"))</f>
        <v/>
      </c>
      <c r="D16" s="87" t="str">
        <f t="shared" ca="1" si="0"/>
        <v/>
      </c>
      <c r="E16" s="79"/>
      <c r="F16" s="88" t="str">
        <f t="shared" si="1"/>
        <v/>
      </c>
      <c r="G16" s="43" t="s">
        <v>139</v>
      </c>
      <c r="H16" s="81"/>
      <c r="I16" s="89" t="str">
        <f>IF(A16="","Pending",IF(H16="","⚠️ Enter Agent Code",IF(IFERROR(VLOOKUP(G16,DB_Agents!$B:$I,8,0),"")=H16,IF(AND(A16&lt;&gt;"",E16&lt;&gt;""),"Saved","Pending"),"🔒 BLOCKED — Wrong Code")))</f>
        <v>Pending</v>
      </c>
      <c r="J16" s="90" t="str">
        <f t="shared" ca="1" si="2"/>
        <v>—</v>
      </c>
      <c r="K16" s="91"/>
    </row>
    <row r="17" spans="1:11" ht="15" customHeight="1" x14ac:dyDescent="0.25">
      <c r="A17" s="76"/>
      <c r="B17" s="37" t="str">
        <f>IF(A17="","",IFERROR(VLOOKUP(A17,DB_Customers!$A:$D,4,0),"❌ Account Not Found"))</f>
        <v/>
      </c>
      <c r="C17" s="77" t="str">
        <f>IF(A17="","",IFERROR(IF(SUMIF(DB_Savings!$C:$C,A17,DB_Savings!$F:$F)=0,VLOOKUP(A17,DB_Customers!$A:$I,9,0),VLOOKUP(A17,DB_Customers!$A:$N,14,0)),"❌ Acct Not Found"))</f>
        <v/>
      </c>
      <c r="D17" s="78" t="str">
        <f t="shared" ca="1" si="0"/>
        <v/>
      </c>
      <c r="E17" s="79"/>
      <c r="F17" s="80" t="str">
        <f t="shared" si="1"/>
        <v/>
      </c>
      <c r="G17" s="39" t="s">
        <v>139</v>
      </c>
      <c r="H17" s="81"/>
      <c r="I17" s="82" t="str">
        <f>IF(A17="","Pending",IF(H17="","⚠️ Enter Agent Code",IF(IFERROR(VLOOKUP(G17,DB_Agents!$B:$I,8,0),"")=H17,IF(AND(A17&lt;&gt;"",E17&lt;&gt;""),"Saved","Pending"),"🔒 BLOCKED — Wrong Code")))</f>
        <v>Pending</v>
      </c>
      <c r="J17" s="83" t="str">
        <f t="shared" ca="1" si="2"/>
        <v>—</v>
      </c>
      <c r="K17" s="84"/>
    </row>
    <row r="18" spans="1:11" ht="15" customHeight="1" x14ac:dyDescent="0.25">
      <c r="A18" s="85"/>
      <c r="B18" s="41" t="str">
        <f>IF(A18="","",IFERROR(VLOOKUP(A18,DB_Customers!$A:$D,4,0),"❌ Account Not Found"))</f>
        <v/>
      </c>
      <c r="C18" s="86" t="str">
        <f>IF(A18="","",IFERROR(IF(SUMIF(DB_Savings!$C:$C,A18,DB_Savings!$F:$F)=0,VLOOKUP(A18,DB_Customers!$A:$I,9,0),VLOOKUP(A18,DB_Customers!$A:$N,14,0)),"❌ Acct Not Found"))</f>
        <v/>
      </c>
      <c r="D18" s="87" t="str">
        <f t="shared" ca="1" si="0"/>
        <v/>
      </c>
      <c r="E18" s="79"/>
      <c r="F18" s="88" t="str">
        <f t="shared" si="1"/>
        <v/>
      </c>
      <c r="G18" s="43" t="s">
        <v>139</v>
      </c>
      <c r="H18" s="81"/>
      <c r="I18" s="89" t="str">
        <f>IF(A18="","Pending",IF(H18="","⚠️ Enter Agent Code",IF(IFERROR(VLOOKUP(G18,DB_Agents!$B:$I,8,0),"")=H18,IF(AND(A18&lt;&gt;"",E18&lt;&gt;""),"Saved","Pending"),"🔒 BLOCKED — Wrong Code")))</f>
        <v>Pending</v>
      </c>
      <c r="J18" s="90" t="str">
        <f t="shared" ca="1" si="2"/>
        <v>—</v>
      </c>
      <c r="K18" s="91"/>
    </row>
    <row r="19" spans="1:11" ht="15" customHeight="1" x14ac:dyDescent="0.25">
      <c r="A19" s="76"/>
      <c r="B19" s="37" t="str">
        <f>IF(A19="","",IFERROR(VLOOKUP(A19,DB_Customers!$A:$D,4,0),"❌ Account Not Found"))</f>
        <v/>
      </c>
      <c r="C19" s="77" t="str">
        <f>IF(A19="","",IFERROR(IF(SUMIF(DB_Savings!$C:$C,A19,DB_Savings!$F:$F)=0,VLOOKUP(A19,DB_Customers!$A:$I,9,0),VLOOKUP(A19,DB_Customers!$A:$N,14,0)),"❌ Acct Not Found"))</f>
        <v/>
      </c>
      <c r="D19" s="78" t="str">
        <f t="shared" ca="1" si="0"/>
        <v/>
      </c>
      <c r="E19" s="79"/>
      <c r="F19" s="80" t="str">
        <f t="shared" si="1"/>
        <v/>
      </c>
      <c r="G19" s="39" t="s">
        <v>139</v>
      </c>
      <c r="H19" s="81"/>
      <c r="I19" s="82" t="str">
        <f>IF(A19="","Pending",IF(H19="","⚠️ Enter Agent Code",IF(IFERROR(VLOOKUP(G19,DB_Agents!$B:$I,8,0),"")=H19,IF(AND(A19&lt;&gt;"",E19&lt;&gt;""),"Saved","Pending"),"🔒 BLOCKED — Wrong Code")))</f>
        <v>Pending</v>
      </c>
      <c r="J19" s="83" t="str">
        <f t="shared" ca="1" si="2"/>
        <v>—</v>
      </c>
      <c r="K19" s="84"/>
    </row>
    <row r="20" spans="1:11" ht="15" customHeight="1" x14ac:dyDescent="0.25">
      <c r="A20" s="85"/>
      <c r="B20" s="41" t="str">
        <f>IF(A20="","",IFERROR(VLOOKUP(A20,DB_Customers!$A:$D,4,0),"❌ Account Not Found"))</f>
        <v/>
      </c>
      <c r="C20" s="86" t="str">
        <f>IF(A20="","",IFERROR(IF(SUMIF(DB_Savings!$C:$C,A20,DB_Savings!$F:$F)=0,VLOOKUP(A20,DB_Customers!$A:$I,9,0),VLOOKUP(A20,DB_Customers!$A:$N,14,0)),"❌ Acct Not Found"))</f>
        <v/>
      </c>
      <c r="D20" s="87" t="str">
        <f t="shared" ca="1" si="0"/>
        <v/>
      </c>
      <c r="E20" s="79"/>
      <c r="F20" s="88" t="str">
        <f t="shared" si="1"/>
        <v/>
      </c>
      <c r="G20" s="43" t="s">
        <v>139</v>
      </c>
      <c r="H20" s="81"/>
      <c r="I20" s="89" t="str">
        <f>IF(A20="","Pending",IF(H20="","⚠️ Enter Agent Code",IF(IFERROR(VLOOKUP(G20,DB_Agents!$B:$I,8,0),"")=H20,IF(AND(A20&lt;&gt;"",E20&lt;&gt;""),"Saved","Pending"),"🔒 BLOCKED — Wrong Code")))</f>
        <v>Pending</v>
      </c>
      <c r="J20" s="90" t="str">
        <f t="shared" ca="1" si="2"/>
        <v>—</v>
      </c>
      <c r="K20" s="91"/>
    </row>
    <row r="21" spans="1:11" ht="15" customHeight="1" x14ac:dyDescent="0.25">
      <c r="A21" s="76"/>
      <c r="B21" s="37" t="str">
        <f>IF(A21="","",IFERROR(VLOOKUP(A21,DB_Customers!$A:$D,4,0),"❌ Account Not Found"))</f>
        <v/>
      </c>
      <c r="C21" s="77" t="str">
        <f>IF(A21="","",IFERROR(IF(SUMIF(DB_Savings!$C:$C,A21,DB_Savings!$F:$F)=0,VLOOKUP(A21,DB_Customers!$A:$I,9,0),VLOOKUP(A21,DB_Customers!$A:$N,14,0)),"❌ Acct Not Found"))</f>
        <v/>
      </c>
      <c r="D21" s="78" t="str">
        <f t="shared" ca="1" si="0"/>
        <v/>
      </c>
      <c r="E21" s="79"/>
      <c r="F21" s="80" t="str">
        <f t="shared" si="1"/>
        <v/>
      </c>
      <c r="G21" s="39" t="s">
        <v>139</v>
      </c>
      <c r="H21" s="81"/>
      <c r="I21" s="82" t="str">
        <f>IF(A21="","Pending",IF(H21="","⚠️ Enter Agent Code",IF(IFERROR(VLOOKUP(G21,DB_Agents!$B:$I,8,0),"")=H21,IF(AND(A21&lt;&gt;"",E21&lt;&gt;""),"Saved","Pending"),"🔒 BLOCKED — Wrong Code")))</f>
        <v>Pending</v>
      </c>
      <c r="J21" s="83" t="str">
        <f t="shared" ca="1" si="2"/>
        <v>—</v>
      </c>
      <c r="K21" s="84"/>
    </row>
    <row r="22" spans="1:11" ht="15" customHeight="1" x14ac:dyDescent="0.25">
      <c r="A22" s="85"/>
      <c r="B22" s="41" t="str">
        <f>IF(A22="","",IFERROR(VLOOKUP(A22,DB_Customers!$A:$D,4,0),"❌ Account Not Found"))</f>
        <v/>
      </c>
      <c r="C22" s="86" t="str">
        <f>IF(A22="","",IFERROR(IF(SUMIF(DB_Savings!$C:$C,A22,DB_Savings!$F:$F)=0,VLOOKUP(A22,DB_Customers!$A:$I,9,0),VLOOKUP(A22,DB_Customers!$A:$N,14,0)),"❌ Acct Not Found"))</f>
        <v/>
      </c>
      <c r="D22" s="87" t="str">
        <f t="shared" ca="1" si="0"/>
        <v/>
      </c>
      <c r="E22" s="79"/>
      <c r="F22" s="88" t="str">
        <f t="shared" si="1"/>
        <v/>
      </c>
      <c r="G22" s="43" t="s">
        <v>139</v>
      </c>
      <c r="H22" s="81"/>
      <c r="I22" s="89" t="str">
        <f>IF(A22="","Pending",IF(H22="","⚠️ Enter Agent Code",IF(IFERROR(VLOOKUP(G22,DB_Agents!$B:$I,8,0),"")=H22,IF(AND(A22&lt;&gt;"",E22&lt;&gt;""),"Saved","Pending"),"🔒 BLOCKED — Wrong Code")))</f>
        <v>Pending</v>
      </c>
      <c r="J22" s="90" t="str">
        <f t="shared" ca="1" si="2"/>
        <v>—</v>
      </c>
      <c r="K22" s="91"/>
    </row>
    <row r="23" spans="1:11" ht="15" customHeight="1" x14ac:dyDescent="0.25">
      <c r="A23" s="76"/>
      <c r="B23" s="37" t="str">
        <f>IF(A23="","",IFERROR(VLOOKUP(A23,DB_Customers!$A:$D,4,0),"❌ Account Not Found"))</f>
        <v/>
      </c>
      <c r="C23" s="77" t="str">
        <f>IF(A23="","",IFERROR(IF(SUMIF(DB_Savings!$C:$C,A23,DB_Savings!$F:$F)=0,VLOOKUP(A23,DB_Customers!$A:$I,9,0),VLOOKUP(A23,DB_Customers!$A:$N,14,0)),"❌ Acct Not Found"))</f>
        <v/>
      </c>
      <c r="D23" s="78" t="str">
        <f t="shared" ca="1" si="0"/>
        <v/>
      </c>
      <c r="E23" s="79"/>
      <c r="F23" s="80" t="str">
        <f t="shared" si="1"/>
        <v/>
      </c>
      <c r="G23" s="39" t="s">
        <v>139</v>
      </c>
      <c r="H23" s="81"/>
      <c r="I23" s="82" t="str">
        <f>IF(A23="","Pending",IF(H23="","⚠️ Enter Agent Code",IF(IFERROR(VLOOKUP(G23,DB_Agents!$B:$I,8,0),"")=H23,IF(AND(A23&lt;&gt;"",E23&lt;&gt;""),"Saved","Pending"),"🔒 BLOCKED — Wrong Code")))</f>
        <v>Pending</v>
      </c>
      <c r="J23" s="83" t="str">
        <f t="shared" ca="1" si="2"/>
        <v>—</v>
      </c>
      <c r="K23" s="84"/>
    </row>
    <row r="24" spans="1:11" ht="15" customHeight="1" x14ac:dyDescent="0.25">
      <c r="A24" s="85"/>
      <c r="B24" s="41" t="str">
        <f>IF(A24="","",IFERROR(VLOOKUP(A24,DB_Customers!$A:$D,4,0),"❌ Account Not Found"))</f>
        <v/>
      </c>
      <c r="C24" s="86" t="str">
        <f>IF(A24="","",IFERROR(IF(SUMIF(DB_Savings!$C:$C,A24,DB_Savings!$F:$F)=0,VLOOKUP(A24,DB_Customers!$A:$I,9,0),VLOOKUP(A24,DB_Customers!$A:$N,14,0)),"❌ Acct Not Found"))</f>
        <v/>
      </c>
      <c r="D24" s="87" t="str">
        <f t="shared" ca="1" si="0"/>
        <v/>
      </c>
      <c r="E24" s="79"/>
      <c r="F24" s="88" t="str">
        <f t="shared" si="1"/>
        <v/>
      </c>
      <c r="G24" s="43" t="s">
        <v>139</v>
      </c>
      <c r="H24" s="81"/>
      <c r="I24" s="89" t="str">
        <f>IF(A24="","Pending",IF(H24="","⚠️ Enter Agent Code",IF(IFERROR(VLOOKUP(G24,DB_Agents!$B:$I,8,0),"")=H24,IF(AND(A24&lt;&gt;"",E24&lt;&gt;""),"Saved","Pending"),"🔒 BLOCKED — Wrong Code")))</f>
        <v>Pending</v>
      </c>
      <c r="J24" s="90" t="str">
        <f t="shared" ca="1" si="2"/>
        <v>—</v>
      </c>
      <c r="K24" s="91"/>
    </row>
    <row r="25" spans="1:11" ht="15" customHeight="1" x14ac:dyDescent="0.25">
      <c r="A25" s="76"/>
      <c r="B25" s="37" t="str">
        <f>IF(A25="","",IFERROR(VLOOKUP(A25,DB_Customers!$A:$D,4,0),"❌ Account Not Found"))</f>
        <v/>
      </c>
      <c r="C25" s="77" t="str">
        <f>IF(A25="","",IFERROR(IF(SUMIF(DB_Savings!$C:$C,A25,DB_Savings!$F:$F)=0,VLOOKUP(A25,DB_Customers!$A:$I,9,0),VLOOKUP(A25,DB_Customers!$A:$N,14,0)),"❌ Acct Not Found"))</f>
        <v/>
      </c>
      <c r="D25" s="78" t="str">
        <f t="shared" ca="1" si="0"/>
        <v/>
      </c>
      <c r="E25" s="79"/>
      <c r="F25" s="80" t="str">
        <f t="shared" si="1"/>
        <v/>
      </c>
      <c r="G25" s="39" t="s">
        <v>139</v>
      </c>
      <c r="H25" s="81"/>
      <c r="I25" s="82" t="str">
        <f>IF(A25="","Pending",IF(H25="","⚠️ Enter Agent Code",IF(IFERROR(VLOOKUP(G25,DB_Agents!$B:$I,8,0),"")=H25,IF(AND(A25&lt;&gt;"",E25&lt;&gt;""),"Saved","Pending"),"🔒 BLOCKED — Wrong Code")))</f>
        <v>Pending</v>
      </c>
      <c r="J25" s="83" t="str">
        <f t="shared" ca="1" si="2"/>
        <v>—</v>
      </c>
      <c r="K25" s="84"/>
    </row>
    <row r="26" spans="1:11" ht="15" customHeight="1" x14ac:dyDescent="0.25">
      <c r="A26" s="85"/>
      <c r="B26" s="41" t="str">
        <f>IF(A26="","",IFERROR(VLOOKUP(A26,DB_Customers!$A:$D,4,0),"❌ Account Not Found"))</f>
        <v/>
      </c>
      <c r="C26" s="86" t="str">
        <f>IF(A26="","",IFERROR(IF(SUMIF(DB_Savings!$C:$C,A26,DB_Savings!$F:$F)=0,VLOOKUP(A26,DB_Customers!$A:$I,9,0),VLOOKUP(A26,DB_Customers!$A:$N,14,0)),"❌ Acct Not Found"))</f>
        <v/>
      </c>
      <c r="D26" s="87" t="str">
        <f t="shared" ca="1" si="0"/>
        <v/>
      </c>
      <c r="E26" s="79"/>
      <c r="F26" s="88" t="str">
        <f t="shared" si="1"/>
        <v/>
      </c>
      <c r="G26" s="43" t="s">
        <v>139</v>
      </c>
      <c r="H26" s="81"/>
      <c r="I26" s="89" t="str">
        <f>IF(A26="","Pending",IF(H26="","⚠️ Enter Agent Code",IF(IFERROR(VLOOKUP(G26,DB_Agents!$B:$I,8,0),"")=H26,IF(AND(A26&lt;&gt;"",E26&lt;&gt;""),"Saved","Pending"),"🔒 BLOCKED — Wrong Code")))</f>
        <v>Pending</v>
      </c>
      <c r="J26" s="90" t="str">
        <f t="shared" ca="1" si="2"/>
        <v>—</v>
      </c>
      <c r="K26" s="91"/>
    </row>
    <row r="27" spans="1:11" ht="15" customHeight="1" x14ac:dyDescent="0.25">
      <c r="A27" s="76"/>
      <c r="B27" s="37" t="str">
        <f>IF(A27="","",IFERROR(VLOOKUP(A27,DB_Customers!$A:$D,4,0),"❌ Account Not Found"))</f>
        <v/>
      </c>
      <c r="C27" s="77" t="str">
        <f>IF(A27="","",IFERROR(IF(SUMIF(DB_Savings!$C:$C,A27,DB_Savings!$F:$F)=0,VLOOKUP(A27,DB_Customers!$A:$I,9,0),VLOOKUP(A27,DB_Customers!$A:$N,14,0)),"❌ Acct Not Found"))</f>
        <v/>
      </c>
      <c r="D27" s="78" t="str">
        <f t="shared" ca="1" si="0"/>
        <v/>
      </c>
      <c r="E27" s="79"/>
      <c r="F27" s="80" t="str">
        <f t="shared" si="1"/>
        <v/>
      </c>
      <c r="G27" s="39" t="s">
        <v>139</v>
      </c>
      <c r="H27" s="81"/>
      <c r="I27" s="82" t="str">
        <f>IF(A27="","Pending",IF(H27="","⚠️ Enter Agent Code",IF(IFERROR(VLOOKUP(G27,DB_Agents!$B:$I,8,0),"")=H27,IF(AND(A27&lt;&gt;"",E27&lt;&gt;""),"Saved","Pending"),"🔒 BLOCKED — Wrong Code")))</f>
        <v>Pending</v>
      </c>
      <c r="J27" s="83" t="str">
        <f t="shared" ca="1" si="2"/>
        <v>—</v>
      </c>
      <c r="K27" s="84"/>
    </row>
    <row r="28" spans="1:11" ht="15" customHeight="1" x14ac:dyDescent="0.25">
      <c r="A28" s="85"/>
      <c r="B28" s="41" t="str">
        <f>IF(A28="","",IFERROR(VLOOKUP(A28,DB_Customers!$A:$D,4,0),"❌ Account Not Found"))</f>
        <v/>
      </c>
      <c r="C28" s="86" t="str">
        <f>IF(A28="","",IFERROR(IF(SUMIF(DB_Savings!$C:$C,A28,DB_Savings!$F:$F)=0,VLOOKUP(A28,DB_Customers!$A:$I,9,0),VLOOKUP(A28,DB_Customers!$A:$N,14,0)),"❌ Acct Not Found"))</f>
        <v/>
      </c>
      <c r="D28" s="87" t="str">
        <f t="shared" ca="1" si="0"/>
        <v/>
      </c>
      <c r="E28" s="79"/>
      <c r="F28" s="88" t="str">
        <f t="shared" si="1"/>
        <v/>
      </c>
      <c r="G28" s="43" t="s">
        <v>139</v>
      </c>
      <c r="H28" s="81"/>
      <c r="I28" s="89" t="str">
        <f>IF(A28="","Pending",IF(H28="","⚠️ Enter Agent Code",IF(IFERROR(VLOOKUP(G28,DB_Agents!$B:$I,8,0),"")=H28,IF(AND(A28&lt;&gt;"",E28&lt;&gt;""),"Saved","Pending"),"🔒 BLOCKED — Wrong Code")))</f>
        <v>Pending</v>
      </c>
      <c r="J28" s="90" t="str">
        <f t="shared" ca="1" si="2"/>
        <v>—</v>
      </c>
      <c r="K28" s="91"/>
    </row>
    <row r="29" spans="1:11" ht="15" customHeight="1" x14ac:dyDescent="0.25">
      <c r="A29" s="76"/>
      <c r="B29" s="37" t="str">
        <f>IF(A29="","",IFERROR(VLOOKUP(A29,DB_Customers!$A:$D,4,0),"❌ Account Not Found"))</f>
        <v/>
      </c>
      <c r="C29" s="77" t="str">
        <f>IF(A29="","",IFERROR(IF(SUMIF(DB_Savings!$C:$C,A29,DB_Savings!$F:$F)=0,VLOOKUP(A29,DB_Customers!$A:$I,9,0),VLOOKUP(A29,DB_Customers!$A:$N,14,0)),"❌ Acct Not Found"))</f>
        <v/>
      </c>
      <c r="D29" s="78" t="str">
        <f t="shared" ca="1" si="0"/>
        <v/>
      </c>
      <c r="E29" s="79"/>
      <c r="F29" s="80" t="str">
        <f t="shared" si="1"/>
        <v/>
      </c>
      <c r="G29" s="39" t="s">
        <v>139</v>
      </c>
      <c r="H29" s="81"/>
      <c r="I29" s="82" t="str">
        <f>IF(A29="","Pending",IF(H29="","⚠️ Enter Agent Code",IF(IFERROR(VLOOKUP(G29,DB_Agents!$B:$I,8,0),"")=H29,IF(AND(A29&lt;&gt;"",E29&lt;&gt;""),"Saved","Pending"),"🔒 BLOCKED — Wrong Code")))</f>
        <v>Pending</v>
      </c>
      <c r="J29" s="83" t="str">
        <f t="shared" ca="1" si="2"/>
        <v>—</v>
      </c>
      <c r="K29" s="84"/>
    </row>
    <row r="30" spans="1:11" ht="15" customHeight="1" x14ac:dyDescent="0.25">
      <c r="A30" s="85"/>
      <c r="B30" s="41" t="str">
        <f>IF(A30="","",IFERROR(VLOOKUP(A30,DB_Customers!$A:$D,4,0),"❌ Account Not Found"))</f>
        <v/>
      </c>
      <c r="C30" s="86" t="str">
        <f>IF(A30="","",IFERROR(IF(SUMIF(DB_Savings!$C:$C,A30,DB_Savings!$F:$F)=0,VLOOKUP(A30,DB_Customers!$A:$I,9,0),VLOOKUP(A30,DB_Customers!$A:$N,14,0)),"❌ Acct Not Found"))</f>
        <v/>
      </c>
      <c r="D30" s="87" t="str">
        <f t="shared" ca="1" si="0"/>
        <v/>
      </c>
      <c r="E30" s="79"/>
      <c r="F30" s="88" t="str">
        <f t="shared" si="1"/>
        <v/>
      </c>
      <c r="G30" s="43" t="s">
        <v>139</v>
      </c>
      <c r="H30" s="81"/>
      <c r="I30" s="89" t="str">
        <f>IF(A30="","Pending",IF(H30="","⚠️ Enter Agent Code",IF(IFERROR(VLOOKUP(G30,DB_Agents!$B:$I,8,0),"")=H30,IF(AND(A30&lt;&gt;"",E30&lt;&gt;""),"Saved","Pending"),"🔒 BLOCKED — Wrong Code")))</f>
        <v>Pending</v>
      </c>
      <c r="J30" s="90" t="str">
        <f t="shared" ca="1" si="2"/>
        <v>—</v>
      </c>
      <c r="K30" s="91"/>
    </row>
    <row r="31" spans="1:11" ht="15" customHeight="1" x14ac:dyDescent="0.25">
      <c r="A31" s="76"/>
      <c r="B31" s="37" t="str">
        <f>IF(A31="","",IFERROR(VLOOKUP(A31,DB_Customers!$A:$D,4,0),"❌ Account Not Found"))</f>
        <v/>
      </c>
      <c r="C31" s="77" t="str">
        <f>IF(A31="","",IFERROR(IF(SUMIF(DB_Savings!$C:$C,A31,DB_Savings!$F:$F)=0,VLOOKUP(A31,DB_Customers!$A:$I,9,0),VLOOKUP(A31,DB_Customers!$A:$N,14,0)),"❌ Acct Not Found"))</f>
        <v/>
      </c>
      <c r="D31" s="78" t="str">
        <f t="shared" ca="1" si="0"/>
        <v/>
      </c>
      <c r="E31" s="79"/>
      <c r="F31" s="80" t="str">
        <f t="shared" si="1"/>
        <v/>
      </c>
      <c r="G31" s="39" t="s">
        <v>139</v>
      </c>
      <c r="H31" s="81"/>
      <c r="I31" s="82" t="str">
        <f>IF(A31="","Pending",IF(H31="","⚠️ Enter Agent Code",IF(IFERROR(VLOOKUP(G31,DB_Agents!$B:$I,8,0),"")=H31,IF(AND(A31&lt;&gt;"",E31&lt;&gt;""),"Saved","Pending"),"🔒 BLOCKED — Wrong Code")))</f>
        <v>Pending</v>
      </c>
      <c r="J31" s="83" t="str">
        <f t="shared" ca="1" si="2"/>
        <v>—</v>
      </c>
      <c r="K31" s="84"/>
    </row>
    <row r="32" spans="1:11" ht="15" customHeight="1" x14ac:dyDescent="0.25">
      <c r="A32" s="85"/>
      <c r="B32" s="41" t="str">
        <f>IF(A32="","",IFERROR(VLOOKUP(A32,DB_Customers!$A:$D,4,0),"❌ Account Not Found"))</f>
        <v/>
      </c>
      <c r="C32" s="86" t="str">
        <f>IF(A32="","",IFERROR(IF(SUMIF(DB_Savings!$C:$C,A32,DB_Savings!$F:$F)=0,VLOOKUP(A32,DB_Customers!$A:$I,9,0),VLOOKUP(A32,DB_Customers!$A:$N,14,0)),"❌ Acct Not Found"))</f>
        <v/>
      </c>
      <c r="D32" s="87" t="str">
        <f t="shared" ca="1" si="0"/>
        <v/>
      </c>
      <c r="E32" s="79"/>
      <c r="F32" s="88" t="str">
        <f t="shared" si="1"/>
        <v/>
      </c>
      <c r="G32" s="43" t="s">
        <v>139</v>
      </c>
      <c r="H32" s="81"/>
      <c r="I32" s="89" t="str">
        <f>IF(A32="","Pending",IF(H32="","⚠️ Enter Agent Code",IF(IFERROR(VLOOKUP(G32,DB_Agents!$B:$I,8,0),"")=H32,IF(AND(A32&lt;&gt;"",E32&lt;&gt;""),"Saved","Pending"),"🔒 BLOCKED — Wrong Code")))</f>
        <v>Pending</v>
      </c>
      <c r="J32" s="90" t="str">
        <f t="shared" ca="1" si="2"/>
        <v>—</v>
      </c>
      <c r="K32" s="91"/>
    </row>
    <row r="33" spans="1:11" ht="15" customHeight="1" x14ac:dyDescent="0.25">
      <c r="A33" s="76"/>
      <c r="B33" s="37" t="str">
        <f>IF(A33="","",IFERROR(VLOOKUP(A33,DB_Customers!$A:$D,4,0),"❌ Account Not Found"))</f>
        <v/>
      </c>
      <c r="C33" s="77" t="str">
        <f>IF(A33="","",IFERROR(IF(SUMIF(DB_Savings!$C:$C,A33,DB_Savings!$F:$F)=0,VLOOKUP(A33,DB_Customers!$A:$I,9,0),VLOOKUP(A33,DB_Customers!$A:$N,14,0)),"❌ Acct Not Found"))</f>
        <v/>
      </c>
      <c r="D33" s="78" t="str">
        <f t="shared" ca="1" si="0"/>
        <v/>
      </c>
      <c r="E33" s="79"/>
      <c r="F33" s="80" t="str">
        <f t="shared" si="1"/>
        <v/>
      </c>
      <c r="G33" s="39" t="s">
        <v>139</v>
      </c>
      <c r="H33" s="81"/>
      <c r="I33" s="82" t="str">
        <f>IF(A33="","Pending",IF(H33="","⚠️ Enter Agent Code",IF(IFERROR(VLOOKUP(G33,DB_Agents!$B:$I,8,0),"")=H33,IF(AND(A33&lt;&gt;"",E33&lt;&gt;""),"Saved","Pending"),"🔒 BLOCKED — Wrong Code")))</f>
        <v>Pending</v>
      </c>
      <c r="J33" s="83" t="str">
        <f t="shared" ca="1" si="2"/>
        <v>—</v>
      </c>
      <c r="K33" s="84"/>
    </row>
    <row r="34" spans="1:11" ht="15" customHeight="1" x14ac:dyDescent="0.25">
      <c r="A34" s="85"/>
      <c r="B34" s="41" t="str">
        <f>IF(A34="","",IFERROR(VLOOKUP(A34,DB_Customers!$A:$D,4,0),"❌ Account Not Found"))</f>
        <v/>
      </c>
      <c r="C34" s="86" t="str">
        <f>IF(A34="","",IFERROR(IF(SUMIF(DB_Savings!$C:$C,A34,DB_Savings!$F:$F)=0,VLOOKUP(A34,DB_Customers!$A:$I,9,0),VLOOKUP(A34,DB_Customers!$A:$N,14,0)),"❌ Acct Not Found"))</f>
        <v/>
      </c>
      <c r="D34" s="87" t="str">
        <f t="shared" ca="1" si="0"/>
        <v/>
      </c>
      <c r="E34" s="79"/>
      <c r="F34" s="88" t="str">
        <f t="shared" si="1"/>
        <v/>
      </c>
      <c r="G34" s="43" t="s">
        <v>139</v>
      </c>
      <c r="H34" s="81"/>
      <c r="I34" s="89" t="str">
        <f>IF(A34="","Pending",IF(H34="","⚠️ Enter Agent Code",IF(IFERROR(VLOOKUP(G34,DB_Agents!$B:$I,8,0),"")=H34,IF(AND(A34&lt;&gt;"",E34&lt;&gt;""),"Saved","Pending"),"🔒 BLOCKED — Wrong Code")))</f>
        <v>Pending</v>
      </c>
      <c r="J34" s="90" t="str">
        <f t="shared" ca="1" si="2"/>
        <v>—</v>
      </c>
      <c r="K34" s="91"/>
    </row>
    <row r="35" spans="1:11" ht="15" customHeight="1" x14ac:dyDescent="0.25">
      <c r="A35" s="76"/>
      <c r="B35" s="37" t="str">
        <f>IF(A35="","",IFERROR(VLOOKUP(A35,DB_Customers!$A:$D,4,0),"❌ Account Not Found"))</f>
        <v/>
      </c>
      <c r="C35" s="77" t="str">
        <f>IF(A35="","",IFERROR(IF(SUMIF(DB_Savings!$C:$C,A35,DB_Savings!$F:$F)=0,VLOOKUP(A35,DB_Customers!$A:$I,9,0),VLOOKUP(A35,DB_Customers!$A:$N,14,0)),"❌ Acct Not Found"))</f>
        <v/>
      </c>
      <c r="D35" s="78" t="str">
        <f t="shared" ca="1" si="0"/>
        <v/>
      </c>
      <c r="E35" s="79"/>
      <c r="F35" s="80" t="str">
        <f t="shared" si="1"/>
        <v/>
      </c>
      <c r="G35" s="39" t="s">
        <v>139</v>
      </c>
      <c r="H35" s="81"/>
      <c r="I35" s="82" t="str">
        <f>IF(A35="","Pending",IF(H35="","⚠️ Enter Agent Code",IF(IFERROR(VLOOKUP(G35,DB_Agents!$B:$I,8,0),"")=H35,IF(AND(A35&lt;&gt;"",E35&lt;&gt;""),"Saved","Pending"),"🔒 BLOCKED — Wrong Code")))</f>
        <v>Pending</v>
      </c>
      <c r="J35" s="83" t="str">
        <f t="shared" ca="1" si="2"/>
        <v>—</v>
      </c>
      <c r="K35" s="84"/>
    </row>
    <row r="36" spans="1:11" ht="15" customHeight="1" x14ac:dyDescent="0.25">
      <c r="A36" s="85"/>
      <c r="B36" s="41" t="str">
        <f>IF(A36="","",IFERROR(VLOOKUP(A36,DB_Customers!$A:$D,4,0),"❌ Account Not Found"))</f>
        <v/>
      </c>
      <c r="C36" s="86" t="str">
        <f>IF(A36="","",IFERROR(IF(SUMIF(DB_Savings!$C:$C,A36,DB_Savings!$F:$F)=0,VLOOKUP(A36,DB_Customers!$A:$I,9,0),VLOOKUP(A36,DB_Customers!$A:$N,14,0)),"❌ Acct Not Found"))</f>
        <v/>
      </c>
      <c r="D36" s="87" t="str">
        <f t="shared" ca="1" si="0"/>
        <v/>
      </c>
      <c r="E36" s="79"/>
      <c r="F36" s="88" t="str">
        <f t="shared" si="1"/>
        <v/>
      </c>
      <c r="G36" s="43" t="s">
        <v>139</v>
      </c>
      <c r="H36" s="81"/>
      <c r="I36" s="89" t="str">
        <f>IF(A36="","Pending",IF(H36="","⚠️ Enter Agent Code",IF(IFERROR(VLOOKUP(G36,DB_Agents!$B:$I,8,0),"")=H36,IF(AND(A36&lt;&gt;"",E36&lt;&gt;""),"Saved","Pending"),"🔒 BLOCKED — Wrong Code")))</f>
        <v>Pending</v>
      </c>
      <c r="J36" s="90" t="str">
        <f t="shared" ca="1" si="2"/>
        <v>—</v>
      </c>
      <c r="K36" s="91"/>
    </row>
    <row r="37" spans="1:11" ht="15" customHeight="1" x14ac:dyDescent="0.25">
      <c r="A37" s="76"/>
      <c r="B37" s="37" t="str">
        <f>IF(A37="","",IFERROR(VLOOKUP(A37,DB_Customers!$A:$D,4,0),"❌ Account Not Found"))</f>
        <v/>
      </c>
      <c r="C37" s="77" t="str">
        <f>IF(A37="","",IFERROR(IF(SUMIF(DB_Savings!$C:$C,A37,DB_Savings!$F:$F)=0,VLOOKUP(A37,DB_Customers!$A:$I,9,0),VLOOKUP(A37,DB_Customers!$A:$N,14,0)),"❌ Acct Not Found"))</f>
        <v/>
      </c>
      <c r="D37" s="78" t="str">
        <f t="shared" ca="1" si="0"/>
        <v/>
      </c>
      <c r="E37" s="79"/>
      <c r="F37" s="80" t="str">
        <f t="shared" si="1"/>
        <v/>
      </c>
      <c r="G37" s="39" t="s">
        <v>139</v>
      </c>
      <c r="H37" s="81"/>
      <c r="I37" s="82" t="str">
        <f>IF(A37="","Pending",IF(H37="","⚠️ Enter Agent Code",IF(IFERROR(VLOOKUP(G37,DB_Agents!$B:$I,8,0),"")=H37,IF(AND(A37&lt;&gt;"",E37&lt;&gt;""),"Saved","Pending"),"🔒 BLOCKED — Wrong Code")))</f>
        <v>Pending</v>
      </c>
      <c r="J37" s="83" t="str">
        <f t="shared" ca="1" si="2"/>
        <v>—</v>
      </c>
      <c r="K37" s="84"/>
    </row>
    <row r="38" spans="1:11" ht="15" customHeight="1" x14ac:dyDescent="0.25">
      <c r="A38" s="85"/>
      <c r="B38" s="41" t="str">
        <f>IF(A38="","",IFERROR(VLOOKUP(A38,DB_Customers!$A:$D,4,0),"❌ Account Not Found"))</f>
        <v/>
      </c>
      <c r="C38" s="86" t="str">
        <f>IF(A38="","",IFERROR(IF(SUMIF(DB_Savings!$C:$C,A38,DB_Savings!$F:$F)=0,VLOOKUP(A38,DB_Customers!$A:$I,9,0),VLOOKUP(A38,DB_Customers!$A:$N,14,0)),"❌ Acct Not Found"))</f>
        <v/>
      </c>
      <c r="D38" s="87" t="str">
        <f t="shared" ca="1" si="0"/>
        <v/>
      </c>
      <c r="E38" s="79"/>
      <c r="F38" s="88" t="str">
        <f t="shared" si="1"/>
        <v/>
      </c>
      <c r="G38" s="43" t="s">
        <v>139</v>
      </c>
      <c r="H38" s="81"/>
      <c r="I38" s="89" t="str">
        <f>IF(A38="","Pending",IF(H38="","⚠️ Enter Agent Code",IF(IFERROR(VLOOKUP(G38,DB_Agents!$B:$I,8,0),"")=H38,IF(AND(A38&lt;&gt;"",E38&lt;&gt;""),"Saved","Pending"),"🔒 BLOCKED — Wrong Code")))</f>
        <v>Pending</v>
      </c>
      <c r="J38" s="90" t="str">
        <f t="shared" ca="1" si="2"/>
        <v>—</v>
      </c>
      <c r="K38" s="91"/>
    </row>
    <row r="39" spans="1:11" ht="15" customHeight="1" x14ac:dyDescent="0.25">
      <c r="A39" s="76"/>
      <c r="B39" s="37" t="str">
        <f>IF(A39="","",IFERROR(VLOOKUP(A39,DB_Customers!$A:$D,4,0),"❌ Account Not Found"))</f>
        <v/>
      </c>
      <c r="C39" s="77" t="str">
        <f>IF(A39="","",IFERROR(IF(SUMIF(DB_Savings!$C:$C,A39,DB_Savings!$F:$F)=0,VLOOKUP(A39,DB_Customers!$A:$I,9,0),VLOOKUP(A39,DB_Customers!$A:$N,14,0)),"❌ Acct Not Found"))</f>
        <v/>
      </c>
      <c r="D39" s="78" t="str">
        <f t="shared" ca="1" si="0"/>
        <v/>
      </c>
      <c r="E39" s="79"/>
      <c r="F39" s="80" t="str">
        <f t="shared" si="1"/>
        <v/>
      </c>
      <c r="G39" s="39" t="s">
        <v>139</v>
      </c>
      <c r="H39" s="81"/>
      <c r="I39" s="82" t="str">
        <f>IF(A39="","Pending",IF(H39="","⚠️ Enter Agent Code",IF(IFERROR(VLOOKUP(G39,DB_Agents!$B:$I,8,0),"")=H39,IF(AND(A39&lt;&gt;"",E39&lt;&gt;""),"Saved","Pending"),"🔒 BLOCKED — Wrong Code")))</f>
        <v>Pending</v>
      </c>
      <c r="J39" s="83" t="str">
        <f t="shared" ca="1" si="2"/>
        <v>—</v>
      </c>
      <c r="K39" s="84"/>
    </row>
    <row r="40" spans="1:11" ht="15" customHeight="1" x14ac:dyDescent="0.25">
      <c r="A40" s="85"/>
      <c r="B40" s="41" t="str">
        <f>IF(A40="","",IFERROR(VLOOKUP(A40,DB_Customers!$A:$D,4,0),"❌ Account Not Found"))</f>
        <v/>
      </c>
      <c r="C40" s="86" t="str">
        <f>IF(A40="","",IFERROR(IF(SUMIF(DB_Savings!$C:$C,A40,DB_Savings!$F:$F)=0,VLOOKUP(A40,DB_Customers!$A:$I,9,0),VLOOKUP(A40,DB_Customers!$A:$N,14,0)),"❌ Acct Not Found"))</f>
        <v/>
      </c>
      <c r="D40" s="87" t="str">
        <f t="shared" ca="1" si="0"/>
        <v/>
      </c>
      <c r="E40" s="79"/>
      <c r="F40" s="88" t="str">
        <f t="shared" si="1"/>
        <v/>
      </c>
      <c r="G40" s="43" t="s">
        <v>139</v>
      </c>
      <c r="H40" s="81"/>
      <c r="I40" s="89" t="str">
        <f>IF(A40="","Pending",IF(H40="","⚠️ Enter Agent Code",IF(IFERROR(VLOOKUP(G40,DB_Agents!$B:$I,8,0),"")=H40,IF(AND(A40&lt;&gt;"",E40&lt;&gt;""),"Saved","Pending"),"🔒 BLOCKED — Wrong Code")))</f>
        <v>Pending</v>
      </c>
      <c r="J40" s="90" t="str">
        <f t="shared" ca="1" si="2"/>
        <v>—</v>
      </c>
      <c r="K40" s="91"/>
    </row>
    <row r="41" spans="1:11" ht="15" customHeight="1" x14ac:dyDescent="0.25">
      <c r="A41" s="76"/>
      <c r="B41" s="37" t="str">
        <f>IF(A41="","",IFERROR(VLOOKUP(A41,DB_Customers!$A:$D,4,0),"❌ Account Not Found"))</f>
        <v/>
      </c>
      <c r="C41" s="77" t="str">
        <f>IF(A41="","",IFERROR(IF(SUMIF(DB_Savings!$C:$C,A41,DB_Savings!$F:$F)=0,VLOOKUP(A41,DB_Customers!$A:$I,9,0),VLOOKUP(A41,DB_Customers!$A:$N,14,0)),"❌ Acct Not Found"))</f>
        <v/>
      </c>
      <c r="D41" s="78" t="str">
        <f t="shared" ref="D41:D72" ca="1" si="3">IF(A41="","",TODAY())</f>
        <v/>
      </c>
      <c r="E41" s="79"/>
      <c r="F41" s="80" t="str">
        <f t="shared" ref="F41:F72" si="4">IF(OR(A41="",E41=""),"",IF(C41="","",C41+E41))</f>
        <v/>
      </c>
      <c r="G41" s="39" t="s">
        <v>139</v>
      </c>
      <c r="H41" s="81"/>
      <c r="I41" s="82" t="str">
        <f>IF(A41="","Pending",IF(H41="","⚠️ Enter Agent Code",IF(IFERROR(VLOOKUP(G41,DB_Agents!$B:$I,8,0),"")=H41,IF(AND(A41&lt;&gt;"",E41&lt;&gt;""),"Saved","Pending"),"🔒 BLOCKED — Wrong Code")))</f>
        <v>Pending</v>
      </c>
      <c r="J41" s="83" t="str">
        <f t="shared" ref="J41:J72" ca="1" si="5">IF(I41="Saved",TEXT(TODAY(),"YYYY-MM-DD")&amp;" Auto","—")</f>
        <v>—</v>
      </c>
      <c r="K41" s="84"/>
    </row>
    <row r="42" spans="1:11" ht="15" customHeight="1" x14ac:dyDescent="0.25">
      <c r="A42" s="85"/>
      <c r="B42" s="41" t="str">
        <f>IF(A42="","",IFERROR(VLOOKUP(A42,DB_Customers!$A:$D,4,0),"❌ Account Not Found"))</f>
        <v/>
      </c>
      <c r="C42" s="86" t="str">
        <f>IF(A42="","",IFERROR(IF(SUMIF(DB_Savings!$C:$C,A42,DB_Savings!$F:$F)=0,VLOOKUP(A42,DB_Customers!$A:$I,9,0),VLOOKUP(A42,DB_Customers!$A:$N,14,0)),"❌ Acct Not Found"))</f>
        <v/>
      </c>
      <c r="D42" s="87" t="str">
        <f t="shared" ca="1" si="3"/>
        <v/>
      </c>
      <c r="E42" s="79"/>
      <c r="F42" s="88" t="str">
        <f t="shared" si="4"/>
        <v/>
      </c>
      <c r="G42" s="43" t="s">
        <v>139</v>
      </c>
      <c r="H42" s="81"/>
      <c r="I42" s="89" t="str">
        <f>IF(A42="","Pending",IF(H42="","⚠️ Enter Agent Code",IF(IFERROR(VLOOKUP(G42,DB_Agents!$B:$I,8,0),"")=H42,IF(AND(A42&lt;&gt;"",E42&lt;&gt;""),"Saved","Pending"),"🔒 BLOCKED — Wrong Code")))</f>
        <v>Pending</v>
      </c>
      <c r="J42" s="90" t="str">
        <f t="shared" ca="1" si="5"/>
        <v>—</v>
      </c>
      <c r="K42" s="91"/>
    </row>
    <row r="43" spans="1:11" ht="15" customHeight="1" x14ac:dyDescent="0.25">
      <c r="A43" s="76"/>
      <c r="B43" s="37" t="str">
        <f>IF(A43="","",IFERROR(VLOOKUP(A43,DB_Customers!$A:$D,4,0),"❌ Account Not Found"))</f>
        <v/>
      </c>
      <c r="C43" s="77" t="str">
        <f>IF(A43="","",IFERROR(IF(SUMIF(DB_Savings!$C:$C,A43,DB_Savings!$F:$F)=0,VLOOKUP(A43,DB_Customers!$A:$I,9,0),VLOOKUP(A43,DB_Customers!$A:$N,14,0)),"❌ Acct Not Found"))</f>
        <v/>
      </c>
      <c r="D43" s="78" t="str">
        <f t="shared" ca="1" si="3"/>
        <v/>
      </c>
      <c r="E43" s="79"/>
      <c r="F43" s="80" t="str">
        <f t="shared" si="4"/>
        <v/>
      </c>
      <c r="G43" s="39" t="s">
        <v>139</v>
      </c>
      <c r="H43" s="81"/>
      <c r="I43" s="82" t="str">
        <f>IF(A43="","Pending",IF(H43="","⚠️ Enter Agent Code",IF(IFERROR(VLOOKUP(G43,DB_Agents!$B:$I,8,0),"")=H43,IF(AND(A43&lt;&gt;"",E43&lt;&gt;""),"Saved","Pending"),"🔒 BLOCKED — Wrong Code")))</f>
        <v>Pending</v>
      </c>
      <c r="J43" s="83" t="str">
        <f t="shared" ca="1" si="5"/>
        <v>—</v>
      </c>
      <c r="K43" s="84"/>
    </row>
    <row r="44" spans="1:11" ht="15" customHeight="1" x14ac:dyDescent="0.25">
      <c r="A44" s="85"/>
      <c r="B44" s="41" t="str">
        <f>IF(A44="","",IFERROR(VLOOKUP(A44,DB_Customers!$A:$D,4,0),"❌ Account Not Found"))</f>
        <v/>
      </c>
      <c r="C44" s="86" t="str">
        <f>IF(A44="","",IFERROR(IF(SUMIF(DB_Savings!$C:$C,A44,DB_Savings!$F:$F)=0,VLOOKUP(A44,DB_Customers!$A:$I,9,0),VLOOKUP(A44,DB_Customers!$A:$N,14,0)),"❌ Acct Not Found"))</f>
        <v/>
      </c>
      <c r="D44" s="87" t="str">
        <f t="shared" ca="1" si="3"/>
        <v/>
      </c>
      <c r="E44" s="79"/>
      <c r="F44" s="88" t="str">
        <f t="shared" si="4"/>
        <v/>
      </c>
      <c r="G44" s="43" t="s">
        <v>139</v>
      </c>
      <c r="H44" s="81"/>
      <c r="I44" s="89" t="str">
        <f>IF(A44="","Pending",IF(H44="","⚠️ Enter Agent Code",IF(IFERROR(VLOOKUP(G44,DB_Agents!$B:$I,8,0),"")=H44,IF(AND(A44&lt;&gt;"",E44&lt;&gt;""),"Saved","Pending"),"🔒 BLOCKED — Wrong Code")))</f>
        <v>Pending</v>
      </c>
      <c r="J44" s="90" t="str">
        <f t="shared" ca="1" si="5"/>
        <v>—</v>
      </c>
      <c r="K44" s="91"/>
    </row>
    <row r="45" spans="1:11" ht="15" customHeight="1" x14ac:dyDescent="0.25">
      <c r="A45" s="76"/>
      <c r="B45" s="37" t="str">
        <f>IF(A45="","",IFERROR(VLOOKUP(A45,DB_Customers!$A:$D,4,0),"❌ Account Not Found"))</f>
        <v/>
      </c>
      <c r="C45" s="77" t="str">
        <f>IF(A45="","",IFERROR(IF(SUMIF(DB_Savings!$C:$C,A45,DB_Savings!$F:$F)=0,VLOOKUP(A45,DB_Customers!$A:$I,9,0),VLOOKUP(A45,DB_Customers!$A:$N,14,0)),"❌ Acct Not Found"))</f>
        <v/>
      </c>
      <c r="D45" s="78" t="str">
        <f t="shared" ca="1" si="3"/>
        <v/>
      </c>
      <c r="E45" s="79"/>
      <c r="F45" s="80" t="str">
        <f t="shared" si="4"/>
        <v/>
      </c>
      <c r="G45" s="39" t="s">
        <v>139</v>
      </c>
      <c r="H45" s="81"/>
      <c r="I45" s="82" t="str">
        <f>IF(A45="","Pending",IF(H45="","⚠️ Enter Agent Code",IF(IFERROR(VLOOKUP(G45,DB_Agents!$B:$I,8,0),"")=H45,IF(AND(A45&lt;&gt;"",E45&lt;&gt;""),"Saved","Pending"),"🔒 BLOCKED — Wrong Code")))</f>
        <v>Pending</v>
      </c>
      <c r="J45" s="83" t="str">
        <f t="shared" ca="1" si="5"/>
        <v>—</v>
      </c>
      <c r="K45" s="84"/>
    </row>
    <row r="46" spans="1:11" ht="15" customHeight="1" x14ac:dyDescent="0.25">
      <c r="A46" s="85"/>
      <c r="B46" s="41" t="str">
        <f>IF(A46="","",IFERROR(VLOOKUP(A46,DB_Customers!$A:$D,4,0),"❌ Account Not Found"))</f>
        <v/>
      </c>
      <c r="C46" s="86" t="str">
        <f>IF(A46="","",IFERROR(IF(SUMIF(DB_Savings!$C:$C,A46,DB_Savings!$F:$F)=0,VLOOKUP(A46,DB_Customers!$A:$I,9,0),VLOOKUP(A46,DB_Customers!$A:$N,14,0)),"❌ Acct Not Found"))</f>
        <v/>
      </c>
      <c r="D46" s="87" t="str">
        <f t="shared" ca="1" si="3"/>
        <v/>
      </c>
      <c r="E46" s="79"/>
      <c r="F46" s="88" t="str">
        <f t="shared" si="4"/>
        <v/>
      </c>
      <c r="G46" s="43" t="s">
        <v>139</v>
      </c>
      <c r="H46" s="81"/>
      <c r="I46" s="89" t="str">
        <f>IF(A46="","Pending",IF(H46="","⚠️ Enter Agent Code",IF(IFERROR(VLOOKUP(G46,DB_Agents!$B:$I,8,0),"")=H46,IF(AND(A46&lt;&gt;"",E46&lt;&gt;""),"Saved","Pending"),"🔒 BLOCKED — Wrong Code")))</f>
        <v>Pending</v>
      </c>
      <c r="J46" s="90" t="str">
        <f t="shared" ca="1" si="5"/>
        <v>—</v>
      </c>
      <c r="K46" s="91"/>
    </row>
    <row r="47" spans="1:11" ht="15" customHeight="1" x14ac:dyDescent="0.25">
      <c r="A47" s="76"/>
      <c r="B47" s="37" t="str">
        <f>IF(A47="","",IFERROR(VLOOKUP(A47,DB_Customers!$A:$D,4,0),"❌ Account Not Found"))</f>
        <v/>
      </c>
      <c r="C47" s="77" t="str">
        <f>IF(A47="","",IFERROR(IF(SUMIF(DB_Savings!$C:$C,A47,DB_Savings!$F:$F)=0,VLOOKUP(A47,DB_Customers!$A:$I,9,0),VLOOKUP(A47,DB_Customers!$A:$N,14,0)),"❌ Acct Not Found"))</f>
        <v/>
      </c>
      <c r="D47" s="78" t="str">
        <f t="shared" ca="1" si="3"/>
        <v/>
      </c>
      <c r="E47" s="79"/>
      <c r="F47" s="80" t="str">
        <f t="shared" si="4"/>
        <v/>
      </c>
      <c r="G47" s="39" t="s">
        <v>139</v>
      </c>
      <c r="H47" s="81"/>
      <c r="I47" s="82" t="str">
        <f>IF(A47="","Pending",IF(H47="","⚠️ Enter Agent Code",IF(IFERROR(VLOOKUP(G47,DB_Agents!$B:$I,8,0),"")=H47,IF(AND(A47&lt;&gt;"",E47&lt;&gt;""),"Saved","Pending"),"🔒 BLOCKED — Wrong Code")))</f>
        <v>Pending</v>
      </c>
      <c r="J47" s="83" t="str">
        <f t="shared" ca="1" si="5"/>
        <v>—</v>
      </c>
      <c r="K47" s="84"/>
    </row>
    <row r="48" spans="1:11" ht="15" customHeight="1" x14ac:dyDescent="0.25">
      <c r="A48" s="85"/>
      <c r="B48" s="41" t="str">
        <f>IF(A48="","",IFERROR(VLOOKUP(A48,DB_Customers!$A:$D,4,0),"❌ Account Not Found"))</f>
        <v/>
      </c>
      <c r="C48" s="86" t="str">
        <f>IF(A48="","",IFERROR(IF(SUMIF(DB_Savings!$C:$C,A48,DB_Savings!$F:$F)=0,VLOOKUP(A48,DB_Customers!$A:$I,9,0),VLOOKUP(A48,DB_Customers!$A:$N,14,0)),"❌ Acct Not Found"))</f>
        <v/>
      </c>
      <c r="D48" s="87" t="str">
        <f t="shared" ca="1" si="3"/>
        <v/>
      </c>
      <c r="E48" s="79"/>
      <c r="F48" s="88" t="str">
        <f t="shared" si="4"/>
        <v/>
      </c>
      <c r="G48" s="43" t="s">
        <v>139</v>
      </c>
      <c r="H48" s="81"/>
      <c r="I48" s="89" t="str">
        <f>IF(A48="","Pending",IF(H48="","⚠️ Enter Agent Code",IF(IFERROR(VLOOKUP(G48,DB_Agents!$B:$I,8,0),"")=H48,IF(AND(A48&lt;&gt;"",E48&lt;&gt;""),"Saved","Pending"),"🔒 BLOCKED — Wrong Code")))</f>
        <v>Pending</v>
      </c>
      <c r="J48" s="90" t="str">
        <f t="shared" ca="1" si="5"/>
        <v>—</v>
      </c>
      <c r="K48" s="91"/>
    </row>
    <row r="49" spans="1:11" ht="15" customHeight="1" x14ac:dyDescent="0.25">
      <c r="A49" s="76"/>
      <c r="B49" s="37" t="str">
        <f>IF(A49="","",IFERROR(VLOOKUP(A49,DB_Customers!$A:$D,4,0),"❌ Account Not Found"))</f>
        <v/>
      </c>
      <c r="C49" s="77" t="str">
        <f>IF(A49="","",IFERROR(IF(SUMIF(DB_Savings!$C:$C,A49,DB_Savings!$F:$F)=0,VLOOKUP(A49,DB_Customers!$A:$I,9,0),VLOOKUP(A49,DB_Customers!$A:$N,14,0)),"❌ Acct Not Found"))</f>
        <v/>
      </c>
      <c r="D49" s="78" t="str">
        <f t="shared" ca="1" si="3"/>
        <v/>
      </c>
      <c r="E49" s="79"/>
      <c r="F49" s="80" t="str">
        <f t="shared" si="4"/>
        <v/>
      </c>
      <c r="G49" s="39" t="s">
        <v>139</v>
      </c>
      <c r="H49" s="81"/>
      <c r="I49" s="82" t="str">
        <f>IF(A49="","Pending",IF(H49="","⚠️ Enter Agent Code",IF(IFERROR(VLOOKUP(G49,DB_Agents!$B:$I,8,0),"")=H49,IF(AND(A49&lt;&gt;"",E49&lt;&gt;""),"Saved","Pending"),"🔒 BLOCKED — Wrong Code")))</f>
        <v>Pending</v>
      </c>
      <c r="J49" s="83" t="str">
        <f t="shared" ca="1" si="5"/>
        <v>—</v>
      </c>
      <c r="K49" s="84"/>
    </row>
    <row r="50" spans="1:11" ht="15" customHeight="1" x14ac:dyDescent="0.25">
      <c r="A50" s="85"/>
      <c r="B50" s="41" t="str">
        <f>IF(A50="","",IFERROR(VLOOKUP(A50,DB_Customers!$A:$D,4,0),"❌ Account Not Found"))</f>
        <v/>
      </c>
      <c r="C50" s="86" t="str">
        <f>IF(A50="","",IFERROR(IF(SUMIF(DB_Savings!$C:$C,A50,DB_Savings!$F:$F)=0,VLOOKUP(A50,DB_Customers!$A:$I,9,0),VLOOKUP(A50,DB_Customers!$A:$N,14,0)),"❌ Acct Not Found"))</f>
        <v/>
      </c>
      <c r="D50" s="87" t="str">
        <f t="shared" ca="1" si="3"/>
        <v/>
      </c>
      <c r="E50" s="79"/>
      <c r="F50" s="88" t="str">
        <f t="shared" si="4"/>
        <v/>
      </c>
      <c r="G50" s="43" t="s">
        <v>139</v>
      </c>
      <c r="H50" s="81"/>
      <c r="I50" s="89" t="str">
        <f>IF(A50="","Pending",IF(H50="","⚠️ Enter Agent Code",IF(IFERROR(VLOOKUP(G50,DB_Agents!$B:$I,8,0),"")=H50,IF(AND(A50&lt;&gt;"",E50&lt;&gt;""),"Saved","Pending"),"🔒 BLOCKED — Wrong Code")))</f>
        <v>Pending</v>
      </c>
      <c r="J50" s="90" t="str">
        <f t="shared" ca="1" si="5"/>
        <v>—</v>
      </c>
      <c r="K50" s="91"/>
    </row>
    <row r="51" spans="1:11" ht="15" customHeight="1" x14ac:dyDescent="0.25">
      <c r="A51" s="76"/>
      <c r="B51" s="37" t="str">
        <f>IF(A51="","",IFERROR(VLOOKUP(A51,DB_Customers!$A:$D,4,0),"❌ Account Not Found"))</f>
        <v/>
      </c>
      <c r="C51" s="77" t="str">
        <f>IF(A51="","",IFERROR(IF(SUMIF(DB_Savings!$C:$C,A51,DB_Savings!$F:$F)=0,VLOOKUP(A51,DB_Customers!$A:$I,9,0),VLOOKUP(A51,DB_Customers!$A:$N,14,0)),"❌ Acct Not Found"))</f>
        <v/>
      </c>
      <c r="D51" s="78" t="str">
        <f t="shared" ca="1" si="3"/>
        <v/>
      </c>
      <c r="E51" s="79"/>
      <c r="F51" s="80" t="str">
        <f t="shared" si="4"/>
        <v/>
      </c>
      <c r="G51" s="39" t="s">
        <v>139</v>
      </c>
      <c r="H51" s="81"/>
      <c r="I51" s="82" t="str">
        <f>IF(A51="","Pending",IF(H51="","⚠️ Enter Agent Code",IF(IFERROR(VLOOKUP(G51,DB_Agents!$B:$I,8,0),"")=H51,IF(AND(A51&lt;&gt;"",E51&lt;&gt;""),"Saved","Pending"),"🔒 BLOCKED — Wrong Code")))</f>
        <v>Pending</v>
      </c>
      <c r="J51" s="83" t="str">
        <f t="shared" ca="1" si="5"/>
        <v>—</v>
      </c>
      <c r="K51" s="84"/>
    </row>
    <row r="52" spans="1:11" ht="15" customHeight="1" x14ac:dyDescent="0.25">
      <c r="A52" s="85"/>
      <c r="B52" s="41" t="str">
        <f>IF(A52="","",IFERROR(VLOOKUP(A52,DB_Customers!$A:$D,4,0),"❌ Account Not Found"))</f>
        <v/>
      </c>
      <c r="C52" s="86" t="str">
        <f>IF(A52="","",IFERROR(IF(SUMIF(DB_Savings!$C:$C,A52,DB_Savings!$F:$F)=0,VLOOKUP(A52,DB_Customers!$A:$I,9,0),VLOOKUP(A52,DB_Customers!$A:$N,14,0)),"❌ Acct Not Found"))</f>
        <v/>
      </c>
      <c r="D52" s="87" t="str">
        <f t="shared" ca="1" si="3"/>
        <v/>
      </c>
      <c r="E52" s="79"/>
      <c r="F52" s="88" t="str">
        <f t="shared" si="4"/>
        <v/>
      </c>
      <c r="G52" s="43" t="s">
        <v>139</v>
      </c>
      <c r="H52" s="81"/>
      <c r="I52" s="89" t="str">
        <f>IF(A52="","Pending",IF(H52="","⚠️ Enter Agent Code",IF(IFERROR(VLOOKUP(G52,DB_Agents!$B:$I,8,0),"")=H52,IF(AND(A52&lt;&gt;"",E52&lt;&gt;""),"Saved","Pending"),"🔒 BLOCKED — Wrong Code")))</f>
        <v>Pending</v>
      </c>
      <c r="J52" s="90" t="str">
        <f t="shared" ca="1" si="5"/>
        <v>—</v>
      </c>
      <c r="K52" s="91"/>
    </row>
    <row r="53" spans="1:11" ht="15" customHeight="1" x14ac:dyDescent="0.25">
      <c r="A53" s="76"/>
      <c r="B53" s="37" t="str">
        <f>IF(A53="","",IFERROR(VLOOKUP(A53,DB_Customers!$A:$D,4,0),"❌ Account Not Found"))</f>
        <v/>
      </c>
      <c r="C53" s="77" t="str">
        <f>IF(A53="","",IFERROR(IF(SUMIF(DB_Savings!$C:$C,A53,DB_Savings!$F:$F)=0,VLOOKUP(A53,DB_Customers!$A:$I,9,0),VLOOKUP(A53,DB_Customers!$A:$N,14,0)),"❌ Acct Not Found"))</f>
        <v/>
      </c>
      <c r="D53" s="78" t="str">
        <f t="shared" ca="1" si="3"/>
        <v/>
      </c>
      <c r="E53" s="79"/>
      <c r="F53" s="80" t="str">
        <f t="shared" si="4"/>
        <v/>
      </c>
      <c r="G53" s="39" t="s">
        <v>139</v>
      </c>
      <c r="H53" s="81"/>
      <c r="I53" s="82" t="str">
        <f>IF(A53="","Pending",IF(H53="","⚠️ Enter Agent Code",IF(IFERROR(VLOOKUP(G53,DB_Agents!$B:$I,8,0),"")=H53,IF(AND(A53&lt;&gt;"",E53&lt;&gt;""),"Saved","Pending"),"🔒 BLOCKED — Wrong Code")))</f>
        <v>Pending</v>
      </c>
      <c r="J53" s="83" t="str">
        <f t="shared" ca="1" si="5"/>
        <v>—</v>
      </c>
      <c r="K53" s="84"/>
    </row>
    <row r="54" spans="1:11" ht="15" customHeight="1" x14ac:dyDescent="0.25">
      <c r="A54" s="85"/>
      <c r="B54" s="41" t="str">
        <f>IF(A54="","",IFERROR(VLOOKUP(A54,DB_Customers!$A:$D,4,0),"❌ Account Not Found"))</f>
        <v/>
      </c>
      <c r="C54" s="86" t="str">
        <f>IF(A54="","",IFERROR(IF(SUMIF(DB_Savings!$C:$C,A54,DB_Savings!$F:$F)=0,VLOOKUP(A54,DB_Customers!$A:$I,9,0),VLOOKUP(A54,DB_Customers!$A:$N,14,0)),"❌ Acct Not Found"))</f>
        <v/>
      </c>
      <c r="D54" s="87" t="str">
        <f t="shared" ca="1" si="3"/>
        <v/>
      </c>
      <c r="E54" s="79"/>
      <c r="F54" s="88" t="str">
        <f t="shared" si="4"/>
        <v/>
      </c>
      <c r="G54" s="43" t="s">
        <v>139</v>
      </c>
      <c r="H54" s="81"/>
      <c r="I54" s="89" t="str">
        <f>IF(A54="","Pending",IF(H54="","⚠️ Enter Agent Code",IF(IFERROR(VLOOKUP(G54,DB_Agents!$B:$I,8,0),"")=H54,IF(AND(A54&lt;&gt;"",E54&lt;&gt;""),"Saved","Pending"),"🔒 BLOCKED — Wrong Code")))</f>
        <v>Pending</v>
      </c>
      <c r="J54" s="90" t="str">
        <f t="shared" ca="1" si="5"/>
        <v>—</v>
      </c>
      <c r="K54" s="91"/>
    </row>
    <row r="55" spans="1:11" ht="15" customHeight="1" x14ac:dyDescent="0.25">
      <c r="A55" s="76"/>
      <c r="B55" s="37" t="str">
        <f>IF(A55="","",IFERROR(VLOOKUP(A55,DB_Customers!$A:$D,4,0),"❌ Account Not Found"))</f>
        <v/>
      </c>
      <c r="C55" s="77" t="str">
        <f>IF(A55="","",IFERROR(IF(SUMIF(DB_Savings!$C:$C,A55,DB_Savings!$F:$F)=0,VLOOKUP(A55,DB_Customers!$A:$I,9,0),VLOOKUP(A55,DB_Customers!$A:$N,14,0)),"❌ Acct Not Found"))</f>
        <v/>
      </c>
      <c r="D55" s="78" t="str">
        <f t="shared" ca="1" si="3"/>
        <v/>
      </c>
      <c r="E55" s="79"/>
      <c r="F55" s="80" t="str">
        <f t="shared" si="4"/>
        <v/>
      </c>
      <c r="G55" s="39" t="s">
        <v>139</v>
      </c>
      <c r="H55" s="81"/>
      <c r="I55" s="82" t="str">
        <f>IF(A55="","Pending",IF(H55="","⚠️ Enter Agent Code",IF(IFERROR(VLOOKUP(G55,DB_Agents!$B:$I,8,0),"")=H55,IF(AND(A55&lt;&gt;"",E55&lt;&gt;""),"Saved","Pending"),"🔒 BLOCKED — Wrong Code")))</f>
        <v>Pending</v>
      </c>
      <c r="J55" s="83" t="str">
        <f t="shared" ca="1" si="5"/>
        <v>—</v>
      </c>
      <c r="K55" s="84"/>
    </row>
    <row r="56" spans="1:11" ht="15" customHeight="1" x14ac:dyDescent="0.25">
      <c r="A56" s="85"/>
      <c r="B56" s="41" t="str">
        <f>IF(A56="","",IFERROR(VLOOKUP(A56,DB_Customers!$A:$D,4,0),"❌ Account Not Found"))</f>
        <v/>
      </c>
      <c r="C56" s="86" t="str">
        <f>IF(A56="","",IFERROR(IF(SUMIF(DB_Savings!$C:$C,A56,DB_Savings!$F:$F)=0,VLOOKUP(A56,DB_Customers!$A:$I,9,0),VLOOKUP(A56,DB_Customers!$A:$N,14,0)),"❌ Acct Not Found"))</f>
        <v/>
      </c>
      <c r="D56" s="87" t="str">
        <f t="shared" ca="1" si="3"/>
        <v/>
      </c>
      <c r="E56" s="79"/>
      <c r="F56" s="88" t="str">
        <f t="shared" si="4"/>
        <v/>
      </c>
      <c r="G56" s="43" t="s">
        <v>139</v>
      </c>
      <c r="H56" s="81"/>
      <c r="I56" s="89" t="str">
        <f>IF(A56="","Pending",IF(H56="","⚠️ Enter Agent Code",IF(IFERROR(VLOOKUP(G56,DB_Agents!$B:$I,8,0),"")=H56,IF(AND(A56&lt;&gt;"",E56&lt;&gt;""),"Saved","Pending"),"🔒 BLOCKED — Wrong Code")))</f>
        <v>Pending</v>
      </c>
      <c r="J56" s="90" t="str">
        <f t="shared" ca="1" si="5"/>
        <v>—</v>
      </c>
      <c r="K56" s="91"/>
    </row>
    <row r="57" spans="1:11" ht="15" customHeight="1" x14ac:dyDescent="0.25">
      <c r="A57" s="76"/>
      <c r="B57" s="37" t="str">
        <f>IF(A57="","",IFERROR(VLOOKUP(A57,DB_Customers!$A:$D,4,0),"❌ Account Not Found"))</f>
        <v/>
      </c>
      <c r="C57" s="77" t="str">
        <f>IF(A57="","",IFERROR(IF(SUMIF(DB_Savings!$C:$C,A57,DB_Savings!$F:$F)=0,VLOOKUP(A57,DB_Customers!$A:$I,9,0),VLOOKUP(A57,DB_Customers!$A:$N,14,0)),"❌ Acct Not Found"))</f>
        <v/>
      </c>
      <c r="D57" s="78" t="str">
        <f t="shared" ca="1" si="3"/>
        <v/>
      </c>
      <c r="E57" s="79"/>
      <c r="F57" s="80" t="str">
        <f t="shared" si="4"/>
        <v/>
      </c>
      <c r="G57" s="39" t="s">
        <v>139</v>
      </c>
      <c r="H57" s="81"/>
      <c r="I57" s="82" t="str">
        <f>IF(A57="","Pending",IF(H57="","⚠️ Enter Agent Code",IF(IFERROR(VLOOKUP(G57,DB_Agents!$B:$I,8,0),"")=H57,IF(AND(A57&lt;&gt;"",E57&lt;&gt;""),"Saved","Pending"),"🔒 BLOCKED — Wrong Code")))</f>
        <v>Pending</v>
      </c>
      <c r="J57" s="83" t="str">
        <f t="shared" ca="1" si="5"/>
        <v>—</v>
      </c>
      <c r="K57" s="84"/>
    </row>
    <row r="58" spans="1:11" ht="15" customHeight="1" x14ac:dyDescent="0.25">
      <c r="A58" s="85"/>
      <c r="B58" s="41" t="str">
        <f>IF(A58="","",IFERROR(VLOOKUP(A58,DB_Customers!$A:$D,4,0),"❌ Account Not Found"))</f>
        <v/>
      </c>
      <c r="C58" s="86" t="str">
        <f>IF(A58="","",IFERROR(IF(SUMIF(DB_Savings!$C:$C,A58,DB_Savings!$F:$F)=0,VLOOKUP(A58,DB_Customers!$A:$I,9,0),VLOOKUP(A58,DB_Customers!$A:$N,14,0)),"❌ Acct Not Found"))</f>
        <v/>
      </c>
      <c r="D58" s="87" t="str">
        <f t="shared" ca="1" si="3"/>
        <v/>
      </c>
      <c r="E58" s="79"/>
      <c r="F58" s="88" t="str">
        <f t="shared" si="4"/>
        <v/>
      </c>
      <c r="G58" s="43" t="s">
        <v>139</v>
      </c>
      <c r="H58" s="81"/>
      <c r="I58" s="89" t="str">
        <f>IF(A58="","Pending",IF(H58="","⚠️ Enter Agent Code",IF(IFERROR(VLOOKUP(G58,DB_Agents!$B:$I,8,0),"")=H58,IF(AND(A58&lt;&gt;"",E58&lt;&gt;""),"Saved","Pending"),"🔒 BLOCKED — Wrong Code")))</f>
        <v>Pending</v>
      </c>
      <c r="J58" s="90" t="str">
        <f t="shared" ca="1" si="5"/>
        <v>—</v>
      </c>
      <c r="K58" s="91"/>
    </row>
    <row r="59" spans="1:11" ht="15" customHeight="1" x14ac:dyDescent="0.25">
      <c r="A59" s="76"/>
      <c r="B59" s="37" t="str">
        <f>IF(A59="","",IFERROR(VLOOKUP(A59,DB_Customers!$A:$D,4,0),"❌ Account Not Found"))</f>
        <v/>
      </c>
      <c r="C59" s="77" t="str">
        <f>IF(A59="","",IFERROR(IF(SUMIF(DB_Savings!$C:$C,A59,DB_Savings!$F:$F)=0,VLOOKUP(A59,DB_Customers!$A:$I,9,0),VLOOKUP(A59,DB_Customers!$A:$N,14,0)),"❌ Acct Not Found"))</f>
        <v/>
      </c>
      <c r="D59" s="78" t="str">
        <f t="shared" ca="1" si="3"/>
        <v/>
      </c>
      <c r="E59" s="79"/>
      <c r="F59" s="80" t="str">
        <f t="shared" si="4"/>
        <v/>
      </c>
      <c r="G59" s="39" t="s">
        <v>139</v>
      </c>
      <c r="H59" s="81"/>
      <c r="I59" s="82" t="str">
        <f>IF(A59="","Pending",IF(H59="","⚠️ Enter Agent Code",IF(IFERROR(VLOOKUP(G59,DB_Agents!$B:$I,8,0),"")=H59,IF(AND(A59&lt;&gt;"",E59&lt;&gt;""),"Saved","Pending"),"🔒 BLOCKED — Wrong Code")))</f>
        <v>Pending</v>
      </c>
      <c r="J59" s="83" t="str">
        <f t="shared" ca="1" si="5"/>
        <v>—</v>
      </c>
      <c r="K59" s="84"/>
    </row>
    <row r="60" spans="1:11" ht="15" customHeight="1" x14ac:dyDescent="0.25">
      <c r="A60" s="85"/>
      <c r="B60" s="41" t="str">
        <f>IF(A60="","",IFERROR(VLOOKUP(A60,DB_Customers!$A:$D,4,0),"❌ Account Not Found"))</f>
        <v/>
      </c>
      <c r="C60" s="86" t="str">
        <f>IF(A60="","",IFERROR(IF(SUMIF(DB_Savings!$C:$C,A60,DB_Savings!$F:$F)=0,VLOOKUP(A60,DB_Customers!$A:$I,9,0),VLOOKUP(A60,DB_Customers!$A:$N,14,0)),"❌ Acct Not Found"))</f>
        <v/>
      </c>
      <c r="D60" s="87" t="str">
        <f t="shared" ca="1" si="3"/>
        <v/>
      </c>
      <c r="E60" s="79"/>
      <c r="F60" s="88" t="str">
        <f t="shared" si="4"/>
        <v/>
      </c>
      <c r="G60" s="43" t="s">
        <v>139</v>
      </c>
      <c r="H60" s="81"/>
      <c r="I60" s="89" t="str">
        <f>IF(A60="","Pending",IF(H60="","⚠️ Enter Agent Code",IF(IFERROR(VLOOKUP(G60,DB_Agents!$B:$I,8,0),"")=H60,IF(AND(A60&lt;&gt;"",E60&lt;&gt;""),"Saved","Pending"),"🔒 BLOCKED — Wrong Code")))</f>
        <v>Pending</v>
      </c>
      <c r="J60" s="90" t="str">
        <f t="shared" ca="1" si="5"/>
        <v>—</v>
      </c>
      <c r="K60" s="91"/>
    </row>
    <row r="61" spans="1:11" ht="15" customHeight="1" x14ac:dyDescent="0.25">
      <c r="A61" s="76"/>
      <c r="B61" s="37" t="str">
        <f>IF(A61="","",IFERROR(VLOOKUP(A61,DB_Customers!$A:$D,4,0),"❌ Account Not Found"))</f>
        <v/>
      </c>
      <c r="C61" s="77" t="str">
        <f>IF(A61="","",IFERROR(IF(SUMIF(DB_Savings!$C:$C,A61,DB_Savings!$F:$F)=0,VLOOKUP(A61,DB_Customers!$A:$I,9,0),VLOOKUP(A61,DB_Customers!$A:$N,14,0)),"❌ Acct Not Found"))</f>
        <v/>
      </c>
      <c r="D61" s="78" t="str">
        <f t="shared" ca="1" si="3"/>
        <v/>
      </c>
      <c r="E61" s="79"/>
      <c r="F61" s="80" t="str">
        <f t="shared" si="4"/>
        <v/>
      </c>
      <c r="G61" s="39" t="s">
        <v>139</v>
      </c>
      <c r="H61" s="81"/>
      <c r="I61" s="82" t="str">
        <f>IF(A61="","Pending",IF(H61="","⚠️ Enter Agent Code",IF(IFERROR(VLOOKUP(G61,DB_Agents!$B:$I,8,0),"")=H61,IF(AND(A61&lt;&gt;"",E61&lt;&gt;""),"Saved","Pending"),"🔒 BLOCKED — Wrong Code")))</f>
        <v>Pending</v>
      </c>
      <c r="J61" s="83" t="str">
        <f t="shared" ca="1" si="5"/>
        <v>—</v>
      </c>
      <c r="K61" s="84"/>
    </row>
    <row r="62" spans="1:11" ht="15" customHeight="1" x14ac:dyDescent="0.25">
      <c r="A62" s="85"/>
      <c r="B62" s="41" t="str">
        <f>IF(A62="","",IFERROR(VLOOKUP(A62,DB_Customers!$A:$D,4,0),"❌ Account Not Found"))</f>
        <v/>
      </c>
      <c r="C62" s="86" t="str">
        <f>IF(A62="","",IFERROR(IF(SUMIF(DB_Savings!$C:$C,A62,DB_Savings!$F:$F)=0,VLOOKUP(A62,DB_Customers!$A:$I,9,0),VLOOKUP(A62,DB_Customers!$A:$N,14,0)),"❌ Acct Not Found"))</f>
        <v/>
      </c>
      <c r="D62" s="87" t="str">
        <f t="shared" ca="1" si="3"/>
        <v/>
      </c>
      <c r="E62" s="79"/>
      <c r="F62" s="88" t="str">
        <f t="shared" si="4"/>
        <v/>
      </c>
      <c r="G62" s="43" t="s">
        <v>139</v>
      </c>
      <c r="H62" s="81"/>
      <c r="I62" s="89" t="str">
        <f>IF(A62="","Pending",IF(H62="","⚠️ Enter Agent Code",IF(IFERROR(VLOOKUP(G62,DB_Agents!$B:$I,8,0),"")=H62,IF(AND(A62&lt;&gt;"",E62&lt;&gt;""),"Saved","Pending"),"🔒 BLOCKED — Wrong Code")))</f>
        <v>Pending</v>
      </c>
      <c r="J62" s="90" t="str">
        <f t="shared" ca="1" si="5"/>
        <v>—</v>
      </c>
      <c r="K62" s="91"/>
    </row>
    <row r="63" spans="1:11" ht="15" customHeight="1" x14ac:dyDescent="0.25">
      <c r="A63" s="76"/>
      <c r="B63" s="37" t="str">
        <f>IF(A63="","",IFERROR(VLOOKUP(A63,DB_Customers!$A:$D,4,0),"❌ Account Not Found"))</f>
        <v/>
      </c>
      <c r="C63" s="77" t="str">
        <f>IF(A63="","",IFERROR(IF(SUMIF(DB_Savings!$C:$C,A63,DB_Savings!$F:$F)=0,VLOOKUP(A63,DB_Customers!$A:$I,9,0),VLOOKUP(A63,DB_Customers!$A:$N,14,0)),"❌ Acct Not Found"))</f>
        <v/>
      </c>
      <c r="D63" s="78" t="str">
        <f t="shared" ca="1" si="3"/>
        <v/>
      </c>
      <c r="E63" s="79"/>
      <c r="F63" s="80" t="str">
        <f t="shared" si="4"/>
        <v/>
      </c>
      <c r="G63" s="39" t="s">
        <v>139</v>
      </c>
      <c r="H63" s="81"/>
      <c r="I63" s="82" t="str">
        <f>IF(A63="","Pending",IF(H63="","⚠️ Enter Agent Code",IF(IFERROR(VLOOKUP(G63,DB_Agents!$B:$I,8,0),"")=H63,IF(AND(A63&lt;&gt;"",E63&lt;&gt;""),"Saved","Pending"),"🔒 BLOCKED — Wrong Code")))</f>
        <v>Pending</v>
      </c>
      <c r="J63" s="83" t="str">
        <f t="shared" ca="1" si="5"/>
        <v>—</v>
      </c>
      <c r="K63" s="84"/>
    </row>
    <row r="64" spans="1:11" ht="15" customHeight="1" x14ac:dyDescent="0.25">
      <c r="A64" s="85"/>
      <c r="B64" s="41" t="str">
        <f>IF(A64="","",IFERROR(VLOOKUP(A64,DB_Customers!$A:$D,4,0),"❌ Account Not Found"))</f>
        <v/>
      </c>
      <c r="C64" s="86" t="str">
        <f>IF(A64="","",IFERROR(IF(SUMIF(DB_Savings!$C:$C,A64,DB_Savings!$F:$F)=0,VLOOKUP(A64,DB_Customers!$A:$I,9,0),VLOOKUP(A64,DB_Customers!$A:$N,14,0)),"❌ Acct Not Found"))</f>
        <v/>
      </c>
      <c r="D64" s="87" t="str">
        <f t="shared" ca="1" si="3"/>
        <v/>
      </c>
      <c r="E64" s="79"/>
      <c r="F64" s="88" t="str">
        <f t="shared" si="4"/>
        <v/>
      </c>
      <c r="G64" s="43" t="s">
        <v>139</v>
      </c>
      <c r="H64" s="81"/>
      <c r="I64" s="89" t="str">
        <f>IF(A64="","Pending",IF(H64="","⚠️ Enter Agent Code",IF(IFERROR(VLOOKUP(G64,DB_Agents!$B:$I,8,0),"")=H64,IF(AND(A64&lt;&gt;"",E64&lt;&gt;""),"Saved","Pending"),"🔒 BLOCKED — Wrong Code")))</f>
        <v>Pending</v>
      </c>
      <c r="J64" s="90" t="str">
        <f t="shared" ca="1" si="5"/>
        <v>—</v>
      </c>
      <c r="K64" s="91"/>
    </row>
    <row r="65" spans="1:11" ht="15" customHeight="1" x14ac:dyDescent="0.25">
      <c r="A65" s="76"/>
      <c r="B65" s="37" t="str">
        <f>IF(A65="","",IFERROR(VLOOKUP(A65,DB_Customers!$A:$D,4,0),"❌ Account Not Found"))</f>
        <v/>
      </c>
      <c r="C65" s="77" t="str">
        <f>IF(A65="","",IFERROR(IF(SUMIF(DB_Savings!$C:$C,A65,DB_Savings!$F:$F)=0,VLOOKUP(A65,DB_Customers!$A:$I,9,0),VLOOKUP(A65,DB_Customers!$A:$N,14,0)),"❌ Acct Not Found"))</f>
        <v/>
      </c>
      <c r="D65" s="78" t="str">
        <f t="shared" ca="1" si="3"/>
        <v/>
      </c>
      <c r="E65" s="79"/>
      <c r="F65" s="80" t="str">
        <f t="shared" si="4"/>
        <v/>
      </c>
      <c r="G65" s="39" t="s">
        <v>139</v>
      </c>
      <c r="H65" s="81"/>
      <c r="I65" s="82" t="str">
        <f>IF(A65="","Pending",IF(H65="","⚠️ Enter Agent Code",IF(IFERROR(VLOOKUP(G65,DB_Agents!$B:$I,8,0),"")=H65,IF(AND(A65&lt;&gt;"",E65&lt;&gt;""),"Saved","Pending"),"🔒 BLOCKED — Wrong Code")))</f>
        <v>Pending</v>
      </c>
      <c r="J65" s="83" t="str">
        <f t="shared" ca="1" si="5"/>
        <v>—</v>
      </c>
      <c r="K65" s="84"/>
    </row>
    <row r="66" spans="1:11" ht="15" customHeight="1" x14ac:dyDescent="0.25">
      <c r="A66" s="85"/>
      <c r="B66" s="41" t="str">
        <f>IF(A66="","",IFERROR(VLOOKUP(A66,DB_Customers!$A:$D,4,0),"❌ Account Not Found"))</f>
        <v/>
      </c>
      <c r="C66" s="86" t="str">
        <f>IF(A66="","",IFERROR(IF(SUMIF(DB_Savings!$C:$C,A66,DB_Savings!$F:$F)=0,VLOOKUP(A66,DB_Customers!$A:$I,9,0),VLOOKUP(A66,DB_Customers!$A:$N,14,0)),"❌ Acct Not Found"))</f>
        <v/>
      </c>
      <c r="D66" s="87" t="str">
        <f t="shared" ca="1" si="3"/>
        <v/>
      </c>
      <c r="E66" s="79"/>
      <c r="F66" s="88" t="str">
        <f t="shared" si="4"/>
        <v/>
      </c>
      <c r="G66" s="43" t="s">
        <v>139</v>
      </c>
      <c r="H66" s="81"/>
      <c r="I66" s="89" t="str">
        <f>IF(A66="","Pending",IF(H66="","⚠️ Enter Agent Code",IF(IFERROR(VLOOKUP(G66,DB_Agents!$B:$I,8,0),"")=H66,IF(AND(A66&lt;&gt;"",E66&lt;&gt;""),"Saved","Pending"),"🔒 BLOCKED — Wrong Code")))</f>
        <v>Pending</v>
      </c>
      <c r="J66" s="90" t="str">
        <f t="shared" ca="1" si="5"/>
        <v>—</v>
      </c>
      <c r="K66" s="91"/>
    </row>
    <row r="67" spans="1:11" ht="15" customHeight="1" x14ac:dyDescent="0.25">
      <c r="A67" s="76"/>
      <c r="B67" s="37" t="str">
        <f>IF(A67="","",IFERROR(VLOOKUP(A67,DB_Customers!$A:$D,4,0),"❌ Account Not Found"))</f>
        <v/>
      </c>
      <c r="C67" s="77" t="str">
        <f>IF(A67="","",IFERROR(IF(SUMIF(DB_Savings!$C:$C,A67,DB_Savings!$F:$F)=0,VLOOKUP(A67,DB_Customers!$A:$I,9,0),VLOOKUP(A67,DB_Customers!$A:$N,14,0)),"❌ Acct Not Found"))</f>
        <v/>
      </c>
      <c r="D67" s="78" t="str">
        <f t="shared" ca="1" si="3"/>
        <v/>
      </c>
      <c r="E67" s="79"/>
      <c r="F67" s="80" t="str">
        <f t="shared" si="4"/>
        <v/>
      </c>
      <c r="G67" s="39" t="s">
        <v>139</v>
      </c>
      <c r="H67" s="81"/>
      <c r="I67" s="82" t="str">
        <f>IF(A67="","Pending",IF(H67="","⚠️ Enter Agent Code",IF(IFERROR(VLOOKUP(G67,DB_Agents!$B:$I,8,0),"")=H67,IF(AND(A67&lt;&gt;"",E67&lt;&gt;""),"Saved","Pending"),"🔒 BLOCKED — Wrong Code")))</f>
        <v>Pending</v>
      </c>
      <c r="J67" s="83" t="str">
        <f t="shared" ca="1" si="5"/>
        <v>—</v>
      </c>
      <c r="K67" s="84"/>
    </row>
    <row r="68" spans="1:11" ht="15" customHeight="1" x14ac:dyDescent="0.25">
      <c r="A68" s="85"/>
      <c r="B68" s="41" t="str">
        <f>IF(A68="","",IFERROR(VLOOKUP(A68,DB_Customers!$A:$D,4,0),"❌ Account Not Found"))</f>
        <v/>
      </c>
      <c r="C68" s="86" t="str">
        <f>IF(A68="","",IFERROR(IF(SUMIF(DB_Savings!$C:$C,A68,DB_Savings!$F:$F)=0,VLOOKUP(A68,DB_Customers!$A:$I,9,0),VLOOKUP(A68,DB_Customers!$A:$N,14,0)),"❌ Acct Not Found"))</f>
        <v/>
      </c>
      <c r="D68" s="87" t="str">
        <f t="shared" ca="1" si="3"/>
        <v/>
      </c>
      <c r="E68" s="79"/>
      <c r="F68" s="88" t="str">
        <f t="shared" si="4"/>
        <v/>
      </c>
      <c r="G68" s="43" t="s">
        <v>139</v>
      </c>
      <c r="H68" s="81"/>
      <c r="I68" s="89" t="str">
        <f>IF(A68="","Pending",IF(H68="","⚠️ Enter Agent Code",IF(IFERROR(VLOOKUP(G68,DB_Agents!$B:$I,8,0),"")=H68,IF(AND(A68&lt;&gt;"",E68&lt;&gt;""),"Saved","Pending"),"🔒 BLOCKED — Wrong Code")))</f>
        <v>Pending</v>
      </c>
      <c r="J68" s="90" t="str">
        <f t="shared" ca="1" si="5"/>
        <v>—</v>
      </c>
      <c r="K68" s="91"/>
    </row>
    <row r="69" spans="1:11" ht="15" customHeight="1" x14ac:dyDescent="0.25">
      <c r="A69" s="76"/>
      <c r="B69" s="37" t="str">
        <f>IF(A69="","",IFERROR(VLOOKUP(A69,DB_Customers!$A:$D,4,0),"❌ Account Not Found"))</f>
        <v/>
      </c>
      <c r="C69" s="77" t="str">
        <f>IF(A69="","",IFERROR(IF(SUMIF(DB_Savings!$C:$C,A69,DB_Savings!$F:$F)=0,VLOOKUP(A69,DB_Customers!$A:$I,9,0),VLOOKUP(A69,DB_Customers!$A:$N,14,0)),"❌ Acct Not Found"))</f>
        <v/>
      </c>
      <c r="D69" s="78" t="str">
        <f t="shared" ca="1" si="3"/>
        <v/>
      </c>
      <c r="E69" s="79"/>
      <c r="F69" s="80" t="str">
        <f t="shared" si="4"/>
        <v/>
      </c>
      <c r="G69" s="39" t="s">
        <v>139</v>
      </c>
      <c r="H69" s="81"/>
      <c r="I69" s="82" t="str">
        <f>IF(A69="","Pending",IF(H69="","⚠️ Enter Agent Code",IF(IFERROR(VLOOKUP(G69,DB_Agents!$B:$I,8,0),"")=H69,IF(AND(A69&lt;&gt;"",E69&lt;&gt;""),"Saved","Pending"),"🔒 BLOCKED — Wrong Code")))</f>
        <v>Pending</v>
      </c>
      <c r="J69" s="83" t="str">
        <f t="shared" ca="1" si="5"/>
        <v>—</v>
      </c>
      <c r="K69" s="84"/>
    </row>
    <row r="70" spans="1:11" ht="15" customHeight="1" x14ac:dyDescent="0.25">
      <c r="A70" s="85"/>
      <c r="B70" s="41" t="str">
        <f>IF(A70="","",IFERROR(VLOOKUP(A70,DB_Customers!$A:$D,4,0),"❌ Account Not Found"))</f>
        <v/>
      </c>
      <c r="C70" s="86" t="str">
        <f>IF(A70="","",IFERROR(IF(SUMIF(DB_Savings!$C:$C,A70,DB_Savings!$F:$F)=0,VLOOKUP(A70,DB_Customers!$A:$I,9,0),VLOOKUP(A70,DB_Customers!$A:$N,14,0)),"❌ Acct Not Found"))</f>
        <v/>
      </c>
      <c r="D70" s="87" t="str">
        <f t="shared" ca="1" si="3"/>
        <v/>
      </c>
      <c r="E70" s="79"/>
      <c r="F70" s="88" t="str">
        <f t="shared" si="4"/>
        <v/>
      </c>
      <c r="G70" s="43" t="s">
        <v>139</v>
      </c>
      <c r="H70" s="81"/>
      <c r="I70" s="89" t="str">
        <f>IF(A70="","Pending",IF(H70="","⚠️ Enter Agent Code",IF(IFERROR(VLOOKUP(G70,DB_Agents!$B:$I,8,0),"")=H70,IF(AND(A70&lt;&gt;"",E70&lt;&gt;""),"Saved","Pending"),"🔒 BLOCKED — Wrong Code")))</f>
        <v>Pending</v>
      </c>
      <c r="J70" s="90" t="str">
        <f t="shared" ca="1" si="5"/>
        <v>—</v>
      </c>
      <c r="K70" s="91"/>
    </row>
    <row r="71" spans="1:11" ht="15" customHeight="1" x14ac:dyDescent="0.25">
      <c r="A71" s="76"/>
      <c r="B71" s="37" t="str">
        <f>IF(A71="","",IFERROR(VLOOKUP(A71,DB_Customers!$A:$D,4,0),"❌ Account Not Found"))</f>
        <v/>
      </c>
      <c r="C71" s="77" t="str">
        <f>IF(A71="","",IFERROR(IF(SUMIF(DB_Savings!$C:$C,A71,DB_Savings!$F:$F)=0,VLOOKUP(A71,DB_Customers!$A:$I,9,0),VLOOKUP(A71,DB_Customers!$A:$N,14,0)),"❌ Acct Not Found"))</f>
        <v/>
      </c>
      <c r="D71" s="78" t="str">
        <f t="shared" ca="1" si="3"/>
        <v/>
      </c>
      <c r="E71" s="79"/>
      <c r="F71" s="80" t="str">
        <f t="shared" si="4"/>
        <v/>
      </c>
      <c r="G71" s="39" t="s">
        <v>139</v>
      </c>
      <c r="H71" s="81"/>
      <c r="I71" s="82" t="str">
        <f>IF(A71="","Pending",IF(H71="","⚠️ Enter Agent Code",IF(IFERROR(VLOOKUP(G71,DB_Agents!$B:$I,8,0),"")=H71,IF(AND(A71&lt;&gt;"",E71&lt;&gt;""),"Saved","Pending"),"🔒 BLOCKED — Wrong Code")))</f>
        <v>Pending</v>
      </c>
      <c r="J71" s="83" t="str">
        <f t="shared" ca="1" si="5"/>
        <v>—</v>
      </c>
      <c r="K71" s="84"/>
    </row>
    <row r="72" spans="1:11" ht="15" customHeight="1" x14ac:dyDescent="0.25">
      <c r="A72" s="85"/>
      <c r="B72" s="41" t="str">
        <f>IF(A72="","",IFERROR(VLOOKUP(A72,DB_Customers!$A:$D,4,0),"❌ Account Not Found"))</f>
        <v/>
      </c>
      <c r="C72" s="86" t="str">
        <f>IF(A72="","",IFERROR(IF(SUMIF(DB_Savings!$C:$C,A72,DB_Savings!$F:$F)=0,VLOOKUP(A72,DB_Customers!$A:$I,9,0),VLOOKUP(A72,DB_Customers!$A:$N,14,0)),"❌ Acct Not Found"))</f>
        <v/>
      </c>
      <c r="D72" s="87" t="str">
        <f t="shared" ca="1" si="3"/>
        <v/>
      </c>
      <c r="E72" s="79"/>
      <c r="F72" s="88" t="str">
        <f t="shared" si="4"/>
        <v/>
      </c>
      <c r="G72" s="43" t="s">
        <v>139</v>
      </c>
      <c r="H72" s="81"/>
      <c r="I72" s="89" t="str">
        <f>IF(A72="","Pending",IF(H72="","⚠️ Enter Agent Code",IF(IFERROR(VLOOKUP(G72,DB_Agents!$B:$I,8,0),"")=H72,IF(AND(A72&lt;&gt;"",E72&lt;&gt;""),"Saved","Pending"),"🔒 BLOCKED — Wrong Code")))</f>
        <v>Pending</v>
      </c>
      <c r="J72" s="90" t="str">
        <f t="shared" ca="1" si="5"/>
        <v>—</v>
      </c>
      <c r="K72" s="91"/>
    </row>
    <row r="73" spans="1:11" ht="15" customHeight="1" x14ac:dyDescent="0.25">
      <c r="A73" s="76"/>
      <c r="B73" s="37" t="str">
        <f>IF(A73="","",IFERROR(VLOOKUP(A73,DB_Customers!$A:$D,4,0),"❌ Account Not Found"))</f>
        <v/>
      </c>
      <c r="C73" s="77" t="str">
        <f>IF(A73="","",IFERROR(IF(SUMIF(DB_Savings!$C:$C,A73,DB_Savings!$F:$F)=0,VLOOKUP(A73,DB_Customers!$A:$I,9,0),VLOOKUP(A73,DB_Customers!$A:$N,14,0)),"❌ Acct Not Found"))</f>
        <v/>
      </c>
      <c r="D73" s="78" t="str">
        <f t="shared" ref="D73:D104" ca="1" si="6">IF(A73="","",TODAY())</f>
        <v/>
      </c>
      <c r="E73" s="79"/>
      <c r="F73" s="80" t="str">
        <f t="shared" ref="F73:F104" si="7">IF(OR(A73="",E73=""),"",IF(C73="","",C73+E73))</f>
        <v/>
      </c>
      <c r="G73" s="39" t="s">
        <v>139</v>
      </c>
      <c r="H73" s="81"/>
      <c r="I73" s="82" t="str">
        <f>IF(A73="","Pending",IF(H73="","⚠️ Enter Agent Code",IF(IFERROR(VLOOKUP(G73,DB_Agents!$B:$I,8,0),"")=H73,IF(AND(A73&lt;&gt;"",E73&lt;&gt;""),"Saved","Pending"),"🔒 BLOCKED — Wrong Code")))</f>
        <v>Pending</v>
      </c>
      <c r="J73" s="83" t="str">
        <f t="shared" ref="J73:J104" ca="1" si="8">IF(I73="Saved",TEXT(TODAY(),"YYYY-MM-DD")&amp;" Auto","—")</f>
        <v>—</v>
      </c>
      <c r="K73" s="84"/>
    </row>
    <row r="74" spans="1:11" ht="15" customHeight="1" x14ac:dyDescent="0.25">
      <c r="A74" s="85"/>
      <c r="B74" s="41" t="str">
        <f>IF(A74="","",IFERROR(VLOOKUP(A74,DB_Customers!$A:$D,4,0),"❌ Account Not Found"))</f>
        <v/>
      </c>
      <c r="C74" s="86" t="str">
        <f>IF(A74="","",IFERROR(IF(SUMIF(DB_Savings!$C:$C,A74,DB_Savings!$F:$F)=0,VLOOKUP(A74,DB_Customers!$A:$I,9,0),VLOOKUP(A74,DB_Customers!$A:$N,14,0)),"❌ Acct Not Found"))</f>
        <v/>
      </c>
      <c r="D74" s="87" t="str">
        <f t="shared" ca="1" si="6"/>
        <v/>
      </c>
      <c r="E74" s="79"/>
      <c r="F74" s="88" t="str">
        <f t="shared" si="7"/>
        <v/>
      </c>
      <c r="G74" s="43" t="s">
        <v>139</v>
      </c>
      <c r="H74" s="81"/>
      <c r="I74" s="89" t="str">
        <f>IF(A74="","Pending",IF(H74="","⚠️ Enter Agent Code",IF(IFERROR(VLOOKUP(G74,DB_Agents!$B:$I,8,0),"")=H74,IF(AND(A74&lt;&gt;"",E74&lt;&gt;""),"Saved","Pending"),"🔒 BLOCKED — Wrong Code")))</f>
        <v>Pending</v>
      </c>
      <c r="J74" s="90" t="str">
        <f t="shared" ca="1" si="8"/>
        <v>—</v>
      </c>
      <c r="K74" s="91"/>
    </row>
    <row r="75" spans="1:11" ht="15" customHeight="1" x14ac:dyDescent="0.25">
      <c r="A75" s="76"/>
      <c r="B75" s="37" t="str">
        <f>IF(A75="","",IFERROR(VLOOKUP(A75,DB_Customers!$A:$D,4,0),"❌ Account Not Found"))</f>
        <v/>
      </c>
      <c r="C75" s="77" t="str">
        <f>IF(A75="","",IFERROR(IF(SUMIF(DB_Savings!$C:$C,A75,DB_Savings!$F:$F)=0,VLOOKUP(A75,DB_Customers!$A:$I,9,0),VLOOKUP(A75,DB_Customers!$A:$N,14,0)),"❌ Acct Not Found"))</f>
        <v/>
      </c>
      <c r="D75" s="78" t="str">
        <f t="shared" ca="1" si="6"/>
        <v/>
      </c>
      <c r="E75" s="79"/>
      <c r="F75" s="80" t="str">
        <f t="shared" si="7"/>
        <v/>
      </c>
      <c r="G75" s="39" t="s">
        <v>139</v>
      </c>
      <c r="H75" s="81"/>
      <c r="I75" s="82" t="str">
        <f>IF(A75="","Pending",IF(H75="","⚠️ Enter Agent Code",IF(IFERROR(VLOOKUP(G75,DB_Agents!$B:$I,8,0),"")=H75,IF(AND(A75&lt;&gt;"",E75&lt;&gt;""),"Saved","Pending"),"🔒 BLOCKED — Wrong Code")))</f>
        <v>Pending</v>
      </c>
      <c r="J75" s="83" t="str">
        <f t="shared" ca="1" si="8"/>
        <v>—</v>
      </c>
      <c r="K75" s="84"/>
    </row>
    <row r="76" spans="1:11" ht="15" customHeight="1" x14ac:dyDescent="0.25">
      <c r="A76" s="85"/>
      <c r="B76" s="41" t="str">
        <f>IF(A76="","",IFERROR(VLOOKUP(A76,DB_Customers!$A:$D,4,0),"❌ Account Not Found"))</f>
        <v/>
      </c>
      <c r="C76" s="86" t="str">
        <f>IF(A76="","",IFERROR(IF(SUMIF(DB_Savings!$C:$C,A76,DB_Savings!$F:$F)=0,VLOOKUP(A76,DB_Customers!$A:$I,9,0),VLOOKUP(A76,DB_Customers!$A:$N,14,0)),"❌ Acct Not Found"))</f>
        <v/>
      </c>
      <c r="D76" s="87" t="str">
        <f t="shared" ca="1" si="6"/>
        <v/>
      </c>
      <c r="E76" s="79"/>
      <c r="F76" s="88" t="str">
        <f t="shared" si="7"/>
        <v/>
      </c>
      <c r="G76" s="43" t="s">
        <v>139</v>
      </c>
      <c r="H76" s="81"/>
      <c r="I76" s="89" t="str">
        <f>IF(A76="","Pending",IF(H76="","⚠️ Enter Agent Code",IF(IFERROR(VLOOKUP(G76,DB_Agents!$B:$I,8,0),"")=H76,IF(AND(A76&lt;&gt;"",E76&lt;&gt;""),"Saved","Pending"),"🔒 BLOCKED — Wrong Code")))</f>
        <v>Pending</v>
      </c>
      <c r="J76" s="90" t="str">
        <f t="shared" ca="1" si="8"/>
        <v>—</v>
      </c>
      <c r="K76" s="91"/>
    </row>
    <row r="77" spans="1:11" ht="15" customHeight="1" x14ac:dyDescent="0.25">
      <c r="A77" s="76"/>
      <c r="B77" s="37" t="str">
        <f>IF(A77="","",IFERROR(VLOOKUP(A77,DB_Customers!$A:$D,4,0),"❌ Account Not Found"))</f>
        <v/>
      </c>
      <c r="C77" s="77" t="str">
        <f>IF(A77="","",IFERROR(IF(SUMIF(DB_Savings!$C:$C,A77,DB_Savings!$F:$F)=0,VLOOKUP(A77,DB_Customers!$A:$I,9,0),VLOOKUP(A77,DB_Customers!$A:$N,14,0)),"❌ Acct Not Found"))</f>
        <v/>
      </c>
      <c r="D77" s="78" t="str">
        <f t="shared" ca="1" si="6"/>
        <v/>
      </c>
      <c r="E77" s="79"/>
      <c r="F77" s="80" t="str">
        <f t="shared" si="7"/>
        <v/>
      </c>
      <c r="G77" s="39" t="s">
        <v>139</v>
      </c>
      <c r="H77" s="81"/>
      <c r="I77" s="82" t="str">
        <f>IF(A77="","Pending",IF(H77="","⚠️ Enter Agent Code",IF(IFERROR(VLOOKUP(G77,DB_Agents!$B:$I,8,0),"")=H77,IF(AND(A77&lt;&gt;"",E77&lt;&gt;""),"Saved","Pending"),"🔒 BLOCKED — Wrong Code")))</f>
        <v>Pending</v>
      </c>
      <c r="J77" s="83" t="str">
        <f t="shared" ca="1" si="8"/>
        <v>—</v>
      </c>
      <c r="K77" s="84"/>
    </row>
    <row r="78" spans="1:11" ht="15" customHeight="1" x14ac:dyDescent="0.25">
      <c r="A78" s="85"/>
      <c r="B78" s="41" t="str">
        <f>IF(A78="","",IFERROR(VLOOKUP(A78,DB_Customers!$A:$D,4,0),"❌ Account Not Found"))</f>
        <v/>
      </c>
      <c r="C78" s="86" t="str">
        <f>IF(A78="","",IFERROR(IF(SUMIF(DB_Savings!$C:$C,A78,DB_Savings!$F:$F)=0,VLOOKUP(A78,DB_Customers!$A:$I,9,0),VLOOKUP(A78,DB_Customers!$A:$N,14,0)),"❌ Acct Not Found"))</f>
        <v/>
      </c>
      <c r="D78" s="87" t="str">
        <f t="shared" ca="1" si="6"/>
        <v/>
      </c>
      <c r="E78" s="79"/>
      <c r="F78" s="88" t="str">
        <f t="shared" si="7"/>
        <v/>
      </c>
      <c r="G78" s="43" t="s">
        <v>139</v>
      </c>
      <c r="H78" s="81"/>
      <c r="I78" s="89" t="str">
        <f>IF(A78="","Pending",IF(H78="","⚠️ Enter Agent Code",IF(IFERROR(VLOOKUP(G78,DB_Agents!$B:$I,8,0),"")=H78,IF(AND(A78&lt;&gt;"",E78&lt;&gt;""),"Saved","Pending"),"🔒 BLOCKED — Wrong Code")))</f>
        <v>Pending</v>
      </c>
      <c r="J78" s="90" t="str">
        <f t="shared" ca="1" si="8"/>
        <v>—</v>
      </c>
      <c r="K78" s="91"/>
    </row>
    <row r="79" spans="1:11" ht="15" customHeight="1" x14ac:dyDescent="0.25">
      <c r="A79" s="76"/>
      <c r="B79" s="37" t="str">
        <f>IF(A79="","",IFERROR(VLOOKUP(A79,DB_Customers!$A:$D,4,0),"❌ Account Not Found"))</f>
        <v/>
      </c>
      <c r="C79" s="77" t="str">
        <f>IF(A79="","",IFERROR(IF(SUMIF(DB_Savings!$C:$C,A79,DB_Savings!$F:$F)=0,VLOOKUP(A79,DB_Customers!$A:$I,9,0),VLOOKUP(A79,DB_Customers!$A:$N,14,0)),"❌ Acct Not Found"))</f>
        <v/>
      </c>
      <c r="D79" s="78" t="str">
        <f t="shared" ca="1" si="6"/>
        <v/>
      </c>
      <c r="E79" s="79"/>
      <c r="F79" s="80" t="str">
        <f t="shared" si="7"/>
        <v/>
      </c>
      <c r="G79" s="39" t="s">
        <v>139</v>
      </c>
      <c r="H79" s="81"/>
      <c r="I79" s="82" t="str">
        <f>IF(A79="","Pending",IF(H79="","⚠️ Enter Agent Code",IF(IFERROR(VLOOKUP(G79,DB_Agents!$B:$I,8,0),"")=H79,IF(AND(A79&lt;&gt;"",E79&lt;&gt;""),"Saved","Pending"),"🔒 BLOCKED — Wrong Code")))</f>
        <v>Pending</v>
      </c>
      <c r="J79" s="83" t="str">
        <f t="shared" ca="1" si="8"/>
        <v>—</v>
      </c>
      <c r="K79" s="84"/>
    </row>
    <row r="80" spans="1:11" ht="15" customHeight="1" x14ac:dyDescent="0.25">
      <c r="A80" s="85"/>
      <c r="B80" s="41" t="str">
        <f>IF(A80="","",IFERROR(VLOOKUP(A80,DB_Customers!$A:$D,4,0),"❌ Account Not Found"))</f>
        <v/>
      </c>
      <c r="C80" s="86" t="str">
        <f>IF(A80="","",IFERROR(IF(SUMIF(DB_Savings!$C:$C,A80,DB_Savings!$F:$F)=0,VLOOKUP(A80,DB_Customers!$A:$I,9,0),VLOOKUP(A80,DB_Customers!$A:$N,14,0)),"❌ Acct Not Found"))</f>
        <v/>
      </c>
      <c r="D80" s="87" t="str">
        <f t="shared" ca="1" si="6"/>
        <v/>
      </c>
      <c r="E80" s="79"/>
      <c r="F80" s="88" t="str">
        <f t="shared" si="7"/>
        <v/>
      </c>
      <c r="G80" s="43" t="s">
        <v>139</v>
      </c>
      <c r="H80" s="81"/>
      <c r="I80" s="89" t="str">
        <f>IF(A80="","Pending",IF(H80="","⚠️ Enter Agent Code",IF(IFERROR(VLOOKUP(G80,DB_Agents!$B:$I,8,0),"")=H80,IF(AND(A80&lt;&gt;"",E80&lt;&gt;""),"Saved","Pending"),"🔒 BLOCKED — Wrong Code")))</f>
        <v>Pending</v>
      </c>
      <c r="J80" s="90" t="str">
        <f t="shared" ca="1" si="8"/>
        <v>—</v>
      </c>
      <c r="K80" s="91"/>
    </row>
    <row r="81" spans="1:11" ht="15" customHeight="1" x14ac:dyDescent="0.25">
      <c r="A81" s="76"/>
      <c r="B81" s="37" t="str">
        <f>IF(A81="","",IFERROR(VLOOKUP(A81,DB_Customers!$A:$D,4,0),"❌ Account Not Found"))</f>
        <v/>
      </c>
      <c r="C81" s="77" t="str">
        <f>IF(A81="","",IFERROR(IF(SUMIF(DB_Savings!$C:$C,A81,DB_Savings!$F:$F)=0,VLOOKUP(A81,DB_Customers!$A:$I,9,0),VLOOKUP(A81,DB_Customers!$A:$N,14,0)),"❌ Acct Not Found"))</f>
        <v/>
      </c>
      <c r="D81" s="78" t="str">
        <f t="shared" ca="1" si="6"/>
        <v/>
      </c>
      <c r="E81" s="79"/>
      <c r="F81" s="80" t="str">
        <f t="shared" si="7"/>
        <v/>
      </c>
      <c r="G81" s="39" t="s">
        <v>139</v>
      </c>
      <c r="H81" s="81"/>
      <c r="I81" s="82" t="str">
        <f>IF(A81="","Pending",IF(H81="","⚠️ Enter Agent Code",IF(IFERROR(VLOOKUP(G81,DB_Agents!$B:$I,8,0),"")=H81,IF(AND(A81&lt;&gt;"",E81&lt;&gt;""),"Saved","Pending"),"🔒 BLOCKED — Wrong Code")))</f>
        <v>Pending</v>
      </c>
      <c r="J81" s="83" t="str">
        <f t="shared" ca="1" si="8"/>
        <v>—</v>
      </c>
      <c r="K81" s="84"/>
    </row>
    <row r="82" spans="1:11" ht="15" customHeight="1" x14ac:dyDescent="0.25">
      <c r="A82" s="85"/>
      <c r="B82" s="41" t="str">
        <f>IF(A82="","",IFERROR(VLOOKUP(A82,DB_Customers!$A:$D,4,0),"❌ Account Not Found"))</f>
        <v/>
      </c>
      <c r="C82" s="86" t="str">
        <f>IF(A82="","",IFERROR(IF(SUMIF(DB_Savings!$C:$C,A82,DB_Savings!$F:$F)=0,VLOOKUP(A82,DB_Customers!$A:$I,9,0),VLOOKUP(A82,DB_Customers!$A:$N,14,0)),"❌ Acct Not Found"))</f>
        <v/>
      </c>
      <c r="D82" s="87" t="str">
        <f t="shared" ca="1" si="6"/>
        <v/>
      </c>
      <c r="E82" s="79"/>
      <c r="F82" s="88" t="str">
        <f t="shared" si="7"/>
        <v/>
      </c>
      <c r="G82" s="43" t="s">
        <v>139</v>
      </c>
      <c r="H82" s="81"/>
      <c r="I82" s="89" t="str">
        <f>IF(A82="","Pending",IF(H82="","⚠️ Enter Agent Code",IF(IFERROR(VLOOKUP(G82,DB_Agents!$B:$I,8,0),"")=H82,IF(AND(A82&lt;&gt;"",E82&lt;&gt;""),"Saved","Pending"),"🔒 BLOCKED — Wrong Code")))</f>
        <v>Pending</v>
      </c>
      <c r="J82" s="90" t="str">
        <f t="shared" ca="1" si="8"/>
        <v>—</v>
      </c>
      <c r="K82" s="91"/>
    </row>
    <row r="83" spans="1:11" ht="15" customHeight="1" x14ac:dyDescent="0.25">
      <c r="A83" s="76"/>
      <c r="B83" s="37" t="str">
        <f>IF(A83="","",IFERROR(VLOOKUP(A83,DB_Customers!$A:$D,4,0),"❌ Account Not Found"))</f>
        <v/>
      </c>
      <c r="C83" s="77" t="str">
        <f>IF(A83="","",IFERROR(IF(SUMIF(DB_Savings!$C:$C,A83,DB_Savings!$F:$F)=0,VLOOKUP(A83,DB_Customers!$A:$I,9,0),VLOOKUP(A83,DB_Customers!$A:$N,14,0)),"❌ Acct Not Found"))</f>
        <v/>
      </c>
      <c r="D83" s="78" t="str">
        <f t="shared" ca="1" si="6"/>
        <v/>
      </c>
      <c r="E83" s="79"/>
      <c r="F83" s="80" t="str">
        <f t="shared" si="7"/>
        <v/>
      </c>
      <c r="G83" s="39" t="s">
        <v>139</v>
      </c>
      <c r="H83" s="81"/>
      <c r="I83" s="82" t="str">
        <f>IF(A83="","Pending",IF(H83="","⚠️ Enter Agent Code",IF(IFERROR(VLOOKUP(G83,DB_Agents!$B:$I,8,0),"")=H83,IF(AND(A83&lt;&gt;"",E83&lt;&gt;""),"Saved","Pending"),"🔒 BLOCKED — Wrong Code")))</f>
        <v>Pending</v>
      </c>
      <c r="J83" s="83" t="str">
        <f t="shared" ca="1" si="8"/>
        <v>—</v>
      </c>
      <c r="K83" s="84"/>
    </row>
    <row r="84" spans="1:11" ht="15" customHeight="1" x14ac:dyDescent="0.25">
      <c r="A84" s="85"/>
      <c r="B84" s="41" t="str">
        <f>IF(A84="","",IFERROR(VLOOKUP(A84,DB_Customers!$A:$D,4,0),"❌ Account Not Found"))</f>
        <v/>
      </c>
      <c r="C84" s="86" t="str">
        <f>IF(A84="","",IFERROR(IF(SUMIF(DB_Savings!$C:$C,A84,DB_Savings!$F:$F)=0,VLOOKUP(A84,DB_Customers!$A:$I,9,0),VLOOKUP(A84,DB_Customers!$A:$N,14,0)),"❌ Acct Not Found"))</f>
        <v/>
      </c>
      <c r="D84" s="87" t="str">
        <f t="shared" ca="1" si="6"/>
        <v/>
      </c>
      <c r="E84" s="79"/>
      <c r="F84" s="88" t="str">
        <f t="shared" si="7"/>
        <v/>
      </c>
      <c r="G84" s="43" t="s">
        <v>139</v>
      </c>
      <c r="H84" s="81"/>
      <c r="I84" s="89" t="str">
        <f>IF(A84="","Pending",IF(H84="","⚠️ Enter Agent Code",IF(IFERROR(VLOOKUP(G84,DB_Agents!$B:$I,8,0),"")=H84,IF(AND(A84&lt;&gt;"",E84&lt;&gt;""),"Saved","Pending"),"🔒 BLOCKED — Wrong Code")))</f>
        <v>Pending</v>
      </c>
      <c r="J84" s="90" t="str">
        <f t="shared" ca="1" si="8"/>
        <v>—</v>
      </c>
      <c r="K84" s="91"/>
    </row>
    <row r="85" spans="1:11" ht="15" customHeight="1" x14ac:dyDescent="0.25">
      <c r="A85" s="76"/>
      <c r="B85" s="37" t="str">
        <f>IF(A85="","",IFERROR(VLOOKUP(A85,DB_Customers!$A:$D,4,0),"❌ Account Not Found"))</f>
        <v/>
      </c>
      <c r="C85" s="77" t="str">
        <f>IF(A85="","",IFERROR(IF(SUMIF(DB_Savings!$C:$C,A85,DB_Savings!$F:$F)=0,VLOOKUP(A85,DB_Customers!$A:$I,9,0),VLOOKUP(A85,DB_Customers!$A:$N,14,0)),"❌ Acct Not Found"))</f>
        <v/>
      </c>
      <c r="D85" s="78" t="str">
        <f t="shared" ca="1" si="6"/>
        <v/>
      </c>
      <c r="E85" s="79"/>
      <c r="F85" s="80" t="str">
        <f t="shared" si="7"/>
        <v/>
      </c>
      <c r="G85" s="39" t="s">
        <v>139</v>
      </c>
      <c r="H85" s="81"/>
      <c r="I85" s="82" t="str">
        <f>IF(A85="","Pending",IF(H85="","⚠️ Enter Agent Code",IF(IFERROR(VLOOKUP(G85,DB_Agents!$B:$I,8,0),"")=H85,IF(AND(A85&lt;&gt;"",E85&lt;&gt;""),"Saved","Pending"),"🔒 BLOCKED — Wrong Code")))</f>
        <v>Pending</v>
      </c>
      <c r="J85" s="83" t="str">
        <f t="shared" ca="1" si="8"/>
        <v>—</v>
      </c>
      <c r="K85" s="84"/>
    </row>
    <row r="86" spans="1:11" ht="15" customHeight="1" x14ac:dyDescent="0.25">
      <c r="A86" s="85"/>
      <c r="B86" s="41" t="str">
        <f>IF(A86="","",IFERROR(VLOOKUP(A86,DB_Customers!$A:$D,4,0),"❌ Account Not Found"))</f>
        <v/>
      </c>
      <c r="C86" s="86" t="str">
        <f>IF(A86="","",IFERROR(IF(SUMIF(DB_Savings!$C:$C,A86,DB_Savings!$F:$F)=0,VLOOKUP(A86,DB_Customers!$A:$I,9,0),VLOOKUP(A86,DB_Customers!$A:$N,14,0)),"❌ Acct Not Found"))</f>
        <v/>
      </c>
      <c r="D86" s="87" t="str">
        <f t="shared" ca="1" si="6"/>
        <v/>
      </c>
      <c r="E86" s="79"/>
      <c r="F86" s="88" t="str">
        <f t="shared" si="7"/>
        <v/>
      </c>
      <c r="G86" s="43" t="s">
        <v>139</v>
      </c>
      <c r="H86" s="81"/>
      <c r="I86" s="89" t="str">
        <f>IF(A86="","Pending",IF(H86="","⚠️ Enter Agent Code",IF(IFERROR(VLOOKUP(G86,DB_Agents!$B:$I,8,0),"")=H86,IF(AND(A86&lt;&gt;"",E86&lt;&gt;""),"Saved","Pending"),"🔒 BLOCKED — Wrong Code")))</f>
        <v>Pending</v>
      </c>
      <c r="J86" s="90" t="str">
        <f t="shared" ca="1" si="8"/>
        <v>—</v>
      </c>
      <c r="K86" s="91"/>
    </row>
    <row r="87" spans="1:11" ht="15" customHeight="1" x14ac:dyDescent="0.25">
      <c r="A87" s="76"/>
      <c r="B87" s="37" t="str">
        <f>IF(A87="","",IFERROR(VLOOKUP(A87,DB_Customers!$A:$D,4,0),"❌ Account Not Found"))</f>
        <v/>
      </c>
      <c r="C87" s="77" t="str">
        <f>IF(A87="","",IFERROR(IF(SUMIF(DB_Savings!$C:$C,A87,DB_Savings!$F:$F)=0,VLOOKUP(A87,DB_Customers!$A:$I,9,0),VLOOKUP(A87,DB_Customers!$A:$N,14,0)),"❌ Acct Not Found"))</f>
        <v/>
      </c>
      <c r="D87" s="78" t="str">
        <f t="shared" ca="1" si="6"/>
        <v/>
      </c>
      <c r="E87" s="79"/>
      <c r="F87" s="80" t="str">
        <f t="shared" si="7"/>
        <v/>
      </c>
      <c r="G87" s="39" t="s">
        <v>139</v>
      </c>
      <c r="H87" s="81"/>
      <c r="I87" s="82" t="str">
        <f>IF(A87="","Pending",IF(H87="","⚠️ Enter Agent Code",IF(IFERROR(VLOOKUP(G87,DB_Agents!$B:$I,8,0),"")=H87,IF(AND(A87&lt;&gt;"",E87&lt;&gt;""),"Saved","Pending"),"🔒 BLOCKED — Wrong Code")))</f>
        <v>Pending</v>
      </c>
      <c r="J87" s="83" t="str">
        <f t="shared" ca="1" si="8"/>
        <v>—</v>
      </c>
      <c r="K87" s="84"/>
    </row>
    <row r="88" spans="1:11" ht="15" customHeight="1" x14ac:dyDescent="0.25">
      <c r="A88" s="85"/>
      <c r="B88" s="41" t="str">
        <f>IF(A88="","",IFERROR(VLOOKUP(A88,DB_Customers!$A:$D,4,0),"❌ Account Not Found"))</f>
        <v/>
      </c>
      <c r="C88" s="86" t="str">
        <f>IF(A88="","",IFERROR(IF(SUMIF(DB_Savings!$C:$C,A88,DB_Savings!$F:$F)=0,VLOOKUP(A88,DB_Customers!$A:$I,9,0),VLOOKUP(A88,DB_Customers!$A:$N,14,0)),"❌ Acct Not Found"))</f>
        <v/>
      </c>
      <c r="D88" s="87" t="str">
        <f t="shared" ca="1" si="6"/>
        <v/>
      </c>
      <c r="E88" s="79"/>
      <c r="F88" s="88" t="str">
        <f t="shared" si="7"/>
        <v/>
      </c>
      <c r="G88" s="43" t="s">
        <v>139</v>
      </c>
      <c r="H88" s="81"/>
      <c r="I88" s="89" t="str">
        <f>IF(A88="","Pending",IF(H88="","⚠️ Enter Agent Code",IF(IFERROR(VLOOKUP(G88,DB_Agents!$B:$I,8,0),"")=H88,IF(AND(A88&lt;&gt;"",E88&lt;&gt;""),"Saved","Pending"),"🔒 BLOCKED — Wrong Code")))</f>
        <v>Pending</v>
      </c>
      <c r="J88" s="90" t="str">
        <f t="shared" ca="1" si="8"/>
        <v>—</v>
      </c>
      <c r="K88" s="91"/>
    </row>
    <row r="89" spans="1:11" ht="15" customHeight="1" x14ac:dyDescent="0.25">
      <c r="A89" s="76"/>
      <c r="B89" s="37" t="str">
        <f>IF(A89="","",IFERROR(VLOOKUP(A89,DB_Customers!$A:$D,4,0),"❌ Account Not Found"))</f>
        <v/>
      </c>
      <c r="C89" s="77" t="str">
        <f>IF(A89="","",IFERROR(IF(SUMIF(DB_Savings!$C:$C,A89,DB_Savings!$F:$F)=0,VLOOKUP(A89,DB_Customers!$A:$I,9,0),VLOOKUP(A89,DB_Customers!$A:$N,14,0)),"❌ Acct Not Found"))</f>
        <v/>
      </c>
      <c r="D89" s="78" t="str">
        <f t="shared" ca="1" si="6"/>
        <v/>
      </c>
      <c r="E89" s="79"/>
      <c r="F89" s="80" t="str">
        <f t="shared" si="7"/>
        <v/>
      </c>
      <c r="G89" s="39" t="s">
        <v>139</v>
      </c>
      <c r="H89" s="81"/>
      <c r="I89" s="82" t="str">
        <f>IF(A89="","Pending",IF(H89="","⚠️ Enter Agent Code",IF(IFERROR(VLOOKUP(G89,DB_Agents!$B:$I,8,0),"")=H89,IF(AND(A89&lt;&gt;"",E89&lt;&gt;""),"Saved","Pending"),"🔒 BLOCKED — Wrong Code")))</f>
        <v>Pending</v>
      </c>
      <c r="J89" s="83" t="str">
        <f t="shared" ca="1" si="8"/>
        <v>—</v>
      </c>
      <c r="K89" s="84"/>
    </row>
    <row r="90" spans="1:11" ht="15" customHeight="1" x14ac:dyDescent="0.25">
      <c r="A90" s="85"/>
      <c r="B90" s="41" t="str">
        <f>IF(A90="","",IFERROR(VLOOKUP(A90,DB_Customers!$A:$D,4,0),"❌ Account Not Found"))</f>
        <v/>
      </c>
      <c r="C90" s="86" t="str">
        <f>IF(A90="","",IFERROR(IF(SUMIF(DB_Savings!$C:$C,A90,DB_Savings!$F:$F)=0,VLOOKUP(A90,DB_Customers!$A:$I,9,0),VLOOKUP(A90,DB_Customers!$A:$N,14,0)),"❌ Acct Not Found"))</f>
        <v/>
      </c>
      <c r="D90" s="87" t="str">
        <f t="shared" ca="1" si="6"/>
        <v/>
      </c>
      <c r="E90" s="79"/>
      <c r="F90" s="88" t="str">
        <f t="shared" si="7"/>
        <v/>
      </c>
      <c r="G90" s="43" t="s">
        <v>139</v>
      </c>
      <c r="H90" s="81"/>
      <c r="I90" s="89" t="str">
        <f>IF(A90="","Pending",IF(H90="","⚠️ Enter Agent Code",IF(IFERROR(VLOOKUP(G90,DB_Agents!$B:$I,8,0),"")=H90,IF(AND(A90&lt;&gt;"",E90&lt;&gt;""),"Saved","Pending"),"🔒 BLOCKED — Wrong Code")))</f>
        <v>Pending</v>
      </c>
      <c r="J90" s="90" t="str">
        <f t="shared" ca="1" si="8"/>
        <v>—</v>
      </c>
      <c r="K90" s="91"/>
    </row>
    <row r="91" spans="1:11" ht="15" customHeight="1" x14ac:dyDescent="0.25">
      <c r="A91" s="76"/>
      <c r="B91" s="37" t="str">
        <f>IF(A91="","",IFERROR(VLOOKUP(A91,DB_Customers!$A:$D,4,0),"❌ Account Not Found"))</f>
        <v/>
      </c>
      <c r="C91" s="77" t="str">
        <f>IF(A91="","",IFERROR(IF(SUMIF(DB_Savings!$C:$C,A91,DB_Savings!$F:$F)=0,VLOOKUP(A91,DB_Customers!$A:$I,9,0),VLOOKUP(A91,DB_Customers!$A:$N,14,0)),"❌ Acct Not Found"))</f>
        <v/>
      </c>
      <c r="D91" s="78" t="str">
        <f t="shared" ca="1" si="6"/>
        <v/>
      </c>
      <c r="E91" s="79"/>
      <c r="F91" s="80" t="str">
        <f t="shared" si="7"/>
        <v/>
      </c>
      <c r="G91" s="39" t="s">
        <v>139</v>
      </c>
      <c r="H91" s="81"/>
      <c r="I91" s="82" t="str">
        <f>IF(A91="","Pending",IF(H91="","⚠️ Enter Agent Code",IF(IFERROR(VLOOKUP(G91,DB_Agents!$B:$I,8,0),"")=H91,IF(AND(A91&lt;&gt;"",E91&lt;&gt;""),"Saved","Pending"),"🔒 BLOCKED — Wrong Code")))</f>
        <v>Pending</v>
      </c>
      <c r="J91" s="83" t="str">
        <f t="shared" ca="1" si="8"/>
        <v>—</v>
      </c>
      <c r="K91" s="84"/>
    </row>
    <row r="92" spans="1:11" ht="15" customHeight="1" x14ac:dyDescent="0.25">
      <c r="A92" s="85"/>
      <c r="B92" s="41" t="str">
        <f>IF(A92="","",IFERROR(VLOOKUP(A92,DB_Customers!$A:$D,4,0),"❌ Account Not Found"))</f>
        <v/>
      </c>
      <c r="C92" s="86" t="str">
        <f>IF(A92="","",IFERROR(IF(SUMIF(DB_Savings!$C:$C,A92,DB_Savings!$F:$F)=0,VLOOKUP(A92,DB_Customers!$A:$I,9,0),VLOOKUP(A92,DB_Customers!$A:$N,14,0)),"❌ Acct Not Found"))</f>
        <v/>
      </c>
      <c r="D92" s="87" t="str">
        <f t="shared" ca="1" si="6"/>
        <v/>
      </c>
      <c r="E92" s="79"/>
      <c r="F92" s="88" t="str">
        <f t="shared" si="7"/>
        <v/>
      </c>
      <c r="G92" s="43" t="s">
        <v>139</v>
      </c>
      <c r="H92" s="81"/>
      <c r="I92" s="89" t="str">
        <f>IF(A92="","Pending",IF(H92="","⚠️ Enter Agent Code",IF(IFERROR(VLOOKUP(G92,DB_Agents!$B:$I,8,0),"")=H92,IF(AND(A92&lt;&gt;"",E92&lt;&gt;""),"Saved","Pending"),"🔒 BLOCKED — Wrong Code")))</f>
        <v>Pending</v>
      </c>
      <c r="J92" s="90" t="str">
        <f t="shared" ca="1" si="8"/>
        <v>—</v>
      </c>
      <c r="K92" s="91"/>
    </row>
    <row r="93" spans="1:11" ht="15" customHeight="1" x14ac:dyDescent="0.25">
      <c r="A93" s="76"/>
      <c r="B93" s="37" t="str">
        <f>IF(A93="","",IFERROR(VLOOKUP(A93,DB_Customers!$A:$D,4,0),"❌ Account Not Found"))</f>
        <v/>
      </c>
      <c r="C93" s="77" t="str">
        <f>IF(A93="","",IFERROR(IF(SUMIF(DB_Savings!$C:$C,A93,DB_Savings!$F:$F)=0,VLOOKUP(A93,DB_Customers!$A:$I,9,0),VLOOKUP(A93,DB_Customers!$A:$N,14,0)),"❌ Acct Not Found"))</f>
        <v/>
      </c>
      <c r="D93" s="78" t="str">
        <f t="shared" ca="1" si="6"/>
        <v/>
      </c>
      <c r="E93" s="79"/>
      <c r="F93" s="80" t="str">
        <f t="shared" si="7"/>
        <v/>
      </c>
      <c r="G93" s="39" t="s">
        <v>139</v>
      </c>
      <c r="H93" s="81"/>
      <c r="I93" s="82" t="str">
        <f>IF(A93="","Pending",IF(H93="","⚠️ Enter Agent Code",IF(IFERROR(VLOOKUP(G93,DB_Agents!$B:$I,8,0),"")=H93,IF(AND(A93&lt;&gt;"",E93&lt;&gt;""),"Saved","Pending"),"🔒 BLOCKED — Wrong Code")))</f>
        <v>Pending</v>
      </c>
      <c r="J93" s="83" t="str">
        <f t="shared" ca="1" si="8"/>
        <v>—</v>
      </c>
      <c r="K93" s="84"/>
    </row>
    <row r="94" spans="1:11" ht="15" customHeight="1" x14ac:dyDescent="0.25">
      <c r="A94" s="85"/>
      <c r="B94" s="41" t="str">
        <f>IF(A94="","",IFERROR(VLOOKUP(A94,DB_Customers!$A:$D,4,0),"❌ Account Not Found"))</f>
        <v/>
      </c>
      <c r="C94" s="86" t="str">
        <f>IF(A94="","",IFERROR(IF(SUMIF(DB_Savings!$C:$C,A94,DB_Savings!$F:$F)=0,VLOOKUP(A94,DB_Customers!$A:$I,9,0),VLOOKUP(A94,DB_Customers!$A:$N,14,0)),"❌ Acct Not Found"))</f>
        <v/>
      </c>
      <c r="D94" s="87" t="str">
        <f t="shared" ca="1" si="6"/>
        <v/>
      </c>
      <c r="E94" s="79"/>
      <c r="F94" s="88" t="str">
        <f t="shared" si="7"/>
        <v/>
      </c>
      <c r="G94" s="43" t="s">
        <v>139</v>
      </c>
      <c r="H94" s="81"/>
      <c r="I94" s="89" t="str">
        <f>IF(A94="","Pending",IF(H94="","⚠️ Enter Agent Code",IF(IFERROR(VLOOKUP(G94,DB_Agents!$B:$I,8,0),"")=H94,IF(AND(A94&lt;&gt;"",E94&lt;&gt;""),"Saved","Pending"),"🔒 BLOCKED — Wrong Code")))</f>
        <v>Pending</v>
      </c>
      <c r="J94" s="90" t="str">
        <f t="shared" ca="1" si="8"/>
        <v>—</v>
      </c>
      <c r="K94" s="91"/>
    </row>
    <row r="95" spans="1:11" ht="15" customHeight="1" x14ac:dyDescent="0.25">
      <c r="A95" s="76"/>
      <c r="B95" s="37" t="str">
        <f>IF(A95="","",IFERROR(VLOOKUP(A95,DB_Customers!$A:$D,4,0),"❌ Account Not Found"))</f>
        <v/>
      </c>
      <c r="C95" s="77" t="str">
        <f>IF(A95="","",IFERROR(IF(SUMIF(DB_Savings!$C:$C,A95,DB_Savings!$F:$F)=0,VLOOKUP(A95,DB_Customers!$A:$I,9,0),VLOOKUP(A95,DB_Customers!$A:$N,14,0)),"❌ Acct Not Found"))</f>
        <v/>
      </c>
      <c r="D95" s="78" t="str">
        <f t="shared" ca="1" si="6"/>
        <v/>
      </c>
      <c r="E95" s="79"/>
      <c r="F95" s="80" t="str">
        <f t="shared" si="7"/>
        <v/>
      </c>
      <c r="G95" s="39" t="s">
        <v>139</v>
      </c>
      <c r="H95" s="81"/>
      <c r="I95" s="82" t="str">
        <f>IF(A95="","Pending",IF(H95="","⚠️ Enter Agent Code",IF(IFERROR(VLOOKUP(G95,DB_Agents!$B:$I,8,0),"")=H95,IF(AND(A95&lt;&gt;"",E95&lt;&gt;""),"Saved","Pending"),"🔒 BLOCKED — Wrong Code")))</f>
        <v>Pending</v>
      </c>
      <c r="J95" s="83" t="str">
        <f t="shared" ca="1" si="8"/>
        <v>—</v>
      </c>
      <c r="K95" s="84"/>
    </row>
    <row r="96" spans="1:11" ht="15" customHeight="1" x14ac:dyDescent="0.25">
      <c r="A96" s="85"/>
      <c r="B96" s="41" t="str">
        <f>IF(A96="","",IFERROR(VLOOKUP(A96,DB_Customers!$A:$D,4,0),"❌ Account Not Found"))</f>
        <v/>
      </c>
      <c r="C96" s="86" t="str">
        <f>IF(A96="","",IFERROR(IF(SUMIF(DB_Savings!$C:$C,A96,DB_Savings!$F:$F)=0,VLOOKUP(A96,DB_Customers!$A:$I,9,0),VLOOKUP(A96,DB_Customers!$A:$N,14,0)),"❌ Acct Not Found"))</f>
        <v/>
      </c>
      <c r="D96" s="87" t="str">
        <f t="shared" ca="1" si="6"/>
        <v/>
      </c>
      <c r="E96" s="79"/>
      <c r="F96" s="88" t="str">
        <f t="shared" si="7"/>
        <v/>
      </c>
      <c r="G96" s="43" t="s">
        <v>139</v>
      </c>
      <c r="H96" s="81"/>
      <c r="I96" s="89" t="str">
        <f>IF(A96="","Pending",IF(H96="","⚠️ Enter Agent Code",IF(IFERROR(VLOOKUP(G96,DB_Agents!$B:$I,8,0),"")=H96,IF(AND(A96&lt;&gt;"",E96&lt;&gt;""),"Saved","Pending"),"🔒 BLOCKED — Wrong Code")))</f>
        <v>Pending</v>
      </c>
      <c r="J96" s="90" t="str">
        <f t="shared" ca="1" si="8"/>
        <v>—</v>
      </c>
      <c r="K96" s="91"/>
    </row>
    <row r="97" spans="1:11" ht="15" customHeight="1" x14ac:dyDescent="0.25">
      <c r="A97" s="76"/>
      <c r="B97" s="37" t="str">
        <f>IF(A97="","",IFERROR(VLOOKUP(A97,DB_Customers!$A:$D,4,0),"❌ Account Not Found"))</f>
        <v/>
      </c>
      <c r="C97" s="77" t="str">
        <f>IF(A97="","",IFERROR(IF(SUMIF(DB_Savings!$C:$C,A97,DB_Savings!$F:$F)=0,VLOOKUP(A97,DB_Customers!$A:$I,9,0),VLOOKUP(A97,DB_Customers!$A:$N,14,0)),"❌ Acct Not Found"))</f>
        <v/>
      </c>
      <c r="D97" s="78" t="str">
        <f t="shared" ca="1" si="6"/>
        <v/>
      </c>
      <c r="E97" s="79"/>
      <c r="F97" s="80" t="str">
        <f t="shared" si="7"/>
        <v/>
      </c>
      <c r="G97" s="39" t="s">
        <v>139</v>
      </c>
      <c r="H97" s="81"/>
      <c r="I97" s="82" t="str">
        <f>IF(A97="","Pending",IF(H97="","⚠️ Enter Agent Code",IF(IFERROR(VLOOKUP(G97,DB_Agents!$B:$I,8,0),"")=H97,IF(AND(A97&lt;&gt;"",E97&lt;&gt;""),"Saved","Pending"),"🔒 BLOCKED — Wrong Code")))</f>
        <v>Pending</v>
      </c>
      <c r="J97" s="83" t="str">
        <f t="shared" ca="1" si="8"/>
        <v>—</v>
      </c>
      <c r="K97" s="84"/>
    </row>
    <row r="98" spans="1:11" ht="15" customHeight="1" x14ac:dyDescent="0.25">
      <c r="A98" s="85"/>
      <c r="B98" s="41" t="str">
        <f>IF(A98="","",IFERROR(VLOOKUP(A98,DB_Customers!$A:$D,4,0),"❌ Account Not Found"))</f>
        <v/>
      </c>
      <c r="C98" s="86" t="str">
        <f>IF(A98="","",IFERROR(IF(SUMIF(DB_Savings!$C:$C,A98,DB_Savings!$F:$F)=0,VLOOKUP(A98,DB_Customers!$A:$I,9,0),VLOOKUP(A98,DB_Customers!$A:$N,14,0)),"❌ Acct Not Found"))</f>
        <v/>
      </c>
      <c r="D98" s="87" t="str">
        <f t="shared" ca="1" si="6"/>
        <v/>
      </c>
      <c r="E98" s="79"/>
      <c r="F98" s="88" t="str">
        <f t="shared" si="7"/>
        <v/>
      </c>
      <c r="G98" s="43" t="s">
        <v>139</v>
      </c>
      <c r="H98" s="81"/>
      <c r="I98" s="89" t="str">
        <f>IF(A98="","Pending",IF(H98="","⚠️ Enter Agent Code",IF(IFERROR(VLOOKUP(G98,DB_Agents!$B:$I,8,0),"")=H98,IF(AND(A98&lt;&gt;"",E98&lt;&gt;""),"Saved","Pending"),"🔒 BLOCKED — Wrong Code")))</f>
        <v>Pending</v>
      </c>
      <c r="J98" s="90" t="str">
        <f t="shared" ca="1" si="8"/>
        <v>—</v>
      </c>
      <c r="K98" s="91"/>
    </row>
    <row r="99" spans="1:11" ht="15" customHeight="1" x14ac:dyDescent="0.25">
      <c r="A99" s="76"/>
      <c r="B99" s="37" t="str">
        <f>IF(A99="","",IFERROR(VLOOKUP(A99,DB_Customers!$A:$D,4,0),"❌ Account Not Found"))</f>
        <v/>
      </c>
      <c r="C99" s="77" t="str">
        <f>IF(A99="","",IFERROR(IF(SUMIF(DB_Savings!$C:$C,A99,DB_Savings!$F:$F)=0,VLOOKUP(A99,DB_Customers!$A:$I,9,0),VLOOKUP(A99,DB_Customers!$A:$N,14,0)),"❌ Acct Not Found"))</f>
        <v/>
      </c>
      <c r="D99" s="78" t="str">
        <f t="shared" ca="1" si="6"/>
        <v/>
      </c>
      <c r="E99" s="79"/>
      <c r="F99" s="80" t="str">
        <f t="shared" si="7"/>
        <v/>
      </c>
      <c r="G99" s="39" t="s">
        <v>139</v>
      </c>
      <c r="H99" s="81"/>
      <c r="I99" s="82" t="str">
        <f>IF(A99="","Pending",IF(H99="","⚠️ Enter Agent Code",IF(IFERROR(VLOOKUP(G99,DB_Agents!$B:$I,8,0),"")=H99,IF(AND(A99&lt;&gt;"",E99&lt;&gt;""),"Saved","Pending"),"🔒 BLOCKED — Wrong Code")))</f>
        <v>Pending</v>
      </c>
      <c r="J99" s="83" t="str">
        <f t="shared" ca="1" si="8"/>
        <v>—</v>
      </c>
      <c r="K99" s="84"/>
    </row>
    <row r="100" spans="1:11" ht="15" customHeight="1" x14ac:dyDescent="0.25">
      <c r="A100" s="85"/>
      <c r="B100" s="41" t="str">
        <f>IF(A100="","",IFERROR(VLOOKUP(A100,DB_Customers!$A:$D,4,0),"❌ Account Not Found"))</f>
        <v/>
      </c>
      <c r="C100" s="86" t="str">
        <f>IF(A100="","",IFERROR(IF(SUMIF(DB_Savings!$C:$C,A100,DB_Savings!$F:$F)=0,VLOOKUP(A100,DB_Customers!$A:$I,9,0),VLOOKUP(A100,DB_Customers!$A:$N,14,0)),"❌ Acct Not Found"))</f>
        <v/>
      </c>
      <c r="D100" s="87" t="str">
        <f t="shared" ca="1" si="6"/>
        <v/>
      </c>
      <c r="E100" s="79"/>
      <c r="F100" s="88" t="str">
        <f t="shared" si="7"/>
        <v/>
      </c>
      <c r="G100" s="43" t="s">
        <v>139</v>
      </c>
      <c r="H100" s="81"/>
      <c r="I100" s="89" t="str">
        <f>IF(A100="","Pending",IF(H100="","⚠️ Enter Agent Code",IF(IFERROR(VLOOKUP(G100,DB_Agents!$B:$I,8,0),"")=H100,IF(AND(A100&lt;&gt;"",E100&lt;&gt;""),"Saved","Pending"),"🔒 BLOCKED — Wrong Code")))</f>
        <v>Pending</v>
      </c>
      <c r="J100" s="90" t="str">
        <f t="shared" ca="1" si="8"/>
        <v>—</v>
      </c>
      <c r="K100" s="91"/>
    </row>
    <row r="101" spans="1:11" ht="15" customHeight="1" x14ac:dyDescent="0.25">
      <c r="A101" s="76"/>
      <c r="B101" s="37" t="str">
        <f>IF(A101="","",IFERROR(VLOOKUP(A101,DB_Customers!$A:$D,4,0),"❌ Account Not Found"))</f>
        <v/>
      </c>
      <c r="C101" s="77" t="str">
        <f>IF(A101="","",IFERROR(IF(SUMIF(DB_Savings!$C:$C,A101,DB_Savings!$F:$F)=0,VLOOKUP(A101,DB_Customers!$A:$I,9,0),VLOOKUP(A101,DB_Customers!$A:$N,14,0)),"❌ Acct Not Found"))</f>
        <v/>
      </c>
      <c r="D101" s="78" t="str">
        <f t="shared" ca="1" si="6"/>
        <v/>
      </c>
      <c r="E101" s="79"/>
      <c r="F101" s="80" t="str">
        <f t="shared" si="7"/>
        <v/>
      </c>
      <c r="G101" s="39" t="s">
        <v>139</v>
      </c>
      <c r="H101" s="81"/>
      <c r="I101" s="82" t="str">
        <f>IF(A101="","Pending",IF(H101="","⚠️ Enter Agent Code",IF(IFERROR(VLOOKUP(G101,DB_Agents!$B:$I,8,0),"")=H101,IF(AND(A101&lt;&gt;"",E101&lt;&gt;""),"Saved","Pending"),"🔒 BLOCKED — Wrong Code")))</f>
        <v>Pending</v>
      </c>
      <c r="J101" s="83" t="str">
        <f t="shared" ca="1" si="8"/>
        <v>—</v>
      </c>
      <c r="K101" s="84"/>
    </row>
    <row r="102" spans="1:11" ht="15" customHeight="1" x14ac:dyDescent="0.25">
      <c r="A102" s="85"/>
      <c r="B102" s="41" t="str">
        <f>IF(A102="","",IFERROR(VLOOKUP(A102,DB_Customers!$A:$D,4,0),"❌ Account Not Found"))</f>
        <v/>
      </c>
      <c r="C102" s="86" t="str">
        <f>IF(A102="","",IFERROR(IF(SUMIF(DB_Savings!$C:$C,A102,DB_Savings!$F:$F)=0,VLOOKUP(A102,DB_Customers!$A:$I,9,0),VLOOKUP(A102,DB_Customers!$A:$N,14,0)),"❌ Acct Not Found"))</f>
        <v/>
      </c>
      <c r="D102" s="87" t="str">
        <f t="shared" ca="1" si="6"/>
        <v/>
      </c>
      <c r="E102" s="79"/>
      <c r="F102" s="88" t="str">
        <f t="shared" si="7"/>
        <v/>
      </c>
      <c r="G102" s="43" t="s">
        <v>139</v>
      </c>
      <c r="H102" s="81"/>
      <c r="I102" s="89" t="str">
        <f>IF(A102="","Pending",IF(H102="","⚠️ Enter Agent Code",IF(IFERROR(VLOOKUP(G102,DB_Agents!$B:$I,8,0),"")=H102,IF(AND(A102&lt;&gt;"",E102&lt;&gt;""),"Saved","Pending"),"🔒 BLOCKED — Wrong Code")))</f>
        <v>Pending</v>
      </c>
      <c r="J102" s="90" t="str">
        <f t="shared" ca="1" si="8"/>
        <v>—</v>
      </c>
      <c r="K102" s="91"/>
    </row>
    <row r="103" spans="1:11" ht="15" customHeight="1" x14ac:dyDescent="0.25">
      <c r="A103" s="76"/>
      <c r="B103" s="37" t="str">
        <f>IF(A103="","",IFERROR(VLOOKUP(A103,DB_Customers!$A:$D,4,0),"❌ Account Not Found"))</f>
        <v/>
      </c>
      <c r="C103" s="77" t="str">
        <f>IF(A103="","",IFERROR(IF(SUMIF(DB_Savings!$C:$C,A103,DB_Savings!$F:$F)=0,VLOOKUP(A103,DB_Customers!$A:$I,9,0),VLOOKUP(A103,DB_Customers!$A:$N,14,0)),"❌ Acct Not Found"))</f>
        <v/>
      </c>
      <c r="D103" s="78" t="str">
        <f t="shared" ca="1" si="6"/>
        <v/>
      </c>
      <c r="E103" s="79"/>
      <c r="F103" s="80" t="str">
        <f t="shared" si="7"/>
        <v/>
      </c>
      <c r="G103" s="39" t="s">
        <v>139</v>
      </c>
      <c r="H103" s="81"/>
      <c r="I103" s="82" t="str">
        <f>IF(A103="","Pending",IF(H103="","⚠️ Enter Agent Code",IF(IFERROR(VLOOKUP(G103,DB_Agents!$B:$I,8,0),"")=H103,IF(AND(A103&lt;&gt;"",E103&lt;&gt;""),"Saved","Pending"),"🔒 BLOCKED — Wrong Code")))</f>
        <v>Pending</v>
      </c>
      <c r="J103" s="83" t="str">
        <f t="shared" ca="1" si="8"/>
        <v>—</v>
      </c>
      <c r="K103" s="84"/>
    </row>
    <row r="104" spans="1:11" ht="15" customHeight="1" x14ac:dyDescent="0.25">
      <c r="A104" s="85"/>
      <c r="B104" s="41" t="str">
        <f>IF(A104="","",IFERROR(VLOOKUP(A104,DB_Customers!$A:$D,4,0),"❌ Account Not Found"))</f>
        <v/>
      </c>
      <c r="C104" s="86" t="str">
        <f>IF(A104="","",IFERROR(IF(SUMIF(DB_Savings!$C:$C,A104,DB_Savings!$F:$F)=0,VLOOKUP(A104,DB_Customers!$A:$I,9,0),VLOOKUP(A104,DB_Customers!$A:$N,14,0)),"❌ Acct Not Found"))</f>
        <v/>
      </c>
      <c r="D104" s="87" t="str">
        <f t="shared" ca="1" si="6"/>
        <v/>
      </c>
      <c r="E104" s="79"/>
      <c r="F104" s="88" t="str">
        <f t="shared" si="7"/>
        <v/>
      </c>
      <c r="G104" s="43" t="s">
        <v>139</v>
      </c>
      <c r="H104" s="81"/>
      <c r="I104" s="89" t="str">
        <f>IF(A104="","Pending",IF(H104="","⚠️ Enter Agent Code",IF(IFERROR(VLOOKUP(G104,DB_Agents!$B:$I,8,0),"")=H104,IF(AND(A104&lt;&gt;"",E104&lt;&gt;""),"Saved","Pending"),"🔒 BLOCKED — Wrong Code")))</f>
        <v>Pending</v>
      </c>
      <c r="J104" s="90" t="str">
        <f t="shared" ca="1" si="8"/>
        <v>—</v>
      </c>
      <c r="K104" s="91"/>
    </row>
    <row r="105" spans="1:11" ht="15" customHeight="1" x14ac:dyDescent="0.25">
      <c r="A105" s="76"/>
      <c r="B105" s="37" t="str">
        <f>IF(A105="","",IFERROR(VLOOKUP(A105,DB_Customers!$A:$D,4,0),"❌ Account Not Found"))</f>
        <v/>
      </c>
      <c r="C105" s="77" t="str">
        <f>IF(A105="","",IFERROR(IF(SUMIF(DB_Savings!$C:$C,A105,DB_Savings!$F:$F)=0,VLOOKUP(A105,DB_Customers!$A:$I,9,0),VLOOKUP(A105,DB_Customers!$A:$N,14,0)),"❌ Acct Not Found"))</f>
        <v/>
      </c>
      <c r="D105" s="78" t="str">
        <f t="shared" ref="D105:D136" ca="1" si="9">IF(A105="","",TODAY())</f>
        <v/>
      </c>
      <c r="E105" s="79"/>
      <c r="F105" s="80" t="str">
        <f t="shared" ref="F105:F136" si="10">IF(OR(A105="",E105=""),"",IF(C105="","",C105+E105))</f>
        <v/>
      </c>
      <c r="G105" s="39" t="s">
        <v>139</v>
      </c>
      <c r="H105" s="81"/>
      <c r="I105" s="82" t="str">
        <f>IF(A105="","Pending",IF(H105="","⚠️ Enter Agent Code",IF(IFERROR(VLOOKUP(G105,DB_Agents!$B:$I,8,0),"")=H105,IF(AND(A105&lt;&gt;"",E105&lt;&gt;""),"Saved","Pending"),"🔒 BLOCKED — Wrong Code")))</f>
        <v>Pending</v>
      </c>
      <c r="J105" s="83" t="str">
        <f t="shared" ref="J105:J136" ca="1" si="11">IF(I105="Saved",TEXT(TODAY(),"YYYY-MM-DD")&amp;" Auto","—")</f>
        <v>—</v>
      </c>
      <c r="K105" s="84"/>
    </row>
    <row r="106" spans="1:11" ht="15" customHeight="1" x14ac:dyDescent="0.25">
      <c r="A106" s="85"/>
      <c r="B106" s="41" t="str">
        <f>IF(A106="","",IFERROR(VLOOKUP(A106,DB_Customers!$A:$D,4,0),"❌ Account Not Found"))</f>
        <v/>
      </c>
      <c r="C106" s="86" t="str">
        <f>IF(A106="","",IFERROR(IF(SUMIF(DB_Savings!$C:$C,A106,DB_Savings!$F:$F)=0,VLOOKUP(A106,DB_Customers!$A:$I,9,0),VLOOKUP(A106,DB_Customers!$A:$N,14,0)),"❌ Acct Not Found"))</f>
        <v/>
      </c>
      <c r="D106" s="87" t="str">
        <f t="shared" ca="1" si="9"/>
        <v/>
      </c>
      <c r="E106" s="79"/>
      <c r="F106" s="88" t="str">
        <f t="shared" si="10"/>
        <v/>
      </c>
      <c r="G106" s="43" t="s">
        <v>139</v>
      </c>
      <c r="H106" s="81"/>
      <c r="I106" s="89" t="str">
        <f>IF(A106="","Pending",IF(H106="","⚠️ Enter Agent Code",IF(IFERROR(VLOOKUP(G106,DB_Agents!$B:$I,8,0),"")=H106,IF(AND(A106&lt;&gt;"",E106&lt;&gt;""),"Saved","Pending"),"🔒 BLOCKED — Wrong Code")))</f>
        <v>Pending</v>
      </c>
      <c r="J106" s="90" t="str">
        <f t="shared" ca="1" si="11"/>
        <v>—</v>
      </c>
      <c r="K106" s="91"/>
    </row>
    <row r="107" spans="1:11" ht="15" customHeight="1" x14ac:dyDescent="0.25">
      <c r="A107" s="76"/>
      <c r="B107" s="37" t="str">
        <f>IF(A107="","",IFERROR(VLOOKUP(A107,DB_Customers!$A:$D,4,0),"❌ Account Not Found"))</f>
        <v/>
      </c>
      <c r="C107" s="77" t="str">
        <f>IF(A107="","",IFERROR(IF(SUMIF(DB_Savings!$C:$C,A107,DB_Savings!$F:$F)=0,VLOOKUP(A107,DB_Customers!$A:$I,9,0),VLOOKUP(A107,DB_Customers!$A:$N,14,0)),"❌ Acct Not Found"))</f>
        <v/>
      </c>
      <c r="D107" s="78" t="str">
        <f t="shared" ca="1" si="9"/>
        <v/>
      </c>
      <c r="E107" s="79"/>
      <c r="F107" s="80" t="str">
        <f t="shared" si="10"/>
        <v/>
      </c>
      <c r="G107" s="39" t="s">
        <v>139</v>
      </c>
      <c r="H107" s="81"/>
      <c r="I107" s="82" t="str">
        <f>IF(A107="","Pending",IF(H107="","⚠️ Enter Agent Code",IF(IFERROR(VLOOKUP(G107,DB_Agents!$B:$I,8,0),"")=H107,IF(AND(A107&lt;&gt;"",E107&lt;&gt;""),"Saved","Pending"),"🔒 BLOCKED — Wrong Code")))</f>
        <v>Pending</v>
      </c>
      <c r="J107" s="83" t="str">
        <f t="shared" ca="1" si="11"/>
        <v>—</v>
      </c>
      <c r="K107" s="84"/>
    </row>
    <row r="108" spans="1:11" ht="15" customHeight="1" x14ac:dyDescent="0.25">
      <c r="A108" s="85"/>
      <c r="B108" s="41" t="str">
        <f>IF(A108="","",IFERROR(VLOOKUP(A108,DB_Customers!$A:$D,4,0),"❌ Account Not Found"))</f>
        <v/>
      </c>
      <c r="C108" s="86" t="str">
        <f>IF(A108="","",IFERROR(IF(SUMIF(DB_Savings!$C:$C,A108,DB_Savings!$F:$F)=0,VLOOKUP(A108,DB_Customers!$A:$I,9,0),VLOOKUP(A108,DB_Customers!$A:$N,14,0)),"❌ Acct Not Found"))</f>
        <v/>
      </c>
      <c r="D108" s="87" t="str">
        <f t="shared" ca="1" si="9"/>
        <v/>
      </c>
      <c r="E108" s="79"/>
      <c r="F108" s="88" t="str">
        <f t="shared" si="10"/>
        <v/>
      </c>
      <c r="G108" s="43" t="s">
        <v>139</v>
      </c>
      <c r="H108" s="81"/>
      <c r="I108" s="89" t="str">
        <f>IF(A108="","Pending",IF(H108="","⚠️ Enter Agent Code",IF(IFERROR(VLOOKUP(G108,DB_Agents!$B:$I,8,0),"")=H108,IF(AND(A108&lt;&gt;"",E108&lt;&gt;""),"Saved","Pending"),"🔒 BLOCKED — Wrong Code")))</f>
        <v>Pending</v>
      </c>
      <c r="J108" s="90" t="str">
        <f t="shared" ca="1" si="11"/>
        <v>—</v>
      </c>
      <c r="K108" s="91"/>
    </row>
    <row r="109" spans="1:11" ht="15" customHeight="1" x14ac:dyDescent="0.25">
      <c r="A109" s="76"/>
      <c r="B109" s="37" t="str">
        <f>IF(A109="","",IFERROR(VLOOKUP(A109,DB_Customers!$A:$D,4,0),"❌ Account Not Found"))</f>
        <v/>
      </c>
      <c r="C109" s="77" t="str">
        <f>IF(A109="","",IFERROR(IF(SUMIF(DB_Savings!$C:$C,A109,DB_Savings!$F:$F)=0,VLOOKUP(A109,DB_Customers!$A:$I,9,0),VLOOKUP(A109,DB_Customers!$A:$N,14,0)),"❌ Acct Not Found"))</f>
        <v/>
      </c>
      <c r="D109" s="78" t="str">
        <f t="shared" ca="1" si="9"/>
        <v/>
      </c>
      <c r="E109" s="79"/>
      <c r="F109" s="80" t="str">
        <f t="shared" si="10"/>
        <v/>
      </c>
      <c r="G109" s="39" t="s">
        <v>139</v>
      </c>
      <c r="H109" s="81"/>
      <c r="I109" s="82" t="str">
        <f>IF(A109="","Pending",IF(H109="","⚠️ Enter Agent Code",IF(IFERROR(VLOOKUP(G109,DB_Agents!$B:$I,8,0),"")=H109,IF(AND(A109&lt;&gt;"",E109&lt;&gt;""),"Saved","Pending"),"🔒 BLOCKED — Wrong Code")))</f>
        <v>Pending</v>
      </c>
      <c r="J109" s="83" t="str">
        <f t="shared" ca="1" si="11"/>
        <v>—</v>
      </c>
      <c r="K109" s="84"/>
    </row>
    <row r="110" spans="1:11" ht="15" customHeight="1" x14ac:dyDescent="0.25">
      <c r="A110" s="85"/>
      <c r="B110" s="41" t="str">
        <f>IF(A110="","",IFERROR(VLOOKUP(A110,DB_Customers!$A:$D,4,0),"❌ Account Not Found"))</f>
        <v/>
      </c>
      <c r="C110" s="86" t="str">
        <f>IF(A110="","",IFERROR(IF(SUMIF(DB_Savings!$C:$C,A110,DB_Savings!$F:$F)=0,VLOOKUP(A110,DB_Customers!$A:$I,9,0),VLOOKUP(A110,DB_Customers!$A:$N,14,0)),"❌ Acct Not Found"))</f>
        <v/>
      </c>
      <c r="D110" s="87" t="str">
        <f t="shared" ca="1" si="9"/>
        <v/>
      </c>
      <c r="E110" s="79"/>
      <c r="F110" s="88" t="str">
        <f t="shared" si="10"/>
        <v/>
      </c>
      <c r="G110" s="43" t="s">
        <v>139</v>
      </c>
      <c r="H110" s="81"/>
      <c r="I110" s="89" t="str">
        <f>IF(A110="","Pending",IF(H110="","⚠️ Enter Agent Code",IF(IFERROR(VLOOKUP(G110,DB_Agents!$B:$I,8,0),"")=H110,IF(AND(A110&lt;&gt;"",E110&lt;&gt;""),"Saved","Pending"),"🔒 BLOCKED — Wrong Code")))</f>
        <v>Pending</v>
      </c>
      <c r="J110" s="90" t="str">
        <f t="shared" ca="1" si="11"/>
        <v>—</v>
      </c>
      <c r="K110" s="91"/>
    </row>
    <row r="111" spans="1:11" ht="15" customHeight="1" x14ac:dyDescent="0.25">
      <c r="A111" s="76"/>
      <c r="B111" s="37" t="str">
        <f>IF(A111="","",IFERROR(VLOOKUP(A111,DB_Customers!$A:$D,4,0),"❌ Account Not Found"))</f>
        <v/>
      </c>
      <c r="C111" s="77" t="str">
        <f>IF(A111="","",IFERROR(IF(SUMIF(DB_Savings!$C:$C,A111,DB_Savings!$F:$F)=0,VLOOKUP(A111,DB_Customers!$A:$I,9,0),VLOOKUP(A111,DB_Customers!$A:$N,14,0)),"❌ Acct Not Found"))</f>
        <v/>
      </c>
      <c r="D111" s="78" t="str">
        <f t="shared" ca="1" si="9"/>
        <v/>
      </c>
      <c r="E111" s="79"/>
      <c r="F111" s="80" t="str">
        <f t="shared" si="10"/>
        <v/>
      </c>
      <c r="G111" s="39" t="s">
        <v>139</v>
      </c>
      <c r="H111" s="81"/>
      <c r="I111" s="82" t="str">
        <f>IF(A111="","Pending",IF(H111="","⚠️ Enter Agent Code",IF(IFERROR(VLOOKUP(G111,DB_Agents!$B:$I,8,0),"")=H111,IF(AND(A111&lt;&gt;"",E111&lt;&gt;""),"Saved","Pending"),"🔒 BLOCKED — Wrong Code")))</f>
        <v>Pending</v>
      </c>
      <c r="J111" s="83" t="str">
        <f t="shared" ca="1" si="11"/>
        <v>—</v>
      </c>
      <c r="K111" s="84"/>
    </row>
    <row r="112" spans="1:11" ht="15" customHeight="1" x14ac:dyDescent="0.25">
      <c r="A112" s="85"/>
      <c r="B112" s="41" t="str">
        <f>IF(A112="","",IFERROR(VLOOKUP(A112,DB_Customers!$A:$D,4,0),"❌ Account Not Found"))</f>
        <v/>
      </c>
      <c r="C112" s="86" t="str">
        <f>IF(A112="","",IFERROR(IF(SUMIF(DB_Savings!$C:$C,A112,DB_Savings!$F:$F)=0,VLOOKUP(A112,DB_Customers!$A:$I,9,0),VLOOKUP(A112,DB_Customers!$A:$N,14,0)),"❌ Acct Not Found"))</f>
        <v/>
      </c>
      <c r="D112" s="87" t="str">
        <f t="shared" ca="1" si="9"/>
        <v/>
      </c>
      <c r="E112" s="79"/>
      <c r="F112" s="88" t="str">
        <f t="shared" si="10"/>
        <v/>
      </c>
      <c r="G112" s="43" t="s">
        <v>139</v>
      </c>
      <c r="H112" s="81"/>
      <c r="I112" s="89" t="str">
        <f>IF(A112="","Pending",IF(H112="","⚠️ Enter Agent Code",IF(IFERROR(VLOOKUP(G112,DB_Agents!$B:$I,8,0),"")=H112,IF(AND(A112&lt;&gt;"",E112&lt;&gt;""),"Saved","Pending"),"🔒 BLOCKED — Wrong Code")))</f>
        <v>Pending</v>
      </c>
      <c r="J112" s="90" t="str">
        <f t="shared" ca="1" si="11"/>
        <v>—</v>
      </c>
      <c r="K112" s="91"/>
    </row>
    <row r="113" spans="1:11" ht="15" customHeight="1" x14ac:dyDescent="0.25">
      <c r="A113" s="76"/>
      <c r="B113" s="37" t="str">
        <f>IF(A113="","",IFERROR(VLOOKUP(A113,DB_Customers!$A:$D,4,0),"❌ Account Not Found"))</f>
        <v/>
      </c>
      <c r="C113" s="77" t="str">
        <f>IF(A113="","",IFERROR(IF(SUMIF(DB_Savings!$C:$C,A113,DB_Savings!$F:$F)=0,VLOOKUP(A113,DB_Customers!$A:$I,9,0),VLOOKUP(A113,DB_Customers!$A:$N,14,0)),"❌ Acct Not Found"))</f>
        <v/>
      </c>
      <c r="D113" s="78" t="str">
        <f t="shared" ca="1" si="9"/>
        <v/>
      </c>
      <c r="E113" s="79"/>
      <c r="F113" s="80" t="str">
        <f t="shared" si="10"/>
        <v/>
      </c>
      <c r="G113" s="39" t="s">
        <v>139</v>
      </c>
      <c r="H113" s="81"/>
      <c r="I113" s="82" t="str">
        <f>IF(A113="","Pending",IF(H113="","⚠️ Enter Agent Code",IF(IFERROR(VLOOKUP(G113,DB_Agents!$B:$I,8,0),"")=H113,IF(AND(A113&lt;&gt;"",E113&lt;&gt;""),"Saved","Pending"),"🔒 BLOCKED — Wrong Code")))</f>
        <v>Pending</v>
      </c>
      <c r="J113" s="83" t="str">
        <f t="shared" ca="1" si="11"/>
        <v>—</v>
      </c>
      <c r="K113" s="84"/>
    </row>
    <row r="114" spans="1:11" ht="15" customHeight="1" x14ac:dyDescent="0.25">
      <c r="A114" s="85"/>
      <c r="B114" s="41" t="str">
        <f>IF(A114="","",IFERROR(VLOOKUP(A114,DB_Customers!$A:$D,4,0),"❌ Account Not Found"))</f>
        <v/>
      </c>
      <c r="C114" s="86" t="str">
        <f>IF(A114="","",IFERROR(IF(SUMIF(DB_Savings!$C:$C,A114,DB_Savings!$F:$F)=0,VLOOKUP(A114,DB_Customers!$A:$I,9,0),VLOOKUP(A114,DB_Customers!$A:$N,14,0)),"❌ Acct Not Found"))</f>
        <v/>
      </c>
      <c r="D114" s="87" t="str">
        <f t="shared" ca="1" si="9"/>
        <v/>
      </c>
      <c r="E114" s="79"/>
      <c r="F114" s="88" t="str">
        <f t="shared" si="10"/>
        <v/>
      </c>
      <c r="G114" s="43" t="s">
        <v>139</v>
      </c>
      <c r="H114" s="81"/>
      <c r="I114" s="89" t="str">
        <f>IF(A114="","Pending",IF(H114="","⚠️ Enter Agent Code",IF(IFERROR(VLOOKUP(G114,DB_Agents!$B:$I,8,0),"")=H114,IF(AND(A114&lt;&gt;"",E114&lt;&gt;""),"Saved","Pending"),"🔒 BLOCKED — Wrong Code")))</f>
        <v>Pending</v>
      </c>
      <c r="J114" s="90" t="str">
        <f t="shared" ca="1" si="11"/>
        <v>—</v>
      </c>
      <c r="K114" s="91"/>
    </row>
    <row r="115" spans="1:11" ht="15" customHeight="1" x14ac:dyDescent="0.25">
      <c r="A115" s="76"/>
      <c r="B115" s="37" t="str">
        <f>IF(A115="","",IFERROR(VLOOKUP(A115,DB_Customers!$A:$D,4,0),"❌ Account Not Found"))</f>
        <v/>
      </c>
      <c r="C115" s="77" t="str">
        <f>IF(A115="","",IFERROR(IF(SUMIF(DB_Savings!$C:$C,A115,DB_Savings!$F:$F)=0,VLOOKUP(A115,DB_Customers!$A:$I,9,0),VLOOKUP(A115,DB_Customers!$A:$N,14,0)),"❌ Acct Not Found"))</f>
        <v/>
      </c>
      <c r="D115" s="78" t="str">
        <f t="shared" ca="1" si="9"/>
        <v/>
      </c>
      <c r="E115" s="79"/>
      <c r="F115" s="80" t="str">
        <f t="shared" si="10"/>
        <v/>
      </c>
      <c r="G115" s="39" t="s">
        <v>139</v>
      </c>
      <c r="H115" s="81"/>
      <c r="I115" s="82" t="str">
        <f>IF(A115="","Pending",IF(H115="","⚠️ Enter Agent Code",IF(IFERROR(VLOOKUP(G115,DB_Agents!$B:$I,8,0),"")=H115,IF(AND(A115&lt;&gt;"",E115&lt;&gt;""),"Saved","Pending"),"🔒 BLOCKED — Wrong Code")))</f>
        <v>Pending</v>
      </c>
      <c r="J115" s="83" t="str">
        <f t="shared" ca="1" si="11"/>
        <v>—</v>
      </c>
      <c r="K115" s="84"/>
    </row>
    <row r="116" spans="1:11" ht="15" customHeight="1" x14ac:dyDescent="0.25">
      <c r="A116" s="85"/>
      <c r="B116" s="41" t="str">
        <f>IF(A116="","",IFERROR(VLOOKUP(A116,DB_Customers!$A:$D,4,0),"❌ Account Not Found"))</f>
        <v/>
      </c>
      <c r="C116" s="86" t="str">
        <f>IF(A116="","",IFERROR(IF(SUMIF(DB_Savings!$C:$C,A116,DB_Savings!$F:$F)=0,VLOOKUP(A116,DB_Customers!$A:$I,9,0),VLOOKUP(A116,DB_Customers!$A:$N,14,0)),"❌ Acct Not Found"))</f>
        <v/>
      </c>
      <c r="D116" s="87" t="str">
        <f t="shared" ca="1" si="9"/>
        <v/>
      </c>
      <c r="E116" s="79"/>
      <c r="F116" s="88" t="str">
        <f t="shared" si="10"/>
        <v/>
      </c>
      <c r="G116" s="43" t="s">
        <v>139</v>
      </c>
      <c r="H116" s="81"/>
      <c r="I116" s="89" t="str">
        <f>IF(A116="","Pending",IF(H116="","⚠️ Enter Agent Code",IF(IFERROR(VLOOKUP(G116,DB_Agents!$B:$I,8,0),"")=H116,IF(AND(A116&lt;&gt;"",E116&lt;&gt;""),"Saved","Pending"),"🔒 BLOCKED — Wrong Code")))</f>
        <v>Pending</v>
      </c>
      <c r="J116" s="90" t="str">
        <f t="shared" ca="1" si="11"/>
        <v>—</v>
      </c>
      <c r="K116" s="91"/>
    </row>
    <row r="117" spans="1:11" ht="15" customHeight="1" x14ac:dyDescent="0.25">
      <c r="A117" s="76"/>
      <c r="B117" s="37" t="str">
        <f>IF(A117="","",IFERROR(VLOOKUP(A117,DB_Customers!$A:$D,4,0),"❌ Account Not Found"))</f>
        <v/>
      </c>
      <c r="C117" s="77" t="str">
        <f>IF(A117="","",IFERROR(IF(SUMIF(DB_Savings!$C:$C,A117,DB_Savings!$F:$F)=0,VLOOKUP(A117,DB_Customers!$A:$I,9,0),VLOOKUP(A117,DB_Customers!$A:$N,14,0)),"❌ Acct Not Found"))</f>
        <v/>
      </c>
      <c r="D117" s="78" t="str">
        <f t="shared" ca="1" si="9"/>
        <v/>
      </c>
      <c r="E117" s="79"/>
      <c r="F117" s="80" t="str">
        <f t="shared" si="10"/>
        <v/>
      </c>
      <c r="G117" s="39" t="s">
        <v>139</v>
      </c>
      <c r="H117" s="81"/>
      <c r="I117" s="82" t="str">
        <f>IF(A117="","Pending",IF(H117="","⚠️ Enter Agent Code",IF(IFERROR(VLOOKUP(G117,DB_Agents!$B:$I,8,0),"")=H117,IF(AND(A117&lt;&gt;"",E117&lt;&gt;""),"Saved","Pending"),"🔒 BLOCKED — Wrong Code")))</f>
        <v>Pending</v>
      </c>
      <c r="J117" s="83" t="str">
        <f t="shared" ca="1" si="11"/>
        <v>—</v>
      </c>
      <c r="K117" s="84"/>
    </row>
    <row r="118" spans="1:11" ht="15" customHeight="1" x14ac:dyDescent="0.25">
      <c r="A118" s="85"/>
      <c r="B118" s="41" t="str">
        <f>IF(A118="","",IFERROR(VLOOKUP(A118,DB_Customers!$A:$D,4,0),"❌ Account Not Found"))</f>
        <v/>
      </c>
      <c r="C118" s="86" t="str">
        <f>IF(A118="","",IFERROR(IF(SUMIF(DB_Savings!$C:$C,A118,DB_Savings!$F:$F)=0,VLOOKUP(A118,DB_Customers!$A:$I,9,0),VLOOKUP(A118,DB_Customers!$A:$N,14,0)),"❌ Acct Not Found"))</f>
        <v/>
      </c>
      <c r="D118" s="87" t="str">
        <f t="shared" ca="1" si="9"/>
        <v/>
      </c>
      <c r="E118" s="79"/>
      <c r="F118" s="88" t="str">
        <f t="shared" si="10"/>
        <v/>
      </c>
      <c r="G118" s="43" t="s">
        <v>139</v>
      </c>
      <c r="H118" s="81"/>
      <c r="I118" s="89" t="str">
        <f>IF(A118="","Pending",IF(H118="","⚠️ Enter Agent Code",IF(IFERROR(VLOOKUP(G118,DB_Agents!$B:$I,8,0),"")=H118,IF(AND(A118&lt;&gt;"",E118&lt;&gt;""),"Saved","Pending"),"🔒 BLOCKED — Wrong Code")))</f>
        <v>Pending</v>
      </c>
      <c r="J118" s="90" t="str">
        <f t="shared" ca="1" si="11"/>
        <v>—</v>
      </c>
      <c r="K118" s="91"/>
    </row>
    <row r="119" spans="1:11" ht="15" customHeight="1" x14ac:dyDescent="0.25">
      <c r="A119" s="76"/>
      <c r="B119" s="37" t="str">
        <f>IF(A119="","",IFERROR(VLOOKUP(A119,DB_Customers!$A:$D,4,0),"❌ Account Not Found"))</f>
        <v/>
      </c>
      <c r="C119" s="77" t="str">
        <f>IF(A119="","",IFERROR(IF(SUMIF(DB_Savings!$C:$C,A119,DB_Savings!$F:$F)=0,VLOOKUP(A119,DB_Customers!$A:$I,9,0),VLOOKUP(A119,DB_Customers!$A:$N,14,0)),"❌ Acct Not Found"))</f>
        <v/>
      </c>
      <c r="D119" s="78" t="str">
        <f t="shared" ca="1" si="9"/>
        <v/>
      </c>
      <c r="E119" s="79"/>
      <c r="F119" s="80" t="str">
        <f t="shared" si="10"/>
        <v/>
      </c>
      <c r="G119" s="39" t="s">
        <v>139</v>
      </c>
      <c r="H119" s="81"/>
      <c r="I119" s="82" t="str">
        <f>IF(A119="","Pending",IF(H119="","⚠️ Enter Agent Code",IF(IFERROR(VLOOKUP(G119,DB_Agents!$B:$I,8,0),"")=H119,IF(AND(A119&lt;&gt;"",E119&lt;&gt;""),"Saved","Pending"),"🔒 BLOCKED — Wrong Code")))</f>
        <v>Pending</v>
      </c>
      <c r="J119" s="83" t="str">
        <f t="shared" ca="1" si="11"/>
        <v>—</v>
      </c>
      <c r="K119" s="84"/>
    </row>
    <row r="120" spans="1:11" ht="15" customHeight="1" x14ac:dyDescent="0.25">
      <c r="A120" s="85"/>
      <c r="B120" s="41" t="str">
        <f>IF(A120="","",IFERROR(VLOOKUP(A120,DB_Customers!$A:$D,4,0),"❌ Account Not Found"))</f>
        <v/>
      </c>
      <c r="C120" s="86" t="str">
        <f>IF(A120="","",IFERROR(IF(SUMIF(DB_Savings!$C:$C,A120,DB_Savings!$F:$F)=0,VLOOKUP(A120,DB_Customers!$A:$I,9,0),VLOOKUP(A120,DB_Customers!$A:$N,14,0)),"❌ Acct Not Found"))</f>
        <v/>
      </c>
      <c r="D120" s="87" t="str">
        <f t="shared" ca="1" si="9"/>
        <v/>
      </c>
      <c r="E120" s="79"/>
      <c r="F120" s="88" t="str">
        <f t="shared" si="10"/>
        <v/>
      </c>
      <c r="G120" s="43" t="s">
        <v>139</v>
      </c>
      <c r="H120" s="81"/>
      <c r="I120" s="89" t="str">
        <f>IF(A120="","Pending",IF(H120="","⚠️ Enter Agent Code",IF(IFERROR(VLOOKUP(G120,DB_Agents!$B:$I,8,0),"")=H120,IF(AND(A120&lt;&gt;"",E120&lt;&gt;""),"Saved","Pending"),"🔒 BLOCKED — Wrong Code")))</f>
        <v>Pending</v>
      </c>
      <c r="J120" s="90" t="str">
        <f t="shared" ca="1" si="11"/>
        <v>—</v>
      </c>
      <c r="K120" s="91"/>
    </row>
    <row r="121" spans="1:11" ht="15" customHeight="1" x14ac:dyDescent="0.25">
      <c r="A121" s="76"/>
      <c r="B121" s="37" t="str">
        <f>IF(A121="","",IFERROR(VLOOKUP(A121,DB_Customers!$A:$D,4,0),"❌ Account Not Found"))</f>
        <v/>
      </c>
      <c r="C121" s="77" t="str">
        <f>IF(A121="","",IFERROR(IF(SUMIF(DB_Savings!$C:$C,A121,DB_Savings!$F:$F)=0,VLOOKUP(A121,DB_Customers!$A:$I,9,0),VLOOKUP(A121,DB_Customers!$A:$N,14,0)),"❌ Acct Not Found"))</f>
        <v/>
      </c>
      <c r="D121" s="78" t="str">
        <f t="shared" ca="1" si="9"/>
        <v/>
      </c>
      <c r="E121" s="79"/>
      <c r="F121" s="80" t="str">
        <f t="shared" si="10"/>
        <v/>
      </c>
      <c r="G121" s="39" t="s">
        <v>139</v>
      </c>
      <c r="H121" s="81"/>
      <c r="I121" s="82" t="str">
        <f>IF(A121="","Pending",IF(H121="","⚠️ Enter Agent Code",IF(IFERROR(VLOOKUP(G121,DB_Agents!$B:$I,8,0),"")=H121,IF(AND(A121&lt;&gt;"",E121&lt;&gt;""),"Saved","Pending"),"🔒 BLOCKED — Wrong Code")))</f>
        <v>Pending</v>
      </c>
      <c r="J121" s="83" t="str">
        <f t="shared" ca="1" si="11"/>
        <v>—</v>
      </c>
      <c r="K121" s="84"/>
    </row>
    <row r="122" spans="1:11" ht="15" customHeight="1" x14ac:dyDescent="0.25">
      <c r="A122" s="85"/>
      <c r="B122" s="41" t="str">
        <f>IF(A122="","",IFERROR(VLOOKUP(A122,DB_Customers!$A:$D,4,0),"❌ Account Not Found"))</f>
        <v/>
      </c>
      <c r="C122" s="86" t="str">
        <f>IF(A122="","",IFERROR(IF(SUMIF(DB_Savings!$C:$C,A122,DB_Savings!$F:$F)=0,VLOOKUP(A122,DB_Customers!$A:$I,9,0),VLOOKUP(A122,DB_Customers!$A:$N,14,0)),"❌ Acct Not Found"))</f>
        <v/>
      </c>
      <c r="D122" s="87" t="str">
        <f t="shared" ca="1" si="9"/>
        <v/>
      </c>
      <c r="E122" s="79"/>
      <c r="F122" s="88" t="str">
        <f t="shared" si="10"/>
        <v/>
      </c>
      <c r="G122" s="43" t="s">
        <v>139</v>
      </c>
      <c r="H122" s="81"/>
      <c r="I122" s="89" t="str">
        <f>IF(A122="","Pending",IF(H122="","⚠️ Enter Agent Code",IF(IFERROR(VLOOKUP(G122,DB_Agents!$B:$I,8,0),"")=H122,IF(AND(A122&lt;&gt;"",E122&lt;&gt;""),"Saved","Pending"),"🔒 BLOCKED — Wrong Code")))</f>
        <v>Pending</v>
      </c>
      <c r="J122" s="90" t="str">
        <f t="shared" ca="1" si="11"/>
        <v>—</v>
      </c>
      <c r="K122" s="91"/>
    </row>
    <row r="123" spans="1:11" ht="15" customHeight="1" x14ac:dyDescent="0.25">
      <c r="A123" s="76"/>
      <c r="B123" s="37" t="str">
        <f>IF(A123="","",IFERROR(VLOOKUP(A123,DB_Customers!$A:$D,4,0),"❌ Account Not Found"))</f>
        <v/>
      </c>
      <c r="C123" s="77" t="str">
        <f>IF(A123="","",IFERROR(IF(SUMIF(DB_Savings!$C:$C,A123,DB_Savings!$F:$F)=0,VLOOKUP(A123,DB_Customers!$A:$I,9,0),VLOOKUP(A123,DB_Customers!$A:$N,14,0)),"❌ Acct Not Found"))</f>
        <v/>
      </c>
      <c r="D123" s="78" t="str">
        <f t="shared" ca="1" si="9"/>
        <v/>
      </c>
      <c r="E123" s="79"/>
      <c r="F123" s="80" t="str">
        <f t="shared" si="10"/>
        <v/>
      </c>
      <c r="G123" s="39" t="s">
        <v>139</v>
      </c>
      <c r="H123" s="81"/>
      <c r="I123" s="82" t="str">
        <f>IF(A123="","Pending",IF(H123="","⚠️ Enter Agent Code",IF(IFERROR(VLOOKUP(G123,DB_Agents!$B:$I,8,0),"")=H123,IF(AND(A123&lt;&gt;"",E123&lt;&gt;""),"Saved","Pending"),"🔒 BLOCKED — Wrong Code")))</f>
        <v>Pending</v>
      </c>
      <c r="J123" s="83" t="str">
        <f t="shared" ca="1" si="11"/>
        <v>—</v>
      </c>
      <c r="K123" s="84"/>
    </row>
    <row r="124" spans="1:11" ht="15" customHeight="1" x14ac:dyDescent="0.25">
      <c r="A124" s="85"/>
      <c r="B124" s="41" t="str">
        <f>IF(A124="","",IFERROR(VLOOKUP(A124,DB_Customers!$A:$D,4,0),"❌ Account Not Found"))</f>
        <v/>
      </c>
      <c r="C124" s="86" t="str">
        <f>IF(A124="","",IFERROR(IF(SUMIF(DB_Savings!$C:$C,A124,DB_Savings!$F:$F)=0,VLOOKUP(A124,DB_Customers!$A:$I,9,0),VLOOKUP(A124,DB_Customers!$A:$N,14,0)),"❌ Acct Not Found"))</f>
        <v/>
      </c>
      <c r="D124" s="87" t="str">
        <f t="shared" ca="1" si="9"/>
        <v/>
      </c>
      <c r="E124" s="79"/>
      <c r="F124" s="88" t="str">
        <f t="shared" si="10"/>
        <v/>
      </c>
      <c r="G124" s="43" t="s">
        <v>139</v>
      </c>
      <c r="H124" s="81"/>
      <c r="I124" s="89" t="str">
        <f>IF(A124="","Pending",IF(H124="","⚠️ Enter Agent Code",IF(IFERROR(VLOOKUP(G124,DB_Agents!$B:$I,8,0),"")=H124,IF(AND(A124&lt;&gt;"",E124&lt;&gt;""),"Saved","Pending"),"🔒 BLOCKED — Wrong Code")))</f>
        <v>Pending</v>
      </c>
      <c r="J124" s="90" t="str">
        <f t="shared" ca="1" si="11"/>
        <v>—</v>
      </c>
      <c r="K124" s="91"/>
    </row>
    <row r="125" spans="1:11" ht="15" customHeight="1" x14ac:dyDescent="0.25">
      <c r="A125" s="76"/>
      <c r="B125" s="37" t="str">
        <f>IF(A125="","",IFERROR(VLOOKUP(A125,DB_Customers!$A:$D,4,0),"❌ Account Not Found"))</f>
        <v/>
      </c>
      <c r="C125" s="77" t="str">
        <f>IF(A125="","",IFERROR(IF(SUMIF(DB_Savings!$C:$C,A125,DB_Savings!$F:$F)=0,VLOOKUP(A125,DB_Customers!$A:$I,9,0),VLOOKUP(A125,DB_Customers!$A:$N,14,0)),"❌ Acct Not Found"))</f>
        <v/>
      </c>
      <c r="D125" s="78" t="str">
        <f t="shared" ca="1" si="9"/>
        <v/>
      </c>
      <c r="E125" s="79"/>
      <c r="F125" s="80" t="str">
        <f t="shared" si="10"/>
        <v/>
      </c>
      <c r="G125" s="39" t="s">
        <v>139</v>
      </c>
      <c r="H125" s="81"/>
      <c r="I125" s="82" t="str">
        <f>IF(A125="","Pending",IF(H125="","⚠️ Enter Agent Code",IF(IFERROR(VLOOKUP(G125,DB_Agents!$B:$I,8,0),"")=H125,IF(AND(A125&lt;&gt;"",E125&lt;&gt;""),"Saved","Pending"),"🔒 BLOCKED — Wrong Code")))</f>
        <v>Pending</v>
      </c>
      <c r="J125" s="83" t="str">
        <f t="shared" ca="1" si="11"/>
        <v>—</v>
      </c>
      <c r="K125" s="84"/>
    </row>
    <row r="126" spans="1:11" ht="15" customHeight="1" x14ac:dyDescent="0.25">
      <c r="A126" s="85"/>
      <c r="B126" s="41" t="str">
        <f>IF(A126="","",IFERROR(VLOOKUP(A126,DB_Customers!$A:$D,4,0),"❌ Account Not Found"))</f>
        <v/>
      </c>
      <c r="C126" s="86" t="str">
        <f>IF(A126="","",IFERROR(IF(SUMIF(DB_Savings!$C:$C,A126,DB_Savings!$F:$F)=0,VLOOKUP(A126,DB_Customers!$A:$I,9,0),VLOOKUP(A126,DB_Customers!$A:$N,14,0)),"❌ Acct Not Found"))</f>
        <v/>
      </c>
      <c r="D126" s="87" t="str">
        <f t="shared" ca="1" si="9"/>
        <v/>
      </c>
      <c r="E126" s="79"/>
      <c r="F126" s="88" t="str">
        <f t="shared" si="10"/>
        <v/>
      </c>
      <c r="G126" s="43" t="s">
        <v>139</v>
      </c>
      <c r="H126" s="81"/>
      <c r="I126" s="89" t="str">
        <f>IF(A126="","Pending",IF(H126="","⚠️ Enter Agent Code",IF(IFERROR(VLOOKUP(G126,DB_Agents!$B:$I,8,0),"")=H126,IF(AND(A126&lt;&gt;"",E126&lt;&gt;""),"Saved","Pending"),"🔒 BLOCKED — Wrong Code")))</f>
        <v>Pending</v>
      </c>
      <c r="J126" s="90" t="str">
        <f t="shared" ca="1" si="11"/>
        <v>—</v>
      </c>
      <c r="K126" s="91"/>
    </row>
    <row r="127" spans="1:11" ht="15" customHeight="1" x14ac:dyDescent="0.25">
      <c r="A127" s="76"/>
      <c r="B127" s="37" t="str">
        <f>IF(A127="","",IFERROR(VLOOKUP(A127,DB_Customers!$A:$D,4,0),"❌ Account Not Found"))</f>
        <v/>
      </c>
      <c r="C127" s="77" t="str">
        <f>IF(A127="","",IFERROR(IF(SUMIF(DB_Savings!$C:$C,A127,DB_Savings!$F:$F)=0,VLOOKUP(A127,DB_Customers!$A:$I,9,0),VLOOKUP(A127,DB_Customers!$A:$N,14,0)),"❌ Acct Not Found"))</f>
        <v/>
      </c>
      <c r="D127" s="78" t="str">
        <f t="shared" ca="1" si="9"/>
        <v/>
      </c>
      <c r="E127" s="79"/>
      <c r="F127" s="80" t="str">
        <f t="shared" si="10"/>
        <v/>
      </c>
      <c r="G127" s="39" t="s">
        <v>139</v>
      </c>
      <c r="H127" s="81"/>
      <c r="I127" s="82" t="str">
        <f>IF(A127="","Pending",IF(H127="","⚠️ Enter Agent Code",IF(IFERROR(VLOOKUP(G127,DB_Agents!$B:$I,8,0),"")=H127,IF(AND(A127&lt;&gt;"",E127&lt;&gt;""),"Saved","Pending"),"🔒 BLOCKED — Wrong Code")))</f>
        <v>Pending</v>
      </c>
      <c r="J127" s="83" t="str">
        <f t="shared" ca="1" si="11"/>
        <v>—</v>
      </c>
      <c r="K127" s="84"/>
    </row>
    <row r="128" spans="1:11" ht="15" customHeight="1" x14ac:dyDescent="0.25">
      <c r="A128" s="85"/>
      <c r="B128" s="41" t="str">
        <f>IF(A128="","",IFERROR(VLOOKUP(A128,DB_Customers!$A:$D,4,0),"❌ Account Not Found"))</f>
        <v/>
      </c>
      <c r="C128" s="86" t="str">
        <f>IF(A128="","",IFERROR(IF(SUMIF(DB_Savings!$C:$C,A128,DB_Savings!$F:$F)=0,VLOOKUP(A128,DB_Customers!$A:$I,9,0),VLOOKUP(A128,DB_Customers!$A:$N,14,0)),"❌ Acct Not Found"))</f>
        <v/>
      </c>
      <c r="D128" s="87" t="str">
        <f t="shared" ca="1" si="9"/>
        <v/>
      </c>
      <c r="E128" s="79"/>
      <c r="F128" s="88" t="str">
        <f t="shared" si="10"/>
        <v/>
      </c>
      <c r="G128" s="43" t="s">
        <v>139</v>
      </c>
      <c r="H128" s="81"/>
      <c r="I128" s="89" t="str">
        <f>IF(A128="","Pending",IF(H128="","⚠️ Enter Agent Code",IF(IFERROR(VLOOKUP(G128,DB_Agents!$B:$I,8,0),"")=H128,IF(AND(A128&lt;&gt;"",E128&lt;&gt;""),"Saved","Pending"),"🔒 BLOCKED — Wrong Code")))</f>
        <v>Pending</v>
      </c>
      <c r="J128" s="90" t="str">
        <f t="shared" ca="1" si="11"/>
        <v>—</v>
      </c>
      <c r="K128" s="91"/>
    </row>
    <row r="129" spans="1:11" ht="15" customHeight="1" x14ac:dyDescent="0.25">
      <c r="A129" s="76"/>
      <c r="B129" s="37" t="str">
        <f>IF(A129="","",IFERROR(VLOOKUP(A129,DB_Customers!$A:$D,4,0),"❌ Account Not Found"))</f>
        <v/>
      </c>
      <c r="C129" s="77" t="str">
        <f>IF(A129="","",IFERROR(IF(SUMIF(DB_Savings!$C:$C,A129,DB_Savings!$F:$F)=0,VLOOKUP(A129,DB_Customers!$A:$I,9,0),VLOOKUP(A129,DB_Customers!$A:$N,14,0)),"❌ Acct Not Found"))</f>
        <v/>
      </c>
      <c r="D129" s="78" t="str">
        <f t="shared" ca="1" si="9"/>
        <v/>
      </c>
      <c r="E129" s="79"/>
      <c r="F129" s="80" t="str">
        <f t="shared" si="10"/>
        <v/>
      </c>
      <c r="G129" s="39" t="s">
        <v>139</v>
      </c>
      <c r="H129" s="81"/>
      <c r="I129" s="82" t="str">
        <f>IF(A129="","Pending",IF(H129="","⚠️ Enter Agent Code",IF(IFERROR(VLOOKUP(G129,DB_Agents!$B:$I,8,0),"")=H129,IF(AND(A129&lt;&gt;"",E129&lt;&gt;""),"Saved","Pending"),"🔒 BLOCKED — Wrong Code")))</f>
        <v>Pending</v>
      </c>
      <c r="J129" s="83" t="str">
        <f t="shared" ca="1" si="11"/>
        <v>—</v>
      </c>
      <c r="K129" s="84"/>
    </row>
    <row r="130" spans="1:11" ht="15" customHeight="1" x14ac:dyDescent="0.25">
      <c r="A130" s="85"/>
      <c r="B130" s="41" t="str">
        <f>IF(A130="","",IFERROR(VLOOKUP(A130,DB_Customers!$A:$D,4,0),"❌ Account Not Found"))</f>
        <v/>
      </c>
      <c r="C130" s="86" t="str">
        <f>IF(A130="","",IFERROR(IF(SUMIF(DB_Savings!$C:$C,A130,DB_Savings!$F:$F)=0,VLOOKUP(A130,DB_Customers!$A:$I,9,0),VLOOKUP(A130,DB_Customers!$A:$N,14,0)),"❌ Acct Not Found"))</f>
        <v/>
      </c>
      <c r="D130" s="87" t="str">
        <f t="shared" ca="1" si="9"/>
        <v/>
      </c>
      <c r="E130" s="79"/>
      <c r="F130" s="88" t="str">
        <f t="shared" si="10"/>
        <v/>
      </c>
      <c r="G130" s="43" t="s">
        <v>139</v>
      </c>
      <c r="H130" s="81"/>
      <c r="I130" s="89" t="str">
        <f>IF(A130="","Pending",IF(H130="","⚠️ Enter Agent Code",IF(IFERROR(VLOOKUP(G130,DB_Agents!$B:$I,8,0),"")=H130,IF(AND(A130&lt;&gt;"",E130&lt;&gt;""),"Saved","Pending"),"🔒 BLOCKED — Wrong Code")))</f>
        <v>Pending</v>
      </c>
      <c r="J130" s="90" t="str">
        <f t="shared" ca="1" si="11"/>
        <v>—</v>
      </c>
      <c r="K130" s="91"/>
    </row>
    <row r="131" spans="1:11" ht="15" customHeight="1" x14ac:dyDescent="0.25">
      <c r="A131" s="76"/>
      <c r="B131" s="37" t="str">
        <f>IF(A131="","",IFERROR(VLOOKUP(A131,DB_Customers!$A:$D,4,0),"❌ Account Not Found"))</f>
        <v/>
      </c>
      <c r="C131" s="77" t="str">
        <f>IF(A131="","",IFERROR(IF(SUMIF(DB_Savings!$C:$C,A131,DB_Savings!$F:$F)=0,VLOOKUP(A131,DB_Customers!$A:$I,9,0),VLOOKUP(A131,DB_Customers!$A:$N,14,0)),"❌ Acct Not Found"))</f>
        <v/>
      </c>
      <c r="D131" s="78" t="str">
        <f t="shared" ca="1" si="9"/>
        <v/>
      </c>
      <c r="E131" s="79"/>
      <c r="F131" s="80" t="str">
        <f t="shared" si="10"/>
        <v/>
      </c>
      <c r="G131" s="39" t="s">
        <v>139</v>
      </c>
      <c r="H131" s="81"/>
      <c r="I131" s="82" t="str">
        <f>IF(A131="","Pending",IF(H131="","⚠️ Enter Agent Code",IF(IFERROR(VLOOKUP(G131,DB_Agents!$B:$I,8,0),"")=H131,IF(AND(A131&lt;&gt;"",E131&lt;&gt;""),"Saved","Pending"),"🔒 BLOCKED — Wrong Code")))</f>
        <v>Pending</v>
      </c>
      <c r="J131" s="83" t="str">
        <f t="shared" ca="1" si="11"/>
        <v>—</v>
      </c>
      <c r="K131" s="84"/>
    </row>
    <row r="132" spans="1:11" ht="15" customHeight="1" x14ac:dyDescent="0.25">
      <c r="A132" s="85"/>
      <c r="B132" s="41" t="str">
        <f>IF(A132="","",IFERROR(VLOOKUP(A132,DB_Customers!$A:$D,4,0),"❌ Account Not Found"))</f>
        <v/>
      </c>
      <c r="C132" s="86" t="str">
        <f>IF(A132="","",IFERROR(IF(SUMIF(DB_Savings!$C:$C,A132,DB_Savings!$F:$F)=0,VLOOKUP(A132,DB_Customers!$A:$I,9,0),VLOOKUP(A132,DB_Customers!$A:$N,14,0)),"❌ Acct Not Found"))</f>
        <v/>
      </c>
      <c r="D132" s="87" t="str">
        <f t="shared" ca="1" si="9"/>
        <v/>
      </c>
      <c r="E132" s="79"/>
      <c r="F132" s="88" t="str">
        <f t="shared" si="10"/>
        <v/>
      </c>
      <c r="G132" s="43" t="s">
        <v>139</v>
      </c>
      <c r="H132" s="81"/>
      <c r="I132" s="89" t="str">
        <f>IF(A132="","Pending",IF(H132="","⚠️ Enter Agent Code",IF(IFERROR(VLOOKUP(G132,DB_Agents!$B:$I,8,0),"")=H132,IF(AND(A132&lt;&gt;"",E132&lt;&gt;""),"Saved","Pending"),"🔒 BLOCKED — Wrong Code")))</f>
        <v>Pending</v>
      </c>
      <c r="J132" s="90" t="str">
        <f t="shared" ca="1" si="11"/>
        <v>—</v>
      </c>
      <c r="K132" s="91"/>
    </row>
    <row r="133" spans="1:11" ht="15" customHeight="1" x14ac:dyDescent="0.25">
      <c r="A133" s="76"/>
      <c r="B133" s="37" t="str">
        <f>IF(A133="","",IFERROR(VLOOKUP(A133,DB_Customers!$A:$D,4,0),"❌ Account Not Found"))</f>
        <v/>
      </c>
      <c r="C133" s="77" t="str">
        <f>IF(A133="","",IFERROR(IF(SUMIF(DB_Savings!$C:$C,A133,DB_Savings!$F:$F)=0,VLOOKUP(A133,DB_Customers!$A:$I,9,0),VLOOKUP(A133,DB_Customers!$A:$N,14,0)),"❌ Acct Not Found"))</f>
        <v/>
      </c>
      <c r="D133" s="78" t="str">
        <f t="shared" ca="1" si="9"/>
        <v/>
      </c>
      <c r="E133" s="79"/>
      <c r="F133" s="80" t="str">
        <f t="shared" si="10"/>
        <v/>
      </c>
      <c r="G133" s="39" t="s">
        <v>139</v>
      </c>
      <c r="H133" s="81"/>
      <c r="I133" s="82" t="str">
        <f>IF(A133="","Pending",IF(H133="","⚠️ Enter Agent Code",IF(IFERROR(VLOOKUP(G133,DB_Agents!$B:$I,8,0),"")=H133,IF(AND(A133&lt;&gt;"",E133&lt;&gt;""),"Saved","Pending"),"🔒 BLOCKED — Wrong Code")))</f>
        <v>Pending</v>
      </c>
      <c r="J133" s="83" t="str">
        <f t="shared" ca="1" si="11"/>
        <v>—</v>
      </c>
      <c r="K133" s="84"/>
    </row>
    <row r="134" spans="1:11" ht="15" customHeight="1" x14ac:dyDescent="0.25">
      <c r="A134" s="85"/>
      <c r="B134" s="41" t="str">
        <f>IF(A134="","",IFERROR(VLOOKUP(A134,DB_Customers!$A:$D,4,0),"❌ Account Not Found"))</f>
        <v/>
      </c>
      <c r="C134" s="86" t="str">
        <f>IF(A134="","",IFERROR(IF(SUMIF(DB_Savings!$C:$C,A134,DB_Savings!$F:$F)=0,VLOOKUP(A134,DB_Customers!$A:$I,9,0),VLOOKUP(A134,DB_Customers!$A:$N,14,0)),"❌ Acct Not Found"))</f>
        <v/>
      </c>
      <c r="D134" s="87" t="str">
        <f t="shared" ca="1" si="9"/>
        <v/>
      </c>
      <c r="E134" s="79"/>
      <c r="F134" s="88" t="str">
        <f t="shared" si="10"/>
        <v/>
      </c>
      <c r="G134" s="43" t="s">
        <v>139</v>
      </c>
      <c r="H134" s="81"/>
      <c r="I134" s="89" t="str">
        <f>IF(A134="","Pending",IF(H134="","⚠️ Enter Agent Code",IF(IFERROR(VLOOKUP(G134,DB_Agents!$B:$I,8,0),"")=H134,IF(AND(A134&lt;&gt;"",E134&lt;&gt;""),"Saved","Pending"),"🔒 BLOCKED — Wrong Code")))</f>
        <v>Pending</v>
      </c>
      <c r="J134" s="90" t="str">
        <f t="shared" ca="1" si="11"/>
        <v>—</v>
      </c>
      <c r="K134" s="91"/>
    </row>
    <row r="135" spans="1:11" ht="15" customHeight="1" x14ac:dyDescent="0.25">
      <c r="A135" s="76"/>
      <c r="B135" s="37" t="str">
        <f>IF(A135="","",IFERROR(VLOOKUP(A135,DB_Customers!$A:$D,4,0),"❌ Account Not Found"))</f>
        <v/>
      </c>
      <c r="C135" s="77" t="str">
        <f>IF(A135="","",IFERROR(IF(SUMIF(DB_Savings!$C:$C,A135,DB_Savings!$F:$F)=0,VLOOKUP(A135,DB_Customers!$A:$I,9,0),VLOOKUP(A135,DB_Customers!$A:$N,14,0)),"❌ Acct Not Found"))</f>
        <v/>
      </c>
      <c r="D135" s="78" t="str">
        <f t="shared" ca="1" si="9"/>
        <v/>
      </c>
      <c r="E135" s="79"/>
      <c r="F135" s="80" t="str">
        <f t="shared" si="10"/>
        <v/>
      </c>
      <c r="G135" s="39" t="s">
        <v>139</v>
      </c>
      <c r="H135" s="81"/>
      <c r="I135" s="82" t="str">
        <f>IF(A135="","Pending",IF(H135="","⚠️ Enter Agent Code",IF(IFERROR(VLOOKUP(G135,DB_Agents!$B:$I,8,0),"")=H135,IF(AND(A135&lt;&gt;"",E135&lt;&gt;""),"Saved","Pending"),"🔒 BLOCKED — Wrong Code")))</f>
        <v>Pending</v>
      </c>
      <c r="J135" s="83" t="str">
        <f t="shared" ca="1" si="11"/>
        <v>—</v>
      </c>
      <c r="K135" s="84"/>
    </row>
    <row r="136" spans="1:11" ht="15" customHeight="1" x14ac:dyDescent="0.25">
      <c r="A136" s="85"/>
      <c r="B136" s="41" t="str">
        <f>IF(A136="","",IFERROR(VLOOKUP(A136,DB_Customers!$A:$D,4,0),"❌ Account Not Found"))</f>
        <v/>
      </c>
      <c r="C136" s="86" t="str">
        <f>IF(A136="","",IFERROR(IF(SUMIF(DB_Savings!$C:$C,A136,DB_Savings!$F:$F)=0,VLOOKUP(A136,DB_Customers!$A:$I,9,0),VLOOKUP(A136,DB_Customers!$A:$N,14,0)),"❌ Acct Not Found"))</f>
        <v/>
      </c>
      <c r="D136" s="87" t="str">
        <f t="shared" ca="1" si="9"/>
        <v/>
      </c>
      <c r="E136" s="79"/>
      <c r="F136" s="88" t="str">
        <f t="shared" si="10"/>
        <v/>
      </c>
      <c r="G136" s="43" t="s">
        <v>139</v>
      </c>
      <c r="H136" s="81"/>
      <c r="I136" s="89" t="str">
        <f>IF(A136="","Pending",IF(H136="","⚠️ Enter Agent Code",IF(IFERROR(VLOOKUP(G136,DB_Agents!$B:$I,8,0),"")=H136,IF(AND(A136&lt;&gt;"",E136&lt;&gt;""),"Saved","Pending"),"🔒 BLOCKED — Wrong Code")))</f>
        <v>Pending</v>
      </c>
      <c r="J136" s="90" t="str">
        <f t="shared" ca="1" si="11"/>
        <v>—</v>
      </c>
      <c r="K136" s="91"/>
    </row>
    <row r="137" spans="1:11" ht="15" customHeight="1" x14ac:dyDescent="0.25">
      <c r="A137" s="76"/>
      <c r="B137" s="37" t="str">
        <f>IF(A137="","",IFERROR(VLOOKUP(A137,DB_Customers!$A:$D,4,0),"❌ Account Not Found"))</f>
        <v/>
      </c>
      <c r="C137" s="77" t="str">
        <f>IF(A137="","",IFERROR(IF(SUMIF(DB_Savings!$C:$C,A137,DB_Savings!$F:$F)=0,VLOOKUP(A137,DB_Customers!$A:$I,9,0),VLOOKUP(A137,DB_Customers!$A:$N,14,0)),"❌ Acct Not Found"))</f>
        <v/>
      </c>
      <c r="D137" s="78" t="str">
        <f t="shared" ref="D137:D168" ca="1" si="12">IF(A137="","",TODAY())</f>
        <v/>
      </c>
      <c r="E137" s="79"/>
      <c r="F137" s="80" t="str">
        <f t="shared" ref="F137:F168" si="13">IF(OR(A137="",E137=""),"",IF(C137="","",C137+E137))</f>
        <v/>
      </c>
      <c r="G137" s="39" t="s">
        <v>139</v>
      </c>
      <c r="H137" s="81"/>
      <c r="I137" s="82" t="str">
        <f>IF(A137="","Pending",IF(H137="","⚠️ Enter Agent Code",IF(IFERROR(VLOOKUP(G137,DB_Agents!$B:$I,8,0),"")=H137,IF(AND(A137&lt;&gt;"",E137&lt;&gt;""),"Saved","Pending"),"🔒 BLOCKED — Wrong Code")))</f>
        <v>Pending</v>
      </c>
      <c r="J137" s="83" t="str">
        <f t="shared" ref="J137:J168" ca="1" si="14">IF(I137="Saved",TEXT(TODAY(),"YYYY-MM-DD")&amp;" Auto","—")</f>
        <v>—</v>
      </c>
      <c r="K137" s="84"/>
    </row>
    <row r="138" spans="1:11" ht="15" customHeight="1" x14ac:dyDescent="0.25">
      <c r="A138" s="85"/>
      <c r="B138" s="41" t="str">
        <f>IF(A138="","",IFERROR(VLOOKUP(A138,DB_Customers!$A:$D,4,0),"❌ Account Not Found"))</f>
        <v/>
      </c>
      <c r="C138" s="86" t="str">
        <f>IF(A138="","",IFERROR(IF(SUMIF(DB_Savings!$C:$C,A138,DB_Savings!$F:$F)=0,VLOOKUP(A138,DB_Customers!$A:$I,9,0),VLOOKUP(A138,DB_Customers!$A:$N,14,0)),"❌ Acct Not Found"))</f>
        <v/>
      </c>
      <c r="D138" s="87" t="str">
        <f t="shared" ca="1" si="12"/>
        <v/>
      </c>
      <c r="E138" s="79"/>
      <c r="F138" s="88" t="str">
        <f t="shared" si="13"/>
        <v/>
      </c>
      <c r="G138" s="43" t="s">
        <v>139</v>
      </c>
      <c r="H138" s="81"/>
      <c r="I138" s="89" t="str">
        <f>IF(A138="","Pending",IF(H138="","⚠️ Enter Agent Code",IF(IFERROR(VLOOKUP(G138,DB_Agents!$B:$I,8,0),"")=H138,IF(AND(A138&lt;&gt;"",E138&lt;&gt;""),"Saved","Pending"),"🔒 BLOCKED — Wrong Code")))</f>
        <v>Pending</v>
      </c>
      <c r="J138" s="90" t="str">
        <f t="shared" ca="1" si="14"/>
        <v>—</v>
      </c>
      <c r="K138" s="91"/>
    </row>
    <row r="139" spans="1:11" ht="15" customHeight="1" x14ac:dyDescent="0.25">
      <c r="A139" s="76"/>
      <c r="B139" s="37" t="str">
        <f>IF(A139="","",IFERROR(VLOOKUP(A139,DB_Customers!$A:$D,4,0),"❌ Account Not Found"))</f>
        <v/>
      </c>
      <c r="C139" s="77" t="str">
        <f>IF(A139="","",IFERROR(IF(SUMIF(DB_Savings!$C:$C,A139,DB_Savings!$F:$F)=0,VLOOKUP(A139,DB_Customers!$A:$I,9,0),VLOOKUP(A139,DB_Customers!$A:$N,14,0)),"❌ Acct Not Found"))</f>
        <v/>
      </c>
      <c r="D139" s="78" t="str">
        <f t="shared" ca="1" si="12"/>
        <v/>
      </c>
      <c r="E139" s="79"/>
      <c r="F139" s="80" t="str">
        <f t="shared" si="13"/>
        <v/>
      </c>
      <c r="G139" s="39" t="s">
        <v>139</v>
      </c>
      <c r="H139" s="81"/>
      <c r="I139" s="82" t="str">
        <f>IF(A139="","Pending",IF(H139="","⚠️ Enter Agent Code",IF(IFERROR(VLOOKUP(G139,DB_Agents!$B:$I,8,0),"")=H139,IF(AND(A139&lt;&gt;"",E139&lt;&gt;""),"Saved","Pending"),"🔒 BLOCKED — Wrong Code")))</f>
        <v>Pending</v>
      </c>
      <c r="J139" s="83" t="str">
        <f t="shared" ca="1" si="14"/>
        <v>—</v>
      </c>
      <c r="K139" s="84"/>
    </row>
    <row r="140" spans="1:11" ht="15" customHeight="1" x14ac:dyDescent="0.25">
      <c r="A140" s="85"/>
      <c r="B140" s="41" t="str">
        <f>IF(A140="","",IFERROR(VLOOKUP(A140,DB_Customers!$A:$D,4,0),"❌ Account Not Found"))</f>
        <v/>
      </c>
      <c r="C140" s="86" t="str">
        <f>IF(A140="","",IFERROR(IF(SUMIF(DB_Savings!$C:$C,A140,DB_Savings!$F:$F)=0,VLOOKUP(A140,DB_Customers!$A:$I,9,0),VLOOKUP(A140,DB_Customers!$A:$N,14,0)),"❌ Acct Not Found"))</f>
        <v/>
      </c>
      <c r="D140" s="87" t="str">
        <f t="shared" ca="1" si="12"/>
        <v/>
      </c>
      <c r="E140" s="79"/>
      <c r="F140" s="88" t="str">
        <f t="shared" si="13"/>
        <v/>
      </c>
      <c r="G140" s="43" t="s">
        <v>139</v>
      </c>
      <c r="H140" s="81"/>
      <c r="I140" s="89" t="str">
        <f>IF(A140="","Pending",IF(H140="","⚠️ Enter Agent Code",IF(IFERROR(VLOOKUP(G140,DB_Agents!$B:$I,8,0),"")=H140,IF(AND(A140&lt;&gt;"",E140&lt;&gt;""),"Saved","Pending"),"🔒 BLOCKED — Wrong Code")))</f>
        <v>Pending</v>
      </c>
      <c r="J140" s="90" t="str">
        <f t="shared" ca="1" si="14"/>
        <v>—</v>
      </c>
      <c r="K140" s="91"/>
    </row>
    <row r="141" spans="1:11" ht="15" customHeight="1" x14ac:dyDescent="0.25">
      <c r="A141" s="76"/>
      <c r="B141" s="37" t="str">
        <f>IF(A141="","",IFERROR(VLOOKUP(A141,DB_Customers!$A:$D,4,0),"❌ Account Not Found"))</f>
        <v/>
      </c>
      <c r="C141" s="77" t="str">
        <f>IF(A141="","",IFERROR(IF(SUMIF(DB_Savings!$C:$C,A141,DB_Savings!$F:$F)=0,VLOOKUP(A141,DB_Customers!$A:$I,9,0),VLOOKUP(A141,DB_Customers!$A:$N,14,0)),"❌ Acct Not Found"))</f>
        <v/>
      </c>
      <c r="D141" s="78" t="str">
        <f t="shared" ca="1" si="12"/>
        <v/>
      </c>
      <c r="E141" s="79"/>
      <c r="F141" s="80" t="str">
        <f t="shared" si="13"/>
        <v/>
      </c>
      <c r="G141" s="39" t="s">
        <v>139</v>
      </c>
      <c r="H141" s="81"/>
      <c r="I141" s="82" t="str">
        <f>IF(A141="","Pending",IF(H141="","⚠️ Enter Agent Code",IF(IFERROR(VLOOKUP(G141,DB_Agents!$B:$I,8,0),"")=H141,IF(AND(A141&lt;&gt;"",E141&lt;&gt;""),"Saved","Pending"),"🔒 BLOCKED — Wrong Code")))</f>
        <v>Pending</v>
      </c>
      <c r="J141" s="83" t="str">
        <f t="shared" ca="1" si="14"/>
        <v>—</v>
      </c>
      <c r="K141" s="84"/>
    </row>
    <row r="142" spans="1:11" ht="15" customHeight="1" x14ac:dyDescent="0.25">
      <c r="A142" s="85"/>
      <c r="B142" s="41" t="str">
        <f>IF(A142="","",IFERROR(VLOOKUP(A142,DB_Customers!$A:$D,4,0),"❌ Account Not Found"))</f>
        <v/>
      </c>
      <c r="C142" s="86" t="str">
        <f>IF(A142="","",IFERROR(IF(SUMIF(DB_Savings!$C:$C,A142,DB_Savings!$F:$F)=0,VLOOKUP(A142,DB_Customers!$A:$I,9,0),VLOOKUP(A142,DB_Customers!$A:$N,14,0)),"❌ Acct Not Found"))</f>
        <v/>
      </c>
      <c r="D142" s="87" t="str">
        <f t="shared" ca="1" si="12"/>
        <v/>
      </c>
      <c r="E142" s="79"/>
      <c r="F142" s="88" t="str">
        <f t="shared" si="13"/>
        <v/>
      </c>
      <c r="G142" s="43" t="s">
        <v>139</v>
      </c>
      <c r="H142" s="81"/>
      <c r="I142" s="89" t="str">
        <f>IF(A142="","Pending",IF(H142="","⚠️ Enter Agent Code",IF(IFERROR(VLOOKUP(G142,DB_Agents!$B:$I,8,0),"")=H142,IF(AND(A142&lt;&gt;"",E142&lt;&gt;""),"Saved","Pending"),"🔒 BLOCKED — Wrong Code")))</f>
        <v>Pending</v>
      </c>
      <c r="J142" s="90" t="str">
        <f t="shared" ca="1" si="14"/>
        <v>—</v>
      </c>
      <c r="K142" s="91"/>
    </row>
    <row r="143" spans="1:11" ht="15" customHeight="1" x14ac:dyDescent="0.25">
      <c r="A143" s="76"/>
      <c r="B143" s="37" t="str">
        <f>IF(A143="","",IFERROR(VLOOKUP(A143,DB_Customers!$A:$D,4,0),"❌ Account Not Found"))</f>
        <v/>
      </c>
      <c r="C143" s="77" t="str">
        <f>IF(A143="","",IFERROR(IF(SUMIF(DB_Savings!$C:$C,A143,DB_Savings!$F:$F)=0,VLOOKUP(A143,DB_Customers!$A:$I,9,0),VLOOKUP(A143,DB_Customers!$A:$N,14,0)),"❌ Acct Not Found"))</f>
        <v/>
      </c>
      <c r="D143" s="78" t="str">
        <f t="shared" ca="1" si="12"/>
        <v/>
      </c>
      <c r="E143" s="79"/>
      <c r="F143" s="80" t="str">
        <f t="shared" si="13"/>
        <v/>
      </c>
      <c r="G143" s="39" t="s">
        <v>139</v>
      </c>
      <c r="H143" s="81"/>
      <c r="I143" s="82" t="str">
        <f>IF(A143="","Pending",IF(H143="","⚠️ Enter Agent Code",IF(IFERROR(VLOOKUP(G143,DB_Agents!$B:$I,8,0),"")=H143,IF(AND(A143&lt;&gt;"",E143&lt;&gt;""),"Saved","Pending"),"🔒 BLOCKED — Wrong Code")))</f>
        <v>Pending</v>
      </c>
      <c r="J143" s="83" t="str">
        <f t="shared" ca="1" si="14"/>
        <v>—</v>
      </c>
      <c r="K143" s="84"/>
    </row>
    <row r="144" spans="1:11" ht="15" customHeight="1" x14ac:dyDescent="0.25">
      <c r="A144" s="85"/>
      <c r="B144" s="41" t="str">
        <f>IF(A144="","",IFERROR(VLOOKUP(A144,DB_Customers!$A:$D,4,0),"❌ Account Not Found"))</f>
        <v/>
      </c>
      <c r="C144" s="86" t="str">
        <f>IF(A144="","",IFERROR(IF(SUMIF(DB_Savings!$C:$C,A144,DB_Savings!$F:$F)=0,VLOOKUP(A144,DB_Customers!$A:$I,9,0),VLOOKUP(A144,DB_Customers!$A:$N,14,0)),"❌ Acct Not Found"))</f>
        <v/>
      </c>
      <c r="D144" s="87" t="str">
        <f t="shared" ca="1" si="12"/>
        <v/>
      </c>
      <c r="E144" s="79"/>
      <c r="F144" s="88" t="str">
        <f t="shared" si="13"/>
        <v/>
      </c>
      <c r="G144" s="43" t="s">
        <v>139</v>
      </c>
      <c r="H144" s="81"/>
      <c r="I144" s="89" t="str">
        <f>IF(A144="","Pending",IF(H144="","⚠️ Enter Agent Code",IF(IFERROR(VLOOKUP(G144,DB_Agents!$B:$I,8,0),"")=H144,IF(AND(A144&lt;&gt;"",E144&lt;&gt;""),"Saved","Pending"),"🔒 BLOCKED — Wrong Code")))</f>
        <v>Pending</v>
      </c>
      <c r="J144" s="90" t="str">
        <f t="shared" ca="1" si="14"/>
        <v>—</v>
      </c>
      <c r="K144" s="91"/>
    </row>
    <row r="145" spans="1:11" ht="15" customHeight="1" x14ac:dyDescent="0.25">
      <c r="A145" s="76"/>
      <c r="B145" s="37" t="str">
        <f>IF(A145="","",IFERROR(VLOOKUP(A145,DB_Customers!$A:$D,4,0),"❌ Account Not Found"))</f>
        <v/>
      </c>
      <c r="C145" s="77" t="str">
        <f>IF(A145="","",IFERROR(IF(SUMIF(DB_Savings!$C:$C,A145,DB_Savings!$F:$F)=0,VLOOKUP(A145,DB_Customers!$A:$I,9,0),VLOOKUP(A145,DB_Customers!$A:$N,14,0)),"❌ Acct Not Found"))</f>
        <v/>
      </c>
      <c r="D145" s="78" t="str">
        <f t="shared" ca="1" si="12"/>
        <v/>
      </c>
      <c r="E145" s="79"/>
      <c r="F145" s="80" t="str">
        <f t="shared" si="13"/>
        <v/>
      </c>
      <c r="G145" s="39" t="s">
        <v>139</v>
      </c>
      <c r="H145" s="81"/>
      <c r="I145" s="82" t="str">
        <f>IF(A145="","Pending",IF(H145="","⚠️ Enter Agent Code",IF(IFERROR(VLOOKUP(G145,DB_Agents!$B:$I,8,0),"")=H145,IF(AND(A145&lt;&gt;"",E145&lt;&gt;""),"Saved","Pending"),"🔒 BLOCKED — Wrong Code")))</f>
        <v>Pending</v>
      </c>
      <c r="J145" s="83" t="str">
        <f t="shared" ca="1" si="14"/>
        <v>—</v>
      </c>
      <c r="K145" s="84"/>
    </row>
    <row r="146" spans="1:11" ht="15" customHeight="1" x14ac:dyDescent="0.25">
      <c r="A146" s="85"/>
      <c r="B146" s="41" t="str">
        <f>IF(A146="","",IFERROR(VLOOKUP(A146,DB_Customers!$A:$D,4,0),"❌ Account Not Found"))</f>
        <v/>
      </c>
      <c r="C146" s="86" t="str">
        <f>IF(A146="","",IFERROR(IF(SUMIF(DB_Savings!$C:$C,A146,DB_Savings!$F:$F)=0,VLOOKUP(A146,DB_Customers!$A:$I,9,0),VLOOKUP(A146,DB_Customers!$A:$N,14,0)),"❌ Acct Not Found"))</f>
        <v/>
      </c>
      <c r="D146" s="87" t="str">
        <f t="shared" ca="1" si="12"/>
        <v/>
      </c>
      <c r="E146" s="79"/>
      <c r="F146" s="88" t="str">
        <f t="shared" si="13"/>
        <v/>
      </c>
      <c r="G146" s="43" t="s">
        <v>139</v>
      </c>
      <c r="H146" s="81"/>
      <c r="I146" s="89" t="str">
        <f>IF(A146="","Pending",IF(H146="","⚠️ Enter Agent Code",IF(IFERROR(VLOOKUP(G146,DB_Agents!$B:$I,8,0),"")=H146,IF(AND(A146&lt;&gt;"",E146&lt;&gt;""),"Saved","Pending"),"🔒 BLOCKED — Wrong Code")))</f>
        <v>Pending</v>
      </c>
      <c r="J146" s="90" t="str">
        <f t="shared" ca="1" si="14"/>
        <v>—</v>
      </c>
      <c r="K146" s="91"/>
    </row>
    <row r="147" spans="1:11" ht="15" customHeight="1" x14ac:dyDescent="0.25">
      <c r="A147" s="76"/>
      <c r="B147" s="37" t="str">
        <f>IF(A147="","",IFERROR(VLOOKUP(A147,DB_Customers!$A:$D,4,0),"❌ Account Not Found"))</f>
        <v/>
      </c>
      <c r="C147" s="77" t="str">
        <f>IF(A147="","",IFERROR(IF(SUMIF(DB_Savings!$C:$C,A147,DB_Savings!$F:$F)=0,VLOOKUP(A147,DB_Customers!$A:$I,9,0),VLOOKUP(A147,DB_Customers!$A:$N,14,0)),"❌ Acct Not Found"))</f>
        <v/>
      </c>
      <c r="D147" s="78" t="str">
        <f t="shared" ca="1" si="12"/>
        <v/>
      </c>
      <c r="E147" s="79"/>
      <c r="F147" s="80" t="str">
        <f t="shared" si="13"/>
        <v/>
      </c>
      <c r="G147" s="39" t="s">
        <v>139</v>
      </c>
      <c r="H147" s="81"/>
      <c r="I147" s="82" t="str">
        <f>IF(A147="","Pending",IF(H147="","⚠️ Enter Agent Code",IF(IFERROR(VLOOKUP(G147,DB_Agents!$B:$I,8,0),"")=H147,IF(AND(A147&lt;&gt;"",E147&lt;&gt;""),"Saved","Pending"),"🔒 BLOCKED — Wrong Code")))</f>
        <v>Pending</v>
      </c>
      <c r="J147" s="83" t="str">
        <f t="shared" ca="1" si="14"/>
        <v>—</v>
      </c>
      <c r="K147" s="84"/>
    </row>
    <row r="148" spans="1:11" ht="15" customHeight="1" x14ac:dyDescent="0.25">
      <c r="A148" s="85"/>
      <c r="B148" s="41" t="str">
        <f>IF(A148="","",IFERROR(VLOOKUP(A148,DB_Customers!$A:$D,4,0),"❌ Account Not Found"))</f>
        <v/>
      </c>
      <c r="C148" s="86" t="str">
        <f>IF(A148="","",IFERROR(IF(SUMIF(DB_Savings!$C:$C,A148,DB_Savings!$F:$F)=0,VLOOKUP(A148,DB_Customers!$A:$I,9,0),VLOOKUP(A148,DB_Customers!$A:$N,14,0)),"❌ Acct Not Found"))</f>
        <v/>
      </c>
      <c r="D148" s="87" t="str">
        <f t="shared" ca="1" si="12"/>
        <v/>
      </c>
      <c r="E148" s="79"/>
      <c r="F148" s="88" t="str">
        <f t="shared" si="13"/>
        <v/>
      </c>
      <c r="G148" s="43" t="s">
        <v>139</v>
      </c>
      <c r="H148" s="81"/>
      <c r="I148" s="89" t="str">
        <f>IF(A148="","Pending",IF(H148="","⚠️ Enter Agent Code",IF(IFERROR(VLOOKUP(G148,DB_Agents!$B:$I,8,0),"")=H148,IF(AND(A148&lt;&gt;"",E148&lt;&gt;""),"Saved","Pending"),"🔒 BLOCKED — Wrong Code")))</f>
        <v>Pending</v>
      </c>
      <c r="J148" s="90" t="str">
        <f t="shared" ca="1" si="14"/>
        <v>—</v>
      </c>
      <c r="K148" s="91"/>
    </row>
    <row r="149" spans="1:11" ht="15" customHeight="1" x14ac:dyDescent="0.25">
      <c r="A149" s="76"/>
      <c r="B149" s="37" t="str">
        <f>IF(A149="","",IFERROR(VLOOKUP(A149,DB_Customers!$A:$D,4,0),"❌ Account Not Found"))</f>
        <v/>
      </c>
      <c r="C149" s="77" t="str">
        <f>IF(A149="","",IFERROR(IF(SUMIF(DB_Savings!$C:$C,A149,DB_Savings!$F:$F)=0,VLOOKUP(A149,DB_Customers!$A:$I,9,0),VLOOKUP(A149,DB_Customers!$A:$N,14,0)),"❌ Acct Not Found"))</f>
        <v/>
      </c>
      <c r="D149" s="78" t="str">
        <f t="shared" ca="1" si="12"/>
        <v/>
      </c>
      <c r="E149" s="79"/>
      <c r="F149" s="80" t="str">
        <f t="shared" si="13"/>
        <v/>
      </c>
      <c r="G149" s="39" t="s">
        <v>139</v>
      </c>
      <c r="H149" s="81"/>
      <c r="I149" s="82" t="str">
        <f>IF(A149="","Pending",IF(H149="","⚠️ Enter Agent Code",IF(IFERROR(VLOOKUP(G149,DB_Agents!$B:$I,8,0),"")=H149,IF(AND(A149&lt;&gt;"",E149&lt;&gt;""),"Saved","Pending"),"🔒 BLOCKED — Wrong Code")))</f>
        <v>Pending</v>
      </c>
      <c r="J149" s="83" t="str">
        <f t="shared" ca="1" si="14"/>
        <v>—</v>
      </c>
      <c r="K149" s="84"/>
    </row>
    <row r="150" spans="1:11" ht="15" customHeight="1" x14ac:dyDescent="0.25">
      <c r="A150" s="85"/>
      <c r="B150" s="41" t="str">
        <f>IF(A150="","",IFERROR(VLOOKUP(A150,DB_Customers!$A:$D,4,0),"❌ Account Not Found"))</f>
        <v/>
      </c>
      <c r="C150" s="86" t="str">
        <f>IF(A150="","",IFERROR(IF(SUMIF(DB_Savings!$C:$C,A150,DB_Savings!$F:$F)=0,VLOOKUP(A150,DB_Customers!$A:$I,9,0),VLOOKUP(A150,DB_Customers!$A:$N,14,0)),"❌ Acct Not Found"))</f>
        <v/>
      </c>
      <c r="D150" s="87" t="str">
        <f t="shared" ca="1" si="12"/>
        <v/>
      </c>
      <c r="E150" s="79"/>
      <c r="F150" s="88" t="str">
        <f t="shared" si="13"/>
        <v/>
      </c>
      <c r="G150" s="43" t="s">
        <v>139</v>
      </c>
      <c r="H150" s="81"/>
      <c r="I150" s="89" t="str">
        <f>IF(A150="","Pending",IF(H150="","⚠️ Enter Agent Code",IF(IFERROR(VLOOKUP(G150,DB_Agents!$B:$I,8,0),"")=H150,IF(AND(A150&lt;&gt;"",E150&lt;&gt;""),"Saved","Pending"),"🔒 BLOCKED — Wrong Code")))</f>
        <v>Pending</v>
      </c>
      <c r="J150" s="90" t="str">
        <f t="shared" ca="1" si="14"/>
        <v>—</v>
      </c>
      <c r="K150" s="91"/>
    </row>
    <row r="151" spans="1:11" ht="15" customHeight="1" x14ac:dyDescent="0.25">
      <c r="A151" s="76"/>
      <c r="B151" s="37" t="str">
        <f>IF(A151="","",IFERROR(VLOOKUP(A151,DB_Customers!$A:$D,4,0),"❌ Account Not Found"))</f>
        <v/>
      </c>
      <c r="C151" s="77" t="str">
        <f>IF(A151="","",IFERROR(IF(SUMIF(DB_Savings!$C:$C,A151,DB_Savings!$F:$F)=0,VLOOKUP(A151,DB_Customers!$A:$I,9,0),VLOOKUP(A151,DB_Customers!$A:$N,14,0)),"❌ Acct Not Found"))</f>
        <v/>
      </c>
      <c r="D151" s="78" t="str">
        <f t="shared" ca="1" si="12"/>
        <v/>
      </c>
      <c r="E151" s="79"/>
      <c r="F151" s="80" t="str">
        <f t="shared" si="13"/>
        <v/>
      </c>
      <c r="G151" s="39" t="s">
        <v>139</v>
      </c>
      <c r="H151" s="81"/>
      <c r="I151" s="82" t="str">
        <f>IF(A151="","Pending",IF(H151="","⚠️ Enter Agent Code",IF(IFERROR(VLOOKUP(G151,DB_Agents!$B:$I,8,0),"")=H151,IF(AND(A151&lt;&gt;"",E151&lt;&gt;""),"Saved","Pending"),"🔒 BLOCKED — Wrong Code")))</f>
        <v>Pending</v>
      </c>
      <c r="J151" s="83" t="str">
        <f t="shared" ca="1" si="14"/>
        <v>—</v>
      </c>
      <c r="K151" s="84"/>
    </row>
    <row r="152" spans="1:11" ht="15" customHeight="1" x14ac:dyDescent="0.25">
      <c r="A152" s="85"/>
      <c r="B152" s="41" t="str">
        <f>IF(A152="","",IFERROR(VLOOKUP(A152,DB_Customers!$A:$D,4,0),"❌ Account Not Found"))</f>
        <v/>
      </c>
      <c r="C152" s="86" t="str">
        <f>IF(A152="","",IFERROR(IF(SUMIF(DB_Savings!$C:$C,A152,DB_Savings!$F:$F)=0,VLOOKUP(A152,DB_Customers!$A:$I,9,0),VLOOKUP(A152,DB_Customers!$A:$N,14,0)),"❌ Acct Not Found"))</f>
        <v/>
      </c>
      <c r="D152" s="87" t="str">
        <f t="shared" ca="1" si="12"/>
        <v/>
      </c>
      <c r="E152" s="79"/>
      <c r="F152" s="88" t="str">
        <f t="shared" si="13"/>
        <v/>
      </c>
      <c r="G152" s="43" t="s">
        <v>139</v>
      </c>
      <c r="H152" s="81"/>
      <c r="I152" s="89" t="str">
        <f>IF(A152="","Pending",IF(H152="","⚠️ Enter Agent Code",IF(IFERROR(VLOOKUP(G152,DB_Agents!$B:$I,8,0),"")=H152,IF(AND(A152&lt;&gt;"",E152&lt;&gt;""),"Saved","Pending"),"🔒 BLOCKED — Wrong Code")))</f>
        <v>Pending</v>
      </c>
      <c r="J152" s="90" t="str">
        <f t="shared" ca="1" si="14"/>
        <v>—</v>
      </c>
      <c r="K152" s="91"/>
    </row>
    <row r="153" spans="1:11" ht="15" customHeight="1" x14ac:dyDescent="0.25">
      <c r="A153" s="76"/>
      <c r="B153" s="37" t="str">
        <f>IF(A153="","",IFERROR(VLOOKUP(A153,DB_Customers!$A:$D,4,0),"❌ Account Not Found"))</f>
        <v/>
      </c>
      <c r="C153" s="77" t="str">
        <f>IF(A153="","",IFERROR(IF(SUMIF(DB_Savings!$C:$C,A153,DB_Savings!$F:$F)=0,VLOOKUP(A153,DB_Customers!$A:$I,9,0),VLOOKUP(A153,DB_Customers!$A:$N,14,0)),"❌ Acct Not Found"))</f>
        <v/>
      </c>
      <c r="D153" s="78" t="str">
        <f t="shared" ca="1" si="12"/>
        <v/>
      </c>
      <c r="E153" s="79"/>
      <c r="F153" s="80" t="str">
        <f t="shared" si="13"/>
        <v/>
      </c>
      <c r="G153" s="39" t="s">
        <v>139</v>
      </c>
      <c r="H153" s="81"/>
      <c r="I153" s="82" t="str">
        <f>IF(A153="","Pending",IF(H153="","⚠️ Enter Agent Code",IF(IFERROR(VLOOKUP(G153,DB_Agents!$B:$I,8,0),"")=H153,IF(AND(A153&lt;&gt;"",E153&lt;&gt;""),"Saved","Pending"),"🔒 BLOCKED — Wrong Code")))</f>
        <v>Pending</v>
      </c>
      <c r="J153" s="83" t="str">
        <f t="shared" ca="1" si="14"/>
        <v>—</v>
      </c>
      <c r="K153" s="84"/>
    </row>
    <row r="154" spans="1:11" ht="15" customHeight="1" x14ac:dyDescent="0.25">
      <c r="A154" s="85"/>
      <c r="B154" s="41" t="str">
        <f>IF(A154="","",IFERROR(VLOOKUP(A154,DB_Customers!$A:$D,4,0),"❌ Account Not Found"))</f>
        <v/>
      </c>
      <c r="C154" s="86" t="str">
        <f>IF(A154="","",IFERROR(IF(SUMIF(DB_Savings!$C:$C,A154,DB_Savings!$F:$F)=0,VLOOKUP(A154,DB_Customers!$A:$I,9,0),VLOOKUP(A154,DB_Customers!$A:$N,14,0)),"❌ Acct Not Found"))</f>
        <v/>
      </c>
      <c r="D154" s="87" t="str">
        <f t="shared" ca="1" si="12"/>
        <v/>
      </c>
      <c r="E154" s="79"/>
      <c r="F154" s="88" t="str">
        <f t="shared" si="13"/>
        <v/>
      </c>
      <c r="G154" s="43" t="s">
        <v>139</v>
      </c>
      <c r="H154" s="81"/>
      <c r="I154" s="89" t="str">
        <f>IF(A154="","Pending",IF(H154="","⚠️ Enter Agent Code",IF(IFERROR(VLOOKUP(G154,DB_Agents!$B:$I,8,0),"")=H154,IF(AND(A154&lt;&gt;"",E154&lt;&gt;""),"Saved","Pending"),"🔒 BLOCKED — Wrong Code")))</f>
        <v>Pending</v>
      </c>
      <c r="J154" s="90" t="str">
        <f t="shared" ca="1" si="14"/>
        <v>—</v>
      </c>
      <c r="K154" s="91"/>
    </row>
    <row r="155" spans="1:11" ht="15" customHeight="1" x14ac:dyDescent="0.25">
      <c r="A155" s="76"/>
      <c r="B155" s="37" t="str">
        <f>IF(A155="","",IFERROR(VLOOKUP(A155,DB_Customers!$A:$D,4,0),"❌ Account Not Found"))</f>
        <v/>
      </c>
      <c r="C155" s="77" t="str">
        <f>IF(A155="","",IFERROR(IF(SUMIF(DB_Savings!$C:$C,A155,DB_Savings!$F:$F)=0,VLOOKUP(A155,DB_Customers!$A:$I,9,0),VLOOKUP(A155,DB_Customers!$A:$N,14,0)),"❌ Acct Not Found"))</f>
        <v/>
      </c>
      <c r="D155" s="78" t="str">
        <f t="shared" ca="1" si="12"/>
        <v/>
      </c>
      <c r="E155" s="79"/>
      <c r="F155" s="80" t="str">
        <f t="shared" si="13"/>
        <v/>
      </c>
      <c r="G155" s="39" t="s">
        <v>139</v>
      </c>
      <c r="H155" s="81"/>
      <c r="I155" s="82" t="str">
        <f>IF(A155="","Pending",IF(H155="","⚠️ Enter Agent Code",IF(IFERROR(VLOOKUP(G155,DB_Agents!$B:$I,8,0),"")=H155,IF(AND(A155&lt;&gt;"",E155&lt;&gt;""),"Saved","Pending"),"🔒 BLOCKED — Wrong Code")))</f>
        <v>Pending</v>
      </c>
      <c r="J155" s="83" t="str">
        <f t="shared" ca="1" si="14"/>
        <v>—</v>
      </c>
      <c r="K155" s="84"/>
    </row>
    <row r="156" spans="1:11" ht="15" customHeight="1" x14ac:dyDescent="0.25">
      <c r="A156" s="85"/>
      <c r="B156" s="41" t="str">
        <f>IF(A156="","",IFERROR(VLOOKUP(A156,DB_Customers!$A:$D,4,0),"❌ Account Not Found"))</f>
        <v/>
      </c>
      <c r="C156" s="86" t="str">
        <f>IF(A156="","",IFERROR(IF(SUMIF(DB_Savings!$C:$C,A156,DB_Savings!$F:$F)=0,VLOOKUP(A156,DB_Customers!$A:$I,9,0),VLOOKUP(A156,DB_Customers!$A:$N,14,0)),"❌ Acct Not Found"))</f>
        <v/>
      </c>
      <c r="D156" s="87" t="str">
        <f t="shared" ca="1" si="12"/>
        <v/>
      </c>
      <c r="E156" s="79"/>
      <c r="F156" s="88" t="str">
        <f t="shared" si="13"/>
        <v/>
      </c>
      <c r="G156" s="43" t="s">
        <v>139</v>
      </c>
      <c r="H156" s="81"/>
      <c r="I156" s="89" t="str">
        <f>IF(A156="","Pending",IF(H156="","⚠️ Enter Agent Code",IF(IFERROR(VLOOKUP(G156,DB_Agents!$B:$I,8,0),"")=H156,IF(AND(A156&lt;&gt;"",E156&lt;&gt;""),"Saved","Pending"),"🔒 BLOCKED — Wrong Code")))</f>
        <v>Pending</v>
      </c>
      <c r="J156" s="90" t="str">
        <f t="shared" ca="1" si="14"/>
        <v>—</v>
      </c>
      <c r="K156" s="91"/>
    </row>
    <row r="157" spans="1:11" ht="15" customHeight="1" x14ac:dyDescent="0.25">
      <c r="A157" s="76"/>
      <c r="B157" s="37" t="str">
        <f>IF(A157="","",IFERROR(VLOOKUP(A157,DB_Customers!$A:$D,4,0),"❌ Account Not Found"))</f>
        <v/>
      </c>
      <c r="C157" s="77" t="str">
        <f>IF(A157="","",IFERROR(IF(SUMIF(DB_Savings!$C:$C,A157,DB_Savings!$F:$F)=0,VLOOKUP(A157,DB_Customers!$A:$I,9,0),VLOOKUP(A157,DB_Customers!$A:$N,14,0)),"❌ Acct Not Found"))</f>
        <v/>
      </c>
      <c r="D157" s="78" t="str">
        <f t="shared" ca="1" si="12"/>
        <v/>
      </c>
      <c r="E157" s="79"/>
      <c r="F157" s="80" t="str">
        <f t="shared" si="13"/>
        <v/>
      </c>
      <c r="G157" s="39" t="s">
        <v>139</v>
      </c>
      <c r="H157" s="81"/>
      <c r="I157" s="82" t="str">
        <f>IF(A157="","Pending",IF(H157="","⚠️ Enter Agent Code",IF(IFERROR(VLOOKUP(G157,DB_Agents!$B:$I,8,0),"")=H157,IF(AND(A157&lt;&gt;"",E157&lt;&gt;""),"Saved","Pending"),"🔒 BLOCKED — Wrong Code")))</f>
        <v>Pending</v>
      </c>
      <c r="J157" s="83" t="str">
        <f t="shared" ca="1" si="14"/>
        <v>—</v>
      </c>
      <c r="K157" s="84"/>
    </row>
    <row r="158" spans="1:11" ht="15" customHeight="1" x14ac:dyDescent="0.25">
      <c r="A158" s="85"/>
      <c r="B158" s="41" t="str">
        <f>IF(A158="","",IFERROR(VLOOKUP(A158,DB_Customers!$A:$D,4,0),"❌ Account Not Found"))</f>
        <v/>
      </c>
      <c r="C158" s="86" t="str">
        <f>IF(A158="","",IFERROR(IF(SUMIF(DB_Savings!$C:$C,A158,DB_Savings!$F:$F)=0,VLOOKUP(A158,DB_Customers!$A:$I,9,0),VLOOKUP(A158,DB_Customers!$A:$N,14,0)),"❌ Acct Not Found"))</f>
        <v/>
      </c>
      <c r="D158" s="87" t="str">
        <f t="shared" ca="1" si="12"/>
        <v/>
      </c>
      <c r="E158" s="79"/>
      <c r="F158" s="88" t="str">
        <f t="shared" si="13"/>
        <v/>
      </c>
      <c r="G158" s="43" t="s">
        <v>139</v>
      </c>
      <c r="H158" s="81"/>
      <c r="I158" s="89" t="str">
        <f>IF(A158="","Pending",IF(H158="","⚠️ Enter Agent Code",IF(IFERROR(VLOOKUP(G158,DB_Agents!$B:$I,8,0),"")=H158,IF(AND(A158&lt;&gt;"",E158&lt;&gt;""),"Saved","Pending"),"🔒 BLOCKED — Wrong Code")))</f>
        <v>Pending</v>
      </c>
      <c r="J158" s="90" t="str">
        <f t="shared" ca="1" si="14"/>
        <v>—</v>
      </c>
      <c r="K158" s="91"/>
    </row>
    <row r="159" spans="1:11" ht="15" customHeight="1" x14ac:dyDescent="0.25">
      <c r="A159" s="76"/>
      <c r="B159" s="37" t="str">
        <f>IF(A159="","",IFERROR(VLOOKUP(A159,DB_Customers!$A:$D,4,0),"❌ Account Not Found"))</f>
        <v/>
      </c>
      <c r="C159" s="77" t="str">
        <f>IF(A159="","",IFERROR(IF(SUMIF(DB_Savings!$C:$C,A159,DB_Savings!$F:$F)=0,VLOOKUP(A159,DB_Customers!$A:$I,9,0),VLOOKUP(A159,DB_Customers!$A:$N,14,0)),"❌ Acct Not Found"))</f>
        <v/>
      </c>
      <c r="D159" s="78" t="str">
        <f t="shared" ca="1" si="12"/>
        <v/>
      </c>
      <c r="E159" s="79"/>
      <c r="F159" s="80" t="str">
        <f t="shared" si="13"/>
        <v/>
      </c>
      <c r="G159" s="39" t="s">
        <v>139</v>
      </c>
      <c r="H159" s="81"/>
      <c r="I159" s="82" t="str">
        <f>IF(A159="","Pending",IF(H159="","⚠️ Enter Agent Code",IF(IFERROR(VLOOKUP(G159,DB_Agents!$B:$I,8,0),"")=H159,IF(AND(A159&lt;&gt;"",E159&lt;&gt;""),"Saved","Pending"),"🔒 BLOCKED — Wrong Code")))</f>
        <v>Pending</v>
      </c>
      <c r="J159" s="83" t="str">
        <f t="shared" ca="1" si="14"/>
        <v>—</v>
      </c>
      <c r="K159" s="84"/>
    </row>
    <row r="160" spans="1:11" ht="15" customHeight="1" x14ac:dyDescent="0.25">
      <c r="A160" s="85"/>
      <c r="B160" s="41" t="str">
        <f>IF(A160="","",IFERROR(VLOOKUP(A160,DB_Customers!$A:$D,4,0),"❌ Account Not Found"))</f>
        <v/>
      </c>
      <c r="C160" s="86" t="str">
        <f>IF(A160="","",IFERROR(IF(SUMIF(DB_Savings!$C:$C,A160,DB_Savings!$F:$F)=0,VLOOKUP(A160,DB_Customers!$A:$I,9,0),VLOOKUP(A160,DB_Customers!$A:$N,14,0)),"❌ Acct Not Found"))</f>
        <v/>
      </c>
      <c r="D160" s="87" t="str">
        <f t="shared" ca="1" si="12"/>
        <v/>
      </c>
      <c r="E160" s="79"/>
      <c r="F160" s="88" t="str">
        <f t="shared" si="13"/>
        <v/>
      </c>
      <c r="G160" s="43" t="s">
        <v>139</v>
      </c>
      <c r="H160" s="81"/>
      <c r="I160" s="89" t="str">
        <f>IF(A160="","Pending",IF(H160="","⚠️ Enter Agent Code",IF(IFERROR(VLOOKUP(G160,DB_Agents!$B:$I,8,0),"")=H160,IF(AND(A160&lt;&gt;"",E160&lt;&gt;""),"Saved","Pending"),"🔒 BLOCKED — Wrong Code")))</f>
        <v>Pending</v>
      </c>
      <c r="J160" s="90" t="str">
        <f t="shared" ca="1" si="14"/>
        <v>—</v>
      </c>
      <c r="K160" s="91"/>
    </row>
    <row r="161" spans="1:11" ht="15" customHeight="1" x14ac:dyDescent="0.25">
      <c r="A161" s="76"/>
      <c r="B161" s="37" t="str">
        <f>IF(A161="","",IFERROR(VLOOKUP(A161,DB_Customers!$A:$D,4,0),"❌ Account Not Found"))</f>
        <v/>
      </c>
      <c r="C161" s="77" t="str">
        <f>IF(A161="","",IFERROR(IF(SUMIF(DB_Savings!$C:$C,A161,DB_Savings!$F:$F)=0,VLOOKUP(A161,DB_Customers!$A:$I,9,0),VLOOKUP(A161,DB_Customers!$A:$N,14,0)),"❌ Acct Not Found"))</f>
        <v/>
      </c>
      <c r="D161" s="78" t="str">
        <f t="shared" ca="1" si="12"/>
        <v/>
      </c>
      <c r="E161" s="79"/>
      <c r="F161" s="80" t="str">
        <f t="shared" si="13"/>
        <v/>
      </c>
      <c r="G161" s="39" t="s">
        <v>139</v>
      </c>
      <c r="H161" s="81"/>
      <c r="I161" s="82" t="str">
        <f>IF(A161="","Pending",IF(H161="","⚠️ Enter Agent Code",IF(IFERROR(VLOOKUP(G161,DB_Agents!$B:$I,8,0),"")=H161,IF(AND(A161&lt;&gt;"",E161&lt;&gt;""),"Saved","Pending"),"🔒 BLOCKED — Wrong Code")))</f>
        <v>Pending</v>
      </c>
      <c r="J161" s="83" t="str">
        <f t="shared" ca="1" si="14"/>
        <v>—</v>
      </c>
      <c r="K161" s="84"/>
    </row>
    <row r="162" spans="1:11" ht="15" customHeight="1" x14ac:dyDescent="0.25">
      <c r="A162" s="85"/>
      <c r="B162" s="41" t="str">
        <f>IF(A162="","",IFERROR(VLOOKUP(A162,DB_Customers!$A:$D,4,0),"❌ Account Not Found"))</f>
        <v/>
      </c>
      <c r="C162" s="86" t="str">
        <f>IF(A162="","",IFERROR(IF(SUMIF(DB_Savings!$C:$C,A162,DB_Savings!$F:$F)=0,VLOOKUP(A162,DB_Customers!$A:$I,9,0),VLOOKUP(A162,DB_Customers!$A:$N,14,0)),"❌ Acct Not Found"))</f>
        <v/>
      </c>
      <c r="D162" s="87" t="str">
        <f t="shared" ca="1" si="12"/>
        <v/>
      </c>
      <c r="E162" s="79"/>
      <c r="F162" s="88" t="str">
        <f t="shared" si="13"/>
        <v/>
      </c>
      <c r="G162" s="43" t="s">
        <v>139</v>
      </c>
      <c r="H162" s="81"/>
      <c r="I162" s="89" t="str">
        <f>IF(A162="","Pending",IF(H162="","⚠️ Enter Agent Code",IF(IFERROR(VLOOKUP(G162,DB_Agents!$B:$I,8,0),"")=H162,IF(AND(A162&lt;&gt;"",E162&lt;&gt;""),"Saved","Pending"),"🔒 BLOCKED — Wrong Code")))</f>
        <v>Pending</v>
      </c>
      <c r="J162" s="90" t="str">
        <f t="shared" ca="1" si="14"/>
        <v>—</v>
      </c>
      <c r="K162" s="91"/>
    </row>
    <row r="163" spans="1:11" ht="15" customHeight="1" x14ac:dyDescent="0.25">
      <c r="A163" s="76"/>
      <c r="B163" s="37" t="str">
        <f>IF(A163="","",IFERROR(VLOOKUP(A163,DB_Customers!$A:$D,4,0),"❌ Account Not Found"))</f>
        <v/>
      </c>
      <c r="C163" s="77" t="str">
        <f>IF(A163="","",IFERROR(IF(SUMIF(DB_Savings!$C:$C,A163,DB_Savings!$F:$F)=0,VLOOKUP(A163,DB_Customers!$A:$I,9,0),VLOOKUP(A163,DB_Customers!$A:$N,14,0)),"❌ Acct Not Found"))</f>
        <v/>
      </c>
      <c r="D163" s="78" t="str">
        <f t="shared" ca="1" si="12"/>
        <v/>
      </c>
      <c r="E163" s="79"/>
      <c r="F163" s="80" t="str">
        <f t="shared" si="13"/>
        <v/>
      </c>
      <c r="G163" s="39" t="s">
        <v>139</v>
      </c>
      <c r="H163" s="81"/>
      <c r="I163" s="82" t="str">
        <f>IF(A163="","Pending",IF(H163="","⚠️ Enter Agent Code",IF(IFERROR(VLOOKUP(G163,DB_Agents!$B:$I,8,0),"")=H163,IF(AND(A163&lt;&gt;"",E163&lt;&gt;""),"Saved","Pending"),"🔒 BLOCKED — Wrong Code")))</f>
        <v>Pending</v>
      </c>
      <c r="J163" s="83" t="str">
        <f t="shared" ca="1" si="14"/>
        <v>—</v>
      </c>
      <c r="K163" s="84"/>
    </row>
    <row r="164" spans="1:11" ht="15" customHeight="1" x14ac:dyDescent="0.25">
      <c r="A164" s="85"/>
      <c r="B164" s="41" t="str">
        <f>IF(A164="","",IFERROR(VLOOKUP(A164,DB_Customers!$A:$D,4,0),"❌ Account Not Found"))</f>
        <v/>
      </c>
      <c r="C164" s="86" t="str">
        <f>IF(A164="","",IFERROR(IF(SUMIF(DB_Savings!$C:$C,A164,DB_Savings!$F:$F)=0,VLOOKUP(A164,DB_Customers!$A:$I,9,0),VLOOKUP(A164,DB_Customers!$A:$N,14,0)),"❌ Acct Not Found"))</f>
        <v/>
      </c>
      <c r="D164" s="87" t="str">
        <f t="shared" ca="1" si="12"/>
        <v/>
      </c>
      <c r="E164" s="79"/>
      <c r="F164" s="88" t="str">
        <f t="shared" si="13"/>
        <v/>
      </c>
      <c r="G164" s="43" t="s">
        <v>139</v>
      </c>
      <c r="H164" s="81"/>
      <c r="I164" s="89" t="str">
        <f>IF(A164="","Pending",IF(H164="","⚠️ Enter Agent Code",IF(IFERROR(VLOOKUP(G164,DB_Agents!$B:$I,8,0),"")=H164,IF(AND(A164&lt;&gt;"",E164&lt;&gt;""),"Saved","Pending"),"🔒 BLOCKED — Wrong Code")))</f>
        <v>Pending</v>
      </c>
      <c r="J164" s="90" t="str">
        <f t="shared" ca="1" si="14"/>
        <v>—</v>
      </c>
      <c r="K164" s="91"/>
    </row>
    <row r="165" spans="1:11" ht="15" customHeight="1" x14ac:dyDescent="0.25">
      <c r="A165" s="76"/>
      <c r="B165" s="37" t="str">
        <f>IF(A165="","",IFERROR(VLOOKUP(A165,DB_Customers!$A:$D,4,0),"❌ Account Not Found"))</f>
        <v/>
      </c>
      <c r="C165" s="77" t="str">
        <f>IF(A165="","",IFERROR(IF(SUMIF(DB_Savings!$C:$C,A165,DB_Savings!$F:$F)=0,VLOOKUP(A165,DB_Customers!$A:$I,9,0),VLOOKUP(A165,DB_Customers!$A:$N,14,0)),"❌ Acct Not Found"))</f>
        <v/>
      </c>
      <c r="D165" s="78" t="str">
        <f t="shared" ca="1" si="12"/>
        <v/>
      </c>
      <c r="E165" s="79"/>
      <c r="F165" s="80" t="str">
        <f t="shared" si="13"/>
        <v/>
      </c>
      <c r="G165" s="39" t="s">
        <v>139</v>
      </c>
      <c r="H165" s="81"/>
      <c r="I165" s="82" t="str">
        <f>IF(A165="","Pending",IF(H165="","⚠️ Enter Agent Code",IF(IFERROR(VLOOKUP(G165,DB_Agents!$B:$I,8,0),"")=H165,IF(AND(A165&lt;&gt;"",E165&lt;&gt;""),"Saved","Pending"),"🔒 BLOCKED — Wrong Code")))</f>
        <v>Pending</v>
      </c>
      <c r="J165" s="83" t="str">
        <f t="shared" ca="1" si="14"/>
        <v>—</v>
      </c>
      <c r="K165" s="84"/>
    </row>
    <row r="166" spans="1:11" ht="15" customHeight="1" x14ac:dyDescent="0.25">
      <c r="A166" s="85"/>
      <c r="B166" s="41" t="str">
        <f>IF(A166="","",IFERROR(VLOOKUP(A166,DB_Customers!$A:$D,4,0),"❌ Account Not Found"))</f>
        <v/>
      </c>
      <c r="C166" s="86" t="str">
        <f>IF(A166="","",IFERROR(IF(SUMIF(DB_Savings!$C:$C,A166,DB_Savings!$F:$F)=0,VLOOKUP(A166,DB_Customers!$A:$I,9,0),VLOOKUP(A166,DB_Customers!$A:$N,14,0)),"❌ Acct Not Found"))</f>
        <v/>
      </c>
      <c r="D166" s="87" t="str">
        <f t="shared" ca="1" si="12"/>
        <v/>
      </c>
      <c r="E166" s="79"/>
      <c r="F166" s="88" t="str">
        <f t="shared" si="13"/>
        <v/>
      </c>
      <c r="G166" s="43" t="s">
        <v>139</v>
      </c>
      <c r="H166" s="81"/>
      <c r="I166" s="89" t="str">
        <f>IF(A166="","Pending",IF(H166="","⚠️ Enter Agent Code",IF(IFERROR(VLOOKUP(G166,DB_Agents!$B:$I,8,0),"")=H166,IF(AND(A166&lt;&gt;"",E166&lt;&gt;""),"Saved","Pending"),"🔒 BLOCKED — Wrong Code")))</f>
        <v>Pending</v>
      </c>
      <c r="J166" s="90" t="str">
        <f t="shared" ca="1" si="14"/>
        <v>—</v>
      </c>
      <c r="K166" s="91"/>
    </row>
    <row r="167" spans="1:11" ht="15" customHeight="1" x14ac:dyDescent="0.25">
      <c r="A167" s="76"/>
      <c r="B167" s="37" t="str">
        <f>IF(A167="","",IFERROR(VLOOKUP(A167,DB_Customers!$A:$D,4,0),"❌ Account Not Found"))</f>
        <v/>
      </c>
      <c r="C167" s="77" t="str">
        <f>IF(A167="","",IFERROR(IF(SUMIF(DB_Savings!$C:$C,A167,DB_Savings!$F:$F)=0,VLOOKUP(A167,DB_Customers!$A:$I,9,0),VLOOKUP(A167,DB_Customers!$A:$N,14,0)),"❌ Acct Not Found"))</f>
        <v/>
      </c>
      <c r="D167" s="78" t="str">
        <f t="shared" ca="1" si="12"/>
        <v/>
      </c>
      <c r="E167" s="79"/>
      <c r="F167" s="80" t="str">
        <f t="shared" si="13"/>
        <v/>
      </c>
      <c r="G167" s="39" t="s">
        <v>139</v>
      </c>
      <c r="H167" s="81"/>
      <c r="I167" s="82" t="str">
        <f>IF(A167="","Pending",IF(H167="","⚠️ Enter Agent Code",IF(IFERROR(VLOOKUP(G167,DB_Agents!$B:$I,8,0),"")=H167,IF(AND(A167&lt;&gt;"",E167&lt;&gt;""),"Saved","Pending"),"🔒 BLOCKED — Wrong Code")))</f>
        <v>Pending</v>
      </c>
      <c r="J167" s="83" t="str">
        <f t="shared" ca="1" si="14"/>
        <v>—</v>
      </c>
      <c r="K167" s="84"/>
    </row>
    <row r="168" spans="1:11" ht="15" customHeight="1" x14ac:dyDescent="0.25">
      <c r="A168" s="85"/>
      <c r="B168" s="41" t="str">
        <f>IF(A168="","",IFERROR(VLOOKUP(A168,DB_Customers!$A:$D,4,0),"❌ Account Not Found"))</f>
        <v/>
      </c>
      <c r="C168" s="86" t="str">
        <f>IF(A168="","",IFERROR(IF(SUMIF(DB_Savings!$C:$C,A168,DB_Savings!$F:$F)=0,VLOOKUP(A168,DB_Customers!$A:$I,9,0),VLOOKUP(A168,DB_Customers!$A:$N,14,0)),"❌ Acct Not Found"))</f>
        <v/>
      </c>
      <c r="D168" s="87" t="str">
        <f t="shared" ca="1" si="12"/>
        <v/>
      </c>
      <c r="E168" s="79"/>
      <c r="F168" s="88" t="str">
        <f t="shared" si="13"/>
        <v/>
      </c>
      <c r="G168" s="43" t="s">
        <v>139</v>
      </c>
      <c r="H168" s="81"/>
      <c r="I168" s="89" t="str">
        <f>IF(A168="","Pending",IF(H168="","⚠️ Enter Agent Code",IF(IFERROR(VLOOKUP(G168,DB_Agents!$B:$I,8,0),"")=H168,IF(AND(A168&lt;&gt;"",E168&lt;&gt;""),"Saved","Pending"),"🔒 BLOCKED — Wrong Code")))</f>
        <v>Pending</v>
      </c>
      <c r="J168" s="90" t="str">
        <f t="shared" ca="1" si="14"/>
        <v>—</v>
      </c>
      <c r="K168" s="91"/>
    </row>
    <row r="169" spans="1:11" ht="15" customHeight="1" x14ac:dyDescent="0.25">
      <c r="A169" s="76"/>
      <c r="B169" s="37" t="str">
        <f>IF(A169="","",IFERROR(VLOOKUP(A169,DB_Customers!$A:$D,4,0),"❌ Account Not Found"))</f>
        <v/>
      </c>
      <c r="C169" s="77" t="str">
        <f>IF(A169="","",IFERROR(IF(SUMIF(DB_Savings!$C:$C,A169,DB_Savings!$F:$F)=0,VLOOKUP(A169,DB_Customers!$A:$I,9,0),VLOOKUP(A169,DB_Customers!$A:$N,14,0)),"❌ Acct Not Found"))</f>
        <v/>
      </c>
      <c r="D169" s="78" t="str">
        <f t="shared" ref="D169:D200" ca="1" si="15">IF(A169="","",TODAY())</f>
        <v/>
      </c>
      <c r="E169" s="79"/>
      <c r="F169" s="80" t="str">
        <f t="shared" ref="F169:F200" si="16">IF(OR(A169="",E169=""),"",IF(C169="","",C169+E169))</f>
        <v/>
      </c>
      <c r="G169" s="39" t="s">
        <v>139</v>
      </c>
      <c r="H169" s="81"/>
      <c r="I169" s="82" t="str">
        <f>IF(A169="","Pending",IF(H169="","⚠️ Enter Agent Code",IF(IFERROR(VLOOKUP(G169,DB_Agents!$B:$I,8,0),"")=H169,IF(AND(A169&lt;&gt;"",E169&lt;&gt;""),"Saved","Pending"),"🔒 BLOCKED — Wrong Code")))</f>
        <v>Pending</v>
      </c>
      <c r="J169" s="83" t="str">
        <f t="shared" ref="J169:J200" ca="1" si="17">IF(I169="Saved",TEXT(TODAY(),"YYYY-MM-DD")&amp;" Auto","—")</f>
        <v>—</v>
      </c>
      <c r="K169" s="84"/>
    </row>
    <row r="170" spans="1:11" ht="15" customHeight="1" x14ac:dyDescent="0.25">
      <c r="A170" s="85"/>
      <c r="B170" s="41" t="str">
        <f>IF(A170="","",IFERROR(VLOOKUP(A170,DB_Customers!$A:$D,4,0),"❌ Account Not Found"))</f>
        <v/>
      </c>
      <c r="C170" s="86" t="str">
        <f>IF(A170="","",IFERROR(IF(SUMIF(DB_Savings!$C:$C,A170,DB_Savings!$F:$F)=0,VLOOKUP(A170,DB_Customers!$A:$I,9,0),VLOOKUP(A170,DB_Customers!$A:$N,14,0)),"❌ Acct Not Found"))</f>
        <v/>
      </c>
      <c r="D170" s="87" t="str">
        <f t="shared" ca="1" si="15"/>
        <v/>
      </c>
      <c r="E170" s="79"/>
      <c r="F170" s="88" t="str">
        <f t="shared" si="16"/>
        <v/>
      </c>
      <c r="G170" s="43" t="s">
        <v>139</v>
      </c>
      <c r="H170" s="81"/>
      <c r="I170" s="89" t="str">
        <f>IF(A170="","Pending",IF(H170="","⚠️ Enter Agent Code",IF(IFERROR(VLOOKUP(G170,DB_Agents!$B:$I,8,0),"")=H170,IF(AND(A170&lt;&gt;"",E170&lt;&gt;""),"Saved","Pending"),"🔒 BLOCKED — Wrong Code")))</f>
        <v>Pending</v>
      </c>
      <c r="J170" s="90" t="str">
        <f t="shared" ca="1" si="17"/>
        <v>—</v>
      </c>
      <c r="K170" s="91"/>
    </row>
    <row r="171" spans="1:11" ht="15" customHeight="1" x14ac:dyDescent="0.25">
      <c r="A171" s="76"/>
      <c r="B171" s="37" t="str">
        <f>IF(A171="","",IFERROR(VLOOKUP(A171,DB_Customers!$A:$D,4,0),"❌ Account Not Found"))</f>
        <v/>
      </c>
      <c r="C171" s="77" t="str">
        <f>IF(A171="","",IFERROR(IF(SUMIF(DB_Savings!$C:$C,A171,DB_Savings!$F:$F)=0,VLOOKUP(A171,DB_Customers!$A:$I,9,0),VLOOKUP(A171,DB_Customers!$A:$N,14,0)),"❌ Acct Not Found"))</f>
        <v/>
      </c>
      <c r="D171" s="78" t="str">
        <f t="shared" ca="1" si="15"/>
        <v/>
      </c>
      <c r="E171" s="79"/>
      <c r="F171" s="80" t="str">
        <f t="shared" si="16"/>
        <v/>
      </c>
      <c r="G171" s="39" t="s">
        <v>139</v>
      </c>
      <c r="H171" s="81"/>
      <c r="I171" s="82" t="str">
        <f>IF(A171="","Pending",IF(H171="","⚠️ Enter Agent Code",IF(IFERROR(VLOOKUP(G171,DB_Agents!$B:$I,8,0),"")=H171,IF(AND(A171&lt;&gt;"",E171&lt;&gt;""),"Saved","Pending"),"🔒 BLOCKED — Wrong Code")))</f>
        <v>Pending</v>
      </c>
      <c r="J171" s="83" t="str">
        <f t="shared" ca="1" si="17"/>
        <v>—</v>
      </c>
      <c r="K171" s="84"/>
    </row>
    <row r="172" spans="1:11" ht="15" customHeight="1" x14ac:dyDescent="0.25">
      <c r="A172" s="85"/>
      <c r="B172" s="41" t="str">
        <f>IF(A172="","",IFERROR(VLOOKUP(A172,DB_Customers!$A:$D,4,0),"❌ Account Not Found"))</f>
        <v/>
      </c>
      <c r="C172" s="86" t="str">
        <f>IF(A172="","",IFERROR(IF(SUMIF(DB_Savings!$C:$C,A172,DB_Savings!$F:$F)=0,VLOOKUP(A172,DB_Customers!$A:$I,9,0),VLOOKUP(A172,DB_Customers!$A:$N,14,0)),"❌ Acct Not Found"))</f>
        <v/>
      </c>
      <c r="D172" s="87" t="str">
        <f t="shared" ca="1" si="15"/>
        <v/>
      </c>
      <c r="E172" s="79"/>
      <c r="F172" s="88" t="str">
        <f t="shared" si="16"/>
        <v/>
      </c>
      <c r="G172" s="43" t="s">
        <v>139</v>
      </c>
      <c r="H172" s="81"/>
      <c r="I172" s="89" t="str">
        <f>IF(A172="","Pending",IF(H172="","⚠️ Enter Agent Code",IF(IFERROR(VLOOKUP(G172,DB_Agents!$B:$I,8,0),"")=H172,IF(AND(A172&lt;&gt;"",E172&lt;&gt;""),"Saved","Pending"),"🔒 BLOCKED — Wrong Code")))</f>
        <v>Pending</v>
      </c>
      <c r="J172" s="90" t="str">
        <f t="shared" ca="1" si="17"/>
        <v>—</v>
      </c>
      <c r="K172" s="91"/>
    </row>
    <row r="173" spans="1:11" ht="15" customHeight="1" x14ac:dyDescent="0.25">
      <c r="A173" s="76"/>
      <c r="B173" s="37" t="str">
        <f>IF(A173="","",IFERROR(VLOOKUP(A173,DB_Customers!$A:$D,4,0),"❌ Account Not Found"))</f>
        <v/>
      </c>
      <c r="C173" s="77" t="str">
        <f>IF(A173="","",IFERROR(IF(SUMIF(DB_Savings!$C:$C,A173,DB_Savings!$F:$F)=0,VLOOKUP(A173,DB_Customers!$A:$I,9,0),VLOOKUP(A173,DB_Customers!$A:$N,14,0)),"❌ Acct Not Found"))</f>
        <v/>
      </c>
      <c r="D173" s="78" t="str">
        <f t="shared" ca="1" si="15"/>
        <v/>
      </c>
      <c r="E173" s="79"/>
      <c r="F173" s="80" t="str">
        <f t="shared" si="16"/>
        <v/>
      </c>
      <c r="G173" s="39" t="s">
        <v>139</v>
      </c>
      <c r="H173" s="81"/>
      <c r="I173" s="82" t="str">
        <f>IF(A173="","Pending",IF(H173="","⚠️ Enter Agent Code",IF(IFERROR(VLOOKUP(G173,DB_Agents!$B:$I,8,0),"")=H173,IF(AND(A173&lt;&gt;"",E173&lt;&gt;""),"Saved","Pending"),"🔒 BLOCKED — Wrong Code")))</f>
        <v>Pending</v>
      </c>
      <c r="J173" s="83" t="str">
        <f t="shared" ca="1" si="17"/>
        <v>—</v>
      </c>
      <c r="K173" s="84"/>
    </row>
    <row r="174" spans="1:11" ht="15" customHeight="1" x14ac:dyDescent="0.25">
      <c r="A174" s="85"/>
      <c r="B174" s="41" t="str">
        <f>IF(A174="","",IFERROR(VLOOKUP(A174,DB_Customers!$A:$D,4,0),"❌ Account Not Found"))</f>
        <v/>
      </c>
      <c r="C174" s="86" t="str">
        <f>IF(A174="","",IFERROR(IF(SUMIF(DB_Savings!$C:$C,A174,DB_Savings!$F:$F)=0,VLOOKUP(A174,DB_Customers!$A:$I,9,0),VLOOKUP(A174,DB_Customers!$A:$N,14,0)),"❌ Acct Not Found"))</f>
        <v/>
      </c>
      <c r="D174" s="87" t="str">
        <f t="shared" ca="1" si="15"/>
        <v/>
      </c>
      <c r="E174" s="79"/>
      <c r="F174" s="88" t="str">
        <f t="shared" si="16"/>
        <v/>
      </c>
      <c r="G174" s="43" t="s">
        <v>139</v>
      </c>
      <c r="H174" s="81"/>
      <c r="I174" s="89" t="str">
        <f>IF(A174="","Pending",IF(H174="","⚠️ Enter Agent Code",IF(IFERROR(VLOOKUP(G174,DB_Agents!$B:$I,8,0),"")=H174,IF(AND(A174&lt;&gt;"",E174&lt;&gt;""),"Saved","Pending"),"🔒 BLOCKED — Wrong Code")))</f>
        <v>Pending</v>
      </c>
      <c r="J174" s="90" t="str">
        <f t="shared" ca="1" si="17"/>
        <v>—</v>
      </c>
      <c r="K174" s="91"/>
    </row>
    <row r="175" spans="1:11" ht="15" customHeight="1" x14ac:dyDescent="0.25">
      <c r="A175" s="76"/>
      <c r="B175" s="37" t="str">
        <f>IF(A175="","",IFERROR(VLOOKUP(A175,DB_Customers!$A:$D,4,0),"❌ Account Not Found"))</f>
        <v/>
      </c>
      <c r="C175" s="77" t="str">
        <f>IF(A175="","",IFERROR(IF(SUMIF(DB_Savings!$C:$C,A175,DB_Savings!$F:$F)=0,VLOOKUP(A175,DB_Customers!$A:$I,9,0),VLOOKUP(A175,DB_Customers!$A:$N,14,0)),"❌ Acct Not Found"))</f>
        <v/>
      </c>
      <c r="D175" s="78" t="str">
        <f t="shared" ca="1" si="15"/>
        <v/>
      </c>
      <c r="E175" s="79"/>
      <c r="F175" s="80" t="str">
        <f t="shared" si="16"/>
        <v/>
      </c>
      <c r="G175" s="39" t="s">
        <v>139</v>
      </c>
      <c r="H175" s="81"/>
      <c r="I175" s="82" t="str">
        <f>IF(A175="","Pending",IF(H175="","⚠️ Enter Agent Code",IF(IFERROR(VLOOKUP(G175,DB_Agents!$B:$I,8,0),"")=H175,IF(AND(A175&lt;&gt;"",E175&lt;&gt;""),"Saved","Pending"),"🔒 BLOCKED — Wrong Code")))</f>
        <v>Pending</v>
      </c>
      <c r="J175" s="83" t="str">
        <f t="shared" ca="1" si="17"/>
        <v>—</v>
      </c>
      <c r="K175" s="84"/>
    </row>
    <row r="176" spans="1:11" ht="15" customHeight="1" x14ac:dyDescent="0.25">
      <c r="A176" s="85"/>
      <c r="B176" s="41" t="str">
        <f>IF(A176="","",IFERROR(VLOOKUP(A176,DB_Customers!$A:$D,4,0),"❌ Account Not Found"))</f>
        <v/>
      </c>
      <c r="C176" s="86" t="str">
        <f>IF(A176="","",IFERROR(IF(SUMIF(DB_Savings!$C:$C,A176,DB_Savings!$F:$F)=0,VLOOKUP(A176,DB_Customers!$A:$I,9,0),VLOOKUP(A176,DB_Customers!$A:$N,14,0)),"❌ Acct Not Found"))</f>
        <v/>
      </c>
      <c r="D176" s="87" t="str">
        <f t="shared" ca="1" si="15"/>
        <v/>
      </c>
      <c r="E176" s="79"/>
      <c r="F176" s="88" t="str">
        <f t="shared" si="16"/>
        <v/>
      </c>
      <c r="G176" s="43" t="s">
        <v>139</v>
      </c>
      <c r="H176" s="81"/>
      <c r="I176" s="89" t="str">
        <f>IF(A176="","Pending",IF(H176="","⚠️ Enter Agent Code",IF(IFERROR(VLOOKUP(G176,DB_Agents!$B:$I,8,0),"")=H176,IF(AND(A176&lt;&gt;"",E176&lt;&gt;""),"Saved","Pending"),"🔒 BLOCKED — Wrong Code")))</f>
        <v>Pending</v>
      </c>
      <c r="J176" s="90" t="str">
        <f t="shared" ca="1" si="17"/>
        <v>—</v>
      </c>
      <c r="K176" s="91"/>
    </row>
    <row r="177" spans="1:11" ht="15" customHeight="1" x14ac:dyDescent="0.25">
      <c r="A177" s="76"/>
      <c r="B177" s="37" t="str">
        <f>IF(A177="","",IFERROR(VLOOKUP(A177,DB_Customers!$A:$D,4,0),"❌ Account Not Found"))</f>
        <v/>
      </c>
      <c r="C177" s="77" t="str">
        <f>IF(A177="","",IFERROR(IF(SUMIF(DB_Savings!$C:$C,A177,DB_Savings!$F:$F)=0,VLOOKUP(A177,DB_Customers!$A:$I,9,0),VLOOKUP(A177,DB_Customers!$A:$N,14,0)),"❌ Acct Not Found"))</f>
        <v/>
      </c>
      <c r="D177" s="78" t="str">
        <f t="shared" ca="1" si="15"/>
        <v/>
      </c>
      <c r="E177" s="79"/>
      <c r="F177" s="80" t="str">
        <f t="shared" si="16"/>
        <v/>
      </c>
      <c r="G177" s="39" t="s">
        <v>139</v>
      </c>
      <c r="H177" s="81"/>
      <c r="I177" s="82" t="str">
        <f>IF(A177="","Pending",IF(H177="","⚠️ Enter Agent Code",IF(IFERROR(VLOOKUP(G177,DB_Agents!$B:$I,8,0),"")=H177,IF(AND(A177&lt;&gt;"",E177&lt;&gt;""),"Saved","Pending"),"🔒 BLOCKED — Wrong Code")))</f>
        <v>Pending</v>
      </c>
      <c r="J177" s="83" t="str">
        <f t="shared" ca="1" si="17"/>
        <v>—</v>
      </c>
      <c r="K177" s="84"/>
    </row>
    <row r="178" spans="1:11" ht="15" customHeight="1" x14ac:dyDescent="0.25">
      <c r="A178" s="85"/>
      <c r="B178" s="41" t="str">
        <f>IF(A178="","",IFERROR(VLOOKUP(A178,DB_Customers!$A:$D,4,0),"❌ Account Not Found"))</f>
        <v/>
      </c>
      <c r="C178" s="86" t="str">
        <f>IF(A178="","",IFERROR(IF(SUMIF(DB_Savings!$C:$C,A178,DB_Savings!$F:$F)=0,VLOOKUP(A178,DB_Customers!$A:$I,9,0),VLOOKUP(A178,DB_Customers!$A:$N,14,0)),"❌ Acct Not Found"))</f>
        <v/>
      </c>
      <c r="D178" s="87" t="str">
        <f t="shared" ca="1" si="15"/>
        <v/>
      </c>
      <c r="E178" s="79"/>
      <c r="F178" s="88" t="str">
        <f t="shared" si="16"/>
        <v/>
      </c>
      <c r="G178" s="43" t="s">
        <v>139</v>
      </c>
      <c r="H178" s="81"/>
      <c r="I178" s="89" t="str">
        <f>IF(A178="","Pending",IF(H178="","⚠️ Enter Agent Code",IF(IFERROR(VLOOKUP(G178,DB_Agents!$B:$I,8,0),"")=H178,IF(AND(A178&lt;&gt;"",E178&lt;&gt;""),"Saved","Pending"),"🔒 BLOCKED — Wrong Code")))</f>
        <v>Pending</v>
      </c>
      <c r="J178" s="90" t="str">
        <f t="shared" ca="1" si="17"/>
        <v>—</v>
      </c>
      <c r="K178" s="91"/>
    </row>
    <row r="179" spans="1:11" ht="15" customHeight="1" x14ac:dyDescent="0.25">
      <c r="A179" s="76"/>
      <c r="B179" s="37" t="str">
        <f>IF(A179="","",IFERROR(VLOOKUP(A179,DB_Customers!$A:$D,4,0),"❌ Account Not Found"))</f>
        <v/>
      </c>
      <c r="C179" s="77" t="str">
        <f>IF(A179="","",IFERROR(IF(SUMIF(DB_Savings!$C:$C,A179,DB_Savings!$F:$F)=0,VLOOKUP(A179,DB_Customers!$A:$I,9,0),VLOOKUP(A179,DB_Customers!$A:$N,14,0)),"❌ Acct Not Found"))</f>
        <v/>
      </c>
      <c r="D179" s="78" t="str">
        <f t="shared" ca="1" si="15"/>
        <v/>
      </c>
      <c r="E179" s="79"/>
      <c r="F179" s="80" t="str">
        <f t="shared" si="16"/>
        <v/>
      </c>
      <c r="G179" s="39" t="s">
        <v>139</v>
      </c>
      <c r="H179" s="81"/>
      <c r="I179" s="82" t="str">
        <f>IF(A179="","Pending",IF(H179="","⚠️ Enter Agent Code",IF(IFERROR(VLOOKUP(G179,DB_Agents!$B:$I,8,0),"")=H179,IF(AND(A179&lt;&gt;"",E179&lt;&gt;""),"Saved","Pending"),"🔒 BLOCKED — Wrong Code")))</f>
        <v>Pending</v>
      </c>
      <c r="J179" s="83" t="str">
        <f t="shared" ca="1" si="17"/>
        <v>—</v>
      </c>
      <c r="K179" s="84"/>
    </row>
    <row r="180" spans="1:11" ht="15" customHeight="1" x14ac:dyDescent="0.25">
      <c r="A180" s="85"/>
      <c r="B180" s="41" t="str">
        <f>IF(A180="","",IFERROR(VLOOKUP(A180,DB_Customers!$A:$D,4,0),"❌ Account Not Found"))</f>
        <v/>
      </c>
      <c r="C180" s="86" t="str">
        <f>IF(A180="","",IFERROR(IF(SUMIF(DB_Savings!$C:$C,A180,DB_Savings!$F:$F)=0,VLOOKUP(A180,DB_Customers!$A:$I,9,0),VLOOKUP(A180,DB_Customers!$A:$N,14,0)),"❌ Acct Not Found"))</f>
        <v/>
      </c>
      <c r="D180" s="87" t="str">
        <f t="shared" ca="1" si="15"/>
        <v/>
      </c>
      <c r="E180" s="79"/>
      <c r="F180" s="88" t="str">
        <f t="shared" si="16"/>
        <v/>
      </c>
      <c r="G180" s="43" t="s">
        <v>139</v>
      </c>
      <c r="H180" s="81"/>
      <c r="I180" s="89" t="str">
        <f>IF(A180="","Pending",IF(H180="","⚠️ Enter Agent Code",IF(IFERROR(VLOOKUP(G180,DB_Agents!$B:$I,8,0),"")=H180,IF(AND(A180&lt;&gt;"",E180&lt;&gt;""),"Saved","Pending"),"🔒 BLOCKED — Wrong Code")))</f>
        <v>Pending</v>
      </c>
      <c r="J180" s="90" t="str">
        <f t="shared" ca="1" si="17"/>
        <v>—</v>
      </c>
      <c r="K180" s="91"/>
    </row>
    <row r="181" spans="1:11" ht="15" customHeight="1" x14ac:dyDescent="0.25">
      <c r="A181" s="76"/>
      <c r="B181" s="37" t="str">
        <f>IF(A181="","",IFERROR(VLOOKUP(A181,DB_Customers!$A:$D,4,0),"❌ Account Not Found"))</f>
        <v/>
      </c>
      <c r="C181" s="77" t="str">
        <f>IF(A181="","",IFERROR(IF(SUMIF(DB_Savings!$C:$C,A181,DB_Savings!$F:$F)=0,VLOOKUP(A181,DB_Customers!$A:$I,9,0),VLOOKUP(A181,DB_Customers!$A:$N,14,0)),"❌ Acct Not Found"))</f>
        <v/>
      </c>
      <c r="D181" s="78" t="str">
        <f t="shared" ca="1" si="15"/>
        <v/>
      </c>
      <c r="E181" s="79"/>
      <c r="F181" s="80" t="str">
        <f t="shared" si="16"/>
        <v/>
      </c>
      <c r="G181" s="39" t="s">
        <v>139</v>
      </c>
      <c r="H181" s="81"/>
      <c r="I181" s="82" t="str">
        <f>IF(A181="","Pending",IF(H181="","⚠️ Enter Agent Code",IF(IFERROR(VLOOKUP(G181,DB_Agents!$B:$I,8,0),"")=H181,IF(AND(A181&lt;&gt;"",E181&lt;&gt;""),"Saved","Pending"),"🔒 BLOCKED — Wrong Code")))</f>
        <v>Pending</v>
      </c>
      <c r="J181" s="83" t="str">
        <f t="shared" ca="1" si="17"/>
        <v>—</v>
      </c>
      <c r="K181" s="84"/>
    </row>
    <row r="182" spans="1:11" ht="15" customHeight="1" x14ac:dyDescent="0.25">
      <c r="A182" s="85"/>
      <c r="B182" s="41" t="str">
        <f>IF(A182="","",IFERROR(VLOOKUP(A182,DB_Customers!$A:$D,4,0),"❌ Account Not Found"))</f>
        <v/>
      </c>
      <c r="C182" s="86" t="str">
        <f>IF(A182="","",IFERROR(IF(SUMIF(DB_Savings!$C:$C,A182,DB_Savings!$F:$F)=0,VLOOKUP(A182,DB_Customers!$A:$I,9,0),VLOOKUP(A182,DB_Customers!$A:$N,14,0)),"❌ Acct Not Found"))</f>
        <v/>
      </c>
      <c r="D182" s="87" t="str">
        <f t="shared" ca="1" si="15"/>
        <v/>
      </c>
      <c r="E182" s="79"/>
      <c r="F182" s="88" t="str">
        <f t="shared" si="16"/>
        <v/>
      </c>
      <c r="G182" s="43" t="s">
        <v>139</v>
      </c>
      <c r="H182" s="81"/>
      <c r="I182" s="89" t="str">
        <f>IF(A182="","Pending",IF(H182="","⚠️ Enter Agent Code",IF(IFERROR(VLOOKUP(G182,DB_Agents!$B:$I,8,0),"")=H182,IF(AND(A182&lt;&gt;"",E182&lt;&gt;""),"Saved","Pending"),"🔒 BLOCKED — Wrong Code")))</f>
        <v>Pending</v>
      </c>
      <c r="J182" s="90" t="str">
        <f t="shared" ca="1" si="17"/>
        <v>—</v>
      </c>
      <c r="K182" s="91"/>
    </row>
    <row r="183" spans="1:11" ht="15" customHeight="1" x14ac:dyDescent="0.25">
      <c r="A183" s="76"/>
      <c r="B183" s="37" t="str">
        <f>IF(A183="","",IFERROR(VLOOKUP(A183,DB_Customers!$A:$D,4,0),"❌ Account Not Found"))</f>
        <v/>
      </c>
      <c r="C183" s="77" t="str">
        <f>IF(A183="","",IFERROR(IF(SUMIF(DB_Savings!$C:$C,A183,DB_Savings!$F:$F)=0,VLOOKUP(A183,DB_Customers!$A:$I,9,0),VLOOKUP(A183,DB_Customers!$A:$N,14,0)),"❌ Acct Not Found"))</f>
        <v/>
      </c>
      <c r="D183" s="78" t="str">
        <f t="shared" ca="1" si="15"/>
        <v/>
      </c>
      <c r="E183" s="79"/>
      <c r="F183" s="80" t="str">
        <f t="shared" si="16"/>
        <v/>
      </c>
      <c r="G183" s="39" t="s">
        <v>139</v>
      </c>
      <c r="H183" s="81"/>
      <c r="I183" s="82" t="str">
        <f>IF(A183="","Pending",IF(H183="","⚠️ Enter Agent Code",IF(IFERROR(VLOOKUP(G183,DB_Agents!$B:$I,8,0),"")=H183,IF(AND(A183&lt;&gt;"",E183&lt;&gt;""),"Saved","Pending"),"🔒 BLOCKED — Wrong Code")))</f>
        <v>Pending</v>
      </c>
      <c r="J183" s="83" t="str">
        <f t="shared" ca="1" si="17"/>
        <v>—</v>
      </c>
      <c r="K183" s="84"/>
    </row>
    <row r="184" spans="1:11" ht="15" customHeight="1" x14ac:dyDescent="0.25">
      <c r="A184" s="85"/>
      <c r="B184" s="41" t="str">
        <f>IF(A184="","",IFERROR(VLOOKUP(A184,DB_Customers!$A:$D,4,0),"❌ Account Not Found"))</f>
        <v/>
      </c>
      <c r="C184" s="86" t="str">
        <f>IF(A184="","",IFERROR(IF(SUMIF(DB_Savings!$C:$C,A184,DB_Savings!$F:$F)=0,VLOOKUP(A184,DB_Customers!$A:$I,9,0),VLOOKUP(A184,DB_Customers!$A:$N,14,0)),"❌ Acct Not Found"))</f>
        <v/>
      </c>
      <c r="D184" s="87" t="str">
        <f t="shared" ca="1" si="15"/>
        <v/>
      </c>
      <c r="E184" s="79"/>
      <c r="F184" s="88" t="str">
        <f t="shared" si="16"/>
        <v/>
      </c>
      <c r="G184" s="43" t="s">
        <v>139</v>
      </c>
      <c r="H184" s="81"/>
      <c r="I184" s="89" t="str">
        <f>IF(A184="","Pending",IF(H184="","⚠️ Enter Agent Code",IF(IFERROR(VLOOKUP(G184,DB_Agents!$B:$I,8,0),"")=H184,IF(AND(A184&lt;&gt;"",E184&lt;&gt;""),"Saved","Pending"),"🔒 BLOCKED — Wrong Code")))</f>
        <v>Pending</v>
      </c>
      <c r="J184" s="90" t="str">
        <f t="shared" ca="1" si="17"/>
        <v>—</v>
      </c>
      <c r="K184" s="91"/>
    </row>
    <row r="185" spans="1:11" ht="15" customHeight="1" x14ac:dyDescent="0.25">
      <c r="A185" s="76"/>
      <c r="B185" s="37" t="str">
        <f>IF(A185="","",IFERROR(VLOOKUP(A185,DB_Customers!$A:$D,4,0),"❌ Account Not Found"))</f>
        <v/>
      </c>
      <c r="C185" s="77" t="str">
        <f>IF(A185="","",IFERROR(IF(SUMIF(DB_Savings!$C:$C,A185,DB_Savings!$F:$F)=0,VLOOKUP(A185,DB_Customers!$A:$I,9,0),VLOOKUP(A185,DB_Customers!$A:$N,14,0)),"❌ Acct Not Found"))</f>
        <v/>
      </c>
      <c r="D185" s="78" t="str">
        <f t="shared" ca="1" si="15"/>
        <v/>
      </c>
      <c r="E185" s="79"/>
      <c r="F185" s="80" t="str">
        <f t="shared" si="16"/>
        <v/>
      </c>
      <c r="G185" s="39" t="s">
        <v>139</v>
      </c>
      <c r="H185" s="81"/>
      <c r="I185" s="82" t="str">
        <f>IF(A185="","Pending",IF(H185="","⚠️ Enter Agent Code",IF(IFERROR(VLOOKUP(G185,DB_Agents!$B:$I,8,0),"")=H185,IF(AND(A185&lt;&gt;"",E185&lt;&gt;""),"Saved","Pending"),"🔒 BLOCKED — Wrong Code")))</f>
        <v>Pending</v>
      </c>
      <c r="J185" s="83" t="str">
        <f t="shared" ca="1" si="17"/>
        <v>—</v>
      </c>
      <c r="K185" s="84"/>
    </row>
    <row r="186" spans="1:11" ht="15" customHeight="1" x14ac:dyDescent="0.25">
      <c r="A186" s="85"/>
      <c r="B186" s="41" t="str">
        <f>IF(A186="","",IFERROR(VLOOKUP(A186,DB_Customers!$A:$D,4,0),"❌ Account Not Found"))</f>
        <v/>
      </c>
      <c r="C186" s="86" t="str">
        <f>IF(A186="","",IFERROR(IF(SUMIF(DB_Savings!$C:$C,A186,DB_Savings!$F:$F)=0,VLOOKUP(A186,DB_Customers!$A:$I,9,0),VLOOKUP(A186,DB_Customers!$A:$N,14,0)),"❌ Acct Not Found"))</f>
        <v/>
      </c>
      <c r="D186" s="87" t="str">
        <f t="shared" ca="1" si="15"/>
        <v/>
      </c>
      <c r="E186" s="79"/>
      <c r="F186" s="88" t="str">
        <f t="shared" si="16"/>
        <v/>
      </c>
      <c r="G186" s="43" t="s">
        <v>139</v>
      </c>
      <c r="H186" s="81"/>
      <c r="I186" s="89" t="str">
        <f>IF(A186="","Pending",IF(H186="","⚠️ Enter Agent Code",IF(IFERROR(VLOOKUP(G186,DB_Agents!$B:$I,8,0),"")=H186,IF(AND(A186&lt;&gt;"",E186&lt;&gt;""),"Saved","Pending"),"🔒 BLOCKED — Wrong Code")))</f>
        <v>Pending</v>
      </c>
      <c r="J186" s="90" t="str">
        <f t="shared" ca="1" si="17"/>
        <v>—</v>
      </c>
      <c r="K186" s="91"/>
    </row>
    <row r="187" spans="1:11" ht="15" customHeight="1" x14ac:dyDescent="0.25">
      <c r="A187" s="76"/>
      <c r="B187" s="37" t="str">
        <f>IF(A187="","",IFERROR(VLOOKUP(A187,DB_Customers!$A:$D,4,0),"❌ Account Not Found"))</f>
        <v/>
      </c>
      <c r="C187" s="77" t="str">
        <f>IF(A187="","",IFERROR(IF(SUMIF(DB_Savings!$C:$C,A187,DB_Savings!$F:$F)=0,VLOOKUP(A187,DB_Customers!$A:$I,9,0),VLOOKUP(A187,DB_Customers!$A:$N,14,0)),"❌ Acct Not Found"))</f>
        <v/>
      </c>
      <c r="D187" s="78" t="str">
        <f t="shared" ca="1" si="15"/>
        <v/>
      </c>
      <c r="E187" s="79"/>
      <c r="F187" s="80" t="str">
        <f t="shared" si="16"/>
        <v/>
      </c>
      <c r="G187" s="39" t="s">
        <v>139</v>
      </c>
      <c r="H187" s="81"/>
      <c r="I187" s="82" t="str">
        <f>IF(A187="","Pending",IF(H187="","⚠️ Enter Agent Code",IF(IFERROR(VLOOKUP(G187,DB_Agents!$B:$I,8,0),"")=H187,IF(AND(A187&lt;&gt;"",E187&lt;&gt;""),"Saved","Pending"),"🔒 BLOCKED — Wrong Code")))</f>
        <v>Pending</v>
      </c>
      <c r="J187" s="83" t="str">
        <f t="shared" ca="1" si="17"/>
        <v>—</v>
      </c>
      <c r="K187" s="84"/>
    </row>
    <row r="188" spans="1:11" ht="15" customHeight="1" x14ac:dyDescent="0.25">
      <c r="A188" s="85"/>
      <c r="B188" s="41" t="str">
        <f>IF(A188="","",IFERROR(VLOOKUP(A188,DB_Customers!$A:$D,4,0),"❌ Account Not Found"))</f>
        <v/>
      </c>
      <c r="C188" s="86" t="str">
        <f>IF(A188="","",IFERROR(IF(SUMIF(DB_Savings!$C:$C,A188,DB_Savings!$F:$F)=0,VLOOKUP(A188,DB_Customers!$A:$I,9,0),VLOOKUP(A188,DB_Customers!$A:$N,14,0)),"❌ Acct Not Found"))</f>
        <v/>
      </c>
      <c r="D188" s="87" t="str">
        <f t="shared" ca="1" si="15"/>
        <v/>
      </c>
      <c r="E188" s="79"/>
      <c r="F188" s="88" t="str">
        <f t="shared" si="16"/>
        <v/>
      </c>
      <c r="G188" s="43" t="s">
        <v>139</v>
      </c>
      <c r="H188" s="81"/>
      <c r="I188" s="89" t="str">
        <f>IF(A188="","Pending",IF(H188="","⚠️ Enter Agent Code",IF(IFERROR(VLOOKUP(G188,DB_Agents!$B:$I,8,0),"")=H188,IF(AND(A188&lt;&gt;"",E188&lt;&gt;""),"Saved","Pending"),"🔒 BLOCKED — Wrong Code")))</f>
        <v>Pending</v>
      </c>
      <c r="J188" s="90" t="str">
        <f t="shared" ca="1" si="17"/>
        <v>—</v>
      </c>
      <c r="K188" s="91"/>
    </row>
    <row r="189" spans="1:11" ht="15" customHeight="1" x14ac:dyDescent="0.25">
      <c r="A189" s="76"/>
      <c r="B189" s="37" t="str">
        <f>IF(A189="","",IFERROR(VLOOKUP(A189,DB_Customers!$A:$D,4,0),"❌ Account Not Found"))</f>
        <v/>
      </c>
      <c r="C189" s="77" t="str">
        <f>IF(A189="","",IFERROR(IF(SUMIF(DB_Savings!$C:$C,A189,DB_Savings!$F:$F)=0,VLOOKUP(A189,DB_Customers!$A:$I,9,0),VLOOKUP(A189,DB_Customers!$A:$N,14,0)),"❌ Acct Not Found"))</f>
        <v/>
      </c>
      <c r="D189" s="78" t="str">
        <f t="shared" ca="1" si="15"/>
        <v/>
      </c>
      <c r="E189" s="79"/>
      <c r="F189" s="80" t="str">
        <f t="shared" si="16"/>
        <v/>
      </c>
      <c r="G189" s="39" t="s">
        <v>139</v>
      </c>
      <c r="H189" s="81"/>
      <c r="I189" s="82" t="str">
        <f>IF(A189="","Pending",IF(H189="","⚠️ Enter Agent Code",IF(IFERROR(VLOOKUP(G189,DB_Agents!$B:$I,8,0),"")=H189,IF(AND(A189&lt;&gt;"",E189&lt;&gt;""),"Saved","Pending"),"🔒 BLOCKED — Wrong Code")))</f>
        <v>Pending</v>
      </c>
      <c r="J189" s="83" t="str">
        <f t="shared" ca="1" si="17"/>
        <v>—</v>
      </c>
      <c r="K189" s="84"/>
    </row>
    <row r="190" spans="1:11" ht="15" customHeight="1" x14ac:dyDescent="0.25">
      <c r="A190" s="85"/>
      <c r="B190" s="41" t="str">
        <f>IF(A190="","",IFERROR(VLOOKUP(A190,DB_Customers!$A:$D,4,0),"❌ Account Not Found"))</f>
        <v/>
      </c>
      <c r="C190" s="86" t="str">
        <f>IF(A190="","",IFERROR(IF(SUMIF(DB_Savings!$C:$C,A190,DB_Savings!$F:$F)=0,VLOOKUP(A190,DB_Customers!$A:$I,9,0),VLOOKUP(A190,DB_Customers!$A:$N,14,0)),"❌ Acct Not Found"))</f>
        <v/>
      </c>
      <c r="D190" s="87" t="str">
        <f t="shared" ca="1" si="15"/>
        <v/>
      </c>
      <c r="E190" s="79"/>
      <c r="F190" s="88" t="str">
        <f t="shared" si="16"/>
        <v/>
      </c>
      <c r="G190" s="43" t="s">
        <v>139</v>
      </c>
      <c r="H190" s="81"/>
      <c r="I190" s="89" t="str">
        <f>IF(A190="","Pending",IF(H190="","⚠️ Enter Agent Code",IF(IFERROR(VLOOKUP(G190,DB_Agents!$B:$I,8,0),"")=H190,IF(AND(A190&lt;&gt;"",E190&lt;&gt;""),"Saved","Pending"),"🔒 BLOCKED — Wrong Code")))</f>
        <v>Pending</v>
      </c>
      <c r="J190" s="90" t="str">
        <f t="shared" ca="1" si="17"/>
        <v>—</v>
      </c>
      <c r="K190" s="91"/>
    </row>
    <row r="191" spans="1:11" ht="15" customHeight="1" x14ac:dyDescent="0.25">
      <c r="A191" s="76"/>
      <c r="B191" s="37" t="str">
        <f>IF(A191="","",IFERROR(VLOOKUP(A191,DB_Customers!$A:$D,4,0),"❌ Account Not Found"))</f>
        <v/>
      </c>
      <c r="C191" s="77" t="str">
        <f>IF(A191="","",IFERROR(IF(SUMIF(DB_Savings!$C:$C,A191,DB_Savings!$F:$F)=0,VLOOKUP(A191,DB_Customers!$A:$I,9,0),VLOOKUP(A191,DB_Customers!$A:$N,14,0)),"❌ Acct Not Found"))</f>
        <v/>
      </c>
      <c r="D191" s="78" t="str">
        <f t="shared" ca="1" si="15"/>
        <v/>
      </c>
      <c r="E191" s="79"/>
      <c r="F191" s="80" t="str">
        <f t="shared" si="16"/>
        <v/>
      </c>
      <c r="G191" s="39" t="s">
        <v>139</v>
      </c>
      <c r="H191" s="81"/>
      <c r="I191" s="82" t="str">
        <f>IF(A191="","Pending",IF(H191="","⚠️ Enter Agent Code",IF(IFERROR(VLOOKUP(G191,DB_Agents!$B:$I,8,0),"")=H191,IF(AND(A191&lt;&gt;"",E191&lt;&gt;""),"Saved","Pending"),"🔒 BLOCKED — Wrong Code")))</f>
        <v>Pending</v>
      </c>
      <c r="J191" s="83" t="str">
        <f t="shared" ca="1" si="17"/>
        <v>—</v>
      </c>
      <c r="K191" s="84"/>
    </row>
    <row r="192" spans="1:11" ht="15" customHeight="1" x14ac:dyDescent="0.25">
      <c r="A192" s="85"/>
      <c r="B192" s="41" t="str">
        <f>IF(A192="","",IFERROR(VLOOKUP(A192,DB_Customers!$A:$D,4,0),"❌ Account Not Found"))</f>
        <v/>
      </c>
      <c r="C192" s="86" t="str">
        <f>IF(A192="","",IFERROR(IF(SUMIF(DB_Savings!$C:$C,A192,DB_Savings!$F:$F)=0,VLOOKUP(A192,DB_Customers!$A:$I,9,0),VLOOKUP(A192,DB_Customers!$A:$N,14,0)),"❌ Acct Not Found"))</f>
        <v/>
      </c>
      <c r="D192" s="87" t="str">
        <f t="shared" ca="1" si="15"/>
        <v/>
      </c>
      <c r="E192" s="79"/>
      <c r="F192" s="88" t="str">
        <f t="shared" si="16"/>
        <v/>
      </c>
      <c r="G192" s="43" t="s">
        <v>139</v>
      </c>
      <c r="H192" s="81"/>
      <c r="I192" s="89" t="str">
        <f>IF(A192="","Pending",IF(H192="","⚠️ Enter Agent Code",IF(IFERROR(VLOOKUP(G192,DB_Agents!$B:$I,8,0),"")=H192,IF(AND(A192&lt;&gt;"",E192&lt;&gt;""),"Saved","Pending"),"🔒 BLOCKED — Wrong Code")))</f>
        <v>Pending</v>
      </c>
      <c r="J192" s="90" t="str">
        <f t="shared" ca="1" si="17"/>
        <v>—</v>
      </c>
      <c r="K192" s="91"/>
    </row>
    <row r="193" spans="1:11" ht="15" customHeight="1" x14ac:dyDescent="0.25">
      <c r="A193" s="76"/>
      <c r="B193" s="37" t="str">
        <f>IF(A193="","",IFERROR(VLOOKUP(A193,DB_Customers!$A:$D,4,0),"❌ Account Not Found"))</f>
        <v/>
      </c>
      <c r="C193" s="77" t="str">
        <f>IF(A193="","",IFERROR(IF(SUMIF(DB_Savings!$C:$C,A193,DB_Savings!$F:$F)=0,VLOOKUP(A193,DB_Customers!$A:$I,9,0),VLOOKUP(A193,DB_Customers!$A:$N,14,0)),"❌ Acct Not Found"))</f>
        <v/>
      </c>
      <c r="D193" s="78" t="str">
        <f t="shared" ca="1" si="15"/>
        <v/>
      </c>
      <c r="E193" s="79"/>
      <c r="F193" s="80" t="str">
        <f t="shared" si="16"/>
        <v/>
      </c>
      <c r="G193" s="39" t="s">
        <v>139</v>
      </c>
      <c r="H193" s="81"/>
      <c r="I193" s="82" t="str">
        <f>IF(A193="","Pending",IF(H193="","⚠️ Enter Agent Code",IF(IFERROR(VLOOKUP(G193,DB_Agents!$B:$I,8,0),"")=H193,IF(AND(A193&lt;&gt;"",E193&lt;&gt;""),"Saved","Pending"),"🔒 BLOCKED — Wrong Code")))</f>
        <v>Pending</v>
      </c>
      <c r="J193" s="83" t="str">
        <f t="shared" ca="1" si="17"/>
        <v>—</v>
      </c>
      <c r="K193" s="84"/>
    </row>
    <row r="194" spans="1:11" ht="15" customHeight="1" x14ac:dyDescent="0.25">
      <c r="A194" s="85"/>
      <c r="B194" s="41" t="str">
        <f>IF(A194="","",IFERROR(VLOOKUP(A194,DB_Customers!$A:$D,4,0),"❌ Account Not Found"))</f>
        <v/>
      </c>
      <c r="C194" s="86" t="str">
        <f>IF(A194="","",IFERROR(IF(SUMIF(DB_Savings!$C:$C,A194,DB_Savings!$F:$F)=0,VLOOKUP(A194,DB_Customers!$A:$I,9,0),VLOOKUP(A194,DB_Customers!$A:$N,14,0)),"❌ Acct Not Found"))</f>
        <v/>
      </c>
      <c r="D194" s="87" t="str">
        <f t="shared" ca="1" si="15"/>
        <v/>
      </c>
      <c r="E194" s="79"/>
      <c r="F194" s="88" t="str">
        <f t="shared" si="16"/>
        <v/>
      </c>
      <c r="G194" s="43" t="s">
        <v>139</v>
      </c>
      <c r="H194" s="81"/>
      <c r="I194" s="89" t="str">
        <f>IF(A194="","Pending",IF(H194="","⚠️ Enter Agent Code",IF(IFERROR(VLOOKUP(G194,DB_Agents!$B:$I,8,0),"")=H194,IF(AND(A194&lt;&gt;"",E194&lt;&gt;""),"Saved","Pending"),"🔒 BLOCKED — Wrong Code")))</f>
        <v>Pending</v>
      </c>
      <c r="J194" s="90" t="str">
        <f t="shared" ca="1" si="17"/>
        <v>—</v>
      </c>
      <c r="K194" s="91"/>
    </row>
    <row r="195" spans="1:11" ht="15" customHeight="1" x14ac:dyDescent="0.25">
      <c r="A195" s="76"/>
      <c r="B195" s="37" t="str">
        <f>IF(A195="","",IFERROR(VLOOKUP(A195,DB_Customers!$A:$D,4,0),"❌ Account Not Found"))</f>
        <v/>
      </c>
      <c r="C195" s="77" t="str">
        <f>IF(A195="","",IFERROR(IF(SUMIF(DB_Savings!$C:$C,A195,DB_Savings!$F:$F)=0,VLOOKUP(A195,DB_Customers!$A:$I,9,0),VLOOKUP(A195,DB_Customers!$A:$N,14,0)),"❌ Acct Not Found"))</f>
        <v/>
      </c>
      <c r="D195" s="78" t="str">
        <f t="shared" ca="1" si="15"/>
        <v/>
      </c>
      <c r="E195" s="79"/>
      <c r="F195" s="80" t="str">
        <f t="shared" si="16"/>
        <v/>
      </c>
      <c r="G195" s="39" t="s">
        <v>139</v>
      </c>
      <c r="H195" s="81"/>
      <c r="I195" s="82" t="str">
        <f>IF(A195="","Pending",IF(H195="","⚠️ Enter Agent Code",IF(IFERROR(VLOOKUP(G195,DB_Agents!$B:$I,8,0),"")=H195,IF(AND(A195&lt;&gt;"",E195&lt;&gt;""),"Saved","Pending"),"🔒 BLOCKED — Wrong Code")))</f>
        <v>Pending</v>
      </c>
      <c r="J195" s="83" t="str">
        <f t="shared" ca="1" si="17"/>
        <v>—</v>
      </c>
      <c r="K195" s="84"/>
    </row>
    <row r="196" spans="1:11" ht="15" customHeight="1" x14ac:dyDescent="0.25">
      <c r="A196" s="85"/>
      <c r="B196" s="41" t="str">
        <f>IF(A196="","",IFERROR(VLOOKUP(A196,DB_Customers!$A:$D,4,0),"❌ Account Not Found"))</f>
        <v/>
      </c>
      <c r="C196" s="86" t="str">
        <f>IF(A196="","",IFERROR(IF(SUMIF(DB_Savings!$C:$C,A196,DB_Savings!$F:$F)=0,VLOOKUP(A196,DB_Customers!$A:$I,9,0),VLOOKUP(A196,DB_Customers!$A:$N,14,0)),"❌ Acct Not Found"))</f>
        <v/>
      </c>
      <c r="D196" s="87" t="str">
        <f t="shared" ca="1" si="15"/>
        <v/>
      </c>
      <c r="E196" s="79"/>
      <c r="F196" s="88" t="str">
        <f t="shared" si="16"/>
        <v/>
      </c>
      <c r="G196" s="43" t="s">
        <v>139</v>
      </c>
      <c r="H196" s="81"/>
      <c r="I196" s="89" t="str">
        <f>IF(A196="","Pending",IF(H196="","⚠️ Enter Agent Code",IF(IFERROR(VLOOKUP(G196,DB_Agents!$B:$I,8,0),"")=H196,IF(AND(A196&lt;&gt;"",E196&lt;&gt;""),"Saved","Pending"),"🔒 BLOCKED — Wrong Code")))</f>
        <v>Pending</v>
      </c>
      <c r="J196" s="90" t="str">
        <f t="shared" ca="1" si="17"/>
        <v>—</v>
      </c>
      <c r="K196" s="91"/>
    </row>
    <row r="197" spans="1:11" ht="15" customHeight="1" x14ac:dyDescent="0.25">
      <c r="A197" s="76"/>
      <c r="B197" s="37" t="str">
        <f>IF(A197="","",IFERROR(VLOOKUP(A197,DB_Customers!$A:$D,4,0),"❌ Account Not Found"))</f>
        <v/>
      </c>
      <c r="C197" s="77" t="str">
        <f>IF(A197="","",IFERROR(IF(SUMIF(DB_Savings!$C:$C,A197,DB_Savings!$F:$F)=0,VLOOKUP(A197,DB_Customers!$A:$I,9,0),VLOOKUP(A197,DB_Customers!$A:$N,14,0)),"❌ Acct Not Found"))</f>
        <v/>
      </c>
      <c r="D197" s="78" t="str">
        <f t="shared" ca="1" si="15"/>
        <v/>
      </c>
      <c r="E197" s="79"/>
      <c r="F197" s="80" t="str">
        <f t="shared" si="16"/>
        <v/>
      </c>
      <c r="G197" s="39" t="s">
        <v>139</v>
      </c>
      <c r="H197" s="81"/>
      <c r="I197" s="82" t="str">
        <f>IF(A197="","Pending",IF(H197="","⚠️ Enter Agent Code",IF(IFERROR(VLOOKUP(G197,DB_Agents!$B:$I,8,0),"")=H197,IF(AND(A197&lt;&gt;"",E197&lt;&gt;""),"Saved","Pending"),"🔒 BLOCKED — Wrong Code")))</f>
        <v>Pending</v>
      </c>
      <c r="J197" s="83" t="str">
        <f t="shared" ca="1" si="17"/>
        <v>—</v>
      </c>
      <c r="K197" s="84"/>
    </row>
    <row r="198" spans="1:11" ht="15" customHeight="1" x14ac:dyDescent="0.25">
      <c r="A198" s="85"/>
      <c r="B198" s="41" t="str">
        <f>IF(A198="","",IFERROR(VLOOKUP(A198,DB_Customers!$A:$D,4,0),"❌ Account Not Found"))</f>
        <v/>
      </c>
      <c r="C198" s="86" t="str">
        <f>IF(A198="","",IFERROR(IF(SUMIF(DB_Savings!$C:$C,A198,DB_Savings!$F:$F)=0,VLOOKUP(A198,DB_Customers!$A:$I,9,0),VLOOKUP(A198,DB_Customers!$A:$N,14,0)),"❌ Acct Not Found"))</f>
        <v/>
      </c>
      <c r="D198" s="87" t="str">
        <f t="shared" ca="1" si="15"/>
        <v/>
      </c>
      <c r="E198" s="79"/>
      <c r="F198" s="88" t="str">
        <f t="shared" si="16"/>
        <v/>
      </c>
      <c r="G198" s="43" t="s">
        <v>139</v>
      </c>
      <c r="H198" s="81"/>
      <c r="I198" s="89" t="str">
        <f>IF(A198="","Pending",IF(H198="","⚠️ Enter Agent Code",IF(IFERROR(VLOOKUP(G198,DB_Agents!$B:$I,8,0),"")=H198,IF(AND(A198&lt;&gt;"",E198&lt;&gt;""),"Saved","Pending"),"🔒 BLOCKED — Wrong Code")))</f>
        <v>Pending</v>
      </c>
      <c r="J198" s="90" t="str">
        <f t="shared" ca="1" si="17"/>
        <v>—</v>
      </c>
      <c r="K198" s="91"/>
    </row>
    <row r="199" spans="1:11" ht="15" customHeight="1" x14ac:dyDescent="0.25">
      <c r="A199" s="76"/>
      <c r="B199" s="37" t="str">
        <f>IF(A199="","",IFERROR(VLOOKUP(A199,DB_Customers!$A:$D,4,0),"❌ Account Not Found"))</f>
        <v/>
      </c>
      <c r="C199" s="77" t="str">
        <f>IF(A199="","",IFERROR(IF(SUMIF(DB_Savings!$C:$C,A199,DB_Savings!$F:$F)=0,VLOOKUP(A199,DB_Customers!$A:$I,9,0),VLOOKUP(A199,DB_Customers!$A:$N,14,0)),"❌ Acct Not Found"))</f>
        <v/>
      </c>
      <c r="D199" s="78" t="str">
        <f t="shared" ca="1" si="15"/>
        <v/>
      </c>
      <c r="E199" s="79"/>
      <c r="F199" s="80" t="str">
        <f t="shared" si="16"/>
        <v/>
      </c>
      <c r="G199" s="39" t="s">
        <v>139</v>
      </c>
      <c r="H199" s="81"/>
      <c r="I199" s="82" t="str">
        <f>IF(A199="","Pending",IF(H199="","⚠️ Enter Agent Code",IF(IFERROR(VLOOKUP(G199,DB_Agents!$B:$I,8,0),"")=H199,IF(AND(A199&lt;&gt;"",E199&lt;&gt;""),"Saved","Pending"),"🔒 BLOCKED — Wrong Code")))</f>
        <v>Pending</v>
      </c>
      <c r="J199" s="83" t="str">
        <f t="shared" ca="1" si="17"/>
        <v>—</v>
      </c>
      <c r="K199" s="84"/>
    </row>
    <row r="200" spans="1:11" ht="15" customHeight="1" x14ac:dyDescent="0.25">
      <c r="A200" s="85"/>
      <c r="B200" s="41" t="str">
        <f>IF(A200="","",IFERROR(VLOOKUP(A200,DB_Customers!$A:$D,4,0),"❌ Account Not Found"))</f>
        <v/>
      </c>
      <c r="C200" s="86" t="str">
        <f>IF(A200="","",IFERROR(IF(SUMIF(DB_Savings!$C:$C,A200,DB_Savings!$F:$F)=0,VLOOKUP(A200,DB_Customers!$A:$I,9,0),VLOOKUP(A200,DB_Customers!$A:$N,14,0)),"❌ Acct Not Found"))</f>
        <v/>
      </c>
      <c r="D200" s="87" t="str">
        <f t="shared" ca="1" si="15"/>
        <v/>
      </c>
      <c r="E200" s="79"/>
      <c r="F200" s="88" t="str">
        <f t="shared" si="16"/>
        <v/>
      </c>
      <c r="G200" s="43" t="s">
        <v>139</v>
      </c>
      <c r="H200" s="81"/>
      <c r="I200" s="89" t="str">
        <f>IF(A200="","Pending",IF(H200="","⚠️ Enter Agent Code",IF(IFERROR(VLOOKUP(G200,DB_Agents!$B:$I,8,0),"")=H200,IF(AND(A200&lt;&gt;"",E200&lt;&gt;""),"Saved","Pending"),"🔒 BLOCKED — Wrong Code")))</f>
        <v>Pending</v>
      </c>
      <c r="J200" s="90" t="str">
        <f t="shared" ca="1" si="17"/>
        <v>—</v>
      </c>
      <c r="K200" s="91"/>
    </row>
    <row r="201" spans="1:11" ht="15" customHeight="1" x14ac:dyDescent="0.25">
      <c r="A201" s="76"/>
      <c r="B201" s="37" t="str">
        <f>IF(A201="","",IFERROR(VLOOKUP(A201,DB_Customers!$A:$D,4,0),"❌ Account Not Found"))</f>
        <v/>
      </c>
      <c r="C201" s="77" t="str">
        <f>IF(A201="","",IFERROR(IF(SUMIF(DB_Savings!$C:$C,A201,DB_Savings!$F:$F)=0,VLOOKUP(A201,DB_Customers!$A:$I,9,0),VLOOKUP(A201,DB_Customers!$A:$N,14,0)),"❌ Acct Not Found"))</f>
        <v/>
      </c>
      <c r="D201" s="78" t="str">
        <f t="shared" ref="D201:D208" ca="1" si="18">IF(A201="","",TODAY())</f>
        <v/>
      </c>
      <c r="E201" s="79"/>
      <c r="F201" s="80" t="str">
        <f t="shared" ref="F201:F208" si="19">IF(OR(A201="",E201=""),"",IF(C201="","",C201+E201))</f>
        <v/>
      </c>
      <c r="G201" s="39" t="s">
        <v>139</v>
      </c>
      <c r="H201" s="81"/>
      <c r="I201" s="82" t="str">
        <f>IF(A201="","Pending",IF(H201="","⚠️ Enter Agent Code",IF(IFERROR(VLOOKUP(G201,DB_Agents!$B:$I,8,0),"")=H201,IF(AND(A201&lt;&gt;"",E201&lt;&gt;""),"Saved","Pending"),"🔒 BLOCKED — Wrong Code")))</f>
        <v>Pending</v>
      </c>
      <c r="J201" s="83" t="str">
        <f t="shared" ref="J201:J208" ca="1" si="20">IF(I201="Saved",TEXT(TODAY(),"YYYY-MM-DD")&amp;" Auto","—")</f>
        <v>—</v>
      </c>
      <c r="K201" s="84"/>
    </row>
    <row r="202" spans="1:11" ht="15" customHeight="1" x14ac:dyDescent="0.25">
      <c r="A202" s="85"/>
      <c r="B202" s="41" t="str">
        <f>IF(A202="","",IFERROR(VLOOKUP(A202,DB_Customers!$A:$D,4,0),"❌ Account Not Found"))</f>
        <v/>
      </c>
      <c r="C202" s="86" t="str">
        <f>IF(A202="","",IFERROR(IF(SUMIF(DB_Savings!$C:$C,A202,DB_Savings!$F:$F)=0,VLOOKUP(A202,DB_Customers!$A:$I,9,0),VLOOKUP(A202,DB_Customers!$A:$N,14,0)),"❌ Acct Not Found"))</f>
        <v/>
      </c>
      <c r="D202" s="87" t="str">
        <f t="shared" ca="1" si="18"/>
        <v/>
      </c>
      <c r="E202" s="79"/>
      <c r="F202" s="88" t="str">
        <f t="shared" si="19"/>
        <v/>
      </c>
      <c r="G202" s="43" t="s">
        <v>139</v>
      </c>
      <c r="H202" s="81"/>
      <c r="I202" s="89" t="str">
        <f>IF(A202="","Pending",IF(H202="","⚠️ Enter Agent Code",IF(IFERROR(VLOOKUP(G202,DB_Agents!$B:$I,8,0),"")=H202,IF(AND(A202&lt;&gt;"",E202&lt;&gt;""),"Saved","Pending"),"🔒 BLOCKED — Wrong Code")))</f>
        <v>Pending</v>
      </c>
      <c r="J202" s="90" t="str">
        <f t="shared" ca="1" si="20"/>
        <v>—</v>
      </c>
      <c r="K202" s="91"/>
    </row>
    <row r="203" spans="1:11" ht="15" customHeight="1" x14ac:dyDescent="0.25">
      <c r="A203" s="76"/>
      <c r="B203" s="37" t="str">
        <f>IF(A203="","",IFERROR(VLOOKUP(A203,DB_Customers!$A:$D,4,0),"❌ Account Not Found"))</f>
        <v/>
      </c>
      <c r="C203" s="77" t="str">
        <f>IF(A203="","",IFERROR(IF(SUMIF(DB_Savings!$C:$C,A203,DB_Savings!$F:$F)=0,VLOOKUP(A203,DB_Customers!$A:$I,9,0),VLOOKUP(A203,DB_Customers!$A:$N,14,0)),"❌ Acct Not Found"))</f>
        <v/>
      </c>
      <c r="D203" s="78" t="str">
        <f t="shared" ca="1" si="18"/>
        <v/>
      </c>
      <c r="E203" s="79"/>
      <c r="F203" s="80" t="str">
        <f t="shared" si="19"/>
        <v/>
      </c>
      <c r="G203" s="39" t="s">
        <v>139</v>
      </c>
      <c r="H203" s="81"/>
      <c r="I203" s="82" t="str">
        <f>IF(A203="","Pending",IF(H203="","⚠️ Enter Agent Code",IF(IFERROR(VLOOKUP(G203,DB_Agents!$B:$I,8,0),"")=H203,IF(AND(A203&lt;&gt;"",E203&lt;&gt;""),"Saved","Pending"),"🔒 BLOCKED — Wrong Code")))</f>
        <v>Pending</v>
      </c>
      <c r="J203" s="83" t="str">
        <f t="shared" ca="1" si="20"/>
        <v>—</v>
      </c>
      <c r="K203" s="84"/>
    </row>
    <row r="204" spans="1:11" ht="15" customHeight="1" x14ac:dyDescent="0.25">
      <c r="A204" s="85"/>
      <c r="B204" s="41" t="str">
        <f>IF(A204="","",IFERROR(VLOOKUP(A204,DB_Customers!$A:$D,4,0),"❌ Account Not Found"))</f>
        <v/>
      </c>
      <c r="C204" s="86" t="str">
        <f>IF(A204="","",IFERROR(IF(SUMIF(DB_Savings!$C:$C,A204,DB_Savings!$F:$F)=0,VLOOKUP(A204,DB_Customers!$A:$I,9,0),VLOOKUP(A204,DB_Customers!$A:$N,14,0)),"❌ Acct Not Found"))</f>
        <v/>
      </c>
      <c r="D204" s="87" t="str">
        <f t="shared" ca="1" si="18"/>
        <v/>
      </c>
      <c r="E204" s="79"/>
      <c r="F204" s="88" t="str">
        <f t="shared" si="19"/>
        <v/>
      </c>
      <c r="G204" s="43" t="s">
        <v>139</v>
      </c>
      <c r="H204" s="81"/>
      <c r="I204" s="89" t="str">
        <f>IF(A204="","Pending",IF(H204="","⚠️ Enter Agent Code",IF(IFERROR(VLOOKUP(G204,DB_Agents!$B:$I,8,0),"")=H204,IF(AND(A204&lt;&gt;"",E204&lt;&gt;""),"Saved","Pending"),"🔒 BLOCKED — Wrong Code")))</f>
        <v>Pending</v>
      </c>
      <c r="J204" s="90" t="str">
        <f t="shared" ca="1" si="20"/>
        <v>—</v>
      </c>
      <c r="K204" s="91"/>
    </row>
    <row r="205" spans="1:11" ht="15" customHeight="1" x14ac:dyDescent="0.25">
      <c r="A205" s="76"/>
      <c r="B205" s="37" t="str">
        <f>IF(A205="","",IFERROR(VLOOKUP(A205,DB_Customers!$A:$D,4,0),"❌ Account Not Found"))</f>
        <v/>
      </c>
      <c r="C205" s="77" t="str">
        <f>IF(A205="","",IFERROR(IF(SUMIF(DB_Savings!$C:$C,A205,DB_Savings!$F:$F)=0,VLOOKUP(A205,DB_Customers!$A:$I,9,0),VLOOKUP(A205,DB_Customers!$A:$N,14,0)),"❌ Acct Not Found"))</f>
        <v/>
      </c>
      <c r="D205" s="78" t="str">
        <f t="shared" ca="1" si="18"/>
        <v/>
      </c>
      <c r="E205" s="79"/>
      <c r="F205" s="80" t="str">
        <f t="shared" si="19"/>
        <v/>
      </c>
      <c r="G205" s="39" t="s">
        <v>139</v>
      </c>
      <c r="H205" s="81"/>
      <c r="I205" s="82" t="str">
        <f>IF(A205="","Pending",IF(H205="","⚠️ Enter Agent Code",IF(IFERROR(VLOOKUP(G205,DB_Agents!$B:$I,8,0),"")=H205,IF(AND(A205&lt;&gt;"",E205&lt;&gt;""),"Saved","Pending"),"🔒 BLOCKED — Wrong Code")))</f>
        <v>Pending</v>
      </c>
      <c r="J205" s="83" t="str">
        <f t="shared" ca="1" si="20"/>
        <v>—</v>
      </c>
      <c r="K205" s="84"/>
    </row>
    <row r="206" spans="1:11" ht="15" customHeight="1" x14ac:dyDescent="0.25">
      <c r="A206" s="85"/>
      <c r="B206" s="41" t="str">
        <f>IF(A206="","",IFERROR(VLOOKUP(A206,DB_Customers!$A:$D,4,0),"❌ Account Not Found"))</f>
        <v/>
      </c>
      <c r="C206" s="86" t="str">
        <f>IF(A206="","",IFERROR(IF(SUMIF(DB_Savings!$C:$C,A206,DB_Savings!$F:$F)=0,VLOOKUP(A206,DB_Customers!$A:$I,9,0),VLOOKUP(A206,DB_Customers!$A:$N,14,0)),"❌ Acct Not Found"))</f>
        <v/>
      </c>
      <c r="D206" s="87" t="str">
        <f t="shared" ca="1" si="18"/>
        <v/>
      </c>
      <c r="E206" s="79"/>
      <c r="F206" s="88" t="str">
        <f t="shared" si="19"/>
        <v/>
      </c>
      <c r="G206" s="43" t="s">
        <v>139</v>
      </c>
      <c r="H206" s="81"/>
      <c r="I206" s="89" t="str">
        <f>IF(A206="","Pending",IF(H206="","⚠️ Enter Agent Code",IF(IFERROR(VLOOKUP(G206,DB_Agents!$B:$I,8,0),"")=H206,IF(AND(A206&lt;&gt;"",E206&lt;&gt;""),"Saved","Pending"),"🔒 BLOCKED — Wrong Code")))</f>
        <v>Pending</v>
      </c>
      <c r="J206" s="90" t="str">
        <f t="shared" ca="1" si="20"/>
        <v>—</v>
      </c>
      <c r="K206" s="91"/>
    </row>
    <row r="207" spans="1:11" ht="15" customHeight="1" x14ac:dyDescent="0.25">
      <c r="A207" s="76"/>
      <c r="B207" s="37" t="str">
        <f>IF(A207="","",IFERROR(VLOOKUP(A207,DB_Customers!$A:$D,4,0),"❌ Account Not Found"))</f>
        <v/>
      </c>
      <c r="C207" s="77" t="str">
        <f>IF(A207="","",IFERROR(IF(SUMIF(DB_Savings!$C:$C,A207,DB_Savings!$F:$F)=0,VLOOKUP(A207,DB_Customers!$A:$I,9,0),VLOOKUP(A207,DB_Customers!$A:$N,14,0)),"❌ Acct Not Found"))</f>
        <v/>
      </c>
      <c r="D207" s="78" t="str">
        <f t="shared" ca="1" si="18"/>
        <v/>
      </c>
      <c r="E207" s="79"/>
      <c r="F207" s="80" t="str">
        <f t="shared" si="19"/>
        <v/>
      </c>
      <c r="G207" s="39" t="s">
        <v>139</v>
      </c>
      <c r="H207" s="81"/>
      <c r="I207" s="82" t="str">
        <f>IF(A207="","Pending",IF(H207="","⚠️ Enter Agent Code",IF(IFERROR(VLOOKUP(G207,DB_Agents!$B:$I,8,0),"")=H207,IF(AND(A207&lt;&gt;"",E207&lt;&gt;""),"Saved","Pending"),"🔒 BLOCKED — Wrong Code")))</f>
        <v>Pending</v>
      </c>
      <c r="J207" s="83" t="str">
        <f t="shared" ca="1" si="20"/>
        <v>—</v>
      </c>
      <c r="K207" s="84"/>
    </row>
    <row r="208" spans="1:11" ht="15" customHeight="1" x14ac:dyDescent="0.25">
      <c r="A208" s="85"/>
      <c r="B208" s="41" t="str">
        <f>IF(A208="","",IFERROR(VLOOKUP(A208,DB_Customers!$A:$D,4,0),"❌ Account Not Found"))</f>
        <v/>
      </c>
      <c r="C208" s="86" t="str">
        <f>IF(A208="","",IFERROR(IF(SUMIF(DB_Savings!$C:$C,A208,DB_Savings!$F:$F)=0,VLOOKUP(A208,DB_Customers!$A:$I,9,0),VLOOKUP(A208,DB_Customers!$A:$N,14,0)),"❌ Acct Not Found"))</f>
        <v/>
      </c>
      <c r="D208" s="87" t="str">
        <f t="shared" ca="1" si="18"/>
        <v/>
      </c>
      <c r="E208" s="79"/>
      <c r="F208" s="88" t="str">
        <f t="shared" si="19"/>
        <v/>
      </c>
      <c r="G208" s="43" t="s">
        <v>139</v>
      </c>
      <c r="H208" s="81"/>
      <c r="I208" s="89" t="str">
        <f>IF(A208="","Pending",IF(H208="","⚠️ Enter Agent Code",IF(IFERROR(VLOOKUP(G208,DB_Agents!$B:$I,8,0),"")=H208,IF(AND(A208&lt;&gt;"",E208&lt;&gt;""),"Saved","Pending"),"🔒 BLOCKED — Wrong Code")))</f>
        <v>Pending</v>
      </c>
      <c r="J208" s="90" t="str">
        <f t="shared" ca="1" si="20"/>
        <v>—</v>
      </c>
      <c r="K208" s="91"/>
    </row>
  </sheetData>
  <mergeCells count="12">
    <mergeCell ref="A2:L2"/>
    <mergeCell ref="A7:L7"/>
    <mergeCell ref="A1:L1"/>
    <mergeCell ref="A5:L5"/>
    <mergeCell ref="D4:F4"/>
    <mergeCell ref="G4:I4"/>
    <mergeCell ref="A3:C3"/>
    <mergeCell ref="J4:L4"/>
    <mergeCell ref="D3:F3"/>
    <mergeCell ref="G3:I3"/>
    <mergeCell ref="A4:C4"/>
    <mergeCell ref="J3:L3"/>
  </mergeCells>
  <conditionalFormatting sqref="H9:H208">
    <cfRule type="cellIs" dxfId="42" priority="2" operator="equal">
      <formula>"Saved"</formula>
    </cfRule>
    <cfRule type="cellIs" dxfId="41" priority="3" operator="equal">
      <formula>"Pending"</formula>
    </cfRule>
  </conditionalFormatting>
  <conditionalFormatting sqref="A9:J208">
    <cfRule type="expression" dxfId="40" priority="4">
      <formula>$H9="Saved"</formula>
    </cfRule>
  </conditionalFormatting>
  <dataValidations count="2">
    <dataValidation type="decimal" operator="greaterThan" showErrorMessage="1" error="Must be &gt; 0" sqref="E9:E208" xr:uid="{00000000-0002-0000-1B00-000000000000}">
      <formula1>0</formula1>
      <formula2>0</formula2>
    </dataValidation>
    <dataValidation type="list" sqref="G9:G208" xr:uid="{00000000-0002-0000-1B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67" t="s">
        <v>370</v>
      </c>
      <c r="B1" s="265"/>
      <c r="C1" s="265"/>
      <c r="D1" s="265"/>
      <c r="E1" s="265"/>
      <c r="F1" s="265"/>
      <c r="G1" s="265"/>
      <c r="H1" s="265"/>
      <c r="I1" s="265"/>
      <c r="J1" s="265"/>
      <c r="K1" s="265"/>
      <c r="L1" s="265"/>
      <c r="M1" s="265"/>
    </row>
    <row r="2" spans="1:13" ht="19.5" customHeight="1" x14ac:dyDescent="0.25">
      <c r="A2" s="366" t="s">
        <v>371</v>
      </c>
      <c r="B2" s="265"/>
      <c r="C2" s="265"/>
      <c r="D2" s="265"/>
      <c r="E2" s="265"/>
      <c r="F2" s="265"/>
      <c r="G2" s="265"/>
      <c r="H2" s="265"/>
      <c r="I2" s="265"/>
      <c r="J2" s="265"/>
      <c r="K2" s="265"/>
      <c r="L2" s="265"/>
      <c r="M2" s="265"/>
    </row>
    <row r="3" spans="1:13" ht="18" customHeight="1" x14ac:dyDescent="0.25">
      <c r="A3" s="328" t="s">
        <v>324</v>
      </c>
      <c r="B3" s="265"/>
      <c r="C3" s="265"/>
      <c r="D3" s="323" t="s">
        <v>325</v>
      </c>
      <c r="E3" s="265"/>
      <c r="F3" s="265"/>
      <c r="G3" s="35" t="s">
        <v>326</v>
      </c>
      <c r="K3" s="66" t="s">
        <v>313</v>
      </c>
    </row>
    <row r="4" spans="1:13" ht="27.75" customHeight="1" x14ac:dyDescent="0.25">
      <c r="A4" s="365">
        <f ca="1">SUMIFS(DB_Withdrawals!$G:$G,DB_Withdrawals!$J:$J,"Agent 07",DB_Withdrawals!$F:$F,TODAY())</f>
        <v>0</v>
      </c>
      <c r="B4" s="265"/>
      <c r="C4" s="265"/>
      <c r="D4" s="369">
        <f ca="1">COUNTIFS(DB_Withdrawals!$J:$J,"Agent 07",DB_Withdrawals!$K:$K,"Successful",DB_Withdrawals!$F:$F,TODAY())</f>
        <v>0</v>
      </c>
      <c r="E4" s="265"/>
      <c r="F4" s="265"/>
      <c r="G4" s="92">
        <f ca="1">COUNTIFS(DB_Withdrawals!$J:$J,"Agent 07",DB_Withdrawals!$K:$K,"Unsuccessful",DB_Withdrawals!$F:$F,TODAY())</f>
        <v>0</v>
      </c>
      <c r="K4" s="74" t="str">
        <f ca="1">TEXT(TODAY(),"DD MMM YYYY")</f>
        <v>24 Apr 2026</v>
      </c>
    </row>
    <row r="5" spans="1:13" ht="19.5" customHeight="1" x14ac:dyDescent="0.25">
      <c r="A5" s="368" t="s">
        <v>327</v>
      </c>
      <c r="B5" s="265"/>
      <c r="C5" s="265"/>
      <c r="D5" s="265"/>
      <c r="E5" s="265"/>
      <c r="F5" s="265"/>
      <c r="G5" s="265"/>
      <c r="H5" s="265"/>
      <c r="I5" s="265"/>
      <c r="J5" s="265"/>
      <c r="K5" s="265"/>
      <c r="L5" s="265"/>
      <c r="M5" s="265"/>
    </row>
    <row r="6" spans="1:13" ht="7.5" customHeight="1" x14ac:dyDescent="0.25"/>
    <row r="7" spans="1:13" ht="19.5" customHeight="1" x14ac:dyDescent="0.25">
      <c r="A7" s="364" t="s">
        <v>328</v>
      </c>
      <c r="B7" s="265"/>
      <c r="C7" s="265"/>
      <c r="D7" s="265"/>
      <c r="E7" s="265"/>
      <c r="F7" s="265"/>
      <c r="G7" s="265"/>
      <c r="H7" s="265"/>
      <c r="I7" s="265"/>
      <c r="J7" s="265"/>
      <c r="K7" s="265"/>
      <c r="L7" s="265"/>
      <c r="M7" s="265"/>
    </row>
    <row r="8" spans="1:13" ht="19.5" customHeight="1" x14ac:dyDescent="0.25">
      <c r="A8" s="93" t="s">
        <v>315</v>
      </c>
      <c r="B8" s="93" t="s">
        <v>77</v>
      </c>
      <c r="C8" s="93" t="s">
        <v>329</v>
      </c>
      <c r="D8" s="93" t="s">
        <v>78</v>
      </c>
      <c r="E8" s="93" t="s">
        <v>330</v>
      </c>
      <c r="F8" s="93" t="s">
        <v>331</v>
      </c>
      <c r="G8" s="93" t="s">
        <v>318</v>
      </c>
      <c r="H8" s="93" t="s">
        <v>14</v>
      </c>
      <c r="I8" s="75" t="s">
        <v>319</v>
      </c>
      <c r="J8" s="93" t="s">
        <v>13</v>
      </c>
      <c r="K8" s="93" t="s">
        <v>320</v>
      </c>
      <c r="L8" s="93" t="s">
        <v>321</v>
      </c>
    </row>
    <row r="9" spans="1:13" ht="15" customHeight="1" x14ac:dyDescent="0.25">
      <c r="A9" s="76"/>
      <c r="B9" s="37" t="str">
        <f>IF(A9="","",IFERROR(VLOOKUP(A9,DB_Customers!$A:$D,4,0),"❌ Account Not Found"))</f>
        <v/>
      </c>
      <c r="C9" s="77" t="str">
        <f>IF(A9="","",IFERROR(VLOOKUP(A9,DB_Customers!$A:$N,14,0),"❌ Acct Not Found"))</f>
        <v/>
      </c>
      <c r="D9" s="78" t="str">
        <f t="shared" ref="D9:D40" ca="1" si="0">IF(A9="","",TODAY())</f>
        <v/>
      </c>
      <c r="E9" s="94"/>
      <c r="F9" s="37"/>
      <c r="G9" s="95" t="str">
        <f t="shared" ref="G9:G40" si="1">IF(OR(A9="",E9=""),"",IF(C9="","",C9-E9))</f>
        <v/>
      </c>
      <c r="H9" s="39" t="s">
        <v>139</v>
      </c>
      <c r="I9" s="81"/>
      <c r="J9" s="82" t="str">
        <f>IF(AND(A9&lt;&gt;"",E9&lt;&gt;""),IF(I9="","⚠️ Enter Code",IF(IFERROR(VLOOKUP(H9,DB_Agents!$B:$I,8,0),"")=I9,IF(C9&gt;=E9,"Successful","Unsuccessful"),"🔒 BLOCKED — Wrong Code")),"Pending")</f>
        <v>Pending</v>
      </c>
      <c r="K9" s="83" t="str">
        <f t="shared" ref="K9:K40" ca="1" si="2">IF(J9="Successful",TEXT(TODAY(),"YYYY-MM-DD")&amp;" Auto","—")</f>
        <v>—</v>
      </c>
      <c r="L9" s="84"/>
    </row>
    <row r="10" spans="1:13" ht="15" customHeight="1" x14ac:dyDescent="0.25">
      <c r="A10" s="85"/>
      <c r="B10" s="41" t="str">
        <f>IF(A10="","",IFERROR(VLOOKUP(A10,DB_Customers!$A:$D,4,0),"❌ Account Not Found"))</f>
        <v/>
      </c>
      <c r="C10" s="86" t="str">
        <f>IF(A10="","",IFERROR(VLOOKUP(A10,DB_Customers!$A:$N,14,0),"❌ Acct Not Found"))</f>
        <v/>
      </c>
      <c r="D10" s="87" t="str">
        <f t="shared" ca="1" si="0"/>
        <v/>
      </c>
      <c r="E10" s="94"/>
      <c r="F10" s="41"/>
      <c r="G10" s="96" t="str">
        <f t="shared" si="1"/>
        <v/>
      </c>
      <c r="H10" s="43" t="s">
        <v>139</v>
      </c>
      <c r="I10" s="81"/>
      <c r="J10" s="89" t="str">
        <f>IF(AND(A10&lt;&gt;"",E10&lt;&gt;""),IF(I10="","⚠️ Enter Code",IF(IFERROR(VLOOKUP(H10,DB_Agents!$B:$I,8,0),"")=I10,IF(C10&gt;=E10,"Successful","Unsuccessful"),"🔒 BLOCKED — Wrong Code")),"Pending")</f>
        <v>Pending</v>
      </c>
      <c r="K10" s="90" t="str">
        <f t="shared" ca="1" si="2"/>
        <v>—</v>
      </c>
      <c r="L10" s="91"/>
    </row>
    <row r="11" spans="1:13" ht="15" customHeight="1" x14ac:dyDescent="0.25">
      <c r="A11" s="76"/>
      <c r="B11" s="37" t="str">
        <f>IF(A11="","",IFERROR(VLOOKUP(A11,DB_Customers!$A:$D,4,0),"❌ Account Not Found"))</f>
        <v/>
      </c>
      <c r="C11" s="77" t="str">
        <f>IF(A11="","",IFERROR(VLOOKUP(A11,DB_Customers!$A:$N,14,0),"❌ Acct Not Found"))</f>
        <v/>
      </c>
      <c r="D11" s="78" t="str">
        <f t="shared" ca="1" si="0"/>
        <v/>
      </c>
      <c r="E11" s="94"/>
      <c r="F11" s="37"/>
      <c r="G11" s="95" t="str">
        <f t="shared" si="1"/>
        <v/>
      </c>
      <c r="H11" s="39" t="s">
        <v>139</v>
      </c>
      <c r="I11" s="81"/>
      <c r="J11" s="82" t="str">
        <f>IF(AND(A11&lt;&gt;"",E11&lt;&gt;""),IF(I11="","⚠️ Enter Code",IF(IFERROR(VLOOKUP(H11,DB_Agents!$B:$I,8,0),"")=I11,IF(C11&gt;=E11,"Successful","Unsuccessful"),"🔒 BLOCKED — Wrong Code")),"Pending")</f>
        <v>Pending</v>
      </c>
      <c r="K11" s="83" t="str">
        <f t="shared" ca="1" si="2"/>
        <v>—</v>
      </c>
      <c r="L11" s="84"/>
    </row>
    <row r="12" spans="1:13" ht="15" customHeight="1" x14ac:dyDescent="0.25">
      <c r="A12" s="85"/>
      <c r="B12" s="41" t="str">
        <f>IF(A12="","",IFERROR(VLOOKUP(A12,DB_Customers!$A:$D,4,0),"❌ Account Not Found"))</f>
        <v/>
      </c>
      <c r="C12" s="86" t="str">
        <f>IF(A12="","",IFERROR(VLOOKUP(A12,DB_Customers!$A:$N,14,0),"❌ Acct Not Found"))</f>
        <v/>
      </c>
      <c r="D12" s="87" t="str">
        <f t="shared" ca="1" si="0"/>
        <v/>
      </c>
      <c r="E12" s="94"/>
      <c r="F12" s="41"/>
      <c r="G12" s="96" t="str">
        <f t="shared" si="1"/>
        <v/>
      </c>
      <c r="H12" s="43" t="s">
        <v>139</v>
      </c>
      <c r="I12" s="81"/>
      <c r="J12" s="89" t="str">
        <f>IF(AND(A12&lt;&gt;"",E12&lt;&gt;""),IF(I12="","⚠️ Enter Code",IF(IFERROR(VLOOKUP(H12,DB_Agents!$B:$I,8,0),"")=I12,IF(C12&gt;=E12,"Successful","Unsuccessful"),"🔒 BLOCKED — Wrong Code")),"Pending")</f>
        <v>Pending</v>
      </c>
      <c r="K12" s="90" t="str">
        <f t="shared" ca="1" si="2"/>
        <v>—</v>
      </c>
      <c r="L12" s="91"/>
    </row>
    <row r="13" spans="1:13" ht="15" customHeight="1" x14ac:dyDescent="0.25">
      <c r="A13" s="76"/>
      <c r="B13" s="37" t="str">
        <f>IF(A13="","",IFERROR(VLOOKUP(A13,DB_Customers!$A:$D,4,0),"❌ Account Not Found"))</f>
        <v/>
      </c>
      <c r="C13" s="77" t="str">
        <f>IF(A13="","",IFERROR(VLOOKUP(A13,DB_Customers!$A:$N,14,0),"❌ Acct Not Found"))</f>
        <v/>
      </c>
      <c r="D13" s="78" t="str">
        <f t="shared" ca="1" si="0"/>
        <v/>
      </c>
      <c r="E13" s="94"/>
      <c r="F13" s="37"/>
      <c r="G13" s="95" t="str">
        <f t="shared" si="1"/>
        <v/>
      </c>
      <c r="H13" s="39" t="s">
        <v>139</v>
      </c>
      <c r="I13" s="81"/>
      <c r="J13" s="82" t="str">
        <f>IF(AND(A13&lt;&gt;"",E13&lt;&gt;""),IF(I13="","⚠️ Enter Code",IF(IFERROR(VLOOKUP(H13,DB_Agents!$B:$I,8,0),"")=I13,IF(C13&gt;=E13,"Successful","Unsuccessful"),"🔒 BLOCKED — Wrong Code")),"Pending")</f>
        <v>Pending</v>
      </c>
      <c r="K13" s="83" t="str">
        <f t="shared" ca="1" si="2"/>
        <v>—</v>
      </c>
      <c r="L13" s="84"/>
    </row>
    <row r="14" spans="1:13" ht="15" customHeight="1" x14ac:dyDescent="0.25">
      <c r="A14" s="85"/>
      <c r="B14" s="41" t="str">
        <f>IF(A14="","",IFERROR(VLOOKUP(A14,DB_Customers!$A:$D,4,0),"❌ Account Not Found"))</f>
        <v/>
      </c>
      <c r="C14" s="86" t="str">
        <f>IF(A14="","",IFERROR(VLOOKUP(A14,DB_Customers!$A:$N,14,0),"❌ Acct Not Found"))</f>
        <v/>
      </c>
      <c r="D14" s="87" t="str">
        <f t="shared" ca="1" si="0"/>
        <v/>
      </c>
      <c r="E14" s="94"/>
      <c r="F14" s="41"/>
      <c r="G14" s="96" t="str">
        <f t="shared" si="1"/>
        <v/>
      </c>
      <c r="H14" s="43" t="s">
        <v>139</v>
      </c>
      <c r="I14" s="81"/>
      <c r="J14" s="89" t="str">
        <f>IF(AND(A14&lt;&gt;"",E14&lt;&gt;""),IF(I14="","⚠️ Enter Code",IF(IFERROR(VLOOKUP(H14,DB_Agents!$B:$I,8,0),"")=I14,IF(C14&gt;=E14,"Successful","Unsuccessful"),"🔒 BLOCKED — Wrong Code")),"Pending")</f>
        <v>Pending</v>
      </c>
      <c r="K14" s="90" t="str">
        <f t="shared" ca="1" si="2"/>
        <v>—</v>
      </c>
      <c r="L14" s="91"/>
    </row>
    <row r="15" spans="1:13" ht="15" customHeight="1" x14ac:dyDescent="0.25">
      <c r="A15" s="76"/>
      <c r="B15" s="37" t="str">
        <f>IF(A15="","",IFERROR(VLOOKUP(A15,DB_Customers!$A:$D,4,0),"❌ Account Not Found"))</f>
        <v/>
      </c>
      <c r="C15" s="77" t="str">
        <f>IF(A15="","",IFERROR(VLOOKUP(A15,DB_Customers!$A:$N,14,0),"❌ Acct Not Found"))</f>
        <v/>
      </c>
      <c r="D15" s="78" t="str">
        <f t="shared" ca="1" si="0"/>
        <v/>
      </c>
      <c r="E15" s="94"/>
      <c r="F15" s="37"/>
      <c r="G15" s="95" t="str">
        <f t="shared" si="1"/>
        <v/>
      </c>
      <c r="H15" s="39" t="s">
        <v>139</v>
      </c>
      <c r="I15" s="81"/>
      <c r="J15" s="82" t="str">
        <f>IF(AND(A15&lt;&gt;"",E15&lt;&gt;""),IF(I15="","⚠️ Enter Code",IF(IFERROR(VLOOKUP(H15,DB_Agents!$B:$I,8,0),"")=I15,IF(C15&gt;=E15,"Successful","Unsuccessful"),"🔒 BLOCKED — Wrong Code")),"Pending")</f>
        <v>Pending</v>
      </c>
      <c r="K15" s="83" t="str">
        <f t="shared" ca="1" si="2"/>
        <v>—</v>
      </c>
      <c r="L15" s="84"/>
    </row>
    <row r="16" spans="1:13" ht="15" customHeight="1" x14ac:dyDescent="0.25">
      <c r="A16" s="85"/>
      <c r="B16" s="41" t="str">
        <f>IF(A16="","",IFERROR(VLOOKUP(A16,DB_Customers!$A:$D,4,0),"❌ Account Not Found"))</f>
        <v/>
      </c>
      <c r="C16" s="86" t="str">
        <f>IF(A16="","",IFERROR(VLOOKUP(A16,DB_Customers!$A:$N,14,0),"❌ Acct Not Found"))</f>
        <v/>
      </c>
      <c r="D16" s="87" t="str">
        <f t="shared" ca="1" si="0"/>
        <v/>
      </c>
      <c r="E16" s="94"/>
      <c r="F16" s="41"/>
      <c r="G16" s="96" t="str">
        <f t="shared" si="1"/>
        <v/>
      </c>
      <c r="H16" s="43" t="s">
        <v>139</v>
      </c>
      <c r="I16" s="81"/>
      <c r="J16" s="89" t="str">
        <f>IF(AND(A16&lt;&gt;"",E16&lt;&gt;""),IF(I16="","⚠️ Enter Code",IF(IFERROR(VLOOKUP(H16,DB_Agents!$B:$I,8,0),"")=I16,IF(C16&gt;=E16,"Successful","Unsuccessful"),"🔒 BLOCKED — Wrong Code")),"Pending")</f>
        <v>Pending</v>
      </c>
      <c r="K16" s="90" t="str">
        <f t="shared" ca="1" si="2"/>
        <v>—</v>
      </c>
      <c r="L16" s="91"/>
    </row>
    <row r="17" spans="1:12" ht="15" customHeight="1" x14ac:dyDescent="0.25">
      <c r="A17" s="76"/>
      <c r="B17" s="37" t="str">
        <f>IF(A17="","",IFERROR(VLOOKUP(A17,DB_Customers!$A:$D,4,0),"❌ Account Not Found"))</f>
        <v/>
      </c>
      <c r="C17" s="77" t="str">
        <f>IF(A17="","",IFERROR(VLOOKUP(A17,DB_Customers!$A:$N,14,0),"❌ Acct Not Found"))</f>
        <v/>
      </c>
      <c r="D17" s="78" t="str">
        <f t="shared" ca="1" si="0"/>
        <v/>
      </c>
      <c r="E17" s="94"/>
      <c r="F17" s="37"/>
      <c r="G17" s="95" t="str">
        <f t="shared" si="1"/>
        <v/>
      </c>
      <c r="H17" s="39" t="s">
        <v>139</v>
      </c>
      <c r="I17" s="81"/>
      <c r="J17" s="82" t="str">
        <f>IF(AND(A17&lt;&gt;"",E17&lt;&gt;""),IF(I17="","⚠️ Enter Code",IF(IFERROR(VLOOKUP(H17,DB_Agents!$B:$I,8,0),"")=I17,IF(C17&gt;=E17,"Successful","Unsuccessful"),"🔒 BLOCKED — Wrong Code")),"Pending")</f>
        <v>Pending</v>
      </c>
      <c r="K17" s="83" t="str">
        <f t="shared" ca="1" si="2"/>
        <v>—</v>
      </c>
      <c r="L17" s="84"/>
    </row>
    <row r="18" spans="1:12" ht="15" customHeight="1" x14ac:dyDescent="0.25">
      <c r="A18" s="85"/>
      <c r="B18" s="41" t="str">
        <f>IF(A18="","",IFERROR(VLOOKUP(A18,DB_Customers!$A:$D,4,0),"❌ Account Not Found"))</f>
        <v/>
      </c>
      <c r="C18" s="86" t="str">
        <f>IF(A18="","",IFERROR(VLOOKUP(A18,DB_Customers!$A:$N,14,0),"❌ Acct Not Found"))</f>
        <v/>
      </c>
      <c r="D18" s="87" t="str">
        <f t="shared" ca="1" si="0"/>
        <v/>
      </c>
      <c r="E18" s="94"/>
      <c r="F18" s="41"/>
      <c r="G18" s="96" t="str">
        <f t="shared" si="1"/>
        <v/>
      </c>
      <c r="H18" s="43" t="s">
        <v>139</v>
      </c>
      <c r="I18" s="81"/>
      <c r="J18" s="89" t="str">
        <f>IF(AND(A18&lt;&gt;"",E18&lt;&gt;""),IF(I18="","⚠️ Enter Code",IF(IFERROR(VLOOKUP(H18,DB_Agents!$B:$I,8,0),"")=I18,IF(C18&gt;=E18,"Successful","Unsuccessful"),"🔒 BLOCKED — Wrong Code")),"Pending")</f>
        <v>Pending</v>
      </c>
      <c r="K18" s="90" t="str">
        <f t="shared" ca="1" si="2"/>
        <v>—</v>
      </c>
      <c r="L18" s="91"/>
    </row>
    <row r="19" spans="1:12" ht="15" customHeight="1" x14ac:dyDescent="0.25">
      <c r="A19" s="76"/>
      <c r="B19" s="37" t="str">
        <f>IF(A19="","",IFERROR(VLOOKUP(A19,DB_Customers!$A:$D,4,0),"❌ Account Not Found"))</f>
        <v/>
      </c>
      <c r="C19" s="77" t="str">
        <f>IF(A19="","",IFERROR(VLOOKUP(A19,DB_Customers!$A:$N,14,0),"❌ Acct Not Found"))</f>
        <v/>
      </c>
      <c r="D19" s="78" t="str">
        <f t="shared" ca="1" si="0"/>
        <v/>
      </c>
      <c r="E19" s="94"/>
      <c r="F19" s="37"/>
      <c r="G19" s="95" t="str">
        <f t="shared" si="1"/>
        <v/>
      </c>
      <c r="H19" s="39" t="s">
        <v>139</v>
      </c>
      <c r="I19" s="81"/>
      <c r="J19" s="82" t="str">
        <f>IF(AND(A19&lt;&gt;"",E19&lt;&gt;""),IF(I19="","⚠️ Enter Code",IF(IFERROR(VLOOKUP(H19,DB_Agents!$B:$I,8,0),"")=I19,IF(C19&gt;=E19,"Successful","Unsuccessful"),"🔒 BLOCKED — Wrong Code")),"Pending")</f>
        <v>Pending</v>
      </c>
      <c r="K19" s="83" t="str">
        <f t="shared" ca="1" si="2"/>
        <v>—</v>
      </c>
      <c r="L19" s="84"/>
    </row>
    <row r="20" spans="1:12" ht="15" customHeight="1" x14ac:dyDescent="0.25">
      <c r="A20" s="85"/>
      <c r="B20" s="41" t="str">
        <f>IF(A20="","",IFERROR(VLOOKUP(A20,DB_Customers!$A:$D,4,0),"❌ Account Not Found"))</f>
        <v/>
      </c>
      <c r="C20" s="86" t="str">
        <f>IF(A20="","",IFERROR(VLOOKUP(A20,DB_Customers!$A:$N,14,0),"❌ Acct Not Found"))</f>
        <v/>
      </c>
      <c r="D20" s="87" t="str">
        <f t="shared" ca="1" si="0"/>
        <v/>
      </c>
      <c r="E20" s="94"/>
      <c r="F20" s="41"/>
      <c r="G20" s="96" t="str">
        <f t="shared" si="1"/>
        <v/>
      </c>
      <c r="H20" s="43" t="s">
        <v>139</v>
      </c>
      <c r="I20" s="81"/>
      <c r="J20" s="89" t="str">
        <f>IF(AND(A20&lt;&gt;"",E20&lt;&gt;""),IF(I20="","⚠️ Enter Code",IF(IFERROR(VLOOKUP(H20,DB_Agents!$B:$I,8,0),"")=I20,IF(C20&gt;=E20,"Successful","Unsuccessful"),"🔒 BLOCKED — Wrong Code")),"Pending")</f>
        <v>Pending</v>
      </c>
      <c r="K20" s="90" t="str">
        <f t="shared" ca="1" si="2"/>
        <v>—</v>
      </c>
      <c r="L20" s="91"/>
    </row>
    <row r="21" spans="1:12" ht="15" customHeight="1" x14ac:dyDescent="0.25">
      <c r="A21" s="76"/>
      <c r="B21" s="37" t="str">
        <f>IF(A21="","",IFERROR(VLOOKUP(A21,DB_Customers!$A:$D,4,0),"❌ Account Not Found"))</f>
        <v/>
      </c>
      <c r="C21" s="77" t="str">
        <f>IF(A21="","",IFERROR(VLOOKUP(A21,DB_Customers!$A:$N,14,0),"❌ Acct Not Found"))</f>
        <v/>
      </c>
      <c r="D21" s="78" t="str">
        <f t="shared" ca="1" si="0"/>
        <v/>
      </c>
      <c r="E21" s="94"/>
      <c r="F21" s="37"/>
      <c r="G21" s="95" t="str">
        <f t="shared" si="1"/>
        <v/>
      </c>
      <c r="H21" s="39" t="s">
        <v>139</v>
      </c>
      <c r="I21" s="81"/>
      <c r="J21" s="82" t="str">
        <f>IF(AND(A21&lt;&gt;"",E21&lt;&gt;""),IF(I21="","⚠️ Enter Code",IF(IFERROR(VLOOKUP(H21,DB_Agents!$B:$I,8,0),"")=I21,IF(C21&gt;=E21,"Successful","Unsuccessful"),"🔒 BLOCKED — Wrong Code")),"Pending")</f>
        <v>Pending</v>
      </c>
      <c r="K21" s="83" t="str">
        <f t="shared" ca="1" si="2"/>
        <v>—</v>
      </c>
      <c r="L21" s="84"/>
    </row>
    <row r="22" spans="1:12" ht="15" customHeight="1" x14ac:dyDescent="0.25">
      <c r="A22" s="85"/>
      <c r="B22" s="41" t="str">
        <f>IF(A22="","",IFERROR(VLOOKUP(A22,DB_Customers!$A:$D,4,0),"❌ Account Not Found"))</f>
        <v/>
      </c>
      <c r="C22" s="86" t="str">
        <f>IF(A22="","",IFERROR(VLOOKUP(A22,DB_Customers!$A:$N,14,0),"❌ Acct Not Found"))</f>
        <v/>
      </c>
      <c r="D22" s="87" t="str">
        <f t="shared" ca="1" si="0"/>
        <v/>
      </c>
      <c r="E22" s="94"/>
      <c r="F22" s="41"/>
      <c r="G22" s="96" t="str">
        <f t="shared" si="1"/>
        <v/>
      </c>
      <c r="H22" s="43" t="s">
        <v>139</v>
      </c>
      <c r="I22" s="81"/>
      <c r="J22" s="89" t="str">
        <f>IF(AND(A22&lt;&gt;"",E22&lt;&gt;""),IF(I22="","⚠️ Enter Code",IF(IFERROR(VLOOKUP(H22,DB_Agents!$B:$I,8,0),"")=I22,IF(C22&gt;=E22,"Successful","Unsuccessful"),"🔒 BLOCKED — Wrong Code")),"Pending")</f>
        <v>Pending</v>
      </c>
      <c r="K22" s="90" t="str">
        <f t="shared" ca="1" si="2"/>
        <v>—</v>
      </c>
      <c r="L22" s="91"/>
    </row>
    <row r="23" spans="1:12" ht="15" customHeight="1" x14ac:dyDescent="0.25">
      <c r="A23" s="76"/>
      <c r="B23" s="37" t="str">
        <f>IF(A23="","",IFERROR(VLOOKUP(A23,DB_Customers!$A:$D,4,0),"❌ Account Not Found"))</f>
        <v/>
      </c>
      <c r="C23" s="77" t="str">
        <f>IF(A23="","",IFERROR(VLOOKUP(A23,DB_Customers!$A:$N,14,0),"❌ Acct Not Found"))</f>
        <v/>
      </c>
      <c r="D23" s="78" t="str">
        <f t="shared" ca="1" si="0"/>
        <v/>
      </c>
      <c r="E23" s="94"/>
      <c r="F23" s="37"/>
      <c r="G23" s="95" t="str">
        <f t="shared" si="1"/>
        <v/>
      </c>
      <c r="H23" s="39" t="s">
        <v>139</v>
      </c>
      <c r="I23" s="81"/>
      <c r="J23" s="82" t="str">
        <f>IF(AND(A23&lt;&gt;"",E23&lt;&gt;""),IF(I23="","⚠️ Enter Code",IF(IFERROR(VLOOKUP(H23,DB_Agents!$B:$I,8,0),"")=I23,IF(C23&gt;=E23,"Successful","Unsuccessful"),"🔒 BLOCKED — Wrong Code")),"Pending")</f>
        <v>Pending</v>
      </c>
      <c r="K23" s="83" t="str">
        <f t="shared" ca="1" si="2"/>
        <v>—</v>
      </c>
      <c r="L23" s="84"/>
    </row>
    <row r="24" spans="1:12" ht="15" customHeight="1" x14ac:dyDescent="0.25">
      <c r="A24" s="85"/>
      <c r="B24" s="41" t="str">
        <f>IF(A24="","",IFERROR(VLOOKUP(A24,DB_Customers!$A:$D,4,0),"❌ Account Not Found"))</f>
        <v/>
      </c>
      <c r="C24" s="86" t="str">
        <f>IF(A24="","",IFERROR(VLOOKUP(A24,DB_Customers!$A:$N,14,0),"❌ Acct Not Found"))</f>
        <v/>
      </c>
      <c r="D24" s="87" t="str">
        <f t="shared" ca="1" si="0"/>
        <v/>
      </c>
      <c r="E24" s="94"/>
      <c r="F24" s="41"/>
      <c r="G24" s="96" t="str">
        <f t="shared" si="1"/>
        <v/>
      </c>
      <c r="H24" s="43" t="s">
        <v>139</v>
      </c>
      <c r="I24" s="81"/>
      <c r="J24" s="89" t="str">
        <f>IF(AND(A24&lt;&gt;"",E24&lt;&gt;""),IF(I24="","⚠️ Enter Code",IF(IFERROR(VLOOKUP(H24,DB_Agents!$B:$I,8,0),"")=I24,IF(C24&gt;=E24,"Successful","Unsuccessful"),"🔒 BLOCKED — Wrong Code")),"Pending")</f>
        <v>Pending</v>
      </c>
      <c r="K24" s="90" t="str">
        <f t="shared" ca="1" si="2"/>
        <v>—</v>
      </c>
      <c r="L24" s="91"/>
    </row>
    <row r="25" spans="1:12" ht="15" customHeight="1" x14ac:dyDescent="0.25">
      <c r="A25" s="76"/>
      <c r="B25" s="37" t="str">
        <f>IF(A25="","",IFERROR(VLOOKUP(A25,DB_Customers!$A:$D,4,0),"❌ Account Not Found"))</f>
        <v/>
      </c>
      <c r="C25" s="77" t="str">
        <f>IF(A25="","",IFERROR(VLOOKUP(A25,DB_Customers!$A:$N,14,0),"❌ Acct Not Found"))</f>
        <v/>
      </c>
      <c r="D25" s="78" t="str">
        <f t="shared" ca="1" si="0"/>
        <v/>
      </c>
      <c r="E25" s="94"/>
      <c r="F25" s="37"/>
      <c r="G25" s="95" t="str">
        <f t="shared" si="1"/>
        <v/>
      </c>
      <c r="H25" s="39" t="s">
        <v>139</v>
      </c>
      <c r="I25" s="81"/>
      <c r="J25" s="82" t="str">
        <f>IF(AND(A25&lt;&gt;"",E25&lt;&gt;""),IF(I25="","⚠️ Enter Code",IF(IFERROR(VLOOKUP(H25,DB_Agents!$B:$I,8,0),"")=I25,IF(C25&gt;=E25,"Successful","Unsuccessful"),"🔒 BLOCKED — Wrong Code")),"Pending")</f>
        <v>Pending</v>
      </c>
      <c r="K25" s="83" t="str">
        <f t="shared" ca="1" si="2"/>
        <v>—</v>
      </c>
      <c r="L25" s="84"/>
    </row>
    <row r="26" spans="1:12" ht="15" customHeight="1" x14ac:dyDescent="0.25">
      <c r="A26" s="85"/>
      <c r="B26" s="41" t="str">
        <f>IF(A26="","",IFERROR(VLOOKUP(A26,DB_Customers!$A:$D,4,0),"❌ Account Not Found"))</f>
        <v/>
      </c>
      <c r="C26" s="86" t="str">
        <f>IF(A26="","",IFERROR(VLOOKUP(A26,DB_Customers!$A:$N,14,0),"❌ Acct Not Found"))</f>
        <v/>
      </c>
      <c r="D26" s="87" t="str">
        <f t="shared" ca="1" si="0"/>
        <v/>
      </c>
      <c r="E26" s="94"/>
      <c r="F26" s="41"/>
      <c r="G26" s="96" t="str">
        <f t="shared" si="1"/>
        <v/>
      </c>
      <c r="H26" s="43" t="s">
        <v>139</v>
      </c>
      <c r="I26" s="81"/>
      <c r="J26" s="89" t="str">
        <f>IF(AND(A26&lt;&gt;"",E26&lt;&gt;""),IF(I26="","⚠️ Enter Code",IF(IFERROR(VLOOKUP(H26,DB_Agents!$B:$I,8,0),"")=I26,IF(C26&gt;=E26,"Successful","Unsuccessful"),"🔒 BLOCKED — Wrong Code")),"Pending")</f>
        <v>Pending</v>
      </c>
      <c r="K26" s="90" t="str">
        <f t="shared" ca="1" si="2"/>
        <v>—</v>
      </c>
      <c r="L26" s="91"/>
    </row>
    <row r="27" spans="1:12" ht="15" customHeight="1" x14ac:dyDescent="0.25">
      <c r="A27" s="76"/>
      <c r="B27" s="37" t="str">
        <f>IF(A27="","",IFERROR(VLOOKUP(A27,DB_Customers!$A:$D,4,0),"❌ Account Not Found"))</f>
        <v/>
      </c>
      <c r="C27" s="77" t="str">
        <f>IF(A27="","",IFERROR(VLOOKUP(A27,DB_Customers!$A:$N,14,0),"❌ Acct Not Found"))</f>
        <v/>
      </c>
      <c r="D27" s="78" t="str">
        <f t="shared" ca="1" si="0"/>
        <v/>
      </c>
      <c r="E27" s="94"/>
      <c r="F27" s="37"/>
      <c r="G27" s="95" t="str">
        <f t="shared" si="1"/>
        <v/>
      </c>
      <c r="H27" s="39" t="s">
        <v>139</v>
      </c>
      <c r="I27" s="81"/>
      <c r="J27" s="82" t="str">
        <f>IF(AND(A27&lt;&gt;"",E27&lt;&gt;""),IF(I27="","⚠️ Enter Code",IF(IFERROR(VLOOKUP(H27,DB_Agents!$B:$I,8,0),"")=I27,IF(C27&gt;=E27,"Successful","Unsuccessful"),"🔒 BLOCKED — Wrong Code")),"Pending")</f>
        <v>Pending</v>
      </c>
      <c r="K27" s="83" t="str">
        <f t="shared" ca="1" si="2"/>
        <v>—</v>
      </c>
      <c r="L27" s="84"/>
    </row>
    <row r="28" spans="1:12" ht="15" customHeight="1" x14ac:dyDescent="0.25">
      <c r="A28" s="85"/>
      <c r="B28" s="41" t="str">
        <f>IF(A28="","",IFERROR(VLOOKUP(A28,DB_Customers!$A:$D,4,0),"❌ Account Not Found"))</f>
        <v/>
      </c>
      <c r="C28" s="86" t="str">
        <f>IF(A28="","",IFERROR(VLOOKUP(A28,DB_Customers!$A:$N,14,0),"❌ Acct Not Found"))</f>
        <v/>
      </c>
      <c r="D28" s="87" t="str">
        <f t="shared" ca="1" si="0"/>
        <v/>
      </c>
      <c r="E28" s="94"/>
      <c r="F28" s="41"/>
      <c r="G28" s="96" t="str">
        <f t="shared" si="1"/>
        <v/>
      </c>
      <c r="H28" s="43" t="s">
        <v>139</v>
      </c>
      <c r="I28" s="81"/>
      <c r="J28" s="89" t="str">
        <f>IF(AND(A28&lt;&gt;"",E28&lt;&gt;""),IF(I28="","⚠️ Enter Code",IF(IFERROR(VLOOKUP(H28,DB_Agents!$B:$I,8,0),"")=I28,IF(C28&gt;=E28,"Successful","Unsuccessful"),"🔒 BLOCKED — Wrong Code")),"Pending")</f>
        <v>Pending</v>
      </c>
      <c r="K28" s="90" t="str">
        <f t="shared" ca="1" si="2"/>
        <v>—</v>
      </c>
      <c r="L28" s="91"/>
    </row>
    <row r="29" spans="1:12" ht="15" customHeight="1" x14ac:dyDescent="0.25">
      <c r="A29" s="76"/>
      <c r="B29" s="37" t="str">
        <f>IF(A29="","",IFERROR(VLOOKUP(A29,DB_Customers!$A:$D,4,0),"❌ Account Not Found"))</f>
        <v/>
      </c>
      <c r="C29" s="77" t="str">
        <f>IF(A29="","",IFERROR(VLOOKUP(A29,DB_Customers!$A:$N,14,0),"❌ Acct Not Found"))</f>
        <v/>
      </c>
      <c r="D29" s="78" t="str">
        <f t="shared" ca="1" si="0"/>
        <v/>
      </c>
      <c r="E29" s="94"/>
      <c r="F29" s="37"/>
      <c r="G29" s="95" t="str">
        <f t="shared" si="1"/>
        <v/>
      </c>
      <c r="H29" s="39" t="s">
        <v>139</v>
      </c>
      <c r="I29" s="81"/>
      <c r="J29" s="82" t="str">
        <f>IF(AND(A29&lt;&gt;"",E29&lt;&gt;""),IF(I29="","⚠️ Enter Code",IF(IFERROR(VLOOKUP(H29,DB_Agents!$B:$I,8,0),"")=I29,IF(C29&gt;=E29,"Successful","Unsuccessful"),"🔒 BLOCKED — Wrong Code")),"Pending")</f>
        <v>Pending</v>
      </c>
      <c r="K29" s="83" t="str">
        <f t="shared" ca="1" si="2"/>
        <v>—</v>
      </c>
      <c r="L29" s="84"/>
    </row>
    <row r="30" spans="1:12" ht="15" customHeight="1" x14ac:dyDescent="0.25">
      <c r="A30" s="85"/>
      <c r="B30" s="41" t="str">
        <f>IF(A30="","",IFERROR(VLOOKUP(A30,DB_Customers!$A:$D,4,0),"❌ Account Not Found"))</f>
        <v/>
      </c>
      <c r="C30" s="86" t="str">
        <f>IF(A30="","",IFERROR(VLOOKUP(A30,DB_Customers!$A:$N,14,0),"❌ Acct Not Found"))</f>
        <v/>
      </c>
      <c r="D30" s="87" t="str">
        <f t="shared" ca="1" si="0"/>
        <v/>
      </c>
      <c r="E30" s="94"/>
      <c r="F30" s="41"/>
      <c r="G30" s="96" t="str">
        <f t="shared" si="1"/>
        <v/>
      </c>
      <c r="H30" s="43" t="s">
        <v>139</v>
      </c>
      <c r="I30" s="81"/>
      <c r="J30" s="89" t="str">
        <f>IF(AND(A30&lt;&gt;"",E30&lt;&gt;""),IF(I30="","⚠️ Enter Code",IF(IFERROR(VLOOKUP(H30,DB_Agents!$B:$I,8,0),"")=I30,IF(C30&gt;=E30,"Successful","Unsuccessful"),"🔒 BLOCKED — Wrong Code")),"Pending")</f>
        <v>Pending</v>
      </c>
      <c r="K30" s="90" t="str">
        <f t="shared" ca="1" si="2"/>
        <v>—</v>
      </c>
      <c r="L30" s="91"/>
    </row>
    <row r="31" spans="1:12" ht="15" customHeight="1" x14ac:dyDescent="0.25">
      <c r="A31" s="76"/>
      <c r="B31" s="37" t="str">
        <f>IF(A31="","",IFERROR(VLOOKUP(A31,DB_Customers!$A:$D,4,0),"❌ Account Not Found"))</f>
        <v/>
      </c>
      <c r="C31" s="77" t="str">
        <f>IF(A31="","",IFERROR(VLOOKUP(A31,DB_Customers!$A:$N,14,0),"❌ Acct Not Found"))</f>
        <v/>
      </c>
      <c r="D31" s="78" t="str">
        <f t="shared" ca="1" si="0"/>
        <v/>
      </c>
      <c r="E31" s="94"/>
      <c r="F31" s="37"/>
      <c r="G31" s="95" t="str">
        <f t="shared" si="1"/>
        <v/>
      </c>
      <c r="H31" s="39" t="s">
        <v>139</v>
      </c>
      <c r="I31" s="81"/>
      <c r="J31" s="82" t="str">
        <f>IF(AND(A31&lt;&gt;"",E31&lt;&gt;""),IF(I31="","⚠️ Enter Code",IF(IFERROR(VLOOKUP(H31,DB_Agents!$B:$I,8,0),"")=I31,IF(C31&gt;=E31,"Successful","Unsuccessful"),"🔒 BLOCKED — Wrong Code")),"Pending")</f>
        <v>Pending</v>
      </c>
      <c r="K31" s="83" t="str">
        <f t="shared" ca="1" si="2"/>
        <v>—</v>
      </c>
      <c r="L31" s="84"/>
    </row>
    <row r="32" spans="1:12" ht="15" customHeight="1" x14ac:dyDescent="0.25">
      <c r="A32" s="85"/>
      <c r="B32" s="41" t="str">
        <f>IF(A32="","",IFERROR(VLOOKUP(A32,DB_Customers!$A:$D,4,0),"❌ Account Not Found"))</f>
        <v/>
      </c>
      <c r="C32" s="86" t="str">
        <f>IF(A32="","",IFERROR(VLOOKUP(A32,DB_Customers!$A:$N,14,0),"❌ Acct Not Found"))</f>
        <v/>
      </c>
      <c r="D32" s="87" t="str">
        <f t="shared" ca="1" si="0"/>
        <v/>
      </c>
      <c r="E32" s="94"/>
      <c r="F32" s="41"/>
      <c r="G32" s="96" t="str">
        <f t="shared" si="1"/>
        <v/>
      </c>
      <c r="H32" s="43" t="s">
        <v>139</v>
      </c>
      <c r="I32" s="81"/>
      <c r="J32" s="89" t="str">
        <f>IF(AND(A32&lt;&gt;"",E32&lt;&gt;""),IF(I32="","⚠️ Enter Code",IF(IFERROR(VLOOKUP(H32,DB_Agents!$B:$I,8,0),"")=I32,IF(C32&gt;=E32,"Successful","Unsuccessful"),"🔒 BLOCKED — Wrong Code")),"Pending")</f>
        <v>Pending</v>
      </c>
      <c r="K32" s="90" t="str">
        <f t="shared" ca="1" si="2"/>
        <v>—</v>
      </c>
      <c r="L32" s="91"/>
    </row>
    <row r="33" spans="1:12" ht="15" customHeight="1" x14ac:dyDescent="0.25">
      <c r="A33" s="76"/>
      <c r="B33" s="37" t="str">
        <f>IF(A33="","",IFERROR(VLOOKUP(A33,DB_Customers!$A:$D,4,0),"❌ Account Not Found"))</f>
        <v/>
      </c>
      <c r="C33" s="77" t="str">
        <f>IF(A33="","",IFERROR(VLOOKUP(A33,DB_Customers!$A:$N,14,0),"❌ Acct Not Found"))</f>
        <v/>
      </c>
      <c r="D33" s="78" t="str">
        <f t="shared" ca="1" si="0"/>
        <v/>
      </c>
      <c r="E33" s="94"/>
      <c r="F33" s="37"/>
      <c r="G33" s="95" t="str">
        <f t="shared" si="1"/>
        <v/>
      </c>
      <c r="H33" s="39" t="s">
        <v>139</v>
      </c>
      <c r="I33" s="81"/>
      <c r="J33" s="82" t="str">
        <f>IF(AND(A33&lt;&gt;"",E33&lt;&gt;""),IF(I33="","⚠️ Enter Code",IF(IFERROR(VLOOKUP(H33,DB_Agents!$B:$I,8,0),"")=I33,IF(C33&gt;=E33,"Successful","Unsuccessful"),"🔒 BLOCKED — Wrong Code")),"Pending")</f>
        <v>Pending</v>
      </c>
      <c r="K33" s="83" t="str">
        <f t="shared" ca="1" si="2"/>
        <v>—</v>
      </c>
      <c r="L33" s="84"/>
    </row>
    <row r="34" spans="1:12" ht="15" customHeight="1" x14ac:dyDescent="0.25">
      <c r="A34" s="85"/>
      <c r="B34" s="41" t="str">
        <f>IF(A34="","",IFERROR(VLOOKUP(A34,DB_Customers!$A:$D,4,0),"❌ Account Not Found"))</f>
        <v/>
      </c>
      <c r="C34" s="86" t="str">
        <f>IF(A34="","",IFERROR(VLOOKUP(A34,DB_Customers!$A:$N,14,0),"❌ Acct Not Found"))</f>
        <v/>
      </c>
      <c r="D34" s="87" t="str">
        <f t="shared" ca="1" si="0"/>
        <v/>
      </c>
      <c r="E34" s="94"/>
      <c r="F34" s="41"/>
      <c r="G34" s="96" t="str">
        <f t="shared" si="1"/>
        <v/>
      </c>
      <c r="H34" s="43" t="s">
        <v>139</v>
      </c>
      <c r="I34" s="81"/>
      <c r="J34" s="89" t="str">
        <f>IF(AND(A34&lt;&gt;"",E34&lt;&gt;""),IF(I34="","⚠️ Enter Code",IF(IFERROR(VLOOKUP(H34,DB_Agents!$B:$I,8,0),"")=I34,IF(C34&gt;=E34,"Successful","Unsuccessful"),"🔒 BLOCKED — Wrong Code")),"Pending")</f>
        <v>Pending</v>
      </c>
      <c r="K34" s="90" t="str">
        <f t="shared" ca="1" si="2"/>
        <v>—</v>
      </c>
      <c r="L34" s="91"/>
    </row>
    <row r="35" spans="1:12" ht="15" customHeight="1" x14ac:dyDescent="0.25">
      <c r="A35" s="76"/>
      <c r="B35" s="37" t="str">
        <f>IF(A35="","",IFERROR(VLOOKUP(A35,DB_Customers!$A:$D,4,0),"❌ Account Not Found"))</f>
        <v/>
      </c>
      <c r="C35" s="77" t="str">
        <f>IF(A35="","",IFERROR(VLOOKUP(A35,DB_Customers!$A:$N,14,0),"❌ Acct Not Found"))</f>
        <v/>
      </c>
      <c r="D35" s="78" t="str">
        <f t="shared" ca="1" si="0"/>
        <v/>
      </c>
      <c r="E35" s="94"/>
      <c r="F35" s="37"/>
      <c r="G35" s="95" t="str">
        <f t="shared" si="1"/>
        <v/>
      </c>
      <c r="H35" s="39" t="s">
        <v>139</v>
      </c>
      <c r="I35" s="81"/>
      <c r="J35" s="82" t="str">
        <f>IF(AND(A35&lt;&gt;"",E35&lt;&gt;""),IF(I35="","⚠️ Enter Code",IF(IFERROR(VLOOKUP(H35,DB_Agents!$B:$I,8,0),"")=I35,IF(C35&gt;=E35,"Successful","Unsuccessful"),"🔒 BLOCKED — Wrong Code")),"Pending")</f>
        <v>Pending</v>
      </c>
      <c r="K35" s="83" t="str">
        <f t="shared" ca="1" si="2"/>
        <v>—</v>
      </c>
      <c r="L35" s="84"/>
    </row>
    <row r="36" spans="1:12" ht="15" customHeight="1" x14ac:dyDescent="0.25">
      <c r="A36" s="85"/>
      <c r="B36" s="41" t="str">
        <f>IF(A36="","",IFERROR(VLOOKUP(A36,DB_Customers!$A:$D,4,0),"❌ Account Not Found"))</f>
        <v/>
      </c>
      <c r="C36" s="86" t="str">
        <f>IF(A36="","",IFERROR(VLOOKUP(A36,DB_Customers!$A:$N,14,0),"❌ Acct Not Found"))</f>
        <v/>
      </c>
      <c r="D36" s="87" t="str">
        <f t="shared" ca="1" si="0"/>
        <v/>
      </c>
      <c r="E36" s="94"/>
      <c r="F36" s="41"/>
      <c r="G36" s="96" t="str">
        <f t="shared" si="1"/>
        <v/>
      </c>
      <c r="H36" s="43" t="s">
        <v>139</v>
      </c>
      <c r="I36" s="81"/>
      <c r="J36" s="89" t="str">
        <f>IF(AND(A36&lt;&gt;"",E36&lt;&gt;""),IF(I36="","⚠️ Enter Code",IF(IFERROR(VLOOKUP(H36,DB_Agents!$B:$I,8,0),"")=I36,IF(C36&gt;=E36,"Successful","Unsuccessful"),"🔒 BLOCKED — Wrong Code")),"Pending")</f>
        <v>Pending</v>
      </c>
      <c r="K36" s="90" t="str">
        <f t="shared" ca="1" si="2"/>
        <v>—</v>
      </c>
      <c r="L36" s="91"/>
    </row>
    <row r="37" spans="1:12" ht="15" customHeight="1" x14ac:dyDescent="0.25">
      <c r="A37" s="76"/>
      <c r="B37" s="37" t="str">
        <f>IF(A37="","",IFERROR(VLOOKUP(A37,DB_Customers!$A:$D,4,0),"❌ Account Not Found"))</f>
        <v/>
      </c>
      <c r="C37" s="77" t="str">
        <f>IF(A37="","",IFERROR(VLOOKUP(A37,DB_Customers!$A:$N,14,0),"❌ Acct Not Found"))</f>
        <v/>
      </c>
      <c r="D37" s="78" t="str">
        <f t="shared" ca="1" si="0"/>
        <v/>
      </c>
      <c r="E37" s="94"/>
      <c r="F37" s="37"/>
      <c r="G37" s="95" t="str">
        <f t="shared" si="1"/>
        <v/>
      </c>
      <c r="H37" s="39" t="s">
        <v>139</v>
      </c>
      <c r="I37" s="81"/>
      <c r="J37" s="82" t="str">
        <f>IF(AND(A37&lt;&gt;"",E37&lt;&gt;""),IF(I37="","⚠️ Enter Code",IF(IFERROR(VLOOKUP(H37,DB_Agents!$B:$I,8,0),"")=I37,IF(C37&gt;=E37,"Successful","Unsuccessful"),"🔒 BLOCKED — Wrong Code")),"Pending")</f>
        <v>Pending</v>
      </c>
      <c r="K37" s="83" t="str">
        <f t="shared" ca="1" si="2"/>
        <v>—</v>
      </c>
      <c r="L37" s="84"/>
    </row>
    <row r="38" spans="1:12" ht="15" customHeight="1" x14ac:dyDescent="0.25">
      <c r="A38" s="85"/>
      <c r="B38" s="41" t="str">
        <f>IF(A38="","",IFERROR(VLOOKUP(A38,DB_Customers!$A:$D,4,0),"❌ Account Not Found"))</f>
        <v/>
      </c>
      <c r="C38" s="86" t="str">
        <f>IF(A38="","",IFERROR(VLOOKUP(A38,DB_Customers!$A:$N,14,0),"❌ Acct Not Found"))</f>
        <v/>
      </c>
      <c r="D38" s="87" t="str">
        <f t="shared" ca="1" si="0"/>
        <v/>
      </c>
      <c r="E38" s="94"/>
      <c r="F38" s="41"/>
      <c r="G38" s="96" t="str">
        <f t="shared" si="1"/>
        <v/>
      </c>
      <c r="H38" s="43" t="s">
        <v>139</v>
      </c>
      <c r="I38" s="81"/>
      <c r="J38" s="89" t="str">
        <f>IF(AND(A38&lt;&gt;"",E38&lt;&gt;""),IF(I38="","⚠️ Enter Code",IF(IFERROR(VLOOKUP(H38,DB_Agents!$B:$I,8,0),"")=I38,IF(C38&gt;=E38,"Successful","Unsuccessful"),"🔒 BLOCKED — Wrong Code")),"Pending")</f>
        <v>Pending</v>
      </c>
      <c r="K38" s="90" t="str">
        <f t="shared" ca="1" si="2"/>
        <v>—</v>
      </c>
      <c r="L38" s="91"/>
    </row>
    <row r="39" spans="1:12" ht="15" customHeight="1" x14ac:dyDescent="0.25">
      <c r="A39" s="76"/>
      <c r="B39" s="37" t="str">
        <f>IF(A39="","",IFERROR(VLOOKUP(A39,DB_Customers!$A:$D,4,0),"❌ Account Not Found"))</f>
        <v/>
      </c>
      <c r="C39" s="77" t="str">
        <f>IF(A39="","",IFERROR(VLOOKUP(A39,DB_Customers!$A:$N,14,0),"❌ Acct Not Found"))</f>
        <v/>
      </c>
      <c r="D39" s="78" t="str">
        <f t="shared" ca="1" si="0"/>
        <v/>
      </c>
      <c r="E39" s="94"/>
      <c r="F39" s="37"/>
      <c r="G39" s="95" t="str">
        <f t="shared" si="1"/>
        <v/>
      </c>
      <c r="H39" s="39" t="s">
        <v>139</v>
      </c>
      <c r="I39" s="81"/>
      <c r="J39" s="82" t="str">
        <f>IF(AND(A39&lt;&gt;"",E39&lt;&gt;""),IF(I39="","⚠️ Enter Code",IF(IFERROR(VLOOKUP(H39,DB_Agents!$B:$I,8,0),"")=I39,IF(C39&gt;=E39,"Successful","Unsuccessful"),"🔒 BLOCKED — Wrong Code")),"Pending")</f>
        <v>Pending</v>
      </c>
      <c r="K39" s="83" t="str">
        <f t="shared" ca="1" si="2"/>
        <v>—</v>
      </c>
      <c r="L39" s="84"/>
    </row>
    <row r="40" spans="1:12" ht="15" customHeight="1" x14ac:dyDescent="0.25">
      <c r="A40" s="85"/>
      <c r="B40" s="41" t="str">
        <f>IF(A40="","",IFERROR(VLOOKUP(A40,DB_Customers!$A:$D,4,0),"❌ Account Not Found"))</f>
        <v/>
      </c>
      <c r="C40" s="86" t="str">
        <f>IF(A40="","",IFERROR(VLOOKUP(A40,DB_Customers!$A:$N,14,0),"❌ Acct Not Found"))</f>
        <v/>
      </c>
      <c r="D40" s="87" t="str">
        <f t="shared" ca="1" si="0"/>
        <v/>
      </c>
      <c r="E40" s="94"/>
      <c r="F40" s="41"/>
      <c r="G40" s="96" t="str">
        <f t="shared" si="1"/>
        <v/>
      </c>
      <c r="H40" s="43" t="s">
        <v>139</v>
      </c>
      <c r="I40" s="81"/>
      <c r="J40" s="89" t="str">
        <f>IF(AND(A40&lt;&gt;"",E40&lt;&gt;""),IF(I40="","⚠️ Enter Code",IF(IFERROR(VLOOKUP(H40,DB_Agents!$B:$I,8,0),"")=I40,IF(C40&gt;=E40,"Successful","Unsuccessful"),"🔒 BLOCKED — Wrong Code")),"Pending")</f>
        <v>Pending</v>
      </c>
      <c r="K40" s="90" t="str">
        <f t="shared" ca="1" si="2"/>
        <v>—</v>
      </c>
      <c r="L40" s="91"/>
    </row>
    <row r="41" spans="1:12" ht="15" customHeight="1" x14ac:dyDescent="0.25">
      <c r="A41" s="76"/>
      <c r="B41" s="37" t="str">
        <f>IF(A41="","",IFERROR(VLOOKUP(A41,DB_Customers!$A:$D,4,0),"❌ Account Not Found"))</f>
        <v/>
      </c>
      <c r="C41" s="77" t="str">
        <f>IF(A41="","",IFERROR(VLOOKUP(A41,DB_Customers!$A:$N,14,0),"❌ Acct Not Found"))</f>
        <v/>
      </c>
      <c r="D41" s="78" t="str">
        <f t="shared" ref="D41:D72" ca="1" si="3">IF(A41="","",TODAY())</f>
        <v/>
      </c>
      <c r="E41" s="94"/>
      <c r="F41" s="37"/>
      <c r="G41" s="95" t="str">
        <f t="shared" ref="G41:G72" si="4">IF(OR(A41="",E41=""),"",IF(C41="","",C41-E41))</f>
        <v/>
      </c>
      <c r="H41" s="39" t="s">
        <v>139</v>
      </c>
      <c r="I41" s="81"/>
      <c r="J41" s="82" t="str">
        <f>IF(AND(A41&lt;&gt;"",E41&lt;&gt;""),IF(I41="","⚠️ Enter Code",IF(IFERROR(VLOOKUP(H41,DB_Agents!$B:$I,8,0),"")=I41,IF(C41&gt;=E41,"Successful","Unsuccessful"),"🔒 BLOCKED — Wrong Code")),"Pending")</f>
        <v>Pending</v>
      </c>
      <c r="K41" s="83" t="str">
        <f t="shared" ref="K41:K72" ca="1" si="5">IF(J41="Successful",TEXT(TODAY(),"YYYY-MM-DD")&amp;" Auto","—")</f>
        <v>—</v>
      </c>
      <c r="L41" s="84"/>
    </row>
    <row r="42" spans="1:12" ht="15" customHeight="1" x14ac:dyDescent="0.25">
      <c r="A42" s="85"/>
      <c r="B42" s="41" t="str">
        <f>IF(A42="","",IFERROR(VLOOKUP(A42,DB_Customers!$A:$D,4,0),"❌ Account Not Found"))</f>
        <v/>
      </c>
      <c r="C42" s="86" t="str">
        <f>IF(A42="","",IFERROR(VLOOKUP(A42,DB_Customers!$A:$N,14,0),"❌ Acct Not Found"))</f>
        <v/>
      </c>
      <c r="D42" s="87" t="str">
        <f t="shared" ca="1" si="3"/>
        <v/>
      </c>
      <c r="E42" s="94"/>
      <c r="F42" s="41"/>
      <c r="G42" s="96" t="str">
        <f t="shared" si="4"/>
        <v/>
      </c>
      <c r="H42" s="43" t="s">
        <v>139</v>
      </c>
      <c r="I42" s="81"/>
      <c r="J42" s="89" t="str">
        <f>IF(AND(A42&lt;&gt;"",E42&lt;&gt;""),IF(I42="","⚠️ Enter Code",IF(IFERROR(VLOOKUP(H42,DB_Agents!$B:$I,8,0),"")=I42,IF(C42&gt;=E42,"Successful","Unsuccessful"),"🔒 BLOCKED — Wrong Code")),"Pending")</f>
        <v>Pending</v>
      </c>
      <c r="K42" s="90" t="str">
        <f t="shared" ca="1" si="5"/>
        <v>—</v>
      </c>
      <c r="L42" s="91"/>
    </row>
    <row r="43" spans="1:12" ht="15" customHeight="1" x14ac:dyDescent="0.25">
      <c r="A43" s="76"/>
      <c r="B43" s="37" t="str">
        <f>IF(A43="","",IFERROR(VLOOKUP(A43,DB_Customers!$A:$D,4,0),"❌ Account Not Found"))</f>
        <v/>
      </c>
      <c r="C43" s="77" t="str">
        <f>IF(A43="","",IFERROR(VLOOKUP(A43,DB_Customers!$A:$N,14,0),"❌ Acct Not Found"))</f>
        <v/>
      </c>
      <c r="D43" s="78" t="str">
        <f t="shared" ca="1" si="3"/>
        <v/>
      </c>
      <c r="E43" s="94"/>
      <c r="F43" s="37"/>
      <c r="G43" s="95" t="str">
        <f t="shared" si="4"/>
        <v/>
      </c>
      <c r="H43" s="39" t="s">
        <v>139</v>
      </c>
      <c r="I43" s="81"/>
      <c r="J43" s="82" t="str">
        <f>IF(AND(A43&lt;&gt;"",E43&lt;&gt;""),IF(I43="","⚠️ Enter Code",IF(IFERROR(VLOOKUP(H43,DB_Agents!$B:$I,8,0),"")=I43,IF(C43&gt;=E43,"Successful","Unsuccessful"),"🔒 BLOCKED — Wrong Code")),"Pending")</f>
        <v>Pending</v>
      </c>
      <c r="K43" s="83" t="str">
        <f t="shared" ca="1" si="5"/>
        <v>—</v>
      </c>
      <c r="L43" s="84"/>
    </row>
    <row r="44" spans="1:12" ht="15" customHeight="1" x14ac:dyDescent="0.25">
      <c r="A44" s="85"/>
      <c r="B44" s="41" t="str">
        <f>IF(A44="","",IFERROR(VLOOKUP(A44,DB_Customers!$A:$D,4,0),"❌ Account Not Found"))</f>
        <v/>
      </c>
      <c r="C44" s="86" t="str">
        <f>IF(A44="","",IFERROR(VLOOKUP(A44,DB_Customers!$A:$N,14,0),"❌ Acct Not Found"))</f>
        <v/>
      </c>
      <c r="D44" s="87" t="str">
        <f t="shared" ca="1" si="3"/>
        <v/>
      </c>
      <c r="E44" s="94"/>
      <c r="F44" s="41"/>
      <c r="G44" s="96" t="str">
        <f t="shared" si="4"/>
        <v/>
      </c>
      <c r="H44" s="43" t="s">
        <v>139</v>
      </c>
      <c r="I44" s="81"/>
      <c r="J44" s="89" t="str">
        <f>IF(AND(A44&lt;&gt;"",E44&lt;&gt;""),IF(I44="","⚠️ Enter Code",IF(IFERROR(VLOOKUP(H44,DB_Agents!$B:$I,8,0),"")=I44,IF(C44&gt;=E44,"Successful","Unsuccessful"),"🔒 BLOCKED — Wrong Code")),"Pending")</f>
        <v>Pending</v>
      </c>
      <c r="K44" s="90" t="str">
        <f t="shared" ca="1" si="5"/>
        <v>—</v>
      </c>
      <c r="L44" s="91"/>
    </row>
    <row r="45" spans="1:12" ht="15" customHeight="1" x14ac:dyDescent="0.25">
      <c r="A45" s="76"/>
      <c r="B45" s="37" t="str">
        <f>IF(A45="","",IFERROR(VLOOKUP(A45,DB_Customers!$A:$D,4,0),"❌ Account Not Found"))</f>
        <v/>
      </c>
      <c r="C45" s="77" t="str">
        <f>IF(A45="","",IFERROR(VLOOKUP(A45,DB_Customers!$A:$N,14,0),"❌ Acct Not Found"))</f>
        <v/>
      </c>
      <c r="D45" s="78" t="str">
        <f t="shared" ca="1" si="3"/>
        <v/>
      </c>
      <c r="E45" s="94"/>
      <c r="F45" s="37"/>
      <c r="G45" s="95" t="str">
        <f t="shared" si="4"/>
        <v/>
      </c>
      <c r="H45" s="39" t="s">
        <v>139</v>
      </c>
      <c r="I45" s="81"/>
      <c r="J45" s="82" t="str">
        <f>IF(AND(A45&lt;&gt;"",E45&lt;&gt;""),IF(I45="","⚠️ Enter Code",IF(IFERROR(VLOOKUP(H45,DB_Agents!$B:$I,8,0),"")=I45,IF(C45&gt;=E45,"Successful","Unsuccessful"),"🔒 BLOCKED — Wrong Code")),"Pending")</f>
        <v>Pending</v>
      </c>
      <c r="K45" s="83" t="str">
        <f t="shared" ca="1" si="5"/>
        <v>—</v>
      </c>
      <c r="L45" s="84"/>
    </row>
    <row r="46" spans="1:12" ht="15" customHeight="1" x14ac:dyDescent="0.25">
      <c r="A46" s="85"/>
      <c r="B46" s="41" t="str">
        <f>IF(A46="","",IFERROR(VLOOKUP(A46,DB_Customers!$A:$D,4,0),"❌ Account Not Found"))</f>
        <v/>
      </c>
      <c r="C46" s="86" t="str">
        <f>IF(A46="","",IFERROR(VLOOKUP(A46,DB_Customers!$A:$N,14,0),"❌ Acct Not Found"))</f>
        <v/>
      </c>
      <c r="D46" s="87" t="str">
        <f t="shared" ca="1" si="3"/>
        <v/>
      </c>
      <c r="E46" s="94"/>
      <c r="F46" s="41"/>
      <c r="G46" s="96" t="str">
        <f t="shared" si="4"/>
        <v/>
      </c>
      <c r="H46" s="43" t="s">
        <v>139</v>
      </c>
      <c r="I46" s="81"/>
      <c r="J46" s="89" t="str">
        <f>IF(AND(A46&lt;&gt;"",E46&lt;&gt;""),IF(I46="","⚠️ Enter Code",IF(IFERROR(VLOOKUP(H46,DB_Agents!$B:$I,8,0),"")=I46,IF(C46&gt;=E46,"Successful","Unsuccessful"),"🔒 BLOCKED — Wrong Code")),"Pending")</f>
        <v>Pending</v>
      </c>
      <c r="K46" s="90" t="str">
        <f t="shared" ca="1" si="5"/>
        <v>—</v>
      </c>
      <c r="L46" s="91"/>
    </row>
    <row r="47" spans="1:12" ht="15" customHeight="1" x14ac:dyDescent="0.25">
      <c r="A47" s="76"/>
      <c r="B47" s="37" t="str">
        <f>IF(A47="","",IFERROR(VLOOKUP(A47,DB_Customers!$A:$D,4,0),"❌ Account Not Found"))</f>
        <v/>
      </c>
      <c r="C47" s="77" t="str">
        <f>IF(A47="","",IFERROR(VLOOKUP(A47,DB_Customers!$A:$N,14,0),"❌ Acct Not Found"))</f>
        <v/>
      </c>
      <c r="D47" s="78" t="str">
        <f t="shared" ca="1" si="3"/>
        <v/>
      </c>
      <c r="E47" s="94"/>
      <c r="F47" s="37"/>
      <c r="G47" s="95" t="str">
        <f t="shared" si="4"/>
        <v/>
      </c>
      <c r="H47" s="39" t="s">
        <v>139</v>
      </c>
      <c r="I47" s="81"/>
      <c r="J47" s="82" t="str">
        <f>IF(AND(A47&lt;&gt;"",E47&lt;&gt;""),IF(I47="","⚠️ Enter Code",IF(IFERROR(VLOOKUP(H47,DB_Agents!$B:$I,8,0),"")=I47,IF(C47&gt;=E47,"Successful","Unsuccessful"),"🔒 BLOCKED — Wrong Code")),"Pending")</f>
        <v>Pending</v>
      </c>
      <c r="K47" s="83" t="str">
        <f t="shared" ca="1" si="5"/>
        <v>—</v>
      </c>
      <c r="L47" s="84"/>
    </row>
    <row r="48" spans="1:12" ht="15" customHeight="1" x14ac:dyDescent="0.25">
      <c r="A48" s="85"/>
      <c r="B48" s="41" t="str">
        <f>IF(A48="","",IFERROR(VLOOKUP(A48,DB_Customers!$A:$D,4,0),"❌ Account Not Found"))</f>
        <v/>
      </c>
      <c r="C48" s="86" t="str">
        <f>IF(A48="","",IFERROR(VLOOKUP(A48,DB_Customers!$A:$N,14,0),"❌ Acct Not Found"))</f>
        <v/>
      </c>
      <c r="D48" s="87" t="str">
        <f t="shared" ca="1" si="3"/>
        <v/>
      </c>
      <c r="E48" s="94"/>
      <c r="F48" s="41"/>
      <c r="G48" s="96" t="str">
        <f t="shared" si="4"/>
        <v/>
      </c>
      <c r="H48" s="43" t="s">
        <v>139</v>
      </c>
      <c r="I48" s="81"/>
      <c r="J48" s="89" t="str">
        <f>IF(AND(A48&lt;&gt;"",E48&lt;&gt;""),IF(I48="","⚠️ Enter Code",IF(IFERROR(VLOOKUP(H48,DB_Agents!$B:$I,8,0),"")=I48,IF(C48&gt;=E48,"Successful","Unsuccessful"),"🔒 BLOCKED — Wrong Code")),"Pending")</f>
        <v>Pending</v>
      </c>
      <c r="K48" s="90" t="str">
        <f t="shared" ca="1" si="5"/>
        <v>—</v>
      </c>
      <c r="L48" s="91"/>
    </row>
    <row r="49" spans="1:12" ht="15" customHeight="1" x14ac:dyDescent="0.25">
      <c r="A49" s="76"/>
      <c r="B49" s="37" t="str">
        <f>IF(A49="","",IFERROR(VLOOKUP(A49,DB_Customers!$A:$D,4,0),"❌ Account Not Found"))</f>
        <v/>
      </c>
      <c r="C49" s="77" t="str">
        <f>IF(A49="","",IFERROR(VLOOKUP(A49,DB_Customers!$A:$N,14,0),"❌ Acct Not Found"))</f>
        <v/>
      </c>
      <c r="D49" s="78" t="str">
        <f t="shared" ca="1" si="3"/>
        <v/>
      </c>
      <c r="E49" s="94"/>
      <c r="F49" s="37"/>
      <c r="G49" s="95" t="str">
        <f t="shared" si="4"/>
        <v/>
      </c>
      <c r="H49" s="39" t="s">
        <v>139</v>
      </c>
      <c r="I49" s="81"/>
      <c r="J49" s="82" t="str">
        <f>IF(AND(A49&lt;&gt;"",E49&lt;&gt;""),IF(I49="","⚠️ Enter Code",IF(IFERROR(VLOOKUP(H49,DB_Agents!$B:$I,8,0),"")=I49,IF(C49&gt;=E49,"Successful","Unsuccessful"),"🔒 BLOCKED — Wrong Code")),"Pending")</f>
        <v>Pending</v>
      </c>
      <c r="K49" s="83" t="str">
        <f t="shared" ca="1" si="5"/>
        <v>—</v>
      </c>
      <c r="L49" s="84"/>
    </row>
    <row r="50" spans="1:12" ht="15" customHeight="1" x14ac:dyDescent="0.25">
      <c r="A50" s="85"/>
      <c r="B50" s="41" t="str">
        <f>IF(A50="","",IFERROR(VLOOKUP(A50,DB_Customers!$A:$D,4,0),"❌ Account Not Found"))</f>
        <v/>
      </c>
      <c r="C50" s="86" t="str">
        <f>IF(A50="","",IFERROR(VLOOKUP(A50,DB_Customers!$A:$N,14,0),"❌ Acct Not Found"))</f>
        <v/>
      </c>
      <c r="D50" s="87" t="str">
        <f t="shared" ca="1" si="3"/>
        <v/>
      </c>
      <c r="E50" s="94"/>
      <c r="F50" s="41"/>
      <c r="G50" s="96" t="str">
        <f t="shared" si="4"/>
        <v/>
      </c>
      <c r="H50" s="43" t="s">
        <v>139</v>
      </c>
      <c r="I50" s="81"/>
      <c r="J50" s="89" t="str">
        <f>IF(AND(A50&lt;&gt;"",E50&lt;&gt;""),IF(I50="","⚠️ Enter Code",IF(IFERROR(VLOOKUP(H50,DB_Agents!$B:$I,8,0),"")=I50,IF(C50&gt;=E50,"Successful","Unsuccessful"),"🔒 BLOCKED — Wrong Code")),"Pending")</f>
        <v>Pending</v>
      </c>
      <c r="K50" s="90" t="str">
        <f t="shared" ca="1" si="5"/>
        <v>—</v>
      </c>
      <c r="L50" s="91"/>
    </row>
    <row r="51" spans="1:12" ht="15" customHeight="1" x14ac:dyDescent="0.25">
      <c r="A51" s="76"/>
      <c r="B51" s="37" t="str">
        <f>IF(A51="","",IFERROR(VLOOKUP(A51,DB_Customers!$A:$D,4,0),"❌ Account Not Found"))</f>
        <v/>
      </c>
      <c r="C51" s="77" t="str">
        <f>IF(A51="","",IFERROR(VLOOKUP(A51,DB_Customers!$A:$N,14,0),"❌ Acct Not Found"))</f>
        <v/>
      </c>
      <c r="D51" s="78" t="str">
        <f t="shared" ca="1" si="3"/>
        <v/>
      </c>
      <c r="E51" s="94"/>
      <c r="F51" s="37"/>
      <c r="G51" s="95" t="str">
        <f t="shared" si="4"/>
        <v/>
      </c>
      <c r="H51" s="39" t="s">
        <v>139</v>
      </c>
      <c r="I51" s="81"/>
      <c r="J51" s="82" t="str">
        <f>IF(AND(A51&lt;&gt;"",E51&lt;&gt;""),IF(I51="","⚠️ Enter Code",IF(IFERROR(VLOOKUP(H51,DB_Agents!$B:$I,8,0),"")=I51,IF(C51&gt;=E51,"Successful","Unsuccessful"),"🔒 BLOCKED — Wrong Code")),"Pending")</f>
        <v>Pending</v>
      </c>
      <c r="K51" s="83" t="str">
        <f t="shared" ca="1" si="5"/>
        <v>—</v>
      </c>
      <c r="L51" s="84"/>
    </row>
    <row r="52" spans="1:12" ht="15" customHeight="1" x14ac:dyDescent="0.25">
      <c r="A52" s="85"/>
      <c r="B52" s="41" t="str">
        <f>IF(A52="","",IFERROR(VLOOKUP(A52,DB_Customers!$A:$D,4,0),"❌ Account Not Found"))</f>
        <v/>
      </c>
      <c r="C52" s="86" t="str">
        <f>IF(A52="","",IFERROR(VLOOKUP(A52,DB_Customers!$A:$N,14,0),"❌ Acct Not Found"))</f>
        <v/>
      </c>
      <c r="D52" s="87" t="str">
        <f t="shared" ca="1" si="3"/>
        <v/>
      </c>
      <c r="E52" s="94"/>
      <c r="F52" s="41"/>
      <c r="G52" s="96" t="str">
        <f t="shared" si="4"/>
        <v/>
      </c>
      <c r="H52" s="43" t="s">
        <v>139</v>
      </c>
      <c r="I52" s="81"/>
      <c r="J52" s="89" t="str">
        <f>IF(AND(A52&lt;&gt;"",E52&lt;&gt;""),IF(I52="","⚠️ Enter Code",IF(IFERROR(VLOOKUP(H52,DB_Agents!$B:$I,8,0),"")=I52,IF(C52&gt;=E52,"Successful","Unsuccessful"),"🔒 BLOCKED — Wrong Code")),"Pending")</f>
        <v>Pending</v>
      </c>
      <c r="K52" s="90" t="str">
        <f t="shared" ca="1" si="5"/>
        <v>—</v>
      </c>
      <c r="L52" s="91"/>
    </row>
    <row r="53" spans="1:12" ht="15" customHeight="1" x14ac:dyDescent="0.25">
      <c r="A53" s="76"/>
      <c r="B53" s="37" t="str">
        <f>IF(A53="","",IFERROR(VLOOKUP(A53,DB_Customers!$A:$D,4,0),"❌ Account Not Found"))</f>
        <v/>
      </c>
      <c r="C53" s="77" t="str">
        <f>IF(A53="","",IFERROR(VLOOKUP(A53,DB_Customers!$A:$N,14,0),"❌ Acct Not Found"))</f>
        <v/>
      </c>
      <c r="D53" s="78" t="str">
        <f t="shared" ca="1" si="3"/>
        <v/>
      </c>
      <c r="E53" s="94"/>
      <c r="F53" s="37"/>
      <c r="G53" s="95" t="str">
        <f t="shared" si="4"/>
        <v/>
      </c>
      <c r="H53" s="39" t="s">
        <v>139</v>
      </c>
      <c r="I53" s="81"/>
      <c r="J53" s="82" t="str">
        <f>IF(AND(A53&lt;&gt;"",E53&lt;&gt;""),IF(I53="","⚠️ Enter Code",IF(IFERROR(VLOOKUP(H53,DB_Agents!$B:$I,8,0),"")=I53,IF(C53&gt;=E53,"Successful","Unsuccessful"),"🔒 BLOCKED — Wrong Code")),"Pending")</f>
        <v>Pending</v>
      </c>
      <c r="K53" s="83" t="str">
        <f t="shared" ca="1" si="5"/>
        <v>—</v>
      </c>
      <c r="L53" s="84"/>
    </row>
    <row r="54" spans="1:12" ht="15" customHeight="1" x14ac:dyDescent="0.25">
      <c r="A54" s="85"/>
      <c r="B54" s="41" t="str">
        <f>IF(A54="","",IFERROR(VLOOKUP(A54,DB_Customers!$A:$D,4,0),"❌ Account Not Found"))</f>
        <v/>
      </c>
      <c r="C54" s="86" t="str">
        <f>IF(A54="","",IFERROR(VLOOKUP(A54,DB_Customers!$A:$N,14,0),"❌ Acct Not Found"))</f>
        <v/>
      </c>
      <c r="D54" s="87" t="str">
        <f t="shared" ca="1" si="3"/>
        <v/>
      </c>
      <c r="E54" s="94"/>
      <c r="F54" s="41"/>
      <c r="G54" s="96" t="str">
        <f t="shared" si="4"/>
        <v/>
      </c>
      <c r="H54" s="43" t="s">
        <v>139</v>
      </c>
      <c r="I54" s="81"/>
      <c r="J54" s="89" t="str">
        <f>IF(AND(A54&lt;&gt;"",E54&lt;&gt;""),IF(I54="","⚠️ Enter Code",IF(IFERROR(VLOOKUP(H54,DB_Agents!$B:$I,8,0),"")=I54,IF(C54&gt;=E54,"Successful","Unsuccessful"),"🔒 BLOCKED — Wrong Code")),"Pending")</f>
        <v>Pending</v>
      </c>
      <c r="K54" s="90" t="str">
        <f t="shared" ca="1" si="5"/>
        <v>—</v>
      </c>
      <c r="L54" s="91"/>
    </row>
    <row r="55" spans="1:12" ht="15" customHeight="1" x14ac:dyDescent="0.25">
      <c r="A55" s="76"/>
      <c r="B55" s="37" t="str">
        <f>IF(A55="","",IFERROR(VLOOKUP(A55,DB_Customers!$A:$D,4,0),"❌ Account Not Found"))</f>
        <v/>
      </c>
      <c r="C55" s="77" t="str">
        <f>IF(A55="","",IFERROR(VLOOKUP(A55,DB_Customers!$A:$N,14,0),"❌ Acct Not Found"))</f>
        <v/>
      </c>
      <c r="D55" s="78" t="str">
        <f t="shared" ca="1" si="3"/>
        <v/>
      </c>
      <c r="E55" s="94"/>
      <c r="F55" s="37"/>
      <c r="G55" s="95" t="str">
        <f t="shared" si="4"/>
        <v/>
      </c>
      <c r="H55" s="39" t="s">
        <v>139</v>
      </c>
      <c r="I55" s="81"/>
      <c r="J55" s="82" t="str">
        <f>IF(AND(A55&lt;&gt;"",E55&lt;&gt;""),IF(I55="","⚠️ Enter Code",IF(IFERROR(VLOOKUP(H55,DB_Agents!$B:$I,8,0),"")=I55,IF(C55&gt;=E55,"Successful","Unsuccessful"),"🔒 BLOCKED — Wrong Code")),"Pending")</f>
        <v>Pending</v>
      </c>
      <c r="K55" s="83" t="str">
        <f t="shared" ca="1" si="5"/>
        <v>—</v>
      </c>
      <c r="L55" s="84"/>
    </row>
    <row r="56" spans="1:12" ht="15" customHeight="1" x14ac:dyDescent="0.25">
      <c r="A56" s="85"/>
      <c r="B56" s="41" t="str">
        <f>IF(A56="","",IFERROR(VLOOKUP(A56,DB_Customers!$A:$D,4,0),"❌ Account Not Found"))</f>
        <v/>
      </c>
      <c r="C56" s="86" t="str">
        <f>IF(A56="","",IFERROR(VLOOKUP(A56,DB_Customers!$A:$N,14,0),"❌ Acct Not Found"))</f>
        <v/>
      </c>
      <c r="D56" s="87" t="str">
        <f t="shared" ca="1" si="3"/>
        <v/>
      </c>
      <c r="E56" s="94"/>
      <c r="F56" s="41"/>
      <c r="G56" s="96" t="str">
        <f t="shared" si="4"/>
        <v/>
      </c>
      <c r="H56" s="43" t="s">
        <v>139</v>
      </c>
      <c r="I56" s="81"/>
      <c r="J56" s="89" t="str">
        <f>IF(AND(A56&lt;&gt;"",E56&lt;&gt;""),IF(I56="","⚠️ Enter Code",IF(IFERROR(VLOOKUP(H56,DB_Agents!$B:$I,8,0),"")=I56,IF(C56&gt;=E56,"Successful","Unsuccessful"),"🔒 BLOCKED — Wrong Code")),"Pending")</f>
        <v>Pending</v>
      </c>
      <c r="K56" s="90" t="str">
        <f t="shared" ca="1" si="5"/>
        <v>—</v>
      </c>
      <c r="L56" s="91"/>
    </row>
    <row r="57" spans="1:12" ht="15" customHeight="1" x14ac:dyDescent="0.25">
      <c r="A57" s="76"/>
      <c r="B57" s="37" t="str">
        <f>IF(A57="","",IFERROR(VLOOKUP(A57,DB_Customers!$A:$D,4,0),"❌ Account Not Found"))</f>
        <v/>
      </c>
      <c r="C57" s="77" t="str">
        <f>IF(A57="","",IFERROR(VLOOKUP(A57,DB_Customers!$A:$N,14,0),"❌ Acct Not Found"))</f>
        <v/>
      </c>
      <c r="D57" s="78" t="str">
        <f t="shared" ca="1" si="3"/>
        <v/>
      </c>
      <c r="E57" s="94"/>
      <c r="F57" s="37"/>
      <c r="G57" s="95" t="str">
        <f t="shared" si="4"/>
        <v/>
      </c>
      <c r="H57" s="39" t="s">
        <v>139</v>
      </c>
      <c r="I57" s="81"/>
      <c r="J57" s="82" t="str">
        <f>IF(AND(A57&lt;&gt;"",E57&lt;&gt;""),IF(I57="","⚠️ Enter Code",IF(IFERROR(VLOOKUP(H57,DB_Agents!$B:$I,8,0),"")=I57,IF(C57&gt;=E57,"Successful","Unsuccessful"),"🔒 BLOCKED — Wrong Code")),"Pending")</f>
        <v>Pending</v>
      </c>
      <c r="K57" s="83" t="str">
        <f t="shared" ca="1" si="5"/>
        <v>—</v>
      </c>
      <c r="L57" s="84"/>
    </row>
    <row r="58" spans="1:12" ht="15" customHeight="1" x14ac:dyDescent="0.25">
      <c r="A58" s="85"/>
      <c r="B58" s="41" t="str">
        <f>IF(A58="","",IFERROR(VLOOKUP(A58,DB_Customers!$A:$D,4,0),"❌ Account Not Found"))</f>
        <v/>
      </c>
      <c r="C58" s="86" t="str">
        <f>IF(A58="","",IFERROR(VLOOKUP(A58,DB_Customers!$A:$N,14,0),"❌ Acct Not Found"))</f>
        <v/>
      </c>
      <c r="D58" s="87" t="str">
        <f t="shared" ca="1" si="3"/>
        <v/>
      </c>
      <c r="E58" s="94"/>
      <c r="F58" s="41"/>
      <c r="G58" s="96" t="str">
        <f t="shared" si="4"/>
        <v/>
      </c>
      <c r="H58" s="43" t="s">
        <v>139</v>
      </c>
      <c r="I58" s="81"/>
      <c r="J58" s="89" t="str">
        <f>IF(AND(A58&lt;&gt;"",E58&lt;&gt;""),IF(I58="","⚠️ Enter Code",IF(IFERROR(VLOOKUP(H58,DB_Agents!$B:$I,8,0),"")=I58,IF(C58&gt;=E58,"Successful","Unsuccessful"),"🔒 BLOCKED — Wrong Code")),"Pending")</f>
        <v>Pending</v>
      </c>
      <c r="K58" s="90" t="str">
        <f t="shared" ca="1" si="5"/>
        <v>—</v>
      </c>
      <c r="L58" s="91"/>
    </row>
    <row r="59" spans="1:12" ht="15" customHeight="1" x14ac:dyDescent="0.25">
      <c r="A59" s="76"/>
      <c r="B59" s="37" t="str">
        <f>IF(A59="","",IFERROR(VLOOKUP(A59,DB_Customers!$A:$D,4,0),"❌ Account Not Found"))</f>
        <v/>
      </c>
      <c r="C59" s="77" t="str">
        <f>IF(A59="","",IFERROR(VLOOKUP(A59,DB_Customers!$A:$N,14,0),"❌ Acct Not Found"))</f>
        <v/>
      </c>
      <c r="D59" s="78" t="str">
        <f t="shared" ca="1" si="3"/>
        <v/>
      </c>
      <c r="E59" s="94"/>
      <c r="F59" s="37"/>
      <c r="G59" s="95" t="str">
        <f t="shared" si="4"/>
        <v/>
      </c>
      <c r="H59" s="39" t="s">
        <v>139</v>
      </c>
      <c r="I59" s="81"/>
      <c r="J59" s="82" t="str">
        <f>IF(AND(A59&lt;&gt;"",E59&lt;&gt;""),IF(I59="","⚠️ Enter Code",IF(IFERROR(VLOOKUP(H59,DB_Agents!$B:$I,8,0),"")=I59,IF(C59&gt;=E59,"Successful","Unsuccessful"),"🔒 BLOCKED — Wrong Code")),"Pending")</f>
        <v>Pending</v>
      </c>
      <c r="K59" s="83" t="str">
        <f t="shared" ca="1" si="5"/>
        <v>—</v>
      </c>
      <c r="L59" s="84"/>
    </row>
    <row r="60" spans="1:12" ht="15" customHeight="1" x14ac:dyDescent="0.25">
      <c r="A60" s="85"/>
      <c r="B60" s="41" t="str">
        <f>IF(A60="","",IFERROR(VLOOKUP(A60,DB_Customers!$A:$D,4,0),"❌ Account Not Found"))</f>
        <v/>
      </c>
      <c r="C60" s="86" t="str">
        <f>IF(A60="","",IFERROR(VLOOKUP(A60,DB_Customers!$A:$N,14,0),"❌ Acct Not Found"))</f>
        <v/>
      </c>
      <c r="D60" s="87" t="str">
        <f t="shared" ca="1" si="3"/>
        <v/>
      </c>
      <c r="E60" s="94"/>
      <c r="F60" s="41"/>
      <c r="G60" s="96" t="str">
        <f t="shared" si="4"/>
        <v/>
      </c>
      <c r="H60" s="43" t="s">
        <v>139</v>
      </c>
      <c r="I60" s="81"/>
      <c r="J60" s="89" t="str">
        <f>IF(AND(A60&lt;&gt;"",E60&lt;&gt;""),IF(I60="","⚠️ Enter Code",IF(IFERROR(VLOOKUP(H60,DB_Agents!$B:$I,8,0),"")=I60,IF(C60&gt;=E60,"Successful","Unsuccessful"),"🔒 BLOCKED — Wrong Code")),"Pending")</f>
        <v>Pending</v>
      </c>
      <c r="K60" s="90" t="str">
        <f t="shared" ca="1" si="5"/>
        <v>—</v>
      </c>
      <c r="L60" s="91"/>
    </row>
    <row r="61" spans="1:12" ht="15" customHeight="1" x14ac:dyDescent="0.25">
      <c r="A61" s="76"/>
      <c r="B61" s="37" t="str">
        <f>IF(A61="","",IFERROR(VLOOKUP(A61,DB_Customers!$A:$D,4,0),"❌ Account Not Found"))</f>
        <v/>
      </c>
      <c r="C61" s="77" t="str">
        <f>IF(A61="","",IFERROR(VLOOKUP(A61,DB_Customers!$A:$N,14,0),"❌ Acct Not Found"))</f>
        <v/>
      </c>
      <c r="D61" s="78" t="str">
        <f t="shared" ca="1" si="3"/>
        <v/>
      </c>
      <c r="E61" s="94"/>
      <c r="F61" s="37"/>
      <c r="G61" s="95" t="str">
        <f t="shared" si="4"/>
        <v/>
      </c>
      <c r="H61" s="39" t="s">
        <v>139</v>
      </c>
      <c r="I61" s="81"/>
      <c r="J61" s="82" t="str">
        <f>IF(AND(A61&lt;&gt;"",E61&lt;&gt;""),IF(I61="","⚠️ Enter Code",IF(IFERROR(VLOOKUP(H61,DB_Agents!$B:$I,8,0),"")=I61,IF(C61&gt;=E61,"Successful","Unsuccessful"),"🔒 BLOCKED — Wrong Code")),"Pending")</f>
        <v>Pending</v>
      </c>
      <c r="K61" s="83" t="str">
        <f t="shared" ca="1" si="5"/>
        <v>—</v>
      </c>
      <c r="L61" s="84"/>
    </row>
    <row r="62" spans="1:12" ht="15" customHeight="1" x14ac:dyDescent="0.25">
      <c r="A62" s="85"/>
      <c r="B62" s="41" t="str">
        <f>IF(A62="","",IFERROR(VLOOKUP(A62,DB_Customers!$A:$D,4,0),"❌ Account Not Found"))</f>
        <v/>
      </c>
      <c r="C62" s="86" t="str">
        <f>IF(A62="","",IFERROR(VLOOKUP(A62,DB_Customers!$A:$N,14,0),"❌ Acct Not Found"))</f>
        <v/>
      </c>
      <c r="D62" s="87" t="str">
        <f t="shared" ca="1" si="3"/>
        <v/>
      </c>
      <c r="E62" s="94"/>
      <c r="F62" s="41"/>
      <c r="G62" s="96" t="str">
        <f t="shared" si="4"/>
        <v/>
      </c>
      <c r="H62" s="43" t="s">
        <v>139</v>
      </c>
      <c r="I62" s="81"/>
      <c r="J62" s="89" t="str">
        <f>IF(AND(A62&lt;&gt;"",E62&lt;&gt;""),IF(I62="","⚠️ Enter Code",IF(IFERROR(VLOOKUP(H62,DB_Agents!$B:$I,8,0),"")=I62,IF(C62&gt;=E62,"Successful","Unsuccessful"),"🔒 BLOCKED — Wrong Code")),"Pending")</f>
        <v>Pending</v>
      </c>
      <c r="K62" s="90" t="str">
        <f t="shared" ca="1" si="5"/>
        <v>—</v>
      </c>
      <c r="L62" s="91"/>
    </row>
    <row r="63" spans="1:12" ht="15" customHeight="1" x14ac:dyDescent="0.25">
      <c r="A63" s="76"/>
      <c r="B63" s="37" t="str">
        <f>IF(A63="","",IFERROR(VLOOKUP(A63,DB_Customers!$A:$D,4,0),"❌ Account Not Found"))</f>
        <v/>
      </c>
      <c r="C63" s="77" t="str">
        <f>IF(A63="","",IFERROR(VLOOKUP(A63,DB_Customers!$A:$N,14,0),"❌ Acct Not Found"))</f>
        <v/>
      </c>
      <c r="D63" s="78" t="str">
        <f t="shared" ca="1" si="3"/>
        <v/>
      </c>
      <c r="E63" s="94"/>
      <c r="F63" s="37"/>
      <c r="G63" s="95" t="str">
        <f t="shared" si="4"/>
        <v/>
      </c>
      <c r="H63" s="39" t="s">
        <v>139</v>
      </c>
      <c r="I63" s="81"/>
      <c r="J63" s="82" t="str">
        <f>IF(AND(A63&lt;&gt;"",E63&lt;&gt;""),IF(I63="","⚠️ Enter Code",IF(IFERROR(VLOOKUP(H63,DB_Agents!$B:$I,8,0),"")=I63,IF(C63&gt;=E63,"Successful","Unsuccessful"),"🔒 BLOCKED — Wrong Code")),"Pending")</f>
        <v>Pending</v>
      </c>
      <c r="K63" s="83" t="str">
        <f t="shared" ca="1" si="5"/>
        <v>—</v>
      </c>
      <c r="L63" s="84"/>
    </row>
    <row r="64" spans="1:12" ht="15" customHeight="1" x14ac:dyDescent="0.25">
      <c r="A64" s="85"/>
      <c r="B64" s="41" t="str">
        <f>IF(A64="","",IFERROR(VLOOKUP(A64,DB_Customers!$A:$D,4,0),"❌ Account Not Found"))</f>
        <v/>
      </c>
      <c r="C64" s="86" t="str">
        <f>IF(A64="","",IFERROR(VLOOKUP(A64,DB_Customers!$A:$N,14,0),"❌ Acct Not Found"))</f>
        <v/>
      </c>
      <c r="D64" s="87" t="str">
        <f t="shared" ca="1" si="3"/>
        <v/>
      </c>
      <c r="E64" s="94"/>
      <c r="F64" s="41"/>
      <c r="G64" s="96" t="str">
        <f t="shared" si="4"/>
        <v/>
      </c>
      <c r="H64" s="43" t="s">
        <v>139</v>
      </c>
      <c r="I64" s="81"/>
      <c r="J64" s="89" t="str">
        <f>IF(AND(A64&lt;&gt;"",E64&lt;&gt;""),IF(I64="","⚠️ Enter Code",IF(IFERROR(VLOOKUP(H64,DB_Agents!$B:$I,8,0),"")=I64,IF(C64&gt;=E64,"Successful","Unsuccessful"),"🔒 BLOCKED — Wrong Code")),"Pending")</f>
        <v>Pending</v>
      </c>
      <c r="K64" s="90" t="str">
        <f t="shared" ca="1" si="5"/>
        <v>—</v>
      </c>
      <c r="L64" s="91"/>
    </row>
    <row r="65" spans="1:12" ht="15" customHeight="1" x14ac:dyDescent="0.25">
      <c r="A65" s="76"/>
      <c r="B65" s="37" t="str">
        <f>IF(A65="","",IFERROR(VLOOKUP(A65,DB_Customers!$A:$D,4,0),"❌ Account Not Found"))</f>
        <v/>
      </c>
      <c r="C65" s="77" t="str">
        <f>IF(A65="","",IFERROR(VLOOKUP(A65,DB_Customers!$A:$N,14,0),"❌ Acct Not Found"))</f>
        <v/>
      </c>
      <c r="D65" s="78" t="str">
        <f t="shared" ca="1" si="3"/>
        <v/>
      </c>
      <c r="E65" s="94"/>
      <c r="F65" s="37"/>
      <c r="G65" s="95" t="str">
        <f t="shared" si="4"/>
        <v/>
      </c>
      <c r="H65" s="39" t="s">
        <v>139</v>
      </c>
      <c r="I65" s="81"/>
      <c r="J65" s="82" t="str">
        <f>IF(AND(A65&lt;&gt;"",E65&lt;&gt;""),IF(I65="","⚠️ Enter Code",IF(IFERROR(VLOOKUP(H65,DB_Agents!$B:$I,8,0),"")=I65,IF(C65&gt;=E65,"Successful","Unsuccessful"),"🔒 BLOCKED — Wrong Code")),"Pending")</f>
        <v>Pending</v>
      </c>
      <c r="K65" s="83" t="str">
        <f t="shared" ca="1" si="5"/>
        <v>—</v>
      </c>
      <c r="L65" s="84"/>
    </row>
    <row r="66" spans="1:12" ht="15" customHeight="1" x14ac:dyDescent="0.25">
      <c r="A66" s="85"/>
      <c r="B66" s="41" t="str">
        <f>IF(A66="","",IFERROR(VLOOKUP(A66,DB_Customers!$A:$D,4,0),"❌ Account Not Found"))</f>
        <v/>
      </c>
      <c r="C66" s="86" t="str">
        <f>IF(A66="","",IFERROR(VLOOKUP(A66,DB_Customers!$A:$N,14,0),"❌ Acct Not Found"))</f>
        <v/>
      </c>
      <c r="D66" s="87" t="str">
        <f t="shared" ca="1" si="3"/>
        <v/>
      </c>
      <c r="E66" s="94"/>
      <c r="F66" s="41"/>
      <c r="G66" s="96" t="str">
        <f t="shared" si="4"/>
        <v/>
      </c>
      <c r="H66" s="43" t="s">
        <v>139</v>
      </c>
      <c r="I66" s="81"/>
      <c r="J66" s="89" t="str">
        <f>IF(AND(A66&lt;&gt;"",E66&lt;&gt;""),IF(I66="","⚠️ Enter Code",IF(IFERROR(VLOOKUP(H66,DB_Agents!$B:$I,8,0),"")=I66,IF(C66&gt;=E66,"Successful","Unsuccessful"),"🔒 BLOCKED — Wrong Code")),"Pending")</f>
        <v>Pending</v>
      </c>
      <c r="K66" s="90" t="str">
        <f t="shared" ca="1" si="5"/>
        <v>—</v>
      </c>
      <c r="L66" s="91"/>
    </row>
    <row r="67" spans="1:12" ht="15" customHeight="1" x14ac:dyDescent="0.25">
      <c r="A67" s="76"/>
      <c r="B67" s="37" t="str">
        <f>IF(A67="","",IFERROR(VLOOKUP(A67,DB_Customers!$A:$D,4,0),"❌ Account Not Found"))</f>
        <v/>
      </c>
      <c r="C67" s="77" t="str">
        <f>IF(A67="","",IFERROR(VLOOKUP(A67,DB_Customers!$A:$N,14,0),"❌ Acct Not Found"))</f>
        <v/>
      </c>
      <c r="D67" s="78" t="str">
        <f t="shared" ca="1" si="3"/>
        <v/>
      </c>
      <c r="E67" s="94"/>
      <c r="F67" s="37"/>
      <c r="G67" s="95" t="str">
        <f t="shared" si="4"/>
        <v/>
      </c>
      <c r="H67" s="39" t="s">
        <v>139</v>
      </c>
      <c r="I67" s="81"/>
      <c r="J67" s="82" t="str">
        <f>IF(AND(A67&lt;&gt;"",E67&lt;&gt;""),IF(I67="","⚠️ Enter Code",IF(IFERROR(VLOOKUP(H67,DB_Agents!$B:$I,8,0),"")=I67,IF(C67&gt;=E67,"Successful","Unsuccessful"),"🔒 BLOCKED — Wrong Code")),"Pending")</f>
        <v>Pending</v>
      </c>
      <c r="K67" s="83" t="str">
        <f t="shared" ca="1" si="5"/>
        <v>—</v>
      </c>
      <c r="L67" s="84"/>
    </row>
    <row r="68" spans="1:12" ht="15" customHeight="1" x14ac:dyDescent="0.25">
      <c r="A68" s="85"/>
      <c r="B68" s="41" t="str">
        <f>IF(A68="","",IFERROR(VLOOKUP(A68,DB_Customers!$A:$D,4,0),"❌ Account Not Found"))</f>
        <v/>
      </c>
      <c r="C68" s="86" t="str">
        <f>IF(A68="","",IFERROR(VLOOKUP(A68,DB_Customers!$A:$N,14,0),"❌ Acct Not Found"))</f>
        <v/>
      </c>
      <c r="D68" s="87" t="str">
        <f t="shared" ca="1" si="3"/>
        <v/>
      </c>
      <c r="E68" s="94"/>
      <c r="F68" s="41"/>
      <c r="G68" s="96" t="str">
        <f t="shared" si="4"/>
        <v/>
      </c>
      <c r="H68" s="43" t="s">
        <v>139</v>
      </c>
      <c r="I68" s="81"/>
      <c r="J68" s="89" t="str">
        <f>IF(AND(A68&lt;&gt;"",E68&lt;&gt;""),IF(I68="","⚠️ Enter Code",IF(IFERROR(VLOOKUP(H68,DB_Agents!$B:$I,8,0),"")=I68,IF(C68&gt;=E68,"Successful","Unsuccessful"),"🔒 BLOCKED — Wrong Code")),"Pending")</f>
        <v>Pending</v>
      </c>
      <c r="K68" s="90" t="str">
        <f t="shared" ca="1" si="5"/>
        <v>—</v>
      </c>
      <c r="L68" s="91"/>
    </row>
    <row r="69" spans="1:12" ht="15" customHeight="1" x14ac:dyDescent="0.25">
      <c r="A69" s="76"/>
      <c r="B69" s="37" t="str">
        <f>IF(A69="","",IFERROR(VLOOKUP(A69,DB_Customers!$A:$D,4,0),"❌ Account Not Found"))</f>
        <v/>
      </c>
      <c r="C69" s="77" t="str">
        <f>IF(A69="","",IFERROR(VLOOKUP(A69,DB_Customers!$A:$N,14,0),"❌ Acct Not Found"))</f>
        <v/>
      </c>
      <c r="D69" s="78" t="str">
        <f t="shared" ca="1" si="3"/>
        <v/>
      </c>
      <c r="E69" s="94"/>
      <c r="F69" s="37"/>
      <c r="G69" s="95" t="str">
        <f t="shared" si="4"/>
        <v/>
      </c>
      <c r="H69" s="39" t="s">
        <v>139</v>
      </c>
      <c r="I69" s="81"/>
      <c r="J69" s="82" t="str">
        <f>IF(AND(A69&lt;&gt;"",E69&lt;&gt;""),IF(I69="","⚠️ Enter Code",IF(IFERROR(VLOOKUP(H69,DB_Agents!$B:$I,8,0),"")=I69,IF(C69&gt;=E69,"Successful","Unsuccessful"),"🔒 BLOCKED — Wrong Code")),"Pending")</f>
        <v>Pending</v>
      </c>
      <c r="K69" s="83" t="str">
        <f t="shared" ca="1" si="5"/>
        <v>—</v>
      </c>
      <c r="L69" s="84"/>
    </row>
    <row r="70" spans="1:12" ht="15" customHeight="1" x14ac:dyDescent="0.25">
      <c r="A70" s="85"/>
      <c r="B70" s="41" t="str">
        <f>IF(A70="","",IFERROR(VLOOKUP(A70,DB_Customers!$A:$D,4,0),"❌ Account Not Found"))</f>
        <v/>
      </c>
      <c r="C70" s="86" t="str">
        <f>IF(A70="","",IFERROR(VLOOKUP(A70,DB_Customers!$A:$N,14,0),"❌ Acct Not Found"))</f>
        <v/>
      </c>
      <c r="D70" s="87" t="str">
        <f t="shared" ca="1" si="3"/>
        <v/>
      </c>
      <c r="E70" s="94"/>
      <c r="F70" s="41"/>
      <c r="G70" s="96" t="str">
        <f t="shared" si="4"/>
        <v/>
      </c>
      <c r="H70" s="43" t="s">
        <v>139</v>
      </c>
      <c r="I70" s="81"/>
      <c r="J70" s="89" t="str">
        <f>IF(AND(A70&lt;&gt;"",E70&lt;&gt;""),IF(I70="","⚠️ Enter Code",IF(IFERROR(VLOOKUP(H70,DB_Agents!$B:$I,8,0),"")=I70,IF(C70&gt;=E70,"Successful","Unsuccessful"),"🔒 BLOCKED — Wrong Code")),"Pending")</f>
        <v>Pending</v>
      </c>
      <c r="K70" s="90" t="str">
        <f t="shared" ca="1" si="5"/>
        <v>—</v>
      </c>
      <c r="L70" s="91"/>
    </row>
    <row r="71" spans="1:12" ht="15" customHeight="1" x14ac:dyDescent="0.25">
      <c r="A71" s="76"/>
      <c r="B71" s="37" t="str">
        <f>IF(A71="","",IFERROR(VLOOKUP(A71,DB_Customers!$A:$D,4,0),"❌ Account Not Found"))</f>
        <v/>
      </c>
      <c r="C71" s="77" t="str">
        <f>IF(A71="","",IFERROR(VLOOKUP(A71,DB_Customers!$A:$N,14,0),"❌ Acct Not Found"))</f>
        <v/>
      </c>
      <c r="D71" s="78" t="str">
        <f t="shared" ca="1" si="3"/>
        <v/>
      </c>
      <c r="E71" s="94"/>
      <c r="F71" s="37"/>
      <c r="G71" s="95" t="str">
        <f t="shared" si="4"/>
        <v/>
      </c>
      <c r="H71" s="39" t="s">
        <v>139</v>
      </c>
      <c r="I71" s="81"/>
      <c r="J71" s="82" t="str">
        <f>IF(AND(A71&lt;&gt;"",E71&lt;&gt;""),IF(I71="","⚠️ Enter Code",IF(IFERROR(VLOOKUP(H71,DB_Agents!$B:$I,8,0),"")=I71,IF(C71&gt;=E71,"Successful","Unsuccessful"),"🔒 BLOCKED — Wrong Code")),"Pending")</f>
        <v>Pending</v>
      </c>
      <c r="K71" s="83" t="str">
        <f t="shared" ca="1" si="5"/>
        <v>—</v>
      </c>
      <c r="L71" s="84"/>
    </row>
    <row r="72" spans="1:12" ht="15" customHeight="1" x14ac:dyDescent="0.25">
      <c r="A72" s="85"/>
      <c r="B72" s="41" t="str">
        <f>IF(A72="","",IFERROR(VLOOKUP(A72,DB_Customers!$A:$D,4,0),"❌ Account Not Found"))</f>
        <v/>
      </c>
      <c r="C72" s="86" t="str">
        <f>IF(A72="","",IFERROR(VLOOKUP(A72,DB_Customers!$A:$N,14,0),"❌ Acct Not Found"))</f>
        <v/>
      </c>
      <c r="D72" s="87" t="str">
        <f t="shared" ca="1" si="3"/>
        <v/>
      </c>
      <c r="E72" s="94"/>
      <c r="F72" s="41"/>
      <c r="G72" s="96" t="str">
        <f t="shared" si="4"/>
        <v/>
      </c>
      <c r="H72" s="43" t="s">
        <v>139</v>
      </c>
      <c r="I72" s="81"/>
      <c r="J72" s="89" t="str">
        <f>IF(AND(A72&lt;&gt;"",E72&lt;&gt;""),IF(I72="","⚠️ Enter Code",IF(IFERROR(VLOOKUP(H72,DB_Agents!$B:$I,8,0),"")=I72,IF(C72&gt;=E72,"Successful","Unsuccessful"),"🔒 BLOCKED — Wrong Code")),"Pending")</f>
        <v>Pending</v>
      </c>
      <c r="K72" s="90" t="str">
        <f t="shared" ca="1" si="5"/>
        <v>—</v>
      </c>
      <c r="L72" s="91"/>
    </row>
    <row r="73" spans="1:12" ht="15" customHeight="1" x14ac:dyDescent="0.25">
      <c r="A73" s="76"/>
      <c r="B73" s="37" t="str">
        <f>IF(A73="","",IFERROR(VLOOKUP(A73,DB_Customers!$A:$D,4,0),"❌ Account Not Found"))</f>
        <v/>
      </c>
      <c r="C73" s="77" t="str">
        <f>IF(A73="","",IFERROR(VLOOKUP(A73,DB_Customers!$A:$N,14,0),"❌ Acct Not Found"))</f>
        <v/>
      </c>
      <c r="D73" s="78" t="str">
        <f t="shared" ref="D73:D104" ca="1" si="6">IF(A73="","",TODAY())</f>
        <v/>
      </c>
      <c r="E73" s="94"/>
      <c r="F73" s="37"/>
      <c r="G73" s="95" t="str">
        <f t="shared" ref="G73:G104" si="7">IF(OR(A73="",E73=""),"",IF(C73="","",C73-E73))</f>
        <v/>
      </c>
      <c r="H73" s="39" t="s">
        <v>139</v>
      </c>
      <c r="I73" s="81"/>
      <c r="J73" s="82" t="str">
        <f>IF(AND(A73&lt;&gt;"",E73&lt;&gt;""),IF(I73="","⚠️ Enter Code",IF(IFERROR(VLOOKUP(H73,DB_Agents!$B:$I,8,0),"")=I73,IF(C73&gt;=E73,"Successful","Unsuccessful"),"🔒 BLOCKED — Wrong Code")),"Pending")</f>
        <v>Pending</v>
      </c>
      <c r="K73" s="83" t="str">
        <f t="shared" ref="K73:K104" ca="1" si="8">IF(J73="Successful",TEXT(TODAY(),"YYYY-MM-DD")&amp;" Auto","—")</f>
        <v>—</v>
      </c>
      <c r="L73" s="84"/>
    </row>
    <row r="74" spans="1:12" ht="15" customHeight="1" x14ac:dyDescent="0.25">
      <c r="A74" s="85"/>
      <c r="B74" s="41" t="str">
        <f>IF(A74="","",IFERROR(VLOOKUP(A74,DB_Customers!$A:$D,4,0),"❌ Account Not Found"))</f>
        <v/>
      </c>
      <c r="C74" s="86" t="str">
        <f>IF(A74="","",IFERROR(VLOOKUP(A74,DB_Customers!$A:$N,14,0),"❌ Acct Not Found"))</f>
        <v/>
      </c>
      <c r="D74" s="87" t="str">
        <f t="shared" ca="1" si="6"/>
        <v/>
      </c>
      <c r="E74" s="94"/>
      <c r="F74" s="41"/>
      <c r="G74" s="96" t="str">
        <f t="shared" si="7"/>
        <v/>
      </c>
      <c r="H74" s="43" t="s">
        <v>139</v>
      </c>
      <c r="I74" s="81"/>
      <c r="J74" s="89" t="str">
        <f>IF(AND(A74&lt;&gt;"",E74&lt;&gt;""),IF(I74="","⚠️ Enter Code",IF(IFERROR(VLOOKUP(H74,DB_Agents!$B:$I,8,0),"")=I74,IF(C74&gt;=E74,"Successful","Unsuccessful"),"🔒 BLOCKED — Wrong Code")),"Pending")</f>
        <v>Pending</v>
      </c>
      <c r="K74" s="90" t="str">
        <f t="shared" ca="1" si="8"/>
        <v>—</v>
      </c>
      <c r="L74" s="91"/>
    </row>
    <row r="75" spans="1:12" ht="15" customHeight="1" x14ac:dyDescent="0.25">
      <c r="A75" s="76"/>
      <c r="B75" s="37" t="str">
        <f>IF(A75="","",IFERROR(VLOOKUP(A75,DB_Customers!$A:$D,4,0),"❌ Account Not Found"))</f>
        <v/>
      </c>
      <c r="C75" s="77" t="str">
        <f>IF(A75="","",IFERROR(VLOOKUP(A75,DB_Customers!$A:$N,14,0),"❌ Acct Not Found"))</f>
        <v/>
      </c>
      <c r="D75" s="78" t="str">
        <f t="shared" ca="1" si="6"/>
        <v/>
      </c>
      <c r="E75" s="94"/>
      <c r="F75" s="37"/>
      <c r="G75" s="95" t="str">
        <f t="shared" si="7"/>
        <v/>
      </c>
      <c r="H75" s="39" t="s">
        <v>139</v>
      </c>
      <c r="I75" s="81"/>
      <c r="J75" s="82" t="str">
        <f>IF(AND(A75&lt;&gt;"",E75&lt;&gt;""),IF(I75="","⚠️ Enter Code",IF(IFERROR(VLOOKUP(H75,DB_Agents!$B:$I,8,0),"")=I75,IF(C75&gt;=E75,"Successful","Unsuccessful"),"🔒 BLOCKED — Wrong Code")),"Pending")</f>
        <v>Pending</v>
      </c>
      <c r="K75" s="83" t="str">
        <f t="shared" ca="1" si="8"/>
        <v>—</v>
      </c>
      <c r="L75" s="84"/>
    </row>
    <row r="76" spans="1:12" ht="15" customHeight="1" x14ac:dyDescent="0.25">
      <c r="A76" s="85"/>
      <c r="B76" s="41" t="str">
        <f>IF(A76="","",IFERROR(VLOOKUP(A76,DB_Customers!$A:$D,4,0),"❌ Account Not Found"))</f>
        <v/>
      </c>
      <c r="C76" s="86" t="str">
        <f>IF(A76="","",IFERROR(VLOOKUP(A76,DB_Customers!$A:$N,14,0),"❌ Acct Not Found"))</f>
        <v/>
      </c>
      <c r="D76" s="87" t="str">
        <f t="shared" ca="1" si="6"/>
        <v/>
      </c>
      <c r="E76" s="94"/>
      <c r="F76" s="41"/>
      <c r="G76" s="96" t="str">
        <f t="shared" si="7"/>
        <v/>
      </c>
      <c r="H76" s="43" t="s">
        <v>139</v>
      </c>
      <c r="I76" s="81"/>
      <c r="J76" s="89" t="str">
        <f>IF(AND(A76&lt;&gt;"",E76&lt;&gt;""),IF(I76="","⚠️ Enter Code",IF(IFERROR(VLOOKUP(H76,DB_Agents!$B:$I,8,0),"")=I76,IF(C76&gt;=E76,"Successful","Unsuccessful"),"🔒 BLOCKED — Wrong Code")),"Pending")</f>
        <v>Pending</v>
      </c>
      <c r="K76" s="90" t="str">
        <f t="shared" ca="1" si="8"/>
        <v>—</v>
      </c>
      <c r="L76" s="91"/>
    </row>
    <row r="77" spans="1:12" ht="15" customHeight="1" x14ac:dyDescent="0.25">
      <c r="A77" s="76"/>
      <c r="B77" s="37" t="str">
        <f>IF(A77="","",IFERROR(VLOOKUP(A77,DB_Customers!$A:$D,4,0),"❌ Account Not Found"))</f>
        <v/>
      </c>
      <c r="C77" s="77" t="str">
        <f>IF(A77="","",IFERROR(VLOOKUP(A77,DB_Customers!$A:$N,14,0),"❌ Acct Not Found"))</f>
        <v/>
      </c>
      <c r="D77" s="78" t="str">
        <f t="shared" ca="1" si="6"/>
        <v/>
      </c>
      <c r="E77" s="94"/>
      <c r="F77" s="37"/>
      <c r="G77" s="95" t="str">
        <f t="shared" si="7"/>
        <v/>
      </c>
      <c r="H77" s="39" t="s">
        <v>139</v>
      </c>
      <c r="I77" s="81"/>
      <c r="J77" s="82" t="str">
        <f>IF(AND(A77&lt;&gt;"",E77&lt;&gt;""),IF(I77="","⚠️ Enter Code",IF(IFERROR(VLOOKUP(H77,DB_Agents!$B:$I,8,0),"")=I77,IF(C77&gt;=E77,"Successful","Unsuccessful"),"🔒 BLOCKED — Wrong Code")),"Pending")</f>
        <v>Pending</v>
      </c>
      <c r="K77" s="83" t="str">
        <f t="shared" ca="1" si="8"/>
        <v>—</v>
      </c>
      <c r="L77" s="84"/>
    </row>
    <row r="78" spans="1:12" ht="15" customHeight="1" x14ac:dyDescent="0.25">
      <c r="A78" s="85"/>
      <c r="B78" s="41" t="str">
        <f>IF(A78="","",IFERROR(VLOOKUP(A78,DB_Customers!$A:$D,4,0),"❌ Account Not Found"))</f>
        <v/>
      </c>
      <c r="C78" s="86" t="str">
        <f>IF(A78="","",IFERROR(VLOOKUP(A78,DB_Customers!$A:$N,14,0),"❌ Acct Not Found"))</f>
        <v/>
      </c>
      <c r="D78" s="87" t="str">
        <f t="shared" ca="1" si="6"/>
        <v/>
      </c>
      <c r="E78" s="94"/>
      <c r="F78" s="41"/>
      <c r="G78" s="96" t="str">
        <f t="shared" si="7"/>
        <v/>
      </c>
      <c r="H78" s="43" t="s">
        <v>139</v>
      </c>
      <c r="I78" s="81"/>
      <c r="J78" s="89" t="str">
        <f>IF(AND(A78&lt;&gt;"",E78&lt;&gt;""),IF(I78="","⚠️ Enter Code",IF(IFERROR(VLOOKUP(H78,DB_Agents!$B:$I,8,0),"")=I78,IF(C78&gt;=E78,"Successful","Unsuccessful"),"🔒 BLOCKED — Wrong Code")),"Pending")</f>
        <v>Pending</v>
      </c>
      <c r="K78" s="90" t="str">
        <f t="shared" ca="1" si="8"/>
        <v>—</v>
      </c>
      <c r="L78" s="91"/>
    </row>
    <row r="79" spans="1:12" ht="15" customHeight="1" x14ac:dyDescent="0.25">
      <c r="A79" s="76"/>
      <c r="B79" s="37" t="str">
        <f>IF(A79="","",IFERROR(VLOOKUP(A79,DB_Customers!$A:$D,4,0),"❌ Account Not Found"))</f>
        <v/>
      </c>
      <c r="C79" s="77" t="str">
        <f>IF(A79="","",IFERROR(VLOOKUP(A79,DB_Customers!$A:$N,14,0),"❌ Acct Not Found"))</f>
        <v/>
      </c>
      <c r="D79" s="78" t="str">
        <f t="shared" ca="1" si="6"/>
        <v/>
      </c>
      <c r="E79" s="94"/>
      <c r="F79" s="37"/>
      <c r="G79" s="95" t="str">
        <f t="shared" si="7"/>
        <v/>
      </c>
      <c r="H79" s="39" t="s">
        <v>139</v>
      </c>
      <c r="I79" s="81"/>
      <c r="J79" s="82" t="str">
        <f>IF(AND(A79&lt;&gt;"",E79&lt;&gt;""),IF(I79="","⚠️ Enter Code",IF(IFERROR(VLOOKUP(H79,DB_Agents!$B:$I,8,0),"")=I79,IF(C79&gt;=E79,"Successful","Unsuccessful"),"🔒 BLOCKED — Wrong Code")),"Pending")</f>
        <v>Pending</v>
      </c>
      <c r="K79" s="83" t="str">
        <f t="shared" ca="1" si="8"/>
        <v>—</v>
      </c>
      <c r="L79" s="84"/>
    </row>
    <row r="80" spans="1:12" ht="15" customHeight="1" x14ac:dyDescent="0.25">
      <c r="A80" s="85"/>
      <c r="B80" s="41" t="str">
        <f>IF(A80="","",IFERROR(VLOOKUP(A80,DB_Customers!$A:$D,4,0),"❌ Account Not Found"))</f>
        <v/>
      </c>
      <c r="C80" s="86" t="str">
        <f>IF(A80="","",IFERROR(VLOOKUP(A80,DB_Customers!$A:$N,14,0),"❌ Acct Not Found"))</f>
        <v/>
      </c>
      <c r="D80" s="87" t="str">
        <f t="shared" ca="1" si="6"/>
        <v/>
      </c>
      <c r="E80" s="94"/>
      <c r="F80" s="41"/>
      <c r="G80" s="96" t="str">
        <f t="shared" si="7"/>
        <v/>
      </c>
      <c r="H80" s="43" t="s">
        <v>139</v>
      </c>
      <c r="I80" s="81"/>
      <c r="J80" s="89" t="str">
        <f>IF(AND(A80&lt;&gt;"",E80&lt;&gt;""),IF(I80="","⚠️ Enter Code",IF(IFERROR(VLOOKUP(H80,DB_Agents!$B:$I,8,0),"")=I80,IF(C80&gt;=E80,"Successful","Unsuccessful"),"🔒 BLOCKED — Wrong Code")),"Pending")</f>
        <v>Pending</v>
      </c>
      <c r="K80" s="90" t="str">
        <f t="shared" ca="1" si="8"/>
        <v>—</v>
      </c>
      <c r="L80" s="91"/>
    </row>
    <row r="81" spans="1:12" ht="15" customHeight="1" x14ac:dyDescent="0.25">
      <c r="A81" s="76"/>
      <c r="B81" s="37" t="str">
        <f>IF(A81="","",IFERROR(VLOOKUP(A81,DB_Customers!$A:$D,4,0),"❌ Account Not Found"))</f>
        <v/>
      </c>
      <c r="C81" s="77" t="str">
        <f>IF(A81="","",IFERROR(VLOOKUP(A81,DB_Customers!$A:$N,14,0),"❌ Acct Not Found"))</f>
        <v/>
      </c>
      <c r="D81" s="78" t="str">
        <f t="shared" ca="1" si="6"/>
        <v/>
      </c>
      <c r="E81" s="94"/>
      <c r="F81" s="37"/>
      <c r="G81" s="95" t="str">
        <f t="shared" si="7"/>
        <v/>
      </c>
      <c r="H81" s="39" t="s">
        <v>139</v>
      </c>
      <c r="I81" s="81"/>
      <c r="J81" s="82" t="str">
        <f>IF(AND(A81&lt;&gt;"",E81&lt;&gt;""),IF(I81="","⚠️ Enter Code",IF(IFERROR(VLOOKUP(H81,DB_Agents!$B:$I,8,0),"")=I81,IF(C81&gt;=E81,"Successful","Unsuccessful"),"🔒 BLOCKED — Wrong Code")),"Pending")</f>
        <v>Pending</v>
      </c>
      <c r="K81" s="83" t="str">
        <f t="shared" ca="1" si="8"/>
        <v>—</v>
      </c>
      <c r="L81" s="84"/>
    </row>
    <row r="82" spans="1:12" ht="15" customHeight="1" x14ac:dyDescent="0.25">
      <c r="A82" s="85"/>
      <c r="B82" s="41" t="str">
        <f>IF(A82="","",IFERROR(VLOOKUP(A82,DB_Customers!$A:$D,4,0),"❌ Account Not Found"))</f>
        <v/>
      </c>
      <c r="C82" s="86" t="str">
        <f>IF(A82="","",IFERROR(VLOOKUP(A82,DB_Customers!$A:$N,14,0),"❌ Acct Not Found"))</f>
        <v/>
      </c>
      <c r="D82" s="87" t="str">
        <f t="shared" ca="1" si="6"/>
        <v/>
      </c>
      <c r="E82" s="94"/>
      <c r="F82" s="41"/>
      <c r="G82" s="96" t="str">
        <f t="shared" si="7"/>
        <v/>
      </c>
      <c r="H82" s="43" t="s">
        <v>139</v>
      </c>
      <c r="I82" s="81"/>
      <c r="J82" s="89" t="str">
        <f>IF(AND(A82&lt;&gt;"",E82&lt;&gt;""),IF(I82="","⚠️ Enter Code",IF(IFERROR(VLOOKUP(H82,DB_Agents!$B:$I,8,0),"")=I82,IF(C82&gt;=E82,"Successful","Unsuccessful"),"🔒 BLOCKED — Wrong Code")),"Pending")</f>
        <v>Pending</v>
      </c>
      <c r="K82" s="90" t="str">
        <f t="shared" ca="1" si="8"/>
        <v>—</v>
      </c>
      <c r="L82" s="91"/>
    </row>
    <row r="83" spans="1:12" ht="15" customHeight="1" x14ac:dyDescent="0.25">
      <c r="A83" s="76"/>
      <c r="B83" s="37" t="str">
        <f>IF(A83="","",IFERROR(VLOOKUP(A83,DB_Customers!$A:$D,4,0),"❌ Account Not Found"))</f>
        <v/>
      </c>
      <c r="C83" s="77" t="str">
        <f>IF(A83="","",IFERROR(VLOOKUP(A83,DB_Customers!$A:$N,14,0),"❌ Acct Not Found"))</f>
        <v/>
      </c>
      <c r="D83" s="78" t="str">
        <f t="shared" ca="1" si="6"/>
        <v/>
      </c>
      <c r="E83" s="94"/>
      <c r="F83" s="37"/>
      <c r="G83" s="95" t="str">
        <f t="shared" si="7"/>
        <v/>
      </c>
      <c r="H83" s="39" t="s">
        <v>139</v>
      </c>
      <c r="I83" s="81"/>
      <c r="J83" s="82" t="str">
        <f>IF(AND(A83&lt;&gt;"",E83&lt;&gt;""),IF(I83="","⚠️ Enter Code",IF(IFERROR(VLOOKUP(H83,DB_Agents!$B:$I,8,0),"")=I83,IF(C83&gt;=E83,"Successful","Unsuccessful"),"🔒 BLOCKED — Wrong Code")),"Pending")</f>
        <v>Pending</v>
      </c>
      <c r="K83" s="83" t="str">
        <f t="shared" ca="1" si="8"/>
        <v>—</v>
      </c>
      <c r="L83" s="84"/>
    </row>
    <row r="84" spans="1:12" ht="15" customHeight="1" x14ac:dyDescent="0.25">
      <c r="A84" s="85"/>
      <c r="B84" s="41" t="str">
        <f>IF(A84="","",IFERROR(VLOOKUP(A84,DB_Customers!$A:$D,4,0),"❌ Account Not Found"))</f>
        <v/>
      </c>
      <c r="C84" s="86" t="str">
        <f>IF(A84="","",IFERROR(VLOOKUP(A84,DB_Customers!$A:$N,14,0),"❌ Acct Not Found"))</f>
        <v/>
      </c>
      <c r="D84" s="87" t="str">
        <f t="shared" ca="1" si="6"/>
        <v/>
      </c>
      <c r="E84" s="94"/>
      <c r="F84" s="41"/>
      <c r="G84" s="96" t="str">
        <f t="shared" si="7"/>
        <v/>
      </c>
      <c r="H84" s="43" t="s">
        <v>139</v>
      </c>
      <c r="I84" s="81"/>
      <c r="J84" s="89" t="str">
        <f>IF(AND(A84&lt;&gt;"",E84&lt;&gt;""),IF(I84="","⚠️ Enter Code",IF(IFERROR(VLOOKUP(H84,DB_Agents!$B:$I,8,0),"")=I84,IF(C84&gt;=E84,"Successful","Unsuccessful"),"🔒 BLOCKED — Wrong Code")),"Pending")</f>
        <v>Pending</v>
      </c>
      <c r="K84" s="90" t="str">
        <f t="shared" ca="1" si="8"/>
        <v>—</v>
      </c>
      <c r="L84" s="91"/>
    </row>
    <row r="85" spans="1:12" ht="15" customHeight="1" x14ac:dyDescent="0.25">
      <c r="A85" s="76"/>
      <c r="B85" s="37" t="str">
        <f>IF(A85="","",IFERROR(VLOOKUP(A85,DB_Customers!$A:$D,4,0),"❌ Account Not Found"))</f>
        <v/>
      </c>
      <c r="C85" s="77" t="str">
        <f>IF(A85="","",IFERROR(VLOOKUP(A85,DB_Customers!$A:$N,14,0),"❌ Acct Not Found"))</f>
        <v/>
      </c>
      <c r="D85" s="78" t="str">
        <f t="shared" ca="1" si="6"/>
        <v/>
      </c>
      <c r="E85" s="94"/>
      <c r="F85" s="37"/>
      <c r="G85" s="95" t="str">
        <f t="shared" si="7"/>
        <v/>
      </c>
      <c r="H85" s="39" t="s">
        <v>139</v>
      </c>
      <c r="I85" s="81"/>
      <c r="J85" s="82" t="str">
        <f>IF(AND(A85&lt;&gt;"",E85&lt;&gt;""),IF(I85="","⚠️ Enter Code",IF(IFERROR(VLOOKUP(H85,DB_Agents!$B:$I,8,0),"")=I85,IF(C85&gt;=E85,"Successful","Unsuccessful"),"🔒 BLOCKED — Wrong Code")),"Pending")</f>
        <v>Pending</v>
      </c>
      <c r="K85" s="83" t="str">
        <f t="shared" ca="1" si="8"/>
        <v>—</v>
      </c>
      <c r="L85" s="84"/>
    </row>
    <row r="86" spans="1:12" ht="15" customHeight="1" x14ac:dyDescent="0.25">
      <c r="A86" s="85"/>
      <c r="B86" s="41" t="str">
        <f>IF(A86="","",IFERROR(VLOOKUP(A86,DB_Customers!$A:$D,4,0),"❌ Account Not Found"))</f>
        <v/>
      </c>
      <c r="C86" s="86" t="str">
        <f>IF(A86="","",IFERROR(VLOOKUP(A86,DB_Customers!$A:$N,14,0),"❌ Acct Not Found"))</f>
        <v/>
      </c>
      <c r="D86" s="87" t="str">
        <f t="shared" ca="1" si="6"/>
        <v/>
      </c>
      <c r="E86" s="94"/>
      <c r="F86" s="41"/>
      <c r="G86" s="96" t="str">
        <f t="shared" si="7"/>
        <v/>
      </c>
      <c r="H86" s="43" t="s">
        <v>139</v>
      </c>
      <c r="I86" s="81"/>
      <c r="J86" s="89" t="str">
        <f>IF(AND(A86&lt;&gt;"",E86&lt;&gt;""),IF(I86="","⚠️ Enter Code",IF(IFERROR(VLOOKUP(H86,DB_Agents!$B:$I,8,0),"")=I86,IF(C86&gt;=E86,"Successful","Unsuccessful"),"🔒 BLOCKED — Wrong Code")),"Pending")</f>
        <v>Pending</v>
      </c>
      <c r="K86" s="90" t="str">
        <f t="shared" ca="1" si="8"/>
        <v>—</v>
      </c>
      <c r="L86" s="91"/>
    </row>
    <row r="87" spans="1:12" ht="15" customHeight="1" x14ac:dyDescent="0.25">
      <c r="A87" s="76"/>
      <c r="B87" s="37" t="str">
        <f>IF(A87="","",IFERROR(VLOOKUP(A87,DB_Customers!$A:$D,4,0),"❌ Account Not Found"))</f>
        <v/>
      </c>
      <c r="C87" s="77" t="str">
        <f>IF(A87="","",IFERROR(VLOOKUP(A87,DB_Customers!$A:$N,14,0),"❌ Acct Not Found"))</f>
        <v/>
      </c>
      <c r="D87" s="78" t="str">
        <f t="shared" ca="1" si="6"/>
        <v/>
      </c>
      <c r="E87" s="94"/>
      <c r="F87" s="37"/>
      <c r="G87" s="95" t="str">
        <f t="shared" si="7"/>
        <v/>
      </c>
      <c r="H87" s="39" t="s">
        <v>139</v>
      </c>
      <c r="I87" s="81"/>
      <c r="J87" s="82" t="str">
        <f>IF(AND(A87&lt;&gt;"",E87&lt;&gt;""),IF(I87="","⚠️ Enter Code",IF(IFERROR(VLOOKUP(H87,DB_Agents!$B:$I,8,0),"")=I87,IF(C87&gt;=E87,"Successful","Unsuccessful"),"🔒 BLOCKED — Wrong Code")),"Pending")</f>
        <v>Pending</v>
      </c>
      <c r="K87" s="83" t="str">
        <f t="shared" ca="1" si="8"/>
        <v>—</v>
      </c>
      <c r="L87" s="84"/>
    </row>
    <row r="88" spans="1:12" ht="15" customHeight="1" x14ac:dyDescent="0.25">
      <c r="A88" s="85"/>
      <c r="B88" s="41" t="str">
        <f>IF(A88="","",IFERROR(VLOOKUP(A88,DB_Customers!$A:$D,4,0),"❌ Account Not Found"))</f>
        <v/>
      </c>
      <c r="C88" s="86" t="str">
        <f>IF(A88="","",IFERROR(VLOOKUP(A88,DB_Customers!$A:$N,14,0),"❌ Acct Not Found"))</f>
        <v/>
      </c>
      <c r="D88" s="87" t="str">
        <f t="shared" ca="1" si="6"/>
        <v/>
      </c>
      <c r="E88" s="94"/>
      <c r="F88" s="41"/>
      <c r="G88" s="96" t="str">
        <f t="shared" si="7"/>
        <v/>
      </c>
      <c r="H88" s="43" t="s">
        <v>139</v>
      </c>
      <c r="I88" s="81"/>
      <c r="J88" s="89" t="str">
        <f>IF(AND(A88&lt;&gt;"",E88&lt;&gt;""),IF(I88="","⚠️ Enter Code",IF(IFERROR(VLOOKUP(H88,DB_Agents!$B:$I,8,0),"")=I88,IF(C88&gt;=E88,"Successful","Unsuccessful"),"🔒 BLOCKED — Wrong Code")),"Pending")</f>
        <v>Pending</v>
      </c>
      <c r="K88" s="90" t="str">
        <f t="shared" ca="1" si="8"/>
        <v>—</v>
      </c>
      <c r="L88" s="91"/>
    </row>
    <row r="89" spans="1:12" ht="15" customHeight="1" x14ac:dyDescent="0.25">
      <c r="A89" s="76"/>
      <c r="B89" s="37" t="str">
        <f>IF(A89="","",IFERROR(VLOOKUP(A89,DB_Customers!$A:$D,4,0),"❌ Account Not Found"))</f>
        <v/>
      </c>
      <c r="C89" s="77" t="str">
        <f>IF(A89="","",IFERROR(VLOOKUP(A89,DB_Customers!$A:$N,14,0),"❌ Acct Not Found"))</f>
        <v/>
      </c>
      <c r="D89" s="78" t="str">
        <f t="shared" ca="1" si="6"/>
        <v/>
      </c>
      <c r="E89" s="94"/>
      <c r="F89" s="37"/>
      <c r="G89" s="95" t="str">
        <f t="shared" si="7"/>
        <v/>
      </c>
      <c r="H89" s="39" t="s">
        <v>139</v>
      </c>
      <c r="I89" s="81"/>
      <c r="J89" s="82" t="str">
        <f>IF(AND(A89&lt;&gt;"",E89&lt;&gt;""),IF(I89="","⚠️ Enter Code",IF(IFERROR(VLOOKUP(H89,DB_Agents!$B:$I,8,0),"")=I89,IF(C89&gt;=E89,"Successful","Unsuccessful"),"🔒 BLOCKED — Wrong Code")),"Pending")</f>
        <v>Pending</v>
      </c>
      <c r="K89" s="83" t="str">
        <f t="shared" ca="1" si="8"/>
        <v>—</v>
      </c>
      <c r="L89" s="84"/>
    </row>
    <row r="90" spans="1:12" ht="15" customHeight="1" x14ac:dyDescent="0.25">
      <c r="A90" s="85"/>
      <c r="B90" s="41" t="str">
        <f>IF(A90="","",IFERROR(VLOOKUP(A90,DB_Customers!$A:$D,4,0),"❌ Account Not Found"))</f>
        <v/>
      </c>
      <c r="C90" s="86" t="str">
        <f>IF(A90="","",IFERROR(VLOOKUP(A90,DB_Customers!$A:$N,14,0),"❌ Acct Not Found"))</f>
        <v/>
      </c>
      <c r="D90" s="87" t="str">
        <f t="shared" ca="1" si="6"/>
        <v/>
      </c>
      <c r="E90" s="94"/>
      <c r="F90" s="41"/>
      <c r="G90" s="96" t="str">
        <f t="shared" si="7"/>
        <v/>
      </c>
      <c r="H90" s="43" t="s">
        <v>139</v>
      </c>
      <c r="I90" s="81"/>
      <c r="J90" s="89" t="str">
        <f>IF(AND(A90&lt;&gt;"",E90&lt;&gt;""),IF(I90="","⚠️ Enter Code",IF(IFERROR(VLOOKUP(H90,DB_Agents!$B:$I,8,0),"")=I90,IF(C90&gt;=E90,"Successful","Unsuccessful"),"🔒 BLOCKED — Wrong Code")),"Pending")</f>
        <v>Pending</v>
      </c>
      <c r="K90" s="90" t="str">
        <f t="shared" ca="1" si="8"/>
        <v>—</v>
      </c>
      <c r="L90" s="91"/>
    </row>
    <row r="91" spans="1:12" ht="15" customHeight="1" x14ac:dyDescent="0.25">
      <c r="A91" s="76"/>
      <c r="B91" s="37" t="str">
        <f>IF(A91="","",IFERROR(VLOOKUP(A91,DB_Customers!$A:$D,4,0),"❌ Account Not Found"))</f>
        <v/>
      </c>
      <c r="C91" s="77" t="str">
        <f>IF(A91="","",IFERROR(VLOOKUP(A91,DB_Customers!$A:$N,14,0),"❌ Acct Not Found"))</f>
        <v/>
      </c>
      <c r="D91" s="78" t="str">
        <f t="shared" ca="1" si="6"/>
        <v/>
      </c>
      <c r="E91" s="94"/>
      <c r="F91" s="37"/>
      <c r="G91" s="95" t="str">
        <f t="shared" si="7"/>
        <v/>
      </c>
      <c r="H91" s="39" t="s">
        <v>139</v>
      </c>
      <c r="I91" s="81"/>
      <c r="J91" s="82" t="str">
        <f>IF(AND(A91&lt;&gt;"",E91&lt;&gt;""),IF(I91="","⚠️ Enter Code",IF(IFERROR(VLOOKUP(H91,DB_Agents!$B:$I,8,0),"")=I91,IF(C91&gt;=E91,"Successful","Unsuccessful"),"🔒 BLOCKED — Wrong Code")),"Pending")</f>
        <v>Pending</v>
      </c>
      <c r="K91" s="83" t="str">
        <f t="shared" ca="1" si="8"/>
        <v>—</v>
      </c>
      <c r="L91" s="84"/>
    </row>
    <row r="92" spans="1:12" ht="15" customHeight="1" x14ac:dyDescent="0.25">
      <c r="A92" s="85"/>
      <c r="B92" s="41" t="str">
        <f>IF(A92="","",IFERROR(VLOOKUP(A92,DB_Customers!$A:$D,4,0),"❌ Account Not Found"))</f>
        <v/>
      </c>
      <c r="C92" s="86" t="str">
        <f>IF(A92="","",IFERROR(VLOOKUP(A92,DB_Customers!$A:$N,14,0),"❌ Acct Not Found"))</f>
        <v/>
      </c>
      <c r="D92" s="87" t="str">
        <f t="shared" ca="1" si="6"/>
        <v/>
      </c>
      <c r="E92" s="94"/>
      <c r="F92" s="41"/>
      <c r="G92" s="96" t="str">
        <f t="shared" si="7"/>
        <v/>
      </c>
      <c r="H92" s="43" t="s">
        <v>139</v>
      </c>
      <c r="I92" s="81"/>
      <c r="J92" s="89" t="str">
        <f>IF(AND(A92&lt;&gt;"",E92&lt;&gt;""),IF(I92="","⚠️ Enter Code",IF(IFERROR(VLOOKUP(H92,DB_Agents!$B:$I,8,0),"")=I92,IF(C92&gt;=E92,"Successful","Unsuccessful"),"🔒 BLOCKED — Wrong Code")),"Pending")</f>
        <v>Pending</v>
      </c>
      <c r="K92" s="90" t="str">
        <f t="shared" ca="1" si="8"/>
        <v>—</v>
      </c>
      <c r="L92" s="91"/>
    </row>
    <row r="93" spans="1:12" ht="15" customHeight="1" x14ac:dyDescent="0.25">
      <c r="A93" s="76"/>
      <c r="B93" s="37" t="str">
        <f>IF(A93="","",IFERROR(VLOOKUP(A93,DB_Customers!$A:$D,4,0),"❌ Account Not Found"))</f>
        <v/>
      </c>
      <c r="C93" s="77" t="str">
        <f>IF(A93="","",IFERROR(VLOOKUP(A93,DB_Customers!$A:$N,14,0),"❌ Acct Not Found"))</f>
        <v/>
      </c>
      <c r="D93" s="78" t="str">
        <f t="shared" ca="1" si="6"/>
        <v/>
      </c>
      <c r="E93" s="94"/>
      <c r="F93" s="37"/>
      <c r="G93" s="95" t="str">
        <f t="shared" si="7"/>
        <v/>
      </c>
      <c r="H93" s="39" t="s">
        <v>139</v>
      </c>
      <c r="I93" s="81"/>
      <c r="J93" s="82" t="str">
        <f>IF(AND(A93&lt;&gt;"",E93&lt;&gt;""),IF(I93="","⚠️ Enter Code",IF(IFERROR(VLOOKUP(H93,DB_Agents!$B:$I,8,0),"")=I93,IF(C93&gt;=E93,"Successful","Unsuccessful"),"🔒 BLOCKED — Wrong Code")),"Pending")</f>
        <v>Pending</v>
      </c>
      <c r="K93" s="83" t="str">
        <f t="shared" ca="1" si="8"/>
        <v>—</v>
      </c>
      <c r="L93" s="84"/>
    </row>
    <row r="94" spans="1:12" ht="15" customHeight="1" x14ac:dyDescent="0.25">
      <c r="A94" s="85"/>
      <c r="B94" s="41" t="str">
        <f>IF(A94="","",IFERROR(VLOOKUP(A94,DB_Customers!$A:$D,4,0),"❌ Account Not Found"))</f>
        <v/>
      </c>
      <c r="C94" s="86" t="str">
        <f>IF(A94="","",IFERROR(VLOOKUP(A94,DB_Customers!$A:$N,14,0),"❌ Acct Not Found"))</f>
        <v/>
      </c>
      <c r="D94" s="87" t="str">
        <f t="shared" ca="1" si="6"/>
        <v/>
      </c>
      <c r="E94" s="94"/>
      <c r="F94" s="41"/>
      <c r="G94" s="96" t="str">
        <f t="shared" si="7"/>
        <v/>
      </c>
      <c r="H94" s="43" t="s">
        <v>139</v>
      </c>
      <c r="I94" s="81"/>
      <c r="J94" s="89" t="str">
        <f>IF(AND(A94&lt;&gt;"",E94&lt;&gt;""),IF(I94="","⚠️ Enter Code",IF(IFERROR(VLOOKUP(H94,DB_Agents!$B:$I,8,0),"")=I94,IF(C94&gt;=E94,"Successful","Unsuccessful"),"🔒 BLOCKED — Wrong Code")),"Pending")</f>
        <v>Pending</v>
      </c>
      <c r="K94" s="90" t="str">
        <f t="shared" ca="1" si="8"/>
        <v>—</v>
      </c>
      <c r="L94" s="91"/>
    </row>
    <row r="95" spans="1:12" ht="15" customHeight="1" x14ac:dyDescent="0.25">
      <c r="A95" s="76"/>
      <c r="B95" s="37" t="str">
        <f>IF(A95="","",IFERROR(VLOOKUP(A95,DB_Customers!$A:$D,4,0),"❌ Account Not Found"))</f>
        <v/>
      </c>
      <c r="C95" s="77" t="str">
        <f>IF(A95="","",IFERROR(VLOOKUP(A95,DB_Customers!$A:$N,14,0),"❌ Acct Not Found"))</f>
        <v/>
      </c>
      <c r="D95" s="78" t="str">
        <f t="shared" ca="1" si="6"/>
        <v/>
      </c>
      <c r="E95" s="94"/>
      <c r="F95" s="37"/>
      <c r="G95" s="95" t="str">
        <f t="shared" si="7"/>
        <v/>
      </c>
      <c r="H95" s="39" t="s">
        <v>139</v>
      </c>
      <c r="I95" s="81"/>
      <c r="J95" s="82" t="str">
        <f>IF(AND(A95&lt;&gt;"",E95&lt;&gt;""),IF(I95="","⚠️ Enter Code",IF(IFERROR(VLOOKUP(H95,DB_Agents!$B:$I,8,0),"")=I95,IF(C95&gt;=E95,"Successful","Unsuccessful"),"🔒 BLOCKED — Wrong Code")),"Pending")</f>
        <v>Pending</v>
      </c>
      <c r="K95" s="83" t="str">
        <f t="shared" ca="1" si="8"/>
        <v>—</v>
      </c>
      <c r="L95" s="84"/>
    </row>
    <row r="96" spans="1:12" ht="15" customHeight="1" x14ac:dyDescent="0.25">
      <c r="A96" s="85"/>
      <c r="B96" s="41" t="str">
        <f>IF(A96="","",IFERROR(VLOOKUP(A96,DB_Customers!$A:$D,4,0),"❌ Account Not Found"))</f>
        <v/>
      </c>
      <c r="C96" s="86" t="str">
        <f>IF(A96="","",IFERROR(VLOOKUP(A96,DB_Customers!$A:$N,14,0),"❌ Acct Not Found"))</f>
        <v/>
      </c>
      <c r="D96" s="87" t="str">
        <f t="shared" ca="1" si="6"/>
        <v/>
      </c>
      <c r="E96" s="94"/>
      <c r="F96" s="41"/>
      <c r="G96" s="96" t="str">
        <f t="shared" si="7"/>
        <v/>
      </c>
      <c r="H96" s="43" t="s">
        <v>139</v>
      </c>
      <c r="I96" s="81"/>
      <c r="J96" s="89" t="str">
        <f>IF(AND(A96&lt;&gt;"",E96&lt;&gt;""),IF(I96="","⚠️ Enter Code",IF(IFERROR(VLOOKUP(H96,DB_Agents!$B:$I,8,0),"")=I96,IF(C96&gt;=E96,"Successful","Unsuccessful"),"🔒 BLOCKED — Wrong Code")),"Pending")</f>
        <v>Pending</v>
      </c>
      <c r="K96" s="90" t="str">
        <f t="shared" ca="1" si="8"/>
        <v>—</v>
      </c>
      <c r="L96" s="91"/>
    </row>
    <row r="97" spans="1:12" ht="15" customHeight="1" x14ac:dyDescent="0.25">
      <c r="A97" s="76"/>
      <c r="B97" s="37" t="str">
        <f>IF(A97="","",IFERROR(VLOOKUP(A97,DB_Customers!$A:$D,4,0),"❌ Account Not Found"))</f>
        <v/>
      </c>
      <c r="C97" s="77" t="str">
        <f>IF(A97="","",IFERROR(VLOOKUP(A97,DB_Customers!$A:$N,14,0),"❌ Acct Not Found"))</f>
        <v/>
      </c>
      <c r="D97" s="78" t="str">
        <f t="shared" ca="1" si="6"/>
        <v/>
      </c>
      <c r="E97" s="94"/>
      <c r="F97" s="37"/>
      <c r="G97" s="95" t="str">
        <f t="shared" si="7"/>
        <v/>
      </c>
      <c r="H97" s="39" t="s">
        <v>139</v>
      </c>
      <c r="I97" s="81"/>
      <c r="J97" s="82" t="str">
        <f>IF(AND(A97&lt;&gt;"",E97&lt;&gt;""),IF(I97="","⚠️ Enter Code",IF(IFERROR(VLOOKUP(H97,DB_Agents!$B:$I,8,0),"")=I97,IF(C97&gt;=E97,"Successful","Unsuccessful"),"🔒 BLOCKED — Wrong Code")),"Pending")</f>
        <v>Pending</v>
      </c>
      <c r="K97" s="83" t="str">
        <f t="shared" ca="1" si="8"/>
        <v>—</v>
      </c>
      <c r="L97" s="84"/>
    </row>
    <row r="98" spans="1:12" ht="15" customHeight="1" x14ac:dyDescent="0.25">
      <c r="A98" s="85"/>
      <c r="B98" s="41" t="str">
        <f>IF(A98="","",IFERROR(VLOOKUP(A98,DB_Customers!$A:$D,4,0),"❌ Account Not Found"))</f>
        <v/>
      </c>
      <c r="C98" s="86" t="str">
        <f>IF(A98="","",IFERROR(VLOOKUP(A98,DB_Customers!$A:$N,14,0),"❌ Acct Not Found"))</f>
        <v/>
      </c>
      <c r="D98" s="87" t="str">
        <f t="shared" ca="1" si="6"/>
        <v/>
      </c>
      <c r="E98" s="94"/>
      <c r="F98" s="41"/>
      <c r="G98" s="96" t="str">
        <f t="shared" si="7"/>
        <v/>
      </c>
      <c r="H98" s="43" t="s">
        <v>139</v>
      </c>
      <c r="I98" s="81"/>
      <c r="J98" s="89" t="str">
        <f>IF(AND(A98&lt;&gt;"",E98&lt;&gt;""),IF(I98="","⚠️ Enter Code",IF(IFERROR(VLOOKUP(H98,DB_Agents!$B:$I,8,0),"")=I98,IF(C98&gt;=E98,"Successful","Unsuccessful"),"🔒 BLOCKED — Wrong Code")),"Pending")</f>
        <v>Pending</v>
      </c>
      <c r="K98" s="90" t="str">
        <f t="shared" ca="1" si="8"/>
        <v>—</v>
      </c>
      <c r="L98" s="91"/>
    </row>
    <row r="99" spans="1:12" ht="15" customHeight="1" x14ac:dyDescent="0.25">
      <c r="A99" s="76"/>
      <c r="B99" s="37" t="str">
        <f>IF(A99="","",IFERROR(VLOOKUP(A99,DB_Customers!$A:$D,4,0),"❌ Account Not Found"))</f>
        <v/>
      </c>
      <c r="C99" s="77" t="str">
        <f>IF(A99="","",IFERROR(VLOOKUP(A99,DB_Customers!$A:$N,14,0),"❌ Acct Not Found"))</f>
        <v/>
      </c>
      <c r="D99" s="78" t="str">
        <f t="shared" ca="1" si="6"/>
        <v/>
      </c>
      <c r="E99" s="94"/>
      <c r="F99" s="37"/>
      <c r="G99" s="95" t="str">
        <f t="shared" si="7"/>
        <v/>
      </c>
      <c r="H99" s="39" t="s">
        <v>139</v>
      </c>
      <c r="I99" s="81"/>
      <c r="J99" s="82" t="str">
        <f>IF(AND(A99&lt;&gt;"",E99&lt;&gt;""),IF(I99="","⚠️ Enter Code",IF(IFERROR(VLOOKUP(H99,DB_Agents!$B:$I,8,0),"")=I99,IF(C99&gt;=E99,"Successful","Unsuccessful"),"🔒 BLOCKED — Wrong Code")),"Pending")</f>
        <v>Pending</v>
      </c>
      <c r="K99" s="83" t="str">
        <f t="shared" ca="1" si="8"/>
        <v>—</v>
      </c>
      <c r="L99" s="84"/>
    </row>
    <row r="100" spans="1:12" ht="15" customHeight="1" x14ac:dyDescent="0.25">
      <c r="A100" s="85"/>
      <c r="B100" s="41" t="str">
        <f>IF(A100="","",IFERROR(VLOOKUP(A100,DB_Customers!$A:$D,4,0),"❌ Account Not Found"))</f>
        <v/>
      </c>
      <c r="C100" s="86" t="str">
        <f>IF(A100="","",IFERROR(VLOOKUP(A100,DB_Customers!$A:$N,14,0),"❌ Acct Not Found"))</f>
        <v/>
      </c>
      <c r="D100" s="87" t="str">
        <f t="shared" ca="1" si="6"/>
        <v/>
      </c>
      <c r="E100" s="94"/>
      <c r="F100" s="41"/>
      <c r="G100" s="96" t="str">
        <f t="shared" si="7"/>
        <v/>
      </c>
      <c r="H100" s="43" t="s">
        <v>139</v>
      </c>
      <c r="I100" s="81"/>
      <c r="J100" s="89" t="str">
        <f>IF(AND(A100&lt;&gt;"",E100&lt;&gt;""),IF(I100="","⚠️ Enter Code",IF(IFERROR(VLOOKUP(H100,DB_Agents!$B:$I,8,0),"")=I100,IF(C100&gt;=E100,"Successful","Unsuccessful"),"🔒 BLOCKED — Wrong Code")),"Pending")</f>
        <v>Pending</v>
      </c>
      <c r="K100" s="90" t="str">
        <f t="shared" ca="1" si="8"/>
        <v>—</v>
      </c>
      <c r="L100" s="91"/>
    </row>
    <row r="101" spans="1:12" ht="15" customHeight="1" x14ac:dyDescent="0.25">
      <c r="A101" s="76"/>
      <c r="B101" s="37" t="str">
        <f>IF(A101="","",IFERROR(VLOOKUP(A101,DB_Customers!$A:$D,4,0),"❌ Account Not Found"))</f>
        <v/>
      </c>
      <c r="C101" s="77" t="str">
        <f>IF(A101="","",IFERROR(VLOOKUP(A101,DB_Customers!$A:$N,14,0),"❌ Acct Not Found"))</f>
        <v/>
      </c>
      <c r="D101" s="78" t="str">
        <f t="shared" ca="1" si="6"/>
        <v/>
      </c>
      <c r="E101" s="94"/>
      <c r="F101" s="37"/>
      <c r="G101" s="95" t="str">
        <f t="shared" si="7"/>
        <v/>
      </c>
      <c r="H101" s="39" t="s">
        <v>139</v>
      </c>
      <c r="I101" s="81"/>
      <c r="J101" s="82" t="str">
        <f>IF(AND(A101&lt;&gt;"",E101&lt;&gt;""),IF(I101="","⚠️ Enter Code",IF(IFERROR(VLOOKUP(H101,DB_Agents!$B:$I,8,0),"")=I101,IF(C101&gt;=E101,"Successful","Unsuccessful"),"🔒 BLOCKED — Wrong Code")),"Pending")</f>
        <v>Pending</v>
      </c>
      <c r="K101" s="83" t="str">
        <f t="shared" ca="1" si="8"/>
        <v>—</v>
      </c>
      <c r="L101" s="84"/>
    </row>
    <row r="102" spans="1:12" ht="15" customHeight="1" x14ac:dyDescent="0.25">
      <c r="A102" s="85"/>
      <c r="B102" s="41" t="str">
        <f>IF(A102="","",IFERROR(VLOOKUP(A102,DB_Customers!$A:$D,4,0),"❌ Account Not Found"))</f>
        <v/>
      </c>
      <c r="C102" s="86" t="str">
        <f>IF(A102="","",IFERROR(VLOOKUP(A102,DB_Customers!$A:$N,14,0),"❌ Acct Not Found"))</f>
        <v/>
      </c>
      <c r="D102" s="87" t="str">
        <f t="shared" ca="1" si="6"/>
        <v/>
      </c>
      <c r="E102" s="94"/>
      <c r="F102" s="41"/>
      <c r="G102" s="96" t="str">
        <f t="shared" si="7"/>
        <v/>
      </c>
      <c r="H102" s="43" t="s">
        <v>139</v>
      </c>
      <c r="I102" s="81"/>
      <c r="J102" s="89" t="str">
        <f>IF(AND(A102&lt;&gt;"",E102&lt;&gt;""),IF(I102="","⚠️ Enter Code",IF(IFERROR(VLOOKUP(H102,DB_Agents!$B:$I,8,0),"")=I102,IF(C102&gt;=E102,"Successful","Unsuccessful"),"🔒 BLOCKED — Wrong Code")),"Pending")</f>
        <v>Pending</v>
      </c>
      <c r="K102" s="90" t="str">
        <f t="shared" ca="1" si="8"/>
        <v>—</v>
      </c>
      <c r="L102" s="91"/>
    </row>
    <row r="103" spans="1:12" ht="15" customHeight="1" x14ac:dyDescent="0.25">
      <c r="A103" s="76"/>
      <c r="B103" s="37" t="str">
        <f>IF(A103="","",IFERROR(VLOOKUP(A103,DB_Customers!$A:$D,4,0),"❌ Account Not Found"))</f>
        <v/>
      </c>
      <c r="C103" s="77" t="str">
        <f>IF(A103="","",IFERROR(VLOOKUP(A103,DB_Customers!$A:$N,14,0),"❌ Acct Not Found"))</f>
        <v/>
      </c>
      <c r="D103" s="78" t="str">
        <f t="shared" ca="1" si="6"/>
        <v/>
      </c>
      <c r="E103" s="94"/>
      <c r="F103" s="37"/>
      <c r="G103" s="95" t="str">
        <f t="shared" si="7"/>
        <v/>
      </c>
      <c r="H103" s="39" t="s">
        <v>139</v>
      </c>
      <c r="I103" s="81"/>
      <c r="J103" s="82" t="str">
        <f>IF(AND(A103&lt;&gt;"",E103&lt;&gt;""),IF(I103="","⚠️ Enter Code",IF(IFERROR(VLOOKUP(H103,DB_Agents!$B:$I,8,0),"")=I103,IF(C103&gt;=E103,"Successful","Unsuccessful"),"🔒 BLOCKED — Wrong Code")),"Pending")</f>
        <v>Pending</v>
      </c>
      <c r="K103" s="83" t="str">
        <f t="shared" ca="1" si="8"/>
        <v>—</v>
      </c>
      <c r="L103" s="84"/>
    </row>
    <row r="104" spans="1:12" ht="15" customHeight="1" x14ac:dyDescent="0.25">
      <c r="A104" s="85"/>
      <c r="B104" s="41" t="str">
        <f>IF(A104="","",IFERROR(VLOOKUP(A104,DB_Customers!$A:$D,4,0),"❌ Account Not Found"))</f>
        <v/>
      </c>
      <c r="C104" s="86" t="str">
        <f>IF(A104="","",IFERROR(VLOOKUP(A104,DB_Customers!$A:$N,14,0),"❌ Acct Not Found"))</f>
        <v/>
      </c>
      <c r="D104" s="87" t="str">
        <f t="shared" ca="1" si="6"/>
        <v/>
      </c>
      <c r="E104" s="94"/>
      <c r="F104" s="41"/>
      <c r="G104" s="96" t="str">
        <f t="shared" si="7"/>
        <v/>
      </c>
      <c r="H104" s="43" t="s">
        <v>139</v>
      </c>
      <c r="I104" s="81"/>
      <c r="J104" s="89" t="str">
        <f>IF(AND(A104&lt;&gt;"",E104&lt;&gt;""),IF(I104="","⚠️ Enter Code",IF(IFERROR(VLOOKUP(H104,DB_Agents!$B:$I,8,0),"")=I104,IF(C104&gt;=E104,"Successful","Unsuccessful"),"🔒 BLOCKED — Wrong Code")),"Pending")</f>
        <v>Pending</v>
      </c>
      <c r="K104" s="90" t="str">
        <f t="shared" ca="1" si="8"/>
        <v>—</v>
      </c>
      <c r="L104" s="91"/>
    </row>
    <row r="105" spans="1:12" ht="15" customHeight="1" x14ac:dyDescent="0.25">
      <c r="A105" s="76"/>
      <c r="B105" s="37" t="str">
        <f>IF(A105="","",IFERROR(VLOOKUP(A105,DB_Customers!$A:$D,4,0),"❌ Account Not Found"))</f>
        <v/>
      </c>
      <c r="C105" s="77" t="str">
        <f>IF(A105="","",IFERROR(VLOOKUP(A105,DB_Customers!$A:$N,14,0),"❌ Acct Not Found"))</f>
        <v/>
      </c>
      <c r="D105" s="78" t="str">
        <f t="shared" ref="D105:D136" ca="1" si="9">IF(A105="","",TODAY())</f>
        <v/>
      </c>
      <c r="E105" s="94"/>
      <c r="F105" s="37"/>
      <c r="G105" s="95" t="str">
        <f t="shared" ref="G105:G136" si="10">IF(OR(A105="",E105=""),"",IF(C105="","",C105-E105))</f>
        <v/>
      </c>
      <c r="H105" s="39" t="s">
        <v>139</v>
      </c>
      <c r="I105" s="81"/>
      <c r="J105" s="82" t="str">
        <f>IF(AND(A105&lt;&gt;"",E105&lt;&gt;""),IF(I105="","⚠️ Enter Code",IF(IFERROR(VLOOKUP(H105,DB_Agents!$B:$I,8,0),"")=I105,IF(C105&gt;=E105,"Successful","Unsuccessful"),"🔒 BLOCKED — Wrong Code")),"Pending")</f>
        <v>Pending</v>
      </c>
      <c r="K105" s="83" t="str">
        <f t="shared" ref="K105:K136" ca="1" si="11">IF(J105="Successful",TEXT(TODAY(),"YYYY-MM-DD")&amp;" Auto","—")</f>
        <v>—</v>
      </c>
      <c r="L105" s="84"/>
    </row>
    <row r="106" spans="1:12" ht="15" customHeight="1" x14ac:dyDescent="0.25">
      <c r="A106" s="85"/>
      <c r="B106" s="41" t="str">
        <f>IF(A106="","",IFERROR(VLOOKUP(A106,DB_Customers!$A:$D,4,0),"❌ Account Not Found"))</f>
        <v/>
      </c>
      <c r="C106" s="86" t="str">
        <f>IF(A106="","",IFERROR(VLOOKUP(A106,DB_Customers!$A:$N,14,0),"❌ Acct Not Found"))</f>
        <v/>
      </c>
      <c r="D106" s="87" t="str">
        <f t="shared" ca="1" si="9"/>
        <v/>
      </c>
      <c r="E106" s="94"/>
      <c r="F106" s="41"/>
      <c r="G106" s="96" t="str">
        <f t="shared" si="10"/>
        <v/>
      </c>
      <c r="H106" s="43" t="s">
        <v>139</v>
      </c>
      <c r="I106" s="81"/>
      <c r="J106" s="89" t="str">
        <f>IF(AND(A106&lt;&gt;"",E106&lt;&gt;""),IF(I106="","⚠️ Enter Code",IF(IFERROR(VLOOKUP(H106,DB_Agents!$B:$I,8,0),"")=I106,IF(C106&gt;=E106,"Successful","Unsuccessful"),"🔒 BLOCKED — Wrong Code")),"Pending")</f>
        <v>Pending</v>
      </c>
      <c r="K106" s="90" t="str">
        <f t="shared" ca="1" si="11"/>
        <v>—</v>
      </c>
      <c r="L106" s="91"/>
    </row>
    <row r="107" spans="1:12" ht="15" customHeight="1" x14ac:dyDescent="0.25">
      <c r="A107" s="76"/>
      <c r="B107" s="37" t="str">
        <f>IF(A107="","",IFERROR(VLOOKUP(A107,DB_Customers!$A:$D,4,0),"❌ Account Not Found"))</f>
        <v/>
      </c>
      <c r="C107" s="77" t="str">
        <f>IF(A107="","",IFERROR(VLOOKUP(A107,DB_Customers!$A:$N,14,0),"❌ Acct Not Found"))</f>
        <v/>
      </c>
      <c r="D107" s="78" t="str">
        <f t="shared" ca="1" si="9"/>
        <v/>
      </c>
      <c r="E107" s="94"/>
      <c r="F107" s="37"/>
      <c r="G107" s="95" t="str">
        <f t="shared" si="10"/>
        <v/>
      </c>
      <c r="H107" s="39" t="s">
        <v>139</v>
      </c>
      <c r="I107" s="81"/>
      <c r="J107" s="82" t="str">
        <f>IF(AND(A107&lt;&gt;"",E107&lt;&gt;""),IF(I107="","⚠️ Enter Code",IF(IFERROR(VLOOKUP(H107,DB_Agents!$B:$I,8,0),"")=I107,IF(C107&gt;=E107,"Successful","Unsuccessful"),"🔒 BLOCKED — Wrong Code")),"Pending")</f>
        <v>Pending</v>
      </c>
      <c r="K107" s="83" t="str">
        <f t="shared" ca="1" si="11"/>
        <v>—</v>
      </c>
      <c r="L107" s="84"/>
    </row>
    <row r="108" spans="1:12" ht="15" customHeight="1" x14ac:dyDescent="0.25">
      <c r="A108" s="85"/>
      <c r="B108" s="41" t="str">
        <f>IF(A108="","",IFERROR(VLOOKUP(A108,DB_Customers!$A:$D,4,0),"❌ Account Not Found"))</f>
        <v/>
      </c>
      <c r="C108" s="86" t="str">
        <f>IF(A108="","",IFERROR(VLOOKUP(A108,DB_Customers!$A:$N,14,0),"❌ Acct Not Found"))</f>
        <v/>
      </c>
      <c r="D108" s="87" t="str">
        <f t="shared" ca="1" si="9"/>
        <v/>
      </c>
      <c r="E108" s="94"/>
      <c r="F108" s="41"/>
      <c r="G108" s="96" t="str">
        <f t="shared" si="10"/>
        <v/>
      </c>
      <c r="H108" s="43" t="s">
        <v>139</v>
      </c>
      <c r="I108" s="81"/>
      <c r="J108" s="89" t="str">
        <f>IF(AND(A108&lt;&gt;"",E108&lt;&gt;""),IF(I108="","⚠️ Enter Code",IF(IFERROR(VLOOKUP(H108,DB_Agents!$B:$I,8,0),"")=I108,IF(C108&gt;=E108,"Successful","Unsuccessful"),"🔒 BLOCKED — Wrong Code")),"Pending")</f>
        <v>Pending</v>
      </c>
      <c r="K108" s="90" t="str">
        <f t="shared" ca="1" si="11"/>
        <v>—</v>
      </c>
      <c r="L108" s="91"/>
    </row>
    <row r="109" spans="1:12" ht="15" customHeight="1" x14ac:dyDescent="0.25">
      <c r="A109" s="76"/>
      <c r="B109" s="37" t="str">
        <f>IF(A109="","",IFERROR(VLOOKUP(A109,DB_Customers!$A:$D,4,0),"❌ Account Not Found"))</f>
        <v/>
      </c>
      <c r="C109" s="77" t="str">
        <f>IF(A109="","",IFERROR(VLOOKUP(A109,DB_Customers!$A:$N,14,0),"❌ Acct Not Found"))</f>
        <v/>
      </c>
      <c r="D109" s="78" t="str">
        <f t="shared" ca="1" si="9"/>
        <v/>
      </c>
      <c r="E109" s="94"/>
      <c r="F109" s="37"/>
      <c r="G109" s="95" t="str">
        <f t="shared" si="10"/>
        <v/>
      </c>
      <c r="H109" s="39" t="s">
        <v>139</v>
      </c>
      <c r="I109" s="81"/>
      <c r="J109" s="82" t="str">
        <f>IF(AND(A109&lt;&gt;"",E109&lt;&gt;""),IF(I109="","⚠️ Enter Code",IF(IFERROR(VLOOKUP(H109,DB_Agents!$B:$I,8,0),"")=I109,IF(C109&gt;=E109,"Successful","Unsuccessful"),"🔒 BLOCKED — Wrong Code")),"Pending")</f>
        <v>Pending</v>
      </c>
      <c r="K109" s="83" t="str">
        <f t="shared" ca="1" si="11"/>
        <v>—</v>
      </c>
      <c r="L109" s="84"/>
    </row>
    <row r="110" spans="1:12" ht="15" customHeight="1" x14ac:dyDescent="0.25">
      <c r="A110" s="85"/>
      <c r="B110" s="41" t="str">
        <f>IF(A110="","",IFERROR(VLOOKUP(A110,DB_Customers!$A:$D,4,0),"❌ Account Not Found"))</f>
        <v/>
      </c>
      <c r="C110" s="86" t="str">
        <f>IF(A110="","",IFERROR(VLOOKUP(A110,DB_Customers!$A:$N,14,0),"❌ Acct Not Found"))</f>
        <v/>
      </c>
      <c r="D110" s="87" t="str">
        <f t="shared" ca="1" si="9"/>
        <v/>
      </c>
      <c r="E110" s="94"/>
      <c r="F110" s="41"/>
      <c r="G110" s="96" t="str">
        <f t="shared" si="10"/>
        <v/>
      </c>
      <c r="H110" s="43" t="s">
        <v>139</v>
      </c>
      <c r="I110" s="81"/>
      <c r="J110" s="89" t="str">
        <f>IF(AND(A110&lt;&gt;"",E110&lt;&gt;""),IF(I110="","⚠️ Enter Code",IF(IFERROR(VLOOKUP(H110,DB_Agents!$B:$I,8,0),"")=I110,IF(C110&gt;=E110,"Successful","Unsuccessful"),"🔒 BLOCKED — Wrong Code")),"Pending")</f>
        <v>Pending</v>
      </c>
      <c r="K110" s="90" t="str">
        <f t="shared" ca="1" si="11"/>
        <v>—</v>
      </c>
      <c r="L110" s="91"/>
    </row>
    <row r="111" spans="1:12" ht="15" customHeight="1" x14ac:dyDescent="0.25">
      <c r="A111" s="76"/>
      <c r="B111" s="37" t="str">
        <f>IF(A111="","",IFERROR(VLOOKUP(A111,DB_Customers!$A:$D,4,0),"❌ Account Not Found"))</f>
        <v/>
      </c>
      <c r="C111" s="77" t="str">
        <f>IF(A111="","",IFERROR(VLOOKUP(A111,DB_Customers!$A:$N,14,0),"❌ Acct Not Found"))</f>
        <v/>
      </c>
      <c r="D111" s="78" t="str">
        <f t="shared" ca="1" si="9"/>
        <v/>
      </c>
      <c r="E111" s="94"/>
      <c r="F111" s="37"/>
      <c r="G111" s="95" t="str">
        <f t="shared" si="10"/>
        <v/>
      </c>
      <c r="H111" s="39" t="s">
        <v>139</v>
      </c>
      <c r="I111" s="81"/>
      <c r="J111" s="82" t="str">
        <f>IF(AND(A111&lt;&gt;"",E111&lt;&gt;""),IF(I111="","⚠️ Enter Code",IF(IFERROR(VLOOKUP(H111,DB_Agents!$B:$I,8,0),"")=I111,IF(C111&gt;=E111,"Successful","Unsuccessful"),"🔒 BLOCKED — Wrong Code")),"Pending")</f>
        <v>Pending</v>
      </c>
      <c r="K111" s="83" t="str">
        <f t="shared" ca="1" si="11"/>
        <v>—</v>
      </c>
      <c r="L111" s="84"/>
    </row>
    <row r="112" spans="1:12" ht="15" customHeight="1" x14ac:dyDescent="0.25">
      <c r="A112" s="85"/>
      <c r="B112" s="41" t="str">
        <f>IF(A112="","",IFERROR(VLOOKUP(A112,DB_Customers!$A:$D,4,0),"❌ Account Not Found"))</f>
        <v/>
      </c>
      <c r="C112" s="86" t="str">
        <f>IF(A112="","",IFERROR(VLOOKUP(A112,DB_Customers!$A:$N,14,0),"❌ Acct Not Found"))</f>
        <v/>
      </c>
      <c r="D112" s="87" t="str">
        <f t="shared" ca="1" si="9"/>
        <v/>
      </c>
      <c r="E112" s="94"/>
      <c r="F112" s="41"/>
      <c r="G112" s="96" t="str">
        <f t="shared" si="10"/>
        <v/>
      </c>
      <c r="H112" s="43" t="s">
        <v>139</v>
      </c>
      <c r="I112" s="81"/>
      <c r="J112" s="89" t="str">
        <f>IF(AND(A112&lt;&gt;"",E112&lt;&gt;""),IF(I112="","⚠️ Enter Code",IF(IFERROR(VLOOKUP(H112,DB_Agents!$B:$I,8,0),"")=I112,IF(C112&gt;=E112,"Successful","Unsuccessful"),"🔒 BLOCKED — Wrong Code")),"Pending")</f>
        <v>Pending</v>
      </c>
      <c r="K112" s="90" t="str">
        <f t="shared" ca="1" si="11"/>
        <v>—</v>
      </c>
      <c r="L112" s="91"/>
    </row>
    <row r="113" spans="1:12" ht="15" customHeight="1" x14ac:dyDescent="0.25">
      <c r="A113" s="76"/>
      <c r="B113" s="37" t="str">
        <f>IF(A113="","",IFERROR(VLOOKUP(A113,DB_Customers!$A:$D,4,0),"❌ Account Not Found"))</f>
        <v/>
      </c>
      <c r="C113" s="77" t="str">
        <f>IF(A113="","",IFERROR(VLOOKUP(A113,DB_Customers!$A:$N,14,0),"❌ Acct Not Found"))</f>
        <v/>
      </c>
      <c r="D113" s="78" t="str">
        <f t="shared" ca="1" si="9"/>
        <v/>
      </c>
      <c r="E113" s="94"/>
      <c r="F113" s="37"/>
      <c r="G113" s="95" t="str">
        <f t="shared" si="10"/>
        <v/>
      </c>
      <c r="H113" s="39" t="s">
        <v>139</v>
      </c>
      <c r="I113" s="81"/>
      <c r="J113" s="82" t="str">
        <f>IF(AND(A113&lt;&gt;"",E113&lt;&gt;""),IF(I113="","⚠️ Enter Code",IF(IFERROR(VLOOKUP(H113,DB_Agents!$B:$I,8,0),"")=I113,IF(C113&gt;=E113,"Successful","Unsuccessful"),"🔒 BLOCKED — Wrong Code")),"Pending")</f>
        <v>Pending</v>
      </c>
      <c r="K113" s="83" t="str">
        <f t="shared" ca="1" si="11"/>
        <v>—</v>
      </c>
      <c r="L113" s="84"/>
    </row>
    <row r="114" spans="1:12" ht="15" customHeight="1" x14ac:dyDescent="0.25">
      <c r="A114" s="85"/>
      <c r="B114" s="41" t="str">
        <f>IF(A114="","",IFERROR(VLOOKUP(A114,DB_Customers!$A:$D,4,0),"❌ Account Not Found"))</f>
        <v/>
      </c>
      <c r="C114" s="86" t="str">
        <f>IF(A114="","",IFERROR(VLOOKUP(A114,DB_Customers!$A:$N,14,0),"❌ Acct Not Found"))</f>
        <v/>
      </c>
      <c r="D114" s="87" t="str">
        <f t="shared" ca="1" si="9"/>
        <v/>
      </c>
      <c r="E114" s="94"/>
      <c r="F114" s="41"/>
      <c r="G114" s="96" t="str">
        <f t="shared" si="10"/>
        <v/>
      </c>
      <c r="H114" s="43" t="s">
        <v>139</v>
      </c>
      <c r="I114" s="81"/>
      <c r="J114" s="89" t="str">
        <f>IF(AND(A114&lt;&gt;"",E114&lt;&gt;""),IF(I114="","⚠️ Enter Code",IF(IFERROR(VLOOKUP(H114,DB_Agents!$B:$I,8,0),"")=I114,IF(C114&gt;=E114,"Successful","Unsuccessful"),"🔒 BLOCKED — Wrong Code")),"Pending")</f>
        <v>Pending</v>
      </c>
      <c r="K114" s="90" t="str">
        <f t="shared" ca="1" si="11"/>
        <v>—</v>
      </c>
      <c r="L114" s="91"/>
    </row>
    <row r="115" spans="1:12" ht="15" customHeight="1" x14ac:dyDescent="0.25">
      <c r="A115" s="76"/>
      <c r="B115" s="37" t="str">
        <f>IF(A115="","",IFERROR(VLOOKUP(A115,DB_Customers!$A:$D,4,0),"❌ Account Not Found"))</f>
        <v/>
      </c>
      <c r="C115" s="77" t="str">
        <f>IF(A115="","",IFERROR(VLOOKUP(A115,DB_Customers!$A:$N,14,0),"❌ Acct Not Found"))</f>
        <v/>
      </c>
      <c r="D115" s="78" t="str">
        <f t="shared" ca="1" si="9"/>
        <v/>
      </c>
      <c r="E115" s="94"/>
      <c r="F115" s="37"/>
      <c r="G115" s="95" t="str">
        <f t="shared" si="10"/>
        <v/>
      </c>
      <c r="H115" s="39" t="s">
        <v>139</v>
      </c>
      <c r="I115" s="81"/>
      <c r="J115" s="82" t="str">
        <f>IF(AND(A115&lt;&gt;"",E115&lt;&gt;""),IF(I115="","⚠️ Enter Code",IF(IFERROR(VLOOKUP(H115,DB_Agents!$B:$I,8,0),"")=I115,IF(C115&gt;=E115,"Successful","Unsuccessful"),"🔒 BLOCKED — Wrong Code")),"Pending")</f>
        <v>Pending</v>
      </c>
      <c r="K115" s="83" t="str">
        <f t="shared" ca="1" si="11"/>
        <v>—</v>
      </c>
      <c r="L115" s="84"/>
    </row>
    <row r="116" spans="1:12" ht="15" customHeight="1" x14ac:dyDescent="0.25">
      <c r="A116" s="85"/>
      <c r="B116" s="41" t="str">
        <f>IF(A116="","",IFERROR(VLOOKUP(A116,DB_Customers!$A:$D,4,0),"❌ Account Not Found"))</f>
        <v/>
      </c>
      <c r="C116" s="86" t="str">
        <f>IF(A116="","",IFERROR(VLOOKUP(A116,DB_Customers!$A:$N,14,0),"❌ Acct Not Found"))</f>
        <v/>
      </c>
      <c r="D116" s="87" t="str">
        <f t="shared" ca="1" si="9"/>
        <v/>
      </c>
      <c r="E116" s="94"/>
      <c r="F116" s="41"/>
      <c r="G116" s="96" t="str">
        <f t="shared" si="10"/>
        <v/>
      </c>
      <c r="H116" s="43" t="s">
        <v>139</v>
      </c>
      <c r="I116" s="81"/>
      <c r="J116" s="89" t="str">
        <f>IF(AND(A116&lt;&gt;"",E116&lt;&gt;""),IF(I116="","⚠️ Enter Code",IF(IFERROR(VLOOKUP(H116,DB_Agents!$B:$I,8,0),"")=I116,IF(C116&gt;=E116,"Successful","Unsuccessful"),"🔒 BLOCKED — Wrong Code")),"Pending")</f>
        <v>Pending</v>
      </c>
      <c r="K116" s="90" t="str">
        <f t="shared" ca="1" si="11"/>
        <v>—</v>
      </c>
      <c r="L116" s="91"/>
    </row>
    <row r="117" spans="1:12" ht="15" customHeight="1" x14ac:dyDescent="0.25">
      <c r="A117" s="76"/>
      <c r="B117" s="37" t="str">
        <f>IF(A117="","",IFERROR(VLOOKUP(A117,DB_Customers!$A:$D,4,0),"❌ Account Not Found"))</f>
        <v/>
      </c>
      <c r="C117" s="77" t="str">
        <f>IF(A117="","",IFERROR(VLOOKUP(A117,DB_Customers!$A:$N,14,0),"❌ Acct Not Found"))</f>
        <v/>
      </c>
      <c r="D117" s="78" t="str">
        <f t="shared" ca="1" si="9"/>
        <v/>
      </c>
      <c r="E117" s="94"/>
      <c r="F117" s="37"/>
      <c r="G117" s="95" t="str">
        <f t="shared" si="10"/>
        <v/>
      </c>
      <c r="H117" s="39" t="s">
        <v>139</v>
      </c>
      <c r="I117" s="81"/>
      <c r="J117" s="82" t="str">
        <f>IF(AND(A117&lt;&gt;"",E117&lt;&gt;""),IF(I117="","⚠️ Enter Code",IF(IFERROR(VLOOKUP(H117,DB_Agents!$B:$I,8,0),"")=I117,IF(C117&gt;=E117,"Successful","Unsuccessful"),"🔒 BLOCKED — Wrong Code")),"Pending")</f>
        <v>Pending</v>
      </c>
      <c r="K117" s="83" t="str">
        <f t="shared" ca="1" si="11"/>
        <v>—</v>
      </c>
      <c r="L117" s="84"/>
    </row>
    <row r="118" spans="1:12" ht="15" customHeight="1" x14ac:dyDescent="0.25">
      <c r="A118" s="85"/>
      <c r="B118" s="41" t="str">
        <f>IF(A118="","",IFERROR(VLOOKUP(A118,DB_Customers!$A:$D,4,0),"❌ Account Not Found"))</f>
        <v/>
      </c>
      <c r="C118" s="86" t="str">
        <f>IF(A118="","",IFERROR(VLOOKUP(A118,DB_Customers!$A:$N,14,0),"❌ Acct Not Found"))</f>
        <v/>
      </c>
      <c r="D118" s="87" t="str">
        <f t="shared" ca="1" si="9"/>
        <v/>
      </c>
      <c r="E118" s="94"/>
      <c r="F118" s="41"/>
      <c r="G118" s="96" t="str">
        <f t="shared" si="10"/>
        <v/>
      </c>
      <c r="H118" s="43" t="s">
        <v>139</v>
      </c>
      <c r="I118" s="81"/>
      <c r="J118" s="89" t="str">
        <f>IF(AND(A118&lt;&gt;"",E118&lt;&gt;""),IF(I118="","⚠️ Enter Code",IF(IFERROR(VLOOKUP(H118,DB_Agents!$B:$I,8,0),"")=I118,IF(C118&gt;=E118,"Successful","Unsuccessful"),"🔒 BLOCKED — Wrong Code")),"Pending")</f>
        <v>Pending</v>
      </c>
      <c r="K118" s="90" t="str">
        <f t="shared" ca="1" si="11"/>
        <v>—</v>
      </c>
      <c r="L118" s="91"/>
    </row>
    <row r="119" spans="1:12" ht="15" customHeight="1" x14ac:dyDescent="0.25">
      <c r="A119" s="76"/>
      <c r="B119" s="37" t="str">
        <f>IF(A119="","",IFERROR(VLOOKUP(A119,DB_Customers!$A:$D,4,0),"❌ Account Not Found"))</f>
        <v/>
      </c>
      <c r="C119" s="77" t="str">
        <f>IF(A119="","",IFERROR(VLOOKUP(A119,DB_Customers!$A:$N,14,0),"❌ Acct Not Found"))</f>
        <v/>
      </c>
      <c r="D119" s="78" t="str">
        <f t="shared" ca="1" si="9"/>
        <v/>
      </c>
      <c r="E119" s="94"/>
      <c r="F119" s="37"/>
      <c r="G119" s="95" t="str">
        <f t="shared" si="10"/>
        <v/>
      </c>
      <c r="H119" s="39" t="s">
        <v>139</v>
      </c>
      <c r="I119" s="81"/>
      <c r="J119" s="82" t="str">
        <f>IF(AND(A119&lt;&gt;"",E119&lt;&gt;""),IF(I119="","⚠️ Enter Code",IF(IFERROR(VLOOKUP(H119,DB_Agents!$B:$I,8,0),"")=I119,IF(C119&gt;=E119,"Successful","Unsuccessful"),"🔒 BLOCKED — Wrong Code")),"Pending")</f>
        <v>Pending</v>
      </c>
      <c r="K119" s="83" t="str">
        <f t="shared" ca="1" si="11"/>
        <v>—</v>
      </c>
      <c r="L119" s="84"/>
    </row>
    <row r="120" spans="1:12" ht="15" customHeight="1" x14ac:dyDescent="0.25">
      <c r="A120" s="85"/>
      <c r="B120" s="41" t="str">
        <f>IF(A120="","",IFERROR(VLOOKUP(A120,DB_Customers!$A:$D,4,0),"❌ Account Not Found"))</f>
        <v/>
      </c>
      <c r="C120" s="86" t="str">
        <f>IF(A120="","",IFERROR(VLOOKUP(A120,DB_Customers!$A:$N,14,0),"❌ Acct Not Found"))</f>
        <v/>
      </c>
      <c r="D120" s="87" t="str">
        <f t="shared" ca="1" si="9"/>
        <v/>
      </c>
      <c r="E120" s="94"/>
      <c r="F120" s="41"/>
      <c r="G120" s="96" t="str">
        <f t="shared" si="10"/>
        <v/>
      </c>
      <c r="H120" s="43" t="s">
        <v>139</v>
      </c>
      <c r="I120" s="81"/>
      <c r="J120" s="89" t="str">
        <f>IF(AND(A120&lt;&gt;"",E120&lt;&gt;""),IF(I120="","⚠️ Enter Code",IF(IFERROR(VLOOKUP(H120,DB_Agents!$B:$I,8,0),"")=I120,IF(C120&gt;=E120,"Successful","Unsuccessful"),"🔒 BLOCKED — Wrong Code")),"Pending")</f>
        <v>Pending</v>
      </c>
      <c r="K120" s="90" t="str">
        <f t="shared" ca="1" si="11"/>
        <v>—</v>
      </c>
      <c r="L120" s="91"/>
    </row>
    <row r="121" spans="1:12" ht="15" customHeight="1" x14ac:dyDescent="0.25">
      <c r="A121" s="76"/>
      <c r="B121" s="37" t="str">
        <f>IF(A121="","",IFERROR(VLOOKUP(A121,DB_Customers!$A:$D,4,0),"❌ Account Not Found"))</f>
        <v/>
      </c>
      <c r="C121" s="77" t="str">
        <f>IF(A121="","",IFERROR(VLOOKUP(A121,DB_Customers!$A:$N,14,0),"❌ Acct Not Found"))</f>
        <v/>
      </c>
      <c r="D121" s="78" t="str">
        <f t="shared" ca="1" si="9"/>
        <v/>
      </c>
      <c r="E121" s="94"/>
      <c r="F121" s="37"/>
      <c r="G121" s="95" t="str">
        <f t="shared" si="10"/>
        <v/>
      </c>
      <c r="H121" s="39" t="s">
        <v>139</v>
      </c>
      <c r="I121" s="81"/>
      <c r="J121" s="82" t="str">
        <f>IF(AND(A121&lt;&gt;"",E121&lt;&gt;""),IF(I121="","⚠️ Enter Code",IF(IFERROR(VLOOKUP(H121,DB_Agents!$B:$I,8,0),"")=I121,IF(C121&gt;=E121,"Successful","Unsuccessful"),"🔒 BLOCKED — Wrong Code")),"Pending")</f>
        <v>Pending</v>
      </c>
      <c r="K121" s="83" t="str">
        <f t="shared" ca="1" si="11"/>
        <v>—</v>
      </c>
      <c r="L121" s="84"/>
    </row>
    <row r="122" spans="1:12" ht="15" customHeight="1" x14ac:dyDescent="0.25">
      <c r="A122" s="85"/>
      <c r="B122" s="41" t="str">
        <f>IF(A122="","",IFERROR(VLOOKUP(A122,DB_Customers!$A:$D,4,0),"❌ Account Not Found"))</f>
        <v/>
      </c>
      <c r="C122" s="86" t="str">
        <f>IF(A122="","",IFERROR(VLOOKUP(A122,DB_Customers!$A:$N,14,0),"❌ Acct Not Found"))</f>
        <v/>
      </c>
      <c r="D122" s="87" t="str">
        <f t="shared" ca="1" si="9"/>
        <v/>
      </c>
      <c r="E122" s="94"/>
      <c r="F122" s="41"/>
      <c r="G122" s="96" t="str">
        <f t="shared" si="10"/>
        <v/>
      </c>
      <c r="H122" s="43" t="s">
        <v>139</v>
      </c>
      <c r="I122" s="81"/>
      <c r="J122" s="89" t="str">
        <f>IF(AND(A122&lt;&gt;"",E122&lt;&gt;""),IF(I122="","⚠️ Enter Code",IF(IFERROR(VLOOKUP(H122,DB_Agents!$B:$I,8,0),"")=I122,IF(C122&gt;=E122,"Successful","Unsuccessful"),"🔒 BLOCKED — Wrong Code")),"Pending")</f>
        <v>Pending</v>
      </c>
      <c r="K122" s="90" t="str">
        <f t="shared" ca="1" si="11"/>
        <v>—</v>
      </c>
      <c r="L122" s="91"/>
    </row>
    <row r="123" spans="1:12" ht="15" customHeight="1" x14ac:dyDescent="0.25">
      <c r="A123" s="76"/>
      <c r="B123" s="37" t="str">
        <f>IF(A123="","",IFERROR(VLOOKUP(A123,DB_Customers!$A:$D,4,0),"❌ Account Not Found"))</f>
        <v/>
      </c>
      <c r="C123" s="77" t="str">
        <f>IF(A123="","",IFERROR(VLOOKUP(A123,DB_Customers!$A:$N,14,0),"❌ Acct Not Found"))</f>
        <v/>
      </c>
      <c r="D123" s="78" t="str">
        <f t="shared" ca="1" si="9"/>
        <v/>
      </c>
      <c r="E123" s="94"/>
      <c r="F123" s="37"/>
      <c r="G123" s="95" t="str">
        <f t="shared" si="10"/>
        <v/>
      </c>
      <c r="H123" s="39" t="s">
        <v>139</v>
      </c>
      <c r="I123" s="81"/>
      <c r="J123" s="82" t="str">
        <f>IF(AND(A123&lt;&gt;"",E123&lt;&gt;""),IF(I123="","⚠️ Enter Code",IF(IFERROR(VLOOKUP(H123,DB_Agents!$B:$I,8,0),"")=I123,IF(C123&gt;=E123,"Successful","Unsuccessful"),"🔒 BLOCKED — Wrong Code")),"Pending")</f>
        <v>Pending</v>
      </c>
      <c r="K123" s="83" t="str">
        <f t="shared" ca="1" si="11"/>
        <v>—</v>
      </c>
      <c r="L123" s="84"/>
    </row>
    <row r="124" spans="1:12" ht="15" customHeight="1" x14ac:dyDescent="0.25">
      <c r="A124" s="85"/>
      <c r="B124" s="41" t="str">
        <f>IF(A124="","",IFERROR(VLOOKUP(A124,DB_Customers!$A:$D,4,0),"❌ Account Not Found"))</f>
        <v/>
      </c>
      <c r="C124" s="86" t="str">
        <f>IF(A124="","",IFERROR(VLOOKUP(A124,DB_Customers!$A:$N,14,0),"❌ Acct Not Found"))</f>
        <v/>
      </c>
      <c r="D124" s="87" t="str">
        <f t="shared" ca="1" si="9"/>
        <v/>
      </c>
      <c r="E124" s="94"/>
      <c r="F124" s="41"/>
      <c r="G124" s="96" t="str">
        <f t="shared" si="10"/>
        <v/>
      </c>
      <c r="H124" s="43" t="s">
        <v>139</v>
      </c>
      <c r="I124" s="81"/>
      <c r="J124" s="89" t="str">
        <f>IF(AND(A124&lt;&gt;"",E124&lt;&gt;""),IF(I124="","⚠️ Enter Code",IF(IFERROR(VLOOKUP(H124,DB_Agents!$B:$I,8,0),"")=I124,IF(C124&gt;=E124,"Successful","Unsuccessful"),"🔒 BLOCKED — Wrong Code")),"Pending")</f>
        <v>Pending</v>
      </c>
      <c r="K124" s="90" t="str">
        <f t="shared" ca="1" si="11"/>
        <v>—</v>
      </c>
      <c r="L124" s="91"/>
    </row>
    <row r="125" spans="1:12" ht="15" customHeight="1" x14ac:dyDescent="0.25">
      <c r="A125" s="76"/>
      <c r="B125" s="37" t="str">
        <f>IF(A125="","",IFERROR(VLOOKUP(A125,DB_Customers!$A:$D,4,0),"❌ Account Not Found"))</f>
        <v/>
      </c>
      <c r="C125" s="77" t="str">
        <f>IF(A125="","",IFERROR(VLOOKUP(A125,DB_Customers!$A:$N,14,0),"❌ Acct Not Found"))</f>
        <v/>
      </c>
      <c r="D125" s="78" t="str">
        <f t="shared" ca="1" si="9"/>
        <v/>
      </c>
      <c r="E125" s="94"/>
      <c r="F125" s="37"/>
      <c r="G125" s="95" t="str">
        <f t="shared" si="10"/>
        <v/>
      </c>
      <c r="H125" s="39" t="s">
        <v>139</v>
      </c>
      <c r="I125" s="81"/>
      <c r="J125" s="82" t="str">
        <f>IF(AND(A125&lt;&gt;"",E125&lt;&gt;""),IF(I125="","⚠️ Enter Code",IF(IFERROR(VLOOKUP(H125,DB_Agents!$B:$I,8,0),"")=I125,IF(C125&gt;=E125,"Successful","Unsuccessful"),"🔒 BLOCKED — Wrong Code")),"Pending")</f>
        <v>Pending</v>
      </c>
      <c r="K125" s="83" t="str">
        <f t="shared" ca="1" si="11"/>
        <v>—</v>
      </c>
      <c r="L125" s="84"/>
    </row>
    <row r="126" spans="1:12" ht="15" customHeight="1" x14ac:dyDescent="0.25">
      <c r="A126" s="85"/>
      <c r="B126" s="41" t="str">
        <f>IF(A126="","",IFERROR(VLOOKUP(A126,DB_Customers!$A:$D,4,0),"❌ Account Not Found"))</f>
        <v/>
      </c>
      <c r="C126" s="86" t="str">
        <f>IF(A126="","",IFERROR(VLOOKUP(A126,DB_Customers!$A:$N,14,0),"❌ Acct Not Found"))</f>
        <v/>
      </c>
      <c r="D126" s="87" t="str">
        <f t="shared" ca="1" si="9"/>
        <v/>
      </c>
      <c r="E126" s="94"/>
      <c r="F126" s="41"/>
      <c r="G126" s="96" t="str">
        <f t="shared" si="10"/>
        <v/>
      </c>
      <c r="H126" s="43" t="s">
        <v>139</v>
      </c>
      <c r="I126" s="81"/>
      <c r="J126" s="89" t="str">
        <f>IF(AND(A126&lt;&gt;"",E126&lt;&gt;""),IF(I126="","⚠️ Enter Code",IF(IFERROR(VLOOKUP(H126,DB_Agents!$B:$I,8,0),"")=I126,IF(C126&gt;=E126,"Successful","Unsuccessful"),"🔒 BLOCKED — Wrong Code")),"Pending")</f>
        <v>Pending</v>
      </c>
      <c r="K126" s="90" t="str">
        <f t="shared" ca="1" si="11"/>
        <v>—</v>
      </c>
      <c r="L126" s="91"/>
    </row>
    <row r="127" spans="1:12" ht="15" customHeight="1" x14ac:dyDescent="0.25">
      <c r="A127" s="76"/>
      <c r="B127" s="37" t="str">
        <f>IF(A127="","",IFERROR(VLOOKUP(A127,DB_Customers!$A:$D,4,0),"❌ Account Not Found"))</f>
        <v/>
      </c>
      <c r="C127" s="77" t="str">
        <f>IF(A127="","",IFERROR(VLOOKUP(A127,DB_Customers!$A:$N,14,0),"❌ Acct Not Found"))</f>
        <v/>
      </c>
      <c r="D127" s="78" t="str">
        <f t="shared" ca="1" si="9"/>
        <v/>
      </c>
      <c r="E127" s="94"/>
      <c r="F127" s="37"/>
      <c r="G127" s="95" t="str">
        <f t="shared" si="10"/>
        <v/>
      </c>
      <c r="H127" s="39" t="s">
        <v>139</v>
      </c>
      <c r="I127" s="81"/>
      <c r="J127" s="82" t="str">
        <f>IF(AND(A127&lt;&gt;"",E127&lt;&gt;""),IF(I127="","⚠️ Enter Code",IF(IFERROR(VLOOKUP(H127,DB_Agents!$B:$I,8,0),"")=I127,IF(C127&gt;=E127,"Successful","Unsuccessful"),"🔒 BLOCKED — Wrong Code")),"Pending")</f>
        <v>Pending</v>
      </c>
      <c r="K127" s="83" t="str">
        <f t="shared" ca="1" si="11"/>
        <v>—</v>
      </c>
      <c r="L127" s="84"/>
    </row>
    <row r="128" spans="1:12" ht="15" customHeight="1" x14ac:dyDescent="0.25">
      <c r="A128" s="85"/>
      <c r="B128" s="41" t="str">
        <f>IF(A128="","",IFERROR(VLOOKUP(A128,DB_Customers!$A:$D,4,0),"❌ Account Not Found"))</f>
        <v/>
      </c>
      <c r="C128" s="86" t="str">
        <f>IF(A128="","",IFERROR(VLOOKUP(A128,DB_Customers!$A:$N,14,0),"❌ Acct Not Found"))</f>
        <v/>
      </c>
      <c r="D128" s="87" t="str">
        <f t="shared" ca="1" si="9"/>
        <v/>
      </c>
      <c r="E128" s="94"/>
      <c r="F128" s="41"/>
      <c r="G128" s="96" t="str">
        <f t="shared" si="10"/>
        <v/>
      </c>
      <c r="H128" s="43" t="s">
        <v>139</v>
      </c>
      <c r="I128" s="81"/>
      <c r="J128" s="89" t="str">
        <f>IF(AND(A128&lt;&gt;"",E128&lt;&gt;""),IF(I128="","⚠️ Enter Code",IF(IFERROR(VLOOKUP(H128,DB_Agents!$B:$I,8,0),"")=I128,IF(C128&gt;=E128,"Successful","Unsuccessful"),"🔒 BLOCKED — Wrong Code")),"Pending")</f>
        <v>Pending</v>
      </c>
      <c r="K128" s="90" t="str">
        <f t="shared" ca="1" si="11"/>
        <v>—</v>
      </c>
      <c r="L128" s="91"/>
    </row>
    <row r="129" spans="1:12" ht="15" customHeight="1" x14ac:dyDescent="0.25">
      <c r="A129" s="76"/>
      <c r="B129" s="37" t="str">
        <f>IF(A129="","",IFERROR(VLOOKUP(A129,DB_Customers!$A:$D,4,0),"❌ Account Not Found"))</f>
        <v/>
      </c>
      <c r="C129" s="77" t="str">
        <f>IF(A129="","",IFERROR(VLOOKUP(A129,DB_Customers!$A:$N,14,0),"❌ Acct Not Found"))</f>
        <v/>
      </c>
      <c r="D129" s="78" t="str">
        <f t="shared" ca="1" si="9"/>
        <v/>
      </c>
      <c r="E129" s="94"/>
      <c r="F129" s="37"/>
      <c r="G129" s="95" t="str">
        <f t="shared" si="10"/>
        <v/>
      </c>
      <c r="H129" s="39" t="s">
        <v>139</v>
      </c>
      <c r="I129" s="81"/>
      <c r="J129" s="82" t="str">
        <f>IF(AND(A129&lt;&gt;"",E129&lt;&gt;""),IF(I129="","⚠️ Enter Code",IF(IFERROR(VLOOKUP(H129,DB_Agents!$B:$I,8,0),"")=I129,IF(C129&gt;=E129,"Successful","Unsuccessful"),"🔒 BLOCKED — Wrong Code")),"Pending")</f>
        <v>Pending</v>
      </c>
      <c r="K129" s="83" t="str">
        <f t="shared" ca="1" si="11"/>
        <v>—</v>
      </c>
      <c r="L129" s="84"/>
    </row>
    <row r="130" spans="1:12" ht="15" customHeight="1" x14ac:dyDescent="0.25">
      <c r="A130" s="85"/>
      <c r="B130" s="41" t="str">
        <f>IF(A130="","",IFERROR(VLOOKUP(A130,DB_Customers!$A:$D,4,0),"❌ Account Not Found"))</f>
        <v/>
      </c>
      <c r="C130" s="86" t="str">
        <f>IF(A130="","",IFERROR(VLOOKUP(A130,DB_Customers!$A:$N,14,0),"❌ Acct Not Found"))</f>
        <v/>
      </c>
      <c r="D130" s="87" t="str">
        <f t="shared" ca="1" si="9"/>
        <v/>
      </c>
      <c r="E130" s="94"/>
      <c r="F130" s="41"/>
      <c r="G130" s="96" t="str">
        <f t="shared" si="10"/>
        <v/>
      </c>
      <c r="H130" s="43" t="s">
        <v>139</v>
      </c>
      <c r="I130" s="81"/>
      <c r="J130" s="89" t="str">
        <f>IF(AND(A130&lt;&gt;"",E130&lt;&gt;""),IF(I130="","⚠️ Enter Code",IF(IFERROR(VLOOKUP(H130,DB_Agents!$B:$I,8,0),"")=I130,IF(C130&gt;=E130,"Successful","Unsuccessful"),"🔒 BLOCKED — Wrong Code")),"Pending")</f>
        <v>Pending</v>
      </c>
      <c r="K130" s="90" t="str">
        <f t="shared" ca="1" si="11"/>
        <v>—</v>
      </c>
      <c r="L130" s="91"/>
    </row>
    <row r="131" spans="1:12" ht="15" customHeight="1" x14ac:dyDescent="0.25">
      <c r="A131" s="76"/>
      <c r="B131" s="37" t="str">
        <f>IF(A131="","",IFERROR(VLOOKUP(A131,DB_Customers!$A:$D,4,0),"❌ Account Not Found"))</f>
        <v/>
      </c>
      <c r="C131" s="77" t="str">
        <f>IF(A131="","",IFERROR(VLOOKUP(A131,DB_Customers!$A:$N,14,0),"❌ Acct Not Found"))</f>
        <v/>
      </c>
      <c r="D131" s="78" t="str">
        <f t="shared" ca="1" si="9"/>
        <v/>
      </c>
      <c r="E131" s="94"/>
      <c r="F131" s="37"/>
      <c r="G131" s="95" t="str">
        <f t="shared" si="10"/>
        <v/>
      </c>
      <c r="H131" s="39" t="s">
        <v>139</v>
      </c>
      <c r="I131" s="81"/>
      <c r="J131" s="82" t="str">
        <f>IF(AND(A131&lt;&gt;"",E131&lt;&gt;""),IF(I131="","⚠️ Enter Code",IF(IFERROR(VLOOKUP(H131,DB_Agents!$B:$I,8,0),"")=I131,IF(C131&gt;=E131,"Successful","Unsuccessful"),"🔒 BLOCKED — Wrong Code")),"Pending")</f>
        <v>Pending</v>
      </c>
      <c r="K131" s="83" t="str">
        <f t="shared" ca="1" si="11"/>
        <v>—</v>
      </c>
      <c r="L131" s="84"/>
    </row>
    <row r="132" spans="1:12" ht="15" customHeight="1" x14ac:dyDescent="0.25">
      <c r="A132" s="85"/>
      <c r="B132" s="41" t="str">
        <f>IF(A132="","",IFERROR(VLOOKUP(A132,DB_Customers!$A:$D,4,0),"❌ Account Not Found"))</f>
        <v/>
      </c>
      <c r="C132" s="86" t="str">
        <f>IF(A132="","",IFERROR(VLOOKUP(A132,DB_Customers!$A:$N,14,0),"❌ Acct Not Found"))</f>
        <v/>
      </c>
      <c r="D132" s="87" t="str">
        <f t="shared" ca="1" si="9"/>
        <v/>
      </c>
      <c r="E132" s="94"/>
      <c r="F132" s="41"/>
      <c r="G132" s="96" t="str">
        <f t="shared" si="10"/>
        <v/>
      </c>
      <c r="H132" s="43" t="s">
        <v>139</v>
      </c>
      <c r="I132" s="81"/>
      <c r="J132" s="89" t="str">
        <f>IF(AND(A132&lt;&gt;"",E132&lt;&gt;""),IF(I132="","⚠️ Enter Code",IF(IFERROR(VLOOKUP(H132,DB_Agents!$B:$I,8,0),"")=I132,IF(C132&gt;=E132,"Successful","Unsuccessful"),"🔒 BLOCKED — Wrong Code")),"Pending")</f>
        <v>Pending</v>
      </c>
      <c r="K132" s="90" t="str">
        <f t="shared" ca="1" si="11"/>
        <v>—</v>
      </c>
      <c r="L132" s="91"/>
    </row>
    <row r="133" spans="1:12" ht="15" customHeight="1" x14ac:dyDescent="0.25">
      <c r="A133" s="76"/>
      <c r="B133" s="37" t="str">
        <f>IF(A133="","",IFERROR(VLOOKUP(A133,DB_Customers!$A:$D,4,0),"❌ Account Not Found"))</f>
        <v/>
      </c>
      <c r="C133" s="77" t="str">
        <f>IF(A133="","",IFERROR(VLOOKUP(A133,DB_Customers!$A:$N,14,0),"❌ Acct Not Found"))</f>
        <v/>
      </c>
      <c r="D133" s="78" t="str">
        <f t="shared" ca="1" si="9"/>
        <v/>
      </c>
      <c r="E133" s="94"/>
      <c r="F133" s="37"/>
      <c r="G133" s="95" t="str">
        <f t="shared" si="10"/>
        <v/>
      </c>
      <c r="H133" s="39" t="s">
        <v>139</v>
      </c>
      <c r="I133" s="81"/>
      <c r="J133" s="82" t="str">
        <f>IF(AND(A133&lt;&gt;"",E133&lt;&gt;""),IF(I133="","⚠️ Enter Code",IF(IFERROR(VLOOKUP(H133,DB_Agents!$B:$I,8,0),"")=I133,IF(C133&gt;=E133,"Successful","Unsuccessful"),"🔒 BLOCKED — Wrong Code")),"Pending")</f>
        <v>Pending</v>
      </c>
      <c r="K133" s="83" t="str">
        <f t="shared" ca="1" si="11"/>
        <v>—</v>
      </c>
      <c r="L133" s="84"/>
    </row>
    <row r="134" spans="1:12" ht="15" customHeight="1" x14ac:dyDescent="0.25">
      <c r="A134" s="85"/>
      <c r="B134" s="41" t="str">
        <f>IF(A134="","",IFERROR(VLOOKUP(A134,DB_Customers!$A:$D,4,0),"❌ Account Not Found"))</f>
        <v/>
      </c>
      <c r="C134" s="86" t="str">
        <f>IF(A134="","",IFERROR(VLOOKUP(A134,DB_Customers!$A:$N,14,0),"❌ Acct Not Found"))</f>
        <v/>
      </c>
      <c r="D134" s="87" t="str">
        <f t="shared" ca="1" si="9"/>
        <v/>
      </c>
      <c r="E134" s="94"/>
      <c r="F134" s="41"/>
      <c r="G134" s="96" t="str">
        <f t="shared" si="10"/>
        <v/>
      </c>
      <c r="H134" s="43" t="s">
        <v>139</v>
      </c>
      <c r="I134" s="81"/>
      <c r="J134" s="89" t="str">
        <f>IF(AND(A134&lt;&gt;"",E134&lt;&gt;""),IF(I134="","⚠️ Enter Code",IF(IFERROR(VLOOKUP(H134,DB_Agents!$B:$I,8,0),"")=I134,IF(C134&gt;=E134,"Successful","Unsuccessful"),"🔒 BLOCKED — Wrong Code")),"Pending")</f>
        <v>Pending</v>
      </c>
      <c r="K134" s="90" t="str">
        <f t="shared" ca="1" si="11"/>
        <v>—</v>
      </c>
      <c r="L134" s="91"/>
    </row>
    <row r="135" spans="1:12" ht="15" customHeight="1" x14ac:dyDescent="0.25">
      <c r="A135" s="76"/>
      <c r="B135" s="37" t="str">
        <f>IF(A135="","",IFERROR(VLOOKUP(A135,DB_Customers!$A:$D,4,0),"❌ Account Not Found"))</f>
        <v/>
      </c>
      <c r="C135" s="77" t="str">
        <f>IF(A135="","",IFERROR(VLOOKUP(A135,DB_Customers!$A:$N,14,0),"❌ Acct Not Found"))</f>
        <v/>
      </c>
      <c r="D135" s="78" t="str">
        <f t="shared" ca="1" si="9"/>
        <v/>
      </c>
      <c r="E135" s="94"/>
      <c r="F135" s="37"/>
      <c r="G135" s="95" t="str">
        <f t="shared" si="10"/>
        <v/>
      </c>
      <c r="H135" s="39" t="s">
        <v>139</v>
      </c>
      <c r="I135" s="81"/>
      <c r="J135" s="82" t="str">
        <f>IF(AND(A135&lt;&gt;"",E135&lt;&gt;""),IF(I135="","⚠️ Enter Code",IF(IFERROR(VLOOKUP(H135,DB_Agents!$B:$I,8,0),"")=I135,IF(C135&gt;=E135,"Successful","Unsuccessful"),"🔒 BLOCKED — Wrong Code")),"Pending")</f>
        <v>Pending</v>
      </c>
      <c r="K135" s="83" t="str">
        <f t="shared" ca="1" si="11"/>
        <v>—</v>
      </c>
      <c r="L135" s="84"/>
    </row>
    <row r="136" spans="1:12" ht="15" customHeight="1" x14ac:dyDescent="0.25">
      <c r="A136" s="85"/>
      <c r="B136" s="41" t="str">
        <f>IF(A136="","",IFERROR(VLOOKUP(A136,DB_Customers!$A:$D,4,0),"❌ Account Not Found"))</f>
        <v/>
      </c>
      <c r="C136" s="86" t="str">
        <f>IF(A136="","",IFERROR(VLOOKUP(A136,DB_Customers!$A:$N,14,0),"❌ Acct Not Found"))</f>
        <v/>
      </c>
      <c r="D136" s="87" t="str">
        <f t="shared" ca="1" si="9"/>
        <v/>
      </c>
      <c r="E136" s="94"/>
      <c r="F136" s="41"/>
      <c r="G136" s="96" t="str">
        <f t="shared" si="10"/>
        <v/>
      </c>
      <c r="H136" s="43" t="s">
        <v>139</v>
      </c>
      <c r="I136" s="81"/>
      <c r="J136" s="89" t="str">
        <f>IF(AND(A136&lt;&gt;"",E136&lt;&gt;""),IF(I136="","⚠️ Enter Code",IF(IFERROR(VLOOKUP(H136,DB_Agents!$B:$I,8,0),"")=I136,IF(C136&gt;=E136,"Successful","Unsuccessful"),"🔒 BLOCKED — Wrong Code")),"Pending")</f>
        <v>Pending</v>
      </c>
      <c r="K136" s="90" t="str">
        <f t="shared" ca="1" si="11"/>
        <v>—</v>
      </c>
      <c r="L136" s="91"/>
    </row>
    <row r="137" spans="1:12" ht="15" customHeight="1" x14ac:dyDescent="0.25">
      <c r="A137" s="76"/>
      <c r="B137" s="37" t="str">
        <f>IF(A137="","",IFERROR(VLOOKUP(A137,DB_Customers!$A:$D,4,0),"❌ Account Not Found"))</f>
        <v/>
      </c>
      <c r="C137" s="77" t="str">
        <f>IF(A137="","",IFERROR(VLOOKUP(A137,DB_Customers!$A:$N,14,0),"❌ Acct Not Found"))</f>
        <v/>
      </c>
      <c r="D137" s="78" t="str">
        <f t="shared" ref="D137:D168" ca="1" si="12">IF(A137="","",TODAY())</f>
        <v/>
      </c>
      <c r="E137" s="94"/>
      <c r="F137" s="37"/>
      <c r="G137" s="95" t="str">
        <f t="shared" ref="G137:G168" si="13">IF(OR(A137="",E137=""),"",IF(C137="","",C137-E137))</f>
        <v/>
      </c>
      <c r="H137" s="39" t="s">
        <v>139</v>
      </c>
      <c r="I137" s="81"/>
      <c r="J137" s="82" t="str">
        <f>IF(AND(A137&lt;&gt;"",E137&lt;&gt;""),IF(I137="","⚠️ Enter Code",IF(IFERROR(VLOOKUP(H137,DB_Agents!$B:$I,8,0),"")=I137,IF(C137&gt;=E137,"Successful","Unsuccessful"),"🔒 BLOCKED — Wrong Code")),"Pending")</f>
        <v>Pending</v>
      </c>
      <c r="K137" s="83" t="str">
        <f t="shared" ref="K137:K168" ca="1" si="14">IF(J137="Successful",TEXT(TODAY(),"YYYY-MM-DD")&amp;" Auto","—")</f>
        <v>—</v>
      </c>
      <c r="L137" s="84"/>
    </row>
    <row r="138" spans="1:12" ht="15" customHeight="1" x14ac:dyDescent="0.25">
      <c r="A138" s="85"/>
      <c r="B138" s="41" t="str">
        <f>IF(A138="","",IFERROR(VLOOKUP(A138,DB_Customers!$A:$D,4,0),"❌ Account Not Found"))</f>
        <v/>
      </c>
      <c r="C138" s="86" t="str">
        <f>IF(A138="","",IFERROR(VLOOKUP(A138,DB_Customers!$A:$N,14,0),"❌ Acct Not Found"))</f>
        <v/>
      </c>
      <c r="D138" s="87" t="str">
        <f t="shared" ca="1" si="12"/>
        <v/>
      </c>
      <c r="E138" s="94"/>
      <c r="F138" s="41"/>
      <c r="G138" s="96" t="str">
        <f t="shared" si="13"/>
        <v/>
      </c>
      <c r="H138" s="43" t="s">
        <v>139</v>
      </c>
      <c r="I138" s="81"/>
      <c r="J138" s="89" t="str">
        <f>IF(AND(A138&lt;&gt;"",E138&lt;&gt;""),IF(I138="","⚠️ Enter Code",IF(IFERROR(VLOOKUP(H138,DB_Agents!$B:$I,8,0),"")=I138,IF(C138&gt;=E138,"Successful","Unsuccessful"),"🔒 BLOCKED — Wrong Code")),"Pending")</f>
        <v>Pending</v>
      </c>
      <c r="K138" s="90" t="str">
        <f t="shared" ca="1" si="14"/>
        <v>—</v>
      </c>
      <c r="L138" s="91"/>
    </row>
    <row r="139" spans="1:12" ht="15" customHeight="1" x14ac:dyDescent="0.25">
      <c r="A139" s="76"/>
      <c r="B139" s="37" t="str">
        <f>IF(A139="","",IFERROR(VLOOKUP(A139,DB_Customers!$A:$D,4,0),"❌ Account Not Found"))</f>
        <v/>
      </c>
      <c r="C139" s="77" t="str">
        <f>IF(A139="","",IFERROR(VLOOKUP(A139,DB_Customers!$A:$N,14,0),"❌ Acct Not Found"))</f>
        <v/>
      </c>
      <c r="D139" s="78" t="str">
        <f t="shared" ca="1" si="12"/>
        <v/>
      </c>
      <c r="E139" s="94"/>
      <c r="F139" s="37"/>
      <c r="G139" s="95" t="str">
        <f t="shared" si="13"/>
        <v/>
      </c>
      <c r="H139" s="39" t="s">
        <v>139</v>
      </c>
      <c r="I139" s="81"/>
      <c r="J139" s="82" t="str">
        <f>IF(AND(A139&lt;&gt;"",E139&lt;&gt;""),IF(I139="","⚠️ Enter Code",IF(IFERROR(VLOOKUP(H139,DB_Agents!$B:$I,8,0),"")=I139,IF(C139&gt;=E139,"Successful","Unsuccessful"),"🔒 BLOCKED — Wrong Code")),"Pending")</f>
        <v>Pending</v>
      </c>
      <c r="K139" s="83" t="str">
        <f t="shared" ca="1" si="14"/>
        <v>—</v>
      </c>
      <c r="L139" s="84"/>
    </row>
    <row r="140" spans="1:12" ht="15" customHeight="1" x14ac:dyDescent="0.25">
      <c r="A140" s="85"/>
      <c r="B140" s="41" t="str">
        <f>IF(A140="","",IFERROR(VLOOKUP(A140,DB_Customers!$A:$D,4,0),"❌ Account Not Found"))</f>
        <v/>
      </c>
      <c r="C140" s="86" t="str">
        <f>IF(A140="","",IFERROR(VLOOKUP(A140,DB_Customers!$A:$N,14,0),"❌ Acct Not Found"))</f>
        <v/>
      </c>
      <c r="D140" s="87" t="str">
        <f t="shared" ca="1" si="12"/>
        <v/>
      </c>
      <c r="E140" s="94"/>
      <c r="F140" s="41"/>
      <c r="G140" s="96" t="str">
        <f t="shared" si="13"/>
        <v/>
      </c>
      <c r="H140" s="43" t="s">
        <v>139</v>
      </c>
      <c r="I140" s="81"/>
      <c r="J140" s="89" t="str">
        <f>IF(AND(A140&lt;&gt;"",E140&lt;&gt;""),IF(I140="","⚠️ Enter Code",IF(IFERROR(VLOOKUP(H140,DB_Agents!$B:$I,8,0),"")=I140,IF(C140&gt;=E140,"Successful","Unsuccessful"),"🔒 BLOCKED — Wrong Code")),"Pending")</f>
        <v>Pending</v>
      </c>
      <c r="K140" s="90" t="str">
        <f t="shared" ca="1" si="14"/>
        <v>—</v>
      </c>
      <c r="L140" s="91"/>
    </row>
    <row r="141" spans="1:12" ht="15" customHeight="1" x14ac:dyDescent="0.25">
      <c r="A141" s="76"/>
      <c r="B141" s="37" t="str">
        <f>IF(A141="","",IFERROR(VLOOKUP(A141,DB_Customers!$A:$D,4,0),"❌ Account Not Found"))</f>
        <v/>
      </c>
      <c r="C141" s="77" t="str">
        <f>IF(A141="","",IFERROR(VLOOKUP(A141,DB_Customers!$A:$N,14,0),"❌ Acct Not Found"))</f>
        <v/>
      </c>
      <c r="D141" s="78" t="str">
        <f t="shared" ca="1" si="12"/>
        <v/>
      </c>
      <c r="E141" s="94"/>
      <c r="F141" s="37"/>
      <c r="G141" s="95" t="str">
        <f t="shared" si="13"/>
        <v/>
      </c>
      <c r="H141" s="39" t="s">
        <v>139</v>
      </c>
      <c r="I141" s="81"/>
      <c r="J141" s="82" t="str">
        <f>IF(AND(A141&lt;&gt;"",E141&lt;&gt;""),IF(I141="","⚠️ Enter Code",IF(IFERROR(VLOOKUP(H141,DB_Agents!$B:$I,8,0),"")=I141,IF(C141&gt;=E141,"Successful","Unsuccessful"),"🔒 BLOCKED — Wrong Code")),"Pending")</f>
        <v>Pending</v>
      </c>
      <c r="K141" s="83" t="str">
        <f t="shared" ca="1" si="14"/>
        <v>—</v>
      </c>
      <c r="L141" s="84"/>
    </row>
    <row r="142" spans="1:12" ht="15" customHeight="1" x14ac:dyDescent="0.25">
      <c r="A142" s="85"/>
      <c r="B142" s="41" t="str">
        <f>IF(A142="","",IFERROR(VLOOKUP(A142,DB_Customers!$A:$D,4,0),"❌ Account Not Found"))</f>
        <v/>
      </c>
      <c r="C142" s="86" t="str">
        <f>IF(A142="","",IFERROR(VLOOKUP(A142,DB_Customers!$A:$N,14,0),"❌ Acct Not Found"))</f>
        <v/>
      </c>
      <c r="D142" s="87" t="str">
        <f t="shared" ca="1" si="12"/>
        <v/>
      </c>
      <c r="E142" s="94"/>
      <c r="F142" s="41"/>
      <c r="G142" s="96" t="str">
        <f t="shared" si="13"/>
        <v/>
      </c>
      <c r="H142" s="43" t="s">
        <v>139</v>
      </c>
      <c r="I142" s="81"/>
      <c r="J142" s="89" t="str">
        <f>IF(AND(A142&lt;&gt;"",E142&lt;&gt;""),IF(I142="","⚠️ Enter Code",IF(IFERROR(VLOOKUP(H142,DB_Agents!$B:$I,8,0),"")=I142,IF(C142&gt;=E142,"Successful","Unsuccessful"),"🔒 BLOCKED — Wrong Code")),"Pending")</f>
        <v>Pending</v>
      </c>
      <c r="K142" s="90" t="str">
        <f t="shared" ca="1" si="14"/>
        <v>—</v>
      </c>
      <c r="L142" s="91"/>
    </row>
    <row r="143" spans="1:12" ht="15" customHeight="1" x14ac:dyDescent="0.25">
      <c r="A143" s="76"/>
      <c r="B143" s="37" t="str">
        <f>IF(A143="","",IFERROR(VLOOKUP(A143,DB_Customers!$A:$D,4,0),"❌ Account Not Found"))</f>
        <v/>
      </c>
      <c r="C143" s="77" t="str">
        <f>IF(A143="","",IFERROR(VLOOKUP(A143,DB_Customers!$A:$N,14,0),"❌ Acct Not Found"))</f>
        <v/>
      </c>
      <c r="D143" s="78" t="str">
        <f t="shared" ca="1" si="12"/>
        <v/>
      </c>
      <c r="E143" s="94"/>
      <c r="F143" s="37"/>
      <c r="G143" s="95" t="str">
        <f t="shared" si="13"/>
        <v/>
      </c>
      <c r="H143" s="39" t="s">
        <v>139</v>
      </c>
      <c r="I143" s="81"/>
      <c r="J143" s="82" t="str">
        <f>IF(AND(A143&lt;&gt;"",E143&lt;&gt;""),IF(I143="","⚠️ Enter Code",IF(IFERROR(VLOOKUP(H143,DB_Agents!$B:$I,8,0),"")=I143,IF(C143&gt;=E143,"Successful","Unsuccessful"),"🔒 BLOCKED — Wrong Code")),"Pending")</f>
        <v>Pending</v>
      </c>
      <c r="K143" s="83" t="str">
        <f t="shared" ca="1" si="14"/>
        <v>—</v>
      </c>
      <c r="L143" s="84"/>
    </row>
    <row r="144" spans="1:12" ht="15" customHeight="1" x14ac:dyDescent="0.25">
      <c r="A144" s="85"/>
      <c r="B144" s="41" t="str">
        <f>IF(A144="","",IFERROR(VLOOKUP(A144,DB_Customers!$A:$D,4,0),"❌ Account Not Found"))</f>
        <v/>
      </c>
      <c r="C144" s="86" t="str">
        <f>IF(A144="","",IFERROR(VLOOKUP(A144,DB_Customers!$A:$N,14,0),"❌ Acct Not Found"))</f>
        <v/>
      </c>
      <c r="D144" s="87" t="str">
        <f t="shared" ca="1" si="12"/>
        <v/>
      </c>
      <c r="E144" s="94"/>
      <c r="F144" s="41"/>
      <c r="G144" s="96" t="str">
        <f t="shared" si="13"/>
        <v/>
      </c>
      <c r="H144" s="43" t="s">
        <v>139</v>
      </c>
      <c r="I144" s="81"/>
      <c r="J144" s="89" t="str">
        <f>IF(AND(A144&lt;&gt;"",E144&lt;&gt;""),IF(I144="","⚠️ Enter Code",IF(IFERROR(VLOOKUP(H144,DB_Agents!$B:$I,8,0),"")=I144,IF(C144&gt;=E144,"Successful","Unsuccessful"),"🔒 BLOCKED — Wrong Code")),"Pending")</f>
        <v>Pending</v>
      </c>
      <c r="K144" s="90" t="str">
        <f t="shared" ca="1" si="14"/>
        <v>—</v>
      </c>
      <c r="L144" s="91"/>
    </row>
    <row r="145" spans="1:12" ht="15" customHeight="1" x14ac:dyDescent="0.25">
      <c r="A145" s="76"/>
      <c r="B145" s="37" t="str">
        <f>IF(A145="","",IFERROR(VLOOKUP(A145,DB_Customers!$A:$D,4,0),"❌ Account Not Found"))</f>
        <v/>
      </c>
      <c r="C145" s="77" t="str">
        <f>IF(A145="","",IFERROR(VLOOKUP(A145,DB_Customers!$A:$N,14,0),"❌ Acct Not Found"))</f>
        <v/>
      </c>
      <c r="D145" s="78" t="str">
        <f t="shared" ca="1" si="12"/>
        <v/>
      </c>
      <c r="E145" s="94"/>
      <c r="F145" s="37"/>
      <c r="G145" s="95" t="str">
        <f t="shared" si="13"/>
        <v/>
      </c>
      <c r="H145" s="39" t="s">
        <v>139</v>
      </c>
      <c r="I145" s="81"/>
      <c r="J145" s="82" t="str">
        <f>IF(AND(A145&lt;&gt;"",E145&lt;&gt;""),IF(I145="","⚠️ Enter Code",IF(IFERROR(VLOOKUP(H145,DB_Agents!$B:$I,8,0),"")=I145,IF(C145&gt;=E145,"Successful","Unsuccessful"),"🔒 BLOCKED — Wrong Code")),"Pending")</f>
        <v>Pending</v>
      </c>
      <c r="K145" s="83" t="str">
        <f t="shared" ca="1" si="14"/>
        <v>—</v>
      </c>
      <c r="L145" s="84"/>
    </row>
    <row r="146" spans="1:12" ht="15" customHeight="1" x14ac:dyDescent="0.25">
      <c r="A146" s="85"/>
      <c r="B146" s="41" t="str">
        <f>IF(A146="","",IFERROR(VLOOKUP(A146,DB_Customers!$A:$D,4,0),"❌ Account Not Found"))</f>
        <v/>
      </c>
      <c r="C146" s="86" t="str">
        <f>IF(A146="","",IFERROR(VLOOKUP(A146,DB_Customers!$A:$N,14,0),"❌ Acct Not Found"))</f>
        <v/>
      </c>
      <c r="D146" s="87" t="str">
        <f t="shared" ca="1" si="12"/>
        <v/>
      </c>
      <c r="E146" s="94"/>
      <c r="F146" s="41"/>
      <c r="G146" s="96" t="str">
        <f t="shared" si="13"/>
        <v/>
      </c>
      <c r="H146" s="43" t="s">
        <v>139</v>
      </c>
      <c r="I146" s="81"/>
      <c r="J146" s="89" t="str">
        <f>IF(AND(A146&lt;&gt;"",E146&lt;&gt;""),IF(I146="","⚠️ Enter Code",IF(IFERROR(VLOOKUP(H146,DB_Agents!$B:$I,8,0),"")=I146,IF(C146&gt;=E146,"Successful","Unsuccessful"),"🔒 BLOCKED — Wrong Code")),"Pending")</f>
        <v>Pending</v>
      </c>
      <c r="K146" s="90" t="str">
        <f t="shared" ca="1" si="14"/>
        <v>—</v>
      </c>
      <c r="L146" s="91"/>
    </row>
    <row r="147" spans="1:12" ht="15" customHeight="1" x14ac:dyDescent="0.25">
      <c r="A147" s="76"/>
      <c r="B147" s="37" t="str">
        <f>IF(A147="","",IFERROR(VLOOKUP(A147,DB_Customers!$A:$D,4,0),"❌ Account Not Found"))</f>
        <v/>
      </c>
      <c r="C147" s="77" t="str">
        <f>IF(A147="","",IFERROR(VLOOKUP(A147,DB_Customers!$A:$N,14,0),"❌ Acct Not Found"))</f>
        <v/>
      </c>
      <c r="D147" s="78" t="str">
        <f t="shared" ca="1" si="12"/>
        <v/>
      </c>
      <c r="E147" s="94"/>
      <c r="F147" s="37"/>
      <c r="G147" s="95" t="str">
        <f t="shared" si="13"/>
        <v/>
      </c>
      <c r="H147" s="39" t="s">
        <v>139</v>
      </c>
      <c r="I147" s="81"/>
      <c r="J147" s="82" t="str">
        <f>IF(AND(A147&lt;&gt;"",E147&lt;&gt;""),IF(I147="","⚠️ Enter Code",IF(IFERROR(VLOOKUP(H147,DB_Agents!$B:$I,8,0),"")=I147,IF(C147&gt;=E147,"Successful","Unsuccessful"),"🔒 BLOCKED — Wrong Code")),"Pending")</f>
        <v>Pending</v>
      </c>
      <c r="K147" s="83" t="str">
        <f t="shared" ca="1" si="14"/>
        <v>—</v>
      </c>
      <c r="L147" s="84"/>
    </row>
    <row r="148" spans="1:12" ht="15" customHeight="1" x14ac:dyDescent="0.25">
      <c r="A148" s="85"/>
      <c r="B148" s="41" t="str">
        <f>IF(A148="","",IFERROR(VLOOKUP(A148,DB_Customers!$A:$D,4,0),"❌ Account Not Found"))</f>
        <v/>
      </c>
      <c r="C148" s="86" t="str">
        <f>IF(A148="","",IFERROR(VLOOKUP(A148,DB_Customers!$A:$N,14,0),"❌ Acct Not Found"))</f>
        <v/>
      </c>
      <c r="D148" s="87" t="str">
        <f t="shared" ca="1" si="12"/>
        <v/>
      </c>
      <c r="E148" s="94"/>
      <c r="F148" s="41"/>
      <c r="G148" s="96" t="str">
        <f t="shared" si="13"/>
        <v/>
      </c>
      <c r="H148" s="43" t="s">
        <v>139</v>
      </c>
      <c r="I148" s="81"/>
      <c r="J148" s="89" t="str">
        <f>IF(AND(A148&lt;&gt;"",E148&lt;&gt;""),IF(I148="","⚠️ Enter Code",IF(IFERROR(VLOOKUP(H148,DB_Agents!$B:$I,8,0),"")=I148,IF(C148&gt;=E148,"Successful","Unsuccessful"),"🔒 BLOCKED — Wrong Code")),"Pending")</f>
        <v>Pending</v>
      </c>
      <c r="K148" s="90" t="str">
        <f t="shared" ca="1" si="14"/>
        <v>—</v>
      </c>
      <c r="L148" s="91"/>
    </row>
    <row r="149" spans="1:12" ht="15" customHeight="1" x14ac:dyDescent="0.25">
      <c r="A149" s="76"/>
      <c r="B149" s="37" t="str">
        <f>IF(A149="","",IFERROR(VLOOKUP(A149,DB_Customers!$A:$D,4,0),"❌ Account Not Found"))</f>
        <v/>
      </c>
      <c r="C149" s="77" t="str">
        <f>IF(A149="","",IFERROR(VLOOKUP(A149,DB_Customers!$A:$N,14,0),"❌ Acct Not Found"))</f>
        <v/>
      </c>
      <c r="D149" s="78" t="str">
        <f t="shared" ca="1" si="12"/>
        <v/>
      </c>
      <c r="E149" s="94"/>
      <c r="F149" s="37"/>
      <c r="G149" s="95" t="str">
        <f t="shared" si="13"/>
        <v/>
      </c>
      <c r="H149" s="39" t="s">
        <v>139</v>
      </c>
      <c r="I149" s="81"/>
      <c r="J149" s="82" t="str">
        <f>IF(AND(A149&lt;&gt;"",E149&lt;&gt;""),IF(I149="","⚠️ Enter Code",IF(IFERROR(VLOOKUP(H149,DB_Agents!$B:$I,8,0),"")=I149,IF(C149&gt;=E149,"Successful","Unsuccessful"),"🔒 BLOCKED — Wrong Code")),"Pending")</f>
        <v>Pending</v>
      </c>
      <c r="K149" s="83" t="str">
        <f t="shared" ca="1" si="14"/>
        <v>—</v>
      </c>
      <c r="L149" s="84"/>
    </row>
    <row r="150" spans="1:12" ht="15" customHeight="1" x14ac:dyDescent="0.25">
      <c r="A150" s="85"/>
      <c r="B150" s="41" t="str">
        <f>IF(A150="","",IFERROR(VLOOKUP(A150,DB_Customers!$A:$D,4,0),"❌ Account Not Found"))</f>
        <v/>
      </c>
      <c r="C150" s="86" t="str">
        <f>IF(A150="","",IFERROR(VLOOKUP(A150,DB_Customers!$A:$N,14,0),"❌ Acct Not Found"))</f>
        <v/>
      </c>
      <c r="D150" s="87" t="str">
        <f t="shared" ca="1" si="12"/>
        <v/>
      </c>
      <c r="E150" s="94"/>
      <c r="F150" s="41"/>
      <c r="G150" s="96" t="str">
        <f t="shared" si="13"/>
        <v/>
      </c>
      <c r="H150" s="43" t="s">
        <v>139</v>
      </c>
      <c r="I150" s="81"/>
      <c r="J150" s="89" t="str">
        <f>IF(AND(A150&lt;&gt;"",E150&lt;&gt;""),IF(I150="","⚠️ Enter Code",IF(IFERROR(VLOOKUP(H150,DB_Agents!$B:$I,8,0),"")=I150,IF(C150&gt;=E150,"Successful","Unsuccessful"),"🔒 BLOCKED — Wrong Code")),"Pending")</f>
        <v>Pending</v>
      </c>
      <c r="K150" s="90" t="str">
        <f t="shared" ca="1" si="14"/>
        <v>—</v>
      </c>
      <c r="L150" s="91"/>
    </row>
    <row r="151" spans="1:12" ht="15" customHeight="1" x14ac:dyDescent="0.25">
      <c r="A151" s="76"/>
      <c r="B151" s="37" t="str">
        <f>IF(A151="","",IFERROR(VLOOKUP(A151,DB_Customers!$A:$D,4,0),"❌ Account Not Found"))</f>
        <v/>
      </c>
      <c r="C151" s="77" t="str">
        <f>IF(A151="","",IFERROR(VLOOKUP(A151,DB_Customers!$A:$N,14,0),"❌ Acct Not Found"))</f>
        <v/>
      </c>
      <c r="D151" s="78" t="str">
        <f t="shared" ca="1" si="12"/>
        <v/>
      </c>
      <c r="E151" s="94"/>
      <c r="F151" s="37"/>
      <c r="G151" s="95" t="str">
        <f t="shared" si="13"/>
        <v/>
      </c>
      <c r="H151" s="39" t="s">
        <v>139</v>
      </c>
      <c r="I151" s="81"/>
      <c r="J151" s="82" t="str">
        <f>IF(AND(A151&lt;&gt;"",E151&lt;&gt;""),IF(I151="","⚠️ Enter Code",IF(IFERROR(VLOOKUP(H151,DB_Agents!$B:$I,8,0),"")=I151,IF(C151&gt;=E151,"Successful","Unsuccessful"),"🔒 BLOCKED — Wrong Code")),"Pending")</f>
        <v>Pending</v>
      </c>
      <c r="K151" s="83" t="str">
        <f t="shared" ca="1" si="14"/>
        <v>—</v>
      </c>
      <c r="L151" s="84"/>
    </row>
    <row r="152" spans="1:12" ht="15" customHeight="1" x14ac:dyDescent="0.25">
      <c r="A152" s="85"/>
      <c r="B152" s="41" t="str">
        <f>IF(A152="","",IFERROR(VLOOKUP(A152,DB_Customers!$A:$D,4,0),"❌ Account Not Found"))</f>
        <v/>
      </c>
      <c r="C152" s="86" t="str">
        <f>IF(A152="","",IFERROR(VLOOKUP(A152,DB_Customers!$A:$N,14,0),"❌ Acct Not Found"))</f>
        <v/>
      </c>
      <c r="D152" s="87" t="str">
        <f t="shared" ca="1" si="12"/>
        <v/>
      </c>
      <c r="E152" s="94"/>
      <c r="F152" s="41"/>
      <c r="G152" s="96" t="str">
        <f t="shared" si="13"/>
        <v/>
      </c>
      <c r="H152" s="43" t="s">
        <v>139</v>
      </c>
      <c r="I152" s="81"/>
      <c r="J152" s="89" t="str">
        <f>IF(AND(A152&lt;&gt;"",E152&lt;&gt;""),IF(I152="","⚠️ Enter Code",IF(IFERROR(VLOOKUP(H152,DB_Agents!$B:$I,8,0),"")=I152,IF(C152&gt;=E152,"Successful","Unsuccessful"),"🔒 BLOCKED — Wrong Code")),"Pending")</f>
        <v>Pending</v>
      </c>
      <c r="K152" s="90" t="str">
        <f t="shared" ca="1" si="14"/>
        <v>—</v>
      </c>
      <c r="L152" s="91"/>
    </row>
    <row r="153" spans="1:12" ht="15" customHeight="1" x14ac:dyDescent="0.25">
      <c r="A153" s="76"/>
      <c r="B153" s="37" t="str">
        <f>IF(A153="","",IFERROR(VLOOKUP(A153,DB_Customers!$A:$D,4,0),"❌ Account Not Found"))</f>
        <v/>
      </c>
      <c r="C153" s="77" t="str">
        <f>IF(A153="","",IFERROR(VLOOKUP(A153,DB_Customers!$A:$N,14,0),"❌ Acct Not Found"))</f>
        <v/>
      </c>
      <c r="D153" s="78" t="str">
        <f t="shared" ca="1" si="12"/>
        <v/>
      </c>
      <c r="E153" s="94"/>
      <c r="F153" s="37"/>
      <c r="G153" s="95" t="str">
        <f t="shared" si="13"/>
        <v/>
      </c>
      <c r="H153" s="39" t="s">
        <v>139</v>
      </c>
      <c r="I153" s="81"/>
      <c r="J153" s="82" t="str">
        <f>IF(AND(A153&lt;&gt;"",E153&lt;&gt;""),IF(I153="","⚠️ Enter Code",IF(IFERROR(VLOOKUP(H153,DB_Agents!$B:$I,8,0),"")=I153,IF(C153&gt;=E153,"Successful","Unsuccessful"),"🔒 BLOCKED — Wrong Code")),"Pending")</f>
        <v>Pending</v>
      </c>
      <c r="K153" s="83" t="str">
        <f t="shared" ca="1" si="14"/>
        <v>—</v>
      </c>
      <c r="L153" s="84"/>
    </row>
    <row r="154" spans="1:12" ht="15" customHeight="1" x14ac:dyDescent="0.25">
      <c r="A154" s="85"/>
      <c r="B154" s="41" t="str">
        <f>IF(A154="","",IFERROR(VLOOKUP(A154,DB_Customers!$A:$D,4,0),"❌ Account Not Found"))</f>
        <v/>
      </c>
      <c r="C154" s="86" t="str">
        <f>IF(A154="","",IFERROR(VLOOKUP(A154,DB_Customers!$A:$N,14,0),"❌ Acct Not Found"))</f>
        <v/>
      </c>
      <c r="D154" s="87" t="str">
        <f t="shared" ca="1" si="12"/>
        <v/>
      </c>
      <c r="E154" s="94"/>
      <c r="F154" s="41"/>
      <c r="G154" s="96" t="str">
        <f t="shared" si="13"/>
        <v/>
      </c>
      <c r="H154" s="43" t="s">
        <v>139</v>
      </c>
      <c r="I154" s="81"/>
      <c r="J154" s="89" t="str">
        <f>IF(AND(A154&lt;&gt;"",E154&lt;&gt;""),IF(I154="","⚠️ Enter Code",IF(IFERROR(VLOOKUP(H154,DB_Agents!$B:$I,8,0),"")=I154,IF(C154&gt;=E154,"Successful","Unsuccessful"),"🔒 BLOCKED — Wrong Code")),"Pending")</f>
        <v>Pending</v>
      </c>
      <c r="K154" s="90" t="str">
        <f t="shared" ca="1" si="14"/>
        <v>—</v>
      </c>
      <c r="L154" s="91"/>
    </row>
    <row r="155" spans="1:12" ht="15" customHeight="1" x14ac:dyDescent="0.25">
      <c r="A155" s="76"/>
      <c r="B155" s="37" t="str">
        <f>IF(A155="","",IFERROR(VLOOKUP(A155,DB_Customers!$A:$D,4,0),"❌ Account Not Found"))</f>
        <v/>
      </c>
      <c r="C155" s="77" t="str">
        <f>IF(A155="","",IFERROR(VLOOKUP(A155,DB_Customers!$A:$N,14,0),"❌ Acct Not Found"))</f>
        <v/>
      </c>
      <c r="D155" s="78" t="str">
        <f t="shared" ca="1" si="12"/>
        <v/>
      </c>
      <c r="E155" s="94"/>
      <c r="F155" s="37"/>
      <c r="G155" s="95" t="str">
        <f t="shared" si="13"/>
        <v/>
      </c>
      <c r="H155" s="39" t="s">
        <v>139</v>
      </c>
      <c r="I155" s="81"/>
      <c r="J155" s="82" t="str">
        <f>IF(AND(A155&lt;&gt;"",E155&lt;&gt;""),IF(I155="","⚠️ Enter Code",IF(IFERROR(VLOOKUP(H155,DB_Agents!$B:$I,8,0),"")=I155,IF(C155&gt;=E155,"Successful","Unsuccessful"),"🔒 BLOCKED — Wrong Code")),"Pending")</f>
        <v>Pending</v>
      </c>
      <c r="K155" s="83" t="str">
        <f t="shared" ca="1" si="14"/>
        <v>—</v>
      </c>
      <c r="L155" s="84"/>
    </row>
    <row r="156" spans="1:12" ht="15" customHeight="1" x14ac:dyDescent="0.25">
      <c r="A156" s="85"/>
      <c r="B156" s="41" t="str">
        <f>IF(A156="","",IFERROR(VLOOKUP(A156,DB_Customers!$A:$D,4,0),"❌ Account Not Found"))</f>
        <v/>
      </c>
      <c r="C156" s="86" t="str">
        <f>IF(A156="","",IFERROR(VLOOKUP(A156,DB_Customers!$A:$N,14,0),"❌ Acct Not Found"))</f>
        <v/>
      </c>
      <c r="D156" s="87" t="str">
        <f t="shared" ca="1" si="12"/>
        <v/>
      </c>
      <c r="E156" s="94"/>
      <c r="F156" s="41"/>
      <c r="G156" s="96" t="str">
        <f t="shared" si="13"/>
        <v/>
      </c>
      <c r="H156" s="43" t="s">
        <v>139</v>
      </c>
      <c r="I156" s="81"/>
      <c r="J156" s="89" t="str">
        <f>IF(AND(A156&lt;&gt;"",E156&lt;&gt;""),IF(I156="","⚠️ Enter Code",IF(IFERROR(VLOOKUP(H156,DB_Agents!$B:$I,8,0),"")=I156,IF(C156&gt;=E156,"Successful","Unsuccessful"),"🔒 BLOCKED — Wrong Code")),"Pending")</f>
        <v>Pending</v>
      </c>
      <c r="K156" s="90" t="str">
        <f t="shared" ca="1" si="14"/>
        <v>—</v>
      </c>
      <c r="L156" s="91"/>
    </row>
    <row r="157" spans="1:12" ht="15" customHeight="1" x14ac:dyDescent="0.25">
      <c r="A157" s="76"/>
      <c r="B157" s="37" t="str">
        <f>IF(A157="","",IFERROR(VLOOKUP(A157,DB_Customers!$A:$D,4,0),"❌ Account Not Found"))</f>
        <v/>
      </c>
      <c r="C157" s="77" t="str">
        <f>IF(A157="","",IFERROR(VLOOKUP(A157,DB_Customers!$A:$N,14,0),"❌ Acct Not Found"))</f>
        <v/>
      </c>
      <c r="D157" s="78" t="str">
        <f t="shared" ca="1" si="12"/>
        <v/>
      </c>
      <c r="E157" s="94"/>
      <c r="F157" s="37"/>
      <c r="G157" s="95" t="str">
        <f t="shared" si="13"/>
        <v/>
      </c>
      <c r="H157" s="39" t="s">
        <v>139</v>
      </c>
      <c r="I157" s="81"/>
      <c r="J157" s="82" t="str">
        <f>IF(AND(A157&lt;&gt;"",E157&lt;&gt;""),IF(I157="","⚠️ Enter Code",IF(IFERROR(VLOOKUP(H157,DB_Agents!$B:$I,8,0),"")=I157,IF(C157&gt;=E157,"Successful","Unsuccessful"),"🔒 BLOCKED — Wrong Code")),"Pending")</f>
        <v>Pending</v>
      </c>
      <c r="K157" s="83" t="str">
        <f t="shared" ca="1" si="14"/>
        <v>—</v>
      </c>
      <c r="L157" s="84"/>
    </row>
    <row r="158" spans="1:12" ht="15" customHeight="1" x14ac:dyDescent="0.25">
      <c r="A158" s="85"/>
      <c r="B158" s="41" t="str">
        <f>IF(A158="","",IFERROR(VLOOKUP(A158,DB_Customers!$A:$D,4,0),"❌ Account Not Found"))</f>
        <v/>
      </c>
      <c r="C158" s="86" t="str">
        <f>IF(A158="","",IFERROR(VLOOKUP(A158,DB_Customers!$A:$N,14,0),"❌ Acct Not Found"))</f>
        <v/>
      </c>
      <c r="D158" s="87" t="str">
        <f t="shared" ca="1" si="12"/>
        <v/>
      </c>
      <c r="E158" s="94"/>
      <c r="F158" s="41"/>
      <c r="G158" s="96" t="str">
        <f t="shared" si="13"/>
        <v/>
      </c>
      <c r="H158" s="43" t="s">
        <v>139</v>
      </c>
      <c r="I158" s="81"/>
      <c r="J158" s="89" t="str">
        <f>IF(AND(A158&lt;&gt;"",E158&lt;&gt;""),IF(I158="","⚠️ Enter Code",IF(IFERROR(VLOOKUP(H158,DB_Agents!$B:$I,8,0),"")=I158,IF(C158&gt;=E158,"Successful","Unsuccessful"),"🔒 BLOCKED — Wrong Code")),"Pending")</f>
        <v>Pending</v>
      </c>
      <c r="K158" s="90" t="str">
        <f t="shared" ca="1" si="14"/>
        <v>—</v>
      </c>
      <c r="L158" s="91"/>
    </row>
    <row r="159" spans="1:12" ht="15" customHeight="1" x14ac:dyDescent="0.25">
      <c r="A159" s="76"/>
      <c r="B159" s="37" t="str">
        <f>IF(A159="","",IFERROR(VLOOKUP(A159,DB_Customers!$A:$D,4,0),"❌ Account Not Found"))</f>
        <v/>
      </c>
      <c r="C159" s="77" t="str">
        <f>IF(A159="","",IFERROR(VLOOKUP(A159,DB_Customers!$A:$N,14,0),"❌ Acct Not Found"))</f>
        <v/>
      </c>
      <c r="D159" s="78" t="str">
        <f t="shared" ca="1" si="12"/>
        <v/>
      </c>
      <c r="E159" s="94"/>
      <c r="F159" s="37"/>
      <c r="G159" s="95" t="str">
        <f t="shared" si="13"/>
        <v/>
      </c>
      <c r="H159" s="39" t="s">
        <v>139</v>
      </c>
      <c r="I159" s="81"/>
      <c r="J159" s="82" t="str">
        <f>IF(AND(A159&lt;&gt;"",E159&lt;&gt;""),IF(I159="","⚠️ Enter Code",IF(IFERROR(VLOOKUP(H159,DB_Agents!$B:$I,8,0),"")=I159,IF(C159&gt;=E159,"Successful","Unsuccessful"),"🔒 BLOCKED — Wrong Code")),"Pending")</f>
        <v>Pending</v>
      </c>
      <c r="K159" s="83" t="str">
        <f t="shared" ca="1" si="14"/>
        <v>—</v>
      </c>
      <c r="L159" s="84"/>
    </row>
    <row r="160" spans="1:12" ht="15" customHeight="1" x14ac:dyDescent="0.25">
      <c r="A160" s="85"/>
      <c r="B160" s="41" t="str">
        <f>IF(A160="","",IFERROR(VLOOKUP(A160,DB_Customers!$A:$D,4,0),"❌ Account Not Found"))</f>
        <v/>
      </c>
      <c r="C160" s="86" t="str">
        <f>IF(A160="","",IFERROR(VLOOKUP(A160,DB_Customers!$A:$N,14,0),"❌ Acct Not Found"))</f>
        <v/>
      </c>
      <c r="D160" s="87" t="str">
        <f t="shared" ca="1" si="12"/>
        <v/>
      </c>
      <c r="E160" s="94"/>
      <c r="F160" s="41"/>
      <c r="G160" s="96" t="str">
        <f t="shared" si="13"/>
        <v/>
      </c>
      <c r="H160" s="43" t="s">
        <v>139</v>
      </c>
      <c r="I160" s="81"/>
      <c r="J160" s="89" t="str">
        <f>IF(AND(A160&lt;&gt;"",E160&lt;&gt;""),IF(I160="","⚠️ Enter Code",IF(IFERROR(VLOOKUP(H160,DB_Agents!$B:$I,8,0),"")=I160,IF(C160&gt;=E160,"Successful","Unsuccessful"),"🔒 BLOCKED — Wrong Code")),"Pending")</f>
        <v>Pending</v>
      </c>
      <c r="K160" s="90" t="str">
        <f t="shared" ca="1" si="14"/>
        <v>—</v>
      </c>
      <c r="L160" s="91"/>
    </row>
    <row r="161" spans="1:12" ht="15" customHeight="1" x14ac:dyDescent="0.25">
      <c r="A161" s="76"/>
      <c r="B161" s="37" t="str">
        <f>IF(A161="","",IFERROR(VLOOKUP(A161,DB_Customers!$A:$D,4,0),"❌ Account Not Found"))</f>
        <v/>
      </c>
      <c r="C161" s="77" t="str">
        <f>IF(A161="","",IFERROR(VLOOKUP(A161,DB_Customers!$A:$N,14,0),"❌ Acct Not Found"))</f>
        <v/>
      </c>
      <c r="D161" s="78" t="str">
        <f t="shared" ca="1" si="12"/>
        <v/>
      </c>
      <c r="E161" s="94"/>
      <c r="F161" s="37"/>
      <c r="G161" s="95" t="str">
        <f t="shared" si="13"/>
        <v/>
      </c>
      <c r="H161" s="39" t="s">
        <v>139</v>
      </c>
      <c r="I161" s="81"/>
      <c r="J161" s="82" t="str">
        <f>IF(AND(A161&lt;&gt;"",E161&lt;&gt;""),IF(I161="","⚠️ Enter Code",IF(IFERROR(VLOOKUP(H161,DB_Agents!$B:$I,8,0),"")=I161,IF(C161&gt;=E161,"Successful","Unsuccessful"),"🔒 BLOCKED — Wrong Code")),"Pending")</f>
        <v>Pending</v>
      </c>
      <c r="K161" s="83" t="str">
        <f t="shared" ca="1" si="14"/>
        <v>—</v>
      </c>
      <c r="L161" s="84"/>
    </row>
    <row r="162" spans="1:12" ht="15" customHeight="1" x14ac:dyDescent="0.25">
      <c r="A162" s="85"/>
      <c r="B162" s="41" t="str">
        <f>IF(A162="","",IFERROR(VLOOKUP(A162,DB_Customers!$A:$D,4,0),"❌ Account Not Found"))</f>
        <v/>
      </c>
      <c r="C162" s="86" t="str">
        <f>IF(A162="","",IFERROR(VLOOKUP(A162,DB_Customers!$A:$N,14,0),"❌ Acct Not Found"))</f>
        <v/>
      </c>
      <c r="D162" s="87" t="str">
        <f t="shared" ca="1" si="12"/>
        <v/>
      </c>
      <c r="E162" s="94"/>
      <c r="F162" s="41"/>
      <c r="G162" s="96" t="str">
        <f t="shared" si="13"/>
        <v/>
      </c>
      <c r="H162" s="43" t="s">
        <v>139</v>
      </c>
      <c r="I162" s="81"/>
      <c r="J162" s="89" t="str">
        <f>IF(AND(A162&lt;&gt;"",E162&lt;&gt;""),IF(I162="","⚠️ Enter Code",IF(IFERROR(VLOOKUP(H162,DB_Agents!$B:$I,8,0),"")=I162,IF(C162&gt;=E162,"Successful","Unsuccessful"),"🔒 BLOCKED — Wrong Code")),"Pending")</f>
        <v>Pending</v>
      </c>
      <c r="K162" s="90" t="str">
        <f t="shared" ca="1" si="14"/>
        <v>—</v>
      </c>
      <c r="L162" s="91"/>
    </row>
    <row r="163" spans="1:12" ht="15" customHeight="1" x14ac:dyDescent="0.25">
      <c r="A163" s="76"/>
      <c r="B163" s="37" t="str">
        <f>IF(A163="","",IFERROR(VLOOKUP(A163,DB_Customers!$A:$D,4,0),"❌ Account Not Found"))</f>
        <v/>
      </c>
      <c r="C163" s="77" t="str">
        <f>IF(A163="","",IFERROR(VLOOKUP(A163,DB_Customers!$A:$N,14,0),"❌ Acct Not Found"))</f>
        <v/>
      </c>
      <c r="D163" s="78" t="str">
        <f t="shared" ca="1" si="12"/>
        <v/>
      </c>
      <c r="E163" s="94"/>
      <c r="F163" s="37"/>
      <c r="G163" s="95" t="str">
        <f t="shared" si="13"/>
        <v/>
      </c>
      <c r="H163" s="39" t="s">
        <v>139</v>
      </c>
      <c r="I163" s="81"/>
      <c r="J163" s="82" t="str">
        <f>IF(AND(A163&lt;&gt;"",E163&lt;&gt;""),IF(I163="","⚠️ Enter Code",IF(IFERROR(VLOOKUP(H163,DB_Agents!$B:$I,8,0),"")=I163,IF(C163&gt;=E163,"Successful","Unsuccessful"),"🔒 BLOCKED — Wrong Code")),"Pending")</f>
        <v>Pending</v>
      </c>
      <c r="K163" s="83" t="str">
        <f t="shared" ca="1" si="14"/>
        <v>—</v>
      </c>
      <c r="L163" s="84"/>
    </row>
    <row r="164" spans="1:12" ht="15" customHeight="1" x14ac:dyDescent="0.25">
      <c r="A164" s="85"/>
      <c r="B164" s="41" t="str">
        <f>IF(A164="","",IFERROR(VLOOKUP(A164,DB_Customers!$A:$D,4,0),"❌ Account Not Found"))</f>
        <v/>
      </c>
      <c r="C164" s="86" t="str">
        <f>IF(A164="","",IFERROR(VLOOKUP(A164,DB_Customers!$A:$N,14,0),"❌ Acct Not Found"))</f>
        <v/>
      </c>
      <c r="D164" s="87" t="str">
        <f t="shared" ca="1" si="12"/>
        <v/>
      </c>
      <c r="E164" s="94"/>
      <c r="F164" s="41"/>
      <c r="G164" s="96" t="str">
        <f t="shared" si="13"/>
        <v/>
      </c>
      <c r="H164" s="43" t="s">
        <v>139</v>
      </c>
      <c r="I164" s="81"/>
      <c r="J164" s="89" t="str">
        <f>IF(AND(A164&lt;&gt;"",E164&lt;&gt;""),IF(I164="","⚠️ Enter Code",IF(IFERROR(VLOOKUP(H164,DB_Agents!$B:$I,8,0),"")=I164,IF(C164&gt;=E164,"Successful","Unsuccessful"),"🔒 BLOCKED — Wrong Code")),"Pending")</f>
        <v>Pending</v>
      </c>
      <c r="K164" s="90" t="str">
        <f t="shared" ca="1" si="14"/>
        <v>—</v>
      </c>
      <c r="L164" s="91"/>
    </row>
    <row r="165" spans="1:12" ht="15" customHeight="1" x14ac:dyDescent="0.25">
      <c r="A165" s="76"/>
      <c r="B165" s="37" t="str">
        <f>IF(A165="","",IFERROR(VLOOKUP(A165,DB_Customers!$A:$D,4,0),"❌ Account Not Found"))</f>
        <v/>
      </c>
      <c r="C165" s="77" t="str">
        <f>IF(A165="","",IFERROR(VLOOKUP(A165,DB_Customers!$A:$N,14,0),"❌ Acct Not Found"))</f>
        <v/>
      </c>
      <c r="D165" s="78" t="str">
        <f t="shared" ca="1" si="12"/>
        <v/>
      </c>
      <c r="E165" s="94"/>
      <c r="F165" s="37"/>
      <c r="G165" s="95" t="str">
        <f t="shared" si="13"/>
        <v/>
      </c>
      <c r="H165" s="39" t="s">
        <v>139</v>
      </c>
      <c r="I165" s="81"/>
      <c r="J165" s="82" t="str">
        <f>IF(AND(A165&lt;&gt;"",E165&lt;&gt;""),IF(I165="","⚠️ Enter Code",IF(IFERROR(VLOOKUP(H165,DB_Agents!$B:$I,8,0),"")=I165,IF(C165&gt;=E165,"Successful","Unsuccessful"),"🔒 BLOCKED — Wrong Code")),"Pending")</f>
        <v>Pending</v>
      </c>
      <c r="K165" s="83" t="str">
        <f t="shared" ca="1" si="14"/>
        <v>—</v>
      </c>
      <c r="L165" s="84"/>
    </row>
    <row r="166" spans="1:12" ht="15" customHeight="1" x14ac:dyDescent="0.25">
      <c r="A166" s="85"/>
      <c r="B166" s="41" t="str">
        <f>IF(A166="","",IFERROR(VLOOKUP(A166,DB_Customers!$A:$D,4,0),"❌ Account Not Found"))</f>
        <v/>
      </c>
      <c r="C166" s="86" t="str">
        <f>IF(A166="","",IFERROR(VLOOKUP(A166,DB_Customers!$A:$N,14,0),"❌ Acct Not Found"))</f>
        <v/>
      </c>
      <c r="D166" s="87" t="str">
        <f t="shared" ca="1" si="12"/>
        <v/>
      </c>
      <c r="E166" s="94"/>
      <c r="F166" s="41"/>
      <c r="G166" s="96" t="str">
        <f t="shared" si="13"/>
        <v/>
      </c>
      <c r="H166" s="43" t="s">
        <v>139</v>
      </c>
      <c r="I166" s="81"/>
      <c r="J166" s="89" t="str">
        <f>IF(AND(A166&lt;&gt;"",E166&lt;&gt;""),IF(I166="","⚠️ Enter Code",IF(IFERROR(VLOOKUP(H166,DB_Agents!$B:$I,8,0),"")=I166,IF(C166&gt;=E166,"Successful","Unsuccessful"),"🔒 BLOCKED — Wrong Code")),"Pending")</f>
        <v>Pending</v>
      </c>
      <c r="K166" s="90" t="str">
        <f t="shared" ca="1" si="14"/>
        <v>—</v>
      </c>
      <c r="L166" s="91"/>
    </row>
    <row r="167" spans="1:12" ht="15" customHeight="1" x14ac:dyDescent="0.25">
      <c r="A167" s="76"/>
      <c r="B167" s="37" t="str">
        <f>IF(A167="","",IFERROR(VLOOKUP(A167,DB_Customers!$A:$D,4,0),"❌ Account Not Found"))</f>
        <v/>
      </c>
      <c r="C167" s="77" t="str">
        <f>IF(A167="","",IFERROR(VLOOKUP(A167,DB_Customers!$A:$N,14,0),"❌ Acct Not Found"))</f>
        <v/>
      </c>
      <c r="D167" s="78" t="str">
        <f t="shared" ca="1" si="12"/>
        <v/>
      </c>
      <c r="E167" s="94"/>
      <c r="F167" s="37"/>
      <c r="G167" s="95" t="str">
        <f t="shared" si="13"/>
        <v/>
      </c>
      <c r="H167" s="39" t="s">
        <v>139</v>
      </c>
      <c r="I167" s="81"/>
      <c r="J167" s="82" t="str">
        <f>IF(AND(A167&lt;&gt;"",E167&lt;&gt;""),IF(I167="","⚠️ Enter Code",IF(IFERROR(VLOOKUP(H167,DB_Agents!$B:$I,8,0),"")=I167,IF(C167&gt;=E167,"Successful","Unsuccessful"),"🔒 BLOCKED — Wrong Code")),"Pending")</f>
        <v>Pending</v>
      </c>
      <c r="K167" s="83" t="str">
        <f t="shared" ca="1" si="14"/>
        <v>—</v>
      </c>
      <c r="L167" s="84"/>
    </row>
    <row r="168" spans="1:12" ht="15" customHeight="1" x14ac:dyDescent="0.25">
      <c r="A168" s="85"/>
      <c r="B168" s="41" t="str">
        <f>IF(A168="","",IFERROR(VLOOKUP(A168,DB_Customers!$A:$D,4,0),"❌ Account Not Found"))</f>
        <v/>
      </c>
      <c r="C168" s="86" t="str">
        <f>IF(A168="","",IFERROR(VLOOKUP(A168,DB_Customers!$A:$N,14,0),"❌ Acct Not Found"))</f>
        <v/>
      </c>
      <c r="D168" s="87" t="str">
        <f t="shared" ca="1" si="12"/>
        <v/>
      </c>
      <c r="E168" s="94"/>
      <c r="F168" s="41"/>
      <c r="G168" s="96" t="str">
        <f t="shared" si="13"/>
        <v/>
      </c>
      <c r="H168" s="43" t="s">
        <v>139</v>
      </c>
      <c r="I168" s="81"/>
      <c r="J168" s="89" t="str">
        <f>IF(AND(A168&lt;&gt;"",E168&lt;&gt;""),IF(I168="","⚠️ Enter Code",IF(IFERROR(VLOOKUP(H168,DB_Agents!$B:$I,8,0),"")=I168,IF(C168&gt;=E168,"Successful","Unsuccessful"),"🔒 BLOCKED — Wrong Code")),"Pending")</f>
        <v>Pending</v>
      </c>
      <c r="K168" s="90" t="str">
        <f t="shared" ca="1" si="14"/>
        <v>—</v>
      </c>
      <c r="L168" s="91"/>
    </row>
    <row r="169" spans="1:12" ht="15" customHeight="1" x14ac:dyDescent="0.25">
      <c r="A169" s="76"/>
      <c r="B169" s="37" t="str">
        <f>IF(A169="","",IFERROR(VLOOKUP(A169,DB_Customers!$A:$D,4,0),"❌ Account Not Found"))</f>
        <v/>
      </c>
      <c r="C169" s="77" t="str">
        <f>IF(A169="","",IFERROR(VLOOKUP(A169,DB_Customers!$A:$N,14,0),"❌ Acct Not Found"))</f>
        <v/>
      </c>
      <c r="D169" s="78" t="str">
        <f t="shared" ref="D169:D200" ca="1" si="15">IF(A169="","",TODAY())</f>
        <v/>
      </c>
      <c r="E169" s="94"/>
      <c r="F169" s="37"/>
      <c r="G169" s="95" t="str">
        <f t="shared" ref="G169:G200" si="16">IF(OR(A169="",E169=""),"",IF(C169="","",C169-E169))</f>
        <v/>
      </c>
      <c r="H169" s="39" t="s">
        <v>139</v>
      </c>
      <c r="I169" s="81"/>
      <c r="J169" s="82" t="str">
        <f>IF(AND(A169&lt;&gt;"",E169&lt;&gt;""),IF(I169="","⚠️ Enter Code",IF(IFERROR(VLOOKUP(H169,DB_Agents!$B:$I,8,0),"")=I169,IF(C169&gt;=E169,"Successful","Unsuccessful"),"🔒 BLOCKED — Wrong Code")),"Pending")</f>
        <v>Pending</v>
      </c>
      <c r="K169" s="83" t="str">
        <f t="shared" ref="K169:K200" ca="1" si="17">IF(J169="Successful",TEXT(TODAY(),"YYYY-MM-DD")&amp;" Auto","—")</f>
        <v>—</v>
      </c>
      <c r="L169" s="84"/>
    </row>
    <row r="170" spans="1:12" ht="15" customHeight="1" x14ac:dyDescent="0.25">
      <c r="A170" s="85"/>
      <c r="B170" s="41" t="str">
        <f>IF(A170="","",IFERROR(VLOOKUP(A170,DB_Customers!$A:$D,4,0),"❌ Account Not Found"))</f>
        <v/>
      </c>
      <c r="C170" s="86" t="str">
        <f>IF(A170="","",IFERROR(VLOOKUP(A170,DB_Customers!$A:$N,14,0),"❌ Acct Not Found"))</f>
        <v/>
      </c>
      <c r="D170" s="87" t="str">
        <f t="shared" ca="1" si="15"/>
        <v/>
      </c>
      <c r="E170" s="94"/>
      <c r="F170" s="41"/>
      <c r="G170" s="96" t="str">
        <f t="shared" si="16"/>
        <v/>
      </c>
      <c r="H170" s="43" t="s">
        <v>139</v>
      </c>
      <c r="I170" s="81"/>
      <c r="J170" s="89" t="str">
        <f>IF(AND(A170&lt;&gt;"",E170&lt;&gt;""),IF(I170="","⚠️ Enter Code",IF(IFERROR(VLOOKUP(H170,DB_Agents!$B:$I,8,0),"")=I170,IF(C170&gt;=E170,"Successful","Unsuccessful"),"🔒 BLOCKED — Wrong Code")),"Pending")</f>
        <v>Pending</v>
      </c>
      <c r="K170" s="90" t="str">
        <f t="shared" ca="1" si="17"/>
        <v>—</v>
      </c>
      <c r="L170" s="91"/>
    </row>
    <row r="171" spans="1:12" ht="15" customHeight="1" x14ac:dyDescent="0.25">
      <c r="A171" s="76"/>
      <c r="B171" s="37" t="str">
        <f>IF(A171="","",IFERROR(VLOOKUP(A171,DB_Customers!$A:$D,4,0),"❌ Account Not Found"))</f>
        <v/>
      </c>
      <c r="C171" s="77" t="str">
        <f>IF(A171="","",IFERROR(VLOOKUP(A171,DB_Customers!$A:$N,14,0),"❌ Acct Not Found"))</f>
        <v/>
      </c>
      <c r="D171" s="78" t="str">
        <f t="shared" ca="1" si="15"/>
        <v/>
      </c>
      <c r="E171" s="94"/>
      <c r="F171" s="37"/>
      <c r="G171" s="95" t="str">
        <f t="shared" si="16"/>
        <v/>
      </c>
      <c r="H171" s="39" t="s">
        <v>139</v>
      </c>
      <c r="I171" s="81"/>
      <c r="J171" s="82" t="str">
        <f>IF(AND(A171&lt;&gt;"",E171&lt;&gt;""),IF(I171="","⚠️ Enter Code",IF(IFERROR(VLOOKUP(H171,DB_Agents!$B:$I,8,0),"")=I171,IF(C171&gt;=E171,"Successful","Unsuccessful"),"🔒 BLOCKED — Wrong Code")),"Pending")</f>
        <v>Pending</v>
      </c>
      <c r="K171" s="83" t="str">
        <f t="shared" ca="1" si="17"/>
        <v>—</v>
      </c>
      <c r="L171" s="84"/>
    </row>
    <row r="172" spans="1:12" ht="15" customHeight="1" x14ac:dyDescent="0.25">
      <c r="A172" s="85"/>
      <c r="B172" s="41" t="str">
        <f>IF(A172="","",IFERROR(VLOOKUP(A172,DB_Customers!$A:$D,4,0),"❌ Account Not Found"))</f>
        <v/>
      </c>
      <c r="C172" s="86" t="str">
        <f>IF(A172="","",IFERROR(VLOOKUP(A172,DB_Customers!$A:$N,14,0),"❌ Acct Not Found"))</f>
        <v/>
      </c>
      <c r="D172" s="87" t="str">
        <f t="shared" ca="1" si="15"/>
        <v/>
      </c>
      <c r="E172" s="94"/>
      <c r="F172" s="41"/>
      <c r="G172" s="96" t="str">
        <f t="shared" si="16"/>
        <v/>
      </c>
      <c r="H172" s="43" t="s">
        <v>139</v>
      </c>
      <c r="I172" s="81"/>
      <c r="J172" s="89" t="str">
        <f>IF(AND(A172&lt;&gt;"",E172&lt;&gt;""),IF(I172="","⚠️ Enter Code",IF(IFERROR(VLOOKUP(H172,DB_Agents!$B:$I,8,0),"")=I172,IF(C172&gt;=E172,"Successful","Unsuccessful"),"🔒 BLOCKED — Wrong Code")),"Pending")</f>
        <v>Pending</v>
      </c>
      <c r="K172" s="90" t="str">
        <f t="shared" ca="1" si="17"/>
        <v>—</v>
      </c>
      <c r="L172" s="91"/>
    </row>
    <row r="173" spans="1:12" ht="15" customHeight="1" x14ac:dyDescent="0.25">
      <c r="A173" s="76"/>
      <c r="B173" s="37" t="str">
        <f>IF(A173="","",IFERROR(VLOOKUP(A173,DB_Customers!$A:$D,4,0),"❌ Account Not Found"))</f>
        <v/>
      </c>
      <c r="C173" s="77" t="str">
        <f>IF(A173="","",IFERROR(VLOOKUP(A173,DB_Customers!$A:$N,14,0),"❌ Acct Not Found"))</f>
        <v/>
      </c>
      <c r="D173" s="78" t="str">
        <f t="shared" ca="1" si="15"/>
        <v/>
      </c>
      <c r="E173" s="94"/>
      <c r="F173" s="37"/>
      <c r="G173" s="95" t="str">
        <f t="shared" si="16"/>
        <v/>
      </c>
      <c r="H173" s="39" t="s">
        <v>139</v>
      </c>
      <c r="I173" s="81"/>
      <c r="J173" s="82" t="str">
        <f>IF(AND(A173&lt;&gt;"",E173&lt;&gt;""),IF(I173="","⚠️ Enter Code",IF(IFERROR(VLOOKUP(H173,DB_Agents!$B:$I,8,0),"")=I173,IF(C173&gt;=E173,"Successful","Unsuccessful"),"🔒 BLOCKED — Wrong Code")),"Pending")</f>
        <v>Pending</v>
      </c>
      <c r="K173" s="83" t="str">
        <f t="shared" ca="1" si="17"/>
        <v>—</v>
      </c>
      <c r="L173" s="84"/>
    </row>
    <row r="174" spans="1:12" ht="15" customHeight="1" x14ac:dyDescent="0.25">
      <c r="A174" s="85"/>
      <c r="B174" s="41" t="str">
        <f>IF(A174="","",IFERROR(VLOOKUP(A174,DB_Customers!$A:$D,4,0),"❌ Account Not Found"))</f>
        <v/>
      </c>
      <c r="C174" s="86" t="str">
        <f>IF(A174="","",IFERROR(VLOOKUP(A174,DB_Customers!$A:$N,14,0),"❌ Acct Not Found"))</f>
        <v/>
      </c>
      <c r="D174" s="87" t="str">
        <f t="shared" ca="1" si="15"/>
        <v/>
      </c>
      <c r="E174" s="94"/>
      <c r="F174" s="41"/>
      <c r="G174" s="96" t="str">
        <f t="shared" si="16"/>
        <v/>
      </c>
      <c r="H174" s="43" t="s">
        <v>139</v>
      </c>
      <c r="I174" s="81"/>
      <c r="J174" s="89" t="str">
        <f>IF(AND(A174&lt;&gt;"",E174&lt;&gt;""),IF(I174="","⚠️ Enter Code",IF(IFERROR(VLOOKUP(H174,DB_Agents!$B:$I,8,0),"")=I174,IF(C174&gt;=E174,"Successful","Unsuccessful"),"🔒 BLOCKED — Wrong Code")),"Pending")</f>
        <v>Pending</v>
      </c>
      <c r="K174" s="90" t="str">
        <f t="shared" ca="1" si="17"/>
        <v>—</v>
      </c>
      <c r="L174" s="91"/>
    </row>
    <row r="175" spans="1:12" ht="15" customHeight="1" x14ac:dyDescent="0.25">
      <c r="A175" s="76"/>
      <c r="B175" s="37" t="str">
        <f>IF(A175="","",IFERROR(VLOOKUP(A175,DB_Customers!$A:$D,4,0),"❌ Account Not Found"))</f>
        <v/>
      </c>
      <c r="C175" s="77" t="str">
        <f>IF(A175="","",IFERROR(VLOOKUP(A175,DB_Customers!$A:$N,14,0),"❌ Acct Not Found"))</f>
        <v/>
      </c>
      <c r="D175" s="78" t="str">
        <f t="shared" ca="1" si="15"/>
        <v/>
      </c>
      <c r="E175" s="94"/>
      <c r="F175" s="37"/>
      <c r="G175" s="95" t="str">
        <f t="shared" si="16"/>
        <v/>
      </c>
      <c r="H175" s="39" t="s">
        <v>139</v>
      </c>
      <c r="I175" s="81"/>
      <c r="J175" s="82" t="str">
        <f>IF(AND(A175&lt;&gt;"",E175&lt;&gt;""),IF(I175="","⚠️ Enter Code",IF(IFERROR(VLOOKUP(H175,DB_Agents!$B:$I,8,0),"")=I175,IF(C175&gt;=E175,"Successful","Unsuccessful"),"🔒 BLOCKED — Wrong Code")),"Pending")</f>
        <v>Pending</v>
      </c>
      <c r="K175" s="83" t="str">
        <f t="shared" ca="1" si="17"/>
        <v>—</v>
      </c>
      <c r="L175" s="84"/>
    </row>
    <row r="176" spans="1:12" ht="15" customHeight="1" x14ac:dyDescent="0.25">
      <c r="A176" s="85"/>
      <c r="B176" s="41" t="str">
        <f>IF(A176="","",IFERROR(VLOOKUP(A176,DB_Customers!$A:$D,4,0),"❌ Account Not Found"))</f>
        <v/>
      </c>
      <c r="C176" s="86" t="str">
        <f>IF(A176="","",IFERROR(VLOOKUP(A176,DB_Customers!$A:$N,14,0),"❌ Acct Not Found"))</f>
        <v/>
      </c>
      <c r="D176" s="87" t="str">
        <f t="shared" ca="1" si="15"/>
        <v/>
      </c>
      <c r="E176" s="94"/>
      <c r="F176" s="41"/>
      <c r="G176" s="96" t="str">
        <f t="shared" si="16"/>
        <v/>
      </c>
      <c r="H176" s="43" t="s">
        <v>139</v>
      </c>
      <c r="I176" s="81"/>
      <c r="J176" s="89" t="str">
        <f>IF(AND(A176&lt;&gt;"",E176&lt;&gt;""),IF(I176="","⚠️ Enter Code",IF(IFERROR(VLOOKUP(H176,DB_Agents!$B:$I,8,0),"")=I176,IF(C176&gt;=E176,"Successful","Unsuccessful"),"🔒 BLOCKED — Wrong Code")),"Pending")</f>
        <v>Pending</v>
      </c>
      <c r="K176" s="90" t="str">
        <f t="shared" ca="1" si="17"/>
        <v>—</v>
      </c>
      <c r="L176" s="91"/>
    </row>
    <row r="177" spans="1:12" ht="15" customHeight="1" x14ac:dyDescent="0.25">
      <c r="A177" s="76"/>
      <c r="B177" s="37" t="str">
        <f>IF(A177="","",IFERROR(VLOOKUP(A177,DB_Customers!$A:$D,4,0),"❌ Account Not Found"))</f>
        <v/>
      </c>
      <c r="C177" s="77" t="str">
        <f>IF(A177="","",IFERROR(VLOOKUP(A177,DB_Customers!$A:$N,14,0),"❌ Acct Not Found"))</f>
        <v/>
      </c>
      <c r="D177" s="78" t="str">
        <f t="shared" ca="1" si="15"/>
        <v/>
      </c>
      <c r="E177" s="94"/>
      <c r="F177" s="37"/>
      <c r="G177" s="95" t="str">
        <f t="shared" si="16"/>
        <v/>
      </c>
      <c r="H177" s="39" t="s">
        <v>139</v>
      </c>
      <c r="I177" s="81"/>
      <c r="J177" s="82" t="str">
        <f>IF(AND(A177&lt;&gt;"",E177&lt;&gt;""),IF(I177="","⚠️ Enter Code",IF(IFERROR(VLOOKUP(H177,DB_Agents!$B:$I,8,0),"")=I177,IF(C177&gt;=E177,"Successful","Unsuccessful"),"🔒 BLOCKED — Wrong Code")),"Pending")</f>
        <v>Pending</v>
      </c>
      <c r="K177" s="83" t="str">
        <f t="shared" ca="1" si="17"/>
        <v>—</v>
      </c>
      <c r="L177" s="84"/>
    </row>
    <row r="178" spans="1:12" ht="15" customHeight="1" x14ac:dyDescent="0.25">
      <c r="A178" s="85"/>
      <c r="B178" s="41" t="str">
        <f>IF(A178="","",IFERROR(VLOOKUP(A178,DB_Customers!$A:$D,4,0),"❌ Account Not Found"))</f>
        <v/>
      </c>
      <c r="C178" s="86" t="str">
        <f>IF(A178="","",IFERROR(VLOOKUP(A178,DB_Customers!$A:$N,14,0),"❌ Acct Not Found"))</f>
        <v/>
      </c>
      <c r="D178" s="87" t="str">
        <f t="shared" ca="1" si="15"/>
        <v/>
      </c>
      <c r="E178" s="94"/>
      <c r="F178" s="41"/>
      <c r="G178" s="96" t="str">
        <f t="shared" si="16"/>
        <v/>
      </c>
      <c r="H178" s="43" t="s">
        <v>139</v>
      </c>
      <c r="I178" s="81"/>
      <c r="J178" s="89" t="str">
        <f>IF(AND(A178&lt;&gt;"",E178&lt;&gt;""),IF(I178="","⚠️ Enter Code",IF(IFERROR(VLOOKUP(H178,DB_Agents!$B:$I,8,0),"")=I178,IF(C178&gt;=E178,"Successful","Unsuccessful"),"🔒 BLOCKED — Wrong Code")),"Pending")</f>
        <v>Pending</v>
      </c>
      <c r="K178" s="90" t="str">
        <f t="shared" ca="1" si="17"/>
        <v>—</v>
      </c>
      <c r="L178" s="91"/>
    </row>
    <row r="179" spans="1:12" ht="15" customHeight="1" x14ac:dyDescent="0.25">
      <c r="A179" s="76"/>
      <c r="B179" s="37" t="str">
        <f>IF(A179="","",IFERROR(VLOOKUP(A179,DB_Customers!$A:$D,4,0),"❌ Account Not Found"))</f>
        <v/>
      </c>
      <c r="C179" s="77" t="str">
        <f>IF(A179="","",IFERROR(VLOOKUP(A179,DB_Customers!$A:$N,14,0),"❌ Acct Not Found"))</f>
        <v/>
      </c>
      <c r="D179" s="78" t="str">
        <f t="shared" ca="1" si="15"/>
        <v/>
      </c>
      <c r="E179" s="94"/>
      <c r="F179" s="37"/>
      <c r="G179" s="95" t="str">
        <f t="shared" si="16"/>
        <v/>
      </c>
      <c r="H179" s="39" t="s">
        <v>139</v>
      </c>
      <c r="I179" s="81"/>
      <c r="J179" s="82" t="str">
        <f>IF(AND(A179&lt;&gt;"",E179&lt;&gt;""),IF(I179="","⚠️ Enter Code",IF(IFERROR(VLOOKUP(H179,DB_Agents!$B:$I,8,0),"")=I179,IF(C179&gt;=E179,"Successful","Unsuccessful"),"🔒 BLOCKED — Wrong Code")),"Pending")</f>
        <v>Pending</v>
      </c>
      <c r="K179" s="83" t="str">
        <f t="shared" ca="1" si="17"/>
        <v>—</v>
      </c>
      <c r="L179" s="84"/>
    </row>
    <row r="180" spans="1:12" ht="15" customHeight="1" x14ac:dyDescent="0.25">
      <c r="A180" s="85"/>
      <c r="B180" s="41" t="str">
        <f>IF(A180="","",IFERROR(VLOOKUP(A180,DB_Customers!$A:$D,4,0),"❌ Account Not Found"))</f>
        <v/>
      </c>
      <c r="C180" s="86" t="str">
        <f>IF(A180="","",IFERROR(VLOOKUP(A180,DB_Customers!$A:$N,14,0),"❌ Acct Not Found"))</f>
        <v/>
      </c>
      <c r="D180" s="87" t="str">
        <f t="shared" ca="1" si="15"/>
        <v/>
      </c>
      <c r="E180" s="94"/>
      <c r="F180" s="41"/>
      <c r="G180" s="96" t="str">
        <f t="shared" si="16"/>
        <v/>
      </c>
      <c r="H180" s="43" t="s">
        <v>139</v>
      </c>
      <c r="I180" s="81"/>
      <c r="J180" s="89" t="str">
        <f>IF(AND(A180&lt;&gt;"",E180&lt;&gt;""),IF(I180="","⚠️ Enter Code",IF(IFERROR(VLOOKUP(H180,DB_Agents!$B:$I,8,0),"")=I180,IF(C180&gt;=E180,"Successful","Unsuccessful"),"🔒 BLOCKED — Wrong Code")),"Pending")</f>
        <v>Pending</v>
      </c>
      <c r="K180" s="90" t="str">
        <f t="shared" ca="1" si="17"/>
        <v>—</v>
      </c>
      <c r="L180" s="91"/>
    </row>
    <row r="181" spans="1:12" ht="15" customHeight="1" x14ac:dyDescent="0.25">
      <c r="A181" s="76"/>
      <c r="B181" s="37" t="str">
        <f>IF(A181="","",IFERROR(VLOOKUP(A181,DB_Customers!$A:$D,4,0),"❌ Account Not Found"))</f>
        <v/>
      </c>
      <c r="C181" s="77" t="str">
        <f>IF(A181="","",IFERROR(VLOOKUP(A181,DB_Customers!$A:$N,14,0),"❌ Acct Not Found"))</f>
        <v/>
      </c>
      <c r="D181" s="78" t="str">
        <f t="shared" ca="1" si="15"/>
        <v/>
      </c>
      <c r="E181" s="94"/>
      <c r="F181" s="37"/>
      <c r="G181" s="95" t="str">
        <f t="shared" si="16"/>
        <v/>
      </c>
      <c r="H181" s="39" t="s">
        <v>139</v>
      </c>
      <c r="I181" s="81"/>
      <c r="J181" s="82" t="str">
        <f>IF(AND(A181&lt;&gt;"",E181&lt;&gt;""),IF(I181="","⚠️ Enter Code",IF(IFERROR(VLOOKUP(H181,DB_Agents!$B:$I,8,0),"")=I181,IF(C181&gt;=E181,"Successful","Unsuccessful"),"🔒 BLOCKED — Wrong Code")),"Pending")</f>
        <v>Pending</v>
      </c>
      <c r="K181" s="83" t="str">
        <f t="shared" ca="1" si="17"/>
        <v>—</v>
      </c>
      <c r="L181" s="84"/>
    </row>
    <row r="182" spans="1:12" ht="15" customHeight="1" x14ac:dyDescent="0.25">
      <c r="A182" s="85"/>
      <c r="B182" s="41" t="str">
        <f>IF(A182="","",IFERROR(VLOOKUP(A182,DB_Customers!$A:$D,4,0),"❌ Account Not Found"))</f>
        <v/>
      </c>
      <c r="C182" s="86" t="str">
        <f>IF(A182="","",IFERROR(VLOOKUP(A182,DB_Customers!$A:$N,14,0),"❌ Acct Not Found"))</f>
        <v/>
      </c>
      <c r="D182" s="87" t="str">
        <f t="shared" ca="1" si="15"/>
        <v/>
      </c>
      <c r="E182" s="94"/>
      <c r="F182" s="41"/>
      <c r="G182" s="96" t="str">
        <f t="shared" si="16"/>
        <v/>
      </c>
      <c r="H182" s="43" t="s">
        <v>139</v>
      </c>
      <c r="I182" s="81"/>
      <c r="J182" s="89" t="str">
        <f>IF(AND(A182&lt;&gt;"",E182&lt;&gt;""),IF(I182="","⚠️ Enter Code",IF(IFERROR(VLOOKUP(H182,DB_Agents!$B:$I,8,0),"")=I182,IF(C182&gt;=E182,"Successful","Unsuccessful"),"🔒 BLOCKED — Wrong Code")),"Pending")</f>
        <v>Pending</v>
      </c>
      <c r="K182" s="90" t="str">
        <f t="shared" ca="1" si="17"/>
        <v>—</v>
      </c>
      <c r="L182" s="91"/>
    </row>
    <row r="183" spans="1:12" ht="15" customHeight="1" x14ac:dyDescent="0.25">
      <c r="A183" s="76"/>
      <c r="B183" s="37" t="str">
        <f>IF(A183="","",IFERROR(VLOOKUP(A183,DB_Customers!$A:$D,4,0),"❌ Account Not Found"))</f>
        <v/>
      </c>
      <c r="C183" s="77" t="str">
        <f>IF(A183="","",IFERROR(VLOOKUP(A183,DB_Customers!$A:$N,14,0),"❌ Acct Not Found"))</f>
        <v/>
      </c>
      <c r="D183" s="78" t="str">
        <f t="shared" ca="1" si="15"/>
        <v/>
      </c>
      <c r="E183" s="94"/>
      <c r="F183" s="37"/>
      <c r="G183" s="95" t="str">
        <f t="shared" si="16"/>
        <v/>
      </c>
      <c r="H183" s="39" t="s">
        <v>139</v>
      </c>
      <c r="I183" s="81"/>
      <c r="J183" s="82" t="str">
        <f>IF(AND(A183&lt;&gt;"",E183&lt;&gt;""),IF(I183="","⚠️ Enter Code",IF(IFERROR(VLOOKUP(H183,DB_Agents!$B:$I,8,0),"")=I183,IF(C183&gt;=E183,"Successful","Unsuccessful"),"🔒 BLOCKED — Wrong Code")),"Pending")</f>
        <v>Pending</v>
      </c>
      <c r="K183" s="83" t="str">
        <f t="shared" ca="1" si="17"/>
        <v>—</v>
      </c>
      <c r="L183" s="84"/>
    </row>
    <row r="184" spans="1:12" ht="15" customHeight="1" x14ac:dyDescent="0.25">
      <c r="A184" s="85"/>
      <c r="B184" s="41" t="str">
        <f>IF(A184="","",IFERROR(VLOOKUP(A184,DB_Customers!$A:$D,4,0),"❌ Account Not Found"))</f>
        <v/>
      </c>
      <c r="C184" s="86" t="str">
        <f>IF(A184="","",IFERROR(VLOOKUP(A184,DB_Customers!$A:$N,14,0),"❌ Acct Not Found"))</f>
        <v/>
      </c>
      <c r="D184" s="87" t="str">
        <f t="shared" ca="1" si="15"/>
        <v/>
      </c>
      <c r="E184" s="94"/>
      <c r="F184" s="41"/>
      <c r="G184" s="96" t="str">
        <f t="shared" si="16"/>
        <v/>
      </c>
      <c r="H184" s="43" t="s">
        <v>139</v>
      </c>
      <c r="I184" s="81"/>
      <c r="J184" s="89" t="str">
        <f>IF(AND(A184&lt;&gt;"",E184&lt;&gt;""),IF(I184="","⚠️ Enter Code",IF(IFERROR(VLOOKUP(H184,DB_Agents!$B:$I,8,0),"")=I184,IF(C184&gt;=E184,"Successful","Unsuccessful"),"🔒 BLOCKED — Wrong Code")),"Pending")</f>
        <v>Pending</v>
      </c>
      <c r="K184" s="90" t="str">
        <f t="shared" ca="1" si="17"/>
        <v>—</v>
      </c>
      <c r="L184" s="91"/>
    </row>
    <row r="185" spans="1:12" ht="15" customHeight="1" x14ac:dyDescent="0.25">
      <c r="A185" s="76"/>
      <c r="B185" s="37" t="str">
        <f>IF(A185="","",IFERROR(VLOOKUP(A185,DB_Customers!$A:$D,4,0),"❌ Account Not Found"))</f>
        <v/>
      </c>
      <c r="C185" s="77" t="str">
        <f>IF(A185="","",IFERROR(VLOOKUP(A185,DB_Customers!$A:$N,14,0),"❌ Acct Not Found"))</f>
        <v/>
      </c>
      <c r="D185" s="78" t="str">
        <f t="shared" ca="1" si="15"/>
        <v/>
      </c>
      <c r="E185" s="94"/>
      <c r="F185" s="37"/>
      <c r="G185" s="95" t="str">
        <f t="shared" si="16"/>
        <v/>
      </c>
      <c r="H185" s="39" t="s">
        <v>139</v>
      </c>
      <c r="I185" s="81"/>
      <c r="J185" s="82" t="str">
        <f>IF(AND(A185&lt;&gt;"",E185&lt;&gt;""),IF(I185="","⚠️ Enter Code",IF(IFERROR(VLOOKUP(H185,DB_Agents!$B:$I,8,0),"")=I185,IF(C185&gt;=E185,"Successful","Unsuccessful"),"🔒 BLOCKED — Wrong Code")),"Pending")</f>
        <v>Pending</v>
      </c>
      <c r="K185" s="83" t="str">
        <f t="shared" ca="1" si="17"/>
        <v>—</v>
      </c>
      <c r="L185" s="84"/>
    </row>
    <row r="186" spans="1:12" ht="15" customHeight="1" x14ac:dyDescent="0.25">
      <c r="A186" s="85"/>
      <c r="B186" s="41" t="str">
        <f>IF(A186="","",IFERROR(VLOOKUP(A186,DB_Customers!$A:$D,4,0),"❌ Account Not Found"))</f>
        <v/>
      </c>
      <c r="C186" s="86" t="str">
        <f>IF(A186="","",IFERROR(VLOOKUP(A186,DB_Customers!$A:$N,14,0),"❌ Acct Not Found"))</f>
        <v/>
      </c>
      <c r="D186" s="87" t="str">
        <f t="shared" ca="1" si="15"/>
        <v/>
      </c>
      <c r="E186" s="94"/>
      <c r="F186" s="41"/>
      <c r="G186" s="96" t="str">
        <f t="shared" si="16"/>
        <v/>
      </c>
      <c r="H186" s="43" t="s">
        <v>139</v>
      </c>
      <c r="I186" s="81"/>
      <c r="J186" s="89" t="str">
        <f>IF(AND(A186&lt;&gt;"",E186&lt;&gt;""),IF(I186="","⚠️ Enter Code",IF(IFERROR(VLOOKUP(H186,DB_Agents!$B:$I,8,0),"")=I186,IF(C186&gt;=E186,"Successful","Unsuccessful"),"🔒 BLOCKED — Wrong Code")),"Pending")</f>
        <v>Pending</v>
      </c>
      <c r="K186" s="90" t="str">
        <f t="shared" ca="1" si="17"/>
        <v>—</v>
      </c>
      <c r="L186" s="91"/>
    </row>
    <row r="187" spans="1:12" ht="15" customHeight="1" x14ac:dyDescent="0.25">
      <c r="A187" s="76"/>
      <c r="B187" s="37" t="str">
        <f>IF(A187="","",IFERROR(VLOOKUP(A187,DB_Customers!$A:$D,4,0),"❌ Account Not Found"))</f>
        <v/>
      </c>
      <c r="C187" s="77" t="str">
        <f>IF(A187="","",IFERROR(VLOOKUP(A187,DB_Customers!$A:$N,14,0),"❌ Acct Not Found"))</f>
        <v/>
      </c>
      <c r="D187" s="78" t="str">
        <f t="shared" ca="1" si="15"/>
        <v/>
      </c>
      <c r="E187" s="94"/>
      <c r="F187" s="37"/>
      <c r="G187" s="95" t="str">
        <f t="shared" si="16"/>
        <v/>
      </c>
      <c r="H187" s="39" t="s">
        <v>139</v>
      </c>
      <c r="I187" s="81"/>
      <c r="J187" s="82" t="str">
        <f>IF(AND(A187&lt;&gt;"",E187&lt;&gt;""),IF(I187="","⚠️ Enter Code",IF(IFERROR(VLOOKUP(H187,DB_Agents!$B:$I,8,0),"")=I187,IF(C187&gt;=E187,"Successful","Unsuccessful"),"🔒 BLOCKED — Wrong Code")),"Pending")</f>
        <v>Pending</v>
      </c>
      <c r="K187" s="83" t="str">
        <f t="shared" ca="1" si="17"/>
        <v>—</v>
      </c>
      <c r="L187" s="84"/>
    </row>
    <row r="188" spans="1:12" ht="15" customHeight="1" x14ac:dyDescent="0.25">
      <c r="A188" s="85"/>
      <c r="B188" s="41" t="str">
        <f>IF(A188="","",IFERROR(VLOOKUP(A188,DB_Customers!$A:$D,4,0),"❌ Account Not Found"))</f>
        <v/>
      </c>
      <c r="C188" s="86" t="str">
        <f>IF(A188="","",IFERROR(VLOOKUP(A188,DB_Customers!$A:$N,14,0),"❌ Acct Not Found"))</f>
        <v/>
      </c>
      <c r="D188" s="87" t="str">
        <f t="shared" ca="1" si="15"/>
        <v/>
      </c>
      <c r="E188" s="94"/>
      <c r="F188" s="41"/>
      <c r="G188" s="96" t="str">
        <f t="shared" si="16"/>
        <v/>
      </c>
      <c r="H188" s="43" t="s">
        <v>139</v>
      </c>
      <c r="I188" s="81"/>
      <c r="J188" s="89" t="str">
        <f>IF(AND(A188&lt;&gt;"",E188&lt;&gt;""),IF(I188="","⚠️ Enter Code",IF(IFERROR(VLOOKUP(H188,DB_Agents!$B:$I,8,0),"")=I188,IF(C188&gt;=E188,"Successful","Unsuccessful"),"🔒 BLOCKED — Wrong Code")),"Pending")</f>
        <v>Pending</v>
      </c>
      <c r="K188" s="90" t="str">
        <f t="shared" ca="1" si="17"/>
        <v>—</v>
      </c>
      <c r="L188" s="91"/>
    </row>
    <row r="189" spans="1:12" ht="15" customHeight="1" x14ac:dyDescent="0.25">
      <c r="A189" s="76"/>
      <c r="B189" s="37" t="str">
        <f>IF(A189="","",IFERROR(VLOOKUP(A189,DB_Customers!$A:$D,4,0),"❌ Account Not Found"))</f>
        <v/>
      </c>
      <c r="C189" s="77" t="str">
        <f>IF(A189="","",IFERROR(VLOOKUP(A189,DB_Customers!$A:$N,14,0),"❌ Acct Not Found"))</f>
        <v/>
      </c>
      <c r="D189" s="78" t="str">
        <f t="shared" ca="1" si="15"/>
        <v/>
      </c>
      <c r="E189" s="94"/>
      <c r="F189" s="37"/>
      <c r="G189" s="95" t="str">
        <f t="shared" si="16"/>
        <v/>
      </c>
      <c r="H189" s="39" t="s">
        <v>139</v>
      </c>
      <c r="I189" s="81"/>
      <c r="J189" s="82" t="str">
        <f>IF(AND(A189&lt;&gt;"",E189&lt;&gt;""),IF(I189="","⚠️ Enter Code",IF(IFERROR(VLOOKUP(H189,DB_Agents!$B:$I,8,0),"")=I189,IF(C189&gt;=E189,"Successful","Unsuccessful"),"🔒 BLOCKED — Wrong Code")),"Pending")</f>
        <v>Pending</v>
      </c>
      <c r="K189" s="83" t="str">
        <f t="shared" ca="1" si="17"/>
        <v>—</v>
      </c>
      <c r="L189" s="84"/>
    </row>
    <row r="190" spans="1:12" ht="15" customHeight="1" x14ac:dyDescent="0.25">
      <c r="A190" s="85"/>
      <c r="B190" s="41" t="str">
        <f>IF(A190="","",IFERROR(VLOOKUP(A190,DB_Customers!$A:$D,4,0),"❌ Account Not Found"))</f>
        <v/>
      </c>
      <c r="C190" s="86" t="str">
        <f>IF(A190="","",IFERROR(VLOOKUP(A190,DB_Customers!$A:$N,14,0),"❌ Acct Not Found"))</f>
        <v/>
      </c>
      <c r="D190" s="87" t="str">
        <f t="shared" ca="1" si="15"/>
        <v/>
      </c>
      <c r="E190" s="94"/>
      <c r="F190" s="41"/>
      <c r="G190" s="96" t="str">
        <f t="shared" si="16"/>
        <v/>
      </c>
      <c r="H190" s="43" t="s">
        <v>139</v>
      </c>
      <c r="I190" s="81"/>
      <c r="J190" s="89" t="str">
        <f>IF(AND(A190&lt;&gt;"",E190&lt;&gt;""),IF(I190="","⚠️ Enter Code",IF(IFERROR(VLOOKUP(H190,DB_Agents!$B:$I,8,0),"")=I190,IF(C190&gt;=E190,"Successful","Unsuccessful"),"🔒 BLOCKED — Wrong Code")),"Pending")</f>
        <v>Pending</v>
      </c>
      <c r="K190" s="90" t="str">
        <f t="shared" ca="1" si="17"/>
        <v>—</v>
      </c>
      <c r="L190" s="91"/>
    </row>
    <row r="191" spans="1:12" ht="15" customHeight="1" x14ac:dyDescent="0.25">
      <c r="A191" s="76"/>
      <c r="B191" s="37" t="str">
        <f>IF(A191="","",IFERROR(VLOOKUP(A191,DB_Customers!$A:$D,4,0),"❌ Account Not Found"))</f>
        <v/>
      </c>
      <c r="C191" s="77" t="str">
        <f>IF(A191="","",IFERROR(VLOOKUP(A191,DB_Customers!$A:$N,14,0),"❌ Acct Not Found"))</f>
        <v/>
      </c>
      <c r="D191" s="78" t="str">
        <f t="shared" ca="1" si="15"/>
        <v/>
      </c>
      <c r="E191" s="94"/>
      <c r="F191" s="37"/>
      <c r="G191" s="95" t="str">
        <f t="shared" si="16"/>
        <v/>
      </c>
      <c r="H191" s="39" t="s">
        <v>139</v>
      </c>
      <c r="I191" s="81"/>
      <c r="J191" s="82" t="str">
        <f>IF(AND(A191&lt;&gt;"",E191&lt;&gt;""),IF(I191="","⚠️ Enter Code",IF(IFERROR(VLOOKUP(H191,DB_Agents!$B:$I,8,0),"")=I191,IF(C191&gt;=E191,"Successful","Unsuccessful"),"🔒 BLOCKED — Wrong Code")),"Pending")</f>
        <v>Pending</v>
      </c>
      <c r="K191" s="83" t="str">
        <f t="shared" ca="1" si="17"/>
        <v>—</v>
      </c>
      <c r="L191" s="84"/>
    </row>
    <row r="192" spans="1:12" ht="15" customHeight="1" x14ac:dyDescent="0.25">
      <c r="A192" s="85"/>
      <c r="B192" s="41" t="str">
        <f>IF(A192="","",IFERROR(VLOOKUP(A192,DB_Customers!$A:$D,4,0),"❌ Account Not Found"))</f>
        <v/>
      </c>
      <c r="C192" s="86" t="str">
        <f>IF(A192="","",IFERROR(VLOOKUP(A192,DB_Customers!$A:$N,14,0),"❌ Acct Not Found"))</f>
        <v/>
      </c>
      <c r="D192" s="87" t="str">
        <f t="shared" ca="1" si="15"/>
        <v/>
      </c>
      <c r="E192" s="94"/>
      <c r="F192" s="41"/>
      <c r="G192" s="96" t="str">
        <f t="shared" si="16"/>
        <v/>
      </c>
      <c r="H192" s="43" t="s">
        <v>139</v>
      </c>
      <c r="I192" s="81"/>
      <c r="J192" s="89" t="str">
        <f>IF(AND(A192&lt;&gt;"",E192&lt;&gt;""),IF(I192="","⚠️ Enter Code",IF(IFERROR(VLOOKUP(H192,DB_Agents!$B:$I,8,0),"")=I192,IF(C192&gt;=E192,"Successful","Unsuccessful"),"🔒 BLOCKED — Wrong Code")),"Pending")</f>
        <v>Pending</v>
      </c>
      <c r="K192" s="90" t="str">
        <f t="shared" ca="1" si="17"/>
        <v>—</v>
      </c>
      <c r="L192" s="91"/>
    </row>
    <row r="193" spans="1:12" ht="15" customHeight="1" x14ac:dyDescent="0.25">
      <c r="A193" s="76"/>
      <c r="B193" s="37" t="str">
        <f>IF(A193="","",IFERROR(VLOOKUP(A193,DB_Customers!$A:$D,4,0),"❌ Account Not Found"))</f>
        <v/>
      </c>
      <c r="C193" s="77" t="str">
        <f>IF(A193="","",IFERROR(VLOOKUP(A193,DB_Customers!$A:$N,14,0),"❌ Acct Not Found"))</f>
        <v/>
      </c>
      <c r="D193" s="78" t="str">
        <f t="shared" ca="1" si="15"/>
        <v/>
      </c>
      <c r="E193" s="94"/>
      <c r="F193" s="37"/>
      <c r="G193" s="95" t="str">
        <f t="shared" si="16"/>
        <v/>
      </c>
      <c r="H193" s="39" t="s">
        <v>139</v>
      </c>
      <c r="I193" s="81"/>
      <c r="J193" s="82" t="str">
        <f>IF(AND(A193&lt;&gt;"",E193&lt;&gt;""),IF(I193="","⚠️ Enter Code",IF(IFERROR(VLOOKUP(H193,DB_Agents!$B:$I,8,0),"")=I193,IF(C193&gt;=E193,"Successful","Unsuccessful"),"🔒 BLOCKED — Wrong Code")),"Pending")</f>
        <v>Pending</v>
      </c>
      <c r="K193" s="83" t="str">
        <f t="shared" ca="1" si="17"/>
        <v>—</v>
      </c>
      <c r="L193" s="84"/>
    </row>
    <row r="194" spans="1:12" ht="15" customHeight="1" x14ac:dyDescent="0.25">
      <c r="A194" s="85"/>
      <c r="B194" s="41" t="str">
        <f>IF(A194="","",IFERROR(VLOOKUP(A194,DB_Customers!$A:$D,4,0),"❌ Account Not Found"))</f>
        <v/>
      </c>
      <c r="C194" s="86" t="str">
        <f>IF(A194="","",IFERROR(VLOOKUP(A194,DB_Customers!$A:$N,14,0),"❌ Acct Not Found"))</f>
        <v/>
      </c>
      <c r="D194" s="87" t="str">
        <f t="shared" ca="1" si="15"/>
        <v/>
      </c>
      <c r="E194" s="94"/>
      <c r="F194" s="41"/>
      <c r="G194" s="96" t="str">
        <f t="shared" si="16"/>
        <v/>
      </c>
      <c r="H194" s="43" t="s">
        <v>139</v>
      </c>
      <c r="I194" s="81"/>
      <c r="J194" s="89" t="str">
        <f>IF(AND(A194&lt;&gt;"",E194&lt;&gt;""),IF(I194="","⚠️ Enter Code",IF(IFERROR(VLOOKUP(H194,DB_Agents!$B:$I,8,0),"")=I194,IF(C194&gt;=E194,"Successful","Unsuccessful"),"🔒 BLOCKED — Wrong Code")),"Pending")</f>
        <v>Pending</v>
      </c>
      <c r="K194" s="90" t="str">
        <f t="shared" ca="1" si="17"/>
        <v>—</v>
      </c>
      <c r="L194" s="91"/>
    </row>
    <row r="195" spans="1:12" ht="15" customHeight="1" x14ac:dyDescent="0.25">
      <c r="A195" s="76"/>
      <c r="B195" s="37" t="str">
        <f>IF(A195="","",IFERROR(VLOOKUP(A195,DB_Customers!$A:$D,4,0),"❌ Account Not Found"))</f>
        <v/>
      </c>
      <c r="C195" s="77" t="str">
        <f>IF(A195="","",IFERROR(VLOOKUP(A195,DB_Customers!$A:$N,14,0),"❌ Acct Not Found"))</f>
        <v/>
      </c>
      <c r="D195" s="78" t="str">
        <f t="shared" ca="1" si="15"/>
        <v/>
      </c>
      <c r="E195" s="94"/>
      <c r="F195" s="37"/>
      <c r="G195" s="95" t="str">
        <f t="shared" si="16"/>
        <v/>
      </c>
      <c r="H195" s="39" t="s">
        <v>139</v>
      </c>
      <c r="I195" s="81"/>
      <c r="J195" s="82" t="str">
        <f>IF(AND(A195&lt;&gt;"",E195&lt;&gt;""),IF(I195="","⚠️ Enter Code",IF(IFERROR(VLOOKUP(H195,DB_Agents!$B:$I,8,0),"")=I195,IF(C195&gt;=E195,"Successful","Unsuccessful"),"🔒 BLOCKED — Wrong Code")),"Pending")</f>
        <v>Pending</v>
      </c>
      <c r="K195" s="83" t="str">
        <f t="shared" ca="1" si="17"/>
        <v>—</v>
      </c>
      <c r="L195" s="84"/>
    </row>
    <row r="196" spans="1:12" ht="15" customHeight="1" x14ac:dyDescent="0.25">
      <c r="A196" s="85"/>
      <c r="B196" s="41" t="str">
        <f>IF(A196="","",IFERROR(VLOOKUP(A196,DB_Customers!$A:$D,4,0),"❌ Account Not Found"))</f>
        <v/>
      </c>
      <c r="C196" s="86" t="str">
        <f>IF(A196="","",IFERROR(VLOOKUP(A196,DB_Customers!$A:$N,14,0),"❌ Acct Not Found"))</f>
        <v/>
      </c>
      <c r="D196" s="87" t="str">
        <f t="shared" ca="1" si="15"/>
        <v/>
      </c>
      <c r="E196" s="94"/>
      <c r="F196" s="41"/>
      <c r="G196" s="96" t="str">
        <f t="shared" si="16"/>
        <v/>
      </c>
      <c r="H196" s="43" t="s">
        <v>139</v>
      </c>
      <c r="I196" s="81"/>
      <c r="J196" s="89" t="str">
        <f>IF(AND(A196&lt;&gt;"",E196&lt;&gt;""),IF(I196="","⚠️ Enter Code",IF(IFERROR(VLOOKUP(H196,DB_Agents!$B:$I,8,0),"")=I196,IF(C196&gt;=E196,"Successful","Unsuccessful"),"🔒 BLOCKED — Wrong Code")),"Pending")</f>
        <v>Pending</v>
      </c>
      <c r="K196" s="90" t="str">
        <f t="shared" ca="1" si="17"/>
        <v>—</v>
      </c>
      <c r="L196" s="91"/>
    </row>
    <row r="197" spans="1:12" ht="15" customHeight="1" x14ac:dyDescent="0.25">
      <c r="A197" s="76"/>
      <c r="B197" s="37" t="str">
        <f>IF(A197="","",IFERROR(VLOOKUP(A197,DB_Customers!$A:$D,4,0),"❌ Account Not Found"))</f>
        <v/>
      </c>
      <c r="C197" s="77" t="str">
        <f>IF(A197="","",IFERROR(VLOOKUP(A197,DB_Customers!$A:$N,14,0),"❌ Acct Not Found"))</f>
        <v/>
      </c>
      <c r="D197" s="78" t="str">
        <f t="shared" ca="1" si="15"/>
        <v/>
      </c>
      <c r="E197" s="94"/>
      <c r="F197" s="37"/>
      <c r="G197" s="95" t="str">
        <f t="shared" si="16"/>
        <v/>
      </c>
      <c r="H197" s="39" t="s">
        <v>139</v>
      </c>
      <c r="I197" s="81"/>
      <c r="J197" s="82" t="str">
        <f>IF(AND(A197&lt;&gt;"",E197&lt;&gt;""),IF(I197="","⚠️ Enter Code",IF(IFERROR(VLOOKUP(H197,DB_Agents!$B:$I,8,0),"")=I197,IF(C197&gt;=E197,"Successful","Unsuccessful"),"🔒 BLOCKED — Wrong Code")),"Pending")</f>
        <v>Pending</v>
      </c>
      <c r="K197" s="83" t="str">
        <f t="shared" ca="1" si="17"/>
        <v>—</v>
      </c>
      <c r="L197" s="84"/>
    </row>
    <row r="198" spans="1:12" ht="15" customHeight="1" x14ac:dyDescent="0.25">
      <c r="A198" s="85"/>
      <c r="B198" s="41" t="str">
        <f>IF(A198="","",IFERROR(VLOOKUP(A198,DB_Customers!$A:$D,4,0),"❌ Account Not Found"))</f>
        <v/>
      </c>
      <c r="C198" s="86" t="str">
        <f>IF(A198="","",IFERROR(VLOOKUP(A198,DB_Customers!$A:$N,14,0),"❌ Acct Not Found"))</f>
        <v/>
      </c>
      <c r="D198" s="87" t="str">
        <f t="shared" ca="1" si="15"/>
        <v/>
      </c>
      <c r="E198" s="94"/>
      <c r="F198" s="41"/>
      <c r="G198" s="96" t="str">
        <f t="shared" si="16"/>
        <v/>
      </c>
      <c r="H198" s="43" t="s">
        <v>139</v>
      </c>
      <c r="I198" s="81"/>
      <c r="J198" s="89" t="str">
        <f>IF(AND(A198&lt;&gt;"",E198&lt;&gt;""),IF(I198="","⚠️ Enter Code",IF(IFERROR(VLOOKUP(H198,DB_Agents!$B:$I,8,0),"")=I198,IF(C198&gt;=E198,"Successful","Unsuccessful"),"🔒 BLOCKED — Wrong Code")),"Pending")</f>
        <v>Pending</v>
      </c>
      <c r="K198" s="90" t="str">
        <f t="shared" ca="1" si="17"/>
        <v>—</v>
      </c>
      <c r="L198" s="91"/>
    </row>
    <row r="199" spans="1:12" ht="15" customHeight="1" x14ac:dyDescent="0.25">
      <c r="A199" s="76"/>
      <c r="B199" s="37" t="str">
        <f>IF(A199="","",IFERROR(VLOOKUP(A199,DB_Customers!$A:$D,4,0),"❌ Account Not Found"))</f>
        <v/>
      </c>
      <c r="C199" s="77" t="str">
        <f>IF(A199="","",IFERROR(VLOOKUP(A199,DB_Customers!$A:$N,14,0),"❌ Acct Not Found"))</f>
        <v/>
      </c>
      <c r="D199" s="78" t="str">
        <f t="shared" ca="1" si="15"/>
        <v/>
      </c>
      <c r="E199" s="94"/>
      <c r="F199" s="37"/>
      <c r="G199" s="95" t="str">
        <f t="shared" si="16"/>
        <v/>
      </c>
      <c r="H199" s="39" t="s">
        <v>139</v>
      </c>
      <c r="I199" s="81"/>
      <c r="J199" s="82" t="str">
        <f>IF(AND(A199&lt;&gt;"",E199&lt;&gt;""),IF(I199="","⚠️ Enter Code",IF(IFERROR(VLOOKUP(H199,DB_Agents!$B:$I,8,0),"")=I199,IF(C199&gt;=E199,"Successful","Unsuccessful"),"🔒 BLOCKED — Wrong Code")),"Pending")</f>
        <v>Pending</v>
      </c>
      <c r="K199" s="83" t="str">
        <f t="shared" ca="1" si="17"/>
        <v>—</v>
      </c>
      <c r="L199" s="84"/>
    </row>
    <row r="200" spans="1:12" ht="15" customHeight="1" x14ac:dyDescent="0.25">
      <c r="A200" s="85"/>
      <c r="B200" s="41" t="str">
        <f>IF(A200="","",IFERROR(VLOOKUP(A200,DB_Customers!$A:$D,4,0),"❌ Account Not Found"))</f>
        <v/>
      </c>
      <c r="C200" s="86" t="str">
        <f>IF(A200="","",IFERROR(VLOOKUP(A200,DB_Customers!$A:$N,14,0),"❌ Acct Not Found"))</f>
        <v/>
      </c>
      <c r="D200" s="87" t="str">
        <f t="shared" ca="1" si="15"/>
        <v/>
      </c>
      <c r="E200" s="94"/>
      <c r="F200" s="41"/>
      <c r="G200" s="96" t="str">
        <f t="shared" si="16"/>
        <v/>
      </c>
      <c r="H200" s="43" t="s">
        <v>139</v>
      </c>
      <c r="I200" s="81"/>
      <c r="J200" s="89" t="str">
        <f>IF(AND(A200&lt;&gt;"",E200&lt;&gt;""),IF(I200="","⚠️ Enter Code",IF(IFERROR(VLOOKUP(H200,DB_Agents!$B:$I,8,0),"")=I200,IF(C200&gt;=E200,"Successful","Unsuccessful"),"🔒 BLOCKED — Wrong Code")),"Pending")</f>
        <v>Pending</v>
      </c>
      <c r="K200" s="90" t="str">
        <f t="shared" ca="1" si="17"/>
        <v>—</v>
      </c>
      <c r="L200" s="91"/>
    </row>
    <row r="201" spans="1:12" ht="15" customHeight="1" x14ac:dyDescent="0.25">
      <c r="A201" s="76"/>
      <c r="B201" s="37" t="str">
        <f>IF(A201="","",IFERROR(VLOOKUP(A201,DB_Customers!$A:$D,4,0),"❌ Account Not Found"))</f>
        <v/>
      </c>
      <c r="C201" s="77" t="str">
        <f>IF(A201="","",IFERROR(VLOOKUP(A201,DB_Customers!$A:$N,14,0),"❌ Acct Not Found"))</f>
        <v/>
      </c>
      <c r="D201" s="78" t="str">
        <f t="shared" ref="D201:D208" ca="1" si="18">IF(A201="","",TODAY())</f>
        <v/>
      </c>
      <c r="E201" s="94"/>
      <c r="F201" s="37"/>
      <c r="G201" s="95" t="str">
        <f t="shared" ref="G201:G208" si="19">IF(OR(A201="",E201=""),"",IF(C201="","",C201-E201))</f>
        <v/>
      </c>
      <c r="H201" s="39" t="s">
        <v>139</v>
      </c>
      <c r="I201" s="81"/>
      <c r="J201" s="82" t="str">
        <f>IF(AND(A201&lt;&gt;"",E201&lt;&gt;""),IF(I201="","⚠️ Enter Code",IF(IFERROR(VLOOKUP(H201,DB_Agents!$B:$I,8,0),"")=I201,IF(C201&gt;=E201,"Successful","Unsuccessful"),"🔒 BLOCKED — Wrong Code")),"Pending")</f>
        <v>Pending</v>
      </c>
      <c r="K201" s="83" t="str">
        <f t="shared" ref="K201:K208" ca="1" si="20">IF(J201="Successful",TEXT(TODAY(),"YYYY-MM-DD")&amp;" Auto","—")</f>
        <v>—</v>
      </c>
      <c r="L201" s="84"/>
    </row>
    <row r="202" spans="1:12" ht="15" customHeight="1" x14ac:dyDescent="0.25">
      <c r="A202" s="85"/>
      <c r="B202" s="41" t="str">
        <f>IF(A202="","",IFERROR(VLOOKUP(A202,DB_Customers!$A:$D,4,0),"❌ Account Not Found"))</f>
        <v/>
      </c>
      <c r="C202" s="86" t="str">
        <f>IF(A202="","",IFERROR(VLOOKUP(A202,DB_Customers!$A:$N,14,0),"❌ Acct Not Found"))</f>
        <v/>
      </c>
      <c r="D202" s="87" t="str">
        <f t="shared" ca="1" si="18"/>
        <v/>
      </c>
      <c r="E202" s="94"/>
      <c r="F202" s="41"/>
      <c r="G202" s="96" t="str">
        <f t="shared" si="19"/>
        <v/>
      </c>
      <c r="H202" s="43" t="s">
        <v>139</v>
      </c>
      <c r="I202" s="81"/>
      <c r="J202" s="89" t="str">
        <f>IF(AND(A202&lt;&gt;"",E202&lt;&gt;""),IF(I202="","⚠️ Enter Code",IF(IFERROR(VLOOKUP(H202,DB_Agents!$B:$I,8,0),"")=I202,IF(C202&gt;=E202,"Successful","Unsuccessful"),"🔒 BLOCKED — Wrong Code")),"Pending")</f>
        <v>Pending</v>
      </c>
      <c r="K202" s="90" t="str">
        <f t="shared" ca="1" si="20"/>
        <v>—</v>
      </c>
      <c r="L202" s="91"/>
    </row>
    <row r="203" spans="1:12" ht="15" customHeight="1" x14ac:dyDescent="0.25">
      <c r="A203" s="76"/>
      <c r="B203" s="37" t="str">
        <f>IF(A203="","",IFERROR(VLOOKUP(A203,DB_Customers!$A:$D,4,0),"❌ Account Not Found"))</f>
        <v/>
      </c>
      <c r="C203" s="77" t="str">
        <f>IF(A203="","",IFERROR(VLOOKUP(A203,DB_Customers!$A:$N,14,0),"❌ Acct Not Found"))</f>
        <v/>
      </c>
      <c r="D203" s="78" t="str">
        <f t="shared" ca="1" si="18"/>
        <v/>
      </c>
      <c r="E203" s="94"/>
      <c r="F203" s="37"/>
      <c r="G203" s="95" t="str">
        <f t="shared" si="19"/>
        <v/>
      </c>
      <c r="H203" s="39" t="s">
        <v>139</v>
      </c>
      <c r="I203" s="81"/>
      <c r="J203" s="82" t="str">
        <f>IF(AND(A203&lt;&gt;"",E203&lt;&gt;""),IF(I203="","⚠️ Enter Code",IF(IFERROR(VLOOKUP(H203,DB_Agents!$B:$I,8,0),"")=I203,IF(C203&gt;=E203,"Successful","Unsuccessful"),"🔒 BLOCKED — Wrong Code")),"Pending")</f>
        <v>Pending</v>
      </c>
      <c r="K203" s="83" t="str">
        <f t="shared" ca="1" si="20"/>
        <v>—</v>
      </c>
      <c r="L203" s="84"/>
    </row>
    <row r="204" spans="1:12" ht="15" customHeight="1" x14ac:dyDescent="0.25">
      <c r="A204" s="85"/>
      <c r="B204" s="41" t="str">
        <f>IF(A204="","",IFERROR(VLOOKUP(A204,DB_Customers!$A:$D,4,0),"❌ Account Not Found"))</f>
        <v/>
      </c>
      <c r="C204" s="86" t="str">
        <f>IF(A204="","",IFERROR(VLOOKUP(A204,DB_Customers!$A:$N,14,0),"❌ Acct Not Found"))</f>
        <v/>
      </c>
      <c r="D204" s="87" t="str">
        <f t="shared" ca="1" si="18"/>
        <v/>
      </c>
      <c r="E204" s="94"/>
      <c r="F204" s="41"/>
      <c r="G204" s="96" t="str">
        <f t="shared" si="19"/>
        <v/>
      </c>
      <c r="H204" s="43" t="s">
        <v>139</v>
      </c>
      <c r="I204" s="81"/>
      <c r="J204" s="89" t="str">
        <f>IF(AND(A204&lt;&gt;"",E204&lt;&gt;""),IF(I204="","⚠️ Enter Code",IF(IFERROR(VLOOKUP(H204,DB_Agents!$B:$I,8,0),"")=I204,IF(C204&gt;=E204,"Successful","Unsuccessful"),"🔒 BLOCKED — Wrong Code")),"Pending")</f>
        <v>Pending</v>
      </c>
      <c r="K204" s="90" t="str">
        <f t="shared" ca="1" si="20"/>
        <v>—</v>
      </c>
      <c r="L204" s="91"/>
    </row>
    <row r="205" spans="1:12" ht="15" customHeight="1" x14ac:dyDescent="0.25">
      <c r="A205" s="76"/>
      <c r="B205" s="37" t="str">
        <f>IF(A205="","",IFERROR(VLOOKUP(A205,DB_Customers!$A:$D,4,0),"❌ Account Not Found"))</f>
        <v/>
      </c>
      <c r="C205" s="77" t="str">
        <f>IF(A205="","",IFERROR(VLOOKUP(A205,DB_Customers!$A:$N,14,0),"❌ Acct Not Found"))</f>
        <v/>
      </c>
      <c r="D205" s="78" t="str">
        <f t="shared" ca="1" si="18"/>
        <v/>
      </c>
      <c r="E205" s="94"/>
      <c r="F205" s="37"/>
      <c r="G205" s="95" t="str">
        <f t="shared" si="19"/>
        <v/>
      </c>
      <c r="H205" s="39" t="s">
        <v>139</v>
      </c>
      <c r="I205" s="81"/>
      <c r="J205" s="82" t="str">
        <f>IF(AND(A205&lt;&gt;"",E205&lt;&gt;""),IF(I205="","⚠️ Enter Code",IF(IFERROR(VLOOKUP(H205,DB_Agents!$B:$I,8,0),"")=I205,IF(C205&gt;=E205,"Successful","Unsuccessful"),"🔒 BLOCKED — Wrong Code")),"Pending")</f>
        <v>Pending</v>
      </c>
      <c r="K205" s="83" t="str">
        <f t="shared" ca="1" si="20"/>
        <v>—</v>
      </c>
      <c r="L205" s="84"/>
    </row>
    <row r="206" spans="1:12" ht="15" customHeight="1" x14ac:dyDescent="0.25">
      <c r="A206" s="85"/>
      <c r="B206" s="41" t="str">
        <f>IF(A206="","",IFERROR(VLOOKUP(A206,DB_Customers!$A:$D,4,0),"❌ Account Not Found"))</f>
        <v/>
      </c>
      <c r="C206" s="86" t="str">
        <f>IF(A206="","",IFERROR(VLOOKUP(A206,DB_Customers!$A:$N,14,0),"❌ Acct Not Found"))</f>
        <v/>
      </c>
      <c r="D206" s="87" t="str">
        <f t="shared" ca="1" si="18"/>
        <v/>
      </c>
      <c r="E206" s="94"/>
      <c r="F206" s="41"/>
      <c r="G206" s="96" t="str">
        <f t="shared" si="19"/>
        <v/>
      </c>
      <c r="H206" s="43" t="s">
        <v>139</v>
      </c>
      <c r="I206" s="81"/>
      <c r="J206" s="89" t="str">
        <f>IF(AND(A206&lt;&gt;"",E206&lt;&gt;""),IF(I206="","⚠️ Enter Code",IF(IFERROR(VLOOKUP(H206,DB_Agents!$B:$I,8,0),"")=I206,IF(C206&gt;=E206,"Successful","Unsuccessful"),"🔒 BLOCKED — Wrong Code")),"Pending")</f>
        <v>Pending</v>
      </c>
      <c r="K206" s="90" t="str">
        <f t="shared" ca="1" si="20"/>
        <v>—</v>
      </c>
      <c r="L206" s="91"/>
    </row>
    <row r="207" spans="1:12" ht="15" customHeight="1" x14ac:dyDescent="0.25">
      <c r="A207" s="76"/>
      <c r="B207" s="37" t="str">
        <f>IF(A207="","",IFERROR(VLOOKUP(A207,DB_Customers!$A:$D,4,0),"❌ Account Not Found"))</f>
        <v/>
      </c>
      <c r="C207" s="77" t="str">
        <f>IF(A207="","",IFERROR(VLOOKUP(A207,DB_Customers!$A:$N,14,0),"❌ Acct Not Found"))</f>
        <v/>
      </c>
      <c r="D207" s="78" t="str">
        <f t="shared" ca="1" si="18"/>
        <v/>
      </c>
      <c r="E207" s="94"/>
      <c r="F207" s="37"/>
      <c r="G207" s="95" t="str">
        <f t="shared" si="19"/>
        <v/>
      </c>
      <c r="H207" s="39" t="s">
        <v>139</v>
      </c>
      <c r="I207" s="81"/>
      <c r="J207" s="82" t="str">
        <f>IF(AND(A207&lt;&gt;"",E207&lt;&gt;""),IF(I207="","⚠️ Enter Code",IF(IFERROR(VLOOKUP(H207,DB_Agents!$B:$I,8,0),"")=I207,IF(C207&gt;=E207,"Successful","Unsuccessful"),"🔒 BLOCKED — Wrong Code")),"Pending")</f>
        <v>Pending</v>
      </c>
      <c r="K207" s="83" t="str">
        <f t="shared" ca="1" si="20"/>
        <v>—</v>
      </c>
      <c r="L207" s="84"/>
    </row>
    <row r="208" spans="1:12" ht="15" customHeight="1" x14ac:dyDescent="0.25">
      <c r="A208" s="85"/>
      <c r="B208" s="41" t="str">
        <f>IF(A208="","",IFERROR(VLOOKUP(A208,DB_Customers!$A:$D,4,0),"❌ Account Not Found"))</f>
        <v/>
      </c>
      <c r="C208" s="86" t="str">
        <f>IF(A208="","",IFERROR(VLOOKUP(A208,DB_Customers!$A:$N,14,0),"❌ Acct Not Found"))</f>
        <v/>
      </c>
      <c r="D208" s="87" t="str">
        <f t="shared" ca="1" si="18"/>
        <v/>
      </c>
      <c r="E208" s="94"/>
      <c r="F208" s="41"/>
      <c r="G208" s="96" t="str">
        <f t="shared" si="19"/>
        <v/>
      </c>
      <c r="H208" s="43" t="s">
        <v>139</v>
      </c>
      <c r="I208" s="81"/>
      <c r="J208" s="89" t="str">
        <f>IF(AND(A208&lt;&gt;"",E208&lt;&gt;""),IF(I208="","⚠️ Enter Code",IF(IFERROR(VLOOKUP(H208,DB_Agents!$B:$I,8,0),"")=I208,IF(C208&gt;=E208,"Successful","Unsuccessful"),"🔒 BLOCKED — Wrong Code")),"Pending")</f>
        <v>Pending</v>
      </c>
      <c r="K208" s="90" t="str">
        <f t="shared" ca="1" si="20"/>
        <v>—</v>
      </c>
      <c r="L208" s="91"/>
    </row>
  </sheetData>
  <mergeCells count="8">
    <mergeCell ref="A7:M7"/>
    <mergeCell ref="A4:C4"/>
    <mergeCell ref="A2:M2"/>
    <mergeCell ref="A1:M1"/>
    <mergeCell ref="A5:M5"/>
    <mergeCell ref="D4:F4"/>
    <mergeCell ref="D3:F3"/>
    <mergeCell ref="A3:C3"/>
  </mergeCells>
  <conditionalFormatting sqref="I9:I208">
    <cfRule type="cellIs" dxfId="39" priority="2" operator="equal">
      <formula>"Successful"</formula>
    </cfRule>
    <cfRule type="cellIs" dxfId="38" priority="3" operator="equal">
      <formula>"Unsuccessful"</formula>
    </cfRule>
  </conditionalFormatting>
  <conditionalFormatting sqref="A9:K208">
    <cfRule type="expression" dxfId="37" priority="4">
      <formula>$I9="Unsuccessful"</formula>
    </cfRule>
  </conditionalFormatting>
  <conditionalFormatting sqref="G9:G208">
    <cfRule type="cellIs" dxfId="36" priority="5" operator="lessThan">
      <formula>0</formula>
    </cfRule>
  </conditionalFormatting>
  <dataValidations count="1">
    <dataValidation type="list" sqref="H9:H208" xr:uid="{00000000-0002-0000-1C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5" width="13" customWidth="1"/>
    <col min="6" max="6" width="20" customWidth="1"/>
    <col min="7" max="7" width="9" customWidth="1"/>
    <col min="8" max="8" width="8" customWidth="1"/>
    <col min="9" max="10" width="14" customWidth="1"/>
    <col min="11" max="11" width="18" customWidth="1"/>
    <col min="12" max="12" width="10" customWidth="1"/>
    <col min="13" max="13" width="12" customWidth="1"/>
    <col min="14" max="14" width="18" customWidth="1"/>
  </cols>
  <sheetData>
    <row r="1" spans="1:14" ht="31.5" customHeight="1" x14ac:dyDescent="0.25">
      <c r="A1" s="226" t="s">
        <v>372</v>
      </c>
    </row>
    <row r="2" spans="1:14" ht="19.5" customHeight="1" x14ac:dyDescent="0.25">
      <c r="A2" s="201" t="s">
        <v>2</v>
      </c>
    </row>
    <row r="4" spans="1:14" ht="21.75" customHeight="1" x14ac:dyDescent="0.25">
      <c r="A4" s="97" t="s">
        <v>333</v>
      </c>
    </row>
    <row r="5" spans="1:14" ht="19.5" customHeight="1" x14ac:dyDescent="0.25">
      <c r="A5" s="227" t="s">
        <v>334</v>
      </c>
      <c r="B5" s="202"/>
    </row>
    <row r="6" spans="1:14" ht="19.5" customHeight="1" x14ac:dyDescent="0.25">
      <c r="A6" s="227" t="s">
        <v>335</v>
      </c>
      <c r="B6" s="202"/>
    </row>
    <row r="7" spans="1:14" ht="19.5" customHeight="1" x14ac:dyDescent="0.25">
      <c r="A7" s="227" t="s">
        <v>336</v>
      </c>
      <c r="B7" s="228">
        <v>2.5</v>
      </c>
    </row>
    <row r="8" spans="1:14" ht="19.5" customHeight="1" x14ac:dyDescent="0.25">
      <c r="A8" s="99" t="s">
        <v>337</v>
      </c>
      <c r="B8" s="203" t="str">
        <f>IF(B5="","",B5*B7/100*B6)</f>
        <v/>
      </c>
    </row>
    <row r="9" spans="1:14" ht="19.5" customHeight="1" x14ac:dyDescent="0.25">
      <c r="A9" s="99" t="s">
        <v>338</v>
      </c>
      <c r="B9" s="204" t="str">
        <f>IF(B5="","",B5+(B5*B7/100*B6))</f>
        <v/>
      </c>
    </row>
    <row r="10" spans="1:14" ht="19.5" customHeight="1" x14ac:dyDescent="0.25">
      <c r="A10" s="99" t="s">
        <v>339</v>
      </c>
      <c r="B10" s="204" t="str">
        <f>IFERROR(B9/B6,"")</f>
        <v/>
      </c>
    </row>
    <row r="11" spans="1:14" ht="7.5" customHeight="1" x14ac:dyDescent="0.25"/>
    <row r="12" spans="1:14" ht="21.75" customHeight="1" x14ac:dyDescent="0.25">
      <c r="A12" s="205"/>
    </row>
    <row r="13" spans="1:14" ht="27.95" customHeight="1" x14ac:dyDescent="0.25">
      <c r="A13" s="212" t="s">
        <v>82</v>
      </c>
      <c r="B13" s="212" t="s">
        <v>315</v>
      </c>
      <c r="C13" s="212" t="s">
        <v>77</v>
      </c>
      <c r="D13" s="212" t="s">
        <v>84</v>
      </c>
      <c r="E13" s="212" t="s">
        <v>340</v>
      </c>
      <c r="F13" s="212" t="s">
        <v>8</v>
      </c>
      <c r="G13" s="212" t="s">
        <v>9</v>
      </c>
      <c r="H13" s="212" t="s">
        <v>86</v>
      </c>
      <c r="I13" s="212" t="s">
        <v>341</v>
      </c>
      <c r="J13" s="212" t="s">
        <v>342</v>
      </c>
      <c r="K13" s="212" t="s">
        <v>13</v>
      </c>
      <c r="L13" s="212" t="s">
        <v>14</v>
      </c>
      <c r="M13" s="212" t="s">
        <v>319</v>
      </c>
      <c r="N13" s="212" t="s">
        <v>15</v>
      </c>
    </row>
    <row r="14" spans="1:14" ht="18" customHeight="1" x14ac:dyDescent="0.25">
      <c r="A14" s="229" t="str">
        <f t="shared" ref="A14:A45" si="0">IF(B14="","",IF(C14="❌ Account Not Found","INVALID","LN"&amp;TEXT(D14,"YYYYMMDD")&amp;TEXT(ROW()-13,"0000")))</f>
        <v/>
      </c>
      <c r="B14" s="230"/>
      <c r="C14" s="231" t="str">
        <f>IF(B14="","",IFERROR(VLOOKUP(B14,DB_Customers!$A:$D,4,0),"❌ Account Not Found"))</f>
        <v/>
      </c>
      <c r="D14" s="232" t="str">
        <f t="shared" ref="D14:D45" ca="1" si="1">IF(B14="","",TODAY())</f>
        <v/>
      </c>
      <c r="E14" s="233"/>
      <c r="F14" s="231"/>
      <c r="G14" s="234"/>
      <c r="H14" s="235">
        <v>2.5</v>
      </c>
      <c r="I14" s="236" t="str">
        <f t="shared" ref="I14:I45" si="2">IF(E14="","",E14+(E14*H14/100*G14))</f>
        <v/>
      </c>
      <c r="J14" s="237" t="str">
        <f t="shared" ref="J14:J45" si="3">IFERROR(I14/G14,"")</f>
        <v/>
      </c>
      <c r="K14" s="238" t="str">
        <f>IF(B14="","Pending",IF(M14="","⚠️ Enter Code",IF(IFERROR(VLOOKUP(L14,DB_Agents!$B:$I,8,0),"")=M14,"Pending","🔒 BLOCKED — Wrong Code")))</f>
        <v>Pending</v>
      </c>
      <c r="L14" s="239" t="s">
        <v>139</v>
      </c>
      <c r="M14" s="240"/>
      <c r="N14" s="230"/>
    </row>
    <row r="15" spans="1:14" ht="18" customHeight="1" x14ac:dyDescent="0.25">
      <c r="A15" s="241" t="str">
        <f t="shared" si="0"/>
        <v/>
      </c>
      <c r="B15" s="242"/>
      <c r="C15" s="243" t="str">
        <f>IF(B15="","",IFERROR(VLOOKUP(B15,DB_Customers!$A:$D,4,0),"❌ Account Not Found"))</f>
        <v/>
      </c>
      <c r="D15" s="244" t="str">
        <f t="shared" ca="1" si="1"/>
        <v/>
      </c>
      <c r="E15" s="245"/>
      <c r="F15" s="243"/>
      <c r="G15" s="246"/>
      <c r="H15" s="247">
        <v>2.5</v>
      </c>
      <c r="I15" s="248" t="str">
        <f t="shared" si="2"/>
        <v/>
      </c>
      <c r="J15" s="249" t="str">
        <f t="shared" si="3"/>
        <v/>
      </c>
      <c r="K15" s="250" t="str">
        <f>IF(B15="","Pending",IF(M15="","⚠️ Enter Code",IF(IFERROR(VLOOKUP(L15,DB_Agents!$B:$I,8,0),"")=M15,"Pending","🔒 BLOCKED — Wrong Code")))</f>
        <v>Pending</v>
      </c>
      <c r="L15" s="251" t="s">
        <v>139</v>
      </c>
      <c r="M15" s="252"/>
      <c r="N15" s="242"/>
    </row>
    <row r="16" spans="1:14" ht="18" customHeight="1" x14ac:dyDescent="0.25">
      <c r="A16" s="229" t="str">
        <f t="shared" si="0"/>
        <v/>
      </c>
      <c r="B16" s="230"/>
      <c r="C16" s="231" t="str">
        <f>IF(B16="","",IFERROR(VLOOKUP(B16,DB_Customers!$A:$D,4,0),"❌ Account Not Found"))</f>
        <v/>
      </c>
      <c r="D16" s="232" t="str">
        <f t="shared" ca="1" si="1"/>
        <v/>
      </c>
      <c r="E16" s="233"/>
      <c r="F16" s="231"/>
      <c r="G16" s="234"/>
      <c r="H16" s="235">
        <v>2.5</v>
      </c>
      <c r="I16" s="236" t="str">
        <f t="shared" si="2"/>
        <v/>
      </c>
      <c r="J16" s="237" t="str">
        <f t="shared" si="3"/>
        <v/>
      </c>
      <c r="K16" s="238" t="str">
        <f>IF(B16="","Pending",IF(M16="","⚠️ Enter Code",IF(IFERROR(VLOOKUP(L16,DB_Agents!$B:$I,8,0),"")=M16,"Pending","🔒 BLOCKED — Wrong Code")))</f>
        <v>Pending</v>
      </c>
      <c r="L16" s="239" t="s">
        <v>139</v>
      </c>
      <c r="M16" s="240"/>
      <c r="N16" s="230"/>
    </row>
    <row r="17" spans="1:14" ht="18" customHeight="1" x14ac:dyDescent="0.25">
      <c r="A17" s="241" t="str">
        <f t="shared" si="0"/>
        <v/>
      </c>
      <c r="B17" s="242"/>
      <c r="C17" s="243" t="str">
        <f>IF(B17="","",IFERROR(VLOOKUP(B17,DB_Customers!$A:$D,4,0),"❌ Account Not Found"))</f>
        <v/>
      </c>
      <c r="D17" s="244" t="str">
        <f t="shared" ca="1" si="1"/>
        <v/>
      </c>
      <c r="E17" s="245"/>
      <c r="F17" s="243"/>
      <c r="G17" s="246"/>
      <c r="H17" s="247">
        <v>2.5</v>
      </c>
      <c r="I17" s="248" t="str">
        <f t="shared" si="2"/>
        <v/>
      </c>
      <c r="J17" s="249" t="str">
        <f t="shared" si="3"/>
        <v/>
      </c>
      <c r="K17" s="250" t="str">
        <f>IF(B17="","Pending",IF(M17="","⚠️ Enter Code",IF(IFERROR(VLOOKUP(L17,DB_Agents!$B:$I,8,0),"")=M17,"Pending","🔒 BLOCKED — Wrong Code")))</f>
        <v>Pending</v>
      </c>
      <c r="L17" s="251" t="s">
        <v>139</v>
      </c>
      <c r="M17" s="252"/>
      <c r="N17" s="242"/>
    </row>
    <row r="18" spans="1:14" ht="18" customHeight="1" x14ac:dyDescent="0.25">
      <c r="A18" s="229" t="str">
        <f t="shared" si="0"/>
        <v/>
      </c>
      <c r="B18" s="230"/>
      <c r="C18" s="231" t="str">
        <f>IF(B18="","",IFERROR(VLOOKUP(B18,DB_Customers!$A:$D,4,0),"❌ Account Not Found"))</f>
        <v/>
      </c>
      <c r="D18" s="232" t="str">
        <f t="shared" ca="1" si="1"/>
        <v/>
      </c>
      <c r="E18" s="233"/>
      <c r="F18" s="231"/>
      <c r="G18" s="234"/>
      <c r="H18" s="235">
        <v>2.5</v>
      </c>
      <c r="I18" s="236" t="str">
        <f t="shared" si="2"/>
        <v/>
      </c>
      <c r="J18" s="237" t="str">
        <f t="shared" si="3"/>
        <v/>
      </c>
      <c r="K18" s="238" t="str">
        <f>IF(B18="","Pending",IF(M18="","⚠️ Enter Code",IF(IFERROR(VLOOKUP(L18,DB_Agents!$B:$I,8,0),"")=M18,"Pending","🔒 BLOCKED — Wrong Code")))</f>
        <v>Pending</v>
      </c>
      <c r="L18" s="239" t="s">
        <v>139</v>
      </c>
      <c r="M18" s="240"/>
      <c r="N18" s="230"/>
    </row>
    <row r="19" spans="1:14" ht="18" customHeight="1" x14ac:dyDescent="0.25">
      <c r="A19" s="241" t="str">
        <f t="shared" si="0"/>
        <v/>
      </c>
      <c r="B19" s="242"/>
      <c r="C19" s="243" t="str">
        <f>IF(B19="","",IFERROR(VLOOKUP(B19,DB_Customers!$A:$D,4,0),"❌ Account Not Found"))</f>
        <v/>
      </c>
      <c r="D19" s="244" t="str">
        <f t="shared" ca="1" si="1"/>
        <v/>
      </c>
      <c r="E19" s="245"/>
      <c r="F19" s="243"/>
      <c r="G19" s="246"/>
      <c r="H19" s="247">
        <v>2.5</v>
      </c>
      <c r="I19" s="248" t="str">
        <f t="shared" si="2"/>
        <v/>
      </c>
      <c r="J19" s="249" t="str">
        <f t="shared" si="3"/>
        <v/>
      </c>
      <c r="K19" s="250" t="str">
        <f>IF(B19="","Pending",IF(M19="","⚠️ Enter Code",IF(IFERROR(VLOOKUP(L19,DB_Agents!$B:$I,8,0),"")=M19,"Pending","🔒 BLOCKED — Wrong Code")))</f>
        <v>Pending</v>
      </c>
      <c r="L19" s="251" t="s">
        <v>139</v>
      </c>
      <c r="M19" s="252"/>
      <c r="N19" s="242"/>
    </row>
    <row r="20" spans="1:14" ht="18" customHeight="1" x14ac:dyDescent="0.25">
      <c r="A20" s="229" t="str">
        <f t="shared" si="0"/>
        <v/>
      </c>
      <c r="B20" s="230"/>
      <c r="C20" s="231" t="str">
        <f>IF(B20="","",IFERROR(VLOOKUP(B20,DB_Customers!$A:$D,4,0),"❌ Account Not Found"))</f>
        <v/>
      </c>
      <c r="D20" s="232" t="str">
        <f t="shared" ca="1" si="1"/>
        <v/>
      </c>
      <c r="E20" s="233"/>
      <c r="F20" s="231"/>
      <c r="G20" s="234"/>
      <c r="H20" s="235">
        <v>2.5</v>
      </c>
      <c r="I20" s="236" t="str">
        <f t="shared" si="2"/>
        <v/>
      </c>
      <c r="J20" s="237" t="str">
        <f t="shared" si="3"/>
        <v/>
      </c>
      <c r="K20" s="238" t="str">
        <f>IF(B20="","Pending",IF(M20="","⚠️ Enter Code",IF(IFERROR(VLOOKUP(L20,DB_Agents!$B:$I,8,0),"")=M20,"Pending","🔒 BLOCKED — Wrong Code")))</f>
        <v>Pending</v>
      </c>
      <c r="L20" s="239" t="s">
        <v>139</v>
      </c>
      <c r="M20" s="240"/>
      <c r="N20" s="230"/>
    </row>
    <row r="21" spans="1:14" ht="18" customHeight="1" x14ac:dyDescent="0.25">
      <c r="A21" s="241" t="str">
        <f t="shared" si="0"/>
        <v/>
      </c>
      <c r="B21" s="242"/>
      <c r="C21" s="243" t="str">
        <f>IF(B21="","",IFERROR(VLOOKUP(B21,DB_Customers!$A:$D,4,0),"❌ Account Not Found"))</f>
        <v/>
      </c>
      <c r="D21" s="244" t="str">
        <f t="shared" ca="1" si="1"/>
        <v/>
      </c>
      <c r="E21" s="245"/>
      <c r="F21" s="243"/>
      <c r="G21" s="246"/>
      <c r="H21" s="247">
        <v>2.5</v>
      </c>
      <c r="I21" s="248" t="str">
        <f t="shared" si="2"/>
        <v/>
      </c>
      <c r="J21" s="249" t="str">
        <f t="shared" si="3"/>
        <v/>
      </c>
      <c r="K21" s="250" t="str">
        <f>IF(B21="","Pending",IF(M21="","⚠️ Enter Code",IF(IFERROR(VLOOKUP(L21,DB_Agents!$B:$I,8,0),"")=M21,"Pending","🔒 BLOCKED — Wrong Code")))</f>
        <v>Pending</v>
      </c>
      <c r="L21" s="251" t="s">
        <v>139</v>
      </c>
      <c r="M21" s="252"/>
      <c r="N21" s="242"/>
    </row>
    <row r="22" spans="1:14" ht="18" customHeight="1" x14ac:dyDescent="0.25">
      <c r="A22" s="229" t="str">
        <f t="shared" si="0"/>
        <v/>
      </c>
      <c r="B22" s="230"/>
      <c r="C22" s="231" t="str">
        <f>IF(B22="","",IFERROR(VLOOKUP(B22,DB_Customers!$A:$D,4,0),"❌ Account Not Found"))</f>
        <v/>
      </c>
      <c r="D22" s="232" t="str">
        <f t="shared" ca="1" si="1"/>
        <v/>
      </c>
      <c r="E22" s="233"/>
      <c r="F22" s="231"/>
      <c r="G22" s="234"/>
      <c r="H22" s="235">
        <v>2.5</v>
      </c>
      <c r="I22" s="236" t="str">
        <f t="shared" si="2"/>
        <v/>
      </c>
      <c r="J22" s="237" t="str">
        <f t="shared" si="3"/>
        <v/>
      </c>
      <c r="K22" s="238" t="str">
        <f>IF(B22="","Pending",IF(M22="","⚠️ Enter Code",IF(IFERROR(VLOOKUP(L22,DB_Agents!$B:$I,8,0),"")=M22,"Pending","🔒 BLOCKED — Wrong Code")))</f>
        <v>Pending</v>
      </c>
      <c r="L22" s="239" t="s">
        <v>139</v>
      </c>
      <c r="M22" s="240"/>
      <c r="N22" s="230"/>
    </row>
    <row r="23" spans="1:14" ht="18" customHeight="1" x14ac:dyDescent="0.25">
      <c r="A23" s="241" t="str">
        <f t="shared" si="0"/>
        <v/>
      </c>
      <c r="B23" s="242"/>
      <c r="C23" s="243" t="str">
        <f>IF(B23="","",IFERROR(VLOOKUP(B23,DB_Customers!$A:$D,4,0),"❌ Account Not Found"))</f>
        <v/>
      </c>
      <c r="D23" s="244" t="str">
        <f t="shared" ca="1" si="1"/>
        <v/>
      </c>
      <c r="E23" s="245"/>
      <c r="F23" s="243"/>
      <c r="G23" s="246"/>
      <c r="H23" s="247">
        <v>2.5</v>
      </c>
      <c r="I23" s="248" t="str">
        <f t="shared" si="2"/>
        <v/>
      </c>
      <c r="J23" s="249" t="str">
        <f t="shared" si="3"/>
        <v/>
      </c>
      <c r="K23" s="250" t="str">
        <f>IF(B23="","Pending",IF(M23="","⚠️ Enter Code",IF(IFERROR(VLOOKUP(L23,DB_Agents!$B:$I,8,0),"")=M23,"Pending","🔒 BLOCKED — Wrong Code")))</f>
        <v>Pending</v>
      </c>
      <c r="L23" s="251" t="s">
        <v>139</v>
      </c>
      <c r="M23" s="252"/>
      <c r="N23" s="242"/>
    </row>
    <row r="24" spans="1:14" ht="18" customHeight="1" x14ac:dyDescent="0.25">
      <c r="A24" s="229" t="str">
        <f t="shared" si="0"/>
        <v/>
      </c>
      <c r="B24" s="230"/>
      <c r="C24" s="231" t="str">
        <f>IF(B24="","",IFERROR(VLOOKUP(B24,DB_Customers!$A:$D,4,0),"❌ Account Not Found"))</f>
        <v/>
      </c>
      <c r="D24" s="232" t="str">
        <f t="shared" ca="1" si="1"/>
        <v/>
      </c>
      <c r="E24" s="233"/>
      <c r="F24" s="231"/>
      <c r="G24" s="234"/>
      <c r="H24" s="235">
        <v>2.5</v>
      </c>
      <c r="I24" s="236" t="str">
        <f t="shared" si="2"/>
        <v/>
      </c>
      <c r="J24" s="237" t="str">
        <f t="shared" si="3"/>
        <v/>
      </c>
      <c r="K24" s="238" t="str">
        <f>IF(B24="","Pending",IF(M24="","⚠️ Enter Code",IF(IFERROR(VLOOKUP(L24,DB_Agents!$B:$I,8,0),"")=M24,"Pending","🔒 BLOCKED — Wrong Code")))</f>
        <v>Pending</v>
      </c>
      <c r="L24" s="239" t="s">
        <v>139</v>
      </c>
      <c r="M24" s="240"/>
      <c r="N24" s="230"/>
    </row>
    <row r="25" spans="1:14" ht="18" customHeight="1" x14ac:dyDescent="0.25">
      <c r="A25" s="241" t="str">
        <f t="shared" si="0"/>
        <v/>
      </c>
      <c r="B25" s="242"/>
      <c r="C25" s="243" t="str">
        <f>IF(B25="","",IFERROR(VLOOKUP(B25,DB_Customers!$A:$D,4,0),"❌ Account Not Found"))</f>
        <v/>
      </c>
      <c r="D25" s="244" t="str">
        <f t="shared" ca="1" si="1"/>
        <v/>
      </c>
      <c r="E25" s="245"/>
      <c r="F25" s="243"/>
      <c r="G25" s="246"/>
      <c r="H25" s="247">
        <v>2.5</v>
      </c>
      <c r="I25" s="248" t="str">
        <f t="shared" si="2"/>
        <v/>
      </c>
      <c r="J25" s="249" t="str">
        <f t="shared" si="3"/>
        <v/>
      </c>
      <c r="K25" s="250" t="str">
        <f>IF(B25="","Pending",IF(M25="","⚠️ Enter Code",IF(IFERROR(VLOOKUP(L25,DB_Agents!$B:$I,8,0),"")=M25,"Pending","🔒 BLOCKED — Wrong Code")))</f>
        <v>Pending</v>
      </c>
      <c r="L25" s="251" t="s">
        <v>139</v>
      </c>
      <c r="M25" s="252"/>
      <c r="N25" s="242"/>
    </row>
    <row r="26" spans="1:14" ht="18" customHeight="1" x14ac:dyDescent="0.25">
      <c r="A26" s="229" t="str">
        <f t="shared" si="0"/>
        <v/>
      </c>
      <c r="B26" s="230"/>
      <c r="C26" s="231" t="str">
        <f>IF(B26="","",IFERROR(VLOOKUP(B26,DB_Customers!$A:$D,4,0),"❌ Account Not Found"))</f>
        <v/>
      </c>
      <c r="D26" s="232" t="str">
        <f t="shared" ca="1" si="1"/>
        <v/>
      </c>
      <c r="E26" s="233"/>
      <c r="F26" s="231"/>
      <c r="G26" s="234"/>
      <c r="H26" s="235">
        <v>2.5</v>
      </c>
      <c r="I26" s="236" t="str">
        <f t="shared" si="2"/>
        <v/>
      </c>
      <c r="J26" s="237" t="str">
        <f t="shared" si="3"/>
        <v/>
      </c>
      <c r="K26" s="238" t="str">
        <f>IF(B26="","Pending",IF(M26="","⚠️ Enter Code",IF(IFERROR(VLOOKUP(L26,DB_Agents!$B:$I,8,0),"")=M26,"Pending","🔒 BLOCKED — Wrong Code")))</f>
        <v>Pending</v>
      </c>
      <c r="L26" s="239" t="s">
        <v>139</v>
      </c>
      <c r="M26" s="240"/>
      <c r="N26" s="230"/>
    </row>
    <row r="27" spans="1:14" ht="18" customHeight="1" x14ac:dyDescent="0.25">
      <c r="A27" s="241" t="str">
        <f t="shared" si="0"/>
        <v/>
      </c>
      <c r="B27" s="242"/>
      <c r="C27" s="243" t="str">
        <f>IF(B27="","",IFERROR(VLOOKUP(B27,DB_Customers!$A:$D,4,0),"❌ Account Not Found"))</f>
        <v/>
      </c>
      <c r="D27" s="244" t="str">
        <f t="shared" ca="1" si="1"/>
        <v/>
      </c>
      <c r="E27" s="245"/>
      <c r="F27" s="243"/>
      <c r="G27" s="246"/>
      <c r="H27" s="247">
        <v>2.5</v>
      </c>
      <c r="I27" s="248" t="str">
        <f t="shared" si="2"/>
        <v/>
      </c>
      <c r="J27" s="249" t="str">
        <f t="shared" si="3"/>
        <v/>
      </c>
      <c r="K27" s="250" t="str">
        <f>IF(B27="","Pending",IF(M27="","⚠️ Enter Code",IF(IFERROR(VLOOKUP(L27,DB_Agents!$B:$I,8,0),"")=M27,"Pending","🔒 BLOCKED — Wrong Code")))</f>
        <v>Pending</v>
      </c>
      <c r="L27" s="251" t="s">
        <v>139</v>
      </c>
      <c r="M27" s="252"/>
      <c r="N27" s="242"/>
    </row>
    <row r="28" spans="1:14" ht="18" customHeight="1" x14ac:dyDescent="0.25">
      <c r="A28" s="229" t="str">
        <f t="shared" si="0"/>
        <v/>
      </c>
      <c r="B28" s="230"/>
      <c r="C28" s="231" t="str">
        <f>IF(B28="","",IFERROR(VLOOKUP(B28,DB_Customers!$A:$D,4,0),"❌ Account Not Found"))</f>
        <v/>
      </c>
      <c r="D28" s="232" t="str">
        <f t="shared" ca="1" si="1"/>
        <v/>
      </c>
      <c r="E28" s="233"/>
      <c r="F28" s="231"/>
      <c r="G28" s="234"/>
      <c r="H28" s="235">
        <v>2.5</v>
      </c>
      <c r="I28" s="236" t="str">
        <f t="shared" si="2"/>
        <v/>
      </c>
      <c r="J28" s="237" t="str">
        <f t="shared" si="3"/>
        <v/>
      </c>
      <c r="K28" s="238" t="str">
        <f>IF(B28="","Pending",IF(M28="","⚠️ Enter Code",IF(IFERROR(VLOOKUP(L28,DB_Agents!$B:$I,8,0),"")=M28,"Pending","🔒 BLOCKED — Wrong Code")))</f>
        <v>Pending</v>
      </c>
      <c r="L28" s="239" t="s">
        <v>139</v>
      </c>
      <c r="M28" s="240"/>
      <c r="N28" s="230"/>
    </row>
    <row r="29" spans="1:14" ht="18" customHeight="1" x14ac:dyDescent="0.25">
      <c r="A29" s="241" t="str">
        <f t="shared" si="0"/>
        <v/>
      </c>
      <c r="B29" s="242"/>
      <c r="C29" s="243" t="str">
        <f>IF(B29="","",IFERROR(VLOOKUP(B29,DB_Customers!$A:$D,4,0),"❌ Account Not Found"))</f>
        <v/>
      </c>
      <c r="D29" s="244" t="str">
        <f t="shared" ca="1" si="1"/>
        <v/>
      </c>
      <c r="E29" s="245"/>
      <c r="F29" s="243"/>
      <c r="G29" s="246"/>
      <c r="H29" s="247">
        <v>2.5</v>
      </c>
      <c r="I29" s="248" t="str">
        <f t="shared" si="2"/>
        <v/>
      </c>
      <c r="J29" s="249" t="str">
        <f t="shared" si="3"/>
        <v/>
      </c>
      <c r="K29" s="250" t="str">
        <f>IF(B29="","Pending",IF(M29="","⚠️ Enter Code",IF(IFERROR(VLOOKUP(L29,DB_Agents!$B:$I,8,0),"")=M29,"Pending","🔒 BLOCKED — Wrong Code")))</f>
        <v>Pending</v>
      </c>
      <c r="L29" s="251" t="s">
        <v>139</v>
      </c>
      <c r="M29" s="252"/>
      <c r="N29" s="242"/>
    </row>
    <row r="30" spans="1:14" ht="18" customHeight="1" x14ac:dyDescent="0.25">
      <c r="A30" s="229" t="str">
        <f t="shared" si="0"/>
        <v/>
      </c>
      <c r="B30" s="230"/>
      <c r="C30" s="231" t="str">
        <f>IF(B30="","",IFERROR(VLOOKUP(B30,DB_Customers!$A:$D,4,0),"❌ Account Not Found"))</f>
        <v/>
      </c>
      <c r="D30" s="232" t="str">
        <f t="shared" ca="1" si="1"/>
        <v/>
      </c>
      <c r="E30" s="233"/>
      <c r="F30" s="231"/>
      <c r="G30" s="234"/>
      <c r="H30" s="235">
        <v>2.5</v>
      </c>
      <c r="I30" s="236" t="str">
        <f t="shared" si="2"/>
        <v/>
      </c>
      <c r="J30" s="237" t="str">
        <f t="shared" si="3"/>
        <v/>
      </c>
      <c r="K30" s="238" t="str">
        <f>IF(B30="","Pending",IF(M30="","⚠️ Enter Code",IF(IFERROR(VLOOKUP(L30,DB_Agents!$B:$I,8,0),"")=M30,"Pending","🔒 BLOCKED — Wrong Code")))</f>
        <v>Pending</v>
      </c>
      <c r="L30" s="239" t="s">
        <v>139</v>
      </c>
      <c r="M30" s="240"/>
      <c r="N30" s="230"/>
    </row>
    <row r="31" spans="1:14" ht="18" customHeight="1" x14ac:dyDescent="0.25">
      <c r="A31" s="241" t="str">
        <f t="shared" si="0"/>
        <v/>
      </c>
      <c r="B31" s="242"/>
      <c r="C31" s="243" t="str">
        <f>IF(B31="","",IFERROR(VLOOKUP(B31,DB_Customers!$A:$D,4,0),"❌ Account Not Found"))</f>
        <v/>
      </c>
      <c r="D31" s="244" t="str">
        <f t="shared" ca="1" si="1"/>
        <v/>
      </c>
      <c r="E31" s="245"/>
      <c r="F31" s="243"/>
      <c r="G31" s="246"/>
      <c r="H31" s="247">
        <v>2.5</v>
      </c>
      <c r="I31" s="248" t="str">
        <f t="shared" si="2"/>
        <v/>
      </c>
      <c r="J31" s="249" t="str">
        <f t="shared" si="3"/>
        <v/>
      </c>
      <c r="K31" s="250" t="str">
        <f>IF(B31="","Pending",IF(M31="","⚠️ Enter Code",IF(IFERROR(VLOOKUP(L31,DB_Agents!$B:$I,8,0),"")=M31,"Pending","🔒 BLOCKED — Wrong Code")))</f>
        <v>Pending</v>
      </c>
      <c r="L31" s="251" t="s">
        <v>139</v>
      </c>
      <c r="M31" s="252"/>
      <c r="N31" s="242"/>
    </row>
    <row r="32" spans="1:14" ht="18" customHeight="1" x14ac:dyDescent="0.25">
      <c r="A32" s="229" t="str">
        <f t="shared" si="0"/>
        <v/>
      </c>
      <c r="B32" s="230"/>
      <c r="C32" s="231" t="str">
        <f>IF(B32="","",IFERROR(VLOOKUP(B32,DB_Customers!$A:$D,4,0),"❌ Account Not Found"))</f>
        <v/>
      </c>
      <c r="D32" s="232" t="str">
        <f t="shared" ca="1" si="1"/>
        <v/>
      </c>
      <c r="E32" s="233"/>
      <c r="F32" s="231"/>
      <c r="G32" s="234"/>
      <c r="H32" s="235">
        <v>2.5</v>
      </c>
      <c r="I32" s="236" t="str">
        <f t="shared" si="2"/>
        <v/>
      </c>
      <c r="J32" s="237" t="str">
        <f t="shared" si="3"/>
        <v/>
      </c>
      <c r="K32" s="238" t="str">
        <f>IF(B32="","Pending",IF(M32="","⚠️ Enter Code",IF(IFERROR(VLOOKUP(L32,DB_Agents!$B:$I,8,0),"")=M32,"Pending","🔒 BLOCKED — Wrong Code")))</f>
        <v>Pending</v>
      </c>
      <c r="L32" s="239" t="s">
        <v>139</v>
      </c>
      <c r="M32" s="240"/>
      <c r="N32" s="230"/>
    </row>
    <row r="33" spans="1:14" ht="18" customHeight="1" x14ac:dyDescent="0.25">
      <c r="A33" s="241" t="str">
        <f t="shared" si="0"/>
        <v/>
      </c>
      <c r="B33" s="242"/>
      <c r="C33" s="243" t="str">
        <f>IF(B33="","",IFERROR(VLOOKUP(B33,DB_Customers!$A:$D,4,0),"❌ Account Not Found"))</f>
        <v/>
      </c>
      <c r="D33" s="244" t="str">
        <f t="shared" ca="1" si="1"/>
        <v/>
      </c>
      <c r="E33" s="245"/>
      <c r="F33" s="243"/>
      <c r="G33" s="246"/>
      <c r="H33" s="247">
        <v>2.5</v>
      </c>
      <c r="I33" s="248" t="str">
        <f t="shared" si="2"/>
        <v/>
      </c>
      <c r="J33" s="249" t="str">
        <f t="shared" si="3"/>
        <v/>
      </c>
      <c r="K33" s="250" t="str">
        <f>IF(B33="","Pending",IF(M33="","⚠️ Enter Code",IF(IFERROR(VLOOKUP(L33,DB_Agents!$B:$I,8,0),"")=M33,"Pending","🔒 BLOCKED — Wrong Code")))</f>
        <v>Pending</v>
      </c>
      <c r="L33" s="251" t="s">
        <v>139</v>
      </c>
      <c r="M33" s="252"/>
      <c r="N33" s="242"/>
    </row>
    <row r="34" spans="1:14" ht="18" customHeight="1" x14ac:dyDescent="0.25">
      <c r="A34" s="229" t="str">
        <f t="shared" si="0"/>
        <v/>
      </c>
      <c r="B34" s="230"/>
      <c r="C34" s="231" t="str">
        <f>IF(B34="","",IFERROR(VLOOKUP(B34,DB_Customers!$A:$D,4,0),"❌ Account Not Found"))</f>
        <v/>
      </c>
      <c r="D34" s="232" t="str">
        <f t="shared" ca="1" si="1"/>
        <v/>
      </c>
      <c r="E34" s="233"/>
      <c r="F34" s="231"/>
      <c r="G34" s="234"/>
      <c r="H34" s="235">
        <v>2.5</v>
      </c>
      <c r="I34" s="236" t="str">
        <f t="shared" si="2"/>
        <v/>
      </c>
      <c r="J34" s="237" t="str">
        <f t="shared" si="3"/>
        <v/>
      </c>
      <c r="K34" s="238" t="str">
        <f>IF(B34="","Pending",IF(M34="","⚠️ Enter Code",IF(IFERROR(VLOOKUP(L34,DB_Agents!$B:$I,8,0),"")=M34,"Pending","🔒 BLOCKED — Wrong Code")))</f>
        <v>Pending</v>
      </c>
      <c r="L34" s="239" t="s">
        <v>139</v>
      </c>
      <c r="M34" s="240"/>
      <c r="N34" s="230"/>
    </row>
    <row r="35" spans="1:14" ht="18" customHeight="1" x14ac:dyDescent="0.25">
      <c r="A35" s="241" t="str">
        <f t="shared" si="0"/>
        <v/>
      </c>
      <c r="B35" s="242"/>
      <c r="C35" s="243" t="str">
        <f>IF(B35="","",IFERROR(VLOOKUP(B35,DB_Customers!$A:$D,4,0),"❌ Account Not Found"))</f>
        <v/>
      </c>
      <c r="D35" s="244" t="str">
        <f t="shared" ca="1" si="1"/>
        <v/>
      </c>
      <c r="E35" s="245"/>
      <c r="F35" s="243"/>
      <c r="G35" s="246"/>
      <c r="H35" s="247">
        <v>2.5</v>
      </c>
      <c r="I35" s="248" t="str">
        <f t="shared" si="2"/>
        <v/>
      </c>
      <c r="J35" s="249" t="str">
        <f t="shared" si="3"/>
        <v/>
      </c>
      <c r="K35" s="250" t="str">
        <f>IF(B35="","Pending",IF(M35="","⚠️ Enter Code",IF(IFERROR(VLOOKUP(L35,DB_Agents!$B:$I,8,0),"")=M35,"Pending","🔒 BLOCKED — Wrong Code")))</f>
        <v>Pending</v>
      </c>
      <c r="L35" s="251" t="s">
        <v>139</v>
      </c>
      <c r="M35" s="252"/>
      <c r="N35" s="242"/>
    </row>
    <row r="36" spans="1:14" ht="18" customHeight="1" x14ac:dyDescent="0.25">
      <c r="A36" s="229" t="str">
        <f t="shared" si="0"/>
        <v/>
      </c>
      <c r="B36" s="230"/>
      <c r="C36" s="231" t="str">
        <f>IF(B36="","",IFERROR(VLOOKUP(B36,DB_Customers!$A:$D,4,0),"❌ Account Not Found"))</f>
        <v/>
      </c>
      <c r="D36" s="232" t="str">
        <f t="shared" ca="1" si="1"/>
        <v/>
      </c>
      <c r="E36" s="233"/>
      <c r="F36" s="231"/>
      <c r="G36" s="234"/>
      <c r="H36" s="235">
        <v>2.5</v>
      </c>
      <c r="I36" s="236" t="str">
        <f t="shared" si="2"/>
        <v/>
      </c>
      <c r="J36" s="237" t="str">
        <f t="shared" si="3"/>
        <v/>
      </c>
      <c r="K36" s="238" t="str">
        <f>IF(B36="","Pending",IF(M36="","⚠️ Enter Code",IF(IFERROR(VLOOKUP(L36,DB_Agents!$B:$I,8,0),"")=M36,"Pending","🔒 BLOCKED — Wrong Code")))</f>
        <v>Pending</v>
      </c>
      <c r="L36" s="239" t="s">
        <v>139</v>
      </c>
      <c r="M36" s="240"/>
      <c r="N36" s="230"/>
    </row>
    <row r="37" spans="1:14" ht="18" customHeight="1" x14ac:dyDescent="0.25">
      <c r="A37" s="241" t="str">
        <f t="shared" si="0"/>
        <v/>
      </c>
      <c r="B37" s="242"/>
      <c r="C37" s="243" t="str">
        <f>IF(B37="","",IFERROR(VLOOKUP(B37,DB_Customers!$A:$D,4,0),"❌ Account Not Found"))</f>
        <v/>
      </c>
      <c r="D37" s="244" t="str">
        <f t="shared" ca="1" si="1"/>
        <v/>
      </c>
      <c r="E37" s="245"/>
      <c r="F37" s="243"/>
      <c r="G37" s="246"/>
      <c r="H37" s="247">
        <v>2.5</v>
      </c>
      <c r="I37" s="248" t="str">
        <f t="shared" si="2"/>
        <v/>
      </c>
      <c r="J37" s="249" t="str">
        <f t="shared" si="3"/>
        <v/>
      </c>
      <c r="K37" s="250" t="str">
        <f>IF(B37="","Pending",IF(M37="","⚠️ Enter Code",IF(IFERROR(VLOOKUP(L37,DB_Agents!$B:$I,8,0),"")=M37,"Pending","🔒 BLOCKED — Wrong Code")))</f>
        <v>Pending</v>
      </c>
      <c r="L37" s="251" t="s">
        <v>139</v>
      </c>
      <c r="M37" s="252"/>
      <c r="N37" s="242"/>
    </row>
    <row r="38" spans="1:14" ht="18" customHeight="1" x14ac:dyDescent="0.25">
      <c r="A38" s="229" t="str">
        <f t="shared" si="0"/>
        <v/>
      </c>
      <c r="B38" s="230"/>
      <c r="C38" s="231" t="str">
        <f>IF(B38="","",IFERROR(VLOOKUP(B38,DB_Customers!$A:$D,4,0),"❌ Account Not Found"))</f>
        <v/>
      </c>
      <c r="D38" s="232" t="str">
        <f t="shared" ca="1" si="1"/>
        <v/>
      </c>
      <c r="E38" s="233"/>
      <c r="F38" s="231"/>
      <c r="G38" s="234"/>
      <c r="H38" s="235">
        <v>2.5</v>
      </c>
      <c r="I38" s="236" t="str">
        <f t="shared" si="2"/>
        <v/>
      </c>
      <c r="J38" s="237" t="str">
        <f t="shared" si="3"/>
        <v/>
      </c>
      <c r="K38" s="238" t="str">
        <f>IF(B38="","Pending",IF(M38="","⚠️ Enter Code",IF(IFERROR(VLOOKUP(L38,DB_Agents!$B:$I,8,0),"")=M38,"Pending","🔒 BLOCKED — Wrong Code")))</f>
        <v>Pending</v>
      </c>
      <c r="L38" s="239" t="s">
        <v>139</v>
      </c>
      <c r="M38" s="240"/>
      <c r="N38" s="230"/>
    </row>
    <row r="39" spans="1:14" ht="18" customHeight="1" x14ac:dyDescent="0.25">
      <c r="A39" s="241" t="str">
        <f t="shared" si="0"/>
        <v/>
      </c>
      <c r="B39" s="242"/>
      <c r="C39" s="243" t="str">
        <f>IF(B39="","",IFERROR(VLOOKUP(B39,DB_Customers!$A:$D,4,0),"❌ Account Not Found"))</f>
        <v/>
      </c>
      <c r="D39" s="244" t="str">
        <f t="shared" ca="1" si="1"/>
        <v/>
      </c>
      <c r="E39" s="245"/>
      <c r="F39" s="243"/>
      <c r="G39" s="246"/>
      <c r="H39" s="247">
        <v>2.5</v>
      </c>
      <c r="I39" s="248" t="str">
        <f t="shared" si="2"/>
        <v/>
      </c>
      <c r="J39" s="249" t="str">
        <f t="shared" si="3"/>
        <v/>
      </c>
      <c r="K39" s="250" t="str">
        <f>IF(B39="","Pending",IF(M39="","⚠️ Enter Code",IF(IFERROR(VLOOKUP(L39,DB_Agents!$B:$I,8,0),"")=M39,"Pending","🔒 BLOCKED — Wrong Code")))</f>
        <v>Pending</v>
      </c>
      <c r="L39" s="251" t="s">
        <v>139</v>
      </c>
      <c r="M39" s="252"/>
      <c r="N39" s="242"/>
    </row>
    <row r="40" spans="1:14" ht="18" customHeight="1" x14ac:dyDescent="0.25">
      <c r="A40" s="229" t="str">
        <f t="shared" si="0"/>
        <v/>
      </c>
      <c r="B40" s="230"/>
      <c r="C40" s="231" t="str">
        <f>IF(B40="","",IFERROR(VLOOKUP(B40,DB_Customers!$A:$D,4,0),"❌ Account Not Found"))</f>
        <v/>
      </c>
      <c r="D40" s="232" t="str">
        <f t="shared" ca="1" si="1"/>
        <v/>
      </c>
      <c r="E40" s="233"/>
      <c r="F40" s="231"/>
      <c r="G40" s="234"/>
      <c r="H40" s="235">
        <v>2.5</v>
      </c>
      <c r="I40" s="236" t="str">
        <f t="shared" si="2"/>
        <v/>
      </c>
      <c r="J40" s="237" t="str">
        <f t="shared" si="3"/>
        <v/>
      </c>
      <c r="K40" s="238" t="str">
        <f>IF(B40="","Pending",IF(M40="","⚠️ Enter Code",IF(IFERROR(VLOOKUP(L40,DB_Agents!$B:$I,8,0),"")=M40,"Pending","🔒 BLOCKED — Wrong Code")))</f>
        <v>Pending</v>
      </c>
      <c r="L40" s="239" t="s">
        <v>139</v>
      </c>
      <c r="M40" s="240"/>
      <c r="N40" s="230"/>
    </row>
    <row r="41" spans="1:14" ht="18" customHeight="1" x14ac:dyDescent="0.25">
      <c r="A41" s="241" t="str">
        <f t="shared" si="0"/>
        <v/>
      </c>
      <c r="B41" s="242"/>
      <c r="C41" s="243" t="str">
        <f>IF(B41="","",IFERROR(VLOOKUP(B41,DB_Customers!$A:$D,4,0),"❌ Account Not Found"))</f>
        <v/>
      </c>
      <c r="D41" s="244" t="str">
        <f t="shared" ca="1" si="1"/>
        <v/>
      </c>
      <c r="E41" s="245"/>
      <c r="F41" s="243"/>
      <c r="G41" s="246"/>
      <c r="H41" s="247">
        <v>2.5</v>
      </c>
      <c r="I41" s="248" t="str">
        <f t="shared" si="2"/>
        <v/>
      </c>
      <c r="J41" s="249" t="str">
        <f t="shared" si="3"/>
        <v/>
      </c>
      <c r="K41" s="250" t="str">
        <f>IF(B41="","Pending",IF(M41="","⚠️ Enter Code",IF(IFERROR(VLOOKUP(L41,DB_Agents!$B:$I,8,0),"")=M41,"Pending","🔒 BLOCKED — Wrong Code")))</f>
        <v>Pending</v>
      </c>
      <c r="L41" s="251" t="s">
        <v>139</v>
      </c>
      <c r="M41" s="252"/>
      <c r="N41" s="242"/>
    </row>
    <row r="42" spans="1:14" ht="18" customHeight="1" x14ac:dyDescent="0.25">
      <c r="A42" s="229" t="str">
        <f t="shared" si="0"/>
        <v/>
      </c>
      <c r="B42" s="230"/>
      <c r="C42" s="231" t="str">
        <f>IF(B42="","",IFERROR(VLOOKUP(B42,DB_Customers!$A:$D,4,0),"❌ Account Not Found"))</f>
        <v/>
      </c>
      <c r="D42" s="232" t="str">
        <f t="shared" ca="1" si="1"/>
        <v/>
      </c>
      <c r="E42" s="233"/>
      <c r="F42" s="231"/>
      <c r="G42" s="234"/>
      <c r="H42" s="235">
        <v>2.5</v>
      </c>
      <c r="I42" s="236" t="str">
        <f t="shared" si="2"/>
        <v/>
      </c>
      <c r="J42" s="237" t="str">
        <f t="shared" si="3"/>
        <v/>
      </c>
      <c r="K42" s="238" t="str">
        <f>IF(B42="","Pending",IF(M42="","⚠️ Enter Code",IF(IFERROR(VLOOKUP(L42,DB_Agents!$B:$I,8,0),"")=M42,"Pending","🔒 BLOCKED — Wrong Code")))</f>
        <v>Pending</v>
      </c>
      <c r="L42" s="239" t="s">
        <v>139</v>
      </c>
      <c r="M42" s="240"/>
      <c r="N42" s="230"/>
    </row>
    <row r="43" spans="1:14" ht="18" customHeight="1" x14ac:dyDescent="0.25">
      <c r="A43" s="241" t="str">
        <f t="shared" si="0"/>
        <v/>
      </c>
      <c r="B43" s="242"/>
      <c r="C43" s="243" t="str">
        <f>IF(B43="","",IFERROR(VLOOKUP(B43,DB_Customers!$A:$D,4,0),"❌ Account Not Found"))</f>
        <v/>
      </c>
      <c r="D43" s="244" t="str">
        <f t="shared" ca="1" si="1"/>
        <v/>
      </c>
      <c r="E43" s="245"/>
      <c r="F43" s="243"/>
      <c r="G43" s="246"/>
      <c r="H43" s="247">
        <v>2.5</v>
      </c>
      <c r="I43" s="248" t="str">
        <f t="shared" si="2"/>
        <v/>
      </c>
      <c r="J43" s="249" t="str">
        <f t="shared" si="3"/>
        <v/>
      </c>
      <c r="K43" s="250" t="str">
        <f>IF(B43="","Pending",IF(M43="","⚠️ Enter Code",IF(IFERROR(VLOOKUP(L43,DB_Agents!$B:$I,8,0),"")=M43,"Pending","🔒 BLOCKED — Wrong Code")))</f>
        <v>Pending</v>
      </c>
      <c r="L43" s="251" t="s">
        <v>139</v>
      </c>
      <c r="M43" s="252"/>
      <c r="N43" s="242"/>
    </row>
    <row r="44" spans="1:14" ht="18" customHeight="1" x14ac:dyDescent="0.25">
      <c r="A44" s="229" t="str">
        <f t="shared" si="0"/>
        <v/>
      </c>
      <c r="B44" s="230"/>
      <c r="C44" s="231" t="str">
        <f>IF(B44="","",IFERROR(VLOOKUP(B44,DB_Customers!$A:$D,4,0),"❌ Account Not Found"))</f>
        <v/>
      </c>
      <c r="D44" s="232" t="str">
        <f t="shared" ca="1" si="1"/>
        <v/>
      </c>
      <c r="E44" s="233"/>
      <c r="F44" s="231"/>
      <c r="G44" s="234"/>
      <c r="H44" s="235">
        <v>2.5</v>
      </c>
      <c r="I44" s="236" t="str">
        <f t="shared" si="2"/>
        <v/>
      </c>
      <c r="J44" s="237" t="str">
        <f t="shared" si="3"/>
        <v/>
      </c>
      <c r="K44" s="238" t="str">
        <f>IF(B44="","Pending",IF(M44="","⚠️ Enter Code",IF(IFERROR(VLOOKUP(L44,DB_Agents!$B:$I,8,0),"")=M44,"Pending","🔒 BLOCKED — Wrong Code")))</f>
        <v>Pending</v>
      </c>
      <c r="L44" s="239" t="s">
        <v>139</v>
      </c>
      <c r="M44" s="240"/>
      <c r="N44" s="230"/>
    </row>
    <row r="45" spans="1:14" ht="18" customHeight="1" x14ac:dyDescent="0.25">
      <c r="A45" s="241" t="str">
        <f t="shared" si="0"/>
        <v/>
      </c>
      <c r="B45" s="242"/>
      <c r="C45" s="243" t="str">
        <f>IF(B45="","",IFERROR(VLOOKUP(B45,DB_Customers!$A:$D,4,0),"❌ Account Not Found"))</f>
        <v/>
      </c>
      <c r="D45" s="244" t="str">
        <f t="shared" ca="1" si="1"/>
        <v/>
      </c>
      <c r="E45" s="245"/>
      <c r="F45" s="243"/>
      <c r="G45" s="246"/>
      <c r="H45" s="247">
        <v>2.5</v>
      </c>
      <c r="I45" s="248" t="str">
        <f t="shared" si="2"/>
        <v/>
      </c>
      <c r="J45" s="249" t="str">
        <f t="shared" si="3"/>
        <v/>
      </c>
      <c r="K45" s="250" t="str">
        <f>IF(B45="","Pending",IF(M45="","⚠️ Enter Code",IF(IFERROR(VLOOKUP(L45,DB_Agents!$B:$I,8,0),"")=M45,"Pending","🔒 BLOCKED — Wrong Code")))</f>
        <v>Pending</v>
      </c>
      <c r="L45" s="251" t="s">
        <v>139</v>
      </c>
      <c r="M45" s="252"/>
      <c r="N45" s="242"/>
    </row>
    <row r="46" spans="1:14" ht="18" customHeight="1" x14ac:dyDescent="0.25">
      <c r="A46" s="229" t="str">
        <f t="shared" ref="A46:A77" si="4">IF(B46="","",IF(C46="❌ Account Not Found","INVALID","LN"&amp;TEXT(D46,"YYYYMMDD")&amp;TEXT(ROW()-13,"0000")))</f>
        <v/>
      </c>
      <c r="B46" s="230"/>
      <c r="C46" s="231" t="str">
        <f>IF(B46="","",IFERROR(VLOOKUP(B46,DB_Customers!$A:$D,4,0),"❌ Account Not Found"))</f>
        <v/>
      </c>
      <c r="D46" s="232" t="str">
        <f t="shared" ref="D46:D77" ca="1" si="5">IF(B46="","",TODAY())</f>
        <v/>
      </c>
      <c r="E46" s="233"/>
      <c r="F46" s="231"/>
      <c r="G46" s="234"/>
      <c r="H46" s="235">
        <v>2.5</v>
      </c>
      <c r="I46" s="236" t="str">
        <f t="shared" ref="I46:I77" si="6">IF(E46="","",E46+(E46*H46/100*G46))</f>
        <v/>
      </c>
      <c r="J46" s="237" t="str">
        <f t="shared" ref="J46:J77" si="7">IFERROR(I46/G46,"")</f>
        <v/>
      </c>
      <c r="K46" s="238" t="str">
        <f>IF(B46="","Pending",IF(M46="","⚠️ Enter Code",IF(IFERROR(VLOOKUP(L46,DB_Agents!$B:$I,8,0),"")=M46,"Pending","🔒 BLOCKED — Wrong Code")))</f>
        <v>Pending</v>
      </c>
      <c r="L46" s="239" t="s">
        <v>139</v>
      </c>
      <c r="M46" s="240"/>
      <c r="N46" s="230"/>
    </row>
    <row r="47" spans="1:14" ht="18" customHeight="1" x14ac:dyDescent="0.25">
      <c r="A47" s="241" t="str">
        <f t="shared" si="4"/>
        <v/>
      </c>
      <c r="B47" s="242"/>
      <c r="C47" s="243" t="str">
        <f>IF(B47="","",IFERROR(VLOOKUP(B47,DB_Customers!$A:$D,4,0),"❌ Account Not Found"))</f>
        <v/>
      </c>
      <c r="D47" s="244" t="str">
        <f t="shared" ca="1" si="5"/>
        <v/>
      </c>
      <c r="E47" s="245"/>
      <c r="F47" s="243"/>
      <c r="G47" s="246"/>
      <c r="H47" s="247">
        <v>2.5</v>
      </c>
      <c r="I47" s="248" t="str">
        <f t="shared" si="6"/>
        <v/>
      </c>
      <c r="J47" s="249" t="str">
        <f t="shared" si="7"/>
        <v/>
      </c>
      <c r="K47" s="250" t="str">
        <f>IF(B47="","Pending",IF(M47="","⚠️ Enter Code",IF(IFERROR(VLOOKUP(L47,DB_Agents!$B:$I,8,0),"")=M47,"Pending","🔒 BLOCKED — Wrong Code")))</f>
        <v>Pending</v>
      </c>
      <c r="L47" s="251" t="s">
        <v>139</v>
      </c>
      <c r="M47" s="252"/>
      <c r="N47" s="242"/>
    </row>
    <row r="48" spans="1:14" ht="18" customHeight="1" x14ac:dyDescent="0.25">
      <c r="A48" s="229" t="str">
        <f t="shared" si="4"/>
        <v/>
      </c>
      <c r="B48" s="230"/>
      <c r="C48" s="231" t="str">
        <f>IF(B48="","",IFERROR(VLOOKUP(B48,DB_Customers!$A:$D,4,0),"❌ Account Not Found"))</f>
        <v/>
      </c>
      <c r="D48" s="232" t="str">
        <f t="shared" ca="1" si="5"/>
        <v/>
      </c>
      <c r="E48" s="233"/>
      <c r="F48" s="231"/>
      <c r="G48" s="234"/>
      <c r="H48" s="235">
        <v>2.5</v>
      </c>
      <c r="I48" s="236" t="str">
        <f t="shared" si="6"/>
        <v/>
      </c>
      <c r="J48" s="237" t="str">
        <f t="shared" si="7"/>
        <v/>
      </c>
      <c r="K48" s="238" t="str">
        <f>IF(B48="","Pending",IF(M48="","⚠️ Enter Code",IF(IFERROR(VLOOKUP(L48,DB_Agents!$B:$I,8,0),"")=M48,"Pending","🔒 BLOCKED — Wrong Code")))</f>
        <v>Pending</v>
      </c>
      <c r="L48" s="239" t="s">
        <v>139</v>
      </c>
      <c r="M48" s="240"/>
      <c r="N48" s="230"/>
    </row>
    <row r="49" spans="1:14" ht="18" customHeight="1" x14ac:dyDescent="0.25">
      <c r="A49" s="241" t="str">
        <f t="shared" si="4"/>
        <v/>
      </c>
      <c r="B49" s="242"/>
      <c r="C49" s="243" t="str">
        <f>IF(B49="","",IFERROR(VLOOKUP(B49,DB_Customers!$A:$D,4,0),"❌ Account Not Found"))</f>
        <v/>
      </c>
      <c r="D49" s="244" t="str">
        <f t="shared" ca="1" si="5"/>
        <v/>
      </c>
      <c r="E49" s="245"/>
      <c r="F49" s="243"/>
      <c r="G49" s="246"/>
      <c r="H49" s="247">
        <v>2.5</v>
      </c>
      <c r="I49" s="248" t="str">
        <f t="shared" si="6"/>
        <v/>
      </c>
      <c r="J49" s="249" t="str">
        <f t="shared" si="7"/>
        <v/>
      </c>
      <c r="K49" s="250" t="str">
        <f>IF(B49="","Pending",IF(M49="","⚠️ Enter Code",IF(IFERROR(VLOOKUP(L49,DB_Agents!$B:$I,8,0),"")=M49,"Pending","🔒 BLOCKED — Wrong Code")))</f>
        <v>Pending</v>
      </c>
      <c r="L49" s="251" t="s">
        <v>139</v>
      </c>
      <c r="M49" s="252"/>
      <c r="N49" s="242"/>
    </row>
    <row r="50" spans="1:14" ht="18" customHeight="1" x14ac:dyDescent="0.25">
      <c r="A50" s="229" t="str">
        <f t="shared" si="4"/>
        <v/>
      </c>
      <c r="B50" s="230"/>
      <c r="C50" s="231" t="str">
        <f>IF(B50="","",IFERROR(VLOOKUP(B50,DB_Customers!$A:$D,4,0),"❌ Account Not Found"))</f>
        <v/>
      </c>
      <c r="D50" s="232" t="str">
        <f t="shared" ca="1" si="5"/>
        <v/>
      </c>
      <c r="E50" s="233"/>
      <c r="F50" s="231"/>
      <c r="G50" s="234"/>
      <c r="H50" s="235">
        <v>2.5</v>
      </c>
      <c r="I50" s="236" t="str">
        <f t="shared" si="6"/>
        <v/>
      </c>
      <c r="J50" s="237" t="str">
        <f t="shared" si="7"/>
        <v/>
      </c>
      <c r="K50" s="238" t="str">
        <f>IF(B50="","Pending",IF(M50="","⚠️ Enter Code",IF(IFERROR(VLOOKUP(L50,DB_Agents!$B:$I,8,0),"")=M50,"Pending","🔒 BLOCKED — Wrong Code")))</f>
        <v>Pending</v>
      </c>
      <c r="L50" s="239" t="s">
        <v>139</v>
      </c>
      <c r="M50" s="240"/>
      <c r="N50" s="230"/>
    </row>
    <row r="51" spans="1:14" ht="18" customHeight="1" x14ac:dyDescent="0.25">
      <c r="A51" s="241" t="str">
        <f t="shared" si="4"/>
        <v/>
      </c>
      <c r="B51" s="242"/>
      <c r="C51" s="243" t="str">
        <f>IF(B51="","",IFERROR(VLOOKUP(B51,DB_Customers!$A:$D,4,0),"❌ Account Not Found"))</f>
        <v/>
      </c>
      <c r="D51" s="244" t="str">
        <f t="shared" ca="1" si="5"/>
        <v/>
      </c>
      <c r="E51" s="245"/>
      <c r="F51" s="243"/>
      <c r="G51" s="246"/>
      <c r="H51" s="247">
        <v>2.5</v>
      </c>
      <c r="I51" s="248" t="str">
        <f t="shared" si="6"/>
        <v/>
      </c>
      <c r="J51" s="249" t="str">
        <f t="shared" si="7"/>
        <v/>
      </c>
      <c r="K51" s="250" t="str">
        <f>IF(B51="","Pending",IF(M51="","⚠️ Enter Code",IF(IFERROR(VLOOKUP(L51,DB_Agents!$B:$I,8,0),"")=M51,"Pending","🔒 BLOCKED — Wrong Code")))</f>
        <v>Pending</v>
      </c>
      <c r="L51" s="251" t="s">
        <v>139</v>
      </c>
      <c r="M51" s="252"/>
      <c r="N51" s="242"/>
    </row>
    <row r="52" spans="1:14" ht="18" customHeight="1" x14ac:dyDescent="0.25">
      <c r="A52" s="229" t="str">
        <f t="shared" si="4"/>
        <v/>
      </c>
      <c r="B52" s="230"/>
      <c r="C52" s="231" t="str">
        <f>IF(B52="","",IFERROR(VLOOKUP(B52,DB_Customers!$A:$D,4,0),"❌ Account Not Found"))</f>
        <v/>
      </c>
      <c r="D52" s="232" t="str">
        <f t="shared" ca="1" si="5"/>
        <v/>
      </c>
      <c r="E52" s="233"/>
      <c r="F52" s="231"/>
      <c r="G52" s="234"/>
      <c r="H52" s="235">
        <v>2.5</v>
      </c>
      <c r="I52" s="236" t="str">
        <f t="shared" si="6"/>
        <v/>
      </c>
      <c r="J52" s="237" t="str">
        <f t="shared" si="7"/>
        <v/>
      </c>
      <c r="K52" s="238" t="str">
        <f>IF(B52="","Pending",IF(M52="","⚠️ Enter Code",IF(IFERROR(VLOOKUP(L52,DB_Agents!$B:$I,8,0),"")=M52,"Pending","🔒 BLOCKED — Wrong Code")))</f>
        <v>Pending</v>
      </c>
      <c r="L52" s="239" t="s">
        <v>139</v>
      </c>
      <c r="M52" s="240"/>
      <c r="N52" s="230"/>
    </row>
    <row r="53" spans="1:14" ht="18" customHeight="1" x14ac:dyDescent="0.25">
      <c r="A53" s="241" t="str">
        <f t="shared" si="4"/>
        <v/>
      </c>
      <c r="B53" s="242"/>
      <c r="C53" s="243" t="str">
        <f>IF(B53="","",IFERROR(VLOOKUP(B53,DB_Customers!$A:$D,4,0),"❌ Account Not Found"))</f>
        <v/>
      </c>
      <c r="D53" s="244" t="str">
        <f t="shared" ca="1" si="5"/>
        <v/>
      </c>
      <c r="E53" s="245"/>
      <c r="F53" s="243"/>
      <c r="G53" s="246"/>
      <c r="H53" s="247">
        <v>2.5</v>
      </c>
      <c r="I53" s="248" t="str">
        <f t="shared" si="6"/>
        <v/>
      </c>
      <c r="J53" s="249" t="str">
        <f t="shared" si="7"/>
        <v/>
      </c>
      <c r="K53" s="250" t="str">
        <f>IF(B53="","Pending",IF(M53="","⚠️ Enter Code",IF(IFERROR(VLOOKUP(L53,DB_Agents!$B:$I,8,0),"")=M53,"Pending","🔒 BLOCKED — Wrong Code")))</f>
        <v>Pending</v>
      </c>
      <c r="L53" s="251" t="s">
        <v>139</v>
      </c>
      <c r="M53" s="252"/>
      <c r="N53" s="242"/>
    </row>
    <row r="54" spans="1:14" ht="18" customHeight="1" x14ac:dyDescent="0.25">
      <c r="A54" s="229" t="str">
        <f t="shared" si="4"/>
        <v/>
      </c>
      <c r="B54" s="230"/>
      <c r="C54" s="231" t="str">
        <f>IF(B54="","",IFERROR(VLOOKUP(B54,DB_Customers!$A:$D,4,0),"❌ Account Not Found"))</f>
        <v/>
      </c>
      <c r="D54" s="232" t="str">
        <f t="shared" ca="1" si="5"/>
        <v/>
      </c>
      <c r="E54" s="233"/>
      <c r="F54" s="231"/>
      <c r="G54" s="234"/>
      <c r="H54" s="235">
        <v>2.5</v>
      </c>
      <c r="I54" s="236" t="str">
        <f t="shared" si="6"/>
        <v/>
      </c>
      <c r="J54" s="237" t="str">
        <f t="shared" si="7"/>
        <v/>
      </c>
      <c r="K54" s="238" t="str">
        <f>IF(B54="","Pending",IF(M54="","⚠️ Enter Code",IF(IFERROR(VLOOKUP(L54,DB_Agents!$B:$I,8,0),"")=M54,"Pending","🔒 BLOCKED — Wrong Code")))</f>
        <v>Pending</v>
      </c>
      <c r="L54" s="239" t="s">
        <v>139</v>
      </c>
      <c r="M54" s="240"/>
      <c r="N54" s="230"/>
    </row>
    <row r="55" spans="1:14" ht="18" customHeight="1" x14ac:dyDescent="0.25">
      <c r="A55" s="241" t="str">
        <f t="shared" si="4"/>
        <v/>
      </c>
      <c r="B55" s="242"/>
      <c r="C55" s="243" t="str">
        <f>IF(B55="","",IFERROR(VLOOKUP(B55,DB_Customers!$A:$D,4,0),"❌ Account Not Found"))</f>
        <v/>
      </c>
      <c r="D55" s="244" t="str">
        <f t="shared" ca="1" si="5"/>
        <v/>
      </c>
      <c r="E55" s="245"/>
      <c r="F55" s="243"/>
      <c r="G55" s="246"/>
      <c r="H55" s="247">
        <v>2.5</v>
      </c>
      <c r="I55" s="248" t="str">
        <f t="shared" si="6"/>
        <v/>
      </c>
      <c r="J55" s="249" t="str">
        <f t="shared" si="7"/>
        <v/>
      </c>
      <c r="K55" s="250" t="str">
        <f>IF(B55="","Pending",IF(M55="","⚠️ Enter Code",IF(IFERROR(VLOOKUP(L55,DB_Agents!$B:$I,8,0),"")=M55,"Pending","🔒 BLOCKED — Wrong Code")))</f>
        <v>Pending</v>
      </c>
      <c r="L55" s="251" t="s">
        <v>139</v>
      </c>
      <c r="M55" s="252"/>
      <c r="N55" s="242"/>
    </row>
    <row r="56" spans="1:14" ht="18" customHeight="1" x14ac:dyDescent="0.25">
      <c r="A56" s="229" t="str">
        <f t="shared" si="4"/>
        <v/>
      </c>
      <c r="B56" s="230"/>
      <c r="C56" s="231" t="str">
        <f>IF(B56="","",IFERROR(VLOOKUP(B56,DB_Customers!$A:$D,4,0),"❌ Account Not Found"))</f>
        <v/>
      </c>
      <c r="D56" s="232" t="str">
        <f t="shared" ca="1" si="5"/>
        <v/>
      </c>
      <c r="E56" s="233"/>
      <c r="F56" s="231"/>
      <c r="G56" s="234"/>
      <c r="H56" s="235">
        <v>2.5</v>
      </c>
      <c r="I56" s="236" t="str">
        <f t="shared" si="6"/>
        <v/>
      </c>
      <c r="J56" s="237" t="str">
        <f t="shared" si="7"/>
        <v/>
      </c>
      <c r="K56" s="238" t="str">
        <f>IF(B56="","Pending",IF(M56="","⚠️ Enter Code",IF(IFERROR(VLOOKUP(L56,DB_Agents!$B:$I,8,0),"")=M56,"Pending","🔒 BLOCKED — Wrong Code")))</f>
        <v>Pending</v>
      </c>
      <c r="L56" s="239" t="s">
        <v>139</v>
      </c>
      <c r="M56" s="240"/>
      <c r="N56" s="230"/>
    </row>
    <row r="57" spans="1:14" ht="18" customHeight="1" x14ac:dyDescent="0.25">
      <c r="A57" s="241" t="str">
        <f t="shared" si="4"/>
        <v/>
      </c>
      <c r="B57" s="242"/>
      <c r="C57" s="243" t="str">
        <f>IF(B57="","",IFERROR(VLOOKUP(B57,DB_Customers!$A:$D,4,0),"❌ Account Not Found"))</f>
        <v/>
      </c>
      <c r="D57" s="244" t="str">
        <f t="shared" ca="1" si="5"/>
        <v/>
      </c>
      <c r="E57" s="245"/>
      <c r="F57" s="243"/>
      <c r="G57" s="246"/>
      <c r="H57" s="247">
        <v>2.5</v>
      </c>
      <c r="I57" s="248" t="str">
        <f t="shared" si="6"/>
        <v/>
      </c>
      <c r="J57" s="249" t="str">
        <f t="shared" si="7"/>
        <v/>
      </c>
      <c r="K57" s="250" t="str">
        <f>IF(B57="","Pending",IF(M57="","⚠️ Enter Code",IF(IFERROR(VLOOKUP(L57,DB_Agents!$B:$I,8,0),"")=M57,"Pending","🔒 BLOCKED — Wrong Code")))</f>
        <v>Pending</v>
      </c>
      <c r="L57" s="251" t="s">
        <v>139</v>
      </c>
      <c r="M57" s="252"/>
      <c r="N57" s="242"/>
    </row>
    <row r="58" spans="1:14" ht="18" customHeight="1" x14ac:dyDescent="0.25">
      <c r="A58" s="229" t="str">
        <f t="shared" si="4"/>
        <v/>
      </c>
      <c r="B58" s="230"/>
      <c r="C58" s="231" t="str">
        <f>IF(B58="","",IFERROR(VLOOKUP(B58,DB_Customers!$A:$D,4,0),"❌ Account Not Found"))</f>
        <v/>
      </c>
      <c r="D58" s="232" t="str">
        <f t="shared" ca="1" si="5"/>
        <v/>
      </c>
      <c r="E58" s="233"/>
      <c r="F58" s="231"/>
      <c r="G58" s="234"/>
      <c r="H58" s="235">
        <v>2.5</v>
      </c>
      <c r="I58" s="236" t="str">
        <f t="shared" si="6"/>
        <v/>
      </c>
      <c r="J58" s="237" t="str">
        <f t="shared" si="7"/>
        <v/>
      </c>
      <c r="K58" s="238" t="str">
        <f>IF(B58="","Pending",IF(M58="","⚠️ Enter Code",IF(IFERROR(VLOOKUP(L58,DB_Agents!$B:$I,8,0),"")=M58,"Pending","🔒 BLOCKED — Wrong Code")))</f>
        <v>Pending</v>
      </c>
      <c r="L58" s="239" t="s">
        <v>139</v>
      </c>
      <c r="M58" s="240"/>
      <c r="N58" s="230"/>
    </row>
    <row r="59" spans="1:14" ht="18" customHeight="1" x14ac:dyDescent="0.25">
      <c r="A59" s="241" t="str">
        <f t="shared" si="4"/>
        <v/>
      </c>
      <c r="B59" s="242"/>
      <c r="C59" s="243" t="str">
        <f>IF(B59="","",IFERROR(VLOOKUP(B59,DB_Customers!$A:$D,4,0),"❌ Account Not Found"))</f>
        <v/>
      </c>
      <c r="D59" s="244" t="str">
        <f t="shared" ca="1" si="5"/>
        <v/>
      </c>
      <c r="E59" s="245"/>
      <c r="F59" s="243"/>
      <c r="G59" s="246"/>
      <c r="H59" s="247">
        <v>2.5</v>
      </c>
      <c r="I59" s="248" t="str">
        <f t="shared" si="6"/>
        <v/>
      </c>
      <c r="J59" s="249" t="str">
        <f t="shared" si="7"/>
        <v/>
      </c>
      <c r="K59" s="250" t="str">
        <f>IF(B59="","Pending",IF(M59="","⚠️ Enter Code",IF(IFERROR(VLOOKUP(L59,DB_Agents!$B:$I,8,0),"")=M59,"Pending","🔒 BLOCKED — Wrong Code")))</f>
        <v>Pending</v>
      </c>
      <c r="L59" s="251" t="s">
        <v>139</v>
      </c>
      <c r="M59" s="252"/>
      <c r="N59" s="242"/>
    </row>
    <row r="60" spans="1:14" ht="18" customHeight="1" x14ac:dyDescent="0.25">
      <c r="A60" s="229" t="str">
        <f t="shared" si="4"/>
        <v/>
      </c>
      <c r="B60" s="230"/>
      <c r="C60" s="231" t="str">
        <f>IF(B60="","",IFERROR(VLOOKUP(B60,DB_Customers!$A:$D,4,0),"❌ Account Not Found"))</f>
        <v/>
      </c>
      <c r="D60" s="232" t="str">
        <f t="shared" ca="1" si="5"/>
        <v/>
      </c>
      <c r="E60" s="233"/>
      <c r="F60" s="231"/>
      <c r="G60" s="234"/>
      <c r="H60" s="235">
        <v>2.5</v>
      </c>
      <c r="I60" s="236" t="str">
        <f t="shared" si="6"/>
        <v/>
      </c>
      <c r="J60" s="237" t="str">
        <f t="shared" si="7"/>
        <v/>
      </c>
      <c r="K60" s="238" t="str">
        <f>IF(B60="","Pending",IF(M60="","⚠️ Enter Code",IF(IFERROR(VLOOKUP(L60,DB_Agents!$B:$I,8,0),"")=M60,"Pending","🔒 BLOCKED — Wrong Code")))</f>
        <v>Pending</v>
      </c>
      <c r="L60" s="239" t="s">
        <v>139</v>
      </c>
      <c r="M60" s="240"/>
      <c r="N60" s="230"/>
    </row>
    <row r="61" spans="1:14" ht="18" customHeight="1" x14ac:dyDescent="0.25">
      <c r="A61" s="241" t="str">
        <f t="shared" si="4"/>
        <v/>
      </c>
      <c r="B61" s="242"/>
      <c r="C61" s="243" t="str">
        <f>IF(B61="","",IFERROR(VLOOKUP(B61,DB_Customers!$A:$D,4,0),"❌ Account Not Found"))</f>
        <v/>
      </c>
      <c r="D61" s="244" t="str">
        <f t="shared" ca="1" si="5"/>
        <v/>
      </c>
      <c r="E61" s="245"/>
      <c r="F61" s="243"/>
      <c r="G61" s="246"/>
      <c r="H61" s="247">
        <v>2.5</v>
      </c>
      <c r="I61" s="248" t="str">
        <f t="shared" si="6"/>
        <v/>
      </c>
      <c r="J61" s="249" t="str">
        <f t="shared" si="7"/>
        <v/>
      </c>
      <c r="K61" s="250" t="str">
        <f>IF(B61="","Pending",IF(M61="","⚠️ Enter Code",IF(IFERROR(VLOOKUP(L61,DB_Agents!$B:$I,8,0),"")=M61,"Pending","🔒 BLOCKED — Wrong Code")))</f>
        <v>Pending</v>
      </c>
      <c r="L61" s="251" t="s">
        <v>139</v>
      </c>
      <c r="M61" s="252"/>
      <c r="N61" s="242"/>
    </row>
    <row r="62" spans="1:14" ht="18" customHeight="1" x14ac:dyDescent="0.25">
      <c r="A62" s="229" t="str">
        <f t="shared" si="4"/>
        <v/>
      </c>
      <c r="B62" s="230"/>
      <c r="C62" s="231" t="str">
        <f>IF(B62="","",IFERROR(VLOOKUP(B62,DB_Customers!$A:$D,4,0),"❌ Account Not Found"))</f>
        <v/>
      </c>
      <c r="D62" s="232" t="str">
        <f t="shared" ca="1" si="5"/>
        <v/>
      </c>
      <c r="E62" s="233"/>
      <c r="F62" s="231"/>
      <c r="G62" s="234"/>
      <c r="H62" s="235">
        <v>2.5</v>
      </c>
      <c r="I62" s="236" t="str">
        <f t="shared" si="6"/>
        <v/>
      </c>
      <c r="J62" s="237" t="str">
        <f t="shared" si="7"/>
        <v/>
      </c>
      <c r="K62" s="238" t="str">
        <f>IF(B62="","Pending",IF(M62="","⚠️ Enter Code",IF(IFERROR(VLOOKUP(L62,DB_Agents!$B:$I,8,0),"")=M62,"Pending","🔒 BLOCKED — Wrong Code")))</f>
        <v>Pending</v>
      </c>
      <c r="L62" s="239" t="s">
        <v>139</v>
      </c>
      <c r="M62" s="240"/>
      <c r="N62" s="230"/>
    </row>
    <row r="63" spans="1:14" ht="18" customHeight="1" x14ac:dyDescent="0.25">
      <c r="A63" s="241" t="str">
        <f t="shared" si="4"/>
        <v/>
      </c>
      <c r="B63" s="242"/>
      <c r="C63" s="243" t="str">
        <f>IF(B63="","",IFERROR(VLOOKUP(B63,DB_Customers!$A:$D,4,0),"❌ Account Not Found"))</f>
        <v/>
      </c>
      <c r="D63" s="244" t="str">
        <f t="shared" ca="1" si="5"/>
        <v/>
      </c>
      <c r="E63" s="245"/>
      <c r="F63" s="243"/>
      <c r="G63" s="246"/>
      <c r="H63" s="247">
        <v>2.5</v>
      </c>
      <c r="I63" s="248" t="str">
        <f t="shared" si="6"/>
        <v/>
      </c>
      <c r="J63" s="249" t="str">
        <f t="shared" si="7"/>
        <v/>
      </c>
      <c r="K63" s="250" t="str">
        <f>IF(B63="","Pending",IF(M63="","⚠️ Enter Code",IF(IFERROR(VLOOKUP(L63,DB_Agents!$B:$I,8,0),"")=M63,"Pending","🔒 BLOCKED — Wrong Code")))</f>
        <v>Pending</v>
      </c>
      <c r="L63" s="251" t="s">
        <v>139</v>
      </c>
      <c r="M63" s="252"/>
      <c r="N63" s="242"/>
    </row>
    <row r="64" spans="1:14" ht="18" customHeight="1" x14ac:dyDescent="0.25">
      <c r="A64" s="229" t="str">
        <f t="shared" si="4"/>
        <v/>
      </c>
      <c r="B64" s="230"/>
      <c r="C64" s="231" t="str">
        <f>IF(B64="","",IFERROR(VLOOKUP(B64,DB_Customers!$A:$D,4,0),"❌ Account Not Found"))</f>
        <v/>
      </c>
      <c r="D64" s="232" t="str">
        <f t="shared" ca="1" si="5"/>
        <v/>
      </c>
      <c r="E64" s="233"/>
      <c r="F64" s="231"/>
      <c r="G64" s="234"/>
      <c r="H64" s="235">
        <v>2.5</v>
      </c>
      <c r="I64" s="236" t="str">
        <f t="shared" si="6"/>
        <v/>
      </c>
      <c r="J64" s="237" t="str">
        <f t="shared" si="7"/>
        <v/>
      </c>
      <c r="K64" s="238" t="str">
        <f>IF(B64="","Pending",IF(M64="","⚠️ Enter Code",IF(IFERROR(VLOOKUP(L64,DB_Agents!$B:$I,8,0),"")=M64,"Pending","🔒 BLOCKED — Wrong Code")))</f>
        <v>Pending</v>
      </c>
      <c r="L64" s="239" t="s">
        <v>139</v>
      </c>
      <c r="M64" s="240"/>
      <c r="N64" s="230"/>
    </row>
    <row r="65" spans="1:14" ht="18" customHeight="1" x14ac:dyDescent="0.25">
      <c r="A65" s="241" t="str">
        <f t="shared" si="4"/>
        <v/>
      </c>
      <c r="B65" s="242"/>
      <c r="C65" s="243" t="str">
        <f>IF(B65="","",IFERROR(VLOOKUP(B65,DB_Customers!$A:$D,4,0),"❌ Account Not Found"))</f>
        <v/>
      </c>
      <c r="D65" s="244" t="str">
        <f t="shared" ca="1" si="5"/>
        <v/>
      </c>
      <c r="E65" s="245"/>
      <c r="F65" s="243"/>
      <c r="G65" s="246"/>
      <c r="H65" s="247">
        <v>2.5</v>
      </c>
      <c r="I65" s="248" t="str">
        <f t="shared" si="6"/>
        <v/>
      </c>
      <c r="J65" s="249" t="str">
        <f t="shared" si="7"/>
        <v/>
      </c>
      <c r="K65" s="250" t="str">
        <f>IF(B65="","Pending",IF(M65="","⚠️ Enter Code",IF(IFERROR(VLOOKUP(L65,DB_Agents!$B:$I,8,0),"")=M65,"Pending","🔒 BLOCKED — Wrong Code")))</f>
        <v>Pending</v>
      </c>
      <c r="L65" s="251" t="s">
        <v>139</v>
      </c>
      <c r="M65" s="252"/>
      <c r="N65" s="242"/>
    </row>
    <row r="66" spans="1:14" ht="18" customHeight="1" x14ac:dyDescent="0.25">
      <c r="A66" s="229" t="str">
        <f t="shared" si="4"/>
        <v/>
      </c>
      <c r="B66" s="230"/>
      <c r="C66" s="231" t="str">
        <f>IF(B66="","",IFERROR(VLOOKUP(B66,DB_Customers!$A:$D,4,0),"❌ Account Not Found"))</f>
        <v/>
      </c>
      <c r="D66" s="232" t="str">
        <f t="shared" ca="1" si="5"/>
        <v/>
      </c>
      <c r="E66" s="233"/>
      <c r="F66" s="231"/>
      <c r="G66" s="234"/>
      <c r="H66" s="235">
        <v>2.5</v>
      </c>
      <c r="I66" s="236" t="str">
        <f t="shared" si="6"/>
        <v/>
      </c>
      <c r="J66" s="237" t="str">
        <f t="shared" si="7"/>
        <v/>
      </c>
      <c r="K66" s="238" t="str">
        <f>IF(B66="","Pending",IF(M66="","⚠️ Enter Code",IF(IFERROR(VLOOKUP(L66,DB_Agents!$B:$I,8,0),"")=M66,"Pending","🔒 BLOCKED — Wrong Code")))</f>
        <v>Pending</v>
      </c>
      <c r="L66" s="239" t="s">
        <v>139</v>
      </c>
      <c r="M66" s="240"/>
      <c r="N66" s="230"/>
    </row>
    <row r="67" spans="1:14" ht="18" customHeight="1" x14ac:dyDescent="0.25">
      <c r="A67" s="241" t="str">
        <f t="shared" si="4"/>
        <v/>
      </c>
      <c r="B67" s="242"/>
      <c r="C67" s="243" t="str">
        <f>IF(B67="","",IFERROR(VLOOKUP(B67,DB_Customers!$A:$D,4,0),"❌ Account Not Found"))</f>
        <v/>
      </c>
      <c r="D67" s="244" t="str">
        <f t="shared" ca="1" si="5"/>
        <v/>
      </c>
      <c r="E67" s="245"/>
      <c r="F67" s="243"/>
      <c r="G67" s="246"/>
      <c r="H67" s="247">
        <v>2.5</v>
      </c>
      <c r="I67" s="248" t="str">
        <f t="shared" si="6"/>
        <v/>
      </c>
      <c r="J67" s="249" t="str">
        <f t="shared" si="7"/>
        <v/>
      </c>
      <c r="K67" s="250" t="str">
        <f>IF(B67="","Pending",IF(M67="","⚠️ Enter Code",IF(IFERROR(VLOOKUP(L67,DB_Agents!$B:$I,8,0),"")=M67,"Pending","🔒 BLOCKED — Wrong Code")))</f>
        <v>Pending</v>
      </c>
      <c r="L67" s="251" t="s">
        <v>139</v>
      </c>
      <c r="M67" s="252"/>
      <c r="N67" s="242"/>
    </row>
    <row r="68" spans="1:14" ht="18" customHeight="1" x14ac:dyDescent="0.25">
      <c r="A68" s="229" t="str">
        <f t="shared" si="4"/>
        <v/>
      </c>
      <c r="B68" s="230"/>
      <c r="C68" s="231" t="str">
        <f>IF(B68="","",IFERROR(VLOOKUP(B68,DB_Customers!$A:$D,4,0),"❌ Account Not Found"))</f>
        <v/>
      </c>
      <c r="D68" s="232" t="str">
        <f t="shared" ca="1" si="5"/>
        <v/>
      </c>
      <c r="E68" s="233"/>
      <c r="F68" s="231"/>
      <c r="G68" s="234"/>
      <c r="H68" s="235">
        <v>2.5</v>
      </c>
      <c r="I68" s="236" t="str">
        <f t="shared" si="6"/>
        <v/>
      </c>
      <c r="J68" s="237" t="str">
        <f t="shared" si="7"/>
        <v/>
      </c>
      <c r="K68" s="238" t="str">
        <f>IF(B68="","Pending",IF(M68="","⚠️ Enter Code",IF(IFERROR(VLOOKUP(L68,DB_Agents!$B:$I,8,0),"")=M68,"Pending","🔒 BLOCKED — Wrong Code")))</f>
        <v>Pending</v>
      </c>
      <c r="L68" s="239" t="s">
        <v>139</v>
      </c>
      <c r="M68" s="240"/>
      <c r="N68" s="230"/>
    </row>
    <row r="69" spans="1:14" ht="18" customHeight="1" x14ac:dyDescent="0.25">
      <c r="A69" s="241" t="str">
        <f t="shared" si="4"/>
        <v/>
      </c>
      <c r="B69" s="242"/>
      <c r="C69" s="243" t="str">
        <f>IF(B69="","",IFERROR(VLOOKUP(B69,DB_Customers!$A:$D,4,0),"❌ Account Not Found"))</f>
        <v/>
      </c>
      <c r="D69" s="244" t="str">
        <f t="shared" ca="1" si="5"/>
        <v/>
      </c>
      <c r="E69" s="245"/>
      <c r="F69" s="243"/>
      <c r="G69" s="246"/>
      <c r="H69" s="247">
        <v>2.5</v>
      </c>
      <c r="I69" s="248" t="str">
        <f t="shared" si="6"/>
        <v/>
      </c>
      <c r="J69" s="249" t="str">
        <f t="shared" si="7"/>
        <v/>
      </c>
      <c r="K69" s="250" t="str">
        <f>IF(B69="","Pending",IF(M69="","⚠️ Enter Code",IF(IFERROR(VLOOKUP(L69,DB_Agents!$B:$I,8,0),"")=M69,"Pending","🔒 BLOCKED — Wrong Code")))</f>
        <v>Pending</v>
      </c>
      <c r="L69" s="251" t="s">
        <v>139</v>
      </c>
      <c r="M69" s="252"/>
      <c r="N69" s="242"/>
    </row>
    <row r="70" spans="1:14" ht="18" customHeight="1" x14ac:dyDescent="0.25">
      <c r="A70" s="229" t="str">
        <f t="shared" si="4"/>
        <v/>
      </c>
      <c r="B70" s="230"/>
      <c r="C70" s="231" t="str">
        <f>IF(B70="","",IFERROR(VLOOKUP(B70,DB_Customers!$A:$D,4,0),"❌ Account Not Found"))</f>
        <v/>
      </c>
      <c r="D70" s="232" t="str">
        <f t="shared" ca="1" si="5"/>
        <v/>
      </c>
      <c r="E70" s="233"/>
      <c r="F70" s="231"/>
      <c r="G70" s="234"/>
      <c r="H70" s="235">
        <v>2.5</v>
      </c>
      <c r="I70" s="236" t="str">
        <f t="shared" si="6"/>
        <v/>
      </c>
      <c r="J70" s="237" t="str">
        <f t="shared" si="7"/>
        <v/>
      </c>
      <c r="K70" s="238" t="str">
        <f>IF(B70="","Pending",IF(M70="","⚠️ Enter Code",IF(IFERROR(VLOOKUP(L70,DB_Agents!$B:$I,8,0),"")=M70,"Pending","🔒 BLOCKED — Wrong Code")))</f>
        <v>Pending</v>
      </c>
      <c r="L70" s="239" t="s">
        <v>139</v>
      </c>
      <c r="M70" s="240"/>
      <c r="N70" s="230"/>
    </row>
    <row r="71" spans="1:14" ht="18" customHeight="1" x14ac:dyDescent="0.25">
      <c r="A71" s="241" t="str">
        <f t="shared" si="4"/>
        <v/>
      </c>
      <c r="B71" s="242"/>
      <c r="C71" s="243" t="str">
        <f>IF(B71="","",IFERROR(VLOOKUP(B71,DB_Customers!$A:$D,4,0),"❌ Account Not Found"))</f>
        <v/>
      </c>
      <c r="D71" s="244" t="str">
        <f t="shared" ca="1" si="5"/>
        <v/>
      </c>
      <c r="E71" s="245"/>
      <c r="F71" s="243"/>
      <c r="G71" s="246"/>
      <c r="H71" s="247">
        <v>2.5</v>
      </c>
      <c r="I71" s="248" t="str">
        <f t="shared" si="6"/>
        <v/>
      </c>
      <c r="J71" s="249" t="str">
        <f t="shared" si="7"/>
        <v/>
      </c>
      <c r="K71" s="250" t="str">
        <f>IF(B71="","Pending",IF(M71="","⚠️ Enter Code",IF(IFERROR(VLOOKUP(L71,DB_Agents!$B:$I,8,0),"")=M71,"Pending","🔒 BLOCKED — Wrong Code")))</f>
        <v>Pending</v>
      </c>
      <c r="L71" s="251" t="s">
        <v>139</v>
      </c>
      <c r="M71" s="252"/>
      <c r="N71" s="242"/>
    </row>
    <row r="72" spans="1:14" ht="18" customHeight="1" x14ac:dyDescent="0.25">
      <c r="A72" s="229" t="str">
        <f t="shared" si="4"/>
        <v/>
      </c>
      <c r="B72" s="230"/>
      <c r="C72" s="231" t="str">
        <f>IF(B72="","",IFERROR(VLOOKUP(B72,DB_Customers!$A:$D,4,0),"❌ Account Not Found"))</f>
        <v/>
      </c>
      <c r="D72" s="232" t="str">
        <f t="shared" ca="1" si="5"/>
        <v/>
      </c>
      <c r="E72" s="233"/>
      <c r="F72" s="231"/>
      <c r="G72" s="234"/>
      <c r="H72" s="235">
        <v>2.5</v>
      </c>
      <c r="I72" s="236" t="str">
        <f t="shared" si="6"/>
        <v/>
      </c>
      <c r="J72" s="237" t="str">
        <f t="shared" si="7"/>
        <v/>
      </c>
      <c r="K72" s="238" t="str">
        <f>IF(B72="","Pending",IF(M72="","⚠️ Enter Code",IF(IFERROR(VLOOKUP(L72,DB_Agents!$B:$I,8,0),"")=M72,"Pending","🔒 BLOCKED — Wrong Code")))</f>
        <v>Pending</v>
      </c>
      <c r="L72" s="239" t="s">
        <v>139</v>
      </c>
      <c r="M72" s="240"/>
      <c r="N72" s="230"/>
    </row>
    <row r="73" spans="1:14" ht="18" customHeight="1" x14ac:dyDescent="0.25">
      <c r="A73" s="241" t="str">
        <f t="shared" si="4"/>
        <v/>
      </c>
      <c r="B73" s="242"/>
      <c r="C73" s="243" t="str">
        <f>IF(B73="","",IFERROR(VLOOKUP(B73,DB_Customers!$A:$D,4,0),"❌ Account Not Found"))</f>
        <v/>
      </c>
      <c r="D73" s="244" t="str">
        <f t="shared" ca="1" si="5"/>
        <v/>
      </c>
      <c r="E73" s="245"/>
      <c r="F73" s="243"/>
      <c r="G73" s="246"/>
      <c r="H73" s="247">
        <v>2.5</v>
      </c>
      <c r="I73" s="248" t="str">
        <f t="shared" si="6"/>
        <v/>
      </c>
      <c r="J73" s="249" t="str">
        <f t="shared" si="7"/>
        <v/>
      </c>
      <c r="K73" s="250" t="str">
        <f>IF(B73="","Pending",IF(M73="","⚠️ Enter Code",IF(IFERROR(VLOOKUP(L73,DB_Agents!$B:$I,8,0),"")=M73,"Pending","🔒 BLOCKED — Wrong Code")))</f>
        <v>Pending</v>
      </c>
      <c r="L73" s="251" t="s">
        <v>139</v>
      </c>
      <c r="M73" s="252"/>
      <c r="N73" s="242"/>
    </row>
    <row r="74" spans="1:14" ht="18" customHeight="1" x14ac:dyDescent="0.25">
      <c r="A74" s="229" t="str">
        <f t="shared" si="4"/>
        <v/>
      </c>
      <c r="B74" s="230"/>
      <c r="C74" s="231" t="str">
        <f>IF(B74="","",IFERROR(VLOOKUP(B74,DB_Customers!$A:$D,4,0),"❌ Account Not Found"))</f>
        <v/>
      </c>
      <c r="D74" s="232" t="str">
        <f t="shared" ca="1" si="5"/>
        <v/>
      </c>
      <c r="E74" s="233"/>
      <c r="F74" s="231"/>
      <c r="G74" s="234"/>
      <c r="H74" s="235">
        <v>2.5</v>
      </c>
      <c r="I74" s="236" t="str">
        <f t="shared" si="6"/>
        <v/>
      </c>
      <c r="J74" s="237" t="str">
        <f t="shared" si="7"/>
        <v/>
      </c>
      <c r="K74" s="238" t="str">
        <f>IF(B74="","Pending",IF(M74="","⚠️ Enter Code",IF(IFERROR(VLOOKUP(L74,DB_Agents!$B:$I,8,0),"")=M74,"Pending","🔒 BLOCKED — Wrong Code")))</f>
        <v>Pending</v>
      </c>
      <c r="L74" s="239" t="s">
        <v>139</v>
      </c>
      <c r="M74" s="240"/>
      <c r="N74" s="230"/>
    </row>
    <row r="75" spans="1:14" ht="18" customHeight="1" x14ac:dyDescent="0.25">
      <c r="A75" s="241" t="str">
        <f t="shared" si="4"/>
        <v/>
      </c>
      <c r="B75" s="242"/>
      <c r="C75" s="243" t="str">
        <f>IF(B75="","",IFERROR(VLOOKUP(B75,DB_Customers!$A:$D,4,0),"❌ Account Not Found"))</f>
        <v/>
      </c>
      <c r="D75" s="244" t="str">
        <f t="shared" ca="1" si="5"/>
        <v/>
      </c>
      <c r="E75" s="245"/>
      <c r="F75" s="243"/>
      <c r="G75" s="246"/>
      <c r="H75" s="247">
        <v>2.5</v>
      </c>
      <c r="I75" s="248" t="str">
        <f t="shared" si="6"/>
        <v/>
      </c>
      <c r="J75" s="249" t="str">
        <f t="shared" si="7"/>
        <v/>
      </c>
      <c r="K75" s="250" t="str">
        <f>IF(B75="","Pending",IF(M75="","⚠️ Enter Code",IF(IFERROR(VLOOKUP(L75,DB_Agents!$B:$I,8,0),"")=M75,"Pending","🔒 BLOCKED — Wrong Code")))</f>
        <v>Pending</v>
      </c>
      <c r="L75" s="251" t="s">
        <v>139</v>
      </c>
      <c r="M75" s="252"/>
      <c r="N75" s="242"/>
    </row>
    <row r="76" spans="1:14" ht="18" customHeight="1" x14ac:dyDescent="0.25">
      <c r="A76" s="229" t="str">
        <f t="shared" si="4"/>
        <v/>
      </c>
      <c r="B76" s="230"/>
      <c r="C76" s="231" t="str">
        <f>IF(B76="","",IFERROR(VLOOKUP(B76,DB_Customers!$A:$D,4,0),"❌ Account Not Found"))</f>
        <v/>
      </c>
      <c r="D76" s="232" t="str">
        <f t="shared" ca="1" si="5"/>
        <v/>
      </c>
      <c r="E76" s="233"/>
      <c r="F76" s="231"/>
      <c r="G76" s="234"/>
      <c r="H76" s="235">
        <v>2.5</v>
      </c>
      <c r="I76" s="236" t="str">
        <f t="shared" si="6"/>
        <v/>
      </c>
      <c r="J76" s="237" t="str">
        <f t="shared" si="7"/>
        <v/>
      </c>
      <c r="K76" s="238" t="str">
        <f>IF(B76="","Pending",IF(M76="","⚠️ Enter Code",IF(IFERROR(VLOOKUP(L76,DB_Agents!$B:$I,8,0),"")=M76,"Pending","🔒 BLOCKED — Wrong Code")))</f>
        <v>Pending</v>
      </c>
      <c r="L76" s="239" t="s">
        <v>139</v>
      </c>
      <c r="M76" s="240"/>
      <c r="N76" s="230"/>
    </row>
    <row r="77" spans="1:14" ht="18" customHeight="1" x14ac:dyDescent="0.25">
      <c r="A77" s="241" t="str">
        <f t="shared" si="4"/>
        <v/>
      </c>
      <c r="B77" s="242"/>
      <c r="C77" s="243" t="str">
        <f>IF(B77="","",IFERROR(VLOOKUP(B77,DB_Customers!$A:$D,4,0),"❌ Account Not Found"))</f>
        <v/>
      </c>
      <c r="D77" s="244" t="str">
        <f t="shared" ca="1" si="5"/>
        <v/>
      </c>
      <c r="E77" s="245"/>
      <c r="F77" s="243"/>
      <c r="G77" s="246"/>
      <c r="H77" s="247">
        <v>2.5</v>
      </c>
      <c r="I77" s="248" t="str">
        <f t="shared" si="6"/>
        <v/>
      </c>
      <c r="J77" s="249" t="str">
        <f t="shared" si="7"/>
        <v/>
      </c>
      <c r="K77" s="250" t="str">
        <f>IF(B77="","Pending",IF(M77="","⚠️ Enter Code",IF(IFERROR(VLOOKUP(L77,DB_Agents!$B:$I,8,0),"")=M77,"Pending","🔒 BLOCKED — Wrong Code")))</f>
        <v>Pending</v>
      </c>
      <c r="L77" s="251" t="s">
        <v>139</v>
      </c>
      <c r="M77" s="252"/>
      <c r="N77" s="242"/>
    </row>
    <row r="78" spans="1:14" ht="18" customHeight="1" x14ac:dyDescent="0.25">
      <c r="A78" s="229" t="str">
        <f t="shared" ref="A78:A109" si="8">IF(B78="","",IF(C78="❌ Account Not Found","INVALID","LN"&amp;TEXT(D78,"YYYYMMDD")&amp;TEXT(ROW()-13,"0000")))</f>
        <v/>
      </c>
      <c r="B78" s="230"/>
      <c r="C78" s="231" t="str">
        <f>IF(B78="","",IFERROR(VLOOKUP(B78,DB_Customers!$A:$D,4,0),"❌ Account Not Found"))</f>
        <v/>
      </c>
      <c r="D78" s="232" t="str">
        <f t="shared" ref="D78:D109" ca="1" si="9">IF(B78="","",TODAY())</f>
        <v/>
      </c>
      <c r="E78" s="233"/>
      <c r="F78" s="231"/>
      <c r="G78" s="234"/>
      <c r="H78" s="235">
        <v>2.5</v>
      </c>
      <c r="I78" s="236" t="str">
        <f t="shared" ref="I78:I109" si="10">IF(E78="","",E78+(E78*H78/100*G78))</f>
        <v/>
      </c>
      <c r="J78" s="237" t="str">
        <f t="shared" ref="J78:J109" si="11">IFERROR(I78/G78,"")</f>
        <v/>
      </c>
      <c r="K78" s="238" t="str">
        <f>IF(B78="","Pending",IF(M78="","⚠️ Enter Code",IF(IFERROR(VLOOKUP(L78,DB_Agents!$B:$I,8,0),"")=M78,"Pending","🔒 BLOCKED — Wrong Code")))</f>
        <v>Pending</v>
      </c>
      <c r="L78" s="239" t="s">
        <v>139</v>
      </c>
      <c r="M78" s="240"/>
      <c r="N78" s="230"/>
    </row>
    <row r="79" spans="1:14" ht="18" customHeight="1" x14ac:dyDescent="0.25">
      <c r="A79" s="241" t="str">
        <f t="shared" si="8"/>
        <v/>
      </c>
      <c r="B79" s="242"/>
      <c r="C79" s="243" t="str">
        <f>IF(B79="","",IFERROR(VLOOKUP(B79,DB_Customers!$A:$D,4,0),"❌ Account Not Found"))</f>
        <v/>
      </c>
      <c r="D79" s="244" t="str">
        <f t="shared" ca="1" si="9"/>
        <v/>
      </c>
      <c r="E79" s="245"/>
      <c r="F79" s="243"/>
      <c r="G79" s="246"/>
      <c r="H79" s="247">
        <v>2.5</v>
      </c>
      <c r="I79" s="248" t="str">
        <f t="shared" si="10"/>
        <v/>
      </c>
      <c r="J79" s="249" t="str">
        <f t="shared" si="11"/>
        <v/>
      </c>
      <c r="K79" s="250" t="str">
        <f>IF(B79="","Pending",IF(M79="","⚠️ Enter Code",IF(IFERROR(VLOOKUP(L79,DB_Agents!$B:$I,8,0),"")=M79,"Pending","🔒 BLOCKED — Wrong Code")))</f>
        <v>Pending</v>
      </c>
      <c r="L79" s="251" t="s">
        <v>139</v>
      </c>
      <c r="M79" s="252"/>
      <c r="N79" s="242"/>
    </row>
    <row r="80" spans="1:14" ht="18" customHeight="1" x14ac:dyDescent="0.25">
      <c r="A80" s="229" t="str">
        <f t="shared" si="8"/>
        <v/>
      </c>
      <c r="B80" s="230"/>
      <c r="C80" s="231" t="str">
        <f>IF(B80="","",IFERROR(VLOOKUP(B80,DB_Customers!$A:$D,4,0),"❌ Account Not Found"))</f>
        <v/>
      </c>
      <c r="D80" s="232" t="str">
        <f t="shared" ca="1" si="9"/>
        <v/>
      </c>
      <c r="E80" s="233"/>
      <c r="F80" s="231"/>
      <c r="G80" s="234"/>
      <c r="H80" s="235">
        <v>2.5</v>
      </c>
      <c r="I80" s="236" t="str">
        <f t="shared" si="10"/>
        <v/>
      </c>
      <c r="J80" s="237" t="str">
        <f t="shared" si="11"/>
        <v/>
      </c>
      <c r="K80" s="238" t="str">
        <f>IF(B80="","Pending",IF(M80="","⚠️ Enter Code",IF(IFERROR(VLOOKUP(L80,DB_Agents!$B:$I,8,0),"")=M80,"Pending","🔒 BLOCKED — Wrong Code")))</f>
        <v>Pending</v>
      </c>
      <c r="L80" s="239" t="s">
        <v>139</v>
      </c>
      <c r="M80" s="240"/>
      <c r="N80" s="230"/>
    </row>
    <row r="81" spans="1:14" ht="18" customHeight="1" x14ac:dyDescent="0.25">
      <c r="A81" s="241" t="str">
        <f t="shared" si="8"/>
        <v/>
      </c>
      <c r="B81" s="242"/>
      <c r="C81" s="243" t="str">
        <f>IF(B81="","",IFERROR(VLOOKUP(B81,DB_Customers!$A:$D,4,0),"❌ Account Not Found"))</f>
        <v/>
      </c>
      <c r="D81" s="244" t="str">
        <f t="shared" ca="1" si="9"/>
        <v/>
      </c>
      <c r="E81" s="245"/>
      <c r="F81" s="243"/>
      <c r="G81" s="246"/>
      <c r="H81" s="247">
        <v>2.5</v>
      </c>
      <c r="I81" s="248" t="str">
        <f t="shared" si="10"/>
        <v/>
      </c>
      <c r="J81" s="249" t="str">
        <f t="shared" si="11"/>
        <v/>
      </c>
      <c r="K81" s="250" t="str">
        <f>IF(B81="","Pending",IF(M81="","⚠️ Enter Code",IF(IFERROR(VLOOKUP(L81,DB_Agents!$B:$I,8,0),"")=M81,"Pending","🔒 BLOCKED — Wrong Code")))</f>
        <v>Pending</v>
      </c>
      <c r="L81" s="251" t="s">
        <v>139</v>
      </c>
      <c r="M81" s="252"/>
      <c r="N81" s="242"/>
    </row>
    <row r="82" spans="1:14" ht="18" customHeight="1" x14ac:dyDescent="0.25">
      <c r="A82" s="229" t="str">
        <f t="shared" si="8"/>
        <v/>
      </c>
      <c r="B82" s="230"/>
      <c r="C82" s="231" t="str">
        <f>IF(B82="","",IFERROR(VLOOKUP(B82,DB_Customers!$A:$D,4,0),"❌ Account Not Found"))</f>
        <v/>
      </c>
      <c r="D82" s="232" t="str">
        <f t="shared" ca="1" si="9"/>
        <v/>
      </c>
      <c r="E82" s="233"/>
      <c r="F82" s="231"/>
      <c r="G82" s="234"/>
      <c r="H82" s="235">
        <v>2.5</v>
      </c>
      <c r="I82" s="236" t="str">
        <f t="shared" si="10"/>
        <v/>
      </c>
      <c r="J82" s="237" t="str">
        <f t="shared" si="11"/>
        <v/>
      </c>
      <c r="K82" s="238" t="str">
        <f>IF(B82="","Pending",IF(M82="","⚠️ Enter Code",IF(IFERROR(VLOOKUP(L82,DB_Agents!$B:$I,8,0),"")=M82,"Pending","🔒 BLOCKED — Wrong Code")))</f>
        <v>Pending</v>
      </c>
      <c r="L82" s="239" t="s">
        <v>139</v>
      </c>
      <c r="M82" s="240"/>
      <c r="N82" s="230"/>
    </row>
    <row r="83" spans="1:14" ht="18" customHeight="1" x14ac:dyDescent="0.25">
      <c r="A83" s="241" t="str">
        <f t="shared" si="8"/>
        <v/>
      </c>
      <c r="B83" s="242"/>
      <c r="C83" s="243" t="str">
        <f>IF(B83="","",IFERROR(VLOOKUP(B83,DB_Customers!$A:$D,4,0),"❌ Account Not Found"))</f>
        <v/>
      </c>
      <c r="D83" s="244" t="str">
        <f t="shared" ca="1" si="9"/>
        <v/>
      </c>
      <c r="E83" s="245"/>
      <c r="F83" s="243"/>
      <c r="G83" s="246"/>
      <c r="H83" s="247">
        <v>2.5</v>
      </c>
      <c r="I83" s="248" t="str">
        <f t="shared" si="10"/>
        <v/>
      </c>
      <c r="J83" s="249" t="str">
        <f t="shared" si="11"/>
        <v/>
      </c>
      <c r="K83" s="250" t="str">
        <f>IF(B83="","Pending",IF(M83="","⚠️ Enter Code",IF(IFERROR(VLOOKUP(L83,DB_Agents!$B:$I,8,0),"")=M83,"Pending","🔒 BLOCKED — Wrong Code")))</f>
        <v>Pending</v>
      </c>
      <c r="L83" s="251" t="s">
        <v>139</v>
      </c>
      <c r="M83" s="252"/>
      <c r="N83" s="242"/>
    </row>
    <row r="84" spans="1:14" ht="18" customHeight="1" x14ac:dyDescent="0.25">
      <c r="A84" s="229" t="str">
        <f t="shared" si="8"/>
        <v/>
      </c>
      <c r="B84" s="230"/>
      <c r="C84" s="231" t="str">
        <f>IF(B84="","",IFERROR(VLOOKUP(B84,DB_Customers!$A:$D,4,0),"❌ Account Not Found"))</f>
        <v/>
      </c>
      <c r="D84" s="232" t="str">
        <f t="shared" ca="1" si="9"/>
        <v/>
      </c>
      <c r="E84" s="233"/>
      <c r="F84" s="231"/>
      <c r="G84" s="234"/>
      <c r="H84" s="235">
        <v>2.5</v>
      </c>
      <c r="I84" s="236" t="str">
        <f t="shared" si="10"/>
        <v/>
      </c>
      <c r="J84" s="237" t="str">
        <f t="shared" si="11"/>
        <v/>
      </c>
      <c r="K84" s="238" t="str">
        <f>IF(B84="","Pending",IF(M84="","⚠️ Enter Code",IF(IFERROR(VLOOKUP(L84,DB_Agents!$B:$I,8,0),"")=M84,"Pending","🔒 BLOCKED — Wrong Code")))</f>
        <v>Pending</v>
      </c>
      <c r="L84" s="239" t="s">
        <v>139</v>
      </c>
      <c r="M84" s="240"/>
      <c r="N84" s="230"/>
    </row>
    <row r="85" spans="1:14" ht="18" customHeight="1" x14ac:dyDescent="0.25">
      <c r="A85" s="241" t="str">
        <f t="shared" si="8"/>
        <v/>
      </c>
      <c r="B85" s="242"/>
      <c r="C85" s="243" t="str">
        <f>IF(B85="","",IFERROR(VLOOKUP(B85,DB_Customers!$A:$D,4,0),"❌ Account Not Found"))</f>
        <v/>
      </c>
      <c r="D85" s="244" t="str">
        <f t="shared" ca="1" si="9"/>
        <v/>
      </c>
      <c r="E85" s="245"/>
      <c r="F85" s="243"/>
      <c r="G85" s="246"/>
      <c r="H85" s="247">
        <v>2.5</v>
      </c>
      <c r="I85" s="248" t="str">
        <f t="shared" si="10"/>
        <v/>
      </c>
      <c r="J85" s="249" t="str">
        <f t="shared" si="11"/>
        <v/>
      </c>
      <c r="K85" s="250" t="str">
        <f>IF(B85="","Pending",IF(M85="","⚠️ Enter Code",IF(IFERROR(VLOOKUP(L85,DB_Agents!$B:$I,8,0),"")=M85,"Pending","🔒 BLOCKED — Wrong Code")))</f>
        <v>Pending</v>
      </c>
      <c r="L85" s="251" t="s">
        <v>139</v>
      </c>
      <c r="M85" s="252"/>
      <c r="N85" s="242"/>
    </row>
    <row r="86" spans="1:14" ht="18" customHeight="1" x14ac:dyDescent="0.25">
      <c r="A86" s="229" t="str">
        <f t="shared" si="8"/>
        <v/>
      </c>
      <c r="B86" s="230"/>
      <c r="C86" s="231" t="str">
        <f>IF(B86="","",IFERROR(VLOOKUP(B86,DB_Customers!$A:$D,4,0),"❌ Account Not Found"))</f>
        <v/>
      </c>
      <c r="D86" s="232" t="str">
        <f t="shared" ca="1" si="9"/>
        <v/>
      </c>
      <c r="E86" s="233"/>
      <c r="F86" s="231"/>
      <c r="G86" s="234"/>
      <c r="H86" s="235">
        <v>2.5</v>
      </c>
      <c r="I86" s="236" t="str">
        <f t="shared" si="10"/>
        <v/>
      </c>
      <c r="J86" s="237" t="str">
        <f t="shared" si="11"/>
        <v/>
      </c>
      <c r="K86" s="238" t="str">
        <f>IF(B86="","Pending",IF(M86="","⚠️ Enter Code",IF(IFERROR(VLOOKUP(L86,DB_Agents!$B:$I,8,0),"")=M86,"Pending","🔒 BLOCKED — Wrong Code")))</f>
        <v>Pending</v>
      </c>
      <c r="L86" s="239" t="s">
        <v>139</v>
      </c>
      <c r="M86" s="240"/>
      <c r="N86" s="230"/>
    </row>
    <row r="87" spans="1:14" ht="18" customHeight="1" x14ac:dyDescent="0.25">
      <c r="A87" s="241" t="str">
        <f t="shared" si="8"/>
        <v/>
      </c>
      <c r="B87" s="242"/>
      <c r="C87" s="243" t="str">
        <f>IF(B87="","",IFERROR(VLOOKUP(B87,DB_Customers!$A:$D,4,0),"❌ Account Not Found"))</f>
        <v/>
      </c>
      <c r="D87" s="244" t="str">
        <f t="shared" ca="1" si="9"/>
        <v/>
      </c>
      <c r="E87" s="245"/>
      <c r="F87" s="243"/>
      <c r="G87" s="246"/>
      <c r="H87" s="247">
        <v>2.5</v>
      </c>
      <c r="I87" s="248" t="str">
        <f t="shared" si="10"/>
        <v/>
      </c>
      <c r="J87" s="249" t="str">
        <f t="shared" si="11"/>
        <v/>
      </c>
      <c r="K87" s="250" t="str">
        <f>IF(B87="","Pending",IF(M87="","⚠️ Enter Code",IF(IFERROR(VLOOKUP(L87,DB_Agents!$B:$I,8,0),"")=M87,"Pending","🔒 BLOCKED — Wrong Code")))</f>
        <v>Pending</v>
      </c>
      <c r="L87" s="251" t="s">
        <v>139</v>
      </c>
      <c r="M87" s="252"/>
      <c r="N87" s="242"/>
    </row>
    <row r="88" spans="1:14" ht="18" customHeight="1" x14ac:dyDescent="0.25">
      <c r="A88" s="229" t="str">
        <f t="shared" si="8"/>
        <v/>
      </c>
      <c r="B88" s="230"/>
      <c r="C88" s="231" t="str">
        <f>IF(B88="","",IFERROR(VLOOKUP(B88,DB_Customers!$A:$D,4,0),"❌ Account Not Found"))</f>
        <v/>
      </c>
      <c r="D88" s="232" t="str">
        <f t="shared" ca="1" si="9"/>
        <v/>
      </c>
      <c r="E88" s="233"/>
      <c r="F88" s="231"/>
      <c r="G88" s="234"/>
      <c r="H88" s="235">
        <v>2.5</v>
      </c>
      <c r="I88" s="236" t="str">
        <f t="shared" si="10"/>
        <v/>
      </c>
      <c r="J88" s="237" t="str">
        <f t="shared" si="11"/>
        <v/>
      </c>
      <c r="K88" s="238" t="str">
        <f>IF(B88="","Pending",IF(M88="","⚠️ Enter Code",IF(IFERROR(VLOOKUP(L88,DB_Agents!$B:$I,8,0),"")=M88,"Pending","🔒 BLOCKED — Wrong Code")))</f>
        <v>Pending</v>
      </c>
      <c r="L88" s="239" t="s">
        <v>139</v>
      </c>
      <c r="M88" s="240"/>
      <c r="N88" s="230"/>
    </row>
    <row r="89" spans="1:14" ht="18" customHeight="1" x14ac:dyDescent="0.25">
      <c r="A89" s="241" t="str">
        <f t="shared" si="8"/>
        <v/>
      </c>
      <c r="B89" s="242"/>
      <c r="C89" s="243" t="str">
        <f>IF(B89="","",IFERROR(VLOOKUP(B89,DB_Customers!$A:$D,4,0),"❌ Account Not Found"))</f>
        <v/>
      </c>
      <c r="D89" s="244" t="str">
        <f t="shared" ca="1" si="9"/>
        <v/>
      </c>
      <c r="E89" s="245"/>
      <c r="F89" s="243"/>
      <c r="G89" s="246"/>
      <c r="H89" s="247">
        <v>2.5</v>
      </c>
      <c r="I89" s="248" t="str">
        <f t="shared" si="10"/>
        <v/>
      </c>
      <c r="J89" s="249" t="str">
        <f t="shared" si="11"/>
        <v/>
      </c>
      <c r="K89" s="250" t="str">
        <f>IF(B89="","Pending",IF(M89="","⚠️ Enter Code",IF(IFERROR(VLOOKUP(L89,DB_Agents!$B:$I,8,0),"")=M89,"Pending","🔒 BLOCKED — Wrong Code")))</f>
        <v>Pending</v>
      </c>
      <c r="L89" s="251" t="s">
        <v>139</v>
      </c>
      <c r="M89" s="252"/>
      <c r="N89" s="242"/>
    </row>
    <row r="90" spans="1:14" ht="18" customHeight="1" x14ac:dyDescent="0.25">
      <c r="A90" s="229" t="str">
        <f t="shared" si="8"/>
        <v/>
      </c>
      <c r="B90" s="230"/>
      <c r="C90" s="231" t="str">
        <f>IF(B90="","",IFERROR(VLOOKUP(B90,DB_Customers!$A:$D,4,0),"❌ Account Not Found"))</f>
        <v/>
      </c>
      <c r="D90" s="232" t="str">
        <f t="shared" ca="1" si="9"/>
        <v/>
      </c>
      <c r="E90" s="233"/>
      <c r="F90" s="231"/>
      <c r="G90" s="234"/>
      <c r="H90" s="235">
        <v>2.5</v>
      </c>
      <c r="I90" s="236" t="str">
        <f t="shared" si="10"/>
        <v/>
      </c>
      <c r="J90" s="237" t="str">
        <f t="shared" si="11"/>
        <v/>
      </c>
      <c r="K90" s="238" t="str">
        <f>IF(B90="","Pending",IF(M90="","⚠️ Enter Code",IF(IFERROR(VLOOKUP(L90,DB_Agents!$B:$I,8,0),"")=M90,"Pending","🔒 BLOCKED — Wrong Code")))</f>
        <v>Pending</v>
      </c>
      <c r="L90" s="239" t="s">
        <v>139</v>
      </c>
      <c r="M90" s="240"/>
      <c r="N90" s="230"/>
    </row>
    <row r="91" spans="1:14" ht="18" customHeight="1" x14ac:dyDescent="0.25">
      <c r="A91" s="241" t="str">
        <f t="shared" si="8"/>
        <v/>
      </c>
      <c r="B91" s="242"/>
      <c r="C91" s="243" t="str">
        <f>IF(B91="","",IFERROR(VLOOKUP(B91,DB_Customers!$A:$D,4,0),"❌ Account Not Found"))</f>
        <v/>
      </c>
      <c r="D91" s="244" t="str">
        <f t="shared" ca="1" si="9"/>
        <v/>
      </c>
      <c r="E91" s="245"/>
      <c r="F91" s="243"/>
      <c r="G91" s="246"/>
      <c r="H91" s="247">
        <v>2.5</v>
      </c>
      <c r="I91" s="248" t="str">
        <f t="shared" si="10"/>
        <v/>
      </c>
      <c r="J91" s="249" t="str">
        <f t="shared" si="11"/>
        <v/>
      </c>
      <c r="K91" s="250" t="str">
        <f>IF(B91="","Pending",IF(M91="","⚠️ Enter Code",IF(IFERROR(VLOOKUP(L91,DB_Agents!$B:$I,8,0),"")=M91,"Pending","🔒 BLOCKED — Wrong Code")))</f>
        <v>Pending</v>
      </c>
      <c r="L91" s="251" t="s">
        <v>139</v>
      </c>
      <c r="M91" s="252"/>
      <c r="N91" s="242"/>
    </row>
    <row r="92" spans="1:14" ht="18" customHeight="1" x14ac:dyDescent="0.25">
      <c r="A92" s="229" t="str">
        <f t="shared" si="8"/>
        <v/>
      </c>
      <c r="B92" s="230"/>
      <c r="C92" s="231" t="str">
        <f>IF(B92="","",IFERROR(VLOOKUP(B92,DB_Customers!$A:$D,4,0),"❌ Account Not Found"))</f>
        <v/>
      </c>
      <c r="D92" s="232" t="str">
        <f t="shared" ca="1" si="9"/>
        <v/>
      </c>
      <c r="E92" s="233"/>
      <c r="F92" s="231"/>
      <c r="G92" s="234"/>
      <c r="H92" s="235">
        <v>2.5</v>
      </c>
      <c r="I92" s="236" t="str">
        <f t="shared" si="10"/>
        <v/>
      </c>
      <c r="J92" s="237" t="str">
        <f t="shared" si="11"/>
        <v/>
      </c>
      <c r="K92" s="238" t="str">
        <f>IF(B92="","Pending",IF(M92="","⚠️ Enter Code",IF(IFERROR(VLOOKUP(L92,DB_Agents!$B:$I,8,0),"")=M92,"Pending","🔒 BLOCKED — Wrong Code")))</f>
        <v>Pending</v>
      </c>
      <c r="L92" s="239" t="s">
        <v>139</v>
      </c>
      <c r="M92" s="240"/>
      <c r="N92" s="230"/>
    </row>
    <row r="93" spans="1:14" ht="18" customHeight="1" x14ac:dyDescent="0.25">
      <c r="A93" s="241" t="str">
        <f t="shared" si="8"/>
        <v/>
      </c>
      <c r="B93" s="242"/>
      <c r="C93" s="243" t="str">
        <f>IF(B93="","",IFERROR(VLOOKUP(B93,DB_Customers!$A:$D,4,0),"❌ Account Not Found"))</f>
        <v/>
      </c>
      <c r="D93" s="244" t="str">
        <f t="shared" ca="1" si="9"/>
        <v/>
      </c>
      <c r="E93" s="245"/>
      <c r="F93" s="243"/>
      <c r="G93" s="246"/>
      <c r="H93" s="247">
        <v>2.5</v>
      </c>
      <c r="I93" s="248" t="str">
        <f t="shared" si="10"/>
        <v/>
      </c>
      <c r="J93" s="249" t="str">
        <f t="shared" si="11"/>
        <v/>
      </c>
      <c r="K93" s="250" t="str">
        <f>IF(B93="","Pending",IF(M93="","⚠️ Enter Code",IF(IFERROR(VLOOKUP(L93,DB_Agents!$B:$I,8,0),"")=M93,"Pending","🔒 BLOCKED — Wrong Code")))</f>
        <v>Pending</v>
      </c>
      <c r="L93" s="251" t="s">
        <v>139</v>
      </c>
      <c r="M93" s="252"/>
      <c r="N93" s="242"/>
    </row>
    <row r="94" spans="1:14" ht="18" customHeight="1" x14ac:dyDescent="0.25">
      <c r="A94" s="229" t="str">
        <f t="shared" si="8"/>
        <v/>
      </c>
      <c r="B94" s="230"/>
      <c r="C94" s="231" t="str">
        <f>IF(B94="","",IFERROR(VLOOKUP(B94,DB_Customers!$A:$D,4,0),"❌ Account Not Found"))</f>
        <v/>
      </c>
      <c r="D94" s="232" t="str">
        <f t="shared" ca="1" si="9"/>
        <v/>
      </c>
      <c r="E94" s="233"/>
      <c r="F94" s="231"/>
      <c r="G94" s="234"/>
      <c r="H94" s="235">
        <v>2.5</v>
      </c>
      <c r="I94" s="236" t="str">
        <f t="shared" si="10"/>
        <v/>
      </c>
      <c r="J94" s="237" t="str">
        <f t="shared" si="11"/>
        <v/>
      </c>
      <c r="K94" s="238" t="str">
        <f>IF(B94="","Pending",IF(M94="","⚠️ Enter Code",IF(IFERROR(VLOOKUP(L94,DB_Agents!$B:$I,8,0),"")=M94,"Pending","🔒 BLOCKED — Wrong Code")))</f>
        <v>Pending</v>
      </c>
      <c r="L94" s="239" t="s">
        <v>139</v>
      </c>
      <c r="M94" s="240"/>
      <c r="N94" s="230"/>
    </row>
    <row r="95" spans="1:14" ht="18" customHeight="1" x14ac:dyDescent="0.25">
      <c r="A95" s="241" t="str">
        <f t="shared" si="8"/>
        <v/>
      </c>
      <c r="B95" s="242"/>
      <c r="C95" s="243" t="str">
        <f>IF(B95="","",IFERROR(VLOOKUP(B95,DB_Customers!$A:$D,4,0),"❌ Account Not Found"))</f>
        <v/>
      </c>
      <c r="D95" s="244" t="str">
        <f t="shared" ca="1" si="9"/>
        <v/>
      </c>
      <c r="E95" s="245"/>
      <c r="F95" s="243"/>
      <c r="G95" s="246"/>
      <c r="H95" s="247">
        <v>2.5</v>
      </c>
      <c r="I95" s="248" t="str">
        <f t="shared" si="10"/>
        <v/>
      </c>
      <c r="J95" s="249" t="str">
        <f t="shared" si="11"/>
        <v/>
      </c>
      <c r="K95" s="250" t="str">
        <f>IF(B95="","Pending",IF(M95="","⚠️ Enter Code",IF(IFERROR(VLOOKUP(L95,DB_Agents!$B:$I,8,0),"")=M95,"Pending","🔒 BLOCKED — Wrong Code")))</f>
        <v>Pending</v>
      </c>
      <c r="L95" s="251" t="s">
        <v>139</v>
      </c>
      <c r="M95" s="252"/>
      <c r="N95" s="242"/>
    </row>
    <row r="96" spans="1:14" ht="18" customHeight="1" x14ac:dyDescent="0.25">
      <c r="A96" s="229" t="str">
        <f t="shared" si="8"/>
        <v/>
      </c>
      <c r="B96" s="230"/>
      <c r="C96" s="231" t="str">
        <f>IF(B96="","",IFERROR(VLOOKUP(B96,DB_Customers!$A:$D,4,0),"❌ Account Not Found"))</f>
        <v/>
      </c>
      <c r="D96" s="232" t="str">
        <f t="shared" ca="1" si="9"/>
        <v/>
      </c>
      <c r="E96" s="233"/>
      <c r="F96" s="231"/>
      <c r="G96" s="234"/>
      <c r="H96" s="235">
        <v>2.5</v>
      </c>
      <c r="I96" s="236" t="str">
        <f t="shared" si="10"/>
        <v/>
      </c>
      <c r="J96" s="237" t="str">
        <f t="shared" si="11"/>
        <v/>
      </c>
      <c r="K96" s="238" t="str">
        <f>IF(B96="","Pending",IF(M96="","⚠️ Enter Code",IF(IFERROR(VLOOKUP(L96,DB_Agents!$B:$I,8,0),"")=M96,"Pending","🔒 BLOCKED — Wrong Code")))</f>
        <v>Pending</v>
      </c>
      <c r="L96" s="239" t="s">
        <v>139</v>
      </c>
      <c r="M96" s="240"/>
      <c r="N96" s="230"/>
    </row>
    <row r="97" spans="1:14" ht="18" customHeight="1" x14ac:dyDescent="0.25">
      <c r="A97" s="241" t="str">
        <f t="shared" si="8"/>
        <v/>
      </c>
      <c r="B97" s="242"/>
      <c r="C97" s="243" t="str">
        <f>IF(B97="","",IFERROR(VLOOKUP(B97,DB_Customers!$A:$D,4,0),"❌ Account Not Found"))</f>
        <v/>
      </c>
      <c r="D97" s="244" t="str">
        <f t="shared" ca="1" si="9"/>
        <v/>
      </c>
      <c r="E97" s="245"/>
      <c r="F97" s="243"/>
      <c r="G97" s="246"/>
      <c r="H97" s="247">
        <v>2.5</v>
      </c>
      <c r="I97" s="248" t="str">
        <f t="shared" si="10"/>
        <v/>
      </c>
      <c r="J97" s="249" t="str">
        <f t="shared" si="11"/>
        <v/>
      </c>
      <c r="K97" s="250" t="str">
        <f>IF(B97="","Pending",IF(M97="","⚠️ Enter Code",IF(IFERROR(VLOOKUP(L97,DB_Agents!$B:$I,8,0),"")=M97,"Pending","🔒 BLOCKED — Wrong Code")))</f>
        <v>Pending</v>
      </c>
      <c r="L97" s="251" t="s">
        <v>139</v>
      </c>
      <c r="M97" s="252"/>
      <c r="N97" s="242"/>
    </row>
    <row r="98" spans="1:14" ht="18" customHeight="1" x14ac:dyDescent="0.25">
      <c r="A98" s="229" t="str">
        <f t="shared" si="8"/>
        <v/>
      </c>
      <c r="B98" s="230"/>
      <c r="C98" s="231" t="str">
        <f>IF(B98="","",IFERROR(VLOOKUP(B98,DB_Customers!$A:$D,4,0),"❌ Account Not Found"))</f>
        <v/>
      </c>
      <c r="D98" s="232" t="str">
        <f t="shared" ca="1" si="9"/>
        <v/>
      </c>
      <c r="E98" s="233"/>
      <c r="F98" s="231"/>
      <c r="G98" s="234"/>
      <c r="H98" s="235">
        <v>2.5</v>
      </c>
      <c r="I98" s="236" t="str">
        <f t="shared" si="10"/>
        <v/>
      </c>
      <c r="J98" s="237" t="str">
        <f t="shared" si="11"/>
        <v/>
      </c>
      <c r="K98" s="238" t="str">
        <f>IF(B98="","Pending",IF(M98="","⚠️ Enter Code",IF(IFERROR(VLOOKUP(L98,DB_Agents!$B:$I,8,0),"")=M98,"Pending","🔒 BLOCKED — Wrong Code")))</f>
        <v>Pending</v>
      </c>
      <c r="L98" s="239" t="s">
        <v>139</v>
      </c>
      <c r="M98" s="240"/>
      <c r="N98" s="230"/>
    </row>
    <row r="99" spans="1:14" ht="18" customHeight="1" x14ac:dyDescent="0.25">
      <c r="A99" s="241" t="str">
        <f t="shared" si="8"/>
        <v/>
      </c>
      <c r="B99" s="242"/>
      <c r="C99" s="243" t="str">
        <f>IF(B99="","",IFERROR(VLOOKUP(B99,DB_Customers!$A:$D,4,0),"❌ Account Not Found"))</f>
        <v/>
      </c>
      <c r="D99" s="244" t="str">
        <f t="shared" ca="1" si="9"/>
        <v/>
      </c>
      <c r="E99" s="245"/>
      <c r="F99" s="243"/>
      <c r="G99" s="246"/>
      <c r="H99" s="247">
        <v>2.5</v>
      </c>
      <c r="I99" s="248" t="str">
        <f t="shared" si="10"/>
        <v/>
      </c>
      <c r="J99" s="249" t="str">
        <f t="shared" si="11"/>
        <v/>
      </c>
      <c r="K99" s="250" t="str">
        <f>IF(B99="","Pending",IF(M99="","⚠️ Enter Code",IF(IFERROR(VLOOKUP(L99,DB_Agents!$B:$I,8,0),"")=M99,"Pending","🔒 BLOCKED — Wrong Code")))</f>
        <v>Pending</v>
      </c>
      <c r="L99" s="251" t="s">
        <v>139</v>
      </c>
      <c r="M99" s="252"/>
      <c r="N99" s="242"/>
    </row>
    <row r="100" spans="1:14" ht="18" customHeight="1" x14ac:dyDescent="0.25">
      <c r="A100" s="229" t="str">
        <f t="shared" si="8"/>
        <v/>
      </c>
      <c r="B100" s="230"/>
      <c r="C100" s="231" t="str">
        <f>IF(B100="","",IFERROR(VLOOKUP(B100,DB_Customers!$A:$D,4,0),"❌ Account Not Found"))</f>
        <v/>
      </c>
      <c r="D100" s="232" t="str">
        <f t="shared" ca="1" si="9"/>
        <v/>
      </c>
      <c r="E100" s="233"/>
      <c r="F100" s="231"/>
      <c r="G100" s="234"/>
      <c r="H100" s="235">
        <v>2.5</v>
      </c>
      <c r="I100" s="236" t="str">
        <f t="shared" si="10"/>
        <v/>
      </c>
      <c r="J100" s="237" t="str">
        <f t="shared" si="11"/>
        <v/>
      </c>
      <c r="K100" s="238" t="str">
        <f>IF(B100="","Pending",IF(M100="","⚠️ Enter Code",IF(IFERROR(VLOOKUP(L100,DB_Agents!$B:$I,8,0),"")=M100,"Pending","🔒 BLOCKED — Wrong Code")))</f>
        <v>Pending</v>
      </c>
      <c r="L100" s="239" t="s">
        <v>139</v>
      </c>
      <c r="M100" s="240"/>
      <c r="N100" s="230"/>
    </row>
    <row r="101" spans="1:14" ht="18" customHeight="1" x14ac:dyDescent="0.25">
      <c r="A101" s="241" t="str">
        <f t="shared" si="8"/>
        <v/>
      </c>
      <c r="B101" s="242"/>
      <c r="C101" s="243" t="str">
        <f>IF(B101="","",IFERROR(VLOOKUP(B101,DB_Customers!$A:$D,4,0),"❌ Account Not Found"))</f>
        <v/>
      </c>
      <c r="D101" s="244" t="str">
        <f t="shared" ca="1" si="9"/>
        <v/>
      </c>
      <c r="E101" s="245"/>
      <c r="F101" s="243"/>
      <c r="G101" s="246"/>
      <c r="H101" s="247">
        <v>2.5</v>
      </c>
      <c r="I101" s="248" t="str">
        <f t="shared" si="10"/>
        <v/>
      </c>
      <c r="J101" s="249" t="str">
        <f t="shared" si="11"/>
        <v/>
      </c>
      <c r="K101" s="250" t="str">
        <f>IF(B101="","Pending",IF(M101="","⚠️ Enter Code",IF(IFERROR(VLOOKUP(L101,DB_Agents!$B:$I,8,0),"")=M101,"Pending","🔒 BLOCKED — Wrong Code")))</f>
        <v>Pending</v>
      </c>
      <c r="L101" s="251" t="s">
        <v>139</v>
      </c>
      <c r="M101" s="252"/>
      <c r="N101" s="242"/>
    </row>
    <row r="102" spans="1:14" ht="18" customHeight="1" x14ac:dyDescent="0.25">
      <c r="A102" s="229" t="str">
        <f t="shared" si="8"/>
        <v/>
      </c>
      <c r="B102" s="230"/>
      <c r="C102" s="231" t="str">
        <f>IF(B102="","",IFERROR(VLOOKUP(B102,DB_Customers!$A:$D,4,0),"❌ Account Not Found"))</f>
        <v/>
      </c>
      <c r="D102" s="232" t="str">
        <f t="shared" ca="1" si="9"/>
        <v/>
      </c>
      <c r="E102" s="233"/>
      <c r="F102" s="231"/>
      <c r="G102" s="234"/>
      <c r="H102" s="235">
        <v>2.5</v>
      </c>
      <c r="I102" s="236" t="str">
        <f t="shared" si="10"/>
        <v/>
      </c>
      <c r="J102" s="237" t="str">
        <f t="shared" si="11"/>
        <v/>
      </c>
      <c r="K102" s="238" t="str">
        <f>IF(B102="","Pending",IF(M102="","⚠️ Enter Code",IF(IFERROR(VLOOKUP(L102,DB_Agents!$B:$I,8,0),"")=M102,"Pending","🔒 BLOCKED — Wrong Code")))</f>
        <v>Pending</v>
      </c>
      <c r="L102" s="239" t="s">
        <v>139</v>
      </c>
      <c r="M102" s="240"/>
      <c r="N102" s="230"/>
    </row>
    <row r="103" spans="1:14" ht="18" customHeight="1" x14ac:dyDescent="0.25">
      <c r="A103" s="241" t="str">
        <f t="shared" si="8"/>
        <v/>
      </c>
      <c r="B103" s="242"/>
      <c r="C103" s="243" t="str">
        <f>IF(B103="","",IFERROR(VLOOKUP(B103,DB_Customers!$A:$D,4,0),"❌ Account Not Found"))</f>
        <v/>
      </c>
      <c r="D103" s="244" t="str">
        <f t="shared" ca="1" si="9"/>
        <v/>
      </c>
      <c r="E103" s="245"/>
      <c r="F103" s="243"/>
      <c r="G103" s="246"/>
      <c r="H103" s="247">
        <v>2.5</v>
      </c>
      <c r="I103" s="248" t="str">
        <f t="shared" si="10"/>
        <v/>
      </c>
      <c r="J103" s="249" t="str">
        <f t="shared" si="11"/>
        <v/>
      </c>
      <c r="K103" s="250" t="str">
        <f>IF(B103="","Pending",IF(M103="","⚠️ Enter Code",IF(IFERROR(VLOOKUP(L103,DB_Agents!$B:$I,8,0),"")=M103,"Pending","🔒 BLOCKED — Wrong Code")))</f>
        <v>Pending</v>
      </c>
      <c r="L103" s="251" t="s">
        <v>139</v>
      </c>
      <c r="M103" s="252"/>
      <c r="N103" s="242"/>
    </row>
    <row r="104" spans="1:14" ht="18" customHeight="1" x14ac:dyDescent="0.25">
      <c r="A104" s="229" t="str">
        <f t="shared" si="8"/>
        <v/>
      </c>
      <c r="B104" s="230"/>
      <c r="C104" s="231" t="str">
        <f>IF(B104="","",IFERROR(VLOOKUP(B104,DB_Customers!$A:$D,4,0),"❌ Account Not Found"))</f>
        <v/>
      </c>
      <c r="D104" s="232" t="str">
        <f t="shared" ca="1" si="9"/>
        <v/>
      </c>
      <c r="E104" s="233"/>
      <c r="F104" s="231"/>
      <c r="G104" s="234"/>
      <c r="H104" s="235">
        <v>2.5</v>
      </c>
      <c r="I104" s="236" t="str">
        <f t="shared" si="10"/>
        <v/>
      </c>
      <c r="J104" s="237" t="str">
        <f t="shared" si="11"/>
        <v/>
      </c>
      <c r="K104" s="238" t="str">
        <f>IF(B104="","Pending",IF(M104="","⚠️ Enter Code",IF(IFERROR(VLOOKUP(L104,DB_Agents!$B:$I,8,0),"")=M104,"Pending","🔒 BLOCKED — Wrong Code")))</f>
        <v>Pending</v>
      </c>
      <c r="L104" s="239" t="s">
        <v>139</v>
      </c>
      <c r="M104" s="240"/>
      <c r="N104" s="230"/>
    </row>
    <row r="105" spans="1:14" ht="18" customHeight="1" x14ac:dyDescent="0.25">
      <c r="A105" s="241" t="str">
        <f t="shared" si="8"/>
        <v/>
      </c>
      <c r="B105" s="242"/>
      <c r="C105" s="243" t="str">
        <f>IF(B105="","",IFERROR(VLOOKUP(B105,DB_Customers!$A:$D,4,0),"❌ Account Not Found"))</f>
        <v/>
      </c>
      <c r="D105" s="244" t="str">
        <f t="shared" ca="1" si="9"/>
        <v/>
      </c>
      <c r="E105" s="245"/>
      <c r="F105" s="243"/>
      <c r="G105" s="246"/>
      <c r="H105" s="247">
        <v>2.5</v>
      </c>
      <c r="I105" s="248" t="str">
        <f t="shared" si="10"/>
        <v/>
      </c>
      <c r="J105" s="249" t="str">
        <f t="shared" si="11"/>
        <v/>
      </c>
      <c r="K105" s="250" t="str">
        <f>IF(B105="","Pending",IF(M105="","⚠️ Enter Code",IF(IFERROR(VLOOKUP(L105,DB_Agents!$B:$I,8,0),"")=M105,"Pending","🔒 BLOCKED — Wrong Code")))</f>
        <v>Pending</v>
      </c>
      <c r="L105" s="251" t="s">
        <v>139</v>
      </c>
      <c r="M105" s="252"/>
      <c r="N105" s="242"/>
    </row>
    <row r="106" spans="1:14" ht="18" customHeight="1" x14ac:dyDescent="0.25">
      <c r="A106" s="229" t="str">
        <f t="shared" si="8"/>
        <v/>
      </c>
      <c r="B106" s="230"/>
      <c r="C106" s="231" t="str">
        <f>IF(B106="","",IFERROR(VLOOKUP(B106,DB_Customers!$A:$D,4,0),"❌ Account Not Found"))</f>
        <v/>
      </c>
      <c r="D106" s="232" t="str">
        <f t="shared" ca="1" si="9"/>
        <v/>
      </c>
      <c r="E106" s="233"/>
      <c r="F106" s="231"/>
      <c r="G106" s="234"/>
      <c r="H106" s="235">
        <v>2.5</v>
      </c>
      <c r="I106" s="236" t="str">
        <f t="shared" si="10"/>
        <v/>
      </c>
      <c r="J106" s="237" t="str">
        <f t="shared" si="11"/>
        <v/>
      </c>
      <c r="K106" s="238" t="str">
        <f>IF(B106="","Pending",IF(M106="","⚠️ Enter Code",IF(IFERROR(VLOOKUP(L106,DB_Agents!$B:$I,8,0),"")=M106,"Pending","🔒 BLOCKED — Wrong Code")))</f>
        <v>Pending</v>
      </c>
      <c r="L106" s="239" t="s">
        <v>139</v>
      </c>
      <c r="M106" s="240"/>
      <c r="N106" s="230"/>
    </row>
    <row r="107" spans="1:14" ht="18" customHeight="1" x14ac:dyDescent="0.25">
      <c r="A107" s="241" t="str">
        <f t="shared" si="8"/>
        <v/>
      </c>
      <c r="B107" s="242"/>
      <c r="C107" s="243" t="str">
        <f>IF(B107="","",IFERROR(VLOOKUP(B107,DB_Customers!$A:$D,4,0),"❌ Account Not Found"))</f>
        <v/>
      </c>
      <c r="D107" s="244" t="str">
        <f t="shared" ca="1" si="9"/>
        <v/>
      </c>
      <c r="E107" s="245"/>
      <c r="F107" s="243"/>
      <c r="G107" s="246"/>
      <c r="H107" s="247">
        <v>2.5</v>
      </c>
      <c r="I107" s="248" t="str">
        <f t="shared" si="10"/>
        <v/>
      </c>
      <c r="J107" s="249" t="str">
        <f t="shared" si="11"/>
        <v/>
      </c>
      <c r="K107" s="250" t="str">
        <f>IF(B107="","Pending",IF(M107="","⚠️ Enter Code",IF(IFERROR(VLOOKUP(L107,DB_Agents!$B:$I,8,0),"")=M107,"Pending","🔒 BLOCKED — Wrong Code")))</f>
        <v>Pending</v>
      </c>
      <c r="L107" s="251" t="s">
        <v>139</v>
      </c>
      <c r="M107" s="252"/>
      <c r="N107" s="242"/>
    </row>
    <row r="108" spans="1:14" ht="18" customHeight="1" x14ac:dyDescent="0.25">
      <c r="A108" s="229" t="str">
        <f t="shared" si="8"/>
        <v/>
      </c>
      <c r="B108" s="230"/>
      <c r="C108" s="231" t="str">
        <f>IF(B108="","",IFERROR(VLOOKUP(B108,DB_Customers!$A:$D,4,0),"❌ Account Not Found"))</f>
        <v/>
      </c>
      <c r="D108" s="232" t="str">
        <f t="shared" ca="1" si="9"/>
        <v/>
      </c>
      <c r="E108" s="233"/>
      <c r="F108" s="231"/>
      <c r="G108" s="234"/>
      <c r="H108" s="235">
        <v>2.5</v>
      </c>
      <c r="I108" s="236" t="str">
        <f t="shared" si="10"/>
        <v/>
      </c>
      <c r="J108" s="237" t="str">
        <f t="shared" si="11"/>
        <v/>
      </c>
      <c r="K108" s="238" t="str">
        <f>IF(B108="","Pending",IF(M108="","⚠️ Enter Code",IF(IFERROR(VLOOKUP(L108,DB_Agents!$B:$I,8,0),"")=M108,"Pending","🔒 BLOCKED — Wrong Code")))</f>
        <v>Pending</v>
      </c>
      <c r="L108" s="239" t="s">
        <v>139</v>
      </c>
      <c r="M108" s="240"/>
      <c r="N108" s="230"/>
    </row>
    <row r="109" spans="1:14" ht="18" customHeight="1" x14ac:dyDescent="0.25">
      <c r="A109" s="241" t="str">
        <f t="shared" si="8"/>
        <v/>
      </c>
      <c r="B109" s="242"/>
      <c r="C109" s="243" t="str">
        <f>IF(B109="","",IFERROR(VLOOKUP(B109,DB_Customers!$A:$D,4,0),"❌ Account Not Found"))</f>
        <v/>
      </c>
      <c r="D109" s="244" t="str">
        <f t="shared" ca="1" si="9"/>
        <v/>
      </c>
      <c r="E109" s="245"/>
      <c r="F109" s="243"/>
      <c r="G109" s="246"/>
      <c r="H109" s="247">
        <v>2.5</v>
      </c>
      <c r="I109" s="248" t="str">
        <f t="shared" si="10"/>
        <v/>
      </c>
      <c r="J109" s="249" t="str">
        <f t="shared" si="11"/>
        <v/>
      </c>
      <c r="K109" s="250" t="str">
        <f>IF(B109="","Pending",IF(M109="","⚠️ Enter Code",IF(IFERROR(VLOOKUP(L109,DB_Agents!$B:$I,8,0),"")=M109,"Pending","🔒 BLOCKED — Wrong Code")))</f>
        <v>Pending</v>
      </c>
      <c r="L109" s="251" t="s">
        <v>139</v>
      </c>
      <c r="M109" s="252"/>
      <c r="N109" s="242"/>
    </row>
    <row r="110" spans="1:14" ht="18" customHeight="1" x14ac:dyDescent="0.25">
      <c r="A110" s="229" t="str">
        <f t="shared" ref="A110:A141" si="12">IF(B110="","",IF(C110="❌ Account Not Found","INVALID","LN"&amp;TEXT(D110,"YYYYMMDD")&amp;TEXT(ROW()-13,"0000")))</f>
        <v/>
      </c>
      <c r="B110" s="230"/>
      <c r="C110" s="231" t="str">
        <f>IF(B110="","",IFERROR(VLOOKUP(B110,DB_Customers!$A:$D,4,0),"❌ Account Not Found"))</f>
        <v/>
      </c>
      <c r="D110" s="232" t="str">
        <f t="shared" ref="D110:D141" ca="1" si="13">IF(B110="","",TODAY())</f>
        <v/>
      </c>
      <c r="E110" s="233"/>
      <c r="F110" s="231"/>
      <c r="G110" s="234"/>
      <c r="H110" s="235">
        <v>2.5</v>
      </c>
      <c r="I110" s="236" t="str">
        <f t="shared" ref="I110:I141" si="14">IF(E110="","",E110+(E110*H110/100*G110))</f>
        <v/>
      </c>
      <c r="J110" s="237" t="str">
        <f t="shared" ref="J110:J141" si="15">IFERROR(I110/G110,"")</f>
        <v/>
      </c>
      <c r="K110" s="238" t="str">
        <f>IF(B110="","Pending",IF(M110="","⚠️ Enter Code",IF(IFERROR(VLOOKUP(L110,DB_Agents!$B:$I,8,0),"")=M110,"Pending","🔒 BLOCKED — Wrong Code")))</f>
        <v>Pending</v>
      </c>
      <c r="L110" s="239" t="s">
        <v>139</v>
      </c>
      <c r="M110" s="240"/>
      <c r="N110" s="230"/>
    </row>
    <row r="111" spans="1:14" ht="18" customHeight="1" x14ac:dyDescent="0.25">
      <c r="A111" s="241" t="str">
        <f t="shared" si="12"/>
        <v/>
      </c>
      <c r="B111" s="242"/>
      <c r="C111" s="243" t="str">
        <f>IF(B111="","",IFERROR(VLOOKUP(B111,DB_Customers!$A:$D,4,0),"❌ Account Not Found"))</f>
        <v/>
      </c>
      <c r="D111" s="244" t="str">
        <f t="shared" ca="1" si="13"/>
        <v/>
      </c>
      <c r="E111" s="245"/>
      <c r="F111" s="243"/>
      <c r="G111" s="246"/>
      <c r="H111" s="247">
        <v>2.5</v>
      </c>
      <c r="I111" s="248" t="str">
        <f t="shared" si="14"/>
        <v/>
      </c>
      <c r="J111" s="249" t="str">
        <f t="shared" si="15"/>
        <v/>
      </c>
      <c r="K111" s="250" t="str">
        <f>IF(B111="","Pending",IF(M111="","⚠️ Enter Code",IF(IFERROR(VLOOKUP(L111,DB_Agents!$B:$I,8,0),"")=M111,"Pending","🔒 BLOCKED — Wrong Code")))</f>
        <v>Pending</v>
      </c>
      <c r="L111" s="251" t="s">
        <v>139</v>
      </c>
      <c r="M111" s="252"/>
      <c r="N111" s="242"/>
    </row>
    <row r="112" spans="1:14" ht="18" customHeight="1" x14ac:dyDescent="0.25">
      <c r="A112" s="229" t="str">
        <f t="shared" si="12"/>
        <v/>
      </c>
      <c r="B112" s="230"/>
      <c r="C112" s="231" t="str">
        <f>IF(B112="","",IFERROR(VLOOKUP(B112,DB_Customers!$A:$D,4,0),"❌ Account Not Found"))</f>
        <v/>
      </c>
      <c r="D112" s="232" t="str">
        <f t="shared" ca="1" si="13"/>
        <v/>
      </c>
      <c r="E112" s="233"/>
      <c r="F112" s="231"/>
      <c r="G112" s="234"/>
      <c r="H112" s="235">
        <v>2.5</v>
      </c>
      <c r="I112" s="236" t="str">
        <f t="shared" si="14"/>
        <v/>
      </c>
      <c r="J112" s="237" t="str">
        <f t="shared" si="15"/>
        <v/>
      </c>
      <c r="K112" s="238" t="str">
        <f>IF(B112="","Pending",IF(M112="","⚠️ Enter Code",IF(IFERROR(VLOOKUP(L112,DB_Agents!$B:$I,8,0),"")=M112,"Pending","🔒 BLOCKED — Wrong Code")))</f>
        <v>Pending</v>
      </c>
      <c r="L112" s="239" t="s">
        <v>139</v>
      </c>
      <c r="M112" s="240"/>
      <c r="N112" s="230"/>
    </row>
    <row r="113" spans="1:14" ht="18" customHeight="1" x14ac:dyDescent="0.25">
      <c r="A113" s="241" t="str">
        <f t="shared" si="12"/>
        <v/>
      </c>
      <c r="B113" s="242"/>
      <c r="C113" s="243" t="str">
        <f>IF(B113="","",IFERROR(VLOOKUP(B113,DB_Customers!$A:$D,4,0),"❌ Account Not Found"))</f>
        <v/>
      </c>
      <c r="D113" s="244" t="str">
        <f t="shared" ca="1" si="13"/>
        <v/>
      </c>
      <c r="E113" s="245"/>
      <c r="F113" s="243"/>
      <c r="G113" s="246"/>
      <c r="H113" s="247">
        <v>2.5</v>
      </c>
      <c r="I113" s="248" t="str">
        <f t="shared" si="14"/>
        <v/>
      </c>
      <c r="J113" s="249" t="str">
        <f t="shared" si="15"/>
        <v/>
      </c>
      <c r="K113" s="250" t="str">
        <f>IF(B113="","Pending",IF(M113="","⚠️ Enter Code",IF(IFERROR(VLOOKUP(L113,DB_Agents!$B:$I,8,0),"")=M113,"Pending","🔒 BLOCKED — Wrong Code")))</f>
        <v>Pending</v>
      </c>
      <c r="L113" s="251" t="s">
        <v>139</v>
      </c>
      <c r="M113" s="252"/>
      <c r="N113" s="242"/>
    </row>
    <row r="114" spans="1:14" ht="18" customHeight="1" x14ac:dyDescent="0.25">
      <c r="A114" s="253" t="str">
        <f t="shared" si="12"/>
        <v/>
      </c>
      <c r="B114" s="254"/>
      <c r="C114" s="254" t="str">
        <f>IF(B114="","",IFERROR(VLOOKUP(B114,DB_Customers!$A:$D,4,0),"❌ Account Not Found"))</f>
        <v/>
      </c>
      <c r="D114" s="253" t="str">
        <f t="shared" ca="1" si="13"/>
        <v/>
      </c>
      <c r="E114" s="254"/>
      <c r="F114" s="254"/>
      <c r="G114" s="253"/>
      <c r="H114" s="255">
        <v>2.5</v>
      </c>
      <c r="I114" s="253" t="str">
        <f t="shared" si="14"/>
        <v/>
      </c>
      <c r="J114" s="253" t="str">
        <f t="shared" si="15"/>
        <v/>
      </c>
      <c r="K114" s="253" t="str">
        <f>IF(B114="","Pending",IF(M114="","⚠️ Enter Code",IF(IFERROR(VLOOKUP(L114,DB_Agents!$B:$I,8,0),"")=M114,"Pending","🔒 BLOCKED — Wrong Code")))</f>
        <v>Pending</v>
      </c>
      <c r="L114" s="253" t="s">
        <v>139</v>
      </c>
      <c r="M114" s="240"/>
      <c r="N114" s="254"/>
    </row>
    <row r="115" spans="1:14" ht="18" customHeight="1" x14ac:dyDescent="0.25">
      <c r="A115" s="256" t="str">
        <f t="shared" si="12"/>
        <v/>
      </c>
      <c r="B115" s="257"/>
      <c r="C115" s="257" t="str">
        <f>IF(B115="","",IFERROR(VLOOKUP(B115,DB_Customers!$A:$D,4,0),"❌ Account Not Found"))</f>
        <v/>
      </c>
      <c r="D115" s="256" t="str">
        <f t="shared" ca="1" si="13"/>
        <v/>
      </c>
      <c r="E115" s="257"/>
      <c r="F115" s="257"/>
      <c r="G115" s="256"/>
      <c r="H115" s="258">
        <v>2.5</v>
      </c>
      <c r="I115" s="256" t="str">
        <f t="shared" si="14"/>
        <v/>
      </c>
      <c r="J115" s="256" t="str">
        <f t="shared" si="15"/>
        <v/>
      </c>
      <c r="K115" s="256" t="str">
        <f>IF(B115="","Pending",IF(M115="","⚠️ Enter Code",IF(IFERROR(VLOOKUP(L115,DB_Agents!$B:$I,8,0),"")=M115,"Pending","🔒 BLOCKED — Wrong Code")))</f>
        <v>Pending</v>
      </c>
      <c r="L115" s="256" t="s">
        <v>139</v>
      </c>
      <c r="M115" s="252"/>
      <c r="N115" s="257"/>
    </row>
    <row r="116" spans="1:14" ht="18" customHeight="1" x14ac:dyDescent="0.25">
      <c r="A116" s="253" t="str">
        <f t="shared" si="12"/>
        <v/>
      </c>
      <c r="B116" s="254"/>
      <c r="C116" s="254" t="str">
        <f>IF(B116="","",IFERROR(VLOOKUP(B116,DB_Customers!$A:$D,4,0),"❌ Account Not Found"))</f>
        <v/>
      </c>
      <c r="D116" s="253" t="str">
        <f t="shared" ca="1" si="13"/>
        <v/>
      </c>
      <c r="E116" s="254"/>
      <c r="F116" s="254"/>
      <c r="G116" s="253"/>
      <c r="H116" s="255">
        <v>2.5</v>
      </c>
      <c r="I116" s="253" t="str">
        <f t="shared" si="14"/>
        <v/>
      </c>
      <c r="J116" s="253" t="str">
        <f t="shared" si="15"/>
        <v/>
      </c>
      <c r="K116" s="253" t="str">
        <f>IF(B116="","Pending",IF(M116="","⚠️ Enter Code",IF(IFERROR(VLOOKUP(L116,DB_Agents!$B:$I,8,0),"")=M116,"Pending","🔒 BLOCKED — Wrong Code")))</f>
        <v>Pending</v>
      </c>
      <c r="L116" s="253" t="s">
        <v>139</v>
      </c>
      <c r="M116" s="240"/>
      <c r="N116" s="254"/>
    </row>
    <row r="117" spans="1:14" ht="18" customHeight="1" x14ac:dyDescent="0.25">
      <c r="A117" s="256" t="str">
        <f t="shared" si="12"/>
        <v/>
      </c>
      <c r="B117" s="257"/>
      <c r="C117" s="257" t="str">
        <f>IF(B117="","",IFERROR(VLOOKUP(B117,DB_Customers!$A:$D,4,0),"❌ Account Not Found"))</f>
        <v/>
      </c>
      <c r="D117" s="256" t="str">
        <f t="shared" ca="1" si="13"/>
        <v/>
      </c>
      <c r="E117" s="257"/>
      <c r="F117" s="257"/>
      <c r="G117" s="256"/>
      <c r="H117" s="258">
        <v>2.5</v>
      </c>
      <c r="I117" s="256" t="str">
        <f t="shared" si="14"/>
        <v/>
      </c>
      <c r="J117" s="256" t="str">
        <f t="shared" si="15"/>
        <v/>
      </c>
      <c r="K117" s="256" t="str">
        <f>IF(B117="","Pending",IF(M117="","⚠️ Enter Code",IF(IFERROR(VLOOKUP(L117,DB_Agents!$B:$I,8,0),"")=M117,"Pending","🔒 BLOCKED — Wrong Code")))</f>
        <v>Pending</v>
      </c>
      <c r="L117" s="256" t="s">
        <v>139</v>
      </c>
      <c r="M117" s="252"/>
      <c r="N117" s="257"/>
    </row>
    <row r="118" spans="1:14" ht="18" customHeight="1" x14ac:dyDescent="0.25">
      <c r="A118" s="253" t="str">
        <f t="shared" si="12"/>
        <v/>
      </c>
      <c r="B118" s="254"/>
      <c r="C118" s="254" t="str">
        <f>IF(B118="","",IFERROR(VLOOKUP(B118,DB_Customers!$A:$D,4,0),"❌ Account Not Found"))</f>
        <v/>
      </c>
      <c r="D118" s="253" t="str">
        <f t="shared" ca="1" si="13"/>
        <v/>
      </c>
      <c r="E118" s="254"/>
      <c r="F118" s="254"/>
      <c r="G118" s="253"/>
      <c r="H118" s="255">
        <v>2.5</v>
      </c>
      <c r="I118" s="253" t="str">
        <f t="shared" si="14"/>
        <v/>
      </c>
      <c r="J118" s="253" t="str">
        <f t="shared" si="15"/>
        <v/>
      </c>
      <c r="K118" s="253" t="str">
        <f>IF(B118="","Pending",IF(M118="","⚠️ Enter Code",IF(IFERROR(VLOOKUP(L118,DB_Agents!$B:$I,8,0),"")=M118,"Pending","🔒 BLOCKED — Wrong Code")))</f>
        <v>Pending</v>
      </c>
      <c r="L118" s="253" t="s">
        <v>139</v>
      </c>
      <c r="M118" s="240"/>
      <c r="N118" s="254"/>
    </row>
    <row r="119" spans="1:14" ht="18" customHeight="1" x14ac:dyDescent="0.25">
      <c r="A119" s="256" t="str">
        <f t="shared" si="12"/>
        <v/>
      </c>
      <c r="B119" s="257"/>
      <c r="C119" s="257" t="str">
        <f>IF(B119="","",IFERROR(VLOOKUP(B119,DB_Customers!$A:$D,4,0),"❌ Account Not Found"))</f>
        <v/>
      </c>
      <c r="D119" s="256" t="str">
        <f t="shared" ca="1" si="13"/>
        <v/>
      </c>
      <c r="E119" s="257"/>
      <c r="F119" s="257"/>
      <c r="G119" s="256"/>
      <c r="H119" s="258">
        <v>2.5</v>
      </c>
      <c r="I119" s="256" t="str">
        <f t="shared" si="14"/>
        <v/>
      </c>
      <c r="J119" s="256" t="str">
        <f t="shared" si="15"/>
        <v/>
      </c>
      <c r="K119" s="256" t="str">
        <f>IF(B119="","Pending",IF(M119="","⚠️ Enter Code",IF(IFERROR(VLOOKUP(L119,DB_Agents!$B:$I,8,0),"")=M119,"Pending","🔒 BLOCKED — Wrong Code")))</f>
        <v>Pending</v>
      </c>
      <c r="L119" s="256" t="s">
        <v>139</v>
      </c>
      <c r="M119" s="252"/>
      <c r="N119" s="257"/>
    </row>
    <row r="120" spans="1:14" ht="18" customHeight="1" x14ac:dyDescent="0.25">
      <c r="A120" s="253" t="str">
        <f t="shared" si="12"/>
        <v/>
      </c>
      <c r="B120" s="254"/>
      <c r="C120" s="254" t="str">
        <f>IF(B120="","",IFERROR(VLOOKUP(B120,DB_Customers!$A:$D,4,0),"❌ Account Not Found"))</f>
        <v/>
      </c>
      <c r="D120" s="253" t="str">
        <f t="shared" ca="1" si="13"/>
        <v/>
      </c>
      <c r="E120" s="254"/>
      <c r="F120" s="254"/>
      <c r="G120" s="253"/>
      <c r="H120" s="255">
        <v>2.5</v>
      </c>
      <c r="I120" s="253" t="str">
        <f t="shared" si="14"/>
        <v/>
      </c>
      <c r="J120" s="253" t="str">
        <f t="shared" si="15"/>
        <v/>
      </c>
      <c r="K120" s="253" t="str">
        <f>IF(B120="","Pending",IF(M120="","⚠️ Enter Code",IF(IFERROR(VLOOKUP(L120,DB_Agents!$B:$I,8,0),"")=M120,"Pending","🔒 BLOCKED — Wrong Code")))</f>
        <v>Pending</v>
      </c>
      <c r="L120" s="253" t="s">
        <v>139</v>
      </c>
      <c r="M120" s="240"/>
      <c r="N120" s="254"/>
    </row>
    <row r="121" spans="1:14" ht="18" customHeight="1" x14ac:dyDescent="0.25">
      <c r="A121" s="256" t="str">
        <f t="shared" si="12"/>
        <v/>
      </c>
      <c r="B121" s="257"/>
      <c r="C121" s="257" t="str">
        <f>IF(B121="","",IFERROR(VLOOKUP(B121,DB_Customers!$A:$D,4,0),"❌ Account Not Found"))</f>
        <v/>
      </c>
      <c r="D121" s="256" t="str">
        <f t="shared" ca="1" si="13"/>
        <v/>
      </c>
      <c r="E121" s="257"/>
      <c r="F121" s="257"/>
      <c r="G121" s="256"/>
      <c r="H121" s="258">
        <v>2.5</v>
      </c>
      <c r="I121" s="256" t="str">
        <f t="shared" si="14"/>
        <v/>
      </c>
      <c r="J121" s="256" t="str">
        <f t="shared" si="15"/>
        <v/>
      </c>
      <c r="K121" s="256" t="str">
        <f>IF(B121="","Pending",IF(M121="","⚠️ Enter Code",IF(IFERROR(VLOOKUP(L121,DB_Agents!$B:$I,8,0),"")=M121,"Pending","🔒 BLOCKED — Wrong Code")))</f>
        <v>Pending</v>
      </c>
      <c r="L121" s="256" t="s">
        <v>139</v>
      </c>
      <c r="M121" s="252"/>
      <c r="N121" s="257"/>
    </row>
    <row r="122" spans="1:14" ht="18" customHeight="1" x14ac:dyDescent="0.25">
      <c r="A122" s="253" t="str">
        <f t="shared" si="12"/>
        <v/>
      </c>
      <c r="B122" s="254"/>
      <c r="C122" s="254" t="str">
        <f>IF(B122="","",IFERROR(VLOOKUP(B122,DB_Customers!$A:$D,4,0),"❌ Account Not Found"))</f>
        <v/>
      </c>
      <c r="D122" s="253" t="str">
        <f t="shared" ca="1" si="13"/>
        <v/>
      </c>
      <c r="E122" s="254"/>
      <c r="F122" s="254"/>
      <c r="G122" s="253"/>
      <c r="H122" s="255">
        <v>2.5</v>
      </c>
      <c r="I122" s="253" t="str">
        <f t="shared" si="14"/>
        <v/>
      </c>
      <c r="J122" s="253" t="str">
        <f t="shared" si="15"/>
        <v/>
      </c>
      <c r="K122" s="253" t="str">
        <f>IF(B122="","Pending",IF(M122="","⚠️ Enter Code",IF(IFERROR(VLOOKUP(L122,DB_Agents!$B:$I,8,0),"")=M122,"Pending","🔒 BLOCKED — Wrong Code")))</f>
        <v>Pending</v>
      </c>
      <c r="L122" s="253" t="s">
        <v>139</v>
      </c>
      <c r="M122" s="240"/>
      <c r="N122" s="254"/>
    </row>
    <row r="123" spans="1:14" ht="18" customHeight="1" x14ac:dyDescent="0.25">
      <c r="A123" s="256" t="str">
        <f t="shared" si="12"/>
        <v/>
      </c>
      <c r="B123" s="257"/>
      <c r="C123" s="257" t="str">
        <f>IF(B123="","",IFERROR(VLOOKUP(B123,DB_Customers!$A:$D,4,0),"❌ Account Not Found"))</f>
        <v/>
      </c>
      <c r="D123" s="256" t="str">
        <f t="shared" ca="1" si="13"/>
        <v/>
      </c>
      <c r="E123" s="257"/>
      <c r="F123" s="257"/>
      <c r="G123" s="256"/>
      <c r="H123" s="258">
        <v>2.5</v>
      </c>
      <c r="I123" s="256" t="str">
        <f t="shared" si="14"/>
        <v/>
      </c>
      <c r="J123" s="256" t="str">
        <f t="shared" si="15"/>
        <v/>
      </c>
      <c r="K123" s="256" t="str">
        <f>IF(B123="","Pending",IF(M123="","⚠️ Enter Code",IF(IFERROR(VLOOKUP(L123,DB_Agents!$B:$I,8,0),"")=M123,"Pending","🔒 BLOCKED — Wrong Code")))</f>
        <v>Pending</v>
      </c>
      <c r="L123" s="256" t="s">
        <v>139</v>
      </c>
      <c r="M123" s="252"/>
      <c r="N123" s="257"/>
    </row>
    <row r="124" spans="1:14" ht="18" customHeight="1" x14ac:dyDescent="0.25">
      <c r="A124" s="253" t="str">
        <f t="shared" si="12"/>
        <v/>
      </c>
      <c r="B124" s="254"/>
      <c r="C124" s="254" t="str">
        <f>IF(B124="","",IFERROR(VLOOKUP(B124,DB_Customers!$A:$D,4,0),"❌ Account Not Found"))</f>
        <v/>
      </c>
      <c r="D124" s="253" t="str">
        <f t="shared" ca="1" si="13"/>
        <v/>
      </c>
      <c r="E124" s="254"/>
      <c r="F124" s="254"/>
      <c r="G124" s="253"/>
      <c r="H124" s="255">
        <v>2.5</v>
      </c>
      <c r="I124" s="253" t="str">
        <f t="shared" si="14"/>
        <v/>
      </c>
      <c r="J124" s="253" t="str">
        <f t="shared" si="15"/>
        <v/>
      </c>
      <c r="K124" s="253" t="str">
        <f>IF(B124="","Pending",IF(M124="","⚠️ Enter Code",IF(IFERROR(VLOOKUP(L124,DB_Agents!$B:$I,8,0),"")=M124,"Pending","🔒 BLOCKED — Wrong Code")))</f>
        <v>Pending</v>
      </c>
      <c r="L124" s="253" t="s">
        <v>139</v>
      </c>
      <c r="M124" s="240"/>
      <c r="N124" s="254"/>
    </row>
    <row r="125" spans="1:14" ht="18" customHeight="1" x14ac:dyDescent="0.25">
      <c r="A125" s="256" t="str">
        <f t="shared" si="12"/>
        <v/>
      </c>
      <c r="B125" s="257"/>
      <c r="C125" s="257" t="str">
        <f>IF(B125="","",IFERROR(VLOOKUP(B125,DB_Customers!$A:$D,4,0),"❌ Account Not Found"))</f>
        <v/>
      </c>
      <c r="D125" s="256" t="str">
        <f t="shared" ca="1" si="13"/>
        <v/>
      </c>
      <c r="E125" s="257"/>
      <c r="F125" s="257"/>
      <c r="G125" s="256"/>
      <c r="H125" s="258">
        <v>2.5</v>
      </c>
      <c r="I125" s="256" t="str">
        <f t="shared" si="14"/>
        <v/>
      </c>
      <c r="J125" s="256" t="str">
        <f t="shared" si="15"/>
        <v/>
      </c>
      <c r="K125" s="256" t="str">
        <f>IF(B125="","Pending",IF(M125="","⚠️ Enter Code",IF(IFERROR(VLOOKUP(L125,DB_Agents!$B:$I,8,0),"")=M125,"Pending","🔒 BLOCKED — Wrong Code")))</f>
        <v>Pending</v>
      </c>
      <c r="L125" s="256" t="s">
        <v>139</v>
      </c>
      <c r="M125" s="252"/>
      <c r="N125" s="257"/>
    </row>
    <row r="126" spans="1:14" ht="18" customHeight="1" x14ac:dyDescent="0.25">
      <c r="A126" s="253" t="str">
        <f t="shared" si="12"/>
        <v/>
      </c>
      <c r="B126" s="254"/>
      <c r="C126" s="254" t="str">
        <f>IF(B126="","",IFERROR(VLOOKUP(B126,DB_Customers!$A:$D,4,0),"❌ Account Not Found"))</f>
        <v/>
      </c>
      <c r="D126" s="253" t="str">
        <f t="shared" ca="1" si="13"/>
        <v/>
      </c>
      <c r="E126" s="254"/>
      <c r="F126" s="254"/>
      <c r="G126" s="253"/>
      <c r="H126" s="255">
        <v>2.5</v>
      </c>
      <c r="I126" s="253" t="str">
        <f t="shared" si="14"/>
        <v/>
      </c>
      <c r="J126" s="253" t="str">
        <f t="shared" si="15"/>
        <v/>
      </c>
      <c r="K126" s="253" t="str">
        <f>IF(B126="","Pending",IF(M126="","⚠️ Enter Code",IF(IFERROR(VLOOKUP(L126,DB_Agents!$B:$I,8,0),"")=M126,"Pending","🔒 BLOCKED — Wrong Code")))</f>
        <v>Pending</v>
      </c>
      <c r="L126" s="253" t="s">
        <v>139</v>
      </c>
      <c r="M126" s="240"/>
      <c r="N126" s="254"/>
    </row>
    <row r="127" spans="1:14" ht="18" customHeight="1" x14ac:dyDescent="0.25">
      <c r="A127" s="256" t="str">
        <f t="shared" si="12"/>
        <v/>
      </c>
      <c r="B127" s="257"/>
      <c r="C127" s="257" t="str">
        <f>IF(B127="","",IFERROR(VLOOKUP(B127,DB_Customers!$A:$D,4,0),"❌ Account Not Found"))</f>
        <v/>
      </c>
      <c r="D127" s="256" t="str">
        <f t="shared" ca="1" si="13"/>
        <v/>
      </c>
      <c r="E127" s="257"/>
      <c r="F127" s="257"/>
      <c r="G127" s="256"/>
      <c r="H127" s="258">
        <v>2.5</v>
      </c>
      <c r="I127" s="256" t="str">
        <f t="shared" si="14"/>
        <v/>
      </c>
      <c r="J127" s="256" t="str">
        <f t="shared" si="15"/>
        <v/>
      </c>
      <c r="K127" s="256" t="str">
        <f>IF(B127="","Pending",IF(M127="","⚠️ Enter Code",IF(IFERROR(VLOOKUP(L127,DB_Agents!$B:$I,8,0),"")=M127,"Pending","🔒 BLOCKED — Wrong Code")))</f>
        <v>Pending</v>
      </c>
      <c r="L127" s="256" t="s">
        <v>139</v>
      </c>
      <c r="M127" s="252"/>
      <c r="N127" s="257"/>
    </row>
    <row r="128" spans="1:14" ht="18" customHeight="1" x14ac:dyDescent="0.25">
      <c r="A128" s="253" t="str">
        <f t="shared" si="12"/>
        <v/>
      </c>
      <c r="B128" s="254"/>
      <c r="C128" s="254" t="str">
        <f>IF(B128="","",IFERROR(VLOOKUP(B128,DB_Customers!$A:$D,4,0),"❌ Account Not Found"))</f>
        <v/>
      </c>
      <c r="D128" s="253" t="str">
        <f t="shared" ca="1" si="13"/>
        <v/>
      </c>
      <c r="E128" s="254"/>
      <c r="F128" s="254"/>
      <c r="G128" s="253"/>
      <c r="H128" s="255">
        <v>2.5</v>
      </c>
      <c r="I128" s="253" t="str">
        <f t="shared" si="14"/>
        <v/>
      </c>
      <c r="J128" s="253" t="str">
        <f t="shared" si="15"/>
        <v/>
      </c>
      <c r="K128" s="253" t="str">
        <f>IF(B128="","Pending",IF(M128="","⚠️ Enter Code",IF(IFERROR(VLOOKUP(L128,DB_Agents!$B:$I,8,0),"")=M128,"Pending","🔒 BLOCKED — Wrong Code")))</f>
        <v>Pending</v>
      </c>
      <c r="L128" s="253" t="s">
        <v>139</v>
      </c>
      <c r="M128" s="240"/>
      <c r="N128" s="254"/>
    </row>
    <row r="129" spans="1:14" ht="18" customHeight="1" x14ac:dyDescent="0.25">
      <c r="A129" s="256" t="str">
        <f t="shared" si="12"/>
        <v/>
      </c>
      <c r="B129" s="257"/>
      <c r="C129" s="257" t="str">
        <f>IF(B129="","",IFERROR(VLOOKUP(B129,DB_Customers!$A:$D,4,0),"❌ Account Not Found"))</f>
        <v/>
      </c>
      <c r="D129" s="256" t="str">
        <f t="shared" ca="1" si="13"/>
        <v/>
      </c>
      <c r="E129" s="257"/>
      <c r="F129" s="257"/>
      <c r="G129" s="256"/>
      <c r="H129" s="258">
        <v>2.5</v>
      </c>
      <c r="I129" s="256" t="str">
        <f t="shared" si="14"/>
        <v/>
      </c>
      <c r="J129" s="256" t="str">
        <f t="shared" si="15"/>
        <v/>
      </c>
      <c r="K129" s="256" t="str">
        <f>IF(B129="","Pending",IF(M129="","⚠️ Enter Code",IF(IFERROR(VLOOKUP(L129,DB_Agents!$B:$I,8,0),"")=M129,"Pending","🔒 BLOCKED — Wrong Code")))</f>
        <v>Pending</v>
      </c>
      <c r="L129" s="256" t="s">
        <v>139</v>
      </c>
      <c r="M129" s="252"/>
      <c r="N129" s="257"/>
    </row>
    <row r="130" spans="1:14" ht="18" customHeight="1" x14ac:dyDescent="0.25">
      <c r="A130" s="253" t="str">
        <f t="shared" si="12"/>
        <v/>
      </c>
      <c r="B130" s="254"/>
      <c r="C130" s="254" t="str">
        <f>IF(B130="","",IFERROR(VLOOKUP(B130,DB_Customers!$A:$D,4,0),"❌ Account Not Found"))</f>
        <v/>
      </c>
      <c r="D130" s="253" t="str">
        <f t="shared" ca="1" si="13"/>
        <v/>
      </c>
      <c r="E130" s="254"/>
      <c r="F130" s="254"/>
      <c r="G130" s="253"/>
      <c r="H130" s="255">
        <v>2.5</v>
      </c>
      <c r="I130" s="253" t="str">
        <f t="shared" si="14"/>
        <v/>
      </c>
      <c r="J130" s="253" t="str">
        <f t="shared" si="15"/>
        <v/>
      </c>
      <c r="K130" s="253" t="str">
        <f>IF(B130="","Pending",IF(M130="","⚠️ Enter Code",IF(IFERROR(VLOOKUP(L130,DB_Agents!$B:$I,8,0),"")=M130,"Pending","🔒 BLOCKED — Wrong Code")))</f>
        <v>Pending</v>
      </c>
      <c r="L130" s="253" t="s">
        <v>139</v>
      </c>
      <c r="M130" s="240"/>
      <c r="N130" s="254"/>
    </row>
    <row r="131" spans="1:14" ht="18" customHeight="1" x14ac:dyDescent="0.25">
      <c r="A131" s="256" t="str">
        <f t="shared" si="12"/>
        <v/>
      </c>
      <c r="B131" s="257"/>
      <c r="C131" s="257" t="str">
        <f>IF(B131="","",IFERROR(VLOOKUP(B131,DB_Customers!$A:$D,4,0),"❌ Account Not Found"))</f>
        <v/>
      </c>
      <c r="D131" s="256" t="str">
        <f t="shared" ca="1" si="13"/>
        <v/>
      </c>
      <c r="E131" s="257"/>
      <c r="F131" s="257"/>
      <c r="G131" s="256"/>
      <c r="H131" s="258">
        <v>2.5</v>
      </c>
      <c r="I131" s="256" t="str">
        <f t="shared" si="14"/>
        <v/>
      </c>
      <c r="J131" s="256" t="str">
        <f t="shared" si="15"/>
        <v/>
      </c>
      <c r="K131" s="256" t="str">
        <f>IF(B131="","Pending",IF(M131="","⚠️ Enter Code",IF(IFERROR(VLOOKUP(L131,DB_Agents!$B:$I,8,0),"")=M131,"Pending","🔒 BLOCKED — Wrong Code")))</f>
        <v>Pending</v>
      </c>
      <c r="L131" s="256" t="s">
        <v>139</v>
      </c>
      <c r="M131" s="252"/>
      <c r="N131" s="257"/>
    </row>
    <row r="132" spans="1:14" ht="18" customHeight="1" x14ac:dyDescent="0.25">
      <c r="A132" s="253" t="str">
        <f t="shared" si="12"/>
        <v/>
      </c>
      <c r="B132" s="254"/>
      <c r="C132" s="254" t="str">
        <f>IF(B132="","",IFERROR(VLOOKUP(B132,DB_Customers!$A:$D,4,0),"❌ Account Not Found"))</f>
        <v/>
      </c>
      <c r="D132" s="253" t="str">
        <f t="shared" ca="1" si="13"/>
        <v/>
      </c>
      <c r="E132" s="254"/>
      <c r="F132" s="254"/>
      <c r="G132" s="253"/>
      <c r="H132" s="255">
        <v>2.5</v>
      </c>
      <c r="I132" s="253" t="str">
        <f t="shared" si="14"/>
        <v/>
      </c>
      <c r="J132" s="253" t="str">
        <f t="shared" si="15"/>
        <v/>
      </c>
      <c r="K132" s="253" t="str">
        <f>IF(B132="","Pending",IF(M132="","⚠️ Enter Code",IF(IFERROR(VLOOKUP(L132,DB_Agents!$B:$I,8,0),"")=M132,"Pending","🔒 BLOCKED — Wrong Code")))</f>
        <v>Pending</v>
      </c>
      <c r="L132" s="253" t="s">
        <v>139</v>
      </c>
      <c r="M132" s="240"/>
      <c r="N132" s="254"/>
    </row>
    <row r="133" spans="1:14" ht="18" customHeight="1" x14ac:dyDescent="0.25">
      <c r="A133" s="256" t="str">
        <f t="shared" si="12"/>
        <v/>
      </c>
      <c r="B133" s="257"/>
      <c r="C133" s="257" t="str">
        <f>IF(B133="","",IFERROR(VLOOKUP(B133,DB_Customers!$A:$D,4,0),"❌ Account Not Found"))</f>
        <v/>
      </c>
      <c r="D133" s="256" t="str">
        <f t="shared" ca="1" si="13"/>
        <v/>
      </c>
      <c r="E133" s="257"/>
      <c r="F133" s="257"/>
      <c r="G133" s="256"/>
      <c r="H133" s="258">
        <v>2.5</v>
      </c>
      <c r="I133" s="256" t="str">
        <f t="shared" si="14"/>
        <v/>
      </c>
      <c r="J133" s="256" t="str">
        <f t="shared" si="15"/>
        <v/>
      </c>
      <c r="K133" s="256" t="str">
        <f>IF(B133="","Pending",IF(M133="","⚠️ Enter Code",IF(IFERROR(VLOOKUP(L133,DB_Agents!$B:$I,8,0),"")=M133,"Pending","🔒 BLOCKED — Wrong Code")))</f>
        <v>Pending</v>
      </c>
      <c r="L133" s="256" t="s">
        <v>139</v>
      </c>
      <c r="M133" s="252"/>
      <c r="N133" s="257"/>
    </row>
    <row r="134" spans="1:14" ht="18" customHeight="1" x14ac:dyDescent="0.25">
      <c r="A134" s="253" t="str">
        <f t="shared" si="12"/>
        <v/>
      </c>
      <c r="B134" s="254"/>
      <c r="C134" s="254" t="str">
        <f>IF(B134="","",IFERROR(VLOOKUP(B134,DB_Customers!$A:$D,4,0),"❌ Account Not Found"))</f>
        <v/>
      </c>
      <c r="D134" s="253" t="str">
        <f t="shared" ca="1" si="13"/>
        <v/>
      </c>
      <c r="E134" s="254"/>
      <c r="F134" s="254"/>
      <c r="G134" s="253"/>
      <c r="H134" s="255">
        <v>2.5</v>
      </c>
      <c r="I134" s="253" t="str">
        <f t="shared" si="14"/>
        <v/>
      </c>
      <c r="J134" s="253" t="str">
        <f t="shared" si="15"/>
        <v/>
      </c>
      <c r="K134" s="253" t="str">
        <f>IF(B134="","Pending",IF(M134="","⚠️ Enter Code",IF(IFERROR(VLOOKUP(L134,DB_Agents!$B:$I,8,0),"")=M134,"Pending","🔒 BLOCKED — Wrong Code")))</f>
        <v>Pending</v>
      </c>
      <c r="L134" s="253" t="s">
        <v>139</v>
      </c>
      <c r="M134" s="240"/>
      <c r="N134" s="254"/>
    </row>
    <row r="135" spans="1:14" ht="18" customHeight="1" x14ac:dyDescent="0.25">
      <c r="A135" s="256" t="str">
        <f t="shared" si="12"/>
        <v/>
      </c>
      <c r="B135" s="257"/>
      <c r="C135" s="257" t="str">
        <f>IF(B135="","",IFERROR(VLOOKUP(B135,DB_Customers!$A:$D,4,0),"❌ Account Not Found"))</f>
        <v/>
      </c>
      <c r="D135" s="256" t="str">
        <f t="shared" ca="1" si="13"/>
        <v/>
      </c>
      <c r="E135" s="257"/>
      <c r="F135" s="257"/>
      <c r="G135" s="256"/>
      <c r="H135" s="258">
        <v>2.5</v>
      </c>
      <c r="I135" s="256" t="str">
        <f t="shared" si="14"/>
        <v/>
      </c>
      <c r="J135" s="256" t="str">
        <f t="shared" si="15"/>
        <v/>
      </c>
      <c r="K135" s="256" t="str">
        <f>IF(B135="","Pending",IF(M135="","⚠️ Enter Code",IF(IFERROR(VLOOKUP(L135,DB_Agents!$B:$I,8,0),"")=M135,"Pending","🔒 BLOCKED — Wrong Code")))</f>
        <v>Pending</v>
      </c>
      <c r="L135" s="256" t="s">
        <v>139</v>
      </c>
      <c r="M135" s="252"/>
      <c r="N135" s="257"/>
    </row>
    <row r="136" spans="1:14" ht="18" customHeight="1" x14ac:dyDescent="0.25">
      <c r="A136" s="253" t="str">
        <f t="shared" si="12"/>
        <v/>
      </c>
      <c r="B136" s="254"/>
      <c r="C136" s="254" t="str">
        <f>IF(B136="","",IFERROR(VLOOKUP(B136,DB_Customers!$A:$D,4,0),"❌ Account Not Found"))</f>
        <v/>
      </c>
      <c r="D136" s="253" t="str">
        <f t="shared" ca="1" si="13"/>
        <v/>
      </c>
      <c r="E136" s="254"/>
      <c r="F136" s="254"/>
      <c r="G136" s="253"/>
      <c r="H136" s="255">
        <v>2.5</v>
      </c>
      <c r="I136" s="253" t="str">
        <f t="shared" si="14"/>
        <v/>
      </c>
      <c r="J136" s="253" t="str">
        <f t="shared" si="15"/>
        <v/>
      </c>
      <c r="K136" s="253" t="str">
        <f>IF(B136="","Pending",IF(M136="","⚠️ Enter Code",IF(IFERROR(VLOOKUP(L136,DB_Agents!$B:$I,8,0),"")=M136,"Pending","🔒 BLOCKED — Wrong Code")))</f>
        <v>Pending</v>
      </c>
      <c r="L136" s="253" t="s">
        <v>139</v>
      </c>
      <c r="M136" s="240"/>
      <c r="N136" s="254"/>
    </row>
    <row r="137" spans="1:14" ht="18" customHeight="1" x14ac:dyDescent="0.25">
      <c r="A137" s="256" t="str">
        <f t="shared" si="12"/>
        <v/>
      </c>
      <c r="B137" s="257"/>
      <c r="C137" s="257" t="str">
        <f>IF(B137="","",IFERROR(VLOOKUP(B137,DB_Customers!$A:$D,4,0),"❌ Account Not Found"))</f>
        <v/>
      </c>
      <c r="D137" s="256" t="str">
        <f t="shared" ca="1" si="13"/>
        <v/>
      </c>
      <c r="E137" s="257"/>
      <c r="F137" s="257"/>
      <c r="G137" s="256"/>
      <c r="H137" s="258">
        <v>2.5</v>
      </c>
      <c r="I137" s="256" t="str">
        <f t="shared" si="14"/>
        <v/>
      </c>
      <c r="J137" s="256" t="str">
        <f t="shared" si="15"/>
        <v/>
      </c>
      <c r="K137" s="256" t="str">
        <f>IF(B137="","Pending",IF(M137="","⚠️ Enter Code",IF(IFERROR(VLOOKUP(L137,DB_Agents!$B:$I,8,0),"")=M137,"Pending","🔒 BLOCKED — Wrong Code")))</f>
        <v>Pending</v>
      </c>
      <c r="L137" s="256" t="s">
        <v>139</v>
      </c>
      <c r="M137" s="252"/>
      <c r="N137" s="257"/>
    </row>
    <row r="138" spans="1:14" ht="18" customHeight="1" x14ac:dyDescent="0.25">
      <c r="A138" s="253" t="str">
        <f t="shared" si="12"/>
        <v/>
      </c>
      <c r="B138" s="254"/>
      <c r="C138" s="254" t="str">
        <f>IF(B138="","",IFERROR(VLOOKUP(B138,DB_Customers!$A:$D,4,0),"❌ Account Not Found"))</f>
        <v/>
      </c>
      <c r="D138" s="253" t="str">
        <f t="shared" ca="1" si="13"/>
        <v/>
      </c>
      <c r="E138" s="254"/>
      <c r="F138" s="254"/>
      <c r="G138" s="253"/>
      <c r="H138" s="255">
        <v>2.5</v>
      </c>
      <c r="I138" s="253" t="str">
        <f t="shared" si="14"/>
        <v/>
      </c>
      <c r="J138" s="253" t="str">
        <f t="shared" si="15"/>
        <v/>
      </c>
      <c r="K138" s="253" t="str">
        <f>IF(B138="","Pending",IF(M138="","⚠️ Enter Code",IF(IFERROR(VLOOKUP(L138,DB_Agents!$B:$I,8,0),"")=M138,"Pending","🔒 BLOCKED — Wrong Code")))</f>
        <v>Pending</v>
      </c>
      <c r="L138" s="253" t="s">
        <v>139</v>
      </c>
      <c r="M138" s="240"/>
      <c r="N138" s="254"/>
    </row>
    <row r="139" spans="1:14" ht="18" customHeight="1" x14ac:dyDescent="0.25">
      <c r="A139" s="256" t="str">
        <f t="shared" si="12"/>
        <v/>
      </c>
      <c r="B139" s="257"/>
      <c r="C139" s="257" t="str">
        <f>IF(B139="","",IFERROR(VLOOKUP(B139,DB_Customers!$A:$D,4,0),"❌ Account Not Found"))</f>
        <v/>
      </c>
      <c r="D139" s="256" t="str">
        <f t="shared" ca="1" si="13"/>
        <v/>
      </c>
      <c r="E139" s="257"/>
      <c r="F139" s="257"/>
      <c r="G139" s="256"/>
      <c r="H139" s="258">
        <v>2.5</v>
      </c>
      <c r="I139" s="256" t="str">
        <f t="shared" si="14"/>
        <v/>
      </c>
      <c r="J139" s="256" t="str">
        <f t="shared" si="15"/>
        <v/>
      </c>
      <c r="K139" s="256" t="str">
        <f>IF(B139="","Pending",IF(M139="","⚠️ Enter Code",IF(IFERROR(VLOOKUP(L139,DB_Agents!$B:$I,8,0),"")=M139,"Pending","🔒 BLOCKED — Wrong Code")))</f>
        <v>Pending</v>
      </c>
      <c r="L139" s="256" t="s">
        <v>139</v>
      </c>
      <c r="M139" s="252"/>
      <c r="N139" s="257"/>
    </row>
    <row r="140" spans="1:14" ht="18" customHeight="1" x14ac:dyDescent="0.25">
      <c r="A140" s="253" t="str">
        <f t="shared" si="12"/>
        <v/>
      </c>
      <c r="B140" s="254"/>
      <c r="C140" s="254" t="str">
        <f>IF(B140="","",IFERROR(VLOOKUP(B140,DB_Customers!$A:$D,4,0),"❌ Account Not Found"))</f>
        <v/>
      </c>
      <c r="D140" s="253" t="str">
        <f t="shared" ca="1" si="13"/>
        <v/>
      </c>
      <c r="E140" s="254"/>
      <c r="F140" s="254"/>
      <c r="G140" s="253"/>
      <c r="H140" s="255">
        <v>2.5</v>
      </c>
      <c r="I140" s="253" t="str">
        <f t="shared" si="14"/>
        <v/>
      </c>
      <c r="J140" s="253" t="str">
        <f t="shared" si="15"/>
        <v/>
      </c>
      <c r="K140" s="253" t="str">
        <f>IF(B140="","Pending",IF(M140="","⚠️ Enter Code",IF(IFERROR(VLOOKUP(L140,DB_Agents!$B:$I,8,0),"")=M140,"Pending","🔒 BLOCKED — Wrong Code")))</f>
        <v>Pending</v>
      </c>
      <c r="L140" s="253" t="s">
        <v>139</v>
      </c>
      <c r="M140" s="240"/>
      <c r="N140" s="254"/>
    </row>
    <row r="141" spans="1:14" ht="18" customHeight="1" x14ac:dyDescent="0.25">
      <c r="A141" s="256" t="str">
        <f t="shared" si="12"/>
        <v/>
      </c>
      <c r="B141" s="257"/>
      <c r="C141" s="257" t="str">
        <f>IF(B141="","",IFERROR(VLOOKUP(B141,DB_Customers!$A:$D,4,0),"❌ Account Not Found"))</f>
        <v/>
      </c>
      <c r="D141" s="256" t="str">
        <f t="shared" ca="1" si="13"/>
        <v/>
      </c>
      <c r="E141" s="257"/>
      <c r="F141" s="257"/>
      <c r="G141" s="256"/>
      <c r="H141" s="258">
        <v>2.5</v>
      </c>
      <c r="I141" s="256" t="str">
        <f t="shared" si="14"/>
        <v/>
      </c>
      <c r="J141" s="256" t="str">
        <f t="shared" si="15"/>
        <v/>
      </c>
      <c r="K141" s="256" t="str">
        <f>IF(B141="","Pending",IF(M141="","⚠️ Enter Code",IF(IFERROR(VLOOKUP(L141,DB_Agents!$B:$I,8,0),"")=M141,"Pending","🔒 BLOCKED — Wrong Code")))</f>
        <v>Pending</v>
      </c>
      <c r="L141" s="256" t="s">
        <v>139</v>
      </c>
      <c r="M141" s="252"/>
      <c r="N141" s="257"/>
    </row>
    <row r="142" spans="1:14" ht="18" customHeight="1" x14ac:dyDescent="0.25">
      <c r="A142" s="253" t="str">
        <f t="shared" ref="A142:A173" si="16">IF(B142="","",IF(C142="❌ Account Not Found","INVALID","LN"&amp;TEXT(D142,"YYYYMMDD")&amp;TEXT(ROW()-13,"0000")))</f>
        <v/>
      </c>
      <c r="B142" s="254"/>
      <c r="C142" s="254" t="str">
        <f>IF(B142="","",IFERROR(VLOOKUP(B142,DB_Customers!$A:$D,4,0),"❌ Account Not Found"))</f>
        <v/>
      </c>
      <c r="D142" s="253" t="str">
        <f t="shared" ref="D142:D173" ca="1" si="17">IF(B142="","",TODAY())</f>
        <v/>
      </c>
      <c r="E142" s="254"/>
      <c r="F142" s="254"/>
      <c r="G142" s="253"/>
      <c r="H142" s="255">
        <v>2.5</v>
      </c>
      <c r="I142" s="253" t="str">
        <f t="shared" ref="I142:I173" si="18">IF(E142="","",E142+(E142*H142/100*G142))</f>
        <v/>
      </c>
      <c r="J142" s="253" t="str">
        <f t="shared" ref="J142:J173" si="19">IFERROR(I142/G142,"")</f>
        <v/>
      </c>
      <c r="K142" s="253" t="str">
        <f>IF(B142="","Pending",IF(M142="","⚠️ Enter Code",IF(IFERROR(VLOOKUP(L142,DB_Agents!$B:$I,8,0),"")=M142,"Pending","🔒 BLOCKED — Wrong Code")))</f>
        <v>Pending</v>
      </c>
      <c r="L142" s="253" t="s">
        <v>139</v>
      </c>
      <c r="M142" s="240"/>
      <c r="N142" s="254"/>
    </row>
    <row r="143" spans="1:14" ht="18" customHeight="1" x14ac:dyDescent="0.25">
      <c r="A143" s="256" t="str">
        <f t="shared" si="16"/>
        <v/>
      </c>
      <c r="B143" s="257"/>
      <c r="C143" s="257" t="str">
        <f>IF(B143="","",IFERROR(VLOOKUP(B143,DB_Customers!$A:$D,4,0),"❌ Account Not Found"))</f>
        <v/>
      </c>
      <c r="D143" s="256" t="str">
        <f t="shared" ca="1" si="17"/>
        <v/>
      </c>
      <c r="E143" s="257"/>
      <c r="F143" s="257"/>
      <c r="G143" s="256"/>
      <c r="H143" s="258">
        <v>2.5</v>
      </c>
      <c r="I143" s="256" t="str">
        <f t="shared" si="18"/>
        <v/>
      </c>
      <c r="J143" s="256" t="str">
        <f t="shared" si="19"/>
        <v/>
      </c>
      <c r="K143" s="256" t="str">
        <f>IF(B143="","Pending",IF(M143="","⚠️ Enter Code",IF(IFERROR(VLOOKUP(L143,DB_Agents!$B:$I,8,0),"")=M143,"Pending","🔒 BLOCKED — Wrong Code")))</f>
        <v>Pending</v>
      </c>
      <c r="L143" s="256" t="s">
        <v>139</v>
      </c>
      <c r="M143" s="252"/>
      <c r="N143" s="257"/>
    </row>
    <row r="144" spans="1:14" ht="18" customHeight="1" x14ac:dyDescent="0.25">
      <c r="A144" s="253" t="str">
        <f t="shared" si="16"/>
        <v/>
      </c>
      <c r="B144" s="254"/>
      <c r="C144" s="254" t="str">
        <f>IF(B144="","",IFERROR(VLOOKUP(B144,DB_Customers!$A:$D,4,0),"❌ Account Not Found"))</f>
        <v/>
      </c>
      <c r="D144" s="253" t="str">
        <f t="shared" ca="1" si="17"/>
        <v/>
      </c>
      <c r="E144" s="254"/>
      <c r="F144" s="254"/>
      <c r="G144" s="253"/>
      <c r="H144" s="255">
        <v>2.5</v>
      </c>
      <c r="I144" s="253" t="str">
        <f t="shared" si="18"/>
        <v/>
      </c>
      <c r="J144" s="253" t="str">
        <f t="shared" si="19"/>
        <v/>
      </c>
      <c r="K144" s="253" t="str">
        <f>IF(B144="","Pending",IF(M144="","⚠️ Enter Code",IF(IFERROR(VLOOKUP(L144,DB_Agents!$B:$I,8,0),"")=M144,"Pending","🔒 BLOCKED — Wrong Code")))</f>
        <v>Pending</v>
      </c>
      <c r="L144" s="253" t="s">
        <v>139</v>
      </c>
      <c r="M144" s="240"/>
      <c r="N144" s="254"/>
    </row>
    <row r="145" spans="1:14" ht="18" customHeight="1" x14ac:dyDescent="0.25">
      <c r="A145" s="256" t="str">
        <f t="shared" si="16"/>
        <v/>
      </c>
      <c r="B145" s="257"/>
      <c r="C145" s="257" t="str">
        <f>IF(B145="","",IFERROR(VLOOKUP(B145,DB_Customers!$A:$D,4,0),"❌ Account Not Found"))</f>
        <v/>
      </c>
      <c r="D145" s="256" t="str">
        <f t="shared" ca="1" si="17"/>
        <v/>
      </c>
      <c r="E145" s="257"/>
      <c r="F145" s="257"/>
      <c r="G145" s="256"/>
      <c r="H145" s="258">
        <v>2.5</v>
      </c>
      <c r="I145" s="256" t="str">
        <f t="shared" si="18"/>
        <v/>
      </c>
      <c r="J145" s="256" t="str">
        <f t="shared" si="19"/>
        <v/>
      </c>
      <c r="K145" s="256" t="str">
        <f>IF(B145="","Pending",IF(M145="","⚠️ Enter Code",IF(IFERROR(VLOOKUP(L145,DB_Agents!$B:$I,8,0),"")=M145,"Pending","🔒 BLOCKED — Wrong Code")))</f>
        <v>Pending</v>
      </c>
      <c r="L145" s="256" t="s">
        <v>139</v>
      </c>
      <c r="M145" s="252"/>
      <c r="N145" s="257"/>
    </row>
    <row r="146" spans="1:14" ht="18" customHeight="1" x14ac:dyDescent="0.25">
      <c r="A146" s="253" t="str">
        <f t="shared" si="16"/>
        <v/>
      </c>
      <c r="B146" s="254"/>
      <c r="C146" s="254" t="str">
        <f>IF(B146="","",IFERROR(VLOOKUP(B146,DB_Customers!$A:$D,4,0),"❌ Account Not Found"))</f>
        <v/>
      </c>
      <c r="D146" s="253" t="str">
        <f t="shared" ca="1" si="17"/>
        <v/>
      </c>
      <c r="E146" s="254"/>
      <c r="F146" s="254"/>
      <c r="G146" s="253"/>
      <c r="H146" s="255">
        <v>2.5</v>
      </c>
      <c r="I146" s="253" t="str">
        <f t="shared" si="18"/>
        <v/>
      </c>
      <c r="J146" s="253" t="str">
        <f t="shared" si="19"/>
        <v/>
      </c>
      <c r="K146" s="253" t="str">
        <f>IF(B146="","Pending",IF(M146="","⚠️ Enter Code",IF(IFERROR(VLOOKUP(L146,DB_Agents!$B:$I,8,0),"")=M146,"Pending","🔒 BLOCKED — Wrong Code")))</f>
        <v>Pending</v>
      </c>
      <c r="L146" s="253" t="s">
        <v>139</v>
      </c>
      <c r="M146" s="240"/>
      <c r="N146" s="254"/>
    </row>
    <row r="147" spans="1:14" ht="18" customHeight="1" x14ac:dyDescent="0.25">
      <c r="A147" s="256" t="str">
        <f t="shared" si="16"/>
        <v/>
      </c>
      <c r="B147" s="257"/>
      <c r="C147" s="257" t="str">
        <f>IF(B147="","",IFERROR(VLOOKUP(B147,DB_Customers!$A:$D,4,0),"❌ Account Not Found"))</f>
        <v/>
      </c>
      <c r="D147" s="256" t="str">
        <f t="shared" ca="1" si="17"/>
        <v/>
      </c>
      <c r="E147" s="257"/>
      <c r="F147" s="257"/>
      <c r="G147" s="256"/>
      <c r="H147" s="258">
        <v>2.5</v>
      </c>
      <c r="I147" s="256" t="str">
        <f t="shared" si="18"/>
        <v/>
      </c>
      <c r="J147" s="256" t="str">
        <f t="shared" si="19"/>
        <v/>
      </c>
      <c r="K147" s="256" t="str">
        <f>IF(B147="","Pending",IF(M147="","⚠️ Enter Code",IF(IFERROR(VLOOKUP(L147,DB_Agents!$B:$I,8,0),"")=M147,"Pending","🔒 BLOCKED — Wrong Code")))</f>
        <v>Pending</v>
      </c>
      <c r="L147" s="256" t="s">
        <v>139</v>
      </c>
      <c r="M147" s="252"/>
      <c r="N147" s="257"/>
    </row>
    <row r="148" spans="1:14" ht="18" customHeight="1" x14ac:dyDescent="0.25">
      <c r="A148" s="253" t="str">
        <f t="shared" si="16"/>
        <v/>
      </c>
      <c r="B148" s="254"/>
      <c r="C148" s="254" t="str">
        <f>IF(B148="","",IFERROR(VLOOKUP(B148,DB_Customers!$A:$D,4,0),"❌ Account Not Found"))</f>
        <v/>
      </c>
      <c r="D148" s="253" t="str">
        <f t="shared" ca="1" si="17"/>
        <v/>
      </c>
      <c r="E148" s="254"/>
      <c r="F148" s="254"/>
      <c r="G148" s="253"/>
      <c r="H148" s="255">
        <v>2.5</v>
      </c>
      <c r="I148" s="253" t="str">
        <f t="shared" si="18"/>
        <v/>
      </c>
      <c r="J148" s="253" t="str">
        <f t="shared" si="19"/>
        <v/>
      </c>
      <c r="K148" s="253" t="str">
        <f>IF(B148="","Pending",IF(M148="","⚠️ Enter Code",IF(IFERROR(VLOOKUP(L148,DB_Agents!$B:$I,8,0),"")=M148,"Pending","🔒 BLOCKED — Wrong Code")))</f>
        <v>Pending</v>
      </c>
      <c r="L148" s="253" t="s">
        <v>139</v>
      </c>
      <c r="M148" s="240"/>
      <c r="N148" s="254"/>
    </row>
    <row r="149" spans="1:14" ht="18" customHeight="1" x14ac:dyDescent="0.25">
      <c r="A149" s="256" t="str">
        <f t="shared" si="16"/>
        <v/>
      </c>
      <c r="B149" s="257"/>
      <c r="C149" s="257" t="str">
        <f>IF(B149="","",IFERROR(VLOOKUP(B149,DB_Customers!$A:$D,4,0),"❌ Account Not Found"))</f>
        <v/>
      </c>
      <c r="D149" s="256" t="str">
        <f t="shared" ca="1" si="17"/>
        <v/>
      </c>
      <c r="E149" s="257"/>
      <c r="F149" s="257"/>
      <c r="G149" s="256"/>
      <c r="H149" s="258">
        <v>2.5</v>
      </c>
      <c r="I149" s="256" t="str">
        <f t="shared" si="18"/>
        <v/>
      </c>
      <c r="J149" s="256" t="str">
        <f t="shared" si="19"/>
        <v/>
      </c>
      <c r="K149" s="256" t="str">
        <f>IF(B149="","Pending",IF(M149="","⚠️ Enter Code",IF(IFERROR(VLOOKUP(L149,DB_Agents!$B:$I,8,0),"")=M149,"Pending","🔒 BLOCKED — Wrong Code")))</f>
        <v>Pending</v>
      </c>
      <c r="L149" s="256" t="s">
        <v>139</v>
      </c>
      <c r="M149" s="252"/>
      <c r="N149" s="257"/>
    </row>
    <row r="150" spans="1:14" ht="18" customHeight="1" x14ac:dyDescent="0.25">
      <c r="A150" s="253" t="str">
        <f t="shared" si="16"/>
        <v/>
      </c>
      <c r="B150" s="254"/>
      <c r="C150" s="254" t="str">
        <f>IF(B150="","",IFERROR(VLOOKUP(B150,DB_Customers!$A:$D,4,0),"❌ Account Not Found"))</f>
        <v/>
      </c>
      <c r="D150" s="253" t="str">
        <f t="shared" ca="1" si="17"/>
        <v/>
      </c>
      <c r="E150" s="254"/>
      <c r="F150" s="254"/>
      <c r="G150" s="253"/>
      <c r="H150" s="255">
        <v>2.5</v>
      </c>
      <c r="I150" s="253" t="str">
        <f t="shared" si="18"/>
        <v/>
      </c>
      <c r="J150" s="253" t="str">
        <f t="shared" si="19"/>
        <v/>
      </c>
      <c r="K150" s="253" t="str">
        <f>IF(B150="","Pending",IF(M150="","⚠️ Enter Code",IF(IFERROR(VLOOKUP(L150,DB_Agents!$B:$I,8,0),"")=M150,"Pending","🔒 BLOCKED — Wrong Code")))</f>
        <v>Pending</v>
      </c>
      <c r="L150" s="253" t="s">
        <v>139</v>
      </c>
      <c r="M150" s="240"/>
      <c r="N150" s="254"/>
    </row>
    <row r="151" spans="1:14" ht="18" customHeight="1" x14ac:dyDescent="0.25">
      <c r="A151" s="256" t="str">
        <f t="shared" si="16"/>
        <v/>
      </c>
      <c r="B151" s="257"/>
      <c r="C151" s="257" t="str">
        <f>IF(B151="","",IFERROR(VLOOKUP(B151,DB_Customers!$A:$D,4,0),"❌ Account Not Found"))</f>
        <v/>
      </c>
      <c r="D151" s="256" t="str">
        <f t="shared" ca="1" si="17"/>
        <v/>
      </c>
      <c r="E151" s="257"/>
      <c r="F151" s="257"/>
      <c r="G151" s="256"/>
      <c r="H151" s="258">
        <v>2.5</v>
      </c>
      <c r="I151" s="256" t="str">
        <f t="shared" si="18"/>
        <v/>
      </c>
      <c r="J151" s="256" t="str">
        <f t="shared" si="19"/>
        <v/>
      </c>
      <c r="K151" s="256" t="str">
        <f>IF(B151="","Pending",IF(M151="","⚠️ Enter Code",IF(IFERROR(VLOOKUP(L151,DB_Agents!$B:$I,8,0),"")=M151,"Pending","🔒 BLOCKED — Wrong Code")))</f>
        <v>Pending</v>
      </c>
      <c r="L151" s="256" t="s">
        <v>139</v>
      </c>
      <c r="M151" s="252"/>
      <c r="N151" s="257"/>
    </row>
    <row r="152" spans="1:14" ht="18" customHeight="1" x14ac:dyDescent="0.25">
      <c r="A152" s="253" t="str">
        <f t="shared" si="16"/>
        <v/>
      </c>
      <c r="B152" s="254"/>
      <c r="C152" s="254" t="str">
        <f>IF(B152="","",IFERROR(VLOOKUP(B152,DB_Customers!$A:$D,4,0),"❌ Account Not Found"))</f>
        <v/>
      </c>
      <c r="D152" s="253" t="str">
        <f t="shared" ca="1" si="17"/>
        <v/>
      </c>
      <c r="E152" s="254"/>
      <c r="F152" s="254"/>
      <c r="G152" s="253"/>
      <c r="H152" s="255">
        <v>2.5</v>
      </c>
      <c r="I152" s="253" t="str">
        <f t="shared" si="18"/>
        <v/>
      </c>
      <c r="J152" s="253" t="str">
        <f t="shared" si="19"/>
        <v/>
      </c>
      <c r="K152" s="253" t="str">
        <f>IF(B152="","Pending",IF(M152="","⚠️ Enter Code",IF(IFERROR(VLOOKUP(L152,DB_Agents!$B:$I,8,0),"")=M152,"Pending","🔒 BLOCKED — Wrong Code")))</f>
        <v>Pending</v>
      </c>
      <c r="L152" s="253" t="s">
        <v>139</v>
      </c>
      <c r="M152" s="240"/>
      <c r="N152" s="254"/>
    </row>
    <row r="153" spans="1:14" ht="18" customHeight="1" x14ac:dyDescent="0.25">
      <c r="A153" s="256" t="str">
        <f t="shared" si="16"/>
        <v/>
      </c>
      <c r="B153" s="257"/>
      <c r="C153" s="257" t="str">
        <f>IF(B153="","",IFERROR(VLOOKUP(B153,DB_Customers!$A:$D,4,0),"❌ Account Not Found"))</f>
        <v/>
      </c>
      <c r="D153" s="256" t="str">
        <f t="shared" ca="1" si="17"/>
        <v/>
      </c>
      <c r="E153" s="257"/>
      <c r="F153" s="257"/>
      <c r="G153" s="256"/>
      <c r="H153" s="258">
        <v>2.5</v>
      </c>
      <c r="I153" s="256" t="str">
        <f t="shared" si="18"/>
        <v/>
      </c>
      <c r="J153" s="256" t="str">
        <f t="shared" si="19"/>
        <v/>
      </c>
      <c r="K153" s="256" t="str">
        <f>IF(B153="","Pending",IF(M153="","⚠️ Enter Code",IF(IFERROR(VLOOKUP(L153,DB_Agents!$B:$I,8,0),"")=M153,"Pending","🔒 BLOCKED — Wrong Code")))</f>
        <v>Pending</v>
      </c>
      <c r="L153" s="256" t="s">
        <v>139</v>
      </c>
      <c r="M153" s="252"/>
      <c r="N153" s="257"/>
    </row>
    <row r="154" spans="1:14" ht="18" customHeight="1" x14ac:dyDescent="0.25">
      <c r="A154" s="253" t="str">
        <f t="shared" si="16"/>
        <v/>
      </c>
      <c r="B154" s="254"/>
      <c r="C154" s="254" t="str">
        <f>IF(B154="","",IFERROR(VLOOKUP(B154,DB_Customers!$A:$D,4,0),"❌ Account Not Found"))</f>
        <v/>
      </c>
      <c r="D154" s="253" t="str">
        <f t="shared" ca="1" si="17"/>
        <v/>
      </c>
      <c r="E154" s="254"/>
      <c r="F154" s="254"/>
      <c r="G154" s="253"/>
      <c r="H154" s="255">
        <v>2.5</v>
      </c>
      <c r="I154" s="253" t="str">
        <f t="shared" si="18"/>
        <v/>
      </c>
      <c r="J154" s="253" t="str">
        <f t="shared" si="19"/>
        <v/>
      </c>
      <c r="K154" s="253" t="str">
        <f>IF(B154="","Pending",IF(M154="","⚠️ Enter Code",IF(IFERROR(VLOOKUP(L154,DB_Agents!$B:$I,8,0),"")=M154,"Pending","🔒 BLOCKED — Wrong Code")))</f>
        <v>Pending</v>
      </c>
      <c r="L154" s="253" t="s">
        <v>139</v>
      </c>
      <c r="M154" s="240"/>
      <c r="N154" s="254"/>
    </row>
    <row r="155" spans="1:14" ht="18" customHeight="1" x14ac:dyDescent="0.25">
      <c r="A155" s="256" t="str">
        <f t="shared" si="16"/>
        <v/>
      </c>
      <c r="B155" s="257"/>
      <c r="C155" s="257" t="str">
        <f>IF(B155="","",IFERROR(VLOOKUP(B155,DB_Customers!$A:$D,4,0),"❌ Account Not Found"))</f>
        <v/>
      </c>
      <c r="D155" s="256" t="str">
        <f t="shared" ca="1" si="17"/>
        <v/>
      </c>
      <c r="E155" s="257"/>
      <c r="F155" s="257"/>
      <c r="G155" s="256"/>
      <c r="H155" s="258">
        <v>2.5</v>
      </c>
      <c r="I155" s="256" t="str">
        <f t="shared" si="18"/>
        <v/>
      </c>
      <c r="J155" s="256" t="str">
        <f t="shared" si="19"/>
        <v/>
      </c>
      <c r="K155" s="256" t="str">
        <f>IF(B155="","Pending",IF(M155="","⚠️ Enter Code",IF(IFERROR(VLOOKUP(L155,DB_Agents!$B:$I,8,0),"")=M155,"Pending","🔒 BLOCKED — Wrong Code")))</f>
        <v>Pending</v>
      </c>
      <c r="L155" s="256" t="s">
        <v>139</v>
      </c>
      <c r="M155" s="252"/>
      <c r="N155" s="257"/>
    </row>
    <row r="156" spans="1:14" ht="18" customHeight="1" x14ac:dyDescent="0.25">
      <c r="A156" s="253" t="str">
        <f t="shared" si="16"/>
        <v/>
      </c>
      <c r="B156" s="254"/>
      <c r="C156" s="254" t="str">
        <f>IF(B156="","",IFERROR(VLOOKUP(B156,DB_Customers!$A:$D,4,0),"❌ Account Not Found"))</f>
        <v/>
      </c>
      <c r="D156" s="253" t="str">
        <f t="shared" ca="1" si="17"/>
        <v/>
      </c>
      <c r="E156" s="254"/>
      <c r="F156" s="254"/>
      <c r="G156" s="253"/>
      <c r="H156" s="255">
        <v>2.5</v>
      </c>
      <c r="I156" s="253" t="str">
        <f t="shared" si="18"/>
        <v/>
      </c>
      <c r="J156" s="253" t="str">
        <f t="shared" si="19"/>
        <v/>
      </c>
      <c r="K156" s="253" t="str">
        <f>IF(B156="","Pending",IF(M156="","⚠️ Enter Code",IF(IFERROR(VLOOKUP(L156,DB_Agents!$B:$I,8,0),"")=M156,"Pending","🔒 BLOCKED — Wrong Code")))</f>
        <v>Pending</v>
      </c>
      <c r="L156" s="253" t="s">
        <v>139</v>
      </c>
      <c r="M156" s="240"/>
      <c r="N156" s="254"/>
    </row>
    <row r="157" spans="1:14" ht="18" customHeight="1" x14ac:dyDescent="0.25">
      <c r="A157" s="256" t="str">
        <f t="shared" si="16"/>
        <v/>
      </c>
      <c r="B157" s="257"/>
      <c r="C157" s="257" t="str">
        <f>IF(B157="","",IFERROR(VLOOKUP(B157,DB_Customers!$A:$D,4,0),"❌ Account Not Found"))</f>
        <v/>
      </c>
      <c r="D157" s="256" t="str">
        <f t="shared" ca="1" si="17"/>
        <v/>
      </c>
      <c r="E157" s="257"/>
      <c r="F157" s="257"/>
      <c r="G157" s="256"/>
      <c r="H157" s="258">
        <v>2.5</v>
      </c>
      <c r="I157" s="256" t="str">
        <f t="shared" si="18"/>
        <v/>
      </c>
      <c r="J157" s="256" t="str">
        <f t="shared" si="19"/>
        <v/>
      </c>
      <c r="K157" s="256" t="str">
        <f>IF(B157="","Pending",IF(M157="","⚠️ Enter Code",IF(IFERROR(VLOOKUP(L157,DB_Agents!$B:$I,8,0),"")=M157,"Pending","🔒 BLOCKED — Wrong Code")))</f>
        <v>Pending</v>
      </c>
      <c r="L157" s="256" t="s">
        <v>139</v>
      </c>
      <c r="M157" s="252"/>
      <c r="N157" s="257"/>
    </row>
    <row r="158" spans="1:14" ht="18" customHeight="1" x14ac:dyDescent="0.25">
      <c r="A158" s="253" t="str">
        <f t="shared" si="16"/>
        <v/>
      </c>
      <c r="B158" s="254"/>
      <c r="C158" s="254" t="str">
        <f>IF(B158="","",IFERROR(VLOOKUP(B158,DB_Customers!$A:$D,4,0),"❌ Account Not Found"))</f>
        <v/>
      </c>
      <c r="D158" s="253" t="str">
        <f t="shared" ca="1" si="17"/>
        <v/>
      </c>
      <c r="E158" s="254"/>
      <c r="F158" s="254"/>
      <c r="G158" s="253"/>
      <c r="H158" s="255">
        <v>2.5</v>
      </c>
      <c r="I158" s="253" t="str">
        <f t="shared" si="18"/>
        <v/>
      </c>
      <c r="J158" s="253" t="str">
        <f t="shared" si="19"/>
        <v/>
      </c>
      <c r="K158" s="253" t="str">
        <f>IF(B158="","Pending",IF(M158="","⚠️ Enter Code",IF(IFERROR(VLOOKUP(L158,DB_Agents!$B:$I,8,0),"")=M158,"Pending","🔒 BLOCKED — Wrong Code")))</f>
        <v>Pending</v>
      </c>
      <c r="L158" s="253" t="s">
        <v>139</v>
      </c>
      <c r="M158" s="240"/>
      <c r="N158" s="254"/>
    </row>
    <row r="159" spans="1:14" ht="18" customHeight="1" x14ac:dyDescent="0.25">
      <c r="A159" s="256" t="str">
        <f t="shared" si="16"/>
        <v/>
      </c>
      <c r="B159" s="257"/>
      <c r="C159" s="257" t="str">
        <f>IF(B159="","",IFERROR(VLOOKUP(B159,DB_Customers!$A:$D,4,0),"❌ Account Not Found"))</f>
        <v/>
      </c>
      <c r="D159" s="256" t="str">
        <f t="shared" ca="1" si="17"/>
        <v/>
      </c>
      <c r="E159" s="257"/>
      <c r="F159" s="257"/>
      <c r="G159" s="256"/>
      <c r="H159" s="258">
        <v>2.5</v>
      </c>
      <c r="I159" s="256" t="str">
        <f t="shared" si="18"/>
        <v/>
      </c>
      <c r="J159" s="256" t="str">
        <f t="shared" si="19"/>
        <v/>
      </c>
      <c r="K159" s="256" t="str">
        <f>IF(B159="","Pending",IF(M159="","⚠️ Enter Code",IF(IFERROR(VLOOKUP(L159,DB_Agents!$B:$I,8,0),"")=M159,"Pending","🔒 BLOCKED — Wrong Code")))</f>
        <v>Pending</v>
      </c>
      <c r="L159" s="256" t="s">
        <v>139</v>
      </c>
      <c r="M159" s="252"/>
      <c r="N159" s="257"/>
    </row>
    <row r="160" spans="1:14" ht="18" customHeight="1" x14ac:dyDescent="0.25">
      <c r="A160" s="253" t="str">
        <f t="shared" si="16"/>
        <v/>
      </c>
      <c r="B160" s="254"/>
      <c r="C160" s="254" t="str">
        <f>IF(B160="","",IFERROR(VLOOKUP(B160,DB_Customers!$A:$D,4,0),"❌ Account Not Found"))</f>
        <v/>
      </c>
      <c r="D160" s="253" t="str">
        <f t="shared" ca="1" si="17"/>
        <v/>
      </c>
      <c r="E160" s="254"/>
      <c r="F160" s="254"/>
      <c r="G160" s="253"/>
      <c r="H160" s="255">
        <v>2.5</v>
      </c>
      <c r="I160" s="253" t="str">
        <f t="shared" si="18"/>
        <v/>
      </c>
      <c r="J160" s="253" t="str">
        <f t="shared" si="19"/>
        <v/>
      </c>
      <c r="K160" s="253" t="str">
        <f>IF(B160="","Pending",IF(M160="","⚠️ Enter Code",IF(IFERROR(VLOOKUP(L160,DB_Agents!$B:$I,8,0),"")=M160,"Pending","🔒 BLOCKED — Wrong Code")))</f>
        <v>Pending</v>
      </c>
      <c r="L160" s="253" t="s">
        <v>139</v>
      </c>
      <c r="M160" s="240"/>
      <c r="N160" s="254"/>
    </row>
    <row r="161" spans="1:14" ht="18" customHeight="1" x14ac:dyDescent="0.25">
      <c r="A161" s="256" t="str">
        <f t="shared" si="16"/>
        <v/>
      </c>
      <c r="B161" s="257"/>
      <c r="C161" s="257" t="str">
        <f>IF(B161="","",IFERROR(VLOOKUP(B161,DB_Customers!$A:$D,4,0),"❌ Account Not Found"))</f>
        <v/>
      </c>
      <c r="D161" s="256" t="str">
        <f t="shared" ca="1" si="17"/>
        <v/>
      </c>
      <c r="E161" s="257"/>
      <c r="F161" s="257"/>
      <c r="G161" s="256"/>
      <c r="H161" s="258">
        <v>2.5</v>
      </c>
      <c r="I161" s="256" t="str">
        <f t="shared" si="18"/>
        <v/>
      </c>
      <c r="J161" s="256" t="str">
        <f t="shared" si="19"/>
        <v/>
      </c>
      <c r="K161" s="256" t="str">
        <f>IF(B161="","Pending",IF(M161="","⚠️ Enter Code",IF(IFERROR(VLOOKUP(L161,DB_Agents!$B:$I,8,0),"")=M161,"Pending","🔒 BLOCKED — Wrong Code")))</f>
        <v>Pending</v>
      </c>
      <c r="L161" s="256" t="s">
        <v>139</v>
      </c>
      <c r="M161" s="252"/>
      <c r="N161" s="257"/>
    </row>
    <row r="162" spans="1:14" ht="18" customHeight="1" x14ac:dyDescent="0.25">
      <c r="A162" s="253" t="str">
        <f t="shared" si="16"/>
        <v/>
      </c>
      <c r="B162" s="254"/>
      <c r="C162" s="254" t="str">
        <f>IF(B162="","",IFERROR(VLOOKUP(B162,DB_Customers!$A:$D,4,0),"❌ Account Not Found"))</f>
        <v/>
      </c>
      <c r="D162" s="253" t="str">
        <f t="shared" ca="1" si="17"/>
        <v/>
      </c>
      <c r="E162" s="254"/>
      <c r="F162" s="254"/>
      <c r="G162" s="253"/>
      <c r="H162" s="255">
        <v>2.5</v>
      </c>
      <c r="I162" s="253" t="str">
        <f t="shared" si="18"/>
        <v/>
      </c>
      <c r="J162" s="253" t="str">
        <f t="shared" si="19"/>
        <v/>
      </c>
      <c r="K162" s="253" t="str">
        <f>IF(B162="","Pending",IF(M162="","⚠️ Enter Code",IF(IFERROR(VLOOKUP(L162,DB_Agents!$B:$I,8,0),"")=M162,"Pending","🔒 BLOCKED — Wrong Code")))</f>
        <v>Pending</v>
      </c>
      <c r="L162" s="253" t="s">
        <v>139</v>
      </c>
      <c r="M162" s="240"/>
      <c r="N162" s="254"/>
    </row>
    <row r="163" spans="1:14" ht="18" customHeight="1" x14ac:dyDescent="0.25">
      <c r="A163" s="256" t="str">
        <f t="shared" si="16"/>
        <v/>
      </c>
      <c r="B163" s="257"/>
      <c r="C163" s="257" t="str">
        <f>IF(B163="","",IFERROR(VLOOKUP(B163,DB_Customers!$A:$D,4,0),"❌ Account Not Found"))</f>
        <v/>
      </c>
      <c r="D163" s="256" t="str">
        <f t="shared" ca="1" si="17"/>
        <v/>
      </c>
      <c r="E163" s="257"/>
      <c r="F163" s="257"/>
      <c r="G163" s="256"/>
      <c r="H163" s="258">
        <v>2.5</v>
      </c>
      <c r="I163" s="256" t="str">
        <f t="shared" si="18"/>
        <v/>
      </c>
      <c r="J163" s="256" t="str">
        <f t="shared" si="19"/>
        <v/>
      </c>
      <c r="K163" s="256" t="str">
        <f>IF(B163="","Pending",IF(M163="","⚠️ Enter Code",IF(IFERROR(VLOOKUP(L163,DB_Agents!$B:$I,8,0),"")=M163,"Pending","🔒 BLOCKED — Wrong Code")))</f>
        <v>Pending</v>
      </c>
      <c r="L163" s="256" t="s">
        <v>139</v>
      </c>
      <c r="M163" s="252"/>
      <c r="N163" s="257"/>
    </row>
    <row r="164" spans="1:14" ht="18" customHeight="1" x14ac:dyDescent="0.25">
      <c r="A164" s="253" t="str">
        <f t="shared" si="16"/>
        <v/>
      </c>
      <c r="B164" s="254"/>
      <c r="C164" s="254" t="str">
        <f>IF(B164="","",IFERROR(VLOOKUP(B164,DB_Customers!$A:$D,4,0),"❌ Account Not Found"))</f>
        <v/>
      </c>
      <c r="D164" s="253" t="str">
        <f t="shared" ca="1" si="17"/>
        <v/>
      </c>
      <c r="E164" s="254"/>
      <c r="F164" s="254"/>
      <c r="G164" s="253"/>
      <c r="H164" s="255">
        <v>2.5</v>
      </c>
      <c r="I164" s="253" t="str">
        <f t="shared" si="18"/>
        <v/>
      </c>
      <c r="J164" s="253" t="str">
        <f t="shared" si="19"/>
        <v/>
      </c>
      <c r="K164" s="253" t="str">
        <f>IF(B164="","Pending",IF(M164="","⚠️ Enter Code",IF(IFERROR(VLOOKUP(L164,DB_Agents!$B:$I,8,0),"")=M164,"Pending","🔒 BLOCKED — Wrong Code")))</f>
        <v>Pending</v>
      </c>
      <c r="L164" s="253" t="s">
        <v>139</v>
      </c>
      <c r="M164" s="240"/>
      <c r="N164" s="254"/>
    </row>
    <row r="165" spans="1:14" ht="18" customHeight="1" x14ac:dyDescent="0.25">
      <c r="A165" s="256" t="str">
        <f t="shared" si="16"/>
        <v/>
      </c>
      <c r="B165" s="257"/>
      <c r="C165" s="257" t="str">
        <f>IF(B165="","",IFERROR(VLOOKUP(B165,DB_Customers!$A:$D,4,0),"❌ Account Not Found"))</f>
        <v/>
      </c>
      <c r="D165" s="256" t="str">
        <f t="shared" ca="1" si="17"/>
        <v/>
      </c>
      <c r="E165" s="257"/>
      <c r="F165" s="257"/>
      <c r="G165" s="256"/>
      <c r="H165" s="258">
        <v>2.5</v>
      </c>
      <c r="I165" s="256" t="str">
        <f t="shared" si="18"/>
        <v/>
      </c>
      <c r="J165" s="256" t="str">
        <f t="shared" si="19"/>
        <v/>
      </c>
      <c r="K165" s="256" t="str">
        <f>IF(B165="","Pending",IF(M165="","⚠️ Enter Code",IF(IFERROR(VLOOKUP(L165,DB_Agents!$B:$I,8,0),"")=M165,"Pending","🔒 BLOCKED — Wrong Code")))</f>
        <v>Pending</v>
      </c>
      <c r="L165" s="256" t="s">
        <v>139</v>
      </c>
      <c r="M165" s="252"/>
      <c r="N165" s="257"/>
    </row>
    <row r="166" spans="1:14" ht="18" customHeight="1" x14ac:dyDescent="0.25">
      <c r="A166" s="253" t="str">
        <f t="shared" si="16"/>
        <v/>
      </c>
      <c r="B166" s="254"/>
      <c r="C166" s="254" t="str">
        <f>IF(B166="","",IFERROR(VLOOKUP(B166,DB_Customers!$A:$D,4,0),"❌ Account Not Found"))</f>
        <v/>
      </c>
      <c r="D166" s="253" t="str">
        <f t="shared" ca="1" si="17"/>
        <v/>
      </c>
      <c r="E166" s="254"/>
      <c r="F166" s="254"/>
      <c r="G166" s="253"/>
      <c r="H166" s="255">
        <v>2.5</v>
      </c>
      <c r="I166" s="253" t="str">
        <f t="shared" si="18"/>
        <v/>
      </c>
      <c r="J166" s="253" t="str">
        <f t="shared" si="19"/>
        <v/>
      </c>
      <c r="K166" s="253" t="str">
        <f>IF(B166="","Pending",IF(M166="","⚠️ Enter Code",IF(IFERROR(VLOOKUP(L166,DB_Agents!$B:$I,8,0),"")=M166,"Pending","🔒 BLOCKED — Wrong Code")))</f>
        <v>Pending</v>
      </c>
      <c r="L166" s="253" t="s">
        <v>139</v>
      </c>
      <c r="M166" s="240"/>
      <c r="N166" s="254"/>
    </row>
    <row r="167" spans="1:14" ht="18" customHeight="1" x14ac:dyDescent="0.25">
      <c r="A167" s="256" t="str">
        <f t="shared" si="16"/>
        <v/>
      </c>
      <c r="B167" s="257"/>
      <c r="C167" s="257" t="str">
        <f>IF(B167="","",IFERROR(VLOOKUP(B167,DB_Customers!$A:$D,4,0),"❌ Account Not Found"))</f>
        <v/>
      </c>
      <c r="D167" s="256" t="str">
        <f t="shared" ca="1" si="17"/>
        <v/>
      </c>
      <c r="E167" s="257"/>
      <c r="F167" s="257"/>
      <c r="G167" s="256"/>
      <c r="H167" s="258">
        <v>2.5</v>
      </c>
      <c r="I167" s="256" t="str">
        <f t="shared" si="18"/>
        <v/>
      </c>
      <c r="J167" s="256" t="str">
        <f t="shared" si="19"/>
        <v/>
      </c>
      <c r="K167" s="256" t="str">
        <f>IF(B167="","Pending",IF(M167="","⚠️ Enter Code",IF(IFERROR(VLOOKUP(L167,DB_Agents!$B:$I,8,0),"")=M167,"Pending","🔒 BLOCKED — Wrong Code")))</f>
        <v>Pending</v>
      </c>
      <c r="L167" s="256" t="s">
        <v>139</v>
      </c>
      <c r="M167" s="252"/>
      <c r="N167" s="257"/>
    </row>
    <row r="168" spans="1:14" ht="18" customHeight="1" x14ac:dyDescent="0.25">
      <c r="A168" s="253" t="str">
        <f t="shared" si="16"/>
        <v/>
      </c>
      <c r="B168" s="254"/>
      <c r="C168" s="254" t="str">
        <f>IF(B168="","",IFERROR(VLOOKUP(B168,DB_Customers!$A:$D,4,0),"❌ Account Not Found"))</f>
        <v/>
      </c>
      <c r="D168" s="253" t="str">
        <f t="shared" ca="1" si="17"/>
        <v/>
      </c>
      <c r="E168" s="254"/>
      <c r="F168" s="254"/>
      <c r="G168" s="253"/>
      <c r="H168" s="255">
        <v>2.5</v>
      </c>
      <c r="I168" s="253" t="str">
        <f t="shared" si="18"/>
        <v/>
      </c>
      <c r="J168" s="253" t="str">
        <f t="shared" si="19"/>
        <v/>
      </c>
      <c r="K168" s="253" t="str">
        <f>IF(B168="","Pending",IF(M168="","⚠️ Enter Code",IF(IFERROR(VLOOKUP(L168,DB_Agents!$B:$I,8,0),"")=M168,"Pending","🔒 BLOCKED — Wrong Code")))</f>
        <v>Pending</v>
      </c>
      <c r="L168" s="253" t="s">
        <v>139</v>
      </c>
      <c r="M168" s="240"/>
      <c r="N168" s="254"/>
    </row>
    <row r="169" spans="1:14" ht="18" customHeight="1" x14ac:dyDescent="0.25">
      <c r="A169" s="256" t="str">
        <f t="shared" si="16"/>
        <v/>
      </c>
      <c r="B169" s="257"/>
      <c r="C169" s="257" t="str">
        <f>IF(B169="","",IFERROR(VLOOKUP(B169,DB_Customers!$A:$D,4,0),"❌ Account Not Found"))</f>
        <v/>
      </c>
      <c r="D169" s="256" t="str">
        <f t="shared" ca="1" si="17"/>
        <v/>
      </c>
      <c r="E169" s="257"/>
      <c r="F169" s="257"/>
      <c r="G169" s="256"/>
      <c r="H169" s="258">
        <v>2.5</v>
      </c>
      <c r="I169" s="256" t="str">
        <f t="shared" si="18"/>
        <v/>
      </c>
      <c r="J169" s="256" t="str">
        <f t="shared" si="19"/>
        <v/>
      </c>
      <c r="K169" s="256" t="str">
        <f>IF(B169="","Pending",IF(M169="","⚠️ Enter Code",IF(IFERROR(VLOOKUP(L169,DB_Agents!$B:$I,8,0),"")=M169,"Pending","🔒 BLOCKED — Wrong Code")))</f>
        <v>Pending</v>
      </c>
      <c r="L169" s="256" t="s">
        <v>139</v>
      </c>
      <c r="M169" s="252"/>
      <c r="N169" s="257"/>
    </row>
    <row r="170" spans="1:14" ht="18" customHeight="1" x14ac:dyDescent="0.25">
      <c r="A170" s="253" t="str">
        <f t="shared" si="16"/>
        <v/>
      </c>
      <c r="B170" s="254"/>
      <c r="C170" s="254" t="str">
        <f>IF(B170="","",IFERROR(VLOOKUP(B170,DB_Customers!$A:$D,4,0),"❌ Account Not Found"))</f>
        <v/>
      </c>
      <c r="D170" s="253" t="str">
        <f t="shared" ca="1" si="17"/>
        <v/>
      </c>
      <c r="E170" s="254"/>
      <c r="F170" s="254"/>
      <c r="G170" s="253"/>
      <c r="H170" s="255">
        <v>2.5</v>
      </c>
      <c r="I170" s="253" t="str">
        <f t="shared" si="18"/>
        <v/>
      </c>
      <c r="J170" s="253" t="str">
        <f t="shared" si="19"/>
        <v/>
      </c>
      <c r="K170" s="253" t="str">
        <f>IF(B170="","Pending",IF(M170="","⚠️ Enter Code",IF(IFERROR(VLOOKUP(L170,DB_Agents!$B:$I,8,0),"")=M170,"Pending","🔒 BLOCKED — Wrong Code")))</f>
        <v>Pending</v>
      </c>
      <c r="L170" s="253" t="s">
        <v>139</v>
      </c>
      <c r="M170" s="240"/>
      <c r="N170" s="254"/>
    </row>
    <row r="171" spans="1:14" ht="18" customHeight="1" x14ac:dyDescent="0.25">
      <c r="A171" s="256" t="str">
        <f t="shared" si="16"/>
        <v/>
      </c>
      <c r="B171" s="257"/>
      <c r="C171" s="257" t="str">
        <f>IF(B171="","",IFERROR(VLOOKUP(B171,DB_Customers!$A:$D,4,0),"❌ Account Not Found"))</f>
        <v/>
      </c>
      <c r="D171" s="256" t="str">
        <f t="shared" ca="1" si="17"/>
        <v/>
      </c>
      <c r="E171" s="257"/>
      <c r="F171" s="257"/>
      <c r="G171" s="256"/>
      <c r="H171" s="258">
        <v>2.5</v>
      </c>
      <c r="I171" s="256" t="str">
        <f t="shared" si="18"/>
        <v/>
      </c>
      <c r="J171" s="256" t="str">
        <f t="shared" si="19"/>
        <v/>
      </c>
      <c r="K171" s="256" t="str">
        <f>IF(B171="","Pending",IF(M171="","⚠️ Enter Code",IF(IFERROR(VLOOKUP(L171,DB_Agents!$B:$I,8,0),"")=M171,"Pending","🔒 BLOCKED — Wrong Code")))</f>
        <v>Pending</v>
      </c>
      <c r="L171" s="256" t="s">
        <v>139</v>
      </c>
      <c r="M171" s="252"/>
      <c r="N171" s="257"/>
    </row>
    <row r="172" spans="1:14" ht="18" customHeight="1" x14ac:dyDescent="0.25">
      <c r="A172" s="253" t="str">
        <f t="shared" si="16"/>
        <v/>
      </c>
      <c r="B172" s="254"/>
      <c r="C172" s="254" t="str">
        <f>IF(B172="","",IFERROR(VLOOKUP(B172,DB_Customers!$A:$D,4,0),"❌ Account Not Found"))</f>
        <v/>
      </c>
      <c r="D172" s="253" t="str">
        <f t="shared" ca="1" si="17"/>
        <v/>
      </c>
      <c r="E172" s="254"/>
      <c r="F172" s="254"/>
      <c r="G172" s="253"/>
      <c r="H172" s="255">
        <v>2.5</v>
      </c>
      <c r="I172" s="253" t="str">
        <f t="shared" si="18"/>
        <v/>
      </c>
      <c r="J172" s="253" t="str">
        <f t="shared" si="19"/>
        <v/>
      </c>
      <c r="K172" s="253" t="str">
        <f>IF(B172="","Pending",IF(M172="","⚠️ Enter Code",IF(IFERROR(VLOOKUP(L172,DB_Agents!$B:$I,8,0),"")=M172,"Pending","🔒 BLOCKED — Wrong Code")))</f>
        <v>Pending</v>
      </c>
      <c r="L172" s="253" t="s">
        <v>139</v>
      </c>
      <c r="M172" s="240"/>
      <c r="N172" s="254"/>
    </row>
    <row r="173" spans="1:14" ht="18" customHeight="1" x14ac:dyDescent="0.25">
      <c r="A173" s="256" t="str">
        <f t="shared" si="16"/>
        <v/>
      </c>
      <c r="B173" s="257"/>
      <c r="C173" s="257" t="str">
        <f>IF(B173="","",IFERROR(VLOOKUP(B173,DB_Customers!$A:$D,4,0),"❌ Account Not Found"))</f>
        <v/>
      </c>
      <c r="D173" s="256" t="str">
        <f t="shared" ca="1" si="17"/>
        <v/>
      </c>
      <c r="E173" s="257"/>
      <c r="F173" s="257"/>
      <c r="G173" s="256"/>
      <c r="H173" s="258">
        <v>2.5</v>
      </c>
      <c r="I173" s="256" t="str">
        <f t="shared" si="18"/>
        <v/>
      </c>
      <c r="J173" s="256" t="str">
        <f t="shared" si="19"/>
        <v/>
      </c>
      <c r="K173" s="256" t="str">
        <f>IF(B173="","Pending",IF(M173="","⚠️ Enter Code",IF(IFERROR(VLOOKUP(L173,DB_Agents!$B:$I,8,0),"")=M173,"Pending","🔒 BLOCKED — Wrong Code")))</f>
        <v>Pending</v>
      </c>
      <c r="L173" s="256" t="s">
        <v>139</v>
      </c>
      <c r="M173" s="252"/>
      <c r="N173" s="257"/>
    </row>
    <row r="174" spans="1:14" ht="18" customHeight="1" x14ac:dyDescent="0.25">
      <c r="A174" s="253" t="str">
        <f t="shared" ref="A174:A205" si="20">IF(B174="","",IF(C174="❌ Account Not Found","INVALID","LN"&amp;TEXT(D174,"YYYYMMDD")&amp;TEXT(ROW()-13,"0000")))</f>
        <v/>
      </c>
      <c r="B174" s="254"/>
      <c r="C174" s="254" t="str">
        <f>IF(B174="","",IFERROR(VLOOKUP(B174,DB_Customers!$A:$D,4,0),"❌ Account Not Found"))</f>
        <v/>
      </c>
      <c r="D174" s="253" t="str">
        <f t="shared" ref="D174:D205" ca="1" si="21">IF(B174="","",TODAY())</f>
        <v/>
      </c>
      <c r="E174" s="254"/>
      <c r="F174" s="254"/>
      <c r="G174" s="253"/>
      <c r="H174" s="255">
        <v>2.5</v>
      </c>
      <c r="I174" s="253" t="str">
        <f t="shared" ref="I174:I205" si="22">IF(E174="","",E174+(E174*H174/100*G174))</f>
        <v/>
      </c>
      <c r="J174" s="253" t="str">
        <f t="shared" ref="J174:J205" si="23">IFERROR(I174/G174,"")</f>
        <v/>
      </c>
      <c r="K174" s="253" t="str">
        <f>IF(B174="","Pending",IF(M174="","⚠️ Enter Code",IF(IFERROR(VLOOKUP(L174,DB_Agents!$B:$I,8,0),"")=M174,"Pending","🔒 BLOCKED — Wrong Code")))</f>
        <v>Pending</v>
      </c>
      <c r="L174" s="253" t="s">
        <v>139</v>
      </c>
      <c r="M174" s="240"/>
      <c r="N174" s="254"/>
    </row>
    <row r="175" spans="1:14" ht="18" customHeight="1" x14ac:dyDescent="0.25">
      <c r="A175" s="256" t="str">
        <f t="shared" si="20"/>
        <v/>
      </c>
      <c r="B175" s="257"/>
      <c r="C175" s="257" t="str">
        <f>IF(B175="","",IFERROR(VLOOKUP(B175,DB_Customers!$A:$D,4,0),"❌ Account Not Found"))</f>
        <v/>
      </c>
      <c r="D175" s="256" t="str">
        <f t="shared" ca="1" si="21"/>
        <v/>
      </c>
      <c r="E175" s="257"/>
      <c r="F175" s="257"/>
      <c r="G175" s="256"/>
      <c r="H175" s="258">
        <v>2.5</v>
      </c>
      <c r="I175" s="256" t="str">
        <f t="shared" si="22"/>
        <v/>
      </c>
      <c r="J175" s="256" t="str">
        <f t="shared" si="23"/>
        <v/>
      </c>
      <c r="K175" s="256" t="str">
        <f>IF(B175="","Pending",IF(M175="","⚠️ Enter Code",IF(IFERROR(VLOOKUP(L175,DB_Agents!$B:$I,8,0),"")=M175,"Pending","🔒 BLOCKED — Wrong Code")))</f>
        <v>Pending</v>
      </c>
      <c r="L175" s="256" t="s">
        <v>139</v>
      </c>
      <c r="M175" s="252"/>
      <c r="N175" s="257"/>
    </row>
    <row r="176" spans="1:14" ht="18" customHeight="1" x14ac:dyDescent="0.25">
      <c r="A176" s="253" t="str">
        <f t="shared" si="20"/>
        <v/>
      </c>
      <c r="B176" s="254"/>
      <c r="C176" s="254" t="str">
        <f>IF(B176="","",IFERROR(VLOOKUP(B176,DB_Customers!$A:$D,4,0),"❌ Account Not Found"))</f>
        <v/>
      </c>
      <c r="D176" s="253" t="str">
        <f t="shared" ca="1" si="21"/>
        <v/>
      </c>
      <c r="E176" s="254"/>
      <c r="F176" s="254"/>
      <c r="G176" s="253"/>
      <c r="H176" s="255">
        <v>2.5</v>
      </c>
      <c r="I176" s="253" t="str">
        <f t="shared" si="22"/>
        <v/>
      </c>
      <c r="J176" s="253" t="str">
        <f t="shared" si="23"/>
        <v/>
      </c>
      <c r="K176" s="253" t="str">
        <f>IF(B176="","Pending",IF(M176="","⚠️ Enter Code",IF(IFERROR(VLOOKUP(L176,DB_Agents!$B:$I,8,0),"")=M176,"Pending","🔒 BLOCKED — Wrong Code")))</f>
        <v>Pending</v>
      </c>
      <c r="L176" s="253" t="s">
        <v>139</v>
      </c>
      <c r="M176" s="240"/>
      <c r="N176" s="254"/>
    </row>
    <row r="177" spans="1:14" ht="18" customHeight="1" x14ac:dyDescent="0.25">
      <c r="A177" s="256" t="str">
        <f t="shared" si="20"/>
        <v/>
      </c>
      <c r="B177" s="257"/>
      <c r="C177" s="257" t="str">
        <f>IF(B177="","",IFERROR(VLOOKUP(B177,DB_Customers!$A:$D,4,0),"❌ Account Not Found"))</f>
        <v/>
      </c>
      <c r="D177" s="256" t="str">
        <f t="shared" ca="1" si="21"/>
        <v/>
      </c>
      <c r="E177" s="257"/>
      <c r="F177" s="257"/>
      <c r="G177" s="256"/>
      <c r="H177" s="258">
        <v>2.5</v>
      </c>
      <c r="I177" s="256" t="str">
        <f t="shared" si="22"/>
        <v/>
      </c>
      <c r="J177" s="256" t="str">
        <f t="shared" si="23"/>
        <v/>
      </c>
      <c r="K177" s="256" t="str">
        <f>IF(B177="","Pending",IF(M177="","⚠️ Enter Code",IF(IFERROR(VLOOKUP(L177,DB_Agents!$B:$I,8,0),"")=M177,"Pending","🔒 BLOCKED — Wrong Code")))</f>
        <v>Pending</v>
      </c>
      <c r="L177" s="256" t="s">
        <v>139</v>
      </c>
      <c r="M177" s="252"/>
      <c r="N177" s="257"/>
    </row>
    <row r="178" spans="1:14" ht="18" customHeight="1" x14ac:dyDescent="0.25">
      <c r="A178" s="253" t="str">
        <f t="shared" si="20"/>
        <v/>
      </c>
      <c r="B178" s="254"/>
      <c r="C178" s="254" t="str">
        <f>IF(B178="","",IFERROR(VLOOKUP(B178,DB_Customers!$A:$D,4,0),"❌ Account Not Found"))</f>
        <v/>
      </c>
      <c r="D178" s="253" t="str">
        <f t="shared" ca="1" si="21"/>
        <v/>
      </c>
      <c r="E178" s="254"/>
      <c r="F178" s="254"/>
      <c r="G178" s="253"/>
      <c r="H178" s="255">
        <v>2.5</v>
      </c>
      <c r="I178" s="253" t="str">
        <f t="shared" si="22"/>
        <v/>
      </c>
      <c r="J178" s="253" t="str">
        <f t="shared" si="23"/>
        <v/>
      </c>
      <c r="K178" s="253" t="str">
        <f>IF(B178="","Pending",IF(M178="","⚠️ Enter Code",IF(IFERROR(VLOOKUP(L178,DB_Agents!$B:$I,8,0),"")=M178,"Pending","🔒 BLOCKED — Wrong Code")))</f>
        <v>Pending</v>
      </c>
      <c r="L178" s="253" t="s">
        <v>139</v>
      </c>
      <c r="M178" s="240"/>
      <c r="N178" s="254"/>
    </row>
    <row r="179" spans="1:14" ht="18" customHeight="1" x14ac:dyDescent="0.25">
      <c r="A179" s="256" t="str">
        <f t="shared" si="20"/>
        <v/>
      </c>
      <c r="B179" s="257"/>
      <c r="C179" s="257" t="str">
        <f>IF(B179="","",IFERROR(VLOOKUP(B179,DB_Customers!$A:$D,4,0),"❌ Account Not Found"))</f>
        <v/>
      </c>
      <c r="D179" s="256" t="str">
        <f t="shared" ca="1" si="21"/>
        <v/>
      </c>
      <c r="E179" s="257"/>
      <c r="F179" s="257"/>
      <c r="G179" s="256"/>
      <c r="H179" s="258">
        <v>2.5</v>
      </c>
      <c r="I179" s="256" t="str">
        <f t="shared" si="22"/>
        <v/>
      </c>
      <c r="J179" s="256" t="str">
        <f t="shared" si="23"/>
        <v/>
      </c>
      <c r="K179" s="256" t="str">
        <f>IF(B179="","Pending",IF(M179="","⚠️ Enter Code",IF(IFERROR(VLOOKUP(L179,DB_Agents!$B:$I,8,0),"")=M179,"Pending","🔒 BLOCKED — Wrong Code")))</f>
        <v>Pending</v>
      </c>
      <c r="L179" s="256" t="s">
        <v>139</v>
      </c>
      <c r="M179" s="252"/>
      <c r="N179" s="257"/>
    </row>
    <row r="180" spans="1:14" ht="18" customHeight="1" x14ac:dyDescent="0.25">
      <c r="A180" s="253" t="str">
        <f t="shared" si="20"/>
        <v/>
      </c>
      <c r="B180" s="254"/>
      <c r="C180" s="254" t="str">
        <f>IF(B180="","",IFERROR(VLOOKUP(B180,DB_Customers!$A:$D,4,0),"❌ Account Not Found"))</f>
        <v/>
      </c>
      <c r="D180" s="253" t="str">
        <f t="shared" ca="1" si="21"/>
        <v/>
      </c>
      <c r="E180" s="254"/>
      <c r="F180" s="254"/>
      <c r="G180" s="253"/>
      <c r="H180" s="255">
        <v>2.5</v>
      </c>
      <c r="I180" s="253" t="str">
        <f t="shared" si="22"/>
        <v/>
      </c>
      <c r="J180" s="253" t="str">
        <f t="shared" si="23"/>
        <v/>
      </c>
      <c r="K180" s="253" t="str">
        <f>IF(B180="","Pending",IF(M180="","⚠️ Enter Code",IF(IFERROR(VLOOKUP(L180,DB_Agents!$B:$I,8,0),"")=M180,"Pending","🔒 BLOCKED — Wrong Code")))</f>
        <v>Pending</v>
      </c>
      <c r="L180" s="253" t="s">
        <v>139</v>
      </c>
      <c r="M180" s="240"/>
      <c r="N180" s="254"/>
    </row>
    <row r="181" spans="1:14" ht="18" customHeight="1" x14ac:dyDescent="0.25">
      <c r="A181" s="256" t="str">
        <f t="shared" si="20"/>
        <v/>
      </c>
      <c r="B181" s="257"/>
      <c r="C181" s="257" t="str">
        <f>IF(B181="","",IFERROR(VLOOKUP(B181,DB_Customers!$A:$D,4,0),"❌ Account Not Found"))</f>
        <v/>
      </c>
      <c r="D181" s="256" t="str">
        <f t="shared" ca="1" si="21"/>
        <v/>
      </c>
      <c r="E181" s="257"/>
      <c r="F181" s="257"/>
      <c r="G181" s="256"/>
      <c r="H181" s="258">
        <v>2.5</v>
      </c>
      <c r="I181" s="256" t="str">
        <f t="shared" si="22"/>
        <v/>
      </c>
      <c r="J181" s="256" t="str">
        <f t="shared" si="23"/>
        <v/>
      </c>
      <c r="K181" s="256" t="str">
        <f>IF(B181="","Pending",IF(M181="","⚠️ Enter Code",IF(IFERROR(VLOOKUP(L181,DB_Agents!$B:$I,8,0),"")=M181,"Pending","🔒 BLOCKED — Wrong Code")))</f>
        <v>Pending</v>
      </c>
      <c r="L181" s="256" t="s">
        <v>139</v>
      </c>
      <c r="M181" s="252"/>
      <c r="N181" s="257"/>
    </row>
    <row r="182" spans="1:14" ht="18" customHeight="1" x14ac:dyDescent="0.25">
      <c r="A182" s="253" t="str">
        <f t="shared" si="20"/>
        <v/>
      </c>
      <c r="B182" s="254"/>
      <c r="C182" s="254" t="str">
        <f>IF(B182="","",IFERROR(VLOOKUP(B182,DB_Customers!$A:$D,4,0),"❌ Account Not Found"))</f>
        <v/>
      </c>
      <c r="D182" s="253" t="str">
        <f t="shared" ca="1" si="21"/>
        <v/>
      </c>
      <c r="E182" s="254"/>
      <c r="F182" s="254"/>
      <c r="G182" s="253"/>
      <c r="H182" s="255">
        <v>2.5</v>
      </c>
      <c r="I182" s="253" t="str">
        <f t="shared" si="22"/>
        <v/>
      </c>
      <c r="J182" s="253" t="str">
        <f t="shared" si="23"/>
        <v/>
      </c>
      <c r="K182" s="253" t="str">
        <f>IF(B182="","Pending",IF(M182="","⚠️ Enter Code",IF(IFERROR(VLOOKUP(L182,DB_Agents!$B:$I,8,0),"")=M182,"Pending","🔒 BLOCKED — Wrong Code")))</f>
        <v>Pending</v>
      </c>
      <c r="L182" s="253" t="s">
        <v>139</v>
      </c>
      <c r="M182" s="240"/>
      <c r="N182" s="254"/>
    </row>
    <row r="183" spans="1:14" ht="18" customHeight="1" x14ac:dyDescent="0.25">
      <c r="A183" s="256" t="str">
        <f t="shared" si="20"/>
        <v/>
      </c>
      <c r="B183" s="257"/>
      <c r="C183" s="257" t="str">
        <f>IF(B183="","",IFERROR(VLOOKUP(B183,DB_Customers!$A:$D,4,0),"❌ Account Not Found"))</f>
        <v/>
      </c>
      <c r="D183" s="256" t="str">
        <f t="shared" ca="1" si="21"/>
        <v/>
      </c>
      <c r="E183" s="257"/>
      <c r="F183" s="257"/>
      <c r="G183" s="256"/>
      <c r="H183" s="258">
        <v>2.5</v>
      </c>
      <c r="I183" s="256" t="str">
        <f t="shared" si="22"/>
        <v/>
      </c>
      <c r="J183" s="256" t="str">
        <f t="shared" si="23"/>
        <v/>
      </c>
      <c r="K183" s="256" t="str">
        <f>IF(B183="","Pending",IF(M183="","⚠️ Enter Code",IF(IFERROR(VLOOKUP(L183,DB_Agents!$B:$I,8,0),"")=M183,"Pending","🔒 BLOCKED — Wrong Code")))</f>
        <v>Pending</v>
      </c>
      <c r="L183" s="256" t="s">
        <v>139</v>
      </c>
      <c r="M183" s="252"/>
      <c r="N183" s="257"/>
    </row>
    <row r="184" spans="1:14" ht="18" customHeight="1" x14ac:dyDescent="0.25">
      <c r="A184" s="253" t="str">
        <f t="shared" si="20"/>
        <v/>
      </c>
      <c r="B184" s="254"/>
      <c r="C184" s="254" t="str">
        <f>IF(B184="","",IFERROR(VLOOKUP(B184,DB_Customers!$A:$D,4,0),"❌ Account Not Found"))</f>
        <v/>
      </c>
      <c r="D184" s="253" t="str">
        <f t="shared" ca="1" si="21"/>
        <v/>
      </c>
      <c r="E184" s="254"/>
      <c r="F184" s="254"/>
      <c r="G184" s="253"/>
      <c r="H184" s="255">
        <v>2.5</v>
      </c>
      <c r="I184" s="253" t="str">
        <f t="shared" si="22"/>
        <v/>
      </c>
      <c r="J184" s="253" t="str">
        <f t="shared" si="23"/>
        <v/>
      </c>
      <c r="K184" s="253" t="str">
        <f>IF(B184="","Pending",IF(M184="","⚠️ Enter Code",IF(IFERROR(VLOOKUP(L184,DB_Agents!$B:$I,8,0),"")=M184,"Pending","🔒 BLOCKED — Wrong Code")))</f>
        <v>Pending</v>
      </c>
      <c r="L184" s="253" t="s">
        <v>139</v>
      </c>
      <c r="M184" s="240"/>
      <c r="N184" s="254"/>
    </row>
    <row r="185" spans="1:14" ht="18" customHeight="1" x14ac:dyDescent="0.25">
      <c r="A185" s="256" t="str">
        <f t="shared" si="20"/>
        <v/>
      </c>
      <c r="B185" s="257"/>
      <c r="C185" s="257" t="str">
        <f>IF(B185="","",IFERROR(VLOOKUP(B185,DB_Customers!$A:$D,4,0),"❌ Account Not Found"))</f>
        <v/>
      </c>
      <c r="D185" s="256" t="str">
        <f t="shared" ca="1" si="21"/>
        <v/>
      </c>
      <c r="E185" s="257"/>
      <c r="F185" s="257"/>
      <c r="G185" s="256"/>
      <c r="H185" s="258">
        <v>2.5</v>
      </c>
      <c r="I185" s="256" t="str">
        <f t="shared" si="22"/>
        <v/>
      </c>
      <c r="J185" s="256" t="str">
        <f t="shared" si="23"/>
        <v/>
      </c>
      <c r="K185" s="256" t="str">
        <f>IF(B185="","Pending",IF(M185="","⚠️ Enter Code",IF(IFERROR(VLOOKUP(L185,DB_Agents!$B:$I,8,0),"")=M185,"Pending","🔒 BLOCKED — Wrong Code")))</f>
        <v>Pending</v>
      </c>
      <c r="L185" s="256" t="s">
        <v>139</v>
      </c>
      <c r="M185" s="252"/>
      <c r="N185" s="257"/>
    </row>
    <row r="186" spans="1:14" ht="18" customHeight="1" x14ac:dyDescent="0.25">
      <c r="A186" s="253" t="str">
        <f t="shared" si="20"/>
        <v/>
      </c>
      <c r="B186" s="254"/>
      <c r="C186" s="254" t="str">
        <f>IF(B186="","",IFERROR(VLOOKUP(B186,DB_Customers!$A:$D,4,0),"❌ Account Not Found"))</f>
        <v/>
      </c>
      <c r="D186" s="253" t="str">
        <f t="shared" ca="1" si="21"/>
        <v/>
      </c>
      <c r="E186" s="254"/>
      <c r="F186" s="254"/>
      <c r="G186" s="253"/>
      <c r="H186" s="255">
        <v>2.5</v>
      </c>
      <c r="I186" s="253" t="str">
        <f t="shared" si="22"/>
        <v/>
      </c>
      <c r="J186" s="253" t="str">
        <f t="shared" si="23"/>
        <v/>
      </c>
      <c r="K186" s="253" t="str">
        <f>IF(B186="","Pending",IF(M186="","⚠️ Enter Code",IF(IFERROR(VLOOKUP(L186,DB_Agents!$B:$I,8,0),"")=M186,"Pending","🔒 BLOCKED — Wrong Code")))</f>
        <v>Pending</v>
      </c>
      <c r="L186" s="253" t="s">
        <v>139</v>
      </c>
      <c r="M186" s="240"/>
      <c r="N186" s="254"/>
    </row>
    <row r="187" spans="1:14" ht="18" customHeight="1" x14ac:dyDescent="0.25">
      <c r="A187" s="256" t="str">
        <f t="shared" si="20"/>
        <v/>
      </c>
      <c r="B187" s="257"/>
      <c r="C187" s="257" t="str">
        <f>IF(B187="","",IFERROR(VLOOKUP(B187,DB_Customers!$A:$D,4,0),"❌ Account Not Found"))</f>
        <v/>
      </c>
      <c r="D187" s="256" t="str">
        <f t="shared" ca="1" si="21"/>
        <v/>
      </c>
      <c r="E187" s="257"/>
      <c r="F187" s="257"/>
      <c r="G187" s="256"/>
      <c r="H187" s="258">
        <v>2.5</v>
      </c>
      <c r="I187" s="256" t="str">
        <f t="shared" si="22"/>
        <v/>
      </c>
      <c r="J187" s="256" t="str">
        <f t="shared" si="23"/>
        <v/>
      </c>
      <c r="K187" s="256" t="str">
        <f>IF(B187="","Pending",IF(M187="","⚠️ Enter Code",IF(IFERROR(VLOOKUP(L187,DB_Agents!$B:$I,8,0),"")=M187,"Pending","🔒 BLOCKED — Wrong Code")))</f>
        <v>Pending</v>
      </c>
      <c r="L187" s="256" t="s">
        <v>139</v>
      </c>
      <c r="M187" s="252"/>
      <c r="N187" s="257"/>
    </row>
    <row r="188" spans="1:14" ht="18" customHeight="1" x14ac:dyDescent="0.25">
      <c r="A188" s="253" t="str">
        <f t="shared" si="20"/>
        <v/>
      </c>
      <c r="B188" s="254"/>
      <c r="C188" s="254" t="str">
        <f>IF(B188="","",IFERROR(VLOOKUP(B188,DB_Customers!$A:$D,4,0),"❌ Account Not Found"))</f>
        <v/>
      </c>
      <c r="D188" s="253" t="str">
        <f t="shared" ca="1" si="21"/>
        <v/>
      </c>
      <c r="E188" s="254"/>
      <c r="F188" s="254"/>
      <c r="G188" s="253"/>
      <c r="H188" s="255">
        <v>2.5</v>
      </c>
      <c r="I188" s="253" t="str">
        <f t="shared" si="22"/>
        <v/>
      </c>
      <c r="J188" s="253" t="str">
        <f t="shared" si="23"/>
        <v/>
      </c>
      <c r="K188" s="253" t="str">
        <f>IF(B188="","Pending",IF(M188="","⚠️ Enter Code",IF(IFERROR(VLOOKUP(L188,DB_Agents!$B:$I,8,0),"")=M188,"Pending","🔒 BLOCKED — Wrong Code")))</f>
        <v>Pending</v>
      </c>
      <c r="L188" s="253" t="s">
        <v>139</v>
      </c>
      <c r="M188" s="240"/>
      <c r="N188" s="254"/>
    </row>
    <row r="189" spans="1:14" ht="18" customHeight="1" x14ac:dyDescent="0.25">
      <c r="A189" s="256" t="str">
        <f t="shared" si="20"/>
        <v/>
      </c>
      <c r="B189" s="257"/>
      <c r="C189" s="257" t="str">
        <f>IF(B189="","",IFERROR(VLOOKUP(B189,DB_Customers!$A:$D,4,0),"❌ Account Not Found"))</f>
        <v/>
      </c>
      <c r="D189" s="256" t="str">
        <f t="shared" ca="1" si="21"/>
        <v/>
      </c>
      <c r="E189" s="257"/>
      <c r="F189" s="257"/>
      <c r="G189" s="256"/>
      <c r="H189" s="258">
        <v>2.5</v>
      </c>
      <c r="I189" s="256" t="str">
        <f t="shared" si="22"/>
        <v/>
      </c>
      <c r="J189" s="256" t="str">
        <f t="shared" si="23"/>
        <v/>
      </c>
      <c r="K189" s="256" t="str">
        <f>IF(B189="","Pending",IF(M189="","⚠️ Enter Code",IF(IFERROR(VLOOKUP(L189,DB_Agents!$B:$I,8,0),"")=M189,"Pending","🔒 BLOCKED — Wrong Code")))</f>
        <v>Pending</v>
      </c>
      <c r="L189" s="256" t="s">
        <v>139</v>
      </c>
      <c r="M189" s="252"/>
      <c r="N189" s="257"/>
    </row>
    <row r="190" spans="1:14" ht="18" customHeight="1" x14ac:dyDescent="0.25">
      <c r="A190" s="253" t="str">
        <f t="shared" si="20"/>
        <v/>
      </c>
      <c r="B190" s="254"/>
      <c r="C190" s="254" t="str">
        <f>IF(B190="","",IFERROR(VLOOKUP(B190,DB_Customers!$A:$D,4,0),"❌ Account Not Found"))</f>
        <v/>
      </c>
      <c r="D190" s="253" t="str">
        <f t="shared" ca="1" si="21"/>
        <v/>
      </c>
      <c r="E190" s="254"/>
      <c r="F190" s="254"/>
      <c r="G190" s="253"/>
      <c r="H190" s="255">
        <v>2.5</v>
      </c>
      <c r="I190" s="253" t="str">
        <f t="shared" si="22"/>
        <v/>
      </c>
      <c r="J190" s="253" t="str">
        <f t="shared" si="23"/>
        <v/>
      </c>
      <c r="K190" s="253" t="str">
        <f>IF(B190="","Pending",IF(M190="","⚠️ Enter Code",IF(IFERROR(VLOOKUP(L190,DB_Agents!$B:$I,8,0),"")=M190,"Pending","🔒 BLOCKED — Wrong Code")))</f>
        <v>Pending</v>
      </c>
      <c r="L190" s="253" t="s">
        <v>139</v>
      </c>
      <c r="M190" s="240"/>
      <c r="N190" s="254"/>
    </row>
    <row r="191" spans="1:14" ht="18" customHeight="1" x14ac:dyDescent="0.25">
      <c r="A191" s="256" t="str">
        <f t="shared" si="20"/>
        <v/>
      </c>
      <c r="B191" s="257"/>
      <c r="C191" s="257" t="str">
        <f>IF(B191="","",IFERROR(VLOOKUP(B191,DB_Customers!$A:$D,4,0),"❌ Account Not Found"))</f>
        <v/>
      </c>
      <c r="D191" s="256" t="str">
        <f t="shared" ca="1" si="21"/>
        <v/>
      </c>
      <c r="E191" s="257"/>
      <c r="F191" s="257"/>
      <c r="G191" s="256"/>
      <c r="H191" s="258">
        <v>2.5</v>
      </c>
      <c r="I191" s="256" t="str">
        <f t="shared" si="22"/>
        <v/>
      </c>
      <c r="J191" s="256" t="str">
        <f t="shared" si="23"/>
        <v/>
      </c>
      <c r="K191" s="256" t="str">
        <f>IF(B191="","Pending",IF(M191="","⚠️ Enter Code",IF(IFERROR(VLOOKUP(L191,DB_Agents!$B:$I,8,0),"")=M191,"Pending","🔒 BLOCKED — Wrong Code")))</f>
        <v>Pending</v>
      </c>
      <c r="L191" s="256" t="s">
        <v>139</v>
      </c>
      <c r="M191" s="252"/>
      <c r="N191" s="257"/>
    </row>
    <row r="192" spans="1:14" ht="18" customHeight="1" x14ac:dyDescent="0.25">
      <c r="A192" s="253" t="str">
        <f t="shared" si="20"/>
        <v/>
      </c>
      <c r="B192" s="254"/>
      <c r="C192" s="254" t="str">
        <f>IF(B192="","",IFERROR(VLOOKUP(B192,DB_Customers!$A:$D,4,0),"❌ Account Not Found"))</f>
        <v/>
      </c>
      <c r="D192" s="253" t="str">
        <f t="shared" ca="1" si="21"/>
        <v/>
      </c>
      <c r="E192" s="254"/>
      <c r="F192" s="254"/>
      <c r="G192" s="253"/>
      <c r="H192" s="255">
        <v>2.5</v>
      </c>
      <c r="I192" s="253" t="str">
        <f t="shared" si="22"/>
        <v/>
      </c>
      <c r="J192" s="253" t="str">
        <f t="shared" si="23"/>
        <v/>
      </c>
      <c r="K192" s="253" t="str">
        <f>IF(B192="","Pending",IF(M192="","⚠️ Enter Code",IF(IFERROR(VLOOKUP(L192,DB_Agents!$B:$I,8,0),"")=M192,"Pending","🔒 BLOCKED — Wrong Code")))</f>
        <v>Pending</v>
      </c>
      <c r="L192" s="253" t="s">
        <v>139</v>
      </c>
      <c r="M192" s="240"/>
      <c r="N192" s="254"/>
    </row>
    <row r="193" spans="1:14" ht="18" customHeight="1" x14ac:dyDescent="0.25">
      <c r="A193" s="256" t="str">
        <f t="shared" si="20"/>
        <v/>
      </c>
      <c r="B193" s="257"/>
      <c r="C193" s="257" t="str">
        <f>IF(B193="","",IFERROR(VLOOKUP(B193,DB_Customers!$A:$D,4,0),"❌ Account Not Found"))</f>
        <v/>
      </c>
      <c r="D193" s="256" t="str">
        <f t="shared" ca="1" si="21"/>
        <v/>
      </c>
      <c r="E193" s="257"/>
      <c r="F193" s="257"/>
      <c r="G193" s="256"/>
      <c r="H193" s="258">
        <v>2.5</v>
      </c>
      <c r="I193" s="256" t="str">
        <f t="shared" si="22"/>
        <v/>
      </c>
      <c r="J193" s="256" t="str">
        <f t="shared" si="23"/>
        <v/>
      </c>
      <c r="K193" s="256" t="str">
        <f>IF(B193="","Pending",IF(M193="","⚠️ Enter Code",IF(IFERROR(VLOOKUP(L193,DB_Agents!$B:$I,8,0),"")=M193,"Pending","🔒 BLOCKED — Wrong Code")))</f>
        <v>Pending</v>
      </c>
      <c r="L193" s="256" t="s">
        <v>139</v>
      </c>
      <c r="M193" s="252"/>
      <c r="N193" s="257"/>
    </row>
    <row r="194" spans="1:14" ht="18" customHeight="1" x14ac:dyDescent="0.25">
      <c r="A194" s="253" t="str">
        <f t="shared" si="20"/>
        <v/>
      </c>
      <c r="B194" s="254"/>
      <c r="C194" s="254" t="str">
        <f>IF(B194="","",IFERROR(VLOOKUP(B194,DB_Customers!$A:$D,4,0),"❌ Account Not Found"))</f>
        <v/>
      </c>
      <c r="D194" s="253" t="str">
        <f t="shared" ca="1" si="21"/>
        <v/>
      </c>
      <c r="E194" s="254"/>
      <c r="F194" s="254"/>
      <c r="G194" s="253"/>
      <c r="H194" s="255">
        <v>2.5</v>
      </c>
      <c r="I194" s="253" t="str">
        <f t="shared" si="22"/>
        <v/>
      </c>
      <c r="J194" s="253" t="str">
        <f t="shared" si="23"/>
        <v/>
      </c>
      <c r="K194" s="253" t="str">
        <f>IF(B194="","Pending",IF(M194="","⚠️ Enter Code",IF(IFERROR(VLOOKUP(L194,DB_Agents!$B:$I,8,0),"")=M194,"Pending","🔒 BLOCKED — Wrong Code")))</f>
        <v>Pending</v>
      </c>
      <c r="L194" s="253" t="s">
        <v>139</v>
      </c>
      <c r="M194" s="240"/>
      <c r="N194" s="254"/>
    </row>
    <row r="195" spans="1:14" ht="18" customHeight="1" x14ac:dyDescent="0.25">
      <c r="A195" s="256" t="str">
        <f t="shared" si="20"/>
        <v/>
      </c>
      <c r="B195" s="257"/>
      <c r="C195" s="257" t="str">
        <f>IF(B195="","",IFERROR(VLOOKUP(B195,DB_Customers!$A:$D,4,0),"❌ Account Not Found"))</f>
        <v/>
      </c>
      <c r="D195" s="256" t="str">
        <f t="shared" ca="1" si="21"/>
        <v/>
      </c>
      <c r="E195" s="257"/>
      <c r="F195" s="257"/>
      <c r="G195" s="256"/>
      <c r="H195" s="258">
        <v>2.5</v>
      </c>
      <c r="I195" s="256" t="str">
        <f t="shared" si="22"/>
        <v/>
      </c>
      <c r="J195" s="256" t="str">
        <f t="shared" si="23"/>
        <v/>
      </c>
      <c r="K195" s="256" t="str">
        <f>IF(B195="","Pending",IF(M195="","⚠️ Enter Code",IF(IFERROR(VLOOKUP(L195,DB_Agents!$B:$I,8,0),"")=M195,"Pending","🔒 BLOCKED — Wrong Code")))</f>
        <v>Pending</v>
      </c>
      <c r="L195" s="256" t="s">
        <v>139</v>
      </c>
      <c r="M195" s="252"/>
      <c r="N195" s="257"/>
    </row>
    <row r="196" spans="1:14" ht="18" customHeight="1" x14ac:dyDescent="0.25">
      <c r="A196" s="253" t="str">
        <f t="shared" si="20"/>
        <v/>
      </c>
      <c r="B196" s="254"/>
      <c r="C196" s="254" t="str">
        <f>IF(B196="","",IFERROR(VLOOKUP(B196,DB_Customers!$A:$D,4,0),"❌ Account Not Found"))</f>
        <v/>
      </c>
      <c r="D196" s="253" t="str">
        <f t="shared" ca="1" si="21"/>
        <v/>
      </c>
      <c r="E196" s="254"/>
      <c r="F196" s="254"/>
      <c r="G196" s="253"/>
      <c r="H196" s="255">
        <v>2.5</v>
      </c>
      <c r="I196" s="253" t="str">
        <f t="shared" si="22"/>
        <v/>
      </c>
      <c r="J196" s="253" t="str">
        <f t="shared" si="23"/>
        <v/>
      </c>
      <c r="K196" s="253" t="str">
        <f>IF(B196="","Pending",IF(M196="","⚠️ Enter Code",IF(IFERROR(VLOOKUP(L196,DB_Agents!$B:$I,8,0),"")=M196,"Pending","🔒 BLOCKED — Wrong Code")))</f>
        <v>Pending</v>
      </c>
      <c r="L196" s="253" t="s">
        <v>139</v>
      </c>
      <c r="M196" s="240"/>
      <c r="N196" s="254"/>
    </row>
    <row r="197" spans="1:14" ht="18" customHeight="1" x14ac:dyDescent="0.25">
      <c r="A197" s="256" t="str">
        <f t="shared" si="20"/>
        <v/>
      </c>
      <c r="B197" s="257"/>
      <c r="C197" s="257" t="str">
        <f>IF(B197="","",IFERROR(VLOOKUP(B197,DB_Customers!$A:$D,4,0),"❌ Account Not Found"))</f>
        <v/>
      </c>
      <c r="D197" s="256" t="str">
        <f t="shared" ca="1" si="21"/>
        <v/>
      </c>
      <c r="E197" s="257"/>
      <c r="F197" s="257"/>
      <c r="G197" s="256"/>
      <c r="H197" s="258">
        <v>2.5</v>
      </c>
      <c r="I197" s="256" t="str">
        <f t="shared" si="22"/>
        <v/>
      </c>
      <c r="J197" s="256" t="str">
        <f t="shared" si="23"/>
        <v/>
      </c>
      <c r="K197" s="256" t="str">
        <f>IF(B197="","Pending",IF(M197="","⚠️ Enter Code",IF(IFERROR(VLOOKUP(L197,DB_Agents!$B:$I,8,0),"")=M197,"Pending","🔒 BLOCKED — Wrong Code")))</f>
        <v>Pending</v>
      </c>
      <c r="L197" s="256" t="s">
        <v>139</v>
      </c>
      <c r="M197" s="252"/>
      <c r="N197" s="257"/>
    </row>
    <row r="198" spans="1:14" ht="18" customHeight="1" x14ac:dyDescent="0.25">
      <c r="A198" s="253" t="str">
        <f t="shared" si="20"/>
        <v/>
      </c>
      <c r="B198" s="254"/>
      <c r="C198" s="254" t="str">
        <f>IF(B198="","",IFERROR(VLOOKUP(B198,DB_Customers!$A:$D,4,0),"❌ Account Not Found"))</f>
        <v/>
      </c>
      <c r="D198" s="253" t="str">
        <f t="shared" ca="1" si="21"/>
        <v/>
      </c>
      <c r="E198" s="254"/>
      <c r="F198" s="254"/>
      <c r="G198" s="253"/>
      <c r="H198" s="255">
        <v>2.5</v>
      </c>
      <c r="I198" s="253" t="str">
        <f t="shared" si="22"/>
        <v/>
      </c>
      <c r="J198" s="253" t="str">
        <f t="shared" si="23"/>
        <v/>
      </c>
      <c r="K198" s="253" t="str">
        <f>IF(B198="","Pending",IF(M198="","⚠️ Enter Code",IF(IFERROR(VLOOKUP(L198,DB_Agents!$B:$I,8,0),"")=M198,"Pending","🔒 BLOCKED — Wrong Code")))</f>
        <v>Pending</v>
      </c>
      <c r="L198" s="253" t="s">
        <v>139</v>
      </c>
      <c r="M198" s="240"/>
      <c r="N198" s="254"/>
    </row>
    <row r="199" spans="1:14" ht="18" customHeight="1" x14ac:dyDescent="0.25">
      <c r="A199" s="256" t="str">
        <f t="shared" si="20"/>
        <v/>
      </c>
      <c r="B199" s="257"/>
      <c r="C199" s="257" t="str">
        <f>IF(B199="","",IFERROR(VLOOKUP(B199,DB_Customers!$A:$D,4,0),"❌ Account Not Found"))</f>
        <v/>
      </c>
      <c r="D199" s="256" t="str">
        <f t="shared" ca="1" si="21"/>
        <v/>
      </c>
      <c r="E199" s="257"/>
      <c r="F199" s="257"/>
      <c r="G199" s="256"/>
      <c r="H199" s="258">
        <v>2.5</v>
      </c>
      <c r="I199" s="256" t="str">
        <f t="shared" si="22"/>
        <v/>
      </c>
      <c r="J199" s="256" t="str">
        <f t="shared" si="23"/>
        <v/>
      </c>
      <c r="K199" s="256" t="str">
        <f>IF(B199="","Pending",IF(M199="","⚠️ Enter Code",IF(IFERROR(VLOOKUP(L199,DB_Agents!$B:$I,8,0),"")=M199,"Pending","🔒 BLOCKED — Wrong Code")))</f>
        <v>Pending</v>
      </c>
      <c r="L199" s="256" t="s">
        <v>139</v>
      </c>
      <c r="M199" s="252"/>
      <c r="N199" s="257"/>
    </row>
    <row r="200" spans="1:14" ht="18" customHeight="1" x14ac:dyDescent="0.25">
      <c r="A200" s="253" t="str">
        <f t="shared" si="20"/>
        <v/>
      </c>
      <c r="B200" s="254"/>
      <c r="C200" s="254" t="str">
        <f>IF(B200="","",IFERROR(VLOOKUP(B200,DB_Customers!$A:$D,4,0),"❌ Account Not Found"))</f>
        <v/>
      </c>
      <c r="D200" s="253" t="str">
        <f t="shared" ca="1" si="21"/>
        <v/>
      </c>
      <c r="E200" s="254"/>
      <c r="F200" s="254"/>
      <c r="G200" s="253"/>
      <c r="H200" s="255">
        <v>2.5</v>
      </c>
      <c r="I200" s="253" t="str">
        <f t="shared" si="22"/>
        <v/>
      </c>
      <c r="J200" s="253" t="str">
        <f t="shared" si="23"/>
        <v/>
      </c>
      <c r="K200" s="253" t="str">
        <f>IF(B200="","Pending",IF(M200="","⚠️ Enter Code",IF(IFERROR(VLOOKUP(L200,DB_Agents!$B:$I,8,0),"")=M200,"Pending","🔒 BLOCKED — Wrong Code")))</f>
        <v>Pending</v>
      </c>
      <c r="L200" s="253" t="s">
        <v>139</v>
      </c>
      <c r="M200" s="240"/>
      <c r="N200" s="254"/>
    </row>
    <row r="201" spans="1:14" ht="18" customHeight="1" x14ac:dyDescent="0.25">
      <c r="A201" s="256" t="str">
        <f t="shared" si="20"/>
        <v/>
      </c>
      <c r="B201" s="257"/>
      <c r="C201" s="257" t="str">
        <f>IF(B201="","",IFERROR(VLOOKUP(B201,DB_Customers!$A:$D,4,0),"❌ Account Not Found"))</f>
        <v/>
      </c>
      <c r="D201" s="256" t="str">
        <f t="shared" ca="1" si="21"/>
        <v/>
      </c>
      <c r="E201" s="257"/>
      <c r="F201" s="257"/>
      <c r="G201" s="256"/>
      <c r="H201" s="256">
        <v>2.5</v>
      </c>
      <c r="I201" s="256" t="str">
        <f t="shared" si="22"/>
        <v/>
      </c>
      <c r="J201" s="256" t="str">
        <f t="shared" si="23"/>
        <v/>
      </c>
      <c r="K201" s="256" t="str">
        <f>IF(B201="","Pending",IF(M201="","⚠️ Enter Code",IF(IFERROR(VLOOKUP(L201,DB_Agents!$B:$I,8,0),"")=M201,"Pending","🔒 BLOCKED — Wrong Code")))</f>
        <v>Pending</v>
      </c>
      <c r="L201" s="256" t="s">
        <v>139</v>
      </c>
      <c r="M201" s="252"/>
      <c r="N201" s="257"/>
    </row>
    <row r="202" spans="1:14" ht="18" customHeight="1" x14ac:dyDescent="0.25">
      <c r="A202" s="253" t="str">
        <f t="shared" si="20"/>
        <v/>
      </c>
      <c r="B202" s="254"/>
      <c r="C202" s="254" t="str">
        <f>IF(B202="","",IFERROR(VLOOKUP(B202,DB_Customers!$A:$D,4,0),"❌ Account Not Found"))</f>
        <v/>
      </c>
      <c r="D202" s="253" t="str">
        <f t="shared" ca="1" si="21"/>
        <v/>
      </c>
      <c r="E202" s="254"/>
      <c r="F202" s="254"/>
      <c r="G202" s="253"/>
      <c r="H202" s="253">
        <v>2.5</v>
      </c>
      <c r="I202" s="253" t="str">
        <f t="shared" si="22"/>
        <v/>
      </c>
      <c r="J202" s="253" t="str">
        <f t="shared" si="23"/>
        <v/>
      </c>
      <c r="K202" s="253" t="str">
        <f>IF(B202="","Pending",IF(M202="","⚠️ Enter Code",IF(IFERROR(VLOOKUP(L202,DB_Agents!$B:$I,8,0),"")=M202,"Pending","🔒 BLOCKED — Wrong Code")))</f>
        <v>Pending</v>
      </c>
      <c r="L202" s="253" t="s">
        <v>139</v>
      </c>
      <c r="M202" s="240"/>
      <c r="N202" s="254"/>
    </row>
    <row r="203" spans="1:14" ht="18" customHeight="1" x14ac:dyDescent="0.25">
      <c r="A203" s="256" t="str">
        <f t="shared" si="20"/>
        <v/>
      </c>
      <c r="B203" s="257"/>
      <c r="C203" s="257" t="str">
        <f>IF(B203="","",IFERROR(VLOOKUP(B203,DB_Customers!$A:$D,4,0),"❌ Account Not Found"))</f>
        <v/>
      </c>
      <c r="D203" s="256" t="str">
        <f t="shared" ca="1" si="21"/>
        <v/>
      </c>
      <c r="E203" s="257"/>
      <c r="F203" s="257"/>
      <c r="G203" s="256"/>
      <c r="H203" s="256">
        <v>2.5</v>
      </c>
      <c r="I203" s="256" t="str">
        <f t="shared" si="22"/>
        <v/>
      </c>
      <c r="J203" s="256" t="str">
        <f t="shared" si="23"/>
        <v/>
      </c>
      <c r="K203" s="256" t="str">
        <f>IF(B203="","Pending",IF(M203="","⚠️ Enter Code",IF(IFERROR(VLOOKUP(L203,DB_Agents!$B:$I,8,0),"")=M203,"Pending","🔒 BLOCKED — Wrong Code")))</f>
        <v>Pending</v>
      </c>
      <c r="L203" s="256" t="s">
        <v>139</v>
      </c>
      <c r="M203" s="252"/>
      <c r="N203" s="257"/>
    </row>
    <row r="204" spans="1:14" ht="18" customHeight="1" x14ac:dyDescent="0.25">
      <c r="A204" s="253" t="str">
        <f t="shared" si="20"/>
        <v/>
      </c>
      <c r="B204" s="254"/>
      <c r="C204" s="254" t="str">
        <f>IF(B204="","",IFERROR(VLOOKUP(B204,DB_Customers!$A:$D,4,0),"❌ Account Not Found"))</f>
        <v/>
      </c>
      <c r="D204" s="253" t="str">
        <f t="shared" ca="1" si="21"/>
        <v/>
      </c>
      <c r="E204" s="254"/>
      <c r="F204" s="254"/>
      <c r="G204" s="253"/>
      <c r="H204" s="253">
        <v>2.5</v>
      </c>
      <c r="I204" s="253" t="str">
        <f t="shared" si="22"/>
        <v/>
      </c>
      <c r="J204" s="253" t="str">
        <f t="shared" si="23"/>
        <v/>
      </c>
      <c r="K204" s="253" t="str">
        <f>IF(B204="","Pending",IF(M204="","⚠️ Enter Code",IF(IFERROR(VLOOKUP(L204,DB_Agents!$B:$I,8,0),"")=M204,"Pending","🔒 BLOCKED — Wrong Code")))</f>
        <v>Pending</v>
      </c>
      <c r="L204" s="253" t="s">
        <v>139</v>
      </c>
      <c r="M204" s="240"/>
      <c r="N204" s="254"/>
    </row>
    <row r="205" spans="1:14" ht="18" customHeight="1" x14ac:dyDescent="0.25">
      <c r="A205" s="256" t="str">
        <f t="shared" si="20"/>
        <v/>
      </c>
      <c r="B205" s="257"/>
      <c r="C205" s="257" t="str">
        <f>IF(B205="","",IFERROR(VLOOKUP(B205,DB_Customers!$A:$D,4,0),"❌ Account Not Found"))</f>
        <v/>
      </c>
      <c r="D205" s="256" t="str">
        <f t="shared" ca="1" si="21"/>
        <v/>
      </c>
      <c r="E205" s="257"/>
      <c r="F205" s="257"/>
      <c r="G205" s="256"/>
      <c r="H205" s="256">
        <v>2.5</v>
      </c>
      <c r="I205" s="256" t="str">
        <f t="shared" si="22"/>
        <v/>
      </c>
      <c r="J205" s="256" t="str">
        <f t="shared" si="23"/>
        <v/>
      </c>
      <c r="K205" s="256" t="str">
        <f>IF(B205="","Pending",IF(M205="","⚠️ Enter Code",IF(IFERROR(VLOOKUP(L205,DB_Agents!$B:$I,8,0),"")=M205,"Pending","🔒 BLOCKED — Wrong Code")))</f>
        <v>Pending</v>
      </c>
      <c r="L205" s="256" t="s">
        <v>139</v>
      </c>
      <c r="M205" s="252"/>
      <c r="N205" s="257"/>
    </row>
    <row r="206" spans="1:14" ht="18" customHeight="1" x14ac:dyDescent="0.25">
      <c r="A206" s="253" t="str">
        <f t="shared" ref="A206:A213" si="24">IF(B206="","",IF(C206="❌ Account Not Found","INVALID","LN"&amp;TEXT(D206,"YYYYMMDD")&amp;TEXT(ROW()-13,"0000")))</f>
        <v/>
      </c>
      <c r="B206" s="254"/>
      <c r="C206" s="254" t="str">
        <f>IF(B206="","",IFERROR(VLOOKUP(B206,DB_Customers!$A:$D,4,0),"❌ Account Not Found"))</f>
        <v/>
      </c>
      <c r="D206" s="253" t="str">
        <f t="shared" ref="D206:D213" ca="1" si="25">IF(B206="","",TODAY())</f>
        <v/>
      </c>
      <c r="E206" s="254"/>
      <c r="F206" s="254"/>
      <c r="G206" s="253"/>
      <c r="H206" s="253">
        <v>2.5</v>
      </c>
      <c r="I206" s="253" t="str">
        <f t="shared" ref="I206:I213" si="26">IF(E206="","",E206+(E206*H206/100*G206))</f>
        <v/>
      </c>
      <c r="J206" s="253" t="str">
        <f t="shared" ref="J206:J213" si="27">IFERROR(I206/G206,"")</f>
        <v/>
      </c>
      <c r="K206" s="253" t="str">
        <f>IF(B206="","Pending",IF(M206="","⚠️ Enter Code",IF(IFERROR(VLOOKUP(L206,DB_Agents!$B:$I,8,0),"")=M206,"Pending","🔒 BLOCKED — Wrong Code")))</f>
        <v>Pending</v>
      </c>
      <c r="L206" s="253" t="s">
        <v>139</v>
      </c>
      <c r="M206" s="240"/>
      <c r="N206" s="254"/>
    </row>
    <row r="207" spans="1:14" ht="18" customHeight="1" x14ac:dyDescent="0.25">
      <c r="A207" s="256" t="str">
        <f t="shared" si="24"/>
        <v/>
      </c>
      <c r="B207" s="257"/>
      <c r="C207" s="257" t="str">
        <f>IF(B207="","",IFERROR(VLOOKUP(B207,DB_Customers!$A:$D,4,0),"❌ Account Not Found"))</f>
        <v/>
      </c>
      <c r="D207" s="256" t="str">
        <f t="shared" ca="1" si="25"/>
        <v/>
      </c>
      <c r="E207" s="257"/>
      <c r="F207" s="257"/>
      <c r="G207" s="256"/>
      <c r="H207" s="256">
        <v>2.5</v>
      </c>
      <c r="I207" s="256" t="str">
        <f t="shared" si="26"/>
        <v/>
      </c>
      <c r="J207" s="256" t="str">
        <f t="shared" si="27"/>
        <v/>
      </c>
      <c r="K207" s="256" t="str">
        <f>IF(B207="","Pending",IF(M207="","⚠️ Enter Code",IF(IFERROR(VLOOKUP(L207,DB_Agents!$B:$I,8,0),"")=M207,"Pending","🔒 BLOCKED — Wrong Code")))</f>
        <v>Pending</v>
      </c>
      <c r="L207" s="256" t="s">
        <v>139</v>
      </c>
      <c r="M207" s="252"/>
      <c r="N207" s="257"/>
    </row>
    <row r="208" spans="1:14" ht="18" customHeight="1" x14ac:dyDescent="0.25">
      <c r="A208" s="253" t="str">
        <f t="shared" si="24"/>
        <v/>
      </c>
      <c r="B208" s="254"/>
      <c r="C208" s="254" t="str">
        <f>IF(B208="","",IFERROR(VLOOKUP(B208,DB_Customers!$A:$D,4,0),"❌ Account Not Found"))</f>
        <v/>
      </c>
      <c r="D208" s="253" t="str">
        <f t="shared" ca="1" si="25"/>
        <v/>
      </c>
      <c r="E208" s="254"/>
      <c r="F208" s="254"/>
      <c r="G208" s="253"/>
      <c r="H208" s="253">
        <v>2.5</v>
      </c>
      <c r="I208" s="253" t="str">
        <f t="shared" si="26"/>
        <v/>
      </c>
      <c r="J208" s="253" t="str">
        <f t="shared" si="27"/>
        <v/>
      </c>
      <c r="K208" s="253" t="str">
        <f>IF(B208="","Pending",IF(M208="","⚠️ Enter Code",IF(IFERROR(VLOOKUP(L208,DB_Agents!$B:$I,8,0),"")=M208,"Pending","🔒 BLOCKED — Wrong Code")))</f>
        <v>Pending</v>
      </c>
      <c r="L208" s="253" t="s">
        <v>139</v>
      </c>
      <c r="M208" s="240"/>
      <c r="N208" s="254"/>
    </row>
    <row r="209" spans="1:14" ht="18" customHeight="1" x14ac:dyDescent="0.25">
      <c r="A209" s="256" t="str">
        <f t="shared" si="24"/>
        <v/>
      </c>
      <c r="B209" s="257"/>
      <c r="C209" s="257" t="str">
        <f>IF(B209="","",IFERROR(VLOOKUP(B209,DB_Customers!$A:$D,4,0),"❌ Account Not Found"))</f>
        <v/>
      </c>
      <c r="D209" s="256" t="str">
        <f t="shared" ca="1" si="25"/>
        <v/>
      </c>
      <c r="E209" s="257"/>
      <c r="F209" s="257"/>
      <c r="G209" s="256"/>
      <c r="H209" s="256">
        <v>2.5</v>
      </c>
      <c r="I209" s="256" t="str">
        <f t="shared" si="26"/>
        <v/>
      </c>
      <c r="J209" s="256" t="str">
        <f t="shared" si="27"/>
        <v/>
      </c>
      <c r="K209" s="256" t="str">
        <f>IF(B209="","Pending",IF(M209="","⚠️ Enter Code",IF(IFERROR(VLOOKUP(L209,DB_Agents!$B:$I,8,0),"")=M209,"Pending","🔒 BLOCKED — Wrong Code")))</f>
        <v>Pending</v>
      </c>
      <c r="L209" s="256" t="s">
        <v>139</v>
      </c>
      <c r="M209" s="252"/>
      <c r="N209" s="257"/>
    </row>
    <row r="210" spans="1:14" ht="18" customHeight="1" x14ac:dyDescent="0.25">
      <c r="A210" s="253" t="str">
        <f t="shared" si="24"/>
        <v/>
      </c>
      <c r="B210" s="254"/>
      <c r="C210" s="254" t="str">
        <f>IF(B210="","",IFERROR(VLOOKUP(B210,DB_Customers!$A:$D,4,0),"❌ Account Not Found"))</f>
        <v/>
      </c>
      <c r="D210" s="253" t="str">
        <f t="shared" ca="1" si="25"/>
        <v/>
      </c>
      <c r="E210" s="254"/>
      <c r="F210" s="254"/>
      <c r="G210" s="253"/>
      <c r="H210" s="253">
        <v>2.5</v>
      </c>
      <c r="I210" s="253" t="str">
        <f t="shared" si="26"/>
        <v/>
      </c>
      <c r="J210" s="253" t="str">
        <f t="shared" si="27"/>
        <v/>
      </c>
      <c r="K210" s="253" t="str">
        <f>IF(B210="","Pending",IF(M210="","⚠️ Enter Code",IF(IFERROR(VLOOKUP(L210,DB_Agents!$B:$I,8,0),"")=M210,"Pending","🔒 BLOCKED — Wrong Code")))</f>
        <v>Pending</v>
      </c>
      <c r="L210" s="253" t="s">
        <v>139</v>
      </c>
      <c r="M210" s="240"/>
      <c r="N210" s="254"/>
    </row>
    <row r="211" spans="1:14" ht="18" customHeight="1" x14ac:dyDescent="0.25">
      <c r="A211" s="256" t="str">
        <f t="shared" si="24"/>
        <v/>
      </c>
      <c r="B211" s="257"/>
      <c r="C211" s="257" t="str">
        <f>IF(B211="","",IFERROR(VLOOKUP(B211,DB_Customers!$A:$D,4,0),"❌ Account Not Found"))</f>
        <v/>
      </c>
      <c r="D211" s="256" t="str">
        <f t="shared" ca="1" si="25"/>
        <v/>
      </c>
      <c r="E211" s="257"/>
      <c r="F211" s="257"/>
      <c r="G211" s="256"/>
      <c r="H211" s="256">
        <v>2.5</v>
      </c>
      <c r="I211" s="256" t="str">
        <f t="shared" si="26"/>
        <v/>
      </c>
      <c r="J211" s="256" t="str">
        <f t="shared" si="27"/>
        <v/>
      </c>
      <c r="K211" s="256" t="str">
        <f>IF(B211="","Pending",IF(M211="","⚠️ Enter Code",IF(IFERROR(VLOOKUP(L211,DB_Agents!$B:$I,8,0),"")=M211,"Pending","🔒 BLOCKED — Wrong Code")))</f>
        <v>Pending</v>
      </c>
      <c r="L211" s="256" t="s">
        <v>139</v>
      </c>
      <c r="M211" s="252"/>
      <c r="N211" s="257"/>
    </row>
    <row r="212" spans="1:14" ht="18" customHeight="1" x14ac:dyDescent="0.25">
      <c r="A212" s="253" t="str">
        <f t="shared" si="24"/>
        <v/>
      </c>
      <c r="B212" s="254"/>
      <c r="C212" s="254" t="str">
        <f>IF(B212="","",IFERROR(VLOOKUP(B212,DB_Customers!$A:$D,4,0),"❌ Account Not Found"))</f>
        <v/>
      </c>
      <c r="D212" s="253" t="str">
        <f t="shared" ca="1" si="25"/>
        <v/>
      </c>
      <c r="E212" s="254"/>
      <c r="F212" s="254"/>
      <c r="G212" s="253"/>
      <c r="H212" s="253">
        <v>2.5</v>
      </c>
      <c r="I212" s="253" t="str">
        <f t="shared" si="26"/>
        <v/>
      </c>
      <c r="J212" s="253" t="str">
        <f t="shared" si="27"/>
        <v/>
      </c>
      <c r="K212" s="253" t="str">
        <f>IF(B212="","Pending",IF(M212="","⚠️ Enter Code",IF(IFERROR(VLOOKUP(L212,DB_Agents!$B:$I,8,0),"")=M212,"Pending","🔒 BLOCKED — Wrong Code")))</f>
        <v>Pending</v>
      </c>
      <c r="L212" s="253" t="s">
        <v>139</v>
      </c>
      <c r="M212" s="240"/>
      <c r="N212" s="254"/>
    </row>
    <row r="213" spans="1:14" ht="18" customHeight="1" x14ac:dyDescent="0.25">
      <c r="A213" s="256" t="str">
        <f t="shared" si="24"/>
        <v/>
      </c>
      <c r="B213" s="257"/>
      <c r="C213" s="257" t="str">
        <f>IF(B213="","",IFERROR(VLOOKUP(B213,DB_Customers!$A:$D,4,0),"❌ Account Not Found"))</f>
        <v/>
      </c>
      <c r="D213" s="256" t="str">
        <f t="shared" ca="1" si="25"/>
        <v/>
      </c>
      <c r="E213" s="257"/>
      <c r="F213" s="257"/>
      <c r="G213" s="256"/>
      <c r="H213" s="256">
        <v>2.5</v>
      </c>
      <c r="I213" s="256" t="str">
        <f t="shared" si="26"/>
        <v/>
      </c>
      <c r="J213" s="256" t="str">
        <f t="shared" si="27"/>
        <v/>
      </c>
      <c r="K213" s="256" t="str">
        <f>IF(B213="","Pending",IF(M213="","⚠️ Enter Code",IF(IFERROR(VLOOKUP(L213,DB_Agents!$B:$I,8,0),"")=M213,"Pending","🔒 BLOCKED — Wrong Code")))</f>
        <v>Pending</v>
      </c>
      <c r="L213" s="256" t="s">
        <v>139</v>
      </c>
      <c r="M213" s="252"/>
      <c r="N213" s="257"/>
    </row>
  </sheetData>
  <conditionalFormatting sqref="K14:K113">
    <cfRule type="cellIs" dxfId="35" priority="2" operator="equal">
      <formula>"Approved"</formula>
    </cfRule>
    <cfRule type="cellIs" dxfId="34" priority="3" operator="equal">
      <formula>"Pending"</formula>
    </cfRule>
    <cfRule type="cellIs" dxfId="33" priority="4" operator="equal">
      <formula>"Rejected"</formula>
    </cfRule>
  </conditionalFormatting>
  <dataValidations count="2">
    <dataValidation type="whole" showErrorMessage="1" error="Enter 1-36 months" sqref="G14:G113" xr:uid="{00000000-0002-0000-1D00-000000000000}">
      <formula1>1</formula1>
      <formula2>36</formula2>
    </dataValidation>
    <dataValidation type="list" sqref="L14:L113" xr:uid="{00000000-0002-0000-1D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359" t="s">
        <v>373</v>
      </c>
      <c r="B1" s="265"/>
      <c r="C1" s="265"/>
      <c r="D1" s="265"/>
      <c r="E1" s="265"/>
      <c r="F1" s="265"/>
      <c r="G1" s="265"/>
      <c r="H1" s="265"/>
      <c r="I1" s="265"/>
      <c r="J1" s="265"/>
      <c r="K1" s="265"/>
      <c r="L1" s="265"/>
    </row>
    <row r="2" spans="1:12" ht="19.5" customHeight="1" x14ac:dyDescent="0.25">
      <c r="A2" s="357" t="s">
        <v>374</v>
      </c>
      <c r="B2" s="265"/>
      <c r="C2" s="265"/>
      <c r="D2" s="265"/>
      <c r="E2" s="265"/>
      <c r="F2" s="265"/>
      <c r="G2" s="265"/>
      <c r="H2" s="265"/>
      <c r="I2" s="265"/>
      <c r="J2" s="265"/>
      <c r="K2" s="265"/>
      <c r="L2" s="265"/>
    </row>
    <row r="3" spans="1:12" ht="18" customHeight="1" x14ac:dyDescent="0.25">
      <c r="A3" s="323" t="s">
        <v>311</v>
      </c>
      <c r="B3" s="265"/>
      <c r="C3" s="265"/>
      <c r="D3" s="324" t="s">
        <v>312</v>
      </c>
      <c r="E3" s="265"/>
      <c r="F3" s="265"/>
      <c r="G3" s="351" t="s">
        <v>313</v>
      </c>
      <c r="H3" s="265"/>
      <c r="I3" s="265"/>
      <c r="J3" s="265"/>
      <c r="K3" s="265"/>
      <c r="L3" s="265"/>
    </row>
    <row r="4" spans="1:12" ht="27.75" customHeight="1" x14ac:dyDescent="0.25">
      <c r="A4" s="363">
        <f ca="1">SUMIFS(DB_Savings!$F:$F,DB_Savings!$G:$G,"Agent 08",DB_Savings!$E:$E,TODAY())</f>
        <v>0</v>
      </c>
      <c r="B4" s="265"/>
      <c r="C4" s="265"/>
      <c r="D4" s="361">
        <f ca="1">COUNTIFS(DB_Savings!$G:$G,"Agent 08",DB_Savings!$E:$E,TODAY())</f>
        <v>0</v>
      </c>
      <c r="E4" s="265"/>
      <c r="F4" s="265"/>
      <c r="G4" s="362" t="str">
        <f ca="1">TEXT(TODAY(),"DDDD, DD MMMM YYYY")</f>
        <v>Friday, 24 April 2026</v>
      </c>
      <c r="H4" s="265"/>
      <c r="I4" s="265"/>
      <c r="J4" s="265"/>
      <c r="K4" s="265"/>
      <c r="L4" s="265"/>
    </row>
    <row r="5" spans="1:12" ht="21.75" customHeight="1" x14ac:dyDescent="0.25">
      <c r="A5" s="360" t="str">
        <f ca="1">IF(SUMIFS(DB_Savings!$F:$F,DB_Savings!$G:$G,"Agent 08",DB_Savings!$E:$E,TODAY())&gt;=J4,"✅ DAILY TARGET ACHIEVED! Well done Agent 08!","⏳ Collection in progress — Keep going! Remaining: GHC "&amp;TEXT(J4-SUMIFS(DB_Savings!$F:$F,DB_Savings!$G:$G,"Agent 08",DB_Savings!$E:$E,TODAY()),"#,##0.00"))</f>
        <v>✅ DAILY TARGET ACHIEVED! Well done Agent 08!</v>
      </c>
      <c r="B5" s="265"/>
      <c r="C5" s="265"/>
      <c r="D5" s="265"/>
      <c r="E5" s="265"/>
      <c r="F5" s="265"/>
      <c r="G5" s="265"/>
      <c r="H5" s="265"/>
      <c r="I5" s="265"/>
      <c r="J5" s="265"/>
      <c r="K5" s="265"/>
      <c r="L5" s="265"/>
    </row>
    <row r="6" spans="1:12" ht="7.5" customHeight="1" x14ac:dyDescent="0.25"/>
    <row r="7" spans="1:12" ht="19.5" customHeight="1" x14ac:dyDescent="0.25">
      <c r="A7" s="358" t="s">
        <v>314</v>
      </c>
      <c r="B7" s="265"/>
      <c r="C7" s="265"/>
      <c r="D7" s="265"/>
      <c r="E7" s="265"/>
      <c r="F7" s="265"/>
      <c r="G7" s="265"/>
      <c r="H7" s="265"/>
      <c r="I7" s="265"/>
      <c r="J7" s="265"/>
      <c r="K7" s="265"/>
      <c r="L7" s="265"/>
    </row>
    <row r="8" spans="1:12" ht="19.5" customHeight="1" x14ac:dyDescent="0.25">
      <c r="A8" s="36" t="s">
        <v>315</v>
      </c>
      <c r="B8" s="36" t="s">
        <v>77</v>
      </c>
      <c r="C8" s="36" t="s">
        <v>316</v>
      </c>
      <c r="D8" s="36" t="s">
        <v>78</v>
      </c>
      <c r="E8" s="36" t="s">
        <v>317</v>
      </c>
      <c r="F8" s="36" t="s">
        <v>318</v>
      </c>
      <c r="G8" s="36" t="s">
        <v>14</v>
      </c>
      <c r="H8" s="75" t="s">
        <v>319</v>
      </c>
      <c r="I8" s="36" t="s">
        <v>13</v>
      </c>
      <c r="J8" s="36" t="s">
        <v>320</v>
      </c>
      <c r="K8" s="36" t="s">
        <v>321</v>
      </c>
    </row>
    <row r="9" spans="1:12" ht="15" customHeight="1" x14ac:dyDescent="0.25">
      <c r="A9" s="76"/>
      <c r="B9" s="37" t="str">
        <f>IF(A9="","",IFERROR(VLOOKUP(A9,DB_Customers!$A:$D,4,0),"❌ Account Not Found"))</f>
        <v/>
      </c>
      <c r="C9" s="77" t="str">
        <f>IF(A9="","",IFERROR(IF(SUMIF(DB_Savings!$C:$C,A9,DB_Savings!$F:$F)=0,VLOOKUP(A9,DB_Customers!$A:$I,9,0),VLOOKUP(A9,DB_Customers!$A:$N,14,0)),"❌ Acct Not Found"))</f>
        <v/>
      </c>
      <c r="D9" s="78" t="str">
        <f t="shared" ref="D9:D40" ca="1" si="0">IF(A9="","",TODAY())</f>
        <v/>
      </c>
      <c r="E9" s="79"/>
      <c r="F9" s="80" t="str">
        <f t="shared" ref="F9:F40" si="1">IF(OR(A9="",E9=""),"",IF(C9="","",C9+E9))</f>
        <v/>
      </c>
      <c r="G9" s="39" t="s">
        <v>140</v>
      </c>
      <c r="H9" s="81"/>
      <c r="I9" s="82" t="str">
        <f>IF(A9="","Pending",IF(H9="","⚠️ Enter Agent Code",IF(IFERROR(VLOOKUP(G9,DB_Agents!$B:$I,8,0),"")=H9,IF(AND(A9&lt;&gt;"",E9&lt;&gt;""),"Saved","Pending"),"🔒 BLOCKED — Wrong Code")))</f>
        <v>Pending</v>
      </c>
      <c r="J9" s="83" t="str">
        <f t="shared" ref="J9:J40" ca="1" si="2">IF(I9="Saved",TEXT(TODAY(),"YYYY-MM-DD")&amp;" Auto","—")</f>
        <v>—</v>
      </c>
      <c r="K9" s="84"/>
    </row>
    <row r="10" spans="1:12" ht="15" customHeight="1" x14ac:dyDescent="0.25">
      <c r="A10" s="85"/>
      <c r="B10" s="41" t="str">
        <f>IF(A10="","",IFERROR(VLOOKUP(A10,DB_Customers!$A:$D,4,0),"❌ Account Not Found"))</f>
        <v/>
      </c>
      <c r="C10" s="86" t="str">
        <f>IF(A10="","",IFERROR(IF(SUMIF(DB_Savings!$C:$C,A10,DB_Savings!$F:$F)=0,VLOOKUP(A10,DB_Customers!$A:$I,9,0),VLOOKUP(A10,DB_Customers!$A:$N,14,0)),"❌ Acct Not Found"))</f>
        <v/>
      </c>
      <c r="D10" s="87" t="str">
        <f t="shared" ca="1" si="0"/>
        <v/>
      </c>
      <c r="E10" s="79"/>
      <c r="F10" s="88" t="str">
        <f t="shared" si="1"/>
        <v/>
      </c>
      <c r="G10" s="43" t="s">
        <v>140</v>
      </c>
      <c r="H10" s="81"/>
      <c r="I10" s="89" t="str">
        <f>IF(A10="","Pending",IF(H10="","⚠️ Enter Agent Code",IF(IFERROR(VLOOKUP(G10,DB_Agents!$B:$I,8,0),"")=H10,IF(AND(A10&lt;&gt;"",E10&lt;&gt;""),"Saved","Pending"),"🔒 BLOCKED — Wrong Code")))</f>
        <v>Pending</v>
      </c>
      <c r="J10" s="90" t="str">
        <f t="shared" ca="1" si="2"/>
        <v>—</v>
      </c>
      <c r="K10" s="91"/>
    </row>
    <row r="11" spans="1:12" ht="15" customHeight="1" x14ac:dyDescent="0.25">
      <c r="A11" s="76"/>
      <c r="B11" s="37" t="str">
        <f>IF(A11="","",IFERROR(VLOOKUP(A11,DB_Customers!$A:$D,4,0),"❌ Account Not Found"))</f>
        <v/>
      </c>
      <c r="C11" s="77" t="str">
        <f>IF(A11="","",IFERROR(IF(SUMIF(DB_Savings!$C:$C,A11,DB_Savings!$F:$F)=0,VLOOKUP(A11,DB_Customers!$A:$I,9,0),VLOOKUP(A11,DB_Customers!$A:$N,14,0)),"❌ Acct Not Found"))</f>
        <v/>
      </c>
      <c r="D11" s="78" t="str">
        <f t="shared" ca="1" si="0"/>
        <v/>
      </c>
      <c r="E11" s="79"/>
      <c r="F11" s="80" t="str">
        <f t="shared" si="1"/>
        <v/>
      </c>
      <c r="G11" s="39" t="s">
        <v>140</v>
      </c>
      <c r="H11" s="81"/>
      <c r="I11" s="82" t="str">
        <f>IF(A11="","Pending",IF(H11="","⚠️ Enter Agent Code",IF(IFERROR(VLOOKUP(G11,DB_Agents!$B:$I,8,0),"")=H11,IF(AND(A11&lt;&gt;"",E11&lt;&gt;""),"Saved","Pending"),"🔒 BLOCKED — Wrong Code")))</f>
        <v>Pending</v>
      </c>
      <c r="J11" s="83" t="str">
        <f t="shared" ca="1" si="2"/>
        <v>—</v>
      </c>
      <c r="K11" s="84"/>
    </row>
    <row r="12" spans="1:12" ht="15" customHeight="1" x14ac:dyDescent="0.25">
      <c r="A12" s="85"/>
      <c r="B12" s="41" t="str">
        <f>IF(A12="","",IFERROR(VLOOKUP(A12,DB_Customers!$A:$D,4,0),"❌ Account Not Found"))</f>
        <v/>
      </c>
      <c r="C12" s="86" t="str">
        <f>IF(A12="","",IFERROR(IF(SUMIF(DB_Savings!$C:$C,A12,DB_Savings!$F:$F)=0,VLOOKUP(A12,DB_Customers!$A:$I,9,0),VLOOKUP(A12,DB_Customers!$A:$N,14,0)),"❌ Acct Not Found"))</f>
        <v/>
      </c>
      <c r="D12" s="87" t="str">
        <f t="shared" ca="1" si="0"/>
        <v/>
      </c>
      <c r="E12" s="79"/>
      <c r="F12" s="88" t="str">
        <f t="shared" si="1"/>
        <v/>
      </c>
      <c r="G12" s="43" t="s">
        <v>140</v>
      </c>
      <c r="H12" s="81"/>
      <c r="I12" s="89" t="str">
        <f>IF(A12="","Pending",IF(H12="","⚠️ Enter Agent Code",IF(IFERROR(VLOOKUP(G12,DB_Agents!$B:$I,8,0),"")=H12,IF(AND(A12&lt;&gt;"",E12&lt;&gt;""),"Saved","Pending"),"🔒 BLOCKED — Wrong Code")))</f>
        <v>Pending</v>
      </c>
      <c r="J12" s="90" t="str">
        <f t="shared" ca="1" si="2"/>
        <v>—</v>
      </c>
      <c r="K12" s="91"/>
    </row>
    <row r="13" spans="1:12" ht="15" customHeight="1" x14ac:dyDescent="0.25">
      <c r="A13" s="76"/>
      <c r="B13" s="37" t="str">
        <f>IF(A13="","",IFERROR(VLOOKUP(A13,DB_Customers!$A:$D,4,0),"❌ Account Not Found"))</f>
        <v/>
      </c>
      <c r="C13" s="77" t="str">
        <f>IF(A13="","",IFERROR(IF(SUMIF(DB_Savings!$C:$C,A13,DB_Savings!$F:$F)=0,VLOOKUP(A13,DB_Customers!$A:$I,9,0),VLOOKUP(A13,DB_Customers!$A:$N,14,0)),"❌ Acct Not Found"))</f>
        <v/>
      </c>
      <c r="D13" s="78" t="str">
        <f t="shared" ca="1" si="0"/>
        <v/>
      </c>
      <c r="E13" s="79"/>
      <c r="F13" s="80" t="str">
        <f t="shared" si="1"/>
        <v/>
      </c>
      <c r="G13" s="39" t="s">
        <v>140</v>
      </c>
      <c r="H13" s="81"/>
      <c r="I13" s="82" t="str">
        <f>IF(A13="","Pending",IF(H13="","⚠️ Enter Agent Code",IF(IFERROR(VLOOKUP(G13,DB_Agents!$B:$I,8,0),"")=H13,IF(AND(A13&lt;&gt;"",E13&lt;&gt;""),"Saved","Pending"),"🔒 BLOCKED — Wrong Code")))</f>
        <v>Pending</v>
      </c>
      <c r="J13" s="83" t="str">
        <f t="shared" ca="1" si="2"/>
        <v>—</v>
      </c>
      <c r="K13" s="84"/>
    </row>
    <row r="14" spans="1:12" ht="15" customHeight="1" x14ac:dyDescent="0.25">
      <c r="A14" s="85"/>
      <c r="B14" s="41" t="str">
        <f>IF(A14="","",IFERROR(VLOOKUP(A14,DB_Customers!$A:$D,4,0),"❌ Account Not Found"))</f>
        <v/>
      </c>
      <c r="C14" s="86" t="str">
        <f>IF(A14="","",IFERROR(IF(SUMIF(DB_Savings!$C:$C,A14,DB_Savings!$F:$F)=0,VLOOKUP(A14,DB_Customers!$A:$I,9,0),VLOOKUP(A14,DB_Customers!$A:$N,14,0)),"❌ Acct Not Found"))</f>
        <v/>
      </c>
      <c r="D14" s="87" t="str">
        <f t="shared" ca="1" si="0"/>
        <v/>
      </c>
      <c r="E14" s="79"/>
      <c r="F14" s="88" t="str">
        <f t="shared" si="1"/>
        <v/>
      </c>
      <c r="G14" s="43" t="s">
        <v>140</v>
      </c>
      <c r="H14" s="81"/>
      <c r="I14" s="89" t="str">
        <f>IF(A14="","Pending",IF(H14="","⚠️ Enter Agent Code",IF(IFERROR(VLOOKUP(G14,DB_Agents!$B:$I,8,0),"")=H14,IF(AND(A14&lt;&gt;"",E14&lt;&gt;""),"Saved","Pending"),"🔒 BLOCKED — Wrong Code")))</f>
        <v>Pending</v>
      </c>
      <c r="J14" s="90" t="str">
        <f t="shared" ca="1" si="2"/>
        <v>—</v>
      </c>
      <c r="K14" s="91"/>
    </row>
    <row r="15" spans="1:12" ht="15" customHeight="1" x14ac:dyDescent="0.25">
      <c r="A15" s="76"/>
      <c r="B15" s="37" t="str">
        <f>IF(A15="","",IFERROR(VLOOKUP(A15,DB_Customers!$A:$D,4,0),"❌ Account Not Found"))</f>
        <v/>
      </c>
      <c r="C15" s="77" t="str">
        <f>IF(A15="","",IFERROR(IF(SUMIF(DB_Savings!$C:$C,A15,DB_Savings!$F:$F)=0,VLOOKUP(A15,DB_Customers!$A:$I,9,0),VLOOKUP(A15,DB_Customers!$A:$N,14,0)),"❌ Acct Not Found"))</f>
        <v/>
      </c>
      <c r="D15" s="78" t="str">
        <f t="shared" ca="1" si="0"/>
        <v/>
      </c>
      <c r="E15" s="79"/>
      <c r="F15" s="80" t="str">
        <f t="shared" si="1"/>
        <v/>
      </c>
      <c r="G15" s="39" t="s">
        <v>140</v>
      </c>
      <c r="H15" s="81"/>
      <c r="I15" s="82" t="str">
        <f>IF(A15="","Pending",IF(H15="","⚠️ Enter Agent Code",IF(IFERROR(VLOOKUP(G15,DB_Agents!$B:$I,8,0),"")=H15,IF(AND(A15&lt;&gt;"",E15&lt;&gt;""),"Saved","Pending"),"🔒 BLOCKED — Wrong Code")))</f>
        <v>Pending</v>
      </c>
      <c r="J15" s="83" t="str">
        <f t="shared" ca="1" si="2"/>
        <v>—</v>
      </c>
      <c r="K15" s="84"/>
    </row>
    <row r="16" spans="1:12" ht="15" customHeight="1" x14ac:dyDescent="0.25">
      <c r="A16" s="85"/>
      <c r="B16" s="41" t="str">
        <f>IF(A16="","",IFERROR(VLOOKUP(A16,DB_Customers!$A:$D,4,0),"❌ Account Not Found"))</f>
        <v/>
      </c>
      <c r="C16" s="86" t="str">
        <f>IF(A16="","",IFERROR(IF(SUMIF(DB_Savings!$C:$C,A16,DB_Savings!$F:$F)=0,VLOOKUP(A16,DB_Customers!$A:$I,9,0),VLOOKUP(A16,DB_Customers!$A:$N,14,0)),"❌ Acct Not Found"))</f>
        <v/>
      </c>
      <c r="D16" s="87" t="str">
        <f t="shared" ca="1" si="0"/>
        <v/>
      </c>
      <c r="E16" s="79"/>
      <c r="F16" s="88" t="str">
        <f t="shared" si="1"/>
        <v/>
      </c>
      <c r="G16" s="43" t="s">
        <v>140</v>
      </c>
      <c r="H16" s="81"/>
      <c r="I16" s="89" t="str">
        <f>IF(A16="","Pending",IF(H16="","⚠️ Enter Agent Code",IF(IFERROR(VLOOKUP(G16,DB_Agents!$B:$I,8,0),"")=H16,IF(AND(A16&lt;&gt;"",E16&lt;&gt;""),"Saved","Pending"),"🔒 BLOCKED — Wrong Code")))</f>
        <v>Pending</v>
      </c>
      <c r="J16" s="90" t="str">
        <f t="shared" ca="1" si="2"/>
        <v>—</v>
      </c>
      <c r="K16" s="91"/>
    </row>
    <row r="17" spans="1:11" ht="15" customHeight="1" x14ac:dyDescent="0.25">
      <c r="A17" s="76"/>
      <c r="B17" s="37" t="str">
        <f>IF(A17="","",IFERROR(VLOOKUP(A17,DB_Customers!$A:$D,4,0),"❌ Account Not Found"))</f>
        <v/>
      </c>
      <c r="C17" s="77" t="str">
        <f>IF(A17="","",IFERROR(IF(SUMIF(DB_Savings!$C:$C,A17,DB_Savings!$F:$F)=0,VLOOKUP(A17,DB_Customers!$A:$I,9,0),VLOOKUP(A17,DB_Customers!$A:$N,14,0)),"❌ Acct Not Found"))</f>
        <v/>
      </c>
      <c r="D17" s="78" t="str">
        <f t="shared" ca="1" si="0"/>
        <v/>
      </c>
      <c r="E17" s="79"/>
      <c r="F17" s="80" t="str">
        <f t="shared" si="1"/>
        <v/>
      </c>
      <c r="G17" s="39" t="s">
        <v>140</v>
      </c>
      <c r="H17" s="81"/>
      <c r="I17" s="82" t="str">
        <f>IF(A17="","Pending",IF(H17="","⚠️ Enter Agent Code",IF(IFERROR(VLOOKUP(G17,DB_Agents!$B:$I,8,0),"")=H17,IF(AND(A17&lt;&gt;"",E17&lt;&gt;""),"Saved","Pending"),"🔒 BLOCKED — Wrong Code")))</f>
        <v>Pending</v>
      </c>
      <c r="J17" s="83" t="str">
        <f t="shared" ca="1" si="2"/>
        <v>—</v>
      </c>
      <c r="K17" s="84"/>
    </row>
    <row r="18" spans="1:11" ht="15" customHeight="1" x14ac:dyDescent="0.25">
      <c r="A18" s="85"/>
      <c r="B18" s="41" t="str">
        <f>IF(A18="","",IFERROR(VLOOKUP(A18,DB_Customers!$A:$D,4,0),"❌ Account Not Found"))</f>
        <v/>
      </c>
      <c r="C18" s="86" t="str">
        <f>IF(A18="","",IFERROR(IF(SUMIF(DB_Savings!$C:$C,A18,DB_Savings!$F:$F)=0,VLOOKUP(A18,DB_Customers!$A:$I,9,0),VLOOKUP(A18,DB_Customers!$A:$N,14,0)),"❌ Acct Not Found"))</f>
        <v/>
      </c>
      <c r="D18" s="87" t="str">
        <f t="shared" ca="1" si="0"/>
        <v/>
      </c>
      <c r="E18" s="79"/>
      <c r="F18" s="88" t="str">
        <f t="shared" si="1"/>
        <v/>
      </c>
      <c r="G18" s="43" t="s">
        <v>140</v>
      </c>
      <c r="H18" s="81"/>
      <c r="I18" s="89" t="str">
        <f>IF(A18="","Pending",IF(H18="","⚠️ Enter Agent Code",IF(IFERROR(VLOOKUP(G18,DB_Agents!$B:$I,8,0),"")=H18,IF(AND(A18&lt;&gt;"",E18&lt;&gt;""),"Saved","Pending"),"🔒 BLOCKED — Wrong Code")))</f>
        <v>Pending</v>
      </c>
      <c r="J18" s="90" t="str">
        <f t="shared" ca="1" si="2"/>
        <v>—</v>
      </c>
      <c r="K18" s="91"/>
    </row>
    <row r="19" spans="1:11" ht="15" customHeight="1" x14ac:dyDescent="0.25">
      <c r="A19" s="76"/>
      <c r="B19" s="37" t="str">
        <f>IF(A19="","",IFERROR(VLOOKUP(A19,DB_Customers!$A:$D,4,0),"❌ Account Not Found"))</f>
        <v/>
      </c>
      <c r="C19" s="77" t="str">
        <f>IF(A19="","",IFERROR(IF(SUMIF(DB_Savings!$C:$C,A19,DB_Savings!$F:$F)=0,VLOOKUP(A19,DB_Customers!$A:$I,9,0),VLOOKUP(A19,DB_Customers!$A:$N,14,0)),"❌ Acct Not Found"))</f>
        <v/>
      </c>
      <c r="D19" s="78" t="str">
        <f t="shared" ca="1" si="0"/>
        <v/>
      </c>
      <c r="E19" s="79"/>
      <c r="F19" s="80" t="str">
        <f t="shared" si="1"/>
        <v/>
      </c>
      <c r="G19" s="39" t="s">
        <v>140</v>
      </c>
      <c r="H19" s="81"/>
      <c r="I19" s="82" t="str">
        <f>IF(A19="","Pending",IF(H19="","⚠️ Enter Agent Code",IF(IFERROR(VLOOKUP(G19,DB_Agents!$B:$I,8,0),"")=H19,IF(AND(A19&lt;&gt;"",E19&lt;&gt;""),"Saved","Pending"),"🔒 BLOCKED — Wrong Code")))</f>
        <v>Pending</v>
      </c>
      <c r="J19" s="83" t="str">
        <f t="shared" ca="1" si="2"/>
        <v>—</v>
      </c>
      <c r="K19" s="84"/>
    </row>
    <row r="20" spans="1:11" ht="15" customHeight="1" x14ac:dyDescent="0.25">
      <c r="A20" s="85"/>
      <c r="B20" s="41" t="str">
        <f>IF(A20="","",IFERROR(VLOOKUP(A20,DB_Customers!$A:$D,4,0),"❌ Account Not Found"))</f>
        <v/>
      </c>
      <c r="C20" s="86" t="str">
        <f>IF(A20="","",IFERROR(IF(SUMIF(DB_Savings!$C:$C,A20,DB_Savings!$F:$F)=0,VLOOKUP(A20,DB_Customers!$A:$I,9,0),VLOOKUP(A20,DB_Customers!$A:$N,14,0)),"❌ Acct Not Found"))</f>
        <v/>
      </c>
      <c r="D20" s="87" t="str">
        <f t="shared" ca="1" si="0"/>
        <v/>
      </c>
      <c r="E20" s="79"/>
      <c r="F20" s="88" t="str">
        <f t="shared" si="1"/>
        <v/>
      </c>
      <c r="G20" s="43" t="s">
        <v>140</v>
      </c>
      <c r="H20" s="81"/>
      <c r="I20" s="89" t="str">
        <f>IF(A20="","Pending",IF(H20="","⚠️ Enter Agent Code",IF(IFERROR(VLOOKUP(G20,DB_Agents!$B:$I,8,0),"")=H20,IF(AND(A20&lt;&gt;"",E20&lt;&gt;""),"Saved","Pending"),"🔒 BLOCKED — Wrong Code")))</f>
        <v>Pending</v>
      </c>
      <c r="J20" s="90" t="str">
        <f t="shared" ca="1" si="2"/>
        <v>—</v>
      </c>
      <c r="K20" s="91"/>
    </row>
    <row r="21" spans="1:11" ht="15" customHeight="1" x14ac:dyDescent="0.25">
      <c r="A21" s="76"/>
      <c r="B21" s="37" t="str">
        <f>IF(A21="","",IFERROR(VLOOKUP(A21,DB_Customers!$A:$D,4,0),"❌ Account Not Found"))</f>
        <v/>
      </c>
      <c r="C21" s="77" t="str">
        <f>IF(A21="","",IFERROR(IF(SUMIF(DB_Savings!$C:$C,A21,DB_Savings!$F:$F)=0,VLOOKUP(A21,DB_Customers!$A:$I,9,0),VLOOKUP(A21,DB_Customers!$A:$N,14,0)),"❌ Acct Not Found"))</f>
        <v/>
      </c>
      <c r="D21" s="78" t="str">
        <f t="shared" ca="1" si="0"/>
        <v/>
      </c>
      <c r="E21" s="79"/>
      <c r="F21" s="80" t="str">
        <f t="shared" si="1"/>
        <v/>
      </c>
      <c r="G21" s="39" t="s">
        <v>140</v>
      </c>
      <c r="H21" s="81"/>
      <c r="I21" s="82" t="str">
        <f>IF(A21="","Pending",IF(H21="","⚠️ Enter Agent Code",IF(IFERROR(VLOOKUP(G21,DB_Agents!$B:$I,8,0),"")=H21,IF(AND(A21&lt;&gt;"",E21&lt;&gt;""),"Saved","Pending"),"🔒 BLOCKED — Wrong Code")))</f>
        <v>Pending</v>
      </c>
      <c r="J21" s="83" t="str">
        <f t="shared" ca="1" si="2"/>
        <v>—</v>
      </c>
      <c r="K21" s="84"/>
    </row>
    <row r="22" spans="1:11" ht="15" customHeight="1" x14ac:dyDescent="0.25">
      <c r="A22" s="85"/>
      <c r="B22" s="41" t="str">
        <f>IF(A22="","",IFERROR(VLOOKUP(A22,DB_Customers!$A:$D,4,0),"❌ Account Not Found"))</f>
        <v/>
      </c>
      <c r="C22" s="86" t="str">
        <f>IF(A22="","",IFERROR(IF(SUMIF(DB_Savings!$C:$C,A22,DB_Savings!$F:$F)=0,VLOOKUP(A22,DB_Customers!$A:$I,9,0),VLOOKUP(A22,DB_Customers!$A:$N,14,0)),"❌ Acct Not Found"))</f>
        <v/>
      </c>
      <c r="D22" s="87" t="str">
        <f t="shared" ca="1" si="0"/>
        <v/>
      </c>
      <c r="E22" s="79"/>
      <c r="F22" s="88" t="str">
        <f t="shared" si="1"/>
        <v/>
      </c>
      <c r="G22" s="43" t="s">
        <v>140</v>
      </c>
      <c r="H22" s="81"/>
      <c r="I22" s="89" t="str">
        <f>IF(A22="","Pending",IF(H22="","⚠️ Enter Agent Code",IF(IFERROR(VLOOKUP(G22,DB_Agents!$B:$I,8,0),"")=H22,IF(AND(A22&lt;&gt;"",E22&lt;&gt;""),"Saved","Pending"),"🔒 BLOCKED — Wrong Code")))</f>
        <v>Pending</v>
      </c>
      <c r="J22" s="90" t="str">
        <f t="shared" ca="1" si="2"/>
        <v>—</v>
      </c>
      <c r="K22" s="91"/>
    </row>
    <row r="23" spans="1:11" ht="15" customHeight="1" x14ac:dyDescent="0.25">
      <c r="A23" s="76"/>
      <c r="B23" s="37" t="str">
        <f>IF(A23="","",IFERROR(VLOOKUP(A23,DB_Customers!$A:$D,4,0),"❌ Account Not Found"))</f>
        <v/>
      </c>
      <c r="C23" s="77" t="str">
        <f>IF(A23="","",IFERROR(IF(SUMIF(DB_Savings!$C:$C,A23,DB_Savings!$F:$F)=0,VLOOKUP(A23,DB_Customers!$A:$I,9,0),VLOOKUP(A23,DB_Customers!$A:$N,14,0)),"❌ Acct Not Found"))</f>
        <v/>
      </c>
      <c r="D23" s="78" t="str">
        <f t="shared" ca="1" si="0"/>
        <v/>
      </c>
      <c r="E23" s="79"/>
      <c r="F23" s="80" t="str">
        <f t="shared" si="1"/>
        <v/>
      </c>
      <c r="G23" s="39" t="s">
        <v>140</v>
      </c>
      <c r="H23" s="81"/>
      <c r="I23" s="82" t="str">
        <f>IF(A23="","Pending",IF(H23="","⚠️ Enter Agent Code",IF(IFERROR(VLOOKUP(G23,DB_Agents!$B:$I,8,0),"")=H23,IF(AND(A23&lt;&gt;"",E23&lt;&gt;""),"Saved","Pending"),"🔒 BLOCKED — Wrong Code")))</f>
        <v>Pending</v>
      </c>
      <c r="J23" s="83" t="str">
        <f t="shared" ca="1" si="2"/>
        <v>—</v>
      </c>
      <c r="K23" s="84"/>
    </row>
    <row r="24" spans="1:11" ht="15" customHeight="1" x14ac:dyDescent="0.25">
      <c r="A24" s="85"/>
      <c r="B24" s="41" t="str">
        <f>IF(A24="","",IFERROR(VLOOKUP(A24,DB_Customers!$A:$D,4,0),"❌ Account Not Found"))</f>
        <v/>
      </c>
      <c r="C24" s="86" t="str">
        <f>IF(A24="","",IFERROR(IF(SUMIF(DB_Savings!$C:$C,A24,DB_Savings!$F:$F)=0,VLOOKUP(A24,DB_Customers!$A:$I,9,0),VLOOKUP(A24,DB_Customers!$A:$N,14,0)),"❌ Acct Not Found"))</f>
        <v/>
      </c>
      <c r="D24" s="87" t="str">
        <f t="shared" ca="1" si="0"/>
        <v/>
      </c>
      <c r="E24" s="79"/>
      <c r="F24" s="88" t="str">
        <f t="shared" si="1"/>
        <v/>
      </c>
      <c r="G24" s="43" t="s">
        <v>140</v>
      </c>
      <c r="H24" s="81"/>
      <c r="I24" s="89" t="str">
        <f>IF(A24="","Pending",IF(H24="","⚠️ Enter Agent Code",IF(IFERROR(VLOOKUP(G24,DB_Agents!$B:$I,8,0),"")=H24,IF(AND(A24&lt;&gt;"",E24&lt;&gt;""),"Saved","Pending"),"🔒 BLOCKED — Wrong Code")))</f>
        <v>Pending</v>
      </c>
      <c r="J24" s="90" t="str">
        <f t="shared" ca="1" si="2"/>
        <v>—</v>
      </c>
      <c r="K24" s="91"/>
    </row>
    <row r="25" spans="1:11" ht="15" customHeight="1" x14ac:dyDescent="0.25">
      <c r="A25" s="76"/>
      <c r="B25" s="37" t="str">
        <f>IF(A25="","",IFERROR(VLOOKUP(A25,DB_Customers!$A:$D,4,0),"❌ Account Not Found"))</f>
        <v/>
      </c>
      <c r="C25" s="77" t="str">
        <f>IF(A25="","",IFERROR(IF(SUMIF(DB_Savings!$C:$C,A25,DB_Savings!$F:$F)=0,VLOOKUP(A25,DB_Customers!$A:$I,9,0),VLOOKUP(A25,DB_Customers!$A:$N,14,0)),"❌ Acct Not Found"))</f>
        <v/>
      </c>
      <c r="D25" s="78" t="str">
        <f t="shared" ca="1" si="0"/>
        <v/>
      </c>
      <c r="E25" s="79"/>
      <c r="F25" s="80" t="str">
        <f t="shared" si="1"/>
        <v/>
      </c>
      <c r="G25" s="39" t="s">
        <v>140</v>
      </c>
      <c r="H25" s="81"/>
      <c r="I25" s="82" t="str">
        <f>IF(A25="","Pending",IF(H25="","⚠️ Enter Agent Code",IF(IFERROR(VLOOKUP(G25,DB_Agents!$B:$I,8,0),"")=H25,IF(AND(A25&lt;&gt;"",E25&lt;&gt;""),"Saved","Pending"),"🔒 BLOCKED — Wrong Code")))</f>
        <v>Pending</v>
      </c>
      <c r="J25" s="83" t="str">
        <f t="shared" ca="1" si="2"/>
        <v>—</v>
      </c>
      <c r="K25" s="84"/>
    </row>
    <row r="26" spans="1:11" ht="15" customHeight="1" x14ac:dyDescent="0.25">
      <c r="A26" s="85"/>
      <c r="B26" s="41" t="str">
        <f>IF(A26="","",IFERROR(VLOOKUP(A26,DB_Customers!$A:$D,4,0),"❌ Account Not Found"))</f>
        <v/>
      </c>
      <c r="C26" s="86" t="str">
        <f>IF(A26="","",IFERROR(IF(SUMIF(DB_Savings!$C:$C,A26,DB_Savings!$F:$F)=0,VLOOKUP(A26,DB_Customers!$A:$I,9,0),VLOOKUP(A26,DB_Customers!$A:$N,14,0)),"❌ Acct Not Found"))</f>
        <v/>
      </c>
      <c r="D26" s="87" t="str">
        <f t="shared" ca="1" si="0"/>
        <v/>
      </c>
      <c r="E26" s="79"/>
      <c r="F26" s="88" t="str">
        <f t="shared" si="1"/>
        <v/>
      </c>
      <c r="G26" s="43" t="s">
        <v>140</v>
      </c>
      <c r="H26" s="81"/>
      <c r="I26" s="89" t="str">
        <f>IF(A26="","Pending",IF(H26="","⚠️ Enter Agent Code",IF(IFERROR(VLOOKUP(G26,DB_Agents!$B:$I,8,0),"")=H26,IF(AND(A26&lt;&gt;"",E26&lt;&gt;""),"Saved","Pending"),"🔒 BLOCKED — Wrong Code")))</f>
        <v>Pending</v>
      </c>
      <c r="J26" s="90" t="str">
        <f t="shared" ca="1" si="2"/>
        <v>—</v>
      </c>
      <c r="K26" s="91"/>
    </row>
    <row r="27" spans="1:11" ht="15" customHeight="1" x14ac:dyDescent="0.25">
      <c r="A27" s="76"/>
      <c r="B27" s="37" t="str">
        <f>IF(A27="","",IFERROR(VLOOKUP(A27,DB_Customers!$A:$D,4,0),"❌ Account Not Found"))</f>
        <v/>
      </c>
      <c r="C27" s="77" t="str">
        <f>IF(A27="","",IFERROR(IF(SUMIF(DB_Savings!$C:$C,A27,DB_Savings!$F:$F)=0,VLOOKUP(A27,DB_Customers!$A:$I,9,0),VLOOKUP(A27,DB_Customers!$A:$N,14,0)),"❌ Acct Not Found"))</f>
        <v/>
      </c>
      <c r="D27" s="78" t="str">
        <f t="shared" ca="1" si="0"/>
        <v/>
      </c>
      <c r="E27" s="79"/>
      <c r="F27" s="80" t="str">
        <f t="shared" si="1"/>
        <v/>
      </c>
      <c r="G27" s="39" t="s">
        <v>140</v>
      </c>
      <c r="H27" s="81"/>
      <c r="I27" s="82" t="str">
        <f>IF(A27="","Pending",IF(H27="","⚠️ Enter Agent Code",IF(IFERROR(VLOOKUP(G27,DB_Agents!$B:$I,8,0),"")=H27,IF(AND(A27&lt;&gt;"",E27&lt;&gt;""),"Saved","Pending"),"🔒 BLOCKED — Wrong Code")))</f>
        <v>Pending</v>
      </c>
      <c r="J27" s="83" t="str">
        <f t="shared" ca="1" si="2"/>
        <v>—</v>
      </c>
      <c r="K27" s="84"/>
    </row>
    <row r="28" spans="1:11" ht="15" customHeight="1" x14ac:dyDescent="0.25">
      <c r="A28" s="85"/>
      <c r="B28" s="41" t="str">
        <f>IF(A28="","",IFERROR(VLOOKUP(A28,DB_Customers!$A:$D,4,0),"❌ Account Not Found"))</f>
        <v/>
      </c>
      <c r="C28" s="86" t="str">
        <f>IF(A28="","",IFERROR(IF(SUMIF(DB_Savings!$C:$C,A28,DB_Savings!$F:$F)=0,VLOOKUP(A28,DB_Customers!$A:$I,9,0),VLOOKUP(A28,DB_Customers!$A:$N,14,0)),"❌ Acct Not Found"))</f>
        <v/>
      </c>
      <c r="D28" s="87" t="str">
        <f t="shared" ca="1" si="0"/>
        <v/>
      </c>
      <c r="E28" s="79"/>
      <c r="F28" s="88" t="str">
        <f t="shared" si="1"/>
        <v/>
      </c>
      <c r="G28" s="43" t="s">
        <v>140</v>
      </c>
      <c r="H28" s="81"/>
      <c r="I28" s="89" t="str">
        <f>IF(A28="","Pending",IF(H28="","⚠️ Enter Agent Code",IF(IFERROR(VLOOKUP(G28,DB_Agents!$B:$I,8,0),"")=H28,IF(AND(A28&lt;&gt;"",E28&lt;&gt;""),"Saved","Pending"),"🔒 BLOCKED — Wrong Code")))</f>
        <v>Pending</v>
      </c>
      <c r="J28" s="90" t="str">
        <f t="shared" ca="1" si="2"/>
        <v>—</v>
      </c>
      <c r="K28" s="91"/>
    </row>
    <row r="29" spans="1:11" ht="15" customHeight="1" x14ac:dyDescent="0.25">
      <c r="A29" s="76"/>
      <c r="B29" s="37" t="str">
        <f>IF(A29="","",IFERROR(VLOOKUP(A29,DB_Customers!$A:$D,4,0),"❌ Account Not Found"))</f>
        <v/>
      </c>
      <c r="C29" s="77" t="str">
        <f>IF(A29="","",IFERROR(IF(SUMIF(DB_Savings!$C:$C,A29,DB_Savings!$F:$F)=0,VLOOKUP(A29,DB_Customers!$A:$I,9,0),VLOOKUP(A29,DB_Customers!$A:$N,14,0)),"❌ Acct Not Found"))</f>
        <v/>
      </c>
      <c r="D29" s="78" t="str">
        <f t="shared" ca="1" si="0"/>
        <v/>
      </c>
      <c r="E29" s="79"/>
      <c r="F29" s="80" t="str">
        <f t="shared" si="1"/>
        <v/>
      </c>
      <c r="G29" s="39" t="s">
        <v>140</v>
      </c>
      <c r="H29" s="81"/>
      <c r="I29" s="82" t="str">
        <f>IF(A29="","Pending",IF(H29="","⚠️ Enter Agent Code",IF(IFERROR(VLOOKUP(G29,DB_Agents!$B:$I,8,0),"")=H29,IF(AND(A29&lt;&gt;"",E29&lt;&gt;""),"Saved","Pending"),"🔒 BLOCKED — Wrong Code")))</f>
        <v>Pending</v>
      </c>
      <c r="J29" s="83" t="str">
        <f t="shared" ca="1" si="2"/>
        <v>—</v>
      </c>
      <c r="K29" s="84"/>
    </row>
    <row r="30" spans="1:11" ht="15" customHeight="1" x14ac:dyDescent="0.25">
      <c r="A30" s="85"/>
      <c r="B30" s="41" t="str">
        <f>IF(A30="","",IFERROR(VLOOKUP(A30,DB_Customers!$A:$D,4,0),"❌ Account Not Found"))</f>
        <v/>
      </c>
      <c r="C30" s="86" t="str">
        <f>IF(A30="","",IFERROR(IF(SUMIF(DB_Savings!$C:$C,A30,DB_Savings!$F:$F)=0,VLOOKUP(A30,DB_Customers!$A:$I,9,0),VLOOKUP(A30,DB_Customers!$A:$N,14,0)),"❌ Acct Not Found"))</f>
        <v/>
      </c>
      <c r="D30" s="87" t="str">
        <f t="shared" ca="1" si="0"/>
        <v/>
      </c>
      <c r="E30" s="79"/>
      <c r="F30" s="88" t="str">
        <f t="shared" si="1"/>
        <v/>
      </c>
      <c r="G30" s="43" t="s">
        <v>140</v>
      </c>
      <c r="H30" s="81"/>
      <c r="I30" s="89" t="str">
        <f>IF(A30="","Pending",IF(H30="","⚠️ Enter Agent Code",IF(IFERROR(VLOOKUP(G30,DB_Agents!$B:$I,8,0),"")=H30,IF(AND(A30&lt;&gt;"",E30&lt;&gt;""),"Saved","Pending"),"🔒 BLOCKED — Wrong Code")))</f>
        <v>Pending</v>
      </c>
      <c r="J30" s="90" t="str">
        <f t="shared" ca="1" si="2"/>
        <v>—</v>
      </c>
      <c r="K30" s="91"/>
    </row>
    <row r="31" spans="1:11" ht="15" customHeight="1" x14ac:dyDescent="0.25">
      <c r="A31" s="76"/>
      <c r="B31" s="37" t="str">
        <f>IF(A31="","",IFERROR(VLOOKUP(A31,DB_Customers!$A:$D,4,0),"❌ Account Not Found"))</f>
        <v/>
      </c>
      <c r="C31" s="77" t="str">
        <f>IF(A31="","",IFERROR(IF(SUMIF(DB_Savings!$C:$C,A31,DB_Savings!$F:$F)=0,VLOOKUP(A31,DB_Customers!$A:$I,9,0),VLOOKUP(A31,DB_Customers!$A:$N,14,0)),"❌ Acct Not Found"))</f>
        <v/>
      </c>
      <c r="D31" s="78" t="str">
        <f t="shared" ca="1" si="0"/>
        <v/>
      </c>
      <c r="E31" s="79"/>
      <c r="F31" s="80" t="str">
        <f t="shared" si="1"/>
        <v/>
      </c>
      <c r="G31" s="39" t="s">
        <v>140</v>
      </c>
      <c r="H31" s="81"/>
      <c r="I31" s="82" t="str">
        <f>IF(A31="","Pending",IF(H31="","⚠️ Enter Agent Code",IF(IFERROR(VLOOKUP(G31,DB_Agents!$B:$I,8,0),"")=H31,IF(AND(A31&lt;&gt;"",E31&lt;&gt;""),"Saved","Pending"),"🔒 BLOCKED — Wrong Code")))</f>
        <v>Pending</v>
      </c>
      <c r="J31" s="83" t="str">
        <f t="shared" ca="1" si="2"/>
        <v>—</v>
      </c>
      <c r="K31" s="84"/>
    </row>
    <row r="32" spans="1:11" ht="15" customHeight="1" x14ac:dyDescent="0.25">
      <c r="A32" s="85"/>
      <c r="B32" s="41" t="str">
        <f>IF(A32="","",IFERROR(VLOOKUP(A32,DB_Customers!$A:$D,4,0),"❌ Account Not Found"))</f>
        <v/>
      </c>
      <c r="C32" s="86" t="str">
        <f>IF(A32="","",IFERROR(IF(SUMIF(DB_Savings!$C:$C,A32,DB_Savings!$F:$F)=0,VLOOKUP(A32,DB_Customers!$A:$I,9,0),VLOOKUP(A32,DB_Customers!$A:$N,14,0)),"❌ Acct Not Found"))</f>
        <v/>
      </c>
      <c r="D32" s="87" t="str">
        <f t="shared" ca="1" si="0"/>
        <v/>
      </c>
      <c r="E32" s="79"/>
      <c r="F32" s="88" t="str">
        <f t="shared" si="1"/>
        <v/>
      </c>
      <c r="G32" s="43" t="s">
        <v>140</v>
      </c>
      <c r="H32" s="81"/>
      <c r="I32" s="89" t="str">
        <f>IF(A32="","Pending",IF(H32="","⚠️ Enter Agent Code",IF(IFERROR(VLOOKUP(G32,DB_Agents!$B:$I,8,0),"")=H32,IF(AND(A32&lt;&gt;"",E32&lt;&gt;""),"Saved","Pending"),"🔒 BLOCKED — Wrong Code")))</f>
        <v>Pending</v>
      </c>
      <c r="J32" s="90" t="str">
        <f t="shared" ca="1" si="2"/>
        <v>—</v>
      </c>
      <c r="K32" s="91"/>
    </row>
    <row r="33" spans="1:11" ht="15" customHeight="1" x14ac:dyDescent="0.25">
      <c r="A33" s="76"/>
      <c r="B33" s="37" t="str">
        <f>IF(A33="","",IFERROR(VLOOKUP(A33,DB_Customers!$A:$D,4,0),"❌ Account Not Found"))</f>
        <v/>
      </c>
      <c r="C33" s="77" t="str">
        <f>IF(A33="","",IFERROR(IF(SUMIF(DB_Savings!$C:$C,A33,DB_Savings!$F:$F)=0,VLOOKUP(A33,DB_Customers!$A:$I,9,0),VLOOKUP(A33,DB_Customers!$A:$N,14,0)),"❌ Acct Not Found"))</f>
        <v/>
      </c>
      <c r="D33" s="78" t="str">
        <f t="shared" ca="1" si="0"/>
        <v/>
      </c>
      <c r="E33" s="79"/>
      <c r="F33" s="80" t="str">
        <f t="shared" si="1"/>
        <v/>
      </c>
      <c r="G33" s="39" t="s">
        <v>140</v>
      </c>
      <c r="H33" s="81"/>
      <c r="I33" s="82" t="str">
        <f>IF(A33="","Pending",IF(H33="","⚠️ Enter Agent Code",IF(IFERROR(VLOOKUP(G33,DB_Agents!$B:$I,8,0),"")=H33,IF(AND(A33&lt;&gt;"",E33&lt;&gt;""),"Saved","Pending"),"🔒 BLOCKED — Wrong Code")))</f>
        <v>Pending</v>
      </c>
      <c r="J33" s="83" t="str">
        <f t="shared" ca="1" si="2"/>
        <v>—</v>
      </c>
      <c r="K33" s="84"/>
    </row>
    <row r="34" spans="1:11" ht="15" customHeight="1" x14ac:dyDescent="0.25">
      <c r="A34" s="85"/>
      <c r="B34" s="41" t="str">
        <f>IF(A34="","",IFERROR(VLOOKUP(A34,DB_Customers!$A:$D,4,0),"❌ Account Not Found"))</f>
        <v/>
      </c>
      <c r="C34" s="86" t="str">
        <f>IF(A34="","",IFERROR(IF(SUMIF(DB_Savings!$C:$C,A34,DB_Savings!$F:$F)=0,VLOOKUP(A34,DB_Customers!$A:$I,9,0),VLOOKUP(A34,DB_Customers!$A:$N,14,0)),"❌ Acct Not Found"))</f>
        <v/>
      </c>
      <c r="D34" s="87" t="str">
        <f t="shared" ca="1" si="0"/>
        <v/>
      </c>
      <c r="E34" s="79"/>
      <c r="F34" s="88" t="str">
        <f t="shared" si="1"/>
        <v/>
      </c>
      <c r="G34" s="43" t="s">
        <v>140</v>
      </c>
      <c r="H34" s="81"/>
      <c r="I34" s="89" t="str">
        <f>IF(A34="","Pending",IF(H34="","⚠️ Enter Agent Code",IF(IFERROR(VLOOKUP(G34,DB_Agents!$B:$I,8,0),"")=H34,IF(AND(A34&lt;&gt;"",E34&lt;&gt;""),"Saved","Pending"),"🔒 BLOCKED — Wrong Code")))</f>
        <v>Pending</v>
      </c>
      <c r="J34" s="90" t="str">
        <f t="shared" ca="1" si="2"/>
        <v>—</v>
      </c>
      <c r="K34" s="91"/>
    </row>
    <row r="35" spans="1:11" ht="15" customHeight="1" x14ac:dyDescent="0.25">
      <c r="A35" s="76"/>
      <c r="B35" s="37" t="str">
        <f>IF(A35="","",IFERROR(VLOOKUP(A35,DB_Customers!$A:$D,4,0),"❌ Account Not Found"))</f>
        <v/>
      </c>
      <c r="C35" s="77" t="str">
        <f>IF(A35="","",IFERROR(IF(SUMIF(DB_Savings!$C:$C,A35,DB_Savings!$F:$F)=0,VLOOKUP(A35,DB_Customers!$A:$I,9,0),VLOOKUP(A35,DB_Customers!$A:$N,14,0)),"❌ Acct Not Found"))</f>
        <v/>
      </c>
      <c r="D35" s="78" t="str">
        <f t="shared" ca="1" si="0"/>
        <v/>
      </c>
      <c r="E35" s="79"/>
      <c r="F35" s="80" t="str">
        <f t="shared" si="1"/>
        <v/>
      </c>
      <c r="G35" s="39" t="s">
        <v>140</v>
      </c>
      <c r="H35" s="81"/>
      <c r="I35" s="82" t="str">
        <f>IF(A35="","Pending",IF(H35="","⚠️ Enter Agent Code",IF(IFERROR(VLOOKUP(G35,DB_Agents!$B:$I,8,0),"")=H35,IF(AND(A35&lt;&gt;"",E35&lt;&gt;""),"Saved","Pending"),"🔒 BLOCKED — Wrong Code")))</f>
        <v>Pending</v>
      </c>
      <c r="J35" s="83" t="str">
        <f t="shared" ca="1" si="2"/>
        <v>—</v>
      </c>
      <c r="K35" s="84"/>
    </row>
    <row r="36" spans="1:11" ht="15" customHeight="1" x14ac:dyDescent="0.25">
      <c r="A36" s="85"/>
      <c r="B36" s="41" t="str">
        <f>IF(A36="","",IFERROR(VLOOKUP(A36,DB_Customers!$A:$D,4,0),"❌ Account Not Found"))</f>
        <v/>
      </c>
      <c r="C36" s="86" t="str">
        <f>IF(A36="","",IFERROR(IF(SUMIF(DB_Savings!$C:$C,A36,DB_Savings!$F:$F)=0,VLOOKUP(A36,DB_Customers!$A:$I,9,0),VLOOKUP(A36,DB_Customers!$A:$N,14,0)),"❌ Acct Not Found"))</f>
        <v/>
      </c>
      <c r="D36" s="87" t="str">
        <f t="shared" ca="1" si="0"/>
        <v/>
      </c>
      <c r="E36" s="79"/>
      <c r="F36" s="88" t="str">
        <f t="shared" si="1"/>
        <v/>
      </c>
      <c r="G36" s="43" t="s">
        <v>140</v>
      </c>
      <c r="H36" s="81"/>
      <c r="I36" s="89" t="str">
        <f>IF(A36="","Pending",IF(H36="","⚠️ Enter Agent Code",IF(IFERROR(VLOOKUP(G36,DB_Agents!$B:$I,8,0),"")=H36,IF(AND(A36&lt;&gt;"",E36&lt;&gt;""),"Saved","Pending"),"🔒 BLOCKED — Wrong Code")))</f>
        <v>Pending</v>
      </c>
      <c r="J36" s="90" t="str">
        <f t="shared" ca="1" si="2"/>
        <v>—</v>
      </c>
      <c r="K36" s="91"/>
    </row>
    <row r="37" spans="1:11" ht="15" customHeight="1" x14ac:dyDescent="0.25">
      <c r="A37" s="76"/>
      <c r="B37" s="37" t="str">
        <f>IF(A37="","",IFERROR(VLOOKUP(A37,DB_Customers!$A:$D,4,0),"❌ Account Not Found"))</f>
        <v/>
      </c>
      <c r="C37" s="77" t="str">
        <f>IF(A37="","",IFERROR(IF(SUMIF(DB_Savings!$C:$C,A37,DB_Savings!$F:$F)=0,VLOOKUP(A37,DB_Customers!$A:$I,9,0),VLOOKUP(A37,DB_Customers!$A:$N,14,0)),"❌ Acct Not Found"))</f>
        <v/>
      </c>
      <c r="D37" s="78" t="str">
        <f t="shared" ca="1" si="0"/>
        <v/>
      </c>
      <c r="E37" s="79"/>
      <c r="F37" s="80" t="str">
        <f t="shared" si="1"/>
        <v/>
      </c>
      <c r="G37" s="39" t="s">
        <v>140</v>
      </c>
      <c r="H37" s="81"/>
      <c r="I37" s="82" t="str">
        <f>IF(A37="","Pending",IF(H37="","⚠️ Enter Agent Code",IF(IFERROR(VLOOKUP(G37,DB_Agents!$B:$I,8,0),"")=H37,IF(AND(A37&lt;&gt;"",E37&lt;&gt;""),"Saved","Pending"),"🔒 BLOCKED — Wrong Code")))</f>
        <v>Pending</v>
      </c>
      <c r="J37" s="83" t="str">
        <f t="shared" ca="1" si="2"/>
        <v>—</v>
      </c>
      <c r="K37" s="84"/>
    </row>
    <row r="38" spans="1:11" ht="15" customHeight="1" x14ac:dyDescent="0.25">
      <c r="A38" s="85"/>
      <c r="B38" s="41" t="str">
        <f>IF(A38="","",IFERROR(VLOOKUP(A38,DB_Customers!$A:$D,4,0),"❌ Account Not Found"))</f>
        <v/>
      </c>
      <c r="C38" s="86" t="str">
        <f>IF(A38="","",IFERROR(IF(SUMIF(DB_Savings!$C:$C,A38,DB_Savings!$F:$F)=0,VLOOKUP(A38,DB_Customers!$A:$I,9,0),VLOOKUP(A38,DB_Customers!$A:$N,14,0)),"❌ Acct Not Found"))</f>
        <v/>
      </c>
      <c r="D38" s="87" t="str">
        <f t="shared" ca="1" si="0"/>
        <v/>
      </c>
      <c r="E38" s="79"/>
      <c r="F38" s="88" t="str">
        <f t="shared" si="1"/>
        <v/>
      </c>
      <c r="G38" s="43" t="s">
        <v>140</v>
      </c>
      <c r="H38" s="81"/>
      <c r="I38" s="89" t="str">
        <f>IF(A38="","Pending",IF(H38="","⚠️ Enter Agent Code",IF(IFERROR(VLOOKUP(G38,DB_Agents!$B:$I,8,0),"")=H38,IF(AND(A38&lt;&gt;"",E38&lt;&gt;""),"Saved","Pending"),"🔒 BLOCKED — Wrong Code")))</f>
        <v>Pending</v>
      </c>
      <c r="J38" s="90" t="str">
        <f t="shared" ca="1" si="2"/>
        <v>—</v>
      </c>
      <c r="K38" s="91"/>
    </row>
    <row r="39" spans="1:11" ht="15" customHeight="1" x14ac:dyDescent="0.25">
      <c r="A39" s="76"/>
      <c r="B39" s="37" t="str">
        <f>IF(A39="","",IFERROR(VLOOKUP(A39,DB_Customers!$A:$D,4,0),"❌ Account Not Found"))</f>
        <v/>
      </c>
      <c r="C39" s="77" t="str">
        <f>IF(A39="","",IFERROR(IF(SUMIF(DB_Savings!$C:$C,A39,DB_Savings!$F:$F)=0,VLOOKUP(A39,DB_Customers!$A:$I,9,0),VLOOKUP(A39,DB_Customers!$A:$N,14,0)),"❌ Acct Not Found"))</f>
        <v/>
      </c>
      <c r="D39" s="78" t="str">
        <f t="shared" ca="1" si="0"/>
        <v/>
      </c>
      <c r="E39" s="79"/>
      <c r="F39" s="80" t="str">
        <f t="shared" si="1"/>
        <v/>
      </c>
      <c r="G39" s="39" t="s">
        <v>140</v>
      </c>
      <c r="H39" s="81"/>
      <c r="I39" s="82" t="str">
        <f>IF(A39="","Pending",IF(H39="","⚠️ Enter Agent Code",IF(IFERROR(VLOOKUP(G39,DB_Agents!$B:$I,8,0),"")=H39,IF(AND(A39&lt;&gt;"",E39&lt;&gt;""),"Saved","Pending"),"🔒 BLOCKED — Wrong Code")))</f>
        <v>Pending</v>
      </c>
      <c r="J39" s="83" t="str">
        <f t="shared" ca="1" si="2"/>
        <v>—</v>
      </c>
      <c r="K39" s="84"/>
    </row>
    <row r="40" spans="1:11" ht="15" customHeight="1" x14ac:dyDescent="0.25">
      <c r="A40" s="85"/>
      <c r="B40" s="41" t="str">
        <f>IF(A40="","",IFERROR(VLOOKUP(A40,DB_Customers!$A:$D,4,0),"❌ Account Not Found"))</f>
        <v/>
      </c>
      <c r="C40" s="86" t="str">
        <f>IF(A40="","",IFERROR(IF(SUMIF(DB_Savings!$C:$C,A40,DB_Savings!$F:$F)=0,VLOOKUP(A40,DB_Customers!$A:$I,9,0),VLOOKUP(A40,DB_Customers!$A:$N,14,0)),"❌ Acct Not Found"))</f>
        <v/>
      </c>
      <c r="D40" s="87" t="str">
        <f t="shared" ca="1" si="0"/>
        <v/>
      </c>
      <c r="E40" s="79"/>
      <c r="F40" s="88" t="str">
        <f t="shared" si="1"/>
        <v/>
      </c>
      <c r="G40" s="43" t="s">
        <v>140</v>
      </c>
      <c r="H40" s="81"/>
      <c r="I40" s="89" t="str">
        <f>IF(A40="","Pending",IF(H40="","⚠️ Enter Agent Code",IF(IFERROR(VLOOKUP(G40,DB_Agents!$B:$I,8,0),"")=H40,IF(AND(A40&lt;&gt;"",E40&lt;&gt;""),"Saved","Pending"),"🔒 BLOCKED — Wrong Code")))</f>
        <v>Pending</v>
      </c>
      <c r="J40" s="90" t="str">
        <f t="shared" ca="1" si="2"/>
        <v>—</v>
      </c>
      <c r="K40" s="91"/>
    </row>
    <row r="41" spans="1:11" ht="15" customHeight="1" x14ac:dyDescent="0.25">
      <c r="A41" s="76"/>
      <c r="B41" s="37" t="str">
        <f>IF(A41="","",IFERROR(VLOOKUP(A41,DB_Customers!$A:$D,4,0),"❌ Account Not Found"))</f>
        <v/>
      </c>
      <c r="C41" s="77" t="str">
        <f>IF(A41="","",IFERROR(IF(SUMIF(DB_Savings!$C:$C,A41,DB_Savings!$F:$F)=0,VLOOKUP(A41,DB_Customers!$A:$I,9,0),VLOOKUP(A41,DB_Customers!$A:$N,14,0)),"❌ Acct Not Found"))</f>
        <v/>
      </c>
      <c r="D41" s="78" t="str">
        <f t="shared" ref="D41:D72" ca="1" si="3">IF(A41="","",TODAY())</f>
        <v/>
      </c>
      <c r="E41" s="79"/>
      <c r="F41" s="80" t="str">
        <f t="shared" ref="F41:F72" si="4">IF(OR(A41="",E41=""),"",IF(C41="","",C41+E41))</f>
        <v/>
      </c>
      <c r="G41" s="39" t="s">
        <v>140</v>
      </c>
      <c r="H41" s="81"/>
      <c r="I41" s="82" t="str">
        <f>IF(A41="","Pending",IF(H41="","⚠️ Enter Agent Code",IF(IFERROR(VLOOKUP(G41,DB_Agents!$B:$I,8,0),"")=H41,IF(AND(A41&lt;&gt;"",E41&lt;&gt;""),"Saved","Pending"),"🔒 BLOCKED — Wrong Code")))</f>
        <v>Pending</v>
      </c>
      <c r="J41" s="83" t="str">
        <f t="shared" ref="J41:J72" ca="1" si="5">IF(I41="Saved",TEXT(TODAY(),"YYYY-MM-DD")&amp;" Auto","—")</f>
        <v>—</v>
      </c>
      <c r="K41" s="84"/>
    </row>
    <row r="42" spans="1:11" ht="15" customHeight="1" x14ac:dyDescent="0.25">
      <c r="A42" s="85"/>
      <c r="B42" s="41" t="str">
        <f>IF(A42="","",IFERROR(VLOOKUP(A42,DB_Customers!$A:$D,4,0),"❌ Account Not Found"))</f>
        <v/>
      </c>
      <c r="C42" s="86" t="str">
        <f>IF(A42="","",IFERROR(IF(SUMIF(DB_Savings!$C:$C,A42,DB_Savings!$F:$F)=0,VLOOKUP(A42,DB_Customers!$A:$I,9,0),VLOOKUP(A42,DB_Customers!$A:$N,14,0)),"❌ Acct Not Found"))</f>
        <v/>
      </c>
      <c r="D42" s="87" t="str">
        <f t="shared" ca="1" si="3"/>
        <v/>
      </c>
      <c r="E42" s="79"/>
      <c r="F42" s="88" t="str">
        <f t="shared" si="4"/>
        <v/>
      </c>
      <c r="G42" s="43" t="s">
        <v>140</v>
      </c>
      <c r="H42" s="81"/>
      <c r="I42" s="89" t="str">
        <f>IF(A42="","Pending",IF(H42="","⚠️ Enter Agent Code",IF(IFERROR(VLOOKUP(G42,DB_Agents!$B:$I,8,0),"")=H42,IF(AND(A42&lt;&gt;"",E42&lt;&gt;""),"Saved","Pending"),"🔒 BLOCKED — Wrong Code")))</f>
        <v>Pending</v>
      </c>
      <c r="J42" s="90" t="str">
        <f t="shared" ca="1" si="5"/>
        <v>—</v>
      </c>
      <c r="K42" s="91"/>
    </row>
    <row r="43" spans="1:11" ht="15" customHeight="1" x14ac:dyDescent="0.25">
      <c r="A43" s="76"/>
      <c r="B43" s="37" t="str">
        <f>IF(A43="","",IFERROR(VLOOKUP(A43,DB_Customers!$A:$D,4,0),"❌ Account Not Found"))</f>
        <v/>
      </c>
      <c r="C43" s="77" t="str">
        <f>IF(A43="","",IFERROR(IF(SUMIF(DB_Savings!$C:$C,A43,DB_Savings!$F:$F)=0,VLOOKUP(A43,DB_Customers!$A:$I,9,0),VLOOKUP(A43,DB_Customers!$A:$N,14,0)),"❌ Acct Not Found"))</f>
        <v/>
      </c>
      <c r="D43" s="78" t="str">
        <f t="shared" ca="1" si="3"/>
        <v/>
      </c>
      <c r="E43" s="79"/>
      <c r="F43" s="80" t="str">
        <f t="shared" si="4"/>
        <v/>
      </c>
      <c r="G43" s="39" t="s">
        <v>140</v>
      </c>
      <c r="H43" s="81"/>
      <c r="I43" s="82" t="str">
        <f>IF(A43="","Pending",IF(H43="","⚠️ Enter Agent Code",IF(IFERROR(VLOOKUP(G43,DB_Agents!$B:$I,8,0),"")=H43,IF(AND(A43&lt;&gt;"",E43&lt;&gt;""),"Saved","Pending"),"🔒 BLOCKED — Wrong Code")))</f>
        <v>Pending</v>
      </c>
      <c r="J43" s="83" t="str">
        <f t="shared" ca="1" si="5"/>
        <v>—</v>
      </c>
      <c r="K43" s="84"/>
    </row>
    <row r="44" spans="1:11" ht="15" customHeight="1" x14ac:dyDescent="0.25">
      <c r="A44" s="85"/>
      <c r="B44" s="41" t="str">
        <f>IF(A44="","",IFERROR(VLOOKUP(A44,DB_Customers!$A:$D,4,0),"❌ Account Not Found"))</f>
        <v/>
      </c>
      <c r="C44" s="86" t="str">
        <f>IF(A44="","",IFERROR(IF(SUMIF(DB_Savings!$C:$C,A44,DB_Savings!$F:$F)=0,VLOOKUP(A44,DB_Customers!$A:$I,9,0),VLOOKUP(A44,DB_Customers!$A:$N,14,0)),"❌ Acct Not Found"))</f>
        <v/>
      </c>
      <c r="D44" s="87" t="str">
        <f t="shared" ca="1" si="3"/>
        <v/>
      </c>
      <c r="E44" s="79"/>
      <c r="F44" s="88" t="str">
        <f t="shared" si="4"/>
        <v/>
      </c>
      <c r="G44" s="43" t="s">
        <v>140</v>
      </c>
      <c r="H44" s="81"/>
      <c r="I44" s="89" t="str">
        <f>IF(A44="","Pending",IF(H44="","⚠️ Enter Agent Code",IF(IFERROR(VLOOKUP(G44,DB_Agents!$B:$I,8,0),"")=H44,IF(AND(A44&lt;&gt;"",E44&lt;&gt;""),"Saved","Pending"),"🔒 BLOCKED — Wrong Code")))</f>
        <v>Pending</v>
      </c>
      <c r="J44" s="90" t="str">
        <f t="shared" ca="1" si="5"/>
        <v>—</v>
      </c>
      <c r="K44" s="91"/>
    </row>
    <row r="45" spans="1:11" ht="15" customHeight="1" x14ac:dyDescent="0.25">
      <c r="A45" s="76"/>
      <c r="B45" s="37" t="str">
        <f>IF(A45="","",IFERROR(VLOOKUP(A45,DB_Customers!$A:$D,4,0),"❌ Account Not Found"))</f>
        <v/>
      </c>
      <c r="C45" s="77" t="str">
        <f>IF(A45="","",IFERROR(IF(SUMIF(DB_Savings!$C:$C,A45,DB_Savings!$F:$F)=0,VLOOKUP(A45,DB_Customers!$A:$I,9,0),VLOOKUP(A45,DB_Customers!$A:$N,14,0)),"❌ Acct Not Found"))</f>
        <v/>
      </c>
      <c r="D45" s="78" t="str">
        <f t="shared" ca="1" si="3"/>
        <v/>
      </c>
      <c r="E45" s="79"/>
      <c r="F45" s="80" t="str">
        <f t="shared" si="4"/>
        <v/>
      </c>
      <c r="G45" s="39" t="s">
        <v>140</v>
      </c>
      <c r="H45" s="81"/>
      <c r="I45" s="82" t="str">
        <f>IF(A45="","Pending",IF(H45="","⚠️ Enter Agent Code",IF(IFERROR(VLOOKUP(G45,DB_Agents!$B:$I,8,0),"")=H45,IF(AND(A45&lt;&gt;"",E45&lt;&gt;""),"Saved","Pending"),"🔒 BLOCKED — Wrong Code")))</f>
        <v>Pending</v>
      </c>
      <c r="J45" s="83" t="str">
        <f t="shared" ca="1" si="5"/>
        <v>—</v>
      </c>
      <c r="K45" s="84"/>
    </row>
    <row r="46" spans="1:11" ht="15" customHeight="1" x14ac:dyDescent="0.25">
      <c r="A46" s="85"/>
      <c r="B46" s="41" t="str">
        <f>IF(A46="","",IFERROR(VLOOKUP(A46,DB_Customers!$A:$D,4,0),"❌ Account Not Found"))</f>
        <v/>
      </c>
      <c r="C46" s="86" t="str">
        <f>IF(A46="","",IFERROR(IF(SUMIF(DB_Savings!$C:$C,A46,DB_Savings!$F:$F)=0,VLOOKUP(A46,DB_Customers!$A:$I,9,0),VLOOKUP(A46,DB_Customers!$A:$N,14,0)),"❌ Acct Not Found"))</f>
        <v/>
      </c>
      <c r="D46" s="87" t="str">
        <f t="shared" ca="1" si="3"/>
        <v/>
      </c>
      <c r="E46" s="79"/>
      <c r="F46" s="88" t="str">
        <f t="shared" si="4"/>
        <v/>
      </c>
      <c r="G46" s="43" t="s">
        <v>140</v>
      </c>
      <c r="H46" s="81"/>
      <c r="I46" s="89" t="str">
        <f>IF(A46="","Pending",IF(H46="","⚠️ Enter Agent Code",IF(IFERROR(VLOOKUP(G46,DB_Agents!$B:$I,8,0),"")=H46,IF(AND(A46&lt;&gt;"",E46&lt;&gt;""),"Saved","Pending"),"🔒 BLOCKED — Wrong Code")))</f>
        <v>Pending</v>
      </c>
      <c r="J46" s="90" t="str">
        <f t="shared" ca="1" si="5"/>
        <v>—</v>
      </c>
      <c r="K46" s="91"/>
    </row>
    <row r="47" spans="1:11" ht="15" customHeight="1" x14ac:dyDescent="0.25">
      <c r="A47" s="76"/>
      <c r="B47" s="37" t="str">
        <f>IF(A47="","",IFERROR(VLOOKUP(A47,DB_Customers!$A:$D,4,0),"❌ Account Not Found"))</f>
        <v/>
      </c>
      <c r="C47" s="77" t="str">
        <f>IF(A47="","",IFERROR(IF(SUMIF(DB_Savings!$C:$C,A47,DB_Savings!$F:$F)=0,VLOOKUP(A47,DB_Customers!$A:$I,9,0),VLOOKUP(A47,DB_Customers!$A:$N,14,0)),"❌ Acct Not Found"))</f>
        <v/>
      </c>
      <c r="D47" s="78" t="str">
        <f t="shared" ca="1" si="3"/>
        <v/>
      </c>
      <c r="E47" s="79"/>
      <c r="F47" s="80" t="str">
        <f t="shared" si="4"/>
        <v/>
      </c>
      <c r="G47" s="39" t="s">
        <v>140</v>
      </c>
      <c r="H47" s="81"/>
      <c r="I47" s="82" t="str">
        <f>IF(A47="","Pending",IF(H47="","⚠️ Enter Agent Code",IF(IFERROR(VLOOKUP(G47,DB_Agents!$B:$I,8,0),"")=H47,IF(AND(A47&lt;&gt;"",E47&lt;&gt;""),"Saved","Pending"),"🔒 BLOCKED — Wrong Code")))</f>
        <v>Pending</v>
      </c>
      <c r="J47" s="83" t="str">
        <f t="shared" ca="1" si="5"/>
        <v>—</v>
      </c>
      <c r="K47" s="84"/>
    </row>
    <row r="48" spans="1:11" ht="15" customHeight="1" x14ac:dyDescent="0.25">
      <c r="A48" s="85"/>
      <c r="B48" s="41" t="str">
        <f>IF(A48="","",IFERROR(VLOOKUP(A48,DB_Customers!$A:$D,4,0),"❌ Account Not Found"))</f>
        <v/>
      </c>
      <c r="C48" s="86" t="str">
        <f>IF(A48="","",IFERROR(IF(SUMIF(DB_Savings!$C:$C,A48,DB_Savings!$F:$F)=0,VLOOKUP(A48,DB_Customers!$A:$I,9,0),VLOOKUP(A48,DB_Customers!$A:$N,14,0)),"❌ Acct Not Found"))</f>
        <v/>
      </c>
      <c r="D48" s="87" t="str">
        <f t="shared" ca="1" si="3"/>
        <v/>
      </c>
      <c r="E48" s="79"/>
      <c r="F48" s="88" t="str">
        <f t="shared" si="4"/>
        <v/>
      </c>
      <c r="G48" s="43" t="s">
        <v>140</v>
      </c>
      <c r="H48" s="81"/>
      <c r="I48" s="89" t="str">
        <f>IF(A48="","Pending",IF(H48="","⚠️ Enter Agent Code",IF(IFERROR(VLOOKUP(G48,DB_Agents!$B:$I,8,0),"")=H48,IF(AND(A48&lt;&gt;"",E48&lt;&gt;""),"Saved","Pending"),"🔒 BLOCKED — Wrong Code")))</f>
        <v>Pending</v>
      </c>
      <c r="J48" s="90" t="str">
        <f t="shared" ca="1" si="5"/>
        <v>—</v>
      </c>
      <c r="K48" s="91"/>
    </row>
    <row r="49" spans="1:11" ht="15" customHeight="1" x14ac:dyDescent="0.25">
      <c r="A49" s="76"/>
      <c r="B49" s="37" t="str">
        <f>IF(A49="","",IFERROR(VLOOKUP(A49,DB_Customers!$A:$D,4,0),"❌ Account Not Found"))</f>
        <v/>
      </c>
      <c r="C49" s="77" t="str">
        <f>IF(A49="","",IFERROR(IF(SUMIF(DB_Savings!$C:$C,A49,DB_Savings!$F:$F)=0,VLOOKUP(A49,DB_Customers!$A:$I,9,0),VLOOKUP(A49,DB_Customers!$A:$N,14,0)),"❌ Acct Not Found"))</f>
        <v/>
      </c>
      <c r="D49" s="78" t="str">
        <f t="shared" ca="1" si="3"/>
        <v/>
      </c>
      <c r="E49" s="79"/>
      <c r="F49" s="80" t="str">
        <f t="shared" si="4"/>
        <v/>
      </c>
      <c r="G49" s="39" t="s">
        <v>140</v>
      </c>
      <c r="H49" s="81"/>
      <c r="I49" s="82" t="str">
        <f>IF(A49="","Pending",IF(H49="","⚠️ Enter Agent Code",IF(IFERROR(VLOOKUP(G49,DB_Agents!$B:$I,8,0),"")=H49,IF(AND(A49&lt;&gt;"",E49&lt;&gt;""),"Saved","Pending"),"🔒 BLOCKED — Wrong Code")))</f>
        <v>Pending</v>
      </c>
      <c r="J49" s="83" t="str">
        <f t="shared" ca="1" si="5"/>
        <v>—</v>
      </c>
      <c r="K49" s="84"/>
    </row>
    <row r="50" spans="1:11" ht="15" customHeight="1" x14ac:dyDescent="0.25">
      <c r="A50" s="85"/>
      <c r="B50" s="41" t="str">
        <f>IF(A50="","",IFERROR(VLOOKUP(A50,DB_Customers!$A:$D,4,0),"❌ Account Not Found"))</f>
        <v/>
      </c>
      <c r="C50" s="86" t="str">
        <f>IF(A50="","",IFERROR(IF(SUMIF(DB_Savings!$C:$C,A50,DB_Savings!$F:$F)=0,VLOOKUP(A50,DB_Customers!$A:$I,9,0),VLOOKUP(A50,DB_Customers!$A:$N,14,0)),"❌ Acct Not Found"))</f>
        <v/>
      </c>
      <c r="D50" s="87" t="str">
        <f t="shared" ca="1" si="3"/>
        <v/>
      </c>
      <c r="E50" s="79"/>
      <c r="F50" s="88" t="str">
        <f t="shared" si="4"/>
        <v/>
      </c>
      <c r="G50" s="43" t="s">
        <v>140</v>
      </c>
      <c r="H50" s="81"/>
      <c r="I50" s="89" t="str">
        <f>IF(A50="","Pending",IF(H50="","⚠️ Enter Agent Code",IF(IFERROR(VLOOKUP(G50,DB_Agents!$B:$I,8,0),"")=H50,IF(AND(A50&lt;&gt;"",E50&lt;&gt;""),"Saved","Pending"),"🔒 BLOCKED — Wrong Code")))</f>
        <v>Pending</v>
      </c>
      <c r="J50" s="90" t="str">
        <f t="shared" ca="1" si="5"/>
        <v>—</v>
      </c>
      <c r="K50" s="91"/>
    </row>
    <row r="51" spans="1:11" ht="15" customHeight="1" x14ac:dyDescent="0.25">
      <c r="A51" s="76"/>
      <c r="B51" s="37" t="str">
        <f>IF(A51="","",IFERROR(VLOOKUP(A51,DB_Customers!$A:$D,4,0),"❌ Account Not Found"))</f>
        <v/>
      </c>
      <c r="C51" s="77" t="str">
        <f>IF(A51="","",IFERROR(IF(SUMIF(DB_Savings!$C:$C,A51,DB_Savings!$F:$F)=0,VLOOKUP(A51,DB_Customers!$A:$I,9,0),VLOOKUP(A51,DB_Customers!$A:$N,14,0)),"❌ Acct Not Found"))</f>
        <v/>
      </c>
      <c r="D51" s="78" t="str">
        <f t="shared" ca="1" si="3"/>
        <v/>
      </c>
      <c r="E51" s="79"/>
      <c r="F51" s="80" t="str">
        <f t="shared" si="4"/>
        <v/>
      </c>
      <c r="G51" s="39" t="s">
        <v>140</v>
      </c>
      <c r="H51" s="81"/>
      <c r="I51" s="82" t="str">
        <f>IF(A51="","Pending",IF(H51="","⚠️ Enter Agent Code",IF(IFERROR(VLOOKUP(G51,DB_Agents!$B:$I,8,0),"")=H51,IF(AND(A51&lt;&gt;"",E51&lt;&gt;""),"Saved","Pending"),"🔒 BLOCKED — Wrong Code")))</f>
        <v>Pending</v>
      </c>
      <c r="J51" s="83" t="str">
        <f t="shared" ca="1" si="5"/>
        <v>—</v>
      </c>
      <c r="K51" s="84"/>
    </row>
    <row r="52" spans="1:11" ht="15" customHeight="1" x14ac:dyDescent="0.25">
      <c r="A52" s="85"/>
      <c r="B52" s="41" t="str">
        <f>IF(A52="","",IFERROR(VLOOKUP(A52,DB_Customers!$A:$D,4,0),"❌ Account Not Found"))</f>
        <v/>
      </c>
      <c r="C52" s="86" t="str">
        <f>IF(A52="","",IFERROR(IF(SUMIF(DB_Savings!$C:$C,A52,DB_Savings!$F:$F)=0,VLOOKUP(A52,DB_Customers!$A:$I,9,0),VLOOKUP(A52,DB_Customers!$A:$N,14,0)),"❌ Acct Not Found"))</f>
        <v/>
      </c>
      <c r="D52" s="87" t="str">
        <f t="shared" ca="1" si="3"/>
        <v/>
      </c>
      <c r="E52" s="79"/>
      <c r="F52" s="88" t="str">
        <f t="shared" si="4"/>
        <v/>
      </c>
      <c r="G52" s="43" t="s">
        <v>140</v>
      </c>
      <c r="H52" s="81"/>
      <c r="I52" s="89" t="str">
        <f>IF(A52="","Pending",IF(H52="","⚠️ Enter Agent Code",IF(IFERROR(VLOOKUP(G52,DB_Agents!$B:$I,8,0),"")=H52,IF(AND(A52&lt;&gt;"",E52&lt;&gt;""),"Saved","Pending"),"🔒 BLOCKED — Wrong Code")))</f>
        <v>Pending</v>
      </c>
      <c r="J52" s="90" t="str">
        <f t="shared" ca="1" si="5"/>
        <v>—</v>
      </c>
      <c r="K52" s="91"/>
    </row>
    <row r="53" spans="1:11" ht="15" customHeight="1" x14ac:dyDescent="0.25">
      <c r="A53" s="76"/>
      <c r="B53" s="37" t="str">
        <f>IF(A53="","",IFERROR(VLOOKUP(A53,DB_Customers!$A:$D,4,0),"❌ Account Not Found"))</f>
        <v/>
      </c>
      <c r="C53" s="77" t="str">
        <f>IF(A53="","",IFERROR(IF(SUMIF(DB_Savings!$C:$C,A53,DB_Savings!$F:$F)=0,VLOOKUP(A53,DB_Customers!$A:$I,9,0),VLOOKUP(A53,DB_Customers!$A:$N,14,0)),"❌ Acct Not Found"))</f>
        <v/>
      </c>
      <c r="D53" s="78" t="str">
        <f t="shared" ca="1" si="3"/>
        <v/>
      </c>
      <c r="E53" s="79"/>
      <c r="F53" s="80" t="str">
        <f t="shared" si="4"/>
        <v/>
      </c>
      <c r="G53" s="39" t="s">
        <v>140</v>
      </c>
      <c r="H53" s="81"/>
      <c r="I53" s="82" t="str">
        <f>IF(A53="","Pending",IF(H53="","⚠️ Enter Agent Code",IF(IFERROR(VLOOKUP(G53,DB_Agents!$B:$I,8,0),"")=H53,IF(AND(A53&lt;&gt;"",E53&lt;&gt;""),"Saved","Pending"),"🔒 BLOCKED — Wrong Code")))</f>
        <v>Pending</v>
      </c>
      <c r="J53" s="83" t="str">
        <f t="shared" ca="1" si="5"/>
        <v>—</v>
      </c>
      <c r="K53" s="84"/>
    </row>
    <row r="54" spans="1:11" ht="15" customHeight="1" x14ac:dyDescent="0.25">
      <c r="A54" s="85"/>
      <c r="B54" s="41" t="str">
        <f>IF(A54="","",IFERROR(VLOOKUP(A54,DB_Customers!$A:$D,4,0),"❌ Account Not Found"))</f>
        <v/>
      </c>
      <c r="C54" s="86" t="str">
        <f>IF(A54="","",IFERROR(IF(SUMIF(DB_Savings!$C:$C,A54,DB_Savings!$F:$F)=0,VLOOKUP(A54,DB_Customers!$A:$I,9,0),VLOOKUP(A54,DB_Customers!$A:$N,14,0)),"❌ Acct Not Found"))</f>
        <v/>
      </c>
      <c r="D54" s="87" t="str">
        <f t="shared" ca="1" si="3"/>
        <v/>
      </c>
      <c r="E54" s="79"/>
      <c r="F54" s="88" t="str">
        <f t="shared" si="4"/>
        <v/>
      </c>
      <c r="G54" s="43" t="s">
        <v>140</v>
      </c>
      <c r="H54" s="81"/>
      <c r="I54" s="89" t="str">
        <f>IF(A54="","Pending",IF(H54="","⚠️ Enter Agent Code",IF(IFERROR(VLOOKUP(G54,DB_Agents!$B:$I,8,0),"")=H54,IF(AND(A54&lt;&gt;"",E54&lt;&gt;""),"Saved","Pending"),"🔒 BLOCKED — Wrong Code")))</f>
        <v>Pending</v>
      </c>
      <c r="J54" s="90" t="str">
        <f t="shared" ca="1" si="5"/>
        <v>—</v>
      </c>
      <c r="K54" s="91"/>
    </row>
    <row r="55" spans="1:11" ht="15" customHeight="1" x14ac:dyDescent="0.25">
      <c r="A55" s="76"/>
      <c r="B55" s="37" t="str">
        <f>IF(A55="","",IFERROR(VLOOKUP(A55,DB_Customers!$A:$D,4,0),"❌ Account Not Found"))</f>
        <v/>
      </c>
      <c r="C55" s="77" t="str">
        <f>IF(A55="","",IFERROR(IF(SUMIF(DB_Savings!$C:$C,A55,DB_Savings!$F:$F)=0,VLOOKUP(A55,DB_Customers!$A:$I,9,0),VLOOKUP(A55,DB_Customers!$A:$N,14,0)),"❌ Acct Not Found"))</f>
        <v/>
      </c>
      <c r="D55" s="78" t="str">
        <f t="shared" ca="1" si="3"/>
        <v/>
      </c>
      <c r="E55" s="79"/>
      <c r="F55" s="80" t="str">
        <f t="shared" si="4"/>
        <v/>
      </c>
      <c r="G55" s="39" t="s">
        <v>140</v>
      </c>
      <c r="H55" s="81"/>
      <c r="I55" s="82" t="str">
        <f>IF(A55="","Pending",IF(H55="","⚠️ Enter Agent Code",IF(IFERROR(VLOOKUP(G55,DB_Agents!$B:$I,8,0),"")=H55,IF(AND(A55&lt;&gt;"",E55&lt;&gt;""),"Saved","Pending"),"🔒 BLOCKED — Wrong Code")))</f>
        <v>Pending</v>
      </c>
      <c r="J55" s="83" t="str">
        <f t="shared" ca="1" si="5"/>
        <v>—</v>
      </c>
      <c r="K55" s="84"/>
    </row>
    <row r="56" spans="1:11" ht="15" customHeight="1" x14ac:dyDescent="0.25">
      <c r="A56" s="85"/>
      <c r="B56" s="41" t="str">
        <f>IF(A56="","",IFERROR(VLOOKUP(A56,DB_Customers!$A:$D,4,0),"❌ Account Not Found"))</f>
        <v/>
      </c>
      <c r="C56" s="86" t="str">
        <f>IF(A56="","",IFERROR(IF(SUMIF(DB_Savings!$C:$C,A56,DB_Savings!$F:$F)=0,VLOOKUP(A56,DB_Customers!$A:$I,9,0),VLOOKUP(A56,DB_Customers!$A:$N,14,0)),"❌ Acct Not Found"))</f>
        <v/>
      </c>
      <c r="D56" s="87" t="str">
        <f t="shared" ca="1" si="3"/>
        <v/>
      </c>
      <c r="E56" s="79"/>
      <c r="F56" s="88" t="str">
        <f t="shared" si="4"/>
        <v/>
      </c>
      <c r="G56" s="43" t="s">
        <v>140</v>
      </c>
      <c r="H56" s="81"/>
      <c r="I56" s="89" t="str">
        <f>IF(A56="","Pending",IF(H56="","⚠️ Enter Agent Code",IF(IFERROR(VLOOKUP(G56,DB_Agents!$B:$I,8,0),"")=H56,IF(AND(A56&lt;&gt;"",E56&lt;&gt;""),"Saved","Pending"),"🔒 BLOCKED — Wrong Code")))</f>
        <v>Pending</v>
      </c>
      <c r="J56" s="90" t="str">
        <f t="shared" ca="1" si="5"/>
        <v>—</v>
      </c>
      <c r="K56" s="91"/>
    </row>
    <row r="57" spans="1:11" ht="15" customHeight="1" x14ac:dyDescent="0.25">
      <c r="A57" s="76"/>
      <c r="B57" s="37" t="str">
        <f>IF(A57="","",IFERROR(VLOOKUP(A57,DB_Customers!$A:$D,4,0),"❌ Account Not Found"))</f>
        <v/>
      </c>
      <c r="C57" s="77" t="str">
        <f>IF(A57="","",IFERROR(IF(SUMIF(DB_Savings!$C:$C,A57,DB_Savings!$F:$F)=0,VLOOKUP(A57,DB_Customers!$A:$I,9,0),VLOOKUP(A57,DB_Customers!$A:$N,14,0)),"❌ Acct Not Found"))</f>
        <v/>
      </c>
      <c r="D57" s="78" t="str">
        <f t="shared" ca="1" si="3"/>
        <v/>
      </c>
      <c r="E57" s="79"/>
      <c r="F57" s="80" t="str">
        <f t="shared" si="4"/>
        <v/>
      </c>
      <c r="G57" s="39" t="s">
        <v>140</v>
      </c>
      <c r="H57" s="81"/>
      <c r="I57" s="82" t="str">
        <f>IF(A57="","Pending",IF(H57="","⚠️ Enter Agent Code",IF(IFERROR(VLOOKUP(G57,DB_Agents!$B:$I,8,0),"")=H57,IF(AND(A57&lt;&gt;"",E57&lt;&gt;""),"Saved","Pending"),"🔒 BLOCKED — Wrong Code")))</f>
        <v>Pending</v>
      </c>
      <c r="J57" s="83" t="str">
        <f t="shared" ca="1" si="5"/>
        <v>—</v>
      </c>
      <c r="K57" s="84"/>
    </row>
    <row r="58" spans="1:11" ht="15" customHeight="1" x14ac:dyDescent="0.25">
      <c r="A58" s="85"/>
      <c r="B58" s="41" t="str">
        <f>IF(A58="","",IFERROR(VLOOKUP(A58,DB_Customers!$A:$D,4,0),"❌ Account Not Found"))</f>
        <v/>
      </c>
      <c r="C58" s="86" t="str">
        <f>IF(A58="","",IFERROR(IF(SUMIF(DB_Savings!$C:$C,A58,DB_Savings!$F:$F)=0,VLOOKUP(A58,DB_Customers!$A:$I,9,0),VLOOKUP(A58,DB_Customers!$A:$N,14,0)),"❌ Acct Not Found"))</f>
        <v/>
      </c>
      <c r="D58" s="87" t="str">
        <f t="shared" ca="1" si="3"/>
        <v/>
      </c>
      <c r="E58" s="79"/>
      <c r="F58" s="88" t="str">
        <f t="shared" si="4"/>
        <v/>
      </c>
      <c r="G58" s="43" t="s">
        <v>140</v>
      </c>
      <c r="H58" s="81"/>
      <c r="I58" s="89" t="str">
        <f>IF(A58="","Pending",IF(H58="","⚠️ Enter Agent Code",IF(IFERROR(VLOOKUP(G58,DB_Agents!$B:$I,8,0),"")=H58,IF(AND(A58&lt;&gt;"",E58&lt;&gt;""),"Saved","Pending"),"🔒 BLOCKED — Wrong Code")))</f>
        <v>Pending</v>
      </c>
      <c r="J58" s="90" t="str">
        <f t="shared" ca="1" si="5"/>
        <v>—</v>
      </c>
      <c r="K58" s="91"/>
    </row>
    <row r="59" spans="1:11" ht="15" customHeight="1" x14ac:dyDescent="0.25">
      <c r="A59" s="76"/>
      <c r="B59" s="37" t="str">
        <f>IF(A59="","",IFERROR(VLOOKUP(A59,DB_Customers!$A:$D,4,0),"❌ Account Not Found"))</f>
        <v/>
      </c>
      <c r="C59" s="77" t="str">
        <f>IF(A59="","",IFERROR(IF(SUMIF(DB_Savings!$C:$C,A59,DB_Savings!$F:$F)=0,VLOOKUP(A59,DB_Customers!$A:$I,9,0),VLOOKUP(A59,DB_Customers!$A:$N,14,0)),"❌ Acct Not Found"))</f>
        <v/>
      </c>
      <c r="D59" s="78" t="str">
        <f t="shared" ca="1" si="3"/>
        <v/>
      </c>
      <c r="E59" s="79"/>
      <c r="F59" s="80" t="str">
        <f t="shared" si="4"/>
        <v/>
      </c>
      <c r="G59" s="39" t="s">
        <v>140</v>
      </c>
      <c r="H59" s="81"/>
      <c r="I59" s="82" t="str">
        <f>IF(A59="","Pending",IF(H59="","⚠️ Enter Agent Code",IF(IFERROR(VLOOKUP(G59,DB_Agents!$B:$I,8,0),"")=H59,IF(AND(A59&lt;&gt;"",E59&lt;&gt;""),"Saved","Pending"),"🔒 BLOCKED — Wrong Code")))</f>
        <v>Pending</v>
      </c>
      <c r="J59" s="83" t="str">
        <f t="shared" ca="1" si="5"/>
        <v>—</v>
      </c>
      <c r="K59" s="84"/>
    </row>
    <row r="60" spans="1:11" ht="15" customHeight="1" x14ac:dyDescent="0.25">
      <c r="A60" s="85"/>
      <c r="B60" s="41" t="str">
        <f>IF(A60="","",IFERROR(VLOOKUP(A60,DB_Customers!$A:$D,4,0),"❌ Account Not Found"))</f>
        <v/>
      </c>
      <c r="C60" s="86" t="str">
        <f>IF(A60="","",IFERROR(IF(SUMIF(DB_Savings!$C:$C,A60,DB_Savings!$F:$F)=0,VLOOKUP(A60,DB_Customers!$A:$I,9,0),VLOOKUP(A60,DB_Customers!$A:$N,14,0)),"❌ Acct Not Found"))</f>
        <v/>
      </c>
      <c r="D60" s="87" t="str">
        <f t="shared" ca="1" si="3"/>
        <v/>
      </c>
      <c r="E60" s="79"/>
      <c r="F60" s="88" t="str">
        <f t="shared" si="4"/>
        <v/>
      </c>
      <c r="G60" s="43" t="s">
        <v>140</v>
      </c>
      <c r="H60" s="81"/>
      <c r="I60" s="89" t="str">
        <f>IF(A60="","Pending",IF(H60="","⚠️ Enter Agent Code",IF(IFERROR(VLOOKUP(G60,DB_Agents!$B:$I,8,0),"")=H60,IF(AND(A60&lt;&gt;"",E60&lt;&gt;""),"Saved","Pending"),"🔒 BLOCKED — Wrong Code")))</f>
        <v>Pending</v>
      </c>
      <c r="J60" s="90" t="str">
        <f t="shared" ca="1" si="5"/>
        <v>—</v>
      </c>
      <c r="K60" s="91"/>
    </row>
    <row r="61" spans="1:11" ht="15" customHeight="1" x14ac:dyDescent="0.25">
      <c r="A61" s="76"/>
      <c r="B61" s="37" t="str">
        <f>IF(A61="","",IFERROR(VLOOKUP(A61,DB_Customers!$A:$D,4,0),"❌ Account Not Found"))</f>
        <v/>
      </c>
      <c r="C61" s="77" t="str">
        <f>IF(A61="","",IFERROR(IF(SUMIF(DB_Savings!$C:$C,A61,DB_Savings!$F:$F)=0,VLOOKUP(A61,DB_Customers!$A:$I,9,0),VLOOKUP(A61,DB_Customers!$A:$N,14,0)),"❌ Acct Not Found"))</f>
        <v/>
      </c>
      <c r="D61" s="78" t="str">
        <f t="shared" ca="1" si="3"/>
        <v/>
      </c>
      <c r="E61" s="79"/>
      <c r="F61" s="80" t="str">
        <f t="shared" si="4"/>
        <v/>
      </c>
      <c r="G61" s="39" t="s">
        <v>140</v>
      </c>
      <c r="H61" s="81"/>
      <c r="I61" s="82" t="str">
        <f>IF(A61="","Pending",IF(H61="","⚠️ Enter Agent Code",IF(IFERROR(VLOOKUP(G61,DB_Agents!$B:$I,8,0),"")=H61,IF(AND(A61&lt;&gt;"",E61&lt;&gt;""),"Saved","Pending"),"🔒 BLOCKED — Wrong Code")))</f>
        <v>Pending</v>
      </c>
      <c r="J61" s="83" t="str">
        <f t="shared" ca="1" si="5"/>
        <v>—</v>
      </c>
      <c r="K61" s="84"/>
    </row>
    <row r="62" spans="1:11" ht="15" customHeight="1" x14ac:dyDescent="0.25">
      <c r="A62" s="85"/>
      <c r="B62" s="41" t="str">
        <f>IF(A62="","",IFERROR(VLOOKUP(A62,DB_Customers!$A:$D,4,0),"❌ Account Not Found"))</f>
        <v/>
      </c>
      <c r="C62" s="86" t="str">
        <f>IF(A62="","",IFERROR(IF(SUMIF(DB_Savings!$C:$C,A62,DB_Savings!$F:$F)=0,VLOOKUP(A62,DB_Customers!$A:$I,9,0),VLOOKUP(A62,DB_Customers!$A:$N,14,0)),"❌ Acct Not Found"))</f>
        <v/>
      </c>
      <c r="D62" s="87" t="str">
        <f t="shared" ca="1" si="3"/>
        <v/>
      </c>
      <c r="E62" s="79"/>
      <c r="F62" s="88" t="str">
        <f t="shared" si="4"/>
        <v/>
      </c>
      <c r="G62" s="43" t="s">
        <v>140</v>
      </c>
      <c r="H62" s="81"/>
      <c r="I62" s="89" t="str">
        <f>IF(A62="","Pending",IF(H62="","⚠️ Enter Agent Code",IF(IFERROR(VLOOKUP(G62,DB_Agents!$B:$I,8,0),"")=H62,IF(AND(A62&lt;&gt;"",E62&lt;&gt;""),"Saved","Pending"),"🔒 BLOCKED — Wrong Code")))</f>
        <v>Pending</v>
      </c>
      <c r="J62" s="90" t="str">
        <f t="shared" ca="1" si="5"/>
        <v>—</v>
      </c>
      <c r="K62" s="91"/>
    </row>
    <row r="63" spans="1:11" ht="15" customHeight="1" x14ac:dyDescent="0.25">
      <c r="A63" s="76"/>
      <c r="B63" s="37" t="str">
        <f>IF(A63="","",IFERROR(VLOOKUP(A63,DB_Customers!$A:$D,4,0),"❌ Account Not Found"))</f>
        <v/>
      </c>
      <c r="C63" s="77" t="str">
        <f>IF(A63="","",IFERROR(IF(SUMIF(DB_Savings!$C:$C,A63,DB_Savings!$F:$F)=0,VLOOKUP(A63,DB_Customers!$A:$I,9,0),VLOOKUP(A63,DB_Customers!$A:$N,14,0)),"❌ Acct Not Found"))</f>
        <v/>
      </c>
      <c r="D63" s="78" t="str">
        <f t="shared" ca="1" si="3"/>
        <v/>
      </c>
      <c r="E63" s="79"/>
      <c r="F63" s="80" t="str">
        <f t="shared" si="4"/>
        <v/>
      </c>
      <c r="G63" s="39" t="s">
        <v>140</v>
      </c>
      <c r="H63" s="81"/>
      <c r="I63" s="82" t="str">
        <f>IF(A63="","Pending",IF(H63="","⚠️ Enter Agent Code",IF(IFERROR(VLOOKUP(G63,DB_Agents!$B:$I,8,0),"")=H63,IF(AND(A63&lt;&gt;"",E63&lt;&gt;""),"Saved","Pending"),"🔒 BLOCKED — Wrong Code")))</f>
        <v>Pending</v>
      </c>
      <c r="J63" s="83" t="str">
        <f t="shared" ca="1" si="5"/>
        <v>—</v>
      </c>
      <c r="K63" s="84"/>
    </row>
    <row r="64" spans="1:11" ht="15" customHeight="1" x14ac:dyDescent="0.25">
      <c r="A64" s="85"/>
      <c r="B64" s="41" t="str">
        <f>IF(A64="","",IFERROR(VLOOKUP(A64,DB_Customers!$A:$D,4,0),"❌ Account Not Found"))</f>
        <v/>
      </c>
      <c r="C64" s="86" t="str">
        <f>IF(A64="","",IFERROR(IF(SUMIF(DB_Savings!$C:$C,A64,DB_Savings!$F:$F)=0,VLOOKUP(A64,DB_Customers!$A:$I,9,0),VLOOKUP(A64,DB_Customers!$A:$N,14,0)),"❌ Acct Not Found"))</f>
        <v/>
      </c>
      <c r="D64" s="87" t="str">
        <f t="shared" ca="1" si="3"/>
        <v/>
      </c>
      <c r="E64" s="79"/>
      <c r="F64" s="88" t="str">
        <f t="shared" si="4"/>
        <v/>
      </c>
      <c r="G64" s="43" t="s">
        <v>140</v>
      </c>
      <c r="H64" s="81"/>
      <c r="I64" s="89" t="str">
        <f>IF(A64="","Pending",IF(H64="","⚠️ Enter Agent Code",IF(IFERROR(VLOOKUP(G64,DB_Agents!$B:$I,8,0),"")=H64,IF(AND(A64&lt;&gt;"",E64&lt;&gt;""),"Saved","Pending"),"🔒 BLOCKED — Wrong Code")))</f>
        <v>Pending</v>
      </c>
      <c r="J64" s="90" t="str">
        <f t="shared" ca="1" si="5"/>
        <v>—</v>
      </c>
      <c r="K64" s="91"/>
    </row>
    <row r="65" spans="1:11" ht="15" customHeight="1" x14ac:dyDescent="0.25">
      <c r="A65" s="76"/>
      <c r="B65" s="37" t="str">
        <f>IF(A65="","",IFERROR(VLOOKUP(A65,DB_Customers!$A:$D,4,0),"❌ Account Not Found"))</f>
        <v/>
      </c>
      <c r="C65" s="77" t="str">
        <f>IF(A65="","",IFERROR(IF(SUMIF(DB_Savings!$C:$C,A65,DB_Savings!$F:$F)=0,VLOOKUP(A65,DB_Customers!$A:$I,9,0),VLOOKUP(A65,DB_Customers!$A:$N,14,0)),"❌ Acct Not Found"))</f>
        <v/>
      </c>
      <c r="D65" s="78" t="str">
        <f t="shared" ca="1" si="3"/>
        <v/>
      </c>
      <c r="E65" s="79"/>
      <c r="F65" s="80" t="str">
        <f t="shared" si="4"/>
        <v/>
      </c>
      <c r="G65" s="39" t="s">
        <v>140</v>
      </c>
      <c r="H65" s="81"/>
      <c r="I65" s="82" t="str">
        <f>IF(A65="","Pending",IF(H65="","⚠️ Enter Agent Code",IF(IFERROR(VLOOKUP(G65,DB_Agents!$B:$I,8,0),"")=H65,IF(AND(A65&lt;&gt;"",E65&lt;&gt;""),"Saved","Pending"),"🔒 BLOCKED — Wrong Code")))</f>
        <v>Pending</v>
      </c>
      <c r="J65" s="83" t="str">
        <f t="shared" ca="1" si="5"/>
        <v>—</v>
      </c>
      <c r="K65" s="84"/>
    </row>
    <row r="66" spans="1:11" ht="15" customHeight="1" x14ac:dyDescent="0.25">
      <c r="A66" s="85"/>
      <c r="B66" s="41" t="str">
        <f>IF(A66="","",IFERROR(VLOOKUP(A66,DB_Customers!$A:$D,4,0),"❌ Account Not Found"))</f>
        <v/>
      </c>
      <c r="C66" s="86" t="str">
        <f>IF(A66="","",IFERROR(IF(SUMIF(DB_Savings!$C:$C,A66,DB_Savings!$F:$F)=0,VLOOKUP(A66,DB_Customers!$A:$I,9,0),VLOOKUP(A66,DB_Customers!$A:$N,14,0)),"❌ Acct Not Found"))</f>
        <v/>
      </c>
      <c r="D66" s="87" t="str">
        <f t="shared" ca="1" si="3"/>
        <v/>
      </c>
      <c r="E66" s="79"/>
      <c r="F66" s="88" t="str">
        <f t="shared" si="4"/>
        <v/>
      </c>
      <c r="G66" s="43" t="s">
        <v>140</v>
      </c>
      <c r="H66" s="81"/>
      <c r="I66" s="89" t="str">
        <f>IF(A66="","Pending",IF(H66="","⚠️ Enter Agent Code",IF(IFERROR(VLOOKUP(G66,DB_Agents!$B:$I,8,0),"")=H66,IF(AND(A66&lt;&gt;"",E66&lt;&gt;""),"Saved","Pending"),"🔒 BLOCKED — Wrong Code")))</f>
        <v>Pending</v>
      </c>
      <c r="J66" s="90" t="str">
        <f t="shared" ca="1" si="5"/>
        <v>—</v>
      </c>
      <c r="K66" s="91"/>
    </row>
    <row r="67" spans="1:11" ht="15" customHeight="1" x14ac:dyDescent="0.25">
      <c r="A67" s="76"/>
      <c r="B67" s="37" t="str">
        <f>IF(A67="","",IFERROR(VLOOKUP(A67,DB_Customers!$A:$D,4,0),"❌ Account Not Found"))</f>
        <v/>
      </c>
      <c r="C67" s="77" t="str">
        <f>IF(A67="","",IFERROR(IF(SUMIF(DB_Savings!$C:$C,A67,DB_Savings!$F:$F)=0,VLOOKUP(A67,DB_Customers!$A:$I,9,0),VLOOKUP(A67,DB_Customers!$A:$N,14,0)),"❌ Acct Not Found"))</f>
        <v/>
      </c>
      <c r="D67" s="78" t="str">
        <f t="shared" ca="1" si="3"/>
        <v/>
      </c>
      <c r="E67" s="79"/>
      <c r="F67" s="80" t="str">
        <f t="shared" si="4"/>
        <v/>
      </c>
      <c r="G67" s="39" t="s">
        <v>140</v>
      </c>
      <c r="H67" s="81"/>
      <c r="I67" s="82" t="str">
        <f>IF(A67="","Pending",IF(H67="","⚠️ Enter Agent Code",IF(IFERROR(VLOOKUP(G67,DB_Agents!$B:$I,8,0),"")=H67,IF(AND(A67&lt;&gt;"",E67&lt;&gt;""),"Saved","Pending"),"🔒 BLOCKED — Wrong Code")))</f>
        <v>Pending</v>
      </c>
      <c r="J67" s="83" t="str">
        <f t="shared" ca="1" si="5"/>
        <v>—</v>
      </c>
      <c r="K67" s="84"/>
    </row>
    <row r="68" spans="1:11" ht="15" customHeight="1" x14ac:dyDescent="0.25">
      <c r="A68" s="85"/>
      <c r="B68" s="41" t="str">
        <f>IF(A68="","",IFERROR(VLOOKUP(A68,DB_Customers!$A:$D,4,0),"❌ Account Not Found"))</f>
        <v/>
      </c>
      <c r="C68" s="86" t="str">
        <f>IF(A68="","",IFERROR(IF(SUMIF(DB_Savings!$C:$C,A68,DB_Savings!$F:$F)=0,VLOOKUP(A68,DB_Customers!$A:$I,9,0),VLOOKUP(A68,DB_Customers!$A:$N,14,0)),"❌ Acct Not Found"))</f>
        <v/>
      </c>
      <c r="D68" s="87" t="str">
        <f t="shared" ca="1" si="3"/>
        <v/>
      </c>
      <c r="E68" s="79"/>
      <c r="F68" s="88" t="str">
        <f t="shared" si="4"/>
        <v/>
      </c>
      <c r="G68" s="43" t="s">
        <v>140</v>
      </c>
      <c r="H68" s="81"/>
      <c r="I68" s="89" t="str">
        <f>IF(A68="","Pending",IF(H68="","⚠️ Enter Agent Code",IF(IFERROR(VLOOKUP(G68,DB_Agents!$B:$I,8,0),"")=H68,IF(AND(A68&lt;&gt;"",E68&lt;&gt;""),"Saved","Pending"),"🔒 BLOCKED — Wrong Code")))</f>
        <v>Pending</v>
      </c>
      <c r="J68" s="90" t="str">
        <f t="shared" ca="1" si="5"/>
        <v>—</v>
      </c>
      <c r="K68" s="91"/>
    </row>
    <row r="69" spans="1:11" ht="15" customHeight="1" x14ac:dyDescent="0.25">
      <c r="A69" s="76"/>
      <c r="B69" s="37" t="str">
        <f>IF(A69="","",IFERROR(VLOOKUP(A69,DB_Customers!$A:$D,4,0),"❌ Account Not Found"))</f>
        <v/>
      </c>
      <c r="C69" s="77" t="str">
        <f>IF(A69="","",IFERROR(IF(SUMIF(DB_Savings!$C:$C,A69,DB_Savings!$F:$F)=0,VLOOKUP(A69,DB_Customers!$A:$I,9,0),VLOOKUP(A69,DB_Customers!$A:$N,14,0)),"❌ Acct Not Found"))</f>
        <v/>
      </c>
      <c r="D69" s="78" t="str">
        <f t="shared" ca="1" si="3"/>
        <v/>
      </c>
      <c r="E69" s="79"/>
      <c r="F69" s="80" t="str">
        <f t="shared" si="4"/>
        <v/>
      </c>
      <c r="G69" s="39" t="s">
        <v>140</v>
      </c>
      <c r="H69" s="81"/>
      <c r="I69" s="82" t="str">
        <f>IF(A69="","Pending",IF(H69="","⚠️ Enter Agent Code",IF(IFERROR(VLOOKUP(G69,DB_Agents!$B:$I,8,0),"")=H69,IF(AND(A69&lt;&gt;"",E69&lt;&gt;""),"Saved","Pending"),"🔒 BLOCKED — Wrong Code")))</f>
        <v>Pending</v>
      </c>
      <c r="J69" s="83" t="str">
        <f t="shared" ca="1" si="5"/>
        <v>—</v>
      </c>
      <c r="K69" s="84"/>
    </row>
    <row r="70" spans="1:11" ht="15" customHeight="1" x14ac:dyDescent="0.25">
      <c r="A70" s="85"/>
      <c r="B70" s="41" t="str">
        <f>IF(A70="","",IFERROR(VLOOKUP(A70,DB_Customers!$A:$D,4,0),"❌ Account Not Found"))</f>
        <v/>
      </c>
      <c r="C70" s="86" t="str">
        <f>IF(A70="","",IFERROR(IF(SUMIF(DB_Savings!$C:$C,A70,DB_Savings!$F:$F)=0,VLOOKUP(A70,DB_Customers!$A:$I,9,0),VLOOKUP(A70,DB_Customers!$A:$N,14,0)),"❌ Acct Not Found"))</f>
        <v/>
      </c>
      <c r="D70" s="87" t="str">
        <f t="shared" ca="1" si="3"/>
        <v/>
      </c>
      <c r="E70" s="79"/>
      <c r="F70" s="88" t="str">
        <f t="shared" si="4"/>
        <v/>
      </c>
      <c r="G70" s="43" t="s">
        <v>140</v>
      </c>
      <c r="H70" s="81"/>
      <c r="I70" s="89" t="str">
        <f>IF(A70="","Pending",IF(H70="","⚠️ Enter Agent Code",IF(IFERROR(VLOOKUP(G70,DB_Agents!$B:$I,8,0),"")=H70,IF(AND(A70&lt;&gt;"",E70&lt;&gt;""),"Saved","Pending"),"🔒 BLOCKED — Wrong Code")))</f>
        <v>Pending</v>
      </c>
      <c r="J70" s="90" t="str">
        <f t="shared" ca="1" si="5"/>
        <v>—</v>
      </c>
      <c r="K70" s="91"/>
    </row>
    <row r="71" spans="1:11" ht="15" customHeight="1" x14ac:dyDescent="0.25">
      <c r="A71" s="76"/>
      <c r="B71" s="37" t="str">
        <f>IF(A71="","",IFERROR(VLOOKUP(A71,DB_Customers!$A:$D,4,0),"❌ Account Not Found"))</f>
        <v/>
      </c>
      <c r="C71" s="77" t="str">
        <f>IF(A71="","",IFERROR(IF(SUMIF(DB_Savings!$C:$C,A71,DB_Savings!$F:$F)=0,VLOOKUP(A71,DB_Customers!$A:$I,9,0),VLOOKUP(A71,DB_Customers!$A:$N,14,0)),"❌ Acct Not Found"))</f>
        <v/>
      </c>
      <c r="D71" s="78" t="str">
        <f t="shared" ca="1" si="3"/>
        <v/>
      </c>
      <c r="E71" s="79"/>
      <c r="F71" s="80" t="str">
        <f t="shared" si="4"/>
        <v/>
      </c>
      <c r="G71" s="39" t="s">
        <v>140</v>
      </c>
      <c r="H71" s="81"/>
      <c r="I71" s="82" t="str">
        <f>IF(A71="","Pending",IF(H71="","⚠️ Enter Agent Code",IF(IFERROR(VLOOKUP(G71,DB_Agents!$B:$I,8,0),"")=H71,IF(AND(A71&lt;&gt;"",E71&lt;&gt;""),"Saved","Pending"),"🔒 BLOCKED — Wrong Code")))</f>
        <v>Pending</v>
      </c>
      <c r="J71" s="83" t="str">
        <f t="shared" ca="1" si="5"/>
        <v>—</v>
      </c>
      <c r="K71" s="84"/>
    </row>
    <row r="72" spans="1:11" ht="15" customHeight="1" x14ac:dyDescent="0.25">
      <c r="A72" s="85"/>
      <c r="B72" s="41" t="str">
        <f>IF(A72="","",IFERROR(VLOOKUP(A72,DB_Customers!$A:$D,4,0),"❌ Account Not Found"))</f>
        <v/>
      </c>
      <c r="C72" s="86" t="str">
        <f>IF(A72="","",IFERROR(IF(SUMIF(DB_Savings!$C:$C,A72,DB_Savings!$F:$F)=0,VLOOKUP(A72,DB_Customers!$A:$I,9,0),VLOOKUP(A72,DB_Customers!$A:$N,14,0)),"❌ Acct Not Found"))</f>
        <v/>
      </c>
      <c r="D72" s="87" t="str">
        <f t="shared" ca="1" si="3"/>
        <v/>
      </c>
      <c r="E72" s="79"/>
      <c r="F72" s="88" t="str">
        <f t="shared" si="4"/>
        <v/>
      </c>
      <c r="G72" s="43" t="s">
        <v>140</v>
      </c>
      <c r="H72" s="81"/>
      <c r="I72" s="89" t="str">
        <f>IF(A72="","Pending",IF(H72="","⚠️ Enter Agent Code",IF(IFERROR(VLOOKUP(G72,DB_Agents!$B:$I,8,0),"")=H72,IF(AND(A72&lt;&gt;"",E72&lt;&gt;""),"Saved","Pending"),"🔒 BLOCKED — Wrong Code")))</f>
        <v>Pending</v>
      </c>
      <c r="J72" s="90" t="str">
        <f t="shared" ca="1" si="5"/>
        <v>—</v>
      </c>
      <c r="K72" s="91"/>
    </row>
    <row r="73" spans="1:11" ht="15" customHeight="1" x14ac:dyDescent="0.25">
      <c r="A73" s="76"/>
      <c r="B73" s="37" t="str">
        <f>IF(A73="","",IFERROR(VLOOKUP(A73,DB_Customers!$A:$D,4,0),"❌ Account Not Found"))</f>
        <v/>
      </c>
      <c r="C73" s="77" t="str">
        <f>IF(A73="","",IFERROR(IF(SUMIF(DB_Savings!$C:$C,A73,DB_Savings!$F:$F)=0,VLOOKUP(A73,DB_Customers!$A:$I,9,0),VLOOKUP(A73,DB_Customers!$A:$N,14,0)),"❌ Acct Not Found"))</f>
        <v/>
      </c>
      <c r="D73" s="78" t="str">
        <f t="shared" ref="D73:D104" ca="1" si="6">IF(A73="","",TODAY())</f>
        <v/>
      </c>
      <c r="E73" s="79"/>
      <c r="F73" s="80" t="str">
        <f t="shared" ref="F73:F104" si="7">IF(OR(A73="",E73=""),"",IF(C73="","",C73+E73))</f>
        <v/>
      </c>
      <c r="G73" s="39" t="s">
        <v>140</v>
      </c>
      <c r="H73" s="81"/>
      <c r="I73" s="82" t="str">
        <f>IF(A73="","Pending",IF(H73="","⚠️ Enter Agent Code",IF(IFERROR(VLOOKUP(G73,DB_Agents!$B:$I,8,0),"")=H73,IF(AND(A73&lt;&gt;"",E73&lt;&gt;""),"Saved","Pending"),"🔒 BLOCKED — Wrong Code")))</f>
        <v>Pending</v>
      </c>
      <c r="J73" s="83" t="str">
        <f t="shared" ref="J73:J104" ca="1" si="8">IF(I73="Saved",TEXT(TODAY(),"YYYY-MM-DD")&amp;" Auto","—")</f>
        <v>—</v>
      </c>
      <c r="K73" s="84"/>
    </row>
    <row r="74" spans="1:11" ht="15" customHeight="1" x14ac:dyDescent="0.25">
      <c r="A74" s="85"/>
      <c r="B74" s="41" t="str">
        <f>IF(A74="","",IFERROR(VLOOKUP(A74,DB_Customers!$A:$D,4,0),"❌ Account Not Found"))</f>
        <v/>
      </c>
      <c r="C74" s="86" t="str">
        <f>IF(A74="","",IFERROR(IF(SUMIF(DB_Savings!$C:$C,A74,DB_Savings!$F:$F)=0,VLOOKUP(A74,DB_Customers!$A:$I,9,0),VLOOKUP(A74,DB_Customers!$A:$N,14,0)),"❌ Acct Not Found"))</f>
        <v/>
      </c>
      <c r="D74" s="87" t="str">
        <f t="shared" ca="1" si="6"/>
        <v/>
      </c>
      <c r="E74" s="79"/>
      <c r="F74" s="88" t="str">
        <f t="shared" si="7"/>
        <v/>
      </c>
      <c r="G74" s="43" t="s">
        <v>140</v>
      </c>
      <c r="H74" s="81"/>
      <c r="I74" s="89" t="str">
        <f>IF(A74="","Pending",IF(H74="","⚠️ Enter Agent Code",IF(IFERROR(VLOOKUP(G74,DB_Agents!$B:$I,8,0),"")=H74,IF(AND(A74&lt;&gt;"",E74&lt;&gt;""),"Saved","Pending"),"🔒 BLOCKED — Wrong Code")))</f>
        <v>Pending</v>
      </c>
      <c r="J74" s="90" t="str">
        <f t="shared" ca="1" si="8"/>
        <v>—</v>
      </c>
      <c r="K74" s="91"/>
    </row>
    <row r="75" spans="1:11" ht="15" customHeight="1" x14ac:dyDescent="0.25">
      <c r="A75" s="76"/>
      <c r="B75" s="37" t="str">
        <f>IF(A75="","",IFERROR(VLOOKUP(A75,DB_Customers!$A:$D,4,0),"❌ Account Not Found"))</f>
        <v/>
      </c>
      <c r="C75" s="77" t="str">
        <f>IF(A75="","",IFERROR(IF(SUMIF(DB_Savings!$C:$C,A75,DB_Savings!$F:$F)=0,VLOOKUP(A75,DB_Customers!$A:$I,9,0),VLOOKUP(A75,DB_Customers!$A:$N,14,0)),"❌ Acct Not Found"))</f>
        <v/>
      </c>
      <c r="D75" s="78" t="str">
        <f t="shared" ca="1" si="6"/>
        <v/>
      </c>
      <c r="E75" s="79"/>
      <c r="F75" s="80" t="str">
        <f t="shared" si="7"/>
        <v/>
      </c>
      <c r="G75" s="39" t="s">
        <v>140</v>
      </c>
      <c r="H75" s="81"/>
      <c r="I75" s="82" t="str">
        <f>IF(A75="","Pending",IF(H75="","⚠️ Enter Agent Code",IF(IFERROR(VLOOKUP(G75,DB_Agents!$B:$I,8,0),"")=H75,IF(AND(A75&lt;&gt;"",E75&lt;&gt;""),"Saved","Pending"),"🔒 BLOCKED — Wrong Code")))</f>
        <v>Pending</v>
      </c>
      <c r="J75" s="83" t="str">
        <f t="shared" ca="1" si="8"/>
        <v>—</v>
      </c>
      <c r="K75" s="84"/>
    </row>
    <row r="76" spans="1:11" ht="15" customHeight="1" x14ac:dyDescent="0.25">
      <c r="A76" s="85"/>
      <c r="B76" s="41" t="str">
        <f>IF(A76="","",IFERROR(VLOOKUP(A76,DB_Customers!$A:$D,4,0),"❌ Account Not Found"))</f>
        <v/>
      </c>
      <c r="C76" s="86" t="str">
        <f>IF(A76="","",IFERROR(IF(SUMIF(DB_Savings!$C:$C,A76,DB_Savings!$F:$F)=0,VLOOKUP(A76,DB_Customers!$A:$I,9,0),VLOOKUP(A76,DB_Customers!$A:$N,14,0)),"❌ Acct Not Found"))</f>
        <v/>
      </c>
      <c r="D76" s="87" t="str">
        <f t="shared" ca="1" si="6"/>
        <v/>
      </c>
      <c r="E76" s="79"/>
      <c r="F76" s="88" t="str">
        <f t="shared" si="7"/>
        <v/>
      </c>
      <c r="G76" s="43" t="s">
        <v>140</v>
      </c>
      <c r="H76" s="81"/>
      <c r="I76" s="89" t="str">
        <f>IF(A76="","Pending",IF(H76="","⚠️ Enter Agent Code",IF(IFERROR(VLOOKUP(G76,DB_Agents!$B:$I,8,0),"")=H76,IF(AND(A76&lt;&gt;"",E76&lt;&gt;""),"Saved","Pending"),"🔒 BLOCKED — Wrong Code")))</f>
        <v>Pending</v>
      </c>
      <c r="J76" s="90" t="str">
        <f t="shared" ca="1" si="8"/>
        <v>—</v>
      </c>
      <c r="K76" s="91"/>
    </row>
    <row r="77" spans="1:11" ht="15" customHeight="1" x14ac:dyDescent="0.25">
      <c r="A77" s="76"/>
      <c r="B77" s="37" t="str">
        <f>IF(A77="","",IFERROR(VLOOKUP(A77,DB_Customers!$A:$D,4,0),"❌ Account Not Found"))</f>
        <v/>
      </c>
      <c r="C77" s="77" t="str">
        <f>IF(A77="","",IFERROR(IF(SUMIF(DB_Savings!$C:$C,A77,DB_Savings!$F:$F)=0,VLOOKUP(A77,DB_Customers!$A:$I,9,0),VLOOKUP(A77,DB_Customers!$A:$N,14,0)),"❌ Acct Not Found"))</f>
        <v/>
      </c>
      <c r="D77" s="78" t="str">
        <f t="shared" ca="1" si="6"/>
        <v/>
      </c>
      <c r="E77" s="79"/>
      <c r="F77" s="80" t="str">
        <f t="shared" si="7"/>
        <v/>
      </c>
      <c r="G77" s="39" t="s">
        <v>140</v>
      </c>
      <c r="H77" s="81"/>
      <c r="I77" s="82" t="str">
        <f>IF(A77="","Pending",IF(H77="","⚠️ Enter Agent Code",IF(IFERROR(VLOOKUP(G77,DB_Agents!$B:$I,8,0),"")=H77,IF(AND(A77&lt;&gt;"",E77&lt;&gt;""),"Saved","Pending"),"🔒 BLOCKED — Wrong Code")))</f>
        <v>Pending</v>
      </c>
      <c r="J77" s="83" t="str">
        <f t="shared" ca="1" si="8"/>
        <v>—</v>
      </c>
      <c r="K77" s="84"/>
    </row>
    <row r="78" spans="1:11" ht="15" customHeight="1" x14ac:dyDescent="0.25">
      <c r="A78" s="85"/>
      <c r="B78" s="41" t="str">
        <f>IF(A78="","",IFERROR(VLOOKUP(A78,DB_Customers!$A:$D,4,0),"❌ Account Not Found"))</f>
        <v/>
      </c>
      <c r="C78" s="86" t="str">
        <f>IF(A78="","",IFERROR(IF(SUMIF(DB_Savings!$C:$C,A78,DB_Savings!$F:$F)=0,VLOOKUP(A78,DB_Customers!$A:$I,9,0),VLOOKUP(A78,DB_Customers!$A:$N,14,0)),"❌ Acct Not Found"))</f>
        <v/>
      </c>
      <c r="D78" s="87" t="str">
        <f t="shared" ca="1" si="6"/>
        <v/>
      </c>
      <c r="E78" s="79"/>
      <c r="F78" s="88" t="str">
        <f t="shared" si="7"/>
        <v/>
      </c>
      <c r="G78" s="43" t="s">
        <v>140</v>
      </c>
      <c r="H78" s="81"/>
      <c r="I78" s="89" t="str">
        <f>IF(A78="","Pending",IF(H78="","⚠️ Enter Agent Code",IF(IFERROR(VLOOKUP(G78,DB_Agents!$B:$I,8,0),"")=H78,IF(AND(A78&lt;&gt;"",E78&lt;&gt;""),"Saved","Pending"),"🔒 BLOCKED — Wrong Code")))</f>
        <v>Pending</v>
      </c>
      <c r="J78" s="90" t="str">
        <f t="shared" ca="1" si="8"/>
        <v>—</v>
      </c>
      <c r="K78" s="91"/>
    </row>
    <row r="79" spans="1:11" ht="15" customHeight="1" x14ac:dyDescent="0.25">
      <c r="A79" s="76"/>
      <c r="B79" s="37" t="str">
        <f>IF(A79="","",IFERROR(VLOOKUP(A79,DB_Customers!$A:$D,4,0),"❌ Account Not Found"))</f>
        <v/>
      </c>
      <c r="C79" s="77" t="str">
        <f>IF(A79="","",IFERROR(IF(SUMIF(DB_Savings!$C:$C,A79,DB_Savings!$F:$F)=0,VLOOKUP(A79,DB_Customers!$A:$I,9,0),VLOOKUP(A79,DB_Customers!$A:$N,14,0)),"❌ Acct Not Found"))</f>
        <v/>
      </c>
      <c r="D79" s="78" t="str">
        <f t="shared" ca="1" si="6"/>
        <v/>
      </c>
      <c r="E79" s="79"/>
      <c r="F79" s="80" t="str">
        <f t="shared" si="7"/>
        <v/>
      </c>
      <c r="G79" s="39" t="s">
        <v>140</v>
      </c>
      <c r="H79" s="81"/>
      <c r="I79" s="82" t="str">
        <f>IF(A79="","Pending",IF(H79="","⚠️ Enter Agent Code",IF(IFERROR(VLOOKUP(G79,DB_Agents!$B:$I,8,0),"")=H79,IF(AND(A79&lt;&gt;"",E79&lt;&gt;""),"Saved","Pending"),"🔒 BLOCKED — Wrong Code")))</f>
        <v>Pending</v>
      </c>
      <c r="J79" s="83" t="str">
        <f t="shared" ca="1" si="8"/>
        <v>—</v>
      </c>
      <c r="K79" s="84"/>
    </row>
    <row r="80" spans="1:11" ht="15" customHeight="1" x14ac:dyDescent="0.25">
      <c r="A80" s="85"/>
      <c r="B80" s="41" t="str">
        <f>IF(A80="","",IFERROR(VLOOKUP(A80,DB_Customers!$A:$D,4,0),"❌ Account Not Found"))</f>
        <v/>
      </c>
      <c r="C80" s="86" t="str">
        <f>IF(A80="","",IFERROR(IF(SUMIF(DB_Savings!$C:$C,A80,DB_Savings!$F:$F)=0,VLOOKUP(A80,DB_Customers!$A:$I,9,0),VLOOKUP(A80,DB_Customers!$A:$N,14,0)),"❌ Acct Not Found"))</f>
        <v/>
      </c>
      <c r="D80" s="87" t="str">
        <f t="shared" ca="1" si="6"/>
        <v/>
      </c>
      <c r="E80" s="79"/>
      <c r="F80" s="88" t="str">
        <f t="shared" si="7"/>
        <v/>
      </c>
      <c r="G80" s="43" t="s">
        <v>140</v>
      </c>
      <c r="H80" s="81"/>
      <c r="I80" s="89" t="str">
        <f>IF(A80="","Pending",IF(H80="","⚠️ Enter Agent Code",IF(IFERROR(VLOOKUP(G80,DB_Agents!$B:$I,8,0),"")=H80,IF(AND(A80&lt;&gt;"",E80&lt;&gt;""),"Saved","Pending"),"🔒 BLOCKED — Wrong Code")))</f>
        <v>Pending</v>
      </c>
      <c r="J80" s="90" t="str">
        <f t="shared" ca="1" si="8"/>
        <v>—</v>
      </c>
      <c r="K80" s="91"/>
    </row>
    <row r="81" spans="1:11" ht="15" customHeight="1" x14ac:dyDescent="0.25">
      <c r="A81" s="76"/>
      <c r="B81" s="37" t="str">
        <f>IF(A81="","",IFERROR(VLOOKUP(A81,DB_Customers!$A:$D,4,0),"❌ Account Not Found"))</f>
        <v/>
      </c>
      <c r="C81" s="77" t="str">
        <f>IF(A81="","",IFERROR(IF(SUMIF(DB_Savings!$C:$C,A81,DB_Savings!$F:$F)=0,VLOOKUP(A81,DB_Customers!$A:$I,9,0),VLOOKUP(A81,DB_Customers!$A:$N,14,0)),"❌ Acct Not Found"))</f>
        <v/>
      </c>
      <c r="D81" s="78" t="str">
        <f t="shared" ca="1" si="6"/>
        <v/>
      </c>
      <c r="E81" s="79"/>
      <c r="F81" s="80" t="str">
        <f t="shared" si="7"/>
        <v/>
      </c>
      <c r="G81" s="39" t="s">
        <v>140</v>
      </c>
      <c r="H81" s="81"/>
      <c r="I81" s="82" t="str">
        <f>IF(A81="","Pending",IF(H81="","⚠️ Enter Agent Code",IF(IFERROR(VLOOKUP(G81,DB_Agents!$B:$I,8,0),"")=H81,IF(AND(A81&lt;&gt;"",E81&lt;&gt;""),"Saved","Pending"),"🔒 BLOCKED — Wrong Code")))</f>
        <v>Pending</v>
      </c>
      <c r="J81" s="83" t="str">
        <f t="shared" ca="1" si="8"/>
        <v>—</v>
      </c>
      <c r="K81" s="84"/>
    </row>
    <row r="82" spans="1:11" ht="15" customHeight="1" x14ac:dyDescent="0.25">
      <c r="A82" s="85"/>
      <c r="B82" s="41" t="str">
        <f>IF(A82="","",IFERROR(VLOOKUP(A82,DB_Customers!$A:$D,4,0),"❌ Account Not Found"))</f>
        <v/>
      </c>
      <c r="C82" s="86" t="str">
        <f>IF(A82="","",IFERROR(IF(SUMIF(DB_Savings!$C:$C,A82,DB_Savings!$F:$F)=0,VLOOKUP(A82,DB_Customers!$A:$I,9,0),VLOOKUP(A82,DB_Customers!$A:$N,14,0)),"❌ Acct Not Found"))</f>
        <v/>
      </c>
      <c r="D82" s="87" t="str">
        <f t="shared" ca="1" si="6"/>
        <v/>
      </c>
      <c r="E82" s="79"/>
      <c r="F82" s="88" t="str">
        <f t="shared" si="7"/>
        <v/>
      </c>
      <c r="G82" s="43" t="s">
        <v>140</v>
      </c>
      <c r="H82" s="81"/>
      <c r="I82" s="89" t="str">
        <f>IF(A82="","Pending",IF(H82="","⚠️ Enter Agent Code",IF(IFERROR(VLOOKUP(G82,DB_Agents!$B:$I,8,0),"")=H82,IF(AND(A82&lt;&gt;"",E82&lt;&gt;""),"Saved","Pending"),"🔒 BLOCKED — Wrong Code")))</f>
        <v>Pending</v>
      </c>
      <c r="J82" s="90" t="str">
        <f t="shared" ca="1" si="8"/>
        <v>—</v>
      </c>
      <c r="K82" s="91"/>
    </row>
    <row r="83" spans="1:11" ht="15" customHeight="1" x14ac:dyDescent="0.25">
      <c r="A83" s="76"/>
      <c r="B83" s="37" t="str">
        <f>IF(A83="","",IFERROR(VLOOKUP(A83,DB_Customers!$A:$D,4,0),"❌ Account Not Found"))</f>
        <v/>
      </c>
      <c r="C83" s="77" t="str">
        <f>IF(A83="","",IFERROR(IF(SUMIF(DB_Savings!$C:$C,A83,DB_Savings!$F:$F)=0,VLOOKUP(A83,DB_Customers!$A:$I,9,0),VLOOKUP(A83,DB_Customers!$A:$N,14,0)),"❌ Acct Not Found"))</f>
        <v/>
      </c>
      <c r="D83" s="78" t="str">
        <f t="shared" ca="1" si="6"/>
        <v/>
      </c>
      <c r="E83" s="79"/>
      <c r="F83" s="80" t="str">
        <f t="shared" si="7"/>
        <v/>
      </c>
      <c r="G83" s="39" t="s">
        <v>140</v>
      </c>
      <c r="H83" s="81"/>
      <c r="I83" s="82" t="str">
        <f>IF(A83="","Pending",IF(H83="","⚠️ Enter Agent Code",IF(IFERROR(VLOOKUP(G83,DB_Agents!$B:$I,8,0),"")=H83,IF(AND(A83&lt;&gt;"",E83&lt;&gt;""),"Saved","Pending"),"🔒 BLOCKED — Wrong Code")))</f>
        <v>Pending</v>
      </c>
      <c r="J83" s="83" t="str">
        <f t="shared" ca="1" si="8"/>
        <v>—</v>
      </c>
      <c r="K83" s="84"/>
    </row>
    <row r="84" spans="1:11" ht="15" customHeight="1" x14ac:dyDescent="0.25">
      <c r="A84" s="85"/>
      <c r="B84" s="41" t="str">
        <f>IF(A84="","",IFERROR(VLOOKUP(A84,DB_Customers!$A:$D,4,0),"❌ Account Not Found"))</f>
        <v/>
      </c>
      <c r="C84" s="86" t="str">
        <f>IF(A84="","",IFERROR(IF(SUMIF(DB_Savings!$C:$C,A84,DB_Savings!$F:$F)=0,VLOOKUP(A84,DB_Customers!$A:$I,9,0),VLOOKUP(A84,DB_Customers!$A:$N,14,0)),"❌ Acct Not Found"))</f>
        <v/>
      </c>
      <c r="D84" s="87" t="str">
        <f t="shared" ca="1" si="6"/>
        <v/>
      </c>
      <c r="E84" s="79"/>
      <c r="F84" s="88" t="str">
        <f t="shared" si="7"/>
        <v/>
      </c>
      <c r="G84" s="43" t="s">
        <v>140</v>
      </c>
      <c r="H84" s="81"/>
      <c r="I84" s="89" t="str">
        <f>IF(A84="","Pending",IF(H84="","⚠️ Enter Agent Code",IF(IFERROR(VLOOKUP(G84,DB_Agents!$B:$I,8,0),"")=H84,IF(AND(A84&lt;&gt;"",E84&lt;&gt;""),"Saved","Pending"),"🔒 BLOCKED — Wrong Code")))</f>
        <v>Pending</v>
      </c>
      <c r="J84" s="90" t="str">
        <f t="shared" ca="1" si="8"/>
        <v>—</v>
      </c>
      <c r="K84" s="91"/>
    </row>
    <row r="85" spans="1:11" ht="15" customHeight="1" x14ac:dyDescent="0.25">
      <c r="A85" s="76"/>
      <c r="B85" s="37" t="str">
        <f>IF(A85="","",IFERROR(VLOOKUP(A85,DB_Customers!$A:$D,4,0),"❌ Account Not Found"))</f>
        <v/>
      </c>
      <c r="C85" s="77" t="str">
        <f>IF(A85="","",IFERROR(IF(SUMIF(DB_Savings!$C:$C,A85,DB_Savings!$F:$F)=0,VLOOKUP(A85,DB_Customers!$A:$I,9,0),VLOOKUP(A85,DB_Customers!$A:$N,14,0)),"❌ Acct Not Found"))</f>
        <v/>
      </c>
      <c r="D85" s="78" t="str">
        <f t="shared" ca="1" si="6"/>
        <v/>
      </c>
      <c r="E85" s="79"/>
      <c r="F85" s="80" t="str">
        <f t="shared" si="7"/>
        <v/>
      </c>
      <c r="G85" s="39" t="s">
        <v>140</v>
      </c>
      <c r="H85" s="81"/>
      <c r="I85" s="82" t="str">
        <f>IF(A85="","Pending",IF(H85="","⚠️ Enter Agent Code",IF(IFERROR(VLOOKUP(G85,DB_Agents!$B:$I,8,0),"")=H85,IF(AND(A85&lt;&gt;"",E85&lt;&gt;""),"Saved","Pending"),"🔒 BLOCKED — Wrong Code")))</f>
        <v>Pending</v>
      </c>
      <c r="J85" s="83" t="str">
        <f t="shared" ca="1" si="8"/>
        <v>—</v>
      </c>
      <c r="K85" s="84"/>
    </row>
    <row r="86" spans="1:11" ht="15" customHeight="1" x14ac:dyDescent="0.25">
      <c r="A86" s="85"/>
      <c r="B86" s="41" t="str">
        <f>IF(A86="","",IFERROR(VLOOKUP(A86,DB_Customers!$A:$D,4,0),"❌ Account Not Found"))</f>
        <v/>
      </c>
      <c r="C86" s="86" t="str">
        <f>IF(A86="","",IFERROR(IF(SUMIF(DB_Savings!$C:$C,A86,DB_Savings!$F:$F)=0,VLOOKUP(A86,DB_Customers!$A:$I,9,0),VLOOKUP(A86,DB_Customers!$A:$N,14,0)),"❌ Acct Not Found"))</f>
        <v/>
      </c>
      <c r="D86" s="87" t="str">
        <f t="shared" ca="1" si="6"/>
        <v/>
      </c>
      <c r="E86" s="79"/>
      <c r="F86" s="88" t="str">
        <f t="shared" si="7"/>
        <v/>
      </c>
      <c r="G86" s="43" t="s">
        <v>140</v>
      </c>
      <c r="H86" s="81"/>
      <c r="I86" s="89" t="str">
        <f>IF(A86="","Pending",IF(H86="","⚠️ Enter Agent Code",IF(IFERROR(VLOOKUP(G86,DB_Agents!$B:$I,8,0),"")=H86,IF(AND(A86&lt;&gt;"",E86&lt;&gt;""),"Saved","Pending"),"🔒 BLOCKED — Wrong Code")))</f>
        <v>Pending</v>
      </c>
      <c r="J86" s="90" t="str">
        <f t="shared" ca="1" si="8"/>
        <v>—</v>
      </c>
      <c r="K86" s="91"/>
    </row>
    <row r="87" spans="1:11" ht="15" customHeight="1" x14ac:dyDescent="0.25">
      <c r="A87" s="76"/>
      <c r="B87" s="37" t="str">
        <f>IF(A87="","",IFERROR(VLOOKUP(A87,DB_Customers!$A:$D,4,0),"❌ Account Not Found"))</f>
        <v/>
      </c>
      <c r="C87" s="77" t="str">
        <f>IF(A87="","",IFERROR(IF(SUMIF(DB_Savings!$C:$C,A87,DB_Savings!$F:$F)=0,VLOOKUP(A87,DB_Customers!$A:$I,9,0),VLOOKUP(A87,DB_Customers!$A:$N,14,0)),"❌ Acct Not Found"))</f>
        <v/>
      </c>
      <c r="D87" s="78" t="str">
        <f t="shared" ca="1" si="6"/>
        <v/>
      </c>
      <c r="E87" s="79"/>
      <c r="F87" s="80" t="str">
        <f t="shared" si="7"/>
        <v/>
      </c>
      <c r="G87" s="39" t="s">
        <v>140</v>
      </c>
      <c r="H87" s="81"/>
      <c r="I87" s="82" t="str">
        <f>IF(A87="","Pending",IF(H87="","⚠️ Enter Agent Code",IF(IFERROR(VLOOKUP(G87,DB_Agents!$B:$I,8,0),"")=H87,IF(AND(A87&lt;&gt;"",E87&lt;&gt;""),"Saved","Pending"),"🔒 BLOCKED — Wrong Code")))</f>
        <v>Pending</v>
      </c>
      <c r="J87" s="83" t="str">
        <f t="shared" ca="1" si="8"/>
        <v>—</v>
      </c>
      <c r="K87" s="84"/>
    </row>
    <row r="88" spans="1:11" ht="15" customHeight="1" x14ac:dyDescent="0.25">
      <c r="A88" s="85"/>
      <c r="B88" s="41" t="str">
        <f>IF(A88="","",IFERROR(VLOOKUP(A88,DB_Customers!$A:$D,4,0),"❌ Account Not Found"))</f>
        <v/>
      </c>
      <c r="C88" s="86" t="str">
        <f>IF(A88="","",IFERROR(IF(SUMIF(DB_Savings!$C:$C,A88,DB_Savings!$F:$F)=0,VLOOKUP(A88,DB_Customers!$A:$I,9,0),VLOOKUP(A88,DB_Customers!$A:$N,14,0)),"❌ Acct Not Found"))</f>
        <v/>
      </c>
      <c r="D88" s="87" t="str">
        <f t="shared" ca="1" si="6"/>
        <v/>
      </c>
      <c r="E88" s="79"/>
      <c r="F88" s="88" t="str">
        <f t="shared" si="7"/>
        <v/>
      </c>
      <c r="G88" s="43" t="s">
        <v>140</v>
      </c>
      <c r="H88" s="81"/>
      <c r="I88" s="89" t="str">
        <f>IF(A88="","Pending",IF(H88="","⚠️ Enter Agent Code",IF(IFERROR(VLOOKUP(G88,DB_Agents!$B:$I,8,0),"")=H88,IF(AND(A88&lt;&gt;"",E88&lt;&gt;""),"Saved","Pending"),"🔒 BLOCKED — Wrong Code")))</f>
        <v>Pending</v>
      </c>
      <c r="J88" s="90" t="str">
        <f t="shared" ca="1" si="8"/>
        <v>—</v>
      </c>
      <c r="K88" s="91"/>
    </row>
    <row r="89" spans="1:11" ht="15" customHeight="1" x14ac:dyDescent="0.25">
      <c r="A89" s="76"/>
      <c r="B89" s="37" t="str">
        <f>IF(A89="","",IFERROR(VLOOKUP(A89,DB_Customers!$A:$D,4,0),"❌ Account Not Found"))</f>
        <v/>
      </c>
      <c r="C89" s="77" t="str">
        <f>IF(A89="","",IFERROR(IF(SUMIF(DB_Savings!$C:$C,A89,DB_Savings!$F:$F)=0,VLOOKUP(A89,DB_Customers!$A:$I,9,0),VLOOKUP(A89,DB_Customers!$A:$N,14,0)),"❌ Acct Not Found"))</f>
        <v/>
      </c>
      <c r="D89" s="78" t="str">
        <f t="shared" ca="1" si="6"/>
        <v/>
      </c>
      <c r="E89" s="79"/>
      <c r="F89" s="80" t="str">
        <f t="shared" si="7"/>
        <v/>
      </c>
      <c r="G89" s="39" t="s">
        <v>140</v>
      </c>
      <c r="H89" s="81"/>
      <c r="I89" s="82" t="str">
        <f>IF(A89="","Pending",IF(H89="","⚠️ Enter Agent Code",IF(IFERROR(VLOOKUP(G89,DB_Agents!$B:$I,8,0),"")=H89,IF(AND(A89&lt;&gt;"",E89&lt;&gt;""),"Saved","Pending"),"🔒 BLOCKED — Wrong Code")))</f>
        <v>Pending</v>
      </c>
      <c r="J89" s="83" t="str">
        <f t="shared" ca="1" si="8"/>
        <v>—</v>
      </c>
      <c r="K89" s="84"/>
    </row>
    <row r="90" spans="1:11" ht="15" customHeight="1" x14ac:dyDescent="0.25">
      <c r="A90" s="85"/>
      <c r="B90" s="41" t="str">
        <f>IF(A90="","",IFERROR(VLOOKUP(A90,DB_Customers!$A:$D,4,0),"❌ Account Not Found"))</f>
        <v/>
      </c>
      <c r="C90" s="86" t="str">
        <f>IF(A90="","",IFERROR(IF(SUMIF(DB_Savings!$C:$C,A90,DB_Savings!$F:$F)=0,VLOOKUP(A90,DB_Customers!$A:$I,9,0),VLOOKUP(A90,DB_Customers!$A:$N,14,0)),"❌ Acct Not Found"))</f>
        <v/>
      </c>
      <c r="D90" s="87" t="str">
        <f t="shared" ca="1" si="6"/>
        <v/>
      </c>
      <c r="E90" s="79"/>
      <c r="F90" s="88" t="str">
        <f t="shared" si="7"/>
        <v/>
      </c>
      <c r="G90" s="43" t="s">
        <v>140</v>
      </c>
      <c r="H90" s="81"/>
      <c r="I90" s="89" t="str">
        <f>IF(A90="","Pending",IF(H90="","⚠️ Enter Agent Code",IF(IFERROR(VLOOKUP(G90,DB_Agents!$B:$I,8,0),"")=H90,IF(AND(A90&lt;&gt;"",E90&lt;&gt;""),"Saved","Pending"),"🔒 BLOCKED — Wrong Code")))</f>
        <v>Pending</v>
      </c>
      <c r="J90" s="90" t="str">
        <f t="shared" ca="1" si="8"/>
        <v>—</v>
      </c>
      <c r="K90" s="91"/>
    </row>
    <row r="91" spans="1:11" ht="15" customHeight="1" x14ac:dyDescent="0.25">
      <c r="A91" s="76"/>
      <c r="B91" s="37" t="str">
        <f>IF(A91="","",IFERROR(VLOOKUP(A91,DB_Customers!$A:$D,4,0),"❌ Account Not Found"))</f>
        <v/>
      </c>
      <c r="C91" s="77" t="str">
        <f>IF(A91="","",IFERROR(IF(SUMIF(DB_Savings!$C:$C,A91,DB_Savings!$F:$F)=0,VLOOKUP(A91,DB_Customers!$A:$I,9,0),VLOOKUP(A91,DB_Customers!$A:$N,14,0)),"❌ Acct Not Found"))</f>
        <v/>
      </c>
      <c r="D91" s="78" t="str">
        <f t="shared" ca="1" si="6"/>
        <v/>
      </c>
      <c r="E91" s="79"/>
      <c r="F91" s="80" t="str">
        <f t="shared" si="7"/>
        <v/>
      </c>
      <c r="G91" s="39" t="s">
        <v>140</v>
      </c>
      <c r="H91" s="81"/>
      <c r="I91" s="82" t="str">
        <f>IF(A91="","Pending",IF(H91="","⚠️ Enter Agent Code",IF(IFERROR(VLOOKUP(G91,DB_Agents!$B:$I,8,0),"")=H91,IF(AND(A91&lt;&gt;"",E91&lt;&gt;""),"Saved","Pending"),"🔒 BLOCKED — Wrong Code")))</f>
        <v>Pending</v>
      </c>
      <c r="J91" s="83" t="str">
        <f t="shared" ca="1" si="8"/>
        <v>—</v>
      </c>
      <c r="K91" s="84"/>
    </row>
    <row r="92" spans="1:11" ht="15" customHeight="1" x14ac:dyDescent="0.25">
      <c r="A92" s="85"/>
      <c r="B92" s="41" t="str">
        <f>IF(A92="","",IFERROR(VLOOKUP(A92,DB_Customers!$A:$D,4,0),"❌ Account Not Found"))</f>
        <v/>
      </c>
      <c r="C92" s="86" t="str">
        <f>IF(A92="","",IFERROR(IF(SUMIF(DB_Savings!$C:$C,A92,DB_Savings!$F:$F)=0,VLOOKUP(A92,DB_Customers!$A:$I,9,0),VLOOKUP(A92,DB_Customers!$A:$N,14,0)),"❌ Acct Not Found"))</f>
        <v/>
      </c>
      <c r="D92" s="87" t="str">
        <f t="shared" ca="1" si="6"/>
        <v/>
      </c>
      <c r="E92" s="79"/>
      <c r="F92" s="88" t="str">
        <f t="shared" si="7"/>
        <v/>
      </c>
      <c r="G92" s="43" t="s">
        <v>140</v>
      </c>
      <c r="H92" s="81"/>
      <c r="I92" s="89" t="str">
        <f>IF(A92="","Pending",IF(H92="","⚠️ Enter Agent Code",IF(IFERROR(VLOOKUP(G92,DB_Agents!$B:$I,8,0),"")=H92,IF(AND(A92&lt;&gt;"",E92&lt;&gt;""),"Saved","Pending"),"🔒 BLOCKED — Wrong Code")))</f>
        <v>Pending</v>
      </c>
      <c r="J92" s="90" t="str">
        <f t="shared" ca="1" si="8"/>
        <v>—</v>
      </c>
      <c r="K92" s="91"/>
    </row>
    <row r="93" spans="1:11" ht="15" customHeight="1" x14ac:dyDescent="0.25">
      <c r="A93" s="76"/>
      <c r="B93" s="37" t="str">
        <f>IF(A93="","",IFERROR(VLOOKUP(A93,DB_Customers!$A:$D,4,0),"❌ Account Not Found"))</f>
        <v/>
      </c>
      <c r="C93" s="77" t="str">
        <f>IF(A93="","",IFERROR(IF(SUMIF(DB_Savings!$C:$C,A93,DB_Savings!$F:$F)=0,VLOOKUP(A93,DB_Customers!$A:$I,9,0),VLOOKUP(A93,DB_Customers!$A:$N,14,0)),"❌ Acct Not Found"))</f>
        <v/>
      </c>
      <c r="D93" s="78" t="str">
        <f t="shared" ca="1" si="6"/>
        <v/>
      </c>
      <c r="E93" s="79"/>
      <c r="F93" s="80" t="str">
        <f t="shared" si="7"/>
        <v/>
      </c>
      <c r="G93" s="39" t="s">
        <v>140</v>
      </c>
      <c r="H93" s="81"/>
      <c r="I93" s="82" t="str">
        <f>IF(A93="","Pending",IF(H93="","⚠️ Enter Agent Code",IF(IFERROR(VLOOKUP(G93,DB_Agents!$B:$I,8,0),"")=H93,IF(AND(A93&lt;&gt;"",E93&lt;&gt;""),"Saved","Pending"),"🔒 BLOCKED — Wrong Code")))</f>
        <v>Pending</v>
      </c>
      <c r="J93" s="83" t="str">
        <f t="shared" ca="1" si="8"/>
        <v>—</v>
      </c>
      <c r="K93" s="84"/>
    </row>
    <row r="94" spans="1:11" ht="15" customHeight="1" x14ac:dyDescent="0.25">
      <c r="A94" s="85"/>
      <c r="B94" s="41" t="str">
        <f>IF(A94="","",IFERROR(VLOOKUP(A94,DB_Customers!$A:$D,4,0),"❌ Account Not Found"))</f>
        <v/>
      </c>
      <c r="C94" s="86" t="str">
        <f>IF(A94="","",IFERROR(IF(SUMIF(DB_Savings!$C:$C,A94,DB_Savings!$F:$F)=0,VLOOKUP(A94,DB_Customers!$A:$I,9,0),VLOOKUP(A94,DB_Customers!$A:$N,14,0)),"❌ Acct Not Found"))</f>
        <v/>
      </c>
      <c r="D94" s="87" t="str">
        <f t="shared" ca="1" si="6"/>
        <v/>
      </c>
      <c r="E94" s="79"/>
      <c r="F94" s="88" t="str">
        <f t="shared" si="7"/>
        <v/>
      </c>
      <c r="G94" s="43" t="s">
        <v>140</v>
      </c>
      <c r="H94" s="81"/>
      <c r="I94" s="89" t="str">
        <f>IF(A94="","Pending",IF(H94="","⚠️ Enter Agent Code",IF(IFERROR(VLOOKUP(G94,DB_Agents!$B:$I,8,0),"")=H94,IF(AND(A94&lt;&gt;"",E94&lt;&gt;""),"Saved","Pending"),"🔒 BLOCKED — Wrong Code")))</f>
        <v>Pending</v>
      </c>
      <c r="J94" s="90" t="str">
        <f t="shared" ca="1" si="8"/>
        <v>—</v>
      </c>
      <c r="K94" s="91"/>
    </row>
    <row r="95" spans="1:11" ht="15" customHeight="1" x14ac:dyDescent="0.25">
      <c r="A95" s="76"/>
      <c r="B95" s="37" t="str">
        <f>IF(A95="","",IFERROR(VLOOKUP(A95,DB_Customers!$A:$D,4,0),"❌ Account Not Found"))</f>
        <v/>
      </c>
      <c r="C95" s="77" t="str">
        <f>IF(A95="","",IFERROR(IF(SUMIF(DB_Savings!$C:$C,A95,DB_Savings!$F:$F)=0,VLOOKUP(A95,DB_Customers!$A:$I,9,0),VLOOKUP(A95,DB_Customers!$A:$N,14,0)),"❌ Acct Not Found"))</f>
        <v/>
      </c>
      <c r="D95" s="78" t="str">
        <f t="shared" ca="1" si="6"/>
        <v/>
      </c>
      <c r="E95" s="79"/>
      <c r="F95" s="80" t="str">
        <f t="shared" si="7"/>
        <v/>
      </c>
      <c r="G95" s="39" t="s">
        <v>140</v>
      </c>
      <c r="H95" s="81"/>
      <c r="I95" s="82" t="str">
        <f>IF(A95="","Pending",IF(H95="","⚠️ Enter Agent Code",IF(IFERROR(VLOOKUP(G95,DB_Agents!$B:$I,8,0),"")=H95,IF(AND(A95&lt;&gt;"",E95&lt;&gt;""),"Saved","Pending"),"🔒 BLOCKED — Wrong Code")))</f>
        <v>Pending</v>
      </c>
      <c r="J95" s="83" t="str">
        <f t="shared" ca="1" si="8"/>
        <v>—</v>
      </c>
      <c r="K95" s="84"/>
    </row>
    <row r="96" spans="1:11" ht="15" customHeight="1" x14ac:dyDescent="0.25">
      <c r="A96" s="85"/>
      <c r="B96" s="41" t="str">
        <f>IF(A96="","",IFERROR(VLOOKUP(A96,DB_Customers!$A:$D,4,0),"❌ Account Not Found"))</f>
        <v/>
      </c>
      <c r="C96" s="86" t="str">
        <f>IF(A96="","",IFERROR(IF(SUMIF(DB_Savings!$C:$C,A96,DB_Savings!$F:$F)=0,VLOOKUP(A96,DB_Customers!$A:$I,9,0),VLOOKUP(A96,DB_Customers!$A:$N,14,0)),"❌ Acct Not Found"))</f>
        <v/>
      </c>
      <c r="D96" s="87" t="str">
        <f t="shared" ca="1" si="6"/>
        <v/>
      </c>
      <c r="E96" s="79"/>
      <c r="F96" s="88" t="str">
        <f t="shared" si="7"/>
        <v/>
      </c>
      <c r="G96" s="43" t="s">
        <v>140</v>
      </c>
      <c r="H96" s="81"/>
      <c r="I96" s="89" t="str">
        <f>IF(A96="","Pending",IF(H96="","⚠️ Enter Agent Code",IF(IFERROR(VLOOKUP(G96,DB_Agents!$B:$I,8,0),"")=H96,IF(AND(A96&lt;&gt;"",E96&lt;&gt;""),"Saved","Pending"),"🔒 BLOCKED — Wrong Code")))</f>
        <v>Pending</v>
      </c>
      <c r="J96" s="90" t="str">
        <f t="shared" ca="1" si="8"/>
        <v>—</v>
      </c>
      <c r="K96" s="91"/>
    </row>
    <row r="97" spans="1:11" ht="15" customHeight="1" x14ac:dyDescent="0.25">
      <c r="A97" s="76"/>
      <c r="B97" s="37" t="str">
        <f>IF(A97="","",IFERROR(VLOOKUP(A97,DB_Customers!$A:$D,4,0),"❌ Account Not Found"))</f>
        <v/>
      </c>
      <c r="C97" s="77" t="str">
        <f>IF(A97="","",IFERROR(IF(SUMIF(DB_Savings!$C:$C,A97,DB_Savings!$F:$F)=0,VLOOKUP(A97,DB_Customers!$A:$I,9,0),VLOOKUP(A97,DB_Customers!$A:$N,14,0)),"❌ Acct Not Found"))</f>
        <v/>
      </c>
      <c r="D97" s="78" t="str">
        <f t="shared" ca="1" si="6"/>
        <v/>
      </c>
      <c r="E97" s="79"/>
      <c r="F97" s="80" t="str">
        <f t="shared" si="7"/>
        <v/>
      </c>
      <c r="G97" s="39" t="s">
        <v>140</v>
      </c>
      <c r="H97" s="81"/>
      <c r="I97" s="82" t="str">
        <f>IF(A97="","Pending",IF(H97="","⚠️ Enter Agent Code",IF(IFERROR(VLOOKUP(G97,DB_Agents!$B:$I,8,0),"")=H97,IF(AND(A97&lt;&gt;"",E97&lt;&gt;""),"Saved","Pending"),"🔒 BLOCKED — Wrong Code")))</f>
        <v>Pending</v>
      </c>
      <c r="J97" s="83" t="str">
        <f t="shared" ca="1" si="8"/>
        <v>—</v>
      </c>
      <c r="K97" s="84"/>
    </row>
    <row r="98" spans="1:11" ht="15" customHeight="1" x14ac:dyDescent="0.25">
      <c r="A98" s="85"/>
      <c r="B98" s="41" t="str">
        <f>IF(A98="","",IFERROR(VLOOKUP(A98,DB_Customers!$A:$D,4,0),"❌ Account Not Found"))</f>
        <v/>
      </c>
      <c r="C98" s="86" t="str">
        <f>IF(A98="","",IFERROR(IF(SUMIF(DB_Savings!$C:$C,A98,DB_Savings!$F:$F)=0,VLOOKUP(A98,DB_Customers!$A:$I,9,0),VLOOKUP(A98,DB_Customers!$A:$N,14,0)),"❌ Acct Not Found"))</f>
        <v/>
      </c>
      <c r="D98" s="87" t="str">
        <f t="shared" ca="1" si="6"/>
        <v/>
      </c>
      <c r="E98" s="79"/>
      <c r="F98" s="88" t="str">
        <f t="shared" si="7"/>
        <v/>
      </c>
      <c r="G98" s="43" t="s">
        <v>140</v>
      </c>
      <c r="H98" s="81"/>
      <c r="I98" s="89" t="str">
        <f>IF(A98="","Pending",IF(H98="","⚠️ Enter Agent Code",IF(IFERROR(VLOOKUP(G98,DB_Agents!$B:$I,8,0),"")=H98,IF(AND(A98&lt;&gt;"",E98&lt;&gt;""),"Saved","Pending"),"🔒 BLOCKED — Wrong Code")))</f>
        <v>Pending</v>
      </c>
      <c r="J98" s="90" t="str">
        <f t="shared" ca="1" si="8"/>
        <v>—</v>
      </c>
      <c r="K98" s="91"/>
    </row>
    <row r="99" spans="1:11" ht="15" customHeight="1" x14ac:dyDescent="0.25">
      <c r="A99" s="76"/>
      <c r="B99" s="37" t="str">
        <f>IF(A99="","",IFERROR(VLOOKUP(A99,DB_Customers!$A:$D,4,0),"❌ Account Not Found"))</f>
        <v/>
      </c>
      <c r="C99" s="77" t="str">
        <f>IF(A99="","",IFERROR(IF(SUMIF(DB_Savings!$C:$C,A99,DB_Savings!$F:$F)=0,VLOOKUP(A99,DB_Customers!$A:$I,9,0),VLOOKUP(A99,DB_Customers!$A:$N,14,0)),"❌ Acct Not Found"))</f>
        <v/>
      </c>
      <c r="D99" s="78" t="str">
        <f t="shared" ca="1" si="6"/>
        <v/>
      </c>
      <c r="E99" s="79"/>
      <c r="F99" s="80" t="str">
        <f t="shared" si="7"/>
        <v/>
      </c>
      <c r="G99" s="39" t="s">
        <v>140</v>
      </c>
      <c r="H99" s="81"/>
      <c r="I99" s="82" t="str">
        <f>IF(A99="","Pending",IF(H99="","⚠️ Enter Agent Code",IF(IFERROR(VLOOKUP(G99,DB_Agents!$B:$I,8,0),"")=H99,IF(AND(A99&lt;&gt;"",E99&lt;&gt;""),"Saved","Pending"),"🔒 BLOCKED — Wrong Code")))</f>
        <v>Pending</v>
      </c>
      <c r="J99" s="83" t="str">
        <f t="shared" ca="1" si="8"/>
        <v>—</v>
      </c>
      <c r="K99" s="84"/>
    </row>
    <row r="100" spans="1:11" ht="15" customHeight="1" x14ac:dyDescent="0.25">
      <c r="A100" s="85"/>
      <c r="B100" s="41" t="str">
        <f>IF(A100="","",IFERROR(VLOOKUP(A100,DB_Customers!$A:$D,4,0),"❌ Account Not Found"))</f>
        <v/>
      </c>
      <c r="C100" s="86" t="str">
        <f>IF(A100="","",IFERROR(IF(SUMIF(DB_Savings!$C:$C,A100,DB_Savings!$F:$F)=0,VLOOKUP(A100,DB_Customers!$A:$I,9,0),VLOOKUP(A100,DB_Customers!$A:$N,14,0)),"❌ Acct Not Found"))</f>
        <v/>
      </c>
      <c r="D100" s="87" t="str">
        <f t="shared" ca="1" si="6"/>
        <v/>
      </c>
      <c r="E100" s="79"/>
      <c r="F100" s="88" t="str">
        <f t="shared" si="7"/>
        <v/>
      </c>
      <c r="G100" s="43" t="s">
        <v>140</v>
      </c>
      <c r="H100" s="81"/>
      <c r="I100" s="89" t="str">
        <f>IF(A100="","Pending",IF(H100="","⚠️ Enter Agent Code",IF(IFERROR(VLOOKUP(G100,DB_Agents!$B:$I,8,0),"")=H100,IF(AND(A100&lt;&gt;"",E100&lt;&gt;""),"Saved","Pending"),"🔒 BLOCKED — Wrong Code")))</f>
        <v>Pending</v>
      </c>
      <c r="J100" s="90" t="str">
        <f t="shared" ca="1" si="8"/>
        <v>—</v>
      </c>
      <c r="K100" s="91"/>
    </row>
    <row r="101" spans="1:11" ht="15" customHeight="1" x14ac:dyDescent="0.25">
      <c r="A101" s="76"/>
      <c r="B101" s="37" t="str">
        <f>IF(A101="","",IFERROR(VLOOKUP(A101,DB_Customers!$A:$D,4,0),"❌ Account Not Found"))</f>
        <v/>
      </c>
      <c r="C101" s="77" t="str">
        <f>IF(A101="","",IFERROR(IF(SUMIF(DB_Savings!$C:$C,A101,DB_Savings!$F:$F)=0,VLOOKUP(A101,DB_Customers!$A:$I,9,0),VLOOKUP(A101,DB_Customers!$A:$N,14,0)),"❌ Acct Not Found"))</f>
        <v/>
      </c>
      <c r="D101" s="78" t="str">
        <f t="shared" ca="1" si="6"/>
        <v/>
      </c>
      <c r="E101" s="79"/>
      <c r="F101" s="80" t="str">
        <f t="shared" si="7"/>
        <v/>
      </c>
      <c r="G101" s="39" t="s">
        <v>140</v>
      </c>
      <c r="H101" s="81"/>
      <c r="I101" s="82" t="str">
        <f>IF(A101="","Pending",IF(H101="","⚠️ Enter Agent Code",IF(IFERROR(VLOOKUP(G101,DB_Agents!$B:$I,8,0),"")=H101,IF(AND(A101&lt;&gt;"",E101&lt;&gt;""),"Saved","Pending"),"🔒 BLOCKED — Wrong Code")))</f>
        <v>Pending</v>
      </c>
      <c r="J101" s="83" t="str">
        <f t="shared" ca="1" si="8"/>
        <v>—</v>
      </c>
      <c r="K101" s="84"/>
    </row>
    <row r="102" spans="1:11" ht="15" customHeight="1" x14ac:dyDescent="0.25">
      <c r="A102" s="85"/>
      <c r="B102" s="41" t="str">
        <f>IF(A102="","",IFERROR(VLOOKUP(A102,DB_Customers!$A:$D,4,0),"❌ Account Not Found"))</f>
        <v/>
      </c>
      <c r="C102" s="86" t="str">
        <f>IF(A102="","",IFERROR(IF(SUMIF(DB_Savings!$C:$C,A102,DB_Savings!$F:$F)=0,VLOOKUP(A102,DB_Customers!$A:$I,9,0),VLOOKUP(A102,DB_Customers!$A:$N,14,0)),"❌ Acct Not Found"))</f>
        <v/>
      </c>
      <c r="D102" s="87" t="str">
        <f t="shared" ca="1" si="6"/>
        <v/>
      </c>
      <c r="E102" s="79"/>
      <c r="F102" s="88" t="str">
        <f t="shared" si="7"/>
        <v/>
      </c>
      <c r="G102" s="43" t="s">
        <v>140</v>
      </c>
      <c r="H102" s="81"/>
      <c r="I102" s="89" t="str">
        <f>IF(A102="","Pending",IF(H102="","⚠️ Enter Agent Code",IF(IFERROR(VLOOKUP(G102,DB_Agents!$B:$I,8,0),"")=H102,IF(AND(A102&lt;&gt;"",E102&lt;&gt;""),"Saved","Pending"),"🔒 BLOCKED — Wrong Code")))</f>
        <v>Pending</v>
      </c>
      <c r="J102" s="90" t="str">
        <f t="shared" ca="1" si="8"/>
        <v>—</v>
      </c>
      <c r="K102" s="91"/>
    </row>
    <row r="103" spans="1:11" ht="15" customHeight="1" x14ac:dyDescent="0.25">
      <c r="A103" s="76"/>
      <c r="B103" s="37" t="str">
        <f>IF(A103="","",IFERROR(VLOOKUP(A103,DB_Customers!$A:$D,4,0),"❌ Account Not Found"))</f>
        <v/>
      </c>
      <c r="C103" s="77" t="str">
        <f>IF(A103="","",IFERROR(IF(SUMIF(DB_Savings!$C:$C,A103,DB_Savings!$F:$F)=0,VLOOKUP(A103,DB_Customers!$A:$I,9,0),VLOOKUP(A103,DB_Customers!$A:$N,14,0)),"❌ Acct Not Found"))</f>
        <v/>
      </c>
      <c r="D103" s="78" t="str">
        <f t="shared" ca="1" si="6"/>
        <v/>
      </c>
      <c r="E103" s="79"/>
      <c r="F103" s="80" t="str">
        <f t="shared" si="7"/>
        <v/>
      </c>
      <c r="G103" s="39" t="s">
        <v>140</v>
      </c>
      <c r="H103" s="81"/>
      <c r="I103" s="82" t="str">
        <f>IF(A103="","Pending",IF(H103="","⚠️ Enter Agent Code",IF(IFERROR(VLOOKUP(G103,DB_Agents!$B:$I,8,0),"")=H103,IF(AND(A103&lt;&gt;"",E103&lt;&gt;""),"Saved","Pending"),"🔒 BLOCKED — Wrong Code")))</f>
        <v>Pending</v>
      </c>
      <c r="J103" s="83" t="str">
        <f t="shared" ca="1" si="8"/>
        <v>—</v>
      </c>
      <c r="K103" s="84"/>
    </row>
    <row r="104" spans="1:11" ht="15" customHeight="1" x14ac:dyDescent="0.25">
      <c r="A104" s="85"/>
      <c r="B104" s="41" t="str">
        <f>IF(A104="","",IFERROR(VLOOKUP(A104,DB_Customers!$A:$D,4,0),"❌ Account Not Found"))</f>
        <v/>
      </c>
      <c r="C104" s="86" t="str">
        <f>IF(A104="","",IFERROR(IF(SUMIF(DB_Savings!$C:$C,A104,DB_Savings!$F:$F)=0,VLOOKUP(A104,DB_Customers!$A:$I,9,0),VLOOKUP(A104,DB_Customers!$A:$N,14,0)),"❌ Acct Not Found"))</f>
        <v/>
      </c>
      <c r="D104" s="87" t="str">
        <f t="shared" ca="1" si="6"/>
        <v/>
      </c>
      <c r="E104" s="79"/>
      <c r="F104" s="88" t="str">
        <f t="shared" si="7"/>
        <v/>
      </c>
      <c r="G104" s="43" t="s">
        <v>140</v>
      </c>
      <c r="H104" s="81"/>
      <c r="I104" s="89" t="str">
        <f>IF(A104="","Pending",IF(H104="","⚠️ Enter Agent Code",IF(IFERROR(VLOOKUP(G104,DB_Agents!$B:$I,8,0),"")=H104,IF(AND(A104&lt;&gt;"",E104&lt;&gt;""),"Saved","Pending"),"🔒 BLOCKED — Wrong Code")))</f>
        <v>Pending</v>
      </c>
      <c r="J104" s="90" t="str">
        <f t="shared" ca="1" si="8"/>
        <v>—</v>
      </c>
      <c r="K104" s="91"/>
    </row>
    <row r="105" spans="1:11" ht="15" customHeight="1" x14ac:dyDescent="0.25">
      <c r="A105" s="76"/>
      <c r="B105" s="37" t="str">
        <f>IF(A105="","",IFERROR(VLOOKUP(A105,DB_Customers!$A:$D,4,0),"❌ Account Not Found"))</f>
        <v/>
      </c>
      <c r="C105" s="77" t="str">
        <f>IF(A105="","",IFERROR(IF(SUMIF(DB_Savings!$C:$C,A105,DB_Savings!$F:$F)=0,VLOOKUP(A105,DB_Customers!$A:$I,9,0),VLOOKUP(A105,DB_Customers!$A:$N,14,0)),"❌ Acct Not Found"))</f>
        <v/>
      </c>
      <c r="D105" s="78" t="str">
        <f t="shared" ref="D105:D136" ca="1" si="9">IF(A105="","",TODAY())</f>
        <v/>
      </c>
      <c r="E105" s="79"/>
      <c r="F105" s="80" t="str">
        <f t="shared" ref="F105:F136" si="10">IF(OR(A105="",E105=""),"",IF(C105="","",C105+E105))</f>
        <v/>
      </c>
      <c r="G105" s="39" t="s">
        <v>140</v>
      </c>
      <c r="H105" s="81"/>
      <c r="I105" s="82" t="str">
        <f>IF(A105="","Pending",IF(H105="","⚠️ Enter Agent Code",IF(IFERROR(VLOOKUP(G105,DB_Agents!$B:$I,8,0),"")=H105,IF(AND(A105&lt;&gt;"",E105&lt;&gt;""),"Saved","Pending"),"🔒 BLOCKED — Wrong Code")))</f>
        <v>Pending</v>
      </c>
      <c r="J105" s="83" t="str">
        <f t="shared" ref="J105:J136" ca="1" si="11">IF(I105="Saved",TEXT(TODAY(),"YYYY-MM-DD")&amp;" Auto","—")</f>
        <v>—</v>
      </c>
      <c r="K105" s="84"/>
    </row>
    <row r="106" spans="1:11" ht="15" customHeight="1" x14ac:dyDescent="0.25">
      <c r="A106" s="85"/>
      <c r="B106" s="41" t="str">
        <f>IF(A106="","",IFERROR(VLOOKUP(A106,DB_Customers!$A:$D,4,0),"❌ Account Not Found"))</f>
        <v/>
      </c>
      <c r="C106" s="86" t="str">
        <f>IF(A106="","",IFERROR(IF(SUMIF(DB_Savings!$C:$C,A106,DB_Savings!$F:$F)=0,VLOOKUP(A106,DB_Customers!$A:$I,9,0),VLOOKUP(A106,DB_Customers!$A:$N,14,0)),"❌ Acct Not Found"))</f>
        <v/>
      </c>
      <c r="D106" s="87" t="str">
        <f t="shared" ca="1" si="9"/>
        <v/>
      </c>
      <c r="E106" s="79"/>
      <c r="F106" s="88" t="str">
        <f t="shared" si="10"/>
        <v/>
      </c>
      <c r="G106" s="43" t="s">
        <v>140</v>
      </c>
      <c r="H106" s="81"/>
      <c r="I106" s="89" t="str">
        <f>IF(A106="","Pending",IF(H106="","⚠️ Enter Agent Code",IF(IFERROR(VLOOKUP(G106,DB_Agents!$B:$I,8,0),"")=H106,IF(AND(A106&lt;&gt;"",E106&lt;&gt;""),"Saved","Pending"),"🔒 BLOCKED — Wrong Code")))</f>
        <v>Pending</v>
      </c>
      <c r="J106" s="90" t="str">
        <f t="shared" ca="1" si="11"/>
        <v>—</v>
      </c>
      <c r="K106" s="91"/>
    </row>
    <row r="107" spans="1:11" ht="15" customHeight="1" x14ac:dyDescent="0.25">
      <c r="A107" s="76"/>
      <c r="B107" s="37" t="str">
        <f>IF(A107="","",IFERROR(VLOOKUP(A107,DB_Customers!$A:$D,4,0),"❌ Account Not Found"))</f>
        <v/>
      </c>
      <c r="C107" s="77" t="str">
        <f>IF(A107="","",IFERROR(IF(SUMIF(DB_Savings!$C:$C,A107,DB_Savings!$F:$F)=0,VLOOKUP(A107,DB_Customers!$A:$I,9,0),VLOOKUP(A107,DB_Customers!$A:$N,14,0)),"❌ Acct Not Found"))</f>
        <v/>
      </c>
      <c r="D107" s="78" t="str">
        <f t="shared" ca="1" si="9"/>
        <v/>
      </c>
      <c r="E107" s="79"/>
      <c r="F107" s="80" t="str">
        <f t="shared" si="10"/>
        <v/>
      </c>
      <c r="G107" s="39" t="s">
        <v>140</v>
      </c>
      <c r="H107" s="81"/>
      <c r="I107" s="82" t="str">
        <f>IF(A107="","Pending",IF(H107="","⚠️ Enter Agent Code",IF(IFERROR(VLOOKUP(G107,DB_Agents!$B:$I,8,0),"")=H107,IF(AND(A107&lt;&gt;"",E107&lt;&gt;""),"Saved","Pending"),"🔒 BLOCKED — Wrong Code")))</f>
        <v>Pending</v>
      </c>
      <c r="J107" s="83" t="str">
        <f t="shared" ca="1" si="11"/>
        <v>—</v>
      </c>
      <c r="K107" s="84"/>
    </row>
    <row r="108" spans="1:11" ht="15" customHeight="1" x14ac:dyDescent="0.25">
      <c r="A108" s="85"/>
      <c r="B108" s="41" t="str">
        <f>IF(A108="","",IFERROR(VLOOKUP(A108,DB_Customers!$A:$D,4,0),"❌ Account Not Found"))</f>
        <v/>
      </c>
      <c r="C108" s="86" t="str">
        <f>IF(A108="","",IFERROR(IF(SUMIF(DB_Savings!$C:$C,A108,DB_Savings!$F:$F)=0,VLOOKUP(A108,DB_Customers!$A:$I,9,0),VLOOKUP(A108,DB_Customers!$A:$N,14,0)),"❌ Acct Not Found"))</f>
        <v/>
      </c>
      <c r="D108" s="87" t="str">
        <f t="shared" ca="1" si="9"/>
        <v/>
      </c>
      <c r="E108" s="79"/>
      <c r="F108" s="88" t="str">
        <f t="shared" si="10"/>
        <v/>
      </c>
      <c r="G108" s="43" t="s">
        <v>140</v>
      </c>
      <c r="H108" s="81"/>
      <c r="I108" s="89" t="str">
        <f>IF(A108="","Pending",IF(H108="","⚠️ Enter Agent Code",IF(IFERROR(VLOOKUP(G108,DB_Agents!$B:$I,8,0),"")=H108,IF(AND(A108&lt;&gt;"",E108&lt;&gt;""),"Saved","Pending"),"🔒 BLOCKED — Wrong Code")))</f>
        <v>Pending</v>
      </c>
      <c r="J108" s="90" t="str">
        <f t="shared" ca="1" si="11"/>
        <v>—</v>
      </c>
      <c r="K108" s="91"/>
    </row>
    <row r="109" spans="1:11" ht="15" customHeight="1" x14ac:dyDescent="0.25">
      <c r="A109" s="76"/>
      <c r="B109" s="37" t="str">
        <f>IF(A109="","",IFERROR(VLOOKUP(A109,DB_Customers!$A:$D,4,0),"❌ Account Not Found"))</f>
        <v/>
      </c>
      <c r="C109" s="77" t="str">
        <f>IF(A109="","",IFERROR(IF(SUMIF(DB_Savings!$C:$C,A109,DB_Savings!$F:$F)=0,VLOOKUP(A109,DB_Customers!$A:$I,9,0),VLOOKUP(A109,DB_Customers!$A:$N,14,0)),"❌ Acct Not Found"))</f>
        <v/>
      </c>
      <c r="D109" s="78" t="str">
        <f t="shared" ca="1" si="9"/>
        <v/>
      </c>
      <c r="E109" s="79"/>
      <c r="F109" s="80" t="str">
        <f t="shared" si="10"/>
        <v/>
      </c>
      <c r="G109" s="39" t="s">
        <v>140</v>
      </c>
      <c r="H109" s="81"/>
      <c r="I109" s="82" t="str">
        <f>IF(A109="","Pending",IF(H109="","⚠️ Enter Agent Code",IF(IFERROR(VLOOKUP(G109,DB_Agents!$B:$I,8,0),"")=H109,IF(AND(A109&lt;&gt;"",E109&lt;&gt;""),"Saved","Pending"),"🔒 BLOCKED — Wrong Code")))</f>
        <v>Pending</v>
      </c>
      <c r="J109" s="83" t="str">
        <f t="shared" ca="1" si="11"/>
        <v>—</v>
      </c>
      <c r="K109" s="84"/>
    </row>
    <row r="110" spans="1:11" ht="15" customHeight="1" x14ac:dyDescent="0.25">
      <c r="A110" s="85"/>
      <c r="B110" s="41" t="str">
        <f>IF(A110="","",IFERROR(VLOOKUP(A110,DB_Customers!$A:$D,4,0),"❌ Account Not Found"))</f>
        <v/>
      </c>
      <c r="C110" s="86" t="str">
        <f>IF(A110="","",IFERROR(IF(SUMIF(DB_Savings!$C:$C,A110,DB_Savings!$F:$F)=0,VLOOKUP(A110,DB_Customers!$A:$I,9,0),VLOOKUP(A110,DB_Customers!$A:$N,14,0)),"❌ Acct Not Found"))</f>
        <v/>
      </c>
      <c r="D110" s="87" t="str">
        <f t="shared" ca="1" si="9"/>
        <v/>
      </c>
      <c r="E110" s="79"/>
      <c r="F110" s="88" t="str">
        <f t="shared" si="10"/>
        <v/>
      </c>
      <c r="G110" s="43" t="s">
        <v>140</v>
      </c>
      <c r="H110" s="81"/>
      <c r="I110" s="89" t="str">
        <f>IF(A110="","Pending",IF(H110="","⚠️ Enter Agent Code",IF(IFERROR(VLOOKUP(G110,DB_Agents!$B:$I,8,0),"")=H110,IF(AND(A110&lt;&gt;"",E110&lt;&gt;""),"Saved","Pending"),"🔒 BLOCKED — Wrong Code")))</f>
        <v>Pending</v>
      </c>
      <c r="J110" s="90" t="str">
        <f t="shared" ca="1" si="11"/>
        <v>—</v>
      </c>
      <c r="K110" s="91"/>
    </row>
    <row r="111" spans="1:11" ht="15" customHeight="1" x14ac:dyDescent="0.25">
      <c r="A111" s="76"/>
      <c r="B111" s="37" t="str">
        <f>IF(A111="","",IFERROR(VLOOKUP(A111,DB_Customers!$A:$D,4,0),"❌ Account Not Found"))</f>
        <v/>
      </c>
      <c r="C111" s="77" t="str">
        <f>IF(A111="","",IFERROR(IF(SUMIF(DB_Savings!$C:$C,A111,DB_Savings!$F:$F)=0,VLOOKUP(A111,DB_Customers!$A:$I,9,0),VLOOKUP(A111,DB_Customers!$A:$N,14,0)),"❌ Acct Not Found"))</f>
        <v/>
      </c>
      <c r="D111" s="78" t="str">
        <f t="shared" ca="1" si="9"/>
        <v/>
      </c>
      <c r="E111" s="79"/>
      <c r="F111" s="80" t="str">
        <f t="shared" si="10"/>
        <v/>
      </c>
      <c r="G111" s="39" t="s">
        <v>140</v>
      </c>
      <c r="H111" s="81"/>
      <c r="I111" s="82" t="str">
        <f>IF(A111="","Pending",IF(H111="","⚠️ Enter Agent Code",IF(IFERROR(VLOOKUP(G111,DB_Agents!$B:$I,8,0),"")=H111,IF(AND(A111&lt;&gt;"",E111&lt;&gt;""),"Saved","Pending"),"🔒 BLOCKED — Wrong Code")))</f>
        <v>Pending</v>
      </c>
      <c r="J111" s="83" t="str">
        <f t="shared" ca="1" si="11"/>
        <v>—</v>
      </c>
      <c r="K111" s="84"/>
    </row>
    <row r="112" spans="1:11" ht="15" customHeight="1" x14ac:dyDescent="0.25">
      <c r="A112" s="85"/>
      <c r="B112" s="41" t="str">
        <f>IF(A112="","",IFERROR(VLOOKUP(A112,DB_Customers!$A:$D,4,0),"❌ Account Not Found"))</f>
        <v/>
      </c>
      <c r="C112" s="86" t="str">
        <f>IF(A112="","",IFERROR(IF(SUMIF(DB_Savings!$C:$C,A112,DB_Savings!$F:$F)=0,VLOOKUP(A112,DB_Customers!$A:$I,9,0),VLOOKUP(A112,DB_Customers!$A:$N,14,0)),"❌ Acct Not Found"))</f>
        <v/>
      </c>
      <c r="D112" s="87" t="str">
        <f t="shared" ca="1" si="9"/>
        <v/>
      </c>
      <c r="E112" s="79"/>
      <c r="F112" s="88" t="str">
        <f t="shared" si="10"/>
        <v/>
      </c>
      <c r="G112" s="43" t="s">
        <v>140</v>
      </c>
      <c r="H112" s="81"/>
      <c r="I112" s="89" t="str">
        <f>IF(A112="","Pending",IF(H112="","⚠️ Enter Agent Code",IF(IFERROR(VLOOKUP(G112,DB_Agents!$B:$I,8,0),"")=H112,IF(AND(A112&lt;&gt;"",E112&lt;&gt;""),"Saved","Pending"),"🔒 BLOCKED — Wrong Code")))</f>
        <v>Pending</v>
      </c>
      <c r="J112" s="90" t="str">
        <f t="shared" ca="1" si="11"/>
        <v>—</v>
      </c>
      <c r="K112" s="91"/>
    </row>
    <row r="113" spans="1:11" ht="15" customHeight="1" x14ac:dyDescent="0.25">
      <c r="A113" s="76"/>
      <c r="B113" s="37" t="str">
        <f>IF(A113="","",IFERROR(VLOOKUP(A113,DB_Customers!$A:$D,4,0),"❌ Account Not Found"))</f>
        <v/>
      </c>
      <c r="C113" s="77" t="str">
        <f>IF(A113="","",IFERROR(IF(SUMIF(DB_Savings!$C:$C,A113,DB_Savings!$F:$F)=0,VLOOKUP(A113,DB_Customers!$A:$I,9,0),VLOOKUP(A113,DB_Customers!$A:$N,14,0)),"❌ Acct Not Found"))</f>
        <v/>
      </c>
      <c r="D113" s="78" t="str">
        <f t="shared" ca="1" si="9"/>
        <v/>
      </c>
      <c r="E113" s="79"/>
      <c r="F113" s="80" t="str">
        <f t="shared" si="10"/>
        <v/>
      </c>
      <c r="G113" s="39" t="s">
        <v>140</v>
      </c>
      <c r="H113" s="81"/>
      <c r="I113" s="82" t="str">
        <f>IF(A113="","Pending",IF(H113="","⚠️ Enter Agent Code",IF(IFERROR(VLOOKUP(G113,DB_Agents!$B:$I,8,0),"")=H113,IF(AND(A113&lt;&gt;"",E113&lt;&gt;""),"Saved","Pending"),"🔒 BLOCKED — Wrong Code")))</f>
        <v>Pending</v>
      </c>
      <c r="J113" s="83" t="str">
        <f t="shared" ca="1" si="11"/>
        <v>—</v>
      </c>
      <c r="K113" s="84"/>
    </row>
    <row r="114" spans="1:11" ht="15" customHeight="1" x14ac:dyDescent="0.25">
      <c r="A114" s="85"/>
      <c r="B114" s="41" t="str">
        <f>IF(A114="","",IFERROR(VLOOKUP(A114,DB_Customers!$A:$D,4,0),"❌ Account Not Found"))</f>
        <v/>
      </c>
      <c r="C114" s="86" t="str">
        <f>IF(A114="","",IFERROR(IF(SUMIF(DB_Savings!$C:$C,A114,DB_Savings!$F:$F)=0,VLOOKUP(A114,DB_Customers!$A:$I,9,0),VLOOKUP(A114,DB_Customers!$A:$N,14,0)),"❌ Acct Not Found"))</f>
        <v/>
      </c>
      <c r="D114" s="87" t="str">
        <f t="shared" ca="1" si="9"/>
        <v/>
      </c>
      <c r="E114" s="79"/>
      <c r="F114" s="88" t="str">
        <f t="shared" si="10"/>
        <v/>
      </c>
      <c r="G114" s="43" t="s">
        <v>140</v>
      </c>
      <c r="H114" s="81"/>
      <c r="I114" s="89" t="str">
        <f>IF(A114="","Pending",IF(H114="","⚠️ Enter Agent Code",IF(IFERROR(VLOOKUP(G114,DB_Agents!$B:$I,8,0),"")=H114,IF(AND(A114&lt;&gt;"",E114&lt;&gt;""),"Saved","Pending"),"🔒 BLOCKED — Wrong Code")))</f>
        <v>Pending</v>
      </c>
      <c r="J114" s="90" t="str">
        <f t="shared" ca="1" si="11"/>
        <v>—</v>
      </c>
      <c r="K114" s="91"/>
    </row>
    <row r="115" spans="1:11" ht="15" customHeight="1" x14ac:dyDescent="0.25">
      <c r="A115" s="76"/>
      <c r="B115" s="37" t="str">
        <f>IF(A115="","",IFERROR(VLOOKUP(A115,DB_Customers!$A:$D,4,0),"❌ Account Not Found"))</f>
        <v/>
      </c>
      <c r="C115" s="77" t="str">
        <f>IF(A115="","",IFERROR(IF(SUMIF(DB_Savings!$C:$C,A115,DB_Savings!$F:$F)=0,VLOOKUP(A115,DB_Customers!$A:$I,9,0),VLOOKUP(A115,DB_Customers!$A:$N,14,0)),"❌ Acct Not Found"))</f>
        <v/>
      </c>
      <c r="D115" s="78" t="str">
        <f t="shared" ca="1" si="9"/>
        <v/>
      </c>
      <c r="E115" s="79"/>
      <c r="F115" s="80" t="str">
        <f t="shared" si="10"/>
        <v/>
      </c>
      <c r="G115" s="39" t="s">
        <v>140</v>
      </c>
      <c r="H115" s="81"/>
      <c r="I115" s="82" t="str">
        <f>IF(A115="","Pending",IF(H115="","⚠️ Enter Agent Code",IF(IFERROR(VLOOKUP(G115,DB_Agents!$B:$I,8,0),"")=H115,IF(AND(A115&lt;&gt;"",E115&lt;&gt;""),"Saved","Pending"),"🔒 BLOCKED — Wrong Code")))</f>
        <v>Pending</v>
      </c>
      <c r="J115" s="83" t="str">
        <f t="shared" ca="1" si="11"/>
        <v>—</v>
      </c>
      <c r="K115" s="84"/>
    </row>
    <row r="116" spans="1:11" ht="15" customHeight="1" x14ac:dyDescent="0.25">
      <c r="A116" s="85"/>
      <c r="B116" s="41" t="str">
        <f>IF(A116="","",IFERROR(VLOOKUP(A116,DB_Customers!$A:$D,4,0),"❌ Account Not Found"))</f>
        <v/>
      </c>
      <c r="C116" s="86" t="str">
        <f>IF(A116="","",IFERROR(IF(SUMIF(DB_Savings!$C:$C,A116,DB_Savings!$F:$F)=0,VLOOKUP(A116,DB_Customers!$A:$I,9,0),VLOOKUP(A116,DB_Customers!$A:$N,14,0)),"❌ Acct Not Found"))</f>
        <v/>
      </c>
      <c r="D116" s="87" t="str">
        <f t="shared" ca="1" si="9"/>
        <v/>
      </c>
      <c r="E116" s="79"/>
      <c r="F116" s="88" t="str">
        <f t="shared" si="10"/>
        <v/>
      </c>
      <c r="G116" s="43" t="s">
        <v>140</v>
      </c>
      <c r="H116" s="81"/>
      <c r="I116" s="89" t="str">
        <f>IF(A116="","Pending",IF(H116="","⚠️ Enter Agent Code",IF(IFERROR(VLOOKUP(G116,DB_Agents!$B:$I,8,0),"")=H116,IF(AND(A116&lt;&gt;"",E116&lt;&gt;""),"Saved","Pending"),"🔒 BLOCKED — Wrong Code")))</f>
        <v>Pending</v>
      </c>
      <c r="J116" s="90" t="str">
        <f t="shared" ca="1" si="11"/>
        <v>—</v>
      </c>
      <c r="K116" s="91"/>
    </row>
    <row r="117" spans="1:11" ht="15" customHeight="1" x14ac:dyDescent="0.25">
      <c r="A117" s="76"/>
      <c r="B117" s="37" t="str">
        <f>IF(A117="","",IFERROR(VLOOKUP(A117,DB_Customers!$A:$D,4,0),"❌ Account Not Found"))</f>
        <v/>
      </c>
      <c r="C117" s="77" t="str">
        <f>IF(A117="","",IFERROR(IF(SUMIF(DB_Savings!$C:$C,A117,DB_Savings!$F:$F)=0,VLOOKUP(A117,DB_Customers!$A:$I,9,0),VLOOKUP(A117,DB_Customers!$A:$N,14,0)),"❌ Acct Not Found"))</f>
        <v/>
      </c>
      <c r="D117" s="78" t="str">
        <f t="shared" ca="1" si="9"/>
        <v/>
      </c>
      <c r="E117" s="79"/>
      <c r="F117" s="80" t="str">
        <f t="shared" si="10"/>
        <v/>
      </c>
      <c r="G117" s="39" t="s">
        <v>140</v>
      </c>
      <c r="H117" s="81"/>
      <c r="I117" s="82" t="str">
        <f>IF(A117="","Pending",IF(H117="","⚠️ Enter Agent Code",IF(IFERROR(VLOOKUP(G117,DB_Agents!$B:$I,8,0),"")=H117,IF(AND(A117&lt;&gt;"",E117&lt;&gt;""),"Saved","Pending"),"🔒 BLOCKED — Wrong Code")))</f>
        <v>Pending</v>
      </c>
      <c r="J117" s="83" t="str">
        <f t="shared" ca="1" si="11"/>
        <v>—</v>
      </c>
      <c r="K117" s="84"/>
    </row>
    <row r="118" spans="1:11" ht="15" customHeight="1" x14ac:dyDescent="0.25">
      <c r="A118" s="85"/>
      <c r="B118" s="41" t="str">
        <f>IF(A118="","",IFERROR(VLOOKUP(A118,DB_Customers!$A:$D,4,0),"❌ Account Not Found"))</f>
        <v/>
      </c>
      <c r="C118" s="86" t="str">
        <f>IF(A118="","",IFERROR(IF(SUMIF(DB_Savings!$C:$C,A118,DB_Savings!$F:$F)=0,VLOOKUP(A118,DB_Customers!$A:$I,9,0),VLOOKUP(A118,DB_Customers!$A:$N,14,0)),"❌ Acct Not Found"))</f>
        <v/>
      </c>
      <c r="D118" s="87" t="str">
        <f t="shared" ca="1" si="9"/>
        <v/>
      </c>
      <c r="E118" s="79"/>
      <c r="F118" s="88" t="str">
        <f t="shared" si="10"/>
        <v/>
      </c>
      <c r="G118" s="43" t="s">
        <v>140</v>
      </c>
      <c r="H118" s="81"/>
      <c r="I118" s="89" t="str">
        <f>IF(A118="","Pending",IF(H118="","⚠️ Enter Agent Code",IF(IFERROR(VLOOKUP(G118,DB_Agents!$B:$I,8,0),"")=H118,IF(AND(A118&lt;&gt;"",E118&lt;&gt;""),"Saved","Pending"),"🔒 BLOCKED — Wrong Code")))</f>
        <v>Pending</v>
      </c>
      <c r="J118" s="90" t="str">
        <f t="shared" ca="1" si="11"/>
        <v>—</v>
      </c>
      <c r="K118" s="91"/>
    </row>
    <row r="119" spans="1:11" ht="15" customHeight="1" x14ac:dyDescent="0.25">
      <c r="A119" s="76"/>
      <c r="B119" s="37" t="str">
        <f>IF(A119="","",IFERROR(VLOOKUP(A119,DB_Customers!$A:$D,4,0),"❌ Account Not Found"))</f>
        <v/>
      </c>
      <c r="C119" s="77" t="str">
        <f>IF(A119="","",IFERROR(IF(SUMIF(DB_Savings!$C:$C,A119,DB_Savings!$F:$F)=0,VLOOKUP(A119,DB_Customers!$A:$I,9,0),VLOOKUP(A119,DB_Customers!$A:$N,14,0)),"❌ Acct Not Found"))</f>
        <v/>
      </c>
      <c r="D119" s="78" t="str">
        <f t="shared" ca="1" si="9"/>
        <v/>
      </c>
      <c r="E119" s="79"/>
      <c r="F119" s="80" t="str">
        <f t="shared" si="10"/>
        <v/>
      </c>
      <c r="G119" s="39" t="s">
        <v>140</v>
      </c>
      <c r="H119" s="81"/>
      <c r="I119" s="82" t="str">
        <f>IF(A119="","Pending",IF(H119="","⚠️ Enter Agent Code",IF(IFERROR(VLOOKUP(G119,DB_Agents!$B:$I,8,0),"")=H119,IF(AND(A119&lt;&gt;"",E119&lt;&gt;""),"Saved","Pending"),"🔒 BLOCKED — Wrong Code")))</f>
        <v>Pending</v>
      </c>
      <c r="J119" s="83" t="str">
        <f t="shared" ca="1" si="11"/>
        <v>—</v>
      </c>
      <c r="K119" s="84"/>
    </row>
    <row r="120" spans="1:11" ht="15" customHeight="1" x14ac:dyDescent="0.25">
      <c r="A120" s="85"/>
      <c r="B120" s="41" t="str">
        <f>IF(A120="","",IFERROR(VLOOKUP(A120,DB_Customers!$A:$D,4,0),"❌ Account Not Found"))</f>
        <v/>
      </c>
      <c r="C120" s="86" t="str">
        <f>IF(A120="","",IFERROR(IF(SUMIF(DB_Savings!$C:$C,A120,DB_Savings!$F:$F)=0,VLOOKUP(A120,DB_Customers!$A:$I,9,0),VLOOKUP(A120,DB_Customers!$A:$N,14,0)),"❌ Acct Not Found"))</f>
        <v/>
      </c>
      <c r="D120" s="87" t="str">
        <f t="shared" ca="1" si="9"/>
        <v/>
      </c>
      <c r="E120" s="79"/>
      <c r="F120" s="88" t="str">
        <f t="shared" si="10"/>
        <v/>
      </c>
      <c r="G120" s="43" t="s">
        <v>140</v>
      </c>
      <c r="H120" s="81"/>
      <c r="I120" s="89" t="str">
        <f>IF(A120="","Pending",IF(H120="","⚠️ Enter Agent Code",IF(IFERROR(VLOOKUP(G120,DB_Agents!$B:$I,8,0),"")=H120,IF(AND(A120&lt;&gt;"",E120&lt;&gt;""),"Saved","Pending"),"🔒 BLOCKED — Wrong Code")))</f>
        <v>Pending</v>
      </c>
      <c r="J120" s="90" t="str">
        <f t="shared" ca="1" si="11"/>
        <v>—</v>
      </c>
      <c r="K120" s="91"/>
    </row>
    <row r="121" spans="1:11" ht="15" customHeight="1" x14ac:dyDescent="0.25">
      <c r="A121" s="76"/>
      <c r="B121" s="37" t="str">
        <f>IF(A121="","",IFERROR(VLOOKUP(A121,DB_Customers!$A:$D,4,0),"❌ Account Not Found"))</f>
        <v/>
      </c>
      <c r="C121" s="77" t="str">
        <f>IF(A121="","",IFERROR(IF(SUMIF(DB_Savings!$C:$C,A121,DB_Savings!$F:$F)=0,VLOOKUP(A121,DB_Customers!$A:$I,9,0),VLOOKUP(A121,DB_Customers!$A:$N,14,0)),"❌ Acct Not Found"))</f>
        <v/>
      </c>
      <c r="D121" s="78" t="str">
        <f t="shared" ca="1" si="9"/>
        <v/>
      </c>
      <c r="E121" s="79"/>
      <c r="F121" s="80" t="str">
        <f t="shared" si="10"/>
        <v/>
      </c>
      <c r="G121" s="39" t="s">
        <v>140</v>
      </c>
      <c r="H121" s="81"/>
      <c r="I121" s="82" t="str">
        <f>IF(A121="","Pending",IF(H121="","⚠️ Enter Agent Code",IF(IFERROR(VLOOKUP(G121,DB_Agents!$B:$I,8,0),"")=H121,IF(AND(A121&lt;&gt;"",E121&lt;&gt;""),"Saved","Pending"),"🔒 BLOCKED — Wrong Code")))</f>
        <v>Pending</v>
      </c>
      <c r="J121" s="83" t="str">
        <f t="shared" ca="1" si="11"/>
        <v>—</v>
      </c>
      <c r="K121" s="84"/>
    </row>
    <row r="122" spans="1:11" ht="15" customHeight="1" x14ac:dyDescent="0.25">
      <c r="A122" s="85"/>
      <c r="B122" s="41" t="str">
        <f>IF(A122="","",IFERROR(VLOOKUP(A122,DB_Customers!$A:$D,4,0),"❌ Account Not Found"))</f>
        <v/>
      </c>
      <c r="C122" s="86" t="str">
        <f>IF(A122="","",IFERROR(IF(SUMIF(DB_Savings!$C:$C,A122,DB_Savings!$F:$F)=0,VLOOKUP(A122,DB_Customers!$A:$I,9,0),VLOOKUP(A122,DB_Customers!$A:$N,14,0)),"❌ Acct Not Found"))</f>
        <v/>
      </c>
      <c r="D122" s="87" t="str">
        <f t="shared" ca="1" si="9"/>
        <v/>
      </c>
      <c r="E122" s="79"/>
      <c r="F122" s="88" t="str">
        <f t="shared" si="10"/>
        <v/>
      </c>
      <c r="G122" s="43" t="s">
        <v>140</v>
      </c>
      <c r="H122" s="81"/>
      <c r="I122" s="89" t="str">
        <f>IF(A122="","Pending",IF(H122="","⚠️ Enter Agent Code",IF(IFERROR(VLOOKUP(G122,DB_Agents!$B:$I,8,0),"")=H122,IF(AND(A122&lt;&gt;"",E122&lt;&gt;""),"Saved","Pending"),"🔒 BLOCKED — Wrong Code")))</f>
        <v>Pending</v>
      </c>
      <c r="J122" s="90" t="str">
        <f t="shared" ca="1" si="11"/>
        <v>—</v>
      </c>
      <c r="K122" s="91"/>
    </row>
    <row r="123" spans="1:11" ht="15" customHeight="1" x14ac:dyDescent="0.25">
      <c r="A123" s="76"/>
      <c r="B123" s="37" t="str">
        <f>IF(A123="","",IFERROR(VLOOKUP(A123,DB_Customers!$A:$D,4,0),"❌ Account Not Found"))</f>
        <v/>
      </c>
      <c r="C123" s="77" t="str">
        <f>IF(A123="","",IFERROR(IF(SUMIF(DB_Savings!$C:$C,A123,DB_Savings!$F:$F)=0,VLOOKUP(A123,DB_Customers!$A:$I,9,0),VLOOKUP(A123,DB_Customers!$A:$N,14,0)),"❌ Acct Not Found"))</f>
        <v/>
      </c>
      <c r="D123" s="78" t="str">
        <f t="shared" ca="1" si="9"/>
        <v/>
      </c>
      <c r="E123" s="79"/>
      <c r="F123" s="80" t="str">
        <f t="shared" si="10"/>
        <v/>
      </c>
      <c r="G123" s="39" t="s">
        <v>140</v>
      </c>
      <c r="H123" s="81"/>
      <c r="I123" s="82" t="str">
        <f>IF(A123="","Pending",IF(H123="","⚠️ Enter Agent Code",IF(IFERROR(VLOOKUP(G123,DB_Agents!$B:$I,8,0),"")=H123,IF(AND(A123&lt;&gt;"",E123&lt;&gt;""),"Saved","Pending"),"🔒 BLOCKED — Wrong Code")))</f>
        <v>Pending</v>
      </c>
      <c r="J123" s="83" t="str">
        <f t="shared" ca="1" si="11"/>
        <v>—</v>
      </c>
      <c r="K123" s="84"/>
    </row>
    <row r="124" spans="1:11" ht="15" customHeight="1" x14ac:dyDescent="0.25">
      <c r="A124" s="85"/>
      <c r="B124" s="41" t="str">
        <f>IF(A124="","",IFERROR(VLOOKUP(A124,DB_Customers!$A:$D,4,0),"❌ Account Not Found"))</f>
        <v/>
      </c>
      <c r="C124" s="86" t="str">
        <f>IF(A124="","",IFERROR(IF(SUMIF(DB_Savings!$C:$C,A124,DB_Savings!$F:$F)=0,VLOOKUP(A124,DB_Customers!$A:$I,9,0),VLOOKUP(A124,DB_Customers!$A:$N,14,0)),"❌ Acct Not Found"))</f>
        <v/>
      </c>
      <c r="D124" s="87" t="str">
        <f t="shared" ca="1" si="9"/>
        <v/>
      </c>
      <c r="E124" s="79"/>
      <c r="F124" s="88" t="str">
        <f t="shared" si="10"/>
        <v/>
      </c>
      <c r="G124" s="43" t="s">
        <v>140</v>
      </c>
      <c r="H124" s="81"/>
      <c r="I124" s="89" t="str">
        <f>IF(A124="","Pending",IF(H124="","⚠️ Enter Agent Code",IF(IFERROR(VLOOKUP(G124,DB_Agents!$B:$I,8,0),"")=H124,IF(AND(A124&lt;&gt;"",E124&lt;&gt;""),"Saved","Pending"),"🔒 BLOCKED — Wrong Code")))</f>
        <v>Pending</v>
      </c>
      <c r="J124" s="90" t="str">
        <f t="shared" ca="1" si="11"/>
        <v>—</v>
      </c>
      <c r="K124" s="91"/>
    </row>
    <row r="125" spans="1:11" ht="15" customHeight="1" x14ac:dyDescent="0.25">
      <c r="A125" s="76"/>
      <c r="B125" s="37" t="str">
        <f>IF(A125="","",IFERROR(VLOOKUP(A125,DB_Customers!$A:$D,4,0),"❌ Account Not Found"))</f>
        <v/>
      </c>
      <c r="C125" s="77" t="str">
        <f>IF(A125="","",IFERROR(IF(SUMIF(DB_Savings!$C:$C,A125,DB_Savings!$F:$F)=0,VLOOKUP(A125,DB_Customers!$A:$I,9,0),VLOOKUP(A125,DB_Customers!$A:$N,14,0)),"❌ Acct Not Found"))</f>
        <v/>
      </c>
      <c r="D125" s="78" t="str">
        <f t="shared" ca="1" si="9"/>
        <v/>
      </c>
      <c r="E125" s="79"/>
      <c r="F125" s="80" t="str">
        <f t="shared" si="10"/>
        <v/>
      </c>
      <c r="G125" s="39" t="s">
        <v>140</v>
      </c>
      <c r="H125" s="81"/>
      <c r="I125" s="82" t="str">
        <f>IF(A125="","Pending",IF(H125="","⚠️ Enter Agent Code",IF(IFERROR(VLOOKUP(G125,DB_Agents!$B:$I,8,0),"")=H125,IF(AND(A125&lt;&gt;"",E125&lt;&gt;""),"Saved","Pending"),"🔒 BLOCKED — Wrong Code")))</f>
        <v>Pending</v>
      </c>
      <c r="J125" s="83" t="str">
        <f t="shared" ca="1" si="11"/>
        <v>—</v>
      </c>
      <c r="K125" s="84"/>
    </row>
    <row r="126" spans="1:11" ht="15" customHeight="1" x14ac:dyDescent="0.25">
      <c r="A126" s="85"/>
      <c r="B126" s="41" t="str">
        <f>IF(A126="","",IFERROR(VLOOKUP(A126,DB_Customers!$A:$D,4,0),"❌ Account Not Found"))</f>
        <v/>
      </c>
      <c r="C126" s="86" t="str">
        <f>IF(A126="","",IFERROR(IF(SUMIF(DB_Savings!$C:$C,A126,DB_Savings!$F:$F)=0,VLOOKUP(A126,DB_Customers!$A:$I,9,0),VLOOKUP(A126,DB_Customers!$A:$N,14,0)),"❌ Acct Not Found"))</f>
        <v/>
      </c>
      <c r="D126" s="87" t="str">
        <f t="shared" ca="1" si="9"/>
        <v/>
      </c>
      <c r="E126" s="79"/>
      <c r="F126" s="88" t="str">
        <f t="shared" si="10"/>
        <v/>
      </c>
      <c r="G126" s="43" t="s">
        <v>140</v>
      </c>
      <c r="H126" s="81"/>
      <c r="I126" s="89" t="str">
        <f>IF(A126="","Pending",IF(H126="","⚠️ Enter Agent Code",IF(IFERROR(VLOOKUP(G126,DB_Agents!$B:$I,8,0),"")=H126,IF(AND(A126&lt;&gt;"",E126&lt;&gt;""),"Saved","Pending"),"🔒 BLOCKED — Wrong Code")))</f>
        <v>Pending</v>
      </c>
      <c r="J126" s="90" t="str">
        <f t="shared" ca="1" si="11"/>
        <v>—</v>
      </c>
      <c r="K126" s="91"/>
    </row>
    <row r="127" spans="1:11" ht="15" customHeight="1" x14ac:dyDescent="0.25">
      <c r="A127" s="76"/>
      <c r="B127" s="37" t="str">
        <f>IF(A127="","",IFERROR(VLOOKUP(A127,DB_Customers!$A:$D,4,0),"❌ Account Not Found"))</f>
        <v/>
      </c>
      <c r="C127" s="77" t="str">
        <f>IF(A127="","",IFERROR(IF(SUMIF(DB_Savings!$C:$C,A127,DB_Savings!$F:$F)=0,VLOOKUP(A127,DB_Customers!$A:$I,9,0),VLOOKUP(A127,DB_Customers!$A:$N,14,0)),"❌ Acct Not Found"))</f>
        <v/>
      </c>
      <c r="D127" s="78" t="str">
        <f t="shared" ca="1" si="9"/>
        <v/>
      </c>
      <c r="E127" s="79"/>
      <c r="F127" s="80" t="str">
        <f t="shared" si="10"/>
        <v/>
      </c>
      <c r="G127" s="39" t="s">
        <v>140</v>
      </c>
      <c r="H127" s="81"/>
      <c r="I127" s="82" t="str">
        <f>IF(A127="","Pending",IF(H127="","⚠️ Enter Agent Code",IF(IFERROR(VLOOKUP(G127,DB_Agents!$B:$I,8,0),"")=H127,IF(AND(A127&lt;&gt;"",E127&lt;&gt;""),"Saved","Pending"),"🔒 BLOCKED — Wrong Code")))</f>
        <v>Pending</v>
      </c>
      <c r="J127" s="83" t="str">
        <f t="shared" ca="1" si="11"/>
        <v>—</v>
      </c>
      <c r="K127" s="84"/>
    </row>
    <row r="128" spans="1:11" ht="15" customHeight="1" x14ac:dyDescent="0.25">
      <c r="A128" s="85"/>
      <c r="B128" s="41" t="str">
        <f>IF(A128="","",IFERROR(VLOOKUP(A128,DB_Customers!$A:$D,4,0),"❌ Account Not Found"))</f>
        <v/>
      </c>
      <c r="C128" s="86" t="str">
        <f>IF(A128="","",IFERROR(IF(SUMIF(DB_Savings!$C:$C,A128,DB_Savings!$F:$F)=0,VLOOKUP(A128,DB_Customers!$A:$I,9,0),VLOOKUP(A128,DB_Customers!$A:$N,14,0)),"❌ Acct Not Found"))</f>
        <v/>
      </c>
      <c r="D128" s="87" t="str">
        <f t="shared" ca="1" si="9"/>
        <v/>
      </c>
      <c r="E128" s="79"/>
      <c r="F128" s="88" t="str">
        <f t="shared" si="10"/>
        <v/>
      </c>
      <c r="G128" s="43" t="s">
        <v>140</v>
      </c>
      <c r="H128" s="81"/>
      <c r="I128" s="89" t="str">
        <f>IF(A128="","Pending",IF(H128="","⚠️ Enter Agent Code",IF(IFERROR(VLOOKUP(G128,DB_Agents!$B:$I,8,0),"")=H128,IF(AND(A128&lt;&gt;"",E128&lt;&gt;""),"Saved","Pending"),"🔒 BLOCKED — Wrong Code")))</f>
        <v>Pending</v>
      </c>
      <c r="J128" s="90" t="str">
        <f t="shared" ca="1" si="11"/>
        <v>—</v>
      </c>
      <c r="K128" s="91"/>
    </row>
    <row r="129" spans="1:11" ht="15" customHeight="1" x14ac:dyDescent="0.25">
      <c r="A129" s="76"/>
      <c r="B129" s="37" t="str">
        <f>IF(A129="","",IFERROR(VLOOKUP(A129,DB_Customers!$A:$D,4,0),"❌ Account Not Found"))</f>
        <v/>
      </c>
      <c r="C129" s="77" t="str">
        <f>IF(A129="","",IFERROR(IF(SUMIF(DB_Savings!$C:$C,A129,DB_Savings!$F:$F)=0,VLOOKUP(A129,DB_Customers!$A:$I,9,0),VLOOKUP(A129,DB_Customers!$A:$N,14,0)),"❌ Acct Not Found"))</f>
        <v/>
      </c>
      <c r="D129" s="78" t="str">
        <f t="shared" ca="1" si="9"/>
        <v/>
      </c>
      <c r="E129" s="79"/>
      <c r="F129" s="80" t="str">
        <f t="shared" si="10"/>
        <v/>
      </c>
      <c r="G129" s="39" t="s">
        <v>140</v>
      </c>
      <c r="H129" s="81"/>
      <c r="I129" s="82" t="str">
        <f>IF(A129="","Pending",IF(H129="","⚠️ Enter Agent Code",IF(IFERROR(VLOOKUP(G129,DB_Agents!$B:$I,8,0),"")=H129,IF(AND(A129&lt;&gt;"",E129&lt;&gt;""),"Saved","Pending"),"🔒 BLOCKED — Wrong Code")))</f>
        <v>Pending</v>
      </c>
      <c r="J129" s="83" t="str">
        <f t="shared" ca="1" si="11"/>
        <v>—</v>
      </c>
      <c r="K129" s="84"/>
    </row>
    <row r="130" spans="1:11" ht="15" customHeight="1" x14ac:dyDescent="0.25">
      <c r="A130" s="85"/>
      <c r="B130" s="41" t="str">
        <f>IF(A130="","",IFERROR(VLOOKUP(A130,DB_Customers!$A:$D,4,0),"❌ Account Not Found"))</f>
        <v/>
      </c>
      <c r="C130" s="86" t="str">
        <f>IF(A130="","",IFERROR(IF(SUMIF(DB_Savings!$C:$C,A130,DB_Savings!$F:$F)=0,VLOOKUP(A130,DB_Customers!$A:$I,9,0),VLOOKUP(A130,DB_Customers!$A:$N,14,0)),"❌ Acct Not Found"))</f>
        <v/>
      </c>
      <c r="D130" s="87" t="str">
        <f t="shared" ca="1" si="9"/>
        <v/>
      </c>
      <c r="E130" s="79"/>
      <c r="F130" s="88" t="str">
        <f t="shared" si="10"/>
        <v/>
      </c>
      <c r="G130" s="43" t="s">
        <v>140</v>
      </c>
      <c r="H130" s="81"/>
      <c r="I130" s="89" t="str">
        <f>IF(A130="","Pending",IF(H130="","⚠️ Enter Agent Code",IF(IFERROR(VLOOKUP(G130,DB_Agents!$B:$I,8,0),"")=H130,IF(AND(A130&lt;&gt;"",E130&lt;&gt;""),"Saved","Pending"),"🔒 BLOCKED — Wrong Code")))</f>
        <v>Pending</v>
      </c>
      <c r="J130" s="90" t="str">
        <f t="shared" ca="1" si="11"/>
        <v>—</v>
      </c>
      <c r="K130" s="91"/>
    </row>
    <row r="131" spans="1:11" ht="15" customHeight="1" x14ac:dyDescent="0.25">
      <c r="A131" s="76"/>
      <c r="B131" s="37" t="str">
        <f>IF(A131="","",IFERROR(VLOOKUP(A131,DB_Customers!$A:$D,4,0),"❌ Account Not Found"))</f>
        <v/>
      </c>
      <c r="C131" s="77" t="str">
        <f>IF(A131="","",IFERROR(IF(SUMIF(DB_Savings!$C:$C,A131,DB_Savings!$F:$F)=0,VLOOKUP(A131,DB_Customers!$A:$I,9,0),VLOOKUP(A131,DB_Customers!$A:$N,14,0)),"❌ Acct Not Found"))</f>
        <v/>
      </c>
      <c r="D131" s="78" t="str">
        <f t="shared" ca="1" si="9"/>
        <v/>
      </c>
      <c r="E131" s="79"/>
      <c r="F131" s="80" t="str">
        <f t="shared" si="10"/>
        <v/>
      </c>
      <c r="G131" s="39" t="s">
        <v>140</v>
      </c>
      <c r="H131" s="81"/>
      <c r="I131" s="82" t="str">
        <f>IF(A131="","Pending",IF(H131="","⚠️ Enter Agent Code",IF(IFERROR(VLOOKUP(G131,DB_Agents!$B:$I,8,0),"")=H131,IF(AND(A131&lt;&gt;"",E131&lt;&gt;""),"Saved","Pending"),"🔒 BLOCKED — Wrong Code")))</f>
        <v>Pending</v>
      </c>
      <c r="J131" s="83" t="str">
        <f t="shared" ca="1" si="11"/>
        <v>—</v>
      </c>
      <c r="K131" s="84"/>
    </row>
    <row r="132" spans="1:11" ht="15" customHeight="1" x14ac:dyDescent="0.25">
      <c r="A132" s="85"/>
      <c r="B132" s="41" t="str">
        <f>IF(A132="","",IFERROR(VLOOKUP(A132,DB_Customers!$A:$D,4,0),"❌ Account Not Found"))</f>
        <v/>
      </c>
      <c r="C132" s="86" t="str">
        <f>IF(A132="","",IFERROR(IF(SUMIF(DB_Savings!$C:$C,A132,DB_Savings!$F:$F)=0,VLOOKUP(A132,DB_Customers!$A:$I,9,0),VLOOKUP(A132,DB_Customers!$A:$N,14,0)),"❌ Acct Not Found"))</f>
        <v/>
      </c>
      <c r="D132" s="87" t="str">
        <f t="shared" ca="1" si="9"/>
        <v/>
      </c>
      <c r="E132" s="79"/>
      <c r="F132" s="88" t="str">
        <f t="shared" si="10"/>
        <v/>
      </c>
      <c r="G132" s="43" t="s">
        <v>140</v>
      </c>
      <c r="H132" s="81"/>
      <c r="I132" s="89" t="str">
        <f>IF(A132="","Pending",IF(H132="","⚠️ Enter Agent Code",IF(IFERROR(VLOOKUP(G132,DB_Agents!$B:$I,8,0),"")=H132,IF(AND(A132&lt;&gt;"",E132&lt;&gt;""),"Saved","Pending"),"🔒 BLOCKED — Wrong Code")))</f>
        <v>Pending</v>
      </c>
      <c r="J132" s="90" t="str">
        <f t="shared" ca="1" si="11"/>
        <v>—</v>
      </c>
      <c r="K132" s="91"/>
    </row>
    <row r="133" spans="1:11" ht="15" customHeight="1" x14ac:dyDescent="0.25">
      <c r="A133" s="76"/>
      <c r="B133" s="37" t="str">
        <f>IF(A133="","",IFERROR(VLOOKUP(A133,DB_Customers!$A:$D,4,0),"❌ Account Not Found"))</f>
        <v/>
      </c>
      <c r="C133" s="77" t="str">
        <f>IF(A133="","",IFERROR(IF(SUMIF(DB_Savings!$C:$C,A133,DB_Savings!$F:$F)=0,VLOOKUP(A133,DB_Customers!$A:$I,9,0),VLOOKUP(A133,DB_Customers!$A:$N,14,0)),"❌ Acct Not Found"))</f>
        <v/>
      </c>
      <c r="D133" s="78" t="str">
        <f t="shared" ca="1" si="9"/>
        <v/>
      </c>
      <c r="E133" s="79"/>
      <c r="F133" s="80" t="str">
        <f t="shared" si="10"/>
        <v/>
      </c>
      <c r="G133" s="39" t="s">
        <v>140</v>
      </c>
      <c r="H133" s="81"/>
      <c r="I133" s="82" t="str">
        <f>IF(A133="","Pending",IF(H133="","⚠️ Enter Agent Code",IF(IFERROR(VLOOKUP(G133,DB_Agents!$B:$I,8,0),"")=H133,IF(AND(A133&lt;&gt;"",E133&lt;&gt;""),"Saved","Pending"),"🔒 BLOCKED — Wrong Code")))</f>
        <v>Pending</v>
      </c>
      <c r="J133" s="83" t="str">
        <f t="shared" ca="1" si="11"/>
        <v>—</v>
      </c>
      <c r="K133" s="84"/>
    </row>
    <row r="134" spans="1:11" ht="15" customHeight="1" x14ac:dyDescent="0.25">
      <c r="A134" s="85"/>
      <c r="B134" s="41" t="str">
        <f>IF(A134="","",IFERROR(VLOOKUP(A134,DB_Customers!$A:$D,4,0),"❌ Account Not Found"))</f>
        <v/>
      </c>
      <c r="C134" s="86" t="str">
        <f>IF(A134="","",IFERROR(IF(SUMIF(DB_Savings!$C:$C,A134,DB_Savings!$F:$F)=0,VLOOKUP(A134,DB_Customers!$A:$I,9,0),VLOOKUP(A134,DB_Customers!$A:$N,14,0)),"❌ Acct Not Found"))</f>
        <v/>
      </c>
      <c r="D134" s="87" t="str">
        <f t="shared" ca="1" si="9"/>
        <v/>
      </c>
      <c r="E134" s="79"/>
      <c r="F134" s="88" t="str">
        <f t="shared" si="10"/>
        <v/>
      </c>
      <c r="G134" s="43" t="s">
        <v>140</v>
      </c>
      <c r="H134" s="81"/>
      <c r="I134" s="89" t="str">
        <f>IF(A134="","Pending",IF(H134="","⚠️ Enter Agent Code",IF(IFERROR(VLOOKUP(G134,DB_Agents!$B:$I,8,0),"")=H134,IF(AND(A134&lt;&gt;"",E134&lt;&gt;""),"Saved","Pending"),"🔒 BLOCKED — Wrong Code")))</f>
        <v>Pending</v>
      </c>
      <c r="J134" s="90" t="str">
        <f t="shared" ca="1" si="11"/>
        <v>—</v>
      </c>
      <c r="K134" s="91"/>
    </row>
    <row r="135" spans="1:11" ht="15" customHeight="1" x14ac:dyDescent="0.25">
      <c r="A135" s="76"/>
      <c r="B135" s="37" t="str">
        <f>IF(A135="","",IFERROR(VLOOKUP(A135,DB_Customers!$A:$D,4,0),"❌ Account Not Found"))</f>
        <v/>
      </c>
      <c r="C135" s="77" t="str">
        <f>IF(A135="","",IFERROR(IF(SUMIF(DB_Savings!$C:$C,A135,DB_Savings!$F:$F)=0,VLOOKUP(A135,DB_Customers!$A:$I,9,0),VLOOKUP(A135,DB_Customers!$A:$N,14,0)),"❌ Acct Not Found"))</f>
        <v/>
      </c>
      <c r="D135" s="78" t="str">
        <f t="shared" ca="1" si="9"/>
        <v/>
      </c>
      <c r="E135" s="79"/>
      <c r="F135" s="80" t="str">
        <f t="shared" si="10"/>
        <v/>
      </c>
      <c r="G135" s="39" t="s">
        <v>140</v>
      </c>
      <c r="H135" s="81"/>
      <c r="I135" s="82" t="str">
        <f>IF(A135="","Pending",IF(H135="","⚠️ Enter Agent Code",IF(IFERROR(VLOOKUP(G135,DB_Agents!$B:$I,8,0),"")=H135,IF(AND(A135&lt;&gt;"",E135&lt;&gt;""),"Saved","Pending"),"🔒 BLOCKED — Wrong Code")))</f>
        <v>Pending</v>
      </c>
      <c r="J135" s="83" t="str">
        <f t="shared" ca="1" si="11"/>
        <v>—</v>
      </c>
      <c r="K135" s="84"/>
    </row>
    <row r="136" spans="1:11" ht="15" customHeight="1" x14ac:dyDescent="0.25">
      <c r="A136" s="85"/>
      <c r="B136" s="41" t="str">
        <f>IF(A136="","",IFERROR(VLOOKUP(A136,DB_Customers!$A:$D,4,0),"❌ Account Not Found"))</f>
        <v/>
      </c>
      <c r="C136" s="86" t="str">
        <f>IF(A136="","",IFERROR(IF(SUMIF(DB_Savings!$C:$C,A136,DB_Savings!$F:$F)=0,VLOOKUP(A136,DB_Customers!$A:$I,9,0),VLOOKUP(A136,DB_Customers!$A:$N,14,0)),"❌ Acct Not Found"))</f>
        <v/>
      </c>
      <c r="D136" s="87" t="str">
        <f t="shared" ca="1" si="9"/>
        <v/>
      </c>
      <c r="E136" s="79"/>
      <c r="F136" s="88" t="str">
        <f t="shared" si="10"/>
        <v/>
      </c>
      <c r="G136" s="43" t="s">
        <v>140</v>
      </c>
      <c r="H136" s="81"/>
      <c r="I136" s="89" t="str">
        <f>IF(A136="","Pending",IF(H136="","⚠️ Enter Agent Code",IF(IFERROR(VLOOKUP(G136,DB_Agents!$B:$I,8,0),"")=H136,IF(AND(A136&lt;&gt;"",E136&lt;&gt;""),"Saved","Pending"),"🔒 BLOCKED — Wrong Code")))</f>
        <v>Pending</v>
      </c>
      <c r="J136" s="90" t="str">
        <f t="shared" ca="1" si="11"/>
        <v>—</v>
      </c>
      <c r="K136" s="91"/>
    </row>
    <row r="137" spans="1:11" ht="15" customHeight="1" x14ac:dyDescent="0.25">
      <c r="A137" s="76"/>
      <c r="B137" s="37" t="str">
        <f>IF(A137="","",IFERROR(VLOOKUP(A137,DB_Customers!$A:$D,4,0),"❌ Account Not Found"))</f>
        <v/>
      </c>
      <c r="C137" s="77" t="str">
        <f>IF(A137="","",IFERROR(IF(SUMIF(DB_Savings!$C:$C,A137,DB_Savings!$F:$F)=0,VLOOKUP(A137,DB_Customers!$A:$I,9,0),VLOOKUP(A137,DB_Customers!$A:$N,14,0)),"❌ Acct Not Found"))</f>
        <v/>
      </c>
      <c r="D137" s="78" t="str">
        <f t="shared" ref="D137:D168" ca="1" si="12">IF(A137="","",TODAY())</f>
        <v/>
      </c>
      <c r="E137" s="79"/>
      <c r="F137" s="80" t="str">
        <f t="shared" ref="F137:F168" si="13">IF(OR(A137="",E137=""),"",IF(C137="","",C137+E137))</f>
        <v/>
      </c>
      <c r="G137" s="39" t="s">
        <v>140</v>
      </c>
      <c r="H137" s="81"/>
      <c r="I137" s="82" t="str">
        <f>IF(A137="","Pending",IF(H137="","⚠️ Enter Agent Code",IF(IFERROR(VLOOKUP(G137,DB_Agents!$B:$I,8,0),"")=H137,IF(AND(A137&lt;&gt;"",E137&lt;&gt;""),"Saved","Pending"),"🔒 BLOCKED — Wrong Code")))</f>
        <v>Pending</v>
      </c>
      <c r="J137" s="83" t="str">
        <f t="shared" ref="J137:J168" ca="1" si="14">IF(I137="Saved",TEXT(TODAY(),"YYYY-MM-DD")&amp;" Auto","—")</f>
        <v>—</v>
      </c>
      <c r="K137" s="84"/>
    </row>
    <row r="138" spans="1:11" ht="15" customHeight="1" x14ac:dyDescent="0.25">
      <c r="A138" s="85"/>
      <c r="B138" s="41" t="str">
        <f>IF(A138="","",IFERROR(VLOOKUP(A138,DB_Customers!$A:$D,4,0),"❌ Account Not Found"))</f>
        <v/>
      </c>
      <c r="C138" s="86" t="str">
        <f>IF(A138="","",IFERROR(IF(SUMIF(DB_Savings!$C:$C,A138,DB_Savings!$F:$F)=0,VLOOKUP(A138,DB_Customers!$A:$I,9,0),VLOOKUP(A138,DB_Customers!$A:$N,14,0)),"❌ Acct Not Found"))</f>
        <v/>
      </c>
      <c r="D138" s="87" t="str">
        <f t="shared" ca="1" si="12"/>
        <v/>
      </c>
      <c r="E138" s="79"/>
      <c r="F138" s="88" t="str">
        <f t="shared" si="13"/>
        <v/>
      </c>
      <c r="G138" s="43" t="s">
        <v>140</v>
      </c>
      <c r="H138" s="81"/>
      <c r="I138" s="89" t="str">
        <f>IF(A138="","Pending",IF(H138="","⚠️ Enter Agent Code",IF(IFERROR(VLOOKUP(G138,DB_Agents!$B:$I,8,0),"")=H138,IF(AND(A138&lt;&gt;"",E138&lt;&gt;""),"Saved","Pending"),"🔒 BLOCKED — Wrong Code")))</f>
        <v>Pending</v>
      </c>
      <c r="J138" s="90" t="str">
        <f t="shared" ca="1" si="14"/>
        <v>—</v>
      </c>
      <c r="K138" s="91"/>
    </row>
    <row r="139" spans="1:11" ht="15" customHeight="1" x14ac:dyDescent="0.25">
      <c r="A139" s="76"/>
      <c r="B139" s="37" t="str">
        <f>IF(A139="","",IFERROR(VLOOKUP(A139,DB_Customers!$A:$D,4,0),"❌ Account Not Found"))</f>
        <v/>
      </c>
      <c r="C139" s="77" t="str">
        <f>IF(A139="","",IFERROR(IF(SUMIF(DB_Savings!$C:$C,A139,DB_Savings!$F:$F)=0,VLOOKUP(A139,DB_Customers!$A:$I,9,0),VLOOKUP(A139,DB_Customers!$A:$N,14,0)),"❌ Acct Not Found"))</f>
        <v/>
      </c>
      <c r="D139" s="78" t="str">
        <f t="shared" ca="1" si="12"/>
        <v/>
      </c>
      <c r="E139" s="79"/>
      <c r="F139" s="80" t="str">
        <f t="shared" si="13"/>
        <v/>
      </c>
      <c r="G139" s="39" t="s">
        <v>140</v>
      </c>
      <c r="H139" s="81"/>
      <c r="I139" s="82" t="str">
        <f>IF(A139="","Pending",IF(H139="","⚠️ Enter Agent Code",IF(IFERROR(VLOOKUP(G139,DB_Agents!$B:$I,8,0),"")=H139,IF(AND(A139&lt;&gt;"",E139&lt;&gt;""),"Saved","Pending"),"🔒 BLOCKED — Wrong Code")))</f>
        <v>Pending</v>
      </c>
      <c r="J139" s="83" t="str">
        <f t="shared" ca="1" si="14"/>
        <v>—</v>
      </c>
      <c r="K139" s="84"/>
    </row>
    <row r="140" spans="1:11" ht="15" customHeight="1" x14ac:dyDescent="0.25">
      <c r="A140" s="85"/>
      <c r="B140" s="41" t="str">
        <f>IF(A140="","",IFERROR(VLOOKUP(A140,DB_Customers!$A:$D,4,0),"❌ Account Not Found"))</f>
        <v/>
      </c>
      <c r="C140" s="86" t="str">
        <f>IF(A140="","",IFERROR(IF(SUMIF(DB_Savings!$C:$C,A140,DB_Savings!$F:$F)=0,VLOOKUP(A140,DB_Customers!$A:$I,9,0),VLOOKUP(A140,DB_Customers!$A:$N,14,0)),"❌ Acct Not Found"))</f>
        <v/>
      </c>
      <c r="D140" s="87" t="str">
        <f t="shared" ca="1" si="12"/>
        <v/>
      </c>
      <c r="E140" s="79"/>
      <c r="F140" s="88" t="str">
        <f t="shared" si="13"/>
        <v/>
      </c>
      <c r="G140" s="43" t="s">
        <v>140</v>
      </c>
      <c r="H140" s="81"/>
      <c r="I140" s="89" t="str">
        <f>IF(A140="","Pending",IF(H140="","⚠️ Enter Agent Code",IF(IFERROR(VLOOKUP(G140,DB_Agents!$B:$I,8,0),"")=H140,IF(AND(A140&lt;&gt;"",E140&lt;&gt;""),"Saved","Pending"),"🔒 BLOCKED — Wrong Code")))</f>
        <v>Pending</v>
      </c>
      <c r="J140" s="90" t="str">
        <f t="shared" ca="1" si="14"/>
        <v>—</v>
      </c>
      <c r="K140" s="91"/>
    </row>
    <row r="141" spans="1:11" ht="15" customHeight="1" x14ac:dyDescent="0.25">
      <c r="A141" s="76"/>
      <c r="B141" s="37" t="str">
        <f>IF(A141="","",IFERROR(VLOOKUP(A141,DB_Customers!$A:$D,4,0),"❌ Account Not Found"))</f>
        <v/>
      </c>
      <c r="C141" s="77" t="str">
        <f>IF(A141="","",IFERROR(IF(SUMIF(DB_Savings!$C:$C,A141,DB_Savings!$F:$F)=0,VLOOKUP(A141,DB_Customers!$A:$I,9,0),VLOOKUP(A141,DB_Customers!$A:$N,14,0)),"❌ Acct Not Found"))</f>
        <v/>
      </c>
      <c r="D141" s="78" t="str">
        <f t="shared" ca="1" si="12"/>
        <v/>
      </c>
      <c r="E141" s="79"/>
      <c r="F141" s="80" t="str">
        <f t="shared" si="13"/>
        <v/>
      </c>
      <c r="G141" s="39" t="s">
        <v>140</v>
      </c>
      <c r="H141" s="81"/>
      <c r="I141" s="82" t="str">
        <f>IF(A141="","Pending",IF(H141="","⚠️ Enter Agent Code",IF(IFERROR(VLOOKUP(G141,DB_Agents!$B:$I,8,0),"")=H141,IF(AND(A141&lt;&gt;"",E141&lt;&gt;""),"Saved","Pending"),"🔒 BLOCKED — Wrong Code")))</f>
        <v>Pending</v>
      </c>
      <c r="J141" s="83" t="str">
        <f t="shared" ca="1" si="14"/>
        <v>—</v>
      </c>
      <c r="K141" s="84"/>
    </row>
    <row r="142" spans="1:11" ht="15" customHeight="1" x14ac:dyDescent="0.25">
      <c r="A142" s="85"/>
      <c r="B142" s="41" t="str">
        <f>IF(A142="","",IFERROR(VLOOKUP(A142,DB_Customers!$A:$D,4,0),"❌ Account Not Found"))</f>
        <v/>
      </c>
      <c r="C142" s="86" t="str">
        <f>IF(A142="","",IFERROR(IF(SUMIF(DB_Savings!$C:$C,A142,DB_Savings!$F:$F)=0,VLOOKUP(A142,DB_Customers!$A:$I,9,0),VLOOKUP(A142,DB_Customers!$A:$N,14,0)),"❌ Acct Not Found"))</f>
        <v/>
      </c>
      <c r="D142" s="87" t="str">
        <f t="shared" ca="1" si="12"/>
        <v/>
      </c>
      <c r="E142" s="79"/>
      <c r="F142" s="88" t="str">
        <f t="shared" si="13"/>
        <v/>
      </c>
      <c r="G142" s="43" t="s">
        <v>140</v>
      </c>
      <c r="H142" s="81"/>
      <c r="I142" s="89" t="str">
        <f>IF(A142="","Pending",IF(H142="","⚠️ Enter Agent Code",IF(IFERROR(VLOOKUP(G142,DB_Agents!$B:$I,8,0),"")=H142,IF(AND(A142&lt;&gt;"",E142&lt;&gt;""),"Saved","Pending"),"🔒 BLOCKED — Wrong Code")))</f>
        <v>Pending</v>
      </c>
      <c r="J142" s="90" t="str">
        <f t="shared" ca="1" si="14"/>
        <v>—</v>
      </c>
      <c r="K142" s="91"/>
    </row>
    <row r="143" spans="1:11" ht="15" customHeight="1" x14ac:dyDescent="0.25">
      <c r="A143" s="76"/>
      <c r="B143" s="37" t="str">
        <f>IF(A143="","",IFERROR(VLOOKUP(A143,DB_Customers!$A:$D,4,0),"❌ Account Not Found"))</f>
        <v/>
      </c>
      <c r="C143" s="77" t="str">
        <f>IF(A143="","",IFERROR(IF(SUMIF(DB_Savings!$C:$C,A143,DB_Savings!$F:$F)=0,VLOOKUP(A143,DB_Customers!$A:$I,9,0),VLOOKUP(A143,DB_Customers!$A:$N,14,0)),"❌ Acct Not Found"))</f>
        <v/>
      </c>
      <c r="D143" s="78" t="str">
        <f t="shared" ca="1" si="12"/>
        <v/>
      </c>
      <c r="E143" s="79"/>
      <c r="F143" s="80" t="str">
        <f t="shared" si="13"/>
        <v/>
      </c>
      <c r="G143" s="39" t="s">
        <v>140</v>
      </c>
      <c r="H143" s="81"/>
      <c r="I143" s="82" t="str">
        <f>IF(A143="","Pending",IF(H143="","⚠️ Enter Agent Code",IF(IFERROR(VLOOKUP(G143,DB_Agents!$B:$I,8,0),"")=H143,IF(AND(A143&lt;&gt;"",E143&lt;&gt;""),"Saved","Pending"),"🔒 BLOCKED — Wrong Code")))</f>
        <v>Pending</v>
      </c>
      <c r="J143" s="83" t="str">
        <f t="shared" ca="1" si="14"/>
        <v>—</v>
      </c>
      <c r="K143" s="84"/>
    </row>
    <row r="144" spans="1:11" ht="15" customHeight="1" x14ac:dyDescent="0.25">
      <c r="A144" s="85"/>
      <c r="B144" s="41" t="str">
        <f>IF(A144="","",IFERROR(VLOOKUP(A144,DB_Customers!$A:$D,4,0),"❌ Account Not Found"))</f>
        <v/>
      </c>
      <c r="C144" s="86" t="str">
        <f>IF(A144="","",IFERROR(IF(SUMIF(DB_Savings!$C:$C,A144,DB_Savings!$F:$F)=0,VLOOKUP(A144,DB_Customers!$A:$I,9,0),VLOOKUP(A144,DB_Customers!$A:$N,14,0)),"❌ Acct Not Found"))</f>
        <v/>
      </c>
      <c r="D144" s="87" t="str">
        <f t="shared" ca="1" si="12"/>
        <v/>
      </c>
      <c r="E144" s="79"/>
      <c r="F144" s="88" t="str">
        <f t="shared" si="13"/>
        <v/>
      </c>
      <c r="G144" s="43" t="s">
        <v>140</v>
      </c>
      <c r="H144" s="81"/>
      <c r="I144" s="89" t="str">
        <f>IF(A144="","Pending",IF(H144="","⚠️ Enter Agent Code",IF(IFERROR(VLOOKUP(G144,DB_Agents!$B:$I,8,0),"")=H144,IF(AND(A144&lt;&gt;"",E144&lt;&gt;""),"Saved","Pending"),"🔒 BLOCKED — Wrong Code")))</f>
        <v>Pending</v>
      </c>
      <c r="J144" s="90" t="str">
        <f t="shared" ca="1" si="14"/>
        <v>—</v>
      </c>
      <c r="K144" s="91"/>
    </row>
    <row r="145" spans="1:11" ht="15" customHeight="1" x14ac:dyDescent="0.25">
      <c r="A145" s="76"/>
      <c r="B145" s="37" t="str">
        <f>IF(A145="","",IFERROR(VLOOKUP(A145,DB_Customers!$A:$D,4,0),"❌ Account Not Found"))</f>
        <v/>
      </c>
      <c r="C145" s="77" t="str">
        <f>IF(A145="","",IFERROR(IF(SUMIF(DB_Savings!$C:$C,A145,DB_Savings!$F:$F)=0,VLOOKUP(A145,DB_Customers!$A:$I,9,0),VLOOKUP(A145,DB_Customers!$A:$N,14,0)),"❌ Acct Not Found"))</f>
        <v/>
      </c>
      <c r="D145" s="78" t="str">
        <f t="shared" ca="1" si="12"/>
        <v/>
      </c>
      <c r="E145" s="79"/>
      <c r="F145" s="80" t="str">
        <f t="shared" si="13"/>
        <v/>
      </c>
      <c r="G145" s="39" t="s">
        <v>140</v>
      </c>
      <c r="H145" s="81"/>
      <c r="I145" s="82" t="str">
        <f>IF(A145="","Pending",IF(H145="","⚠️ Enter Agent Code",IF(IFERROR(VLOOKUP(G145,DB_Agents!$B:$I,8,0),"")=H145,IF(AND(A145&lt;&gt;"",E145&lt;&gt;""),"Saved","Pending"),"🔒 BLOCKED — Wrong Code")))</f>
        <v>Pending</v>
      </c>
      <c r="J145" s="83" t="str">
        <f t="shared" ca="1" si="14"/>
        <v>—</v>
      </c>
      <c r="K145" s="84"/>
    </row>
    <row r="146" spans="1:11" ht="15" customHeight="1" x14ac:dyDescent="0.25">
      <c r="A146" s="85"/>
      <c r="B146" s="41" t="str">
        <f>IF(A146="","",IFERROR(VLOOKUP(A146,DB_Customers!$A:$D,4,0),"❌ Account Not Found"))</f>
        <v/>
      </c>
      <c r="C146" s="86" t="str">
        <f>IF(A146="","",IFERROR(IF(SUMIF(DB_Savings!$C:$C,A146,DB_Savings!$F:$F)=0,VLOOKUP(A146,DB_Customers!$A:$I,9,0),VLOOKUP(A146,DB_Customers!$A:$N,14,0)),"❌ Acct Not Found"))</f>
        <v/>
      </c>
      <c r="D146" s="87" t="str">
        <f t="shared" ca="1" si="12"/>
        <v/>
      </c>
      <c r="E146" s="79"/>
      <c r="F146" s="88" t="str">
        <f t="shared" si="13"/>
        <v/>
      </c>
      <c r="G146" s="43" t="s">
        <v>140</v>
      </c>
      <c r="H146" s="81"/>
      <c r="I146" s="89" t="str">
        <f>IF(A146="","Pending",IF(H146="","⚠️ Enter Agent Code",IF(IFERROR(VLOOKUP(G146,DB_Agents!$B:$I,8,0),"")=H146,IF(AND(A146&lt;&gt;"",E146&lt;&gt;""),"Saved","Pending"),"🔒 BLOCKED — Wrong Code")))</f>
        <v>Pending</v>
      </c>
      <c r="J146" s="90" t="str">
        <f t="shared" ca="1" si="14"/>
        <v>—</v>
      </c>
      <c r="K146" s="91"/>
    </row>
    <row r="147" spans="1:11" ht="15" customHeight="1" x14ac:dyDescent="0.25">
      <c r="A147" s="76"/>
      <c r="B147" s="37" t="str">
        <f>IF(A147="","",IFERROR(VLOOKUP(A147,DB_Customers!$A:$D,4,0),"❌ Account Not Found"))</f>
        <v/>
      </c>
      <c r="C147" s="77" t="str">
        <f>IF(A147="","",IFERROR(IF(SUMIF(DB_Savings!$C:$C,A147,DB_Savings!$F:$F)=0,VLOOKUP(A147,DB_Customers!$A:$I,9,0),VLOOKUP(A147,DB_Customers!$A:$N,14,0)),"❌ Acct Not Found"))</f>
        <v/>
      </c>
      <c r="D147" s="78" t="str">
        <f t="shared" ca="1" si="12"/>
        <v/>
      </c>
      <c r="E147" s="79"/>
      <c r="F147" s="80" t="str">
        <f t="shared" si="13"/>
        <v/>
      </c>
      <c r="G147" s="39" t="s">
        <v>140</v>
      </c>
      <c r="H147" s="81"/>
      <c r="I147" s="82" t="str">
        <f>IF(A147="","Pending",IF(H147="","⚠️ Enter Agent Code",IF(IFERROR(VLOOKUP(G147,DB_Agents!$B:$I,8,0),"")=H147,IF(AND(A147&lt;&gt;"",E147&lt;&gt;""),"Saved","Pending"),"🔒 BLOCKED — Wrong Code")))</f>
        <v>Pending</v>
      </c>
      <c r="J147" s="83" t="str">
        <f t="shared" ca="1" si="14"/>
        <v>—</v>
      </c>
      <c r="K147" s="84"/>
    </row>
    <row r="148" spans="1:11" ht="15" customHeight="1" x14ac:dyDescent="0.25">
      <c r="A148" s="85"/>
      <c r="B148" s="41" t="str">
        <f>IF(A148="","",IFERROR(VLOOKUP(A148,DB_Customers!$A:$D,4,0),"❌ Account Not Found"))</f>
        <v/>
      </c>
      <c r="C148" s="86" t="str">
        <f>IF(A148="","",IFERROR(IF(SUMIF(DB_Savings!$C:$C,A148,DB_Savings!$F:$F)=0,VLOOKUP(A148,DB_Customers!$A:$I,9,0),VLOOKUP(A148,DB_Customers!$A:$N,14,0)),"❌ Acct Not Found"))</f>
        <v/>
      </c>
      <c r="D148" s="87" t="str">
        <f t="shared" ca="1" si="12"/>
        <v/>
      </c>
      <c r="E148" s="79"/>
      <c r="F148" s="88" t="str">
        <f t="shared" si="13"/>
        <v/>
      </c>
      <c r="G148" s="43" t="s">
        <v>140</v>
      </c>
      <c r="H148" s="81"/>
      <c r="I148" s="89" t="str">
        <f>IF(A148="","Pending",IF(H148="","⚠️ Enter Agent Code",IF(IFERROR(VLOOKUP(G148,DB_Agents!$B:$I,8,0),"")=H148,IF(AND(A148&lt;&gt;"",E148&lt;&gt;""),"Saved","Pending"),"🔒 BLOCKED — Wrong Code")))</f>
        <v>Pending</v>
      </c>
      <c r="J148" s="90" t="str">
        <f t="shared" ca="1" si="14"/>
        <v>—</v>
      </c>
      <c r="K148" s="91"/>
    </row>
    <row r="149" spans="1:11" ht="15" customHeight="1" x14ac:dyDescent="0.25">
      <c r="A149" s="76"/>
      <c r="B149" s="37" t="str">
        <f>IF(A149="","",IFERROR(VLOOKUP(A149,DB_Customers!$A:$D,4,0),"❌ Account Not Found"))</f>
        <v/>
      </c>
      <c r="C149" s="77" t="str">
        <f>IF(A149="","",IFERROR(IF(SUMIF(DB_Savings!$C:$C,A149,DB_Savings!$F:$F)=0,VLOOKUP(A149,DB_Customers!$A:$I,9,0),VLOOKUP(A149,DB_Customers!$A:$N,14,0)),"❌ Acct Not Found"))</f>
        <v/>
      </c>
      <c r="D149" s="78" t="str">
        <f t="shared" ca="1" si="12"/>
        <v/>
      </c>
      <c r="E149" s="79"/>
      <c r="F149" s="80" t="str">
        <f t="shared" si="13"/>
        <v/>
      </c>
      <c r="G149" s="39" t="s">
        <v>140</v>
      </c>
      <c r="H149" s="81"/>
      <c r="I149" s="82" t="str">
        <f>IF(A149="","Pending",IF(H149="","⚠️ Enter Agent Code",IF(IFERROR(VLOOKUP(G149,DB_Agents!$B:$I,8,0),"")=H149,IF(AND(A149&lt;&gt;"",E149&lt;&gt;""),"Saved","Pending"),"🔒 BLOCKED — Wrong Code")))</f>
        <v>Pending</v>
      </c>
      <c r="J149" s="83" t="str">
        <f t="shared" ca="1" si="14"/>
        <v>—</v>
      </c>
      <c r="K149" s="84"/>
    </row>
    <row r="150" spans="1:11" ht="15" customHeight="1" x14ac:dyDescent="0.25">
      <c r="A150" s="85"/>
      <c r="B150" s="41" t="str">
        <f>IF(A150="","",IFERROR(VLOOKUP(A150,DB_Customers!$A:$D,4,0),"❌ Account Not Found"))</f>
        <v/>
      </c>
      <c r="C150" s="86" t="str">
        <f>IF(A150="","",IFERROR(IF(SUMIF(DB_Savings!$C:$C,A150,DB_Savings!$F:$F)=0,VLOOKUP(A150,DB_Customers!$A:$I,9,0),VLOOKUP(A150,DB_Customers!$A:$N,14,0)),"❌ Acct Not Found"))</f>
        <v/>
      </c>
      <c r="D150" s="87" t="str">
        <f t="shared" ca="1" si="12"/>
        <v/>
      </c>
      <c r="E150" s="79"/>
      <c r="F150" s="88" t="str">
        <f t="shared" si="13"/>
        <v/>
      </c>
      <c r="G150" s="43" t="s">
        <v>140</v>
      </c>
      <c r="H150" s="81"/>
      <c r="I150" s="89" t="str">
        <f>IF(A150="","Pending",IF(H150="","⚠️ Enter Agent Code",IF(IFERROR(VLOOKUP(G150,DB_Agents!$B:$I,8,0),"")=H150,IF(AND(A150&lt;&gt;"",E150&lt;&gt;""),"Saved","Pending"),"🔒 BLOCKED — Wrong Code")))</f>
        <v>Pending</v>
      </c>
      <c r="J150" s="90" t="str">
        <f t="shared" ca="1" si="14"/>
        <v>—</v>
      </c>
      <c r="K150" s="91"/>
    </row>
    <row r="151" spans="1:11" ht="15" customHeight="1" x14ac:dyDescent="0.25">
      <c r="A151" s="76"/>
      <c r="B151" s="37" t="str">
        <f>IF(A151="","",IFERROR(VLOOKUP(A151,DB_Customers!$A:$D,4,0),"❌ Account Not Found"))</f>
        <v/>
      </c>
      <c r="C151" s="77" t="str">
        <f>IF(A151="","",IFERROR(IF(SUMIF(DB_Savings!$C:$C,A151,DB_Savings!$F:$F)=0,VLOOKUP(A151,DB_Customers!$A:$I,9,0),VLOOKUP(A151,DB_Customers!$A:$N,14,0)),"❌ Acct Not Found"))</f>
        <v/>
      </c>
      <c r="D151" s="78" t="str">
        <f t="shared" ca="1" si="12"/>
        <v/>
      </c>
      <c r="E151" s="79"/>
      <c r="F151" s="80" t="str">
        <f t="shared" si="13"/>
        <v/>
      </c>
      <c r="G151" s="39" t="s">
        <v>140</v>
      </c>
      <c r="H151" s="81"/>
      <c r="I151" s="82" t="str">
        <f>IF(A151="","Pending",IF(H151="","⚠️ Enter Agent Code",IF(IFERROR(VLOOKUP(G151,DB_Agents!$B:$I,8,0),"")=H151,IF(AND(A151&lt;&gt;"",E151&lt;&gt;""),"Saved","Pending"),"🔒 BLOCKED — Wrong Code")))</f>
        <v>Pending</v>
      </c>
      <c r="J151" s="83" t="str">
        <f t="shared" ca="1" si="14"/>
        <v>—</v>
      </c>
      <c r="K151" s="84"/>
    </row>
    <row r="152" spans="1:11" ht="15" customHeight="1" x14ac:dyDescent="0.25">
      <c r="A152" s="85"/>
      <c r="B152" s="41" t="str">
        <f>IF(A152="","",IFERROR(VLOOKUP(A152,DB_Customers!$A:$D,4,0),"❌ Account Not Found"))</f>
        <v/>
      </c>
      <c r="C152" s="86" t="str">
        <f>IF(A152="","",IFERROR(IF(SUMIF(DB_Savings!$C:$C,A152,DB_Savings!$F:$F)=0,VLOOKUP(A152,DB_Customers!$A:$I,9,0),VLOOKUP(A152,DB_Customers!$A:$N,14,0)),"❌ Acct Not Found"))</f>
        <v/>
      </c>
      <c r="D152" s="87" t="str">
        <f t="shared" ca="1" si="12"/>
        <v/>
      </c>
      <c r="E152" s="79"/>
      <c r="F152" s="88" t="str">
        <f t="shared" si="13"/>
        <v/>
      </c>
      <c r="G152" s="43" t="s">
        <v>140</v>
      </c>
      <c r="H152" s="81"/>
      <c r="I152" s="89" t="str">
        <f>IF(A152="","Pending",IF(H152="","⚠️ Enter Agent Code",IF(IFERROR(VLOOKUP(G152,DB_Agents!$B:$I,8,0),"")=H152,IF(AND(A152&lt;&gt;"",E152&lt;&gt;""),"Saved","Pending"),"🔒 BLOCKED — Wrong Code")))</f>
        <v>Pending</v>
      </c>
      <c r="J152" s="90" t="str">
        <f t="shared" ca="1" si="14"/>
        <v>—</v>
      </c>
      <c r="K152" s="91"/>
    </row>
    <row r="153" spans="1:11" ht="15" customHeight="1" x14ac:dyDescent="0.25">
      <c r="A153" s="76"/>
      <c r="B153" s="37" t="str">
        <f>IF(A153="","",IFERROR(VLOOKUP(A153,DB_Customers!$A:$D,4,0),"❌ Account Not Found"))</f>
        <v/>
      </c>
      <c r="C153" s="77" t="str">
        <f>IF(A153="","",IFERROR(IF(SUMIF(DB_Savings!$C:$C,A153,DB_Savings!$F:$F)=0,VLOOKUP(A153,DB_Customers!$A:$I,9,0),VLOOKUP(A153,DB_Customers!$A:$N,14,0)),"❌ Acct Not Found"))</f>
        <v/>
      </c>
      <c r="D153" s="78" t="str">
        <f t="shared" ca="1" si="12"/>
        <v/>
      </c>
      <c r="E153" s="79"/>
      <c r="F153" s="80" t="str">
        <f t="shared" si="13"/>
        <v/>
      </c>
      <c r="G153" s="39" t="s">
        <v>140</v>
      </c>
      <c r="H153" s="81"/>
      <c r="I153" s="82" t="str">
        <f>IF(A153="","Pending",IF(H153="","⚠️ Enter Agent Code",IF(IFERROR(VLOOKUP(G153,DB_Agents!$B:$I,8,0),"")=H153,IF(AND(A153&lt;&gt;"",E153&lt;&gt;""),"Saved","Pending"),"🔒 BLOCKED — Wrong Code")))</f>
        <v>Pending</v>
      </c>
      <c r="J153" s="83" t="str">
        <f t="shared" ca="1" si="14"/>
        <v>—</v>
      </c>
      <c r="K153" s="84"/>
    </row>
    <row r="154" spans="1:11" ht="15" customHeight="1" x14ac:dyDescent="0.25">
      <c r="A154" s="85"/>
      <c r="B154" s="41" t="str">
        <f>IF(A154="","",IFERROR(VLOOKUP(A154,DB_Customers!$A:$D,4,0),"❌ Account Not Found"))</f>
        <v/>
      </c>
      <c r="C154" s="86" t="str">
        <f>IF(A154="","",IFERROR(IF(SUMIF(DB_Savings!$C:$C,A154,DB_Savings!$F:$F)=0,VLOOKUP(A154,DB_Customers!$A:$I,9,0),VLOOKUP(A154,DB_Customers!$A:$N,14,0)),"❌ Acct Not Found"))</f>
        <v/>
      </c>
      <c r="D154" s="87" t="str">
        <f t="shared" ca="1" si="12"/>
        <v/>
      </c>
      <c r="E154" s="79"/>
      <c r="F154" s="88" t="str">
        <f t="shared" si="13"/>
        <v/>
      </c>
      <c r="G154" s="43" t="s">
        <v>140</v>
      </c>
      <c r="H154" s="81"/>
      <c r="I154" s="89" t="str">
        <f>IF(A154="","Pending",IF(H154="","⚠️ Enter Agent Code",IF(IFERROR(VLOOKUP(G154,DB_Agents!$B:$I,8,0),"")=H154,IF(AND(A154&lt;&gt;"",E154&lt;&gt;""),"Saved","Pending"),"🔒 BLOCKED — Wrong Code")))</f>
        <v>Pending</v>
      </c>
      <c r="J154" s="90" t="str">
        <f t="shared" ca="1" si="14"/>
        <v>—</v>
      </c>
      <c r="K154" s="91"/>
    </row>
    <row r="155" spans="1:11" ht="15" customHeight="1" x14ac:dyDescent="0.25">
      <c r="A155" s="76"/>
      <c r="B155" s="37" t="str">
        <f>IF(A155="","",IFERROR(VLOOKUP(A155,DB_Customers!$A:$D,4,0),"❌ Account Not Found"))</f>
        <v/>
      </c>
      <c r="C155" s="77" t="str">
        <f>IF(A155="","",IFERROR(IF(SUMIF(DB_Savings!$C:$C,A155,DB_Savings!$F:$F)=0,VLOOKUP(A155,DB_Customers!$A:$I,9,0),VLOOKUP(A155,DB_Customers!$A:$N,14,0)),"❌ Acct Not Found"))</f>
        <v/>
      </c>
      <c r="D155" s="78" t="str">
        <f t="shared" ca="1" si="12"/>
        <v/>
      </c>
      <c r="E155" s="79"/>
      <c r="F155" s="80" t="str">
        <f t="shared" si="13"/>
        <v/>
      </c>
      <c r="G155" s="39" t="s">
        <v>140</v>
      </c>
      <c r="H155" s="81"/>
      <c r="I155" s="82" t="str">
        <f>IF(A155="","Pending",IF(H155="","⚠️ Enter Agent Code",IF(IFERROR(VLOOKUP(G155,DB_Agents!$B:$I,8,0),"")=H155,IF(AND(A155&lt;&gt;"",E155&lt;&gt;""),"Saved","Pending"),"🔒 BLOCKED — Wrong Code")))</f>
        <v>Pending</v>
      </c>
      <c r="J155" s="83" t="str">
        <f t="shared" ca="1" si="14"/>
        <v>—</v>
      </c>
      <c r="K155" s="84"/>
    </row>
    <row r="156" spans="1:11" ht="15" customHeight="1" x14ac:dyDescent="0.25">
      <c r="A156" s="85"/>
      <c r="B156" s="41" t="str">
        <f>IF(A156="","",IFERROR(VLOOKUP(A156,DB_Customers!$A:$D,4,0),"❌ Account Not Found"))</f>
        <v/>
      </c>
      <c r="C156" s="86" t="str">
        <f>IF(A156="","",IFERROR(IF(SUMIF(DB_Savings!$C:$C,A156,DB_Savings!$F:$F)=0,VLOOKUP(A156,DB_Customers!$A:$I,9,0),VLOOKUP(A156,DB_Customers!$A:$N,14,0)),"❌ Acct Not Found"))</f>
        <v/>
      </c>
      <c r="D156" s="87" t="str">
        <f t="shared" ca="1" si="12"/>
        <v/>
      </c>
      <c r="E156" s="79"/>
      <c r="F156" s="88" t="str">
        <f t="shared" si="13"/>
        <v/>
      </c>
      <c r="G156" s="43" t="s">
        <v>140</v>
      </c>
      <c r="H156" s="81"/>
      <c r="I156" s="89" t="str">
        <f>IF(A156="","Pending",IF(H156="","⚠️ Enter Agent Code",IF(IFERROR(VLOOKUP(G156,DB_Agents!$B:$I,8,0),"")=H156,IF(AND(A156&lt;&gt;"",E156&lt;&gt;""),"Saved","Pending"),"🔒 BLOCKED — Wrong Code")))</f>
        <v>Pending</v>
      </c>
      <c r="J156" s="90" t="str">
        <f t="shared" ca="1" si="14"/>
        <v>—</v>
      </c>
      <c r="K156" s="91"/>
    </row>
    <row r="157" spans="1:11" ht="15" customHeight="1" x14ac:dyDescent="0.25">
      <c r="A157" s="76"/>
      <c r="B157" s="37" t="str">
        <f>IF(A157="","",IFERROR(VLOOKUP(A157,DB_Customers!$A:$D,4,0),"❌ Account Not Found"))</f>
        <v/>
      </c>
      <c r="C157" s="77" t="str">
        <f>IF(A157="","",IFERROR(IF(SUMIF(DB_Savings!$C:$C,A157,DB_Savings!$F:$F)=0,VLOOKUP(A157,DB_Customers!$A:$I,9,0),VLOOKUP(A157,DB_Customers!$A:$N,14,0)),"❌ Acct Not Found"))</f>
        <v/>
      </c>
      <c r="D157" s="78" t="str">
        <f t="shared" ca="1" si="12"/>
        <v/>
      </c>
      <c r="E157" s="79"/>
      <c r="F157" s="80" t="str">
        <f t="shared" si="13"/>
        <v/>
      </c>
      <c r="G157" s="39" t="s">
        <v>140</v>
      </c>
      <c r="H157" s="81"/>
      <c r="I157" s="82" t="str">
        <f>IF(A157="","Pending",IF(H157="","⚠️ Enter Agent Code",IF(IFERROR(VLOOKUP(G157,DB_Agents!$B:$I,8,0),"")=H157,IF(AND(A157&lt;&gt;"",E157&lt;&gt;""),"Saved","Pending"),"🔒 BLOCKED — Wrong Code")))</f>
        <v>Pending</v>
      </c>
      <c r="J157" s="83" t="str">
        <f t="shared" ca="1" si="14"/>
        <v>—</v>
      </c>
      <c r="K157" s="84"/>
    </row>
    <row r="158" spans="1:11" ht="15" customHeight="1" x14ac:dyDescent="0.25">
      <c r="A158" s="85"/>
      <c r="B158" s="41" t="str">
        <f>IF(A158="","",IFERROR(VLOOKUP(A158,DB_Customers!$A:$D,4,0),"❌ Account Not Found"))</f>
        <v/>
      </c>
      <c r="C158" s="86" t="str">
        <f>IF(A158="","",IFERROR(IF(SUMIF(DB_Savings!$C:$C,A158,DB_Savings!$F:$F)=0,VLOOKUP(A158,DB_Customers!$A:$I,9,0),VLOOKUP(A158,DB_Customers!$A:$N,14,0)),"❌ Acct Not Found"))</f>
        <v/>
      </c>
      <c r="D158" s="87" t="str">
        <f t="shared" ca="1" si="12"/>
        <v/>
      </c>
      <c r="E158" s="79"/>
      <c r="F158" s="88" t="str">
        <f t="shared" si="13"/>
        <v/>
      </c>
      <c r="G158" s="43" t="s">
        <v>140</v>
      </c>
      <c r="H158" s="81"/>
      <c r="I158" s="89" t="str">
        <f>IF(A158="","Pending",IF(H158="","⚠️ Enter Agent Code",IF(IFERROR(VLOOKUP(G158,DB_Agents!$B:$I,8,0),"")=H158,IF(AND(A158&lt;&gt;"",E158&lt;&gt;""),"Saved","Pending"),"🔒 BLOCKED — Wrong Code")))</f>
        <v>Pending</v>
      </c>
      <c r="J158" s="90" t="str">
        <f t="shared" ca="1" si="14"/>
        <v>—</v>
      </c>
      <c r="K158" s="91"/>
    </row>
    <row r="159" spans="1:11" ht="15" customHeight="1" x14ac:dyDescent="0.25">
      <c r="A159" s="76"/>
      <c r="B159" s="37" t="str">
        <f>IF(A159="","",IFERROR(VLOOKUP(A159,DB_Customers!$A:$D,4,0),"❌ Account Not Found"))</f>
        <v/>
      </c>
      <c r="C159" s="77" t="str">
        <f>IF(A159="","",IFERROR(IF(SUMIF(DB_Savings!$C:$C,A159,DB_Savings!$F:$F)=0,VLOOKUP(A159,DB_Customers!$A:$I,9,0),VLOOKUP(A159,DB_Customers!$A:$N,14,0)),"❌ Acct Not Found"))</f>
        <v/>
      </c>
      <c r="D159" s="78" t="str">
        <f t="shared" ca="1" si="12"/>
        <v/>
      </c>
      <c r="E159" s="79"/>
      <c r="F159" s="80" t="str">
        <f t="shared" si="13"/>
        <v/>
      </c>
      <c r="G159" s="39" t="s">
        <v>140</v>
      </c>
      <c r="H159" s="81"/>
      <c r="I159" s="82" t="str">
        <f>IF(A159="","Pending",IF(H159="","⚠️ Enter Agent Code",IF(IFERROR(VLOOKUP(G159,DB_Agents!$B:$I,8,0),"")=H159,IF(AND(A159&lt;&gt;"",E159&lt;&gt;""),"Saved","Pending"),"🔒 BLOCKED — Wrong Code")))</f>
        <v>Pending</v>
      </c>
      <c r="J159" s="83" t="str">
        <f t="shared" ca="1" si="14"/>
        <v>—</v>
      </c>
      <c r="K159" s="84"/>
    </row>
    <row r="160" spans="1:11" ht="15" customHeight="1" x14ac:dyDescent="0.25">
      <c r="A160" s="85"/>
      <c r="B160" s="41" t="str">
        <f>IF(A160="","",IFERROR(VLOOKUP(A160,DB_Customers!$A:$D,4,0),"❌ Account Not Found"))</f>
        <v/>
      </c>
      <c r="C160" s="86" t="str">
        <f>IF(A160="","",IFERROR(IF(SUMIF(DB_Savings!$C:$C,A160,DB_Savings!$F:$F)=0,VLOOKUP(A160,DB_Customers!$A:$I,9,0),VLOOKUP(A160,DB_Customers!$A:$N,14,0)),"❌ Acct Not Found"))</f>
        <v/>
      </c>
      <c r="D160" s="87" t="str">
        <f t="shared" ca="1" si="12"/>
        <v/>
      </c>
      <c r="E160" s="79"/>
      <c r="F160" s="88" t="str">
        <f t="shared" si="13"/>
        <v/>
      </c>
      <c r="G160" s="43" t="s">
        <v>140</v>
      </c>
      <c r="H160" s="81"/>
      <c r="I160" s="89" t="str">
        <f>IF(A160="","Pending",IF(H160="","⚠️ Enter Agent Code",IF(IFERROR(VLOOKUP(G160,DB_Agents!$B:$I,8,0),"")=H160,IF(AND(A160&lt;&gt;"",E160&lt;&gt;""),"Saved","Pending"),"🔒 BLOCKED — Wrong Code")))</f>
        <v>Pending</v>
      </c>
      <c r="J160" s="90" t="str">
        <f t="shared" ca="1" si="14"/>
        <v>—</v>
      </c>
      <c r="K160" s="91"/>
    </row>
    <row r="161" spans="1:11" ht="15" customHeight="1" x14ac:dyDescent="0.25">
      <c r="A161" s="76"/>
      <c r="B161" s="37" t="str">
        <f>IF(A161="","",IFERROR(VLOOKUP(A161,DB_Customers!$A:$D,4,0),"❌ Account Not Found"))</f>
        <v/>
      </c>
      <c r="C161" s="77" t="str">
        <f>IF(A161="","",IFERROR(IF(SUMIF(DB_Savings!$C:$C,A161,DB_Savings!$F:$F)=0,VLOOKUP(A161,DB_Customers!$A:$I,9,0),VLOOKUP(A161,DB_Customers!$A:$N,14,0)),"❌ Acct Not Found"))</f>
        <v/>
      </c>
      <c r="D161" s="78" t="str">
        <f t="shared" ca="1" si="12"/>
        <v/>
      </c>
      <c r="E161" s="79"/>
      <c r="F161" s="80" t="str">
        <f t="shared" si="13"/>
        <v/>
      </c>
      <c r="G161" s="39" t="s">
        <v>140</v>
      </c>
      <c r="H161" s="81"/>
      <c r="I161" s="82" t="str">
        <f>IF(A161="","Pending",IF(H161="","⚠️ Enter Agent Code",IF(IFERROR(VLOOKUP(G161,DB_Agents!$B:$I,8,0),"")=H161,IF(AND(A161&lt;&gt;"",E161&lt;&gt;""),"Saved","Pending"),"🔒 BLOCKED — Wrong Code")))</f>
        <v>Pending</v>
      </c>
      <c r="J161" s="83" t="str">
        <f t="shared" ca="1" si="14"/>
        <v>—</v>
      </c>
      <c r="K161" s="84"/>
    </row>
    <row r="162" spans="1:11" ht="15" customHeight="1" x14ac:dyDescent="0.25">
      <c r="A162" s="85"/>
      <c r="B162" s="41" t="str">
        <f>IF(A162="","",IFERROR(VLOOKUP(A162,DB_Customers!$A:$D,4,0),"❌ Account Not Found"))</f>
        <v/>
      </c>
      <c r="C162" s="86" t="str">
        <f>IF(A162="","",IFERROR(IF(SUMIF(DB_Savings!$C:$C,A162,DB_Savings!$F:$F)=0,VLOOKUP(A162,DB_Customers!$A:$I,9,0),VLOOKUP(A162,DB_Customers!$A:$N,14,0)),"❌ Acct Not Found"))</f>
        <v/>
      </c>
      <c r="D162" s="87" t="str">
        <f t="shared" ca="1" si="12"/>
        <v/>
      </c>
      <c r="E162" s="79"/>
      <c r="F162" s="88" t="str">
        <f t="shared" si="13"/>
        <v/>
      </c>
      <c r="G162" s="43" t="s">
        <v>140</v>
      </c>
      <c r="H162" s="81"/>
      <c r="I162" s="89" t="str">
        <f>IF(A162="","Pending",IF(H162="","⚠️ Enter Agent Code",IF(IFERROR(VLOOKUP(G162,DB_Agents!$B:$I,8,0),"")=H162,IF(AND(A162&lt;&gt;"",E162&lt;&gt;""),"Saved","Pending"),"🔒 BLOCKED — Wrong Code")))</f>
        <v>Pending</v>
      </c>
      <c r="J162" s="90" t="str">
        <f t="shared" ca="1" si="14"/>
        <v>—</v>
      </c>
      <c r="K162" s="91"/>
    </row>
    <row r="163" spans="1:11" ht="15" customHeight="1" x14ac:dyDescent="0.25">
      <c r="A163" s="76"/>
      <c r="B163" s="37" t="str">
        <f>IF(A163="","",IFERROR(VLOOKUP(A163,DB_Customers!$A:$D,4,0),"❌ Account Not Found"))</f>
        <v/>
      </c>
      <c r="C163" s="77" t="str">
        <f>IF(A163="","",IFERROR(IF(SUMIF(DB_Savings!$C:$C,A163,DB_Savings!$F:$F)=0,VLOOKUP(A163,DB_Customers!$A:$I,9,0),VLOOKUP(A163,DB_Customers!$A:$N,14,0)),"❌ Acct Not Found"))</f>
        <v/>
      </c>
      <c r="D163" s="78" t="str">
        <f t="shared" ca="1" si="12"/>
        <v/>
      </c>
      <c r="E163" s="79"/>
      <c r="F163" s="80" t="str">
        <f t="shared" si="13"/>
        <v/>
      </c>
      <c r="G163" s="39" t="s">
        <v>140</v>
      </c>
      <c r="H163" s="81"/>
      <c r="I163" s="82" t="str">
        <f>IF(A163="","Pending",IF(H163="","⚠️ Enter Agent Code",IF(IFERROR(VLOOKUP(G163,DB_Agents!$B:$I,8,0),"")=H163,IF(AND(A163&lt;&gt;"",E163&lt;&gt;""),"Saved","Pending"),"🔒 BLOCKED — Wrong Code")))</f>
        <v>Pending</v>
      </c>
      <c r="J163" s="83" t="str">
        <f t="shared" ca="1" si="14"/>
        <v>—</v>
      </c>
      <c r="K163" s="84"/>
    </row>
    <row r="164" spans="1:11" ht="15" customHeight="1" x14ac:dyDescent="0.25">
      <c r="A164" s="85"/>
      <c r="B164" s="41" t="str">
        <f>IF(A164="","",IFERROR(VLOOKUP(A164,DB_Customers!$A:$D,4,0),"❌ Account Not Found"))</f>
        <v/>
      </c>
      <c r="C164" s="86" t="str">
        <f>IF(A164="","",IFERROR(IF(SUMIF(DB_Savings!$C:$C,A164,DB_Savings!$F:$F)=0,VLOOKUP(A164,DB_Customers!$A:$I,9,0),VLOOKUP(A164,DB_Customers!$A:$N,14,0)),"❌ Acct Not Found"))</f>
        <v/>
      </c>
      <c r="D164" s="87" t="str">
        <f t="shared" ca="1" si="12"/>
        <v/>
      </c>
      <c r="E164" s="79"/>
      <c r="F164" s="88" t="str">
        <f t="shared" si="13"/>
        <v/>
      </c>
      <c r="G164" s="43" t="s">
        <v>140</v>
      </c>
      <c r="H164" s="81"/>
      <c r="I164" s="89" t="str">
        <f>IF(A164="","Pending",IF(H164="","⚠️ Enter Agent Code",IF(IFERROR(VLOOKUP(G164,DB_Agents!$B:$I,8,0),"")=H164,IF(AND(A164&lt;&gt;"",E164&lt;&gt;""),"Saved","Pending"),"🔒 BLOCKED — Wrong Code")))</f>
        <v>Pending</v>
      </c>
      <c r="J164" s="90" t="str">
        <f t="shared" ca="1" si="14"/>
        <v>—</v>
      </c>
      <c r="K164" s="91"/>
    </row>
    <row r="165" spans="1:11" ht="15" customHeight="1" x14ac:dyDescent="0.25">
      <c r="A165" s="76"/>
      <c r="B165" s="37" t="str">
        <f>IF(A165="","",IFERROR(VLOOKUP(A165,DB_Customers!$A:$D,4,0),"❌ Account Not Found"))</f>
        <v/>
      </c>
      <c r="C165" s="77" t="str">
        <f>IF(A165="","",IFERROR(IF(SUMIF(DB_Savings!$C:$C,A165,DB_Savings!$F:$F)=0,VLOOKUP(A165,DB_Customers!$A:$I,9,0),VLOOKUP(A165,DB_Customers!$A:$N,14,0)),"❌ Acct Not Found"))</f>
        <v/>
      </c>
      <c r="D165" s="78" t="str">
        <f t="shared" ca="1" si="12"/>
        <v/>
      </c>
      <c r="E165" s="79"/>
      <c r="F165" s="80" t="str">
        <f t="shared" si="13"/>
        <v/>
      </c>
      <c r="G165" s="39" t="s">
        <v>140</v>
      </c>
      <c r="H165" s="81"/>
      <c r="I165" s="82" t="str">
        <f>IF(A165="","Pending",IF(H165="","⚠️ Enter Agent Code",IF(IFERROR(VLOOKUP(G165,DB_Agents!$B:$I,8,0),"")=H165,IF(AND(A165&lt;&gt;"",E165&lt;&gt;""),"Saved","Pending"),"🔒 BLOCKED — Wrong Code")))</f>
        <v>Pending</v>
      </c>
      <c r="J165" s="83" t="str">
        <f t="shared" ca="1" si="14"/>
        <v>—</v>
      </c>
      <c r="K165" s="84"/>
    </row>
    <row r="166" spans="1:11" ht="15" customHeight="1" x14ac:dyDescent="0.25">
      <c r="A166" s="85"/>
      <c r="B166" s="41" t="str">
        <f>IF(A166="","",IFERROR(VLOOKUP(A166,DB_Customers!$A:$D,4,0),"❌ Account Not Found"))</f>
        <v/>
      </c>
      <c r="C166" s="86" t="str">
        <f>IF(A166="","",IFERROR(IF(SUMIF(DB_Savings!$C:$C,A166,DB_Savings!$F:$F)=0,VLOOKUP(A166,DB_Customers!$A:$I,9,0),VLOOKUP(A166,DB_Customers!$A:$N,14,0)),"❌ Acct Not Found"))</f>
        <v/>
      </c>
      <c r="D166" s="87" t="str">
        <f t="shared" ca="1" si="12"/>
        <v/>
      </c>
      <c r="E166" s="79"/>
      <c r="F166" s="88" t="str">
        <f t="shared" si="13"/>
        <v/>
      </c>
      <c r="G166" s="43" t="s">
        <v>140</v>
      </c>
      <c r="H166" s="81"/>
      <c r="I166" s="89" t="str">
        <f>IF(A166="","Pending",IF(H166="","⚠️ Enter Agent Code",IF(IFERROR(VLOOKUP(G166,DB_Agents!$B:$I,8,0),"")=H166,IF(AND(A166&lt;&gt;"",E166&lt;&gt;""),"Saved","Pending"),"🔒 BLOCKED — Wrong Code")))</f>
        <v>Pending</v>
      </c>
      <c r="J166" s="90" t="str">
        <f t="shared" ca="1" si="14"/>
        <v>—</v>
      </c>
      <c r="K166" s="91"/>
    </row>
    <row r="167" spans="1:11" ht="15" customHeight="1" x14ac:dyDescent="0.25">
      <c r="A167" s="76"/>
      <c r="B167" s="37" t="str">
        <f>IF(A167="","",IFERROR(VLOOKUP(A167,DB_Customers!$A:$D,4,0),"❌ Account Not Found"))</f>
        <v/>
      </c>
      <c r="C167" s="77" t="str">
        <f>IF(A167="","",IFERROR(IF(SUMIF(DB_Savings!$C:$C,A167,DB_Savings!$F:$F)=0,VLOOKUP(A167,DB_Customers!$A:$I,9,0),VLOOKUP(A167,DB_Customers!$A:$N,14,0)),"❌ Acct Not Found"))</f>
        <v/>
      </c>
      <c r="D167" s="78" t="str">
        <f t="shared" ca="1" si="12"/>
        <v/>
      </c>
      <c r="E167" s="79"/>
      <c r="F167" s="80" t="str">
        <f t="shared" si="13"/>
        <v/>
      </c>
      <c r="G167" s="39" t="s">
        <v>140</v>
      </c>
      <c r="H167" s="81"/>
      <c r="I167" s="82" t="str">
        <f>IF(A167="","Pending",IF(H167="","⚠️ Enter Agent Code",IF(IFERROR(VLOOKUP(G167,DB_Agents!$B:$I,8,0),"")=H167,IF(AND(A167&lt;&gt;"",E167&lt;&gt;""),"Saved","Pending"),"🔒 BLOCKED — Wrong Code")))</f>
        <v>Pending</v>
      </c>
      <c r="J167" s="83" t="str">
        <f t="shared" ca="1" si="14"/>
        <v>—</v>
      </c>
      <c r="K167" s="84"/>
    </row>
    <row r="168" spans="1:11" ht="15" customHeight="1" x14ac:dyDescent="0.25">
      <c r="A168" s="85"/>
      <c r="B168" s="41" t="str">
        <f>IF(A168="","",IFERROR(VLOOKUP(A168,DB_Customers!$A:$D,4,0),"❌ Account Not Found"))</f>
        <v/>
      </c>
      <c r="C168" s="86" t="str">
        <f>IF(A168="","",IFERROR(IF(SUMIF(DB_Savings!$C:$C,A168,DB_Savings!$F:$F)=0,VLOOKUP(A168,DB_Customers!$A:$I,9,0),VLOOKUP(A168,DB_Customers!$A:$N,14,0)),"❌ Acct Not Found"))</f>
        <v/>
      </c>
      <c r="D168" s="87" t="str">
        <f t="shared" ca="1" si="12"/>
        <v/>
      </c>
      <c r="E168" s="79"/>
      <c r="F168" s="88" t="str">
        <f t="shared" si="13"/>
        <v/>
      </c>
      <c r="G168" s="43" t="s">
        <v>140</v>
      </c>
      <c r="H168" s="81"/>
      <c r="I168" s="89" t="str">
        <f>IF(A168="","Pending",IF(H168="","⚠️ Enter Agent Code",IF(IFERROR(VLOOKUP(G168,DB_Agents!$B:$I,8,0),"")=H168,IF(AND(A168&lt;&gt;"",E168&lt;&gt;""),"Saved","Pending"),"🔒 BLOCKED — Wrong Code")))</f>
        <v>Pending</v>
      </c>
      <c r="J168" s="90" t="str">
        <f t="shared" ca="1" si="14"/>
        <v>—</v>
      </c>
      <c r="K168" s="91"/>
    </row>
    <row r="169" spans="1:11" ht="15" customHeight="1" x14ac:dyDescent="0.25">
      <c r="A169" s="76"/>
      <c r="B169" s="37" t="str">
        <f>IF(A169="","",IFERROR(VLOOKUP(A169,DB_Customers!$A:$D,4,0),"❌ Account Not Found"))</f>
        <v/>
      </c>
      <c r="C169" s="77" t="str">
        <f>IF(A169="","",IFERROR(IF(SUMIF(DB_Savings!$C:$C,A169,DB_Savings!$F:$F)=0,VLOOKUP(A169,DB_Customers!$A:$I,9,0),VLOOKUP(A169,DB_Customers!$A:$N,14,0)),"❌ Acct Not Found"))</f>
        <v/>
      </c>
      <c r="D169" s="78" t="str">
        <f t="shared" ref="D169:D200" ca="1" si="15">IF(A169="","",TODAY())</f>
        <v/>
      </c>
      <c r="E169" s="79"/>
      <c r="F169" s="80" t="str">
        <f t="shared" ref="F169:F200" si="16">IF(OR(A169="",E169=""),"",IF(C169="","",C169+E169))</f>
        <v/>
      </c>
      <c r="G169" s="39" t="s">
        <v>140</v>
      </c>
      <c r="H169" s="81"/>
      <c r="I169" s="82" t="str">
        <f>IF(A169="","Pending",IF(H169="","⚠️ Enter Agent Code",IF(IFERROR(VLOOKUP(G169,DB_Agents!$B:$I,8,0),"")=H169,IF(AND(A169&lt;&gt;"",E169&lt;&gt;""),"Saved","Pending"),"🔒 BLOCKED — Wrong Code")))</f>
        <v>Pending</v>
      </c>
      <c r="J169" s="83" t="str">
        <f t="shared" ref="J169:J200" ca="1" si="17">IF(I169="Saved",TEXT(TODAY(),"YYYY-MM-DD")&amp;" Auto","—")</f>
        <v>—</v>
      </c>
      <c r="K169" s="84"/>
    </row>
    <row r="170" spans="1:11" ht="15" customHeight="1" x14ac:dyDescent="0.25">
      <c r="A170" s="85"/>
      <c r="B170" s="41" t="str">
        <f>IF(A170="","",IFERROR(VLOOKUP(A170,DB_Customers!$A:$D,4,0),"❌ Account Not Found"))</f>
        <v/>
      </c>
      <c r="C170" s="86" t="str">
        <f>IF(A170="","",IFERROR(IF(SUMIF(DB_Savings!$C:$C,A170,DB_Savings!$F:$F)=0,VLOOKUP(A170,DB_Customers!$A:$I,9,0),VLOOKUP(A170,DB_Customers!$A:$N,14,0)),"❌ Acct Not Found"))</f>
        <v/>
      </c>
      <c r="D170" s="87" t="str">
        <f t="shared" ca="1" si="15"/>
        <v/>
      </c>
      <c r="E170" s="79"/>
      <c r="F170" s="88" t="str">
        <f t="shared" si="16"/>
        <v/>
      </c>
      <c r="G170" s="43" t="s">
        <v>140</v>
      </c>
      <c r="H170" s="81"/>
      <c r="I170" s="89" t="str">
        <f>IF(A170="","Pending",IF(H170="","⚠️ Enter Agent Code",IF(IFERROR(VLOOKUP(G170,DB_Agents!$B:$I,8,0),"")=H170,IF(AND(A170&lt;&gt;"",E170&lt;&gt;""),"Saved","Pending"),"🔒 BLOCKED — Wrong Code")))</f>
        <v>Pending</v>
      </c>
      <c r="J170" s="90" t="str">
        <f t="shared" ca="1" si="17"/>
        <v>—</v>
      </c>
      <c r="K170" s="91"/>
    </row>
    <row r="171" spans="1:11" ht="15" customHeight="1" x14ac:dyDescent="0.25">
      <c r="A171" s="76"/>
      <c r="B171" s="37" t="str">
        <f>IF(A171="","",IFERROR(VLOOKUP(A171,DB_Customers!$A:$D,4,0),"❌ Account Not Found"))</f>
        <v/>
      </c>
      <c r="C171" s="77" t="str">
        <f>IF(A171="","",IFERROR(IF(SUMIF(DB_Savings!$C:$C,A171,DB_Savings!$F:$F)=0,VLOOKUP(A171,DB_Customers!$A:$I,9,0),VLOOKUP(A171,DB_Customers!$A:$N,14,0)),"❌ Acct Not Found"))</f>
        <v/>
      </c>
      <c r="D171" s="78" t="str">
        <f t="shared" ca="1" si="15"/>
        <v/>
      </c>
      <c r="E171" s="79"/>
      <c r="F171" s="80" t="str">
        <f t="shared" si="16"/>
        <v/>
      </c>
      <c r="G171" s="39" t="s">
        <v>140</v>
      </c>
      <c r="H171" s="81"/>
      <c r="I171" s="82" t="str">
        <f>IF(A171="","Pending",IF(H171="","⚠️ Enter Agent Code",IF(IFERROR(VLOOKUP(G171,DB_Agents!$B:$I,8,0),"")=H171,IF(AND(A171&lt;&gt;"",E171&lt;&gt;""),"Saved","Pending"),"🔒 BLOCKED — Wrong Code")))</f>
        <v>Pending</v>
      </c>
      <c r="J171" s="83" t="str">
        <f t="shared" ca="1" si="17"/>
        <v>—</v>
      </c>
      <c r="K171" s="84"/>
    </row>
    <row r="172" spans="1:11" ht="15" customHeight="1" x14ac:dyDescent="0.25">
      <c r="A172" s="85"/>
      <c r="B172" s="41" t="str">
        <f>IF(A172="","",IFERROR(VLOOKUP(A172,DB_Customers!$A:$D,4,0),"❌ Account Not Found"))</f>
        <v/>
      </c>
      <c r="C172" s="86" t="str">
        <f>IF(A172="","",IFERROR(IF(SUMIF(DB_Savings!$C:$C,A172,DB_Savings!$F:$F)=0,VLOOKUP(A172,DB_Customers!$A:$I,9,0),VLOOKUP(A172,DB_Customers!$A:$N,14,0)),"❌ Acct Not Found"))</f>
        <v/>
      </c>
      <c r="D172" s="87" t="str">
        <f t="shared" ca="1" si="15"/>
        <v/>
      </c>
      <c r="E172" s="79"/>
      <c r="F172" s="88" t="str">
        <f t="shared" si="16"/>
        <v/>
      </c>
      <c r="G172" s="43" t="s">
        <v>140</v>
      </c>
      <c r="H172" s="81"/>
      <c r="I172" s="89" t="str">
        <f>IF(A172="","Pending",IF(H172="","⚠️ Enter Agent Code",IF(IFERROR(VLOOKUP(G172,DB_Agents!$B:$I,8,0),"")=H172,IF(AND(A172&lt;&gt;"",E172&lt;&gt;""),"Saved","Pending"),"🔒 BLOCKED — Wrong Code")))</f>
        <v>Pending</v>
      </c>
      <c r="J172" s="90" t="str">
        <f t="shared" ca="1" si="17"/>
        <v>—</v>
      </c>
      <c r="K172" s="91"/>
    </row>
    <row r="173" spans="1:11" ht="15" customHeight="1" x14ac:dyDescent="0.25">
      <c r="A173" s="76"/>
      <c r="B173" s="37" t="str">
        <f>IF(A173="","",IFERROR(VLOOKUP(A173,DB_Customers!$A:$D,4,0),"❌ Account Not Found"))</f>
        <v/>
      </c>
      <c r="C173" s="77" t="str">
        <f>IF(A173="","",IFERROR(IF(SUMIF(DB_Savings!$C:$C,A173,DB_Savings!$F:$F)=0,VLOOKUP(A173,DB_Customers!$A:$I,9,0),VLOOKUP(A173,DB_Customers!$A:$N,14,0)),"❌ Acct Not Found"))</f>
        <v/>
      </c>
      <c r="D173" s="78" t="str">
        <f t="shared" ca="1" si="15"/>
        <v/>
      </c>
      <c r="E173" s="79"/>
      <c r="F173" s="80" t="str">
        <f t="shared" si="16"/>
        <v/>
      </c>
      <c r="G173" s="39" t="s">
        <v>140</v>
      </c>
      <c r="H173" s="81"/>
      <c r="I173" s="82" t="str">
        <f>IF(A173="","Pending",IF(H173="","⚠️ Enter Agent Code",IF(IFERROR(VLOOKUP(G173,DB_Agents!$B:$I,8,0),"")=H173,IF(AND(A173&lt;&gt;"",E173&lt;&gt;""),"Saved","Pending"),"🔒 BLOCKED — Wrong Code")))</f>
        <v>Pending</v>
      </c>
      <c r="J173" s="83" t="str">
        <f t="shared" ca="1" si="17"/>
        <v>—</v>
      </c>
      <c r="K173" s="84"/>
    </row>
    <row r="174" spans="1:11" ht="15" customHeight="1" x14ac:dyDescent="0.25">
      <c r="A174" s="85"/>
      <c r="B174" s="41" t="str">
        <f>IF(A174="","",IFERROR(VLOOKUP(A174,DB_Customers!$A:$D,4,0),"❌ Account Not Found"))</f>
        <v/>
      </c>
      <c r="C174" s="86" t="str">
        <f>IF(A174="","",IFERROR(IF(SUMIF(DB_Savings!$C:$C,A174,DB_Savings!$F:$F)=0,VLOOKUP(A174,DB_Customers!$A:$I,9,0),VLOOKUP(A174,DB_Customers!$A:$N,14,0)),"❌ Acct Not Found"))</f>
        <v/>
      </c>
      <c r="D174" s="87" t="str">
        <f t="shared" ca="1" si="15"/>
        <v/>
      </c>
      <c r="E174" s="79"/>
      <c r="F174" s="88" t="str">
        <f t="shared" si="16"/>
        <v/>
      </c>
      <c r="G174" s="43" t="s">
        <v>140</v>
      </c>
      <c r="H174" s="81"/>
      <c r="I174" s="89" t="str">
        <f>IF(A174="","Pending",IF(H174="","⚠️ Enter Agent Code",IF(IFERROR(VLOOKUP(G174,DB_Agents!$B:$I,8,0),"")=H174,IF(AND(A174&lt;&gt;"",E174&lt;&gt;""),"Saved","Pending"),"🔒 BLOCKED — Wrong Code")))</f>
        <v>Pending</v>
      </c>
      <c r="J174" s="90" t="str">
        <f t="shared" ca="1" si="17"/>
        <v>—</v>
      </c>
      <c r="K174" s="91"/>
    </row>
    <row r="175" spans="1:11" ht="15" customHeight="1" x14ac:dyDescent="0.25">
      <c r="A175" s="76"/>
      <c r="B175" s="37" t="str">
        <f>IF(A175="","",IFERROR(VLOOKUP(A175,DB_Customers!$A:$D,4,0),"❌ Account Not Found"))</f>
        <v/>
      </c>
      <c r="C175" s="77" t="str">
        <f>IF(A175="","",IFERROR(IF(SUMIF(DB_Savings!$C:$C,A175,DB_Savings!$F:$F)=0,VLOOKUP(A175,DB_Customers!$A:$I,9,0),VLOOKUP(A175,DB_Customers!$A:$N,14,0)),"❌ Acct Not Found"))</f>
        <v/>
      </c>
      <c r="D175" s="78" t="str">
        <f t="shared" ca="1" si="15"/>
        <v/>
      </c>
      <c r="E175" s="79"/>
      <c r="F175" s="80" t="str">
        <f t="shared" si="16"/>
        <v/>
      </c>
      <c r="G175" s="39" t="s">
        <v>140</v>
      </c>
      <c r="H175" s="81"/>
      <c r="I175" s="82" t="str">
        <f>IF(A175="","Pending",IF(H175="","⚠️ Enter Agent Code",IF(IFERROR(VLOOKUP(G175,DB_Agents!$B:$I,8,0),"")=H175,IF(AND(A175&lt;&gt;"",E175&lt;&gt;""),"Saved","Pending"),"🔒 BLOCKED — Wrong Code")))</f>
        <v>Pending</v>
      </c>
      <c r="J175" s="83" t="str">
        <f t="shared" ca="1" si="17"/>
        <v>—</v>
      </c>
      <c r="K175" s="84"/>
    </row>
    <row r="176" spans="1:11" ht="15" customHeight="1" x14ac:dyDescent="0.25">
      <c r="A176" s="85"/>
      <c r="B176" s="41" t="str">
        <f>IF(A176="","",IFERROR(VLOOKUP(A176,DB_Customers!$A:$D,4,0),"❌ Account Not Found"))</f>
        <v/>
      </c>
      <c r="C176" s="86" t="str">
        <f>IF(A176="","",IFERROR(IF(SUMIF(DB_Savings!$C:$C,A176,DB_Savings!$F:$F)=0,VLOOKUP(A176,DB_Customers!$A:$I,9,0),VLOOKUP(A176,DB_Customers!$A:$N,14,0)),"❌ Acct Not Found"))</f>
        <v/>
      </c>
      <c r="D176" s="87" t="str">
        <f t="shared" ca="1" si="15"/>
        <v/>
      </c>
      <c r="E176" s="79"/>
      <c r="F176" s="88" t="str">
        <f t="shared" si="16"/>
        <v/>
      </c>
      <c r="G176" s="43" t="s">
        <v>140</v>
      </c>
      <c r="H176" s="81"/>
      <c r="I176" s="89" t="str">
        <f>IF(A176="","Pending",IF(H176="","⚠️ Enter Agent Code",IF(IFERROR(VLOOKUP(G176,DB_Agents!$B:$I,8,0),"")=H176,IF(AND(A176&lt;&gt;"",E176&lt;&gt;""),"Saved","Pending"),"🔒 BLOCKED — Wrong Code")))</f>
        <v>Pending</v>
      </c>
      <c r="J176" s="90" t="str">
        <f t="shared" ca="1" si="17"/>
        <v>—</v>
      </c>
      <c r="K176" s="91"/>
    </row>
    <row r="177" spans="1:11" ht="15" customHeight="1" x14ac:dyDescent="0.25">
      <c r="A177" s="76"/>
      <c r="B177" s="37" t="str">
        <f>IF(A177="","",IFERROR(VLOOKUP(A177,DB_Customers!$A:$D,4,0),"❌ Account Not Found"))</f>
        <v/>
      </c>
      <c r="C177" s="77" t="str">
        <f>IF(A177="","",IFERROR(IF(SUMIF(DB_Savings!$C:$C,A177,DB_Savings!$F:$F)=0,VLOOKUP(A177,DB_Customers!$A:$I,9,0),VLOOKUP(A177,DB_Customers!$A:$N,14,0)),"❌ Acct Not Found"))</f>
        <v/>
      </c>
      <c r="D177" s="78" t="str">
        <f t="shared" ca="1" si="15"/>
        <v/>
      </c>
      <c r="E177" s="79"/>
      <c r="F177" s="80" t="str">
        <f t="shared" si="16"/>
        <v/>
      </c>
      <c r="G177" s="39" t="s">
        <v>140</v>
      </c>
      <c r="H177" s="81"/>
      <c r="I177" s="82" t="str">
        <f>IF(A177="","Pending",IF(H177="","⚠️ Enter Agent Code",IF(IFERROR(VLOOKUP(G177,DB_Agents!$B:$I,8,0),"")=H177,IF(AND(A177&lt;&gt;"",E177&lt;&gt;""),"Saved","Pending"),"🔒 BLOCKED — Wrong Code")))</f>
        <v>Pending</v>
      </c>
      <c r="J177" s="83" t="str">
        <f t="shared" ca="1" si="17"/>
        <v>—</v>
      </c>
      <c r="K177" s="84"/>
    </row>
    <row r="178" spans="1:11" ht="15" customHeight="1" x14ac:dyDescent="0.25">
      <c r="A178" s="85"/>
      <c r="B178" s="41" t="str">
        <f>IF(A178="","",IFERROR(VLOOKUP(A178,DB_Customers!$A:$D,4,0),"❌ Account Not Found"))</f>
        <v/>
      </c>
      <c r="C178" s="86" t="str">
        <f>IF(A178="","",IFERROR(IF(SUMIF(DB_Savings!$C:$C,A178,DB_Savings!$F:$F)=0,VLOOKUP(A178,DB_Customers!$A:$I,9,0),VLOOKUP(A178,DB_Customers!$A:$N,14,0)),"❌ Acct Not Found"))</f>
        <v/>
      </c>
      <c r="D178" s="87" t="str">
        <f t="shared" ca="1" si="15"/>
        <v/>
      </c>
      <c r="E178" s="79"/>
      <c r="F178" s="88" t="str">
        <f t="shared" si="16"/>
        <v/>
      </c>
      <c r="G178" s="43" t="s">
        <v>140</v>
      </c>
      <c r="H178" s="81"/>
      <c r="I178" s="89" t="str">
        <f>IF(A178="","Pending",IF(H178="","⚠️ Enter Agent Code",IF(IFERROR(VLOOKUP(G178,DB_Agents!$B:$I,8,0),"")=H178,IF(AND(A178&lt;&gt;"",E178&lt;&gt;""),"Saved","Pending"),"🔒 BLOCKED — Wrong Code")))</f>
        <v>Pending</v>
      </c>
      <c r="J178" s="90" t="str">
        <f t="shared" ca="1" si="17"/>
        <v>—</v>
      </c>
      <c r="K178" s="91"/>
    </row>
    <row r="179" spans="1:11" ht="15" customHeight="1" x14ac:dyDescent="0.25">
      <c r="A179" s="76"/>
      <c r="B179" s="37" t="str">
        <f>IF(A179="","",IFERROR(VLOOKUP(A179,DB_Customers!$A:$D,4,0),"❌ Account Not Found"))</f>
        <v/>
      </c>
      <c r="C179" s="77" t="str">
        <f>IF(A179="","",IFERROR(IF(SUMIF(DB_Savings!$C:$C,A179,DB_Savings!$F:$F)=0,VLOOKUP(A179,DB_Customers!$A:$I,9,0),VLOOKUP(A179,DB_Customers!$A:$N,14,0)),"❌ Acct Not Found"))</f>
        <v/>
      </c>
      <c r="D179" s="78" t="str">
        <f t="shared" ca="1" si="15"/>
        <v/>
      </c>
      <c r="E179" s="79"/>
      <c r="F179" s="80" t="str">
        <f t="shared" si="16"/>
        <v/>
      </c>
      <c r="G179" s="39" t="s">
        <v>140</v>
      </c>
      <c r="H179" s="81"/>
      <c r="I179" s="82" t="str">
        <f>IF(A179="","Pending",IF(H179="","⚠️ Enter Agent Code",IF(IFERROR(VLOOKUP(G179,DB_Agents!$B:$I,8,0),"")=H179,IF(AND(A179&lt;&gt;"",E179&lt;&gt;""),"Saved","Pending"),"🔒 BLOCKED — Wrong Code")))</f>
        <v>Pending</v>
      </c>
      <c r="J179" s="83" t="str">
        <f t="shared" ca="1" si="17"/>
        <v>—</v>
      </c>
      <c r="K179" s="84"/>
    </row>
    <row r="180" spans="1:11" ht="15" customHeight="1" x14ac:dyDescent="0.25">
      <c r="A180" s="85"/>
      <c r="B180" s="41" t="str">
        <f>IF(A180="","",IFERROR(VLOOKUP(A180,DB_Customers!$A:$D,4,0),"❌ Account Not Found"))</f>
        <v/>
      </c>
      <c r="C180" s="86" t="str">
        <f>IF(A180="","",IFERROR(IF(SUMIF(DB_Savings!$C:$C,A180,DB_Savings!$F:$F)=0,VLOOKUP(A180,DB_Customers!$A:$I,9,0),VLOOKUP(A180,DB_Customers!$A:$N,14,0)),"❌ Acct Not Found"))</f>
        <v/>
      </c>
      <c r="D180" s="87" t="str">
        <f t="shared" ca="1" si="15"/>
        <v/>
      </c>
      <c r="E180" s="79"/>
      <c r="F180" s="88" t="str">
        <f t="shared" si="16"/>
        <v/>
      </c>
      <c r="G180" s="43" t="s">
        <v>140</v>
      </c>
      <c r="H180" s="81"/>
      <c r="I180" s="89" t="str">
        <f>IF(A180="","Pending",IF(H180="","⚠️ Enter Agent Code",IF(IFERROR(VLOOKUP(G180,DB_Agents!$B:$I,8,0),"")=H180,IF(AND(A180&lt;&gt;"",E180&lt;&gt;""),"Saved","Pending"),"🔒 BLOCKED — Wrong Code")))</f>
        <v>Pending</v>
      </c>
      <c r="J180" s="90" t="str">
        <f t="shared" ca="1" si="17"/>
        <v>—</v>
      </c>
      <c r="K180" s="91"/>
    </row>
    <row r="181" spans="1:11" ht="15" customHeight="1" x14ac:dyDescent="0.25">
      <c r="A181" s="76"/>
      <c r="B181" s="37" t="str">
        <f>IF(A181="","",IFERROR(VLOOKUP(A181,DB_Customers!$A:$D,4,0),"❌ Account Not Found"))</f>
        <v/>
      </c>
      <c r="C181" s="77" t="str">
        <f>IF(A181="","",IFERROR(IF(SUMIF(DB_Savings!$C:$C,A181,DB_Savings!$F:$F)=0,VLOOKUP(A181,DB_Customers!$A:$I,9,0),VLOOKUP(A181,DB_Customers!$A:$N,14,0)),"❌ Acct Not Found"))</f>
        <v/>
      </c>
      <c r="D181" s="78" t="str">
        <f t="shared" ca="1" si="15"/>
        <v/>
      </c>
      <c r="E181" s="79"/>
      <c r="F181" s="80" t="str">
        <f t="shared" si="16"/>
        <v/>
      </c>
      <c r="G181" s="39" t="s">
        <v>140</v>
      </c>
      <c r="H181" s="81"/>
      <c r="I181" s="82" t="str">
        <f>IF(A181="","Pending",IF(H181="","⚠️ Enter Agent Code",IF(IFERROR(VLOOKUP(G181,DB_Agents!$B:$I,8,0),"")=H181,IF(AND(A181&lt;&gt;"",E181&lt;&gt;""),"Saved","Pending"),"🔒 BLOCKED — Wrong Code")))</f>
        <v>Pending</v>
      </c>
      <c r="J181" s="83" t="str">
        <f t="shared" ca="1" si="17"/>
        <v>—</v>
      </c>
      <c r="K181" s="84"/>
    </row>
    <row r="182" spans="1:11" ht="15" customHeight="1" x14ac:dyDescent="0.25">
      <c r="A182" s="85"/>
      <c r="B182" s="41" t="str">
        <f>IF(A182="","",IFERROR(VLOOKUP(A182,DB_Customers!$A:$D,4,0),"❌ Account Not Found"))</f>
        <v/>
      </c>
      <c r="C182" s="86" t="str">
        <f>IF(A182="","",IFERROR(IF(SUMIF(DB_Savings!$C:$C,A182,DB_Savings!$F:$F)=0,VLOOKUP(A182,DB_Customers!$A:$I,9,0),VLOOKUP(A182,DB_Customers!$A:$N,14,0)),"❌ Acct Not Found"))</f>
        <v/>
      </c>
      <c r="D182" s="87" t="str">
        <f t="shared" ca="1" si="15"/>
        <v/>
      </c>
      <c r="E182" s="79"/>
      <c r="F182" s="88" t="str">
        <f t="shared" si="16"/>
        <v/>
      </c>
      <c r="G182" s="43" t="s">
        <v>140</v>
      </c>
      <c r="H182" s="81"/>
      <c r="I182" s="89" t="str">
        <f>IF(A182="","Pending",IF(H182="","⚠️ Enter Agent Code",IF(IFERROR(VLOOKUP(G182,DB_Agents!$B:$I,8,0),"")=H182,IF(AND(A182&lt;&gt;"",E182&lt;&gt;""),"Saved","Pending"),"🔒 BLOCKED — Wrong Code")))</f>
        <v>Pending</v>
      </c>
      <c r="J182" s="90" t="str">
        <f t="shared" ca="1" si="17"/>
        <v>—</v>
      </c>
      <c r="K182" s="91"/>
    </row>
    <row r="183" spans="1:11" ht="15" customHeight="1" x14ac:dyDescent="0.25">
      <c r="A183" s="76"/>
      <c r="B183" s="37" t="str">
        <f>IF(A183="","",IFERROR(VLOOKUP(A183,DB_Customers!$A:$D,4,0),"❌ Account Not Found"))</f>
        <v/>
      </c>
      <c r="C183" s="77" t="str">
        <f>IF(A183="","",IFERROR(IF(SUMIF(DB_Savings!$C:$C,A183,DB_Savings!$F:$F)=0,VLOOKUP(A183,DB_Customers!$A:$I,9,0),VLOOKUP(A183,DB_Customers!$A:$N,14,0)),"❌ Acct Not Found"))</f>
        <v/>
      </c>
      <c r="D183" s="78" t="str">
        <f t="shared" ca="1" si="15"/>
        <v/>
      </c>
      <c r="E183" s="79"/>
      <c r="F183" s="80" t="str">
        <f t="shared" si="16"/>
        <v/>
      </c>
      <c r="G183" s="39" t="s">
        <v>140</v>
      </c>
      <c r="H183" s="81"/>
      <c r="I183" s="82" t="str">
        <f>IF(A183="","Pending",IF(H183="","⚠️ Enter Agent Code",IF(IFERROR(VLOOKUP(G183,DB_Agents!$B:$I,8,0),"")=H183,IF(AND(A183&lt;&gt;"",E183&lt;&gt;""),"Saved","Pending"),"🔒 BLOCKED — Wrong Code")))</f>
        <v>Pending</v>
      </c>
      <c r="J183" s="83" t="str">
        <f t="shared" ca="1" si="17"/>
        <v>—</v>
      </c>
      <c r="K183" s="84"/>
    </row>
    <row r="184" spans="1:11" ht="15" customHeight="1" x14ac:dyDescent="0.25">
      <c r="A184" s="85"/>
      <c r="B184" s="41" t="str">
        <f>IF(A184="","",IFERROR(VLOOKUP(A184,DB_Customers!$A:$D,4,0),"❌ Account Not Found"))</f>
        <v/>
      </c>
      <c r="C184" s="86" t="str">
        <f>IF(A184="","",IFERROR(IF(SUMIF(DB_Savings!$C:$C,A184,DB_Savings!$F:$F)=0,VLOOKUP(A184,DB_Customers!$A:$I,9,0),VLOOKUP(A184,DB_Customers!$A:$N,14,0)),"❌ Acct Not Found"))</f>
        <v/>
      </c>
      <c r="D184" s="87" t="str">
        <f t="shared" ca="1" si="15"/>
        <v/>
      </c>
      <c r="E184" s="79"/>
      <c r="F184" s="88" t="str">
        <f t="shared" si="16"/>
        <v/>
      </c>
      <c r="G184" s="43" t="s">
        <v>140</v>
      </c>
      <c r="H184" s="81"/>
      <c r="I184" s="89" t="str">
        <f>IF(A184="","Pending",IF(H184="","⚠️ Enter Agent Code",IF(IFERROR(VLOOKUP(G184,DB_Agents!$B:$I,8,0),"")=H184,IF(AND(A184&lt;&gt;"",E184&lt;&gt;""),"Saved","Pending"),"🔒 BLOCKED — Wrong Code")))</f>
        <v>Pending</v>
      </c>
      <c r="J184" s="90" t="str">
        <f t="shared" ca="1" si="17"/>
        <v>—</v>
      </c>
      <c r="K184" s="91"/>
    </row>
    <row r="185" spans="1:11" ht="15" customHeight="1" x14ac:dyDescent="0.25">
      <c r="A185" s="76"/>
      <c r="B185" s="37" t="str">
        <f>IF(A185="","",IFERROR(VLOOKUP(A185,DB_Customers!$A:$D,4,0),"❌ Account Not Found"))</f>
        <v/>
      </c>
      <c r="C185" s="77" t="str">
        <f>IF(A185="","",IFERROR(IF(SUMIF(DB_Savings!$C:$C,A185,DB_Savings!$F:$F)=0,VLOOKUP(A185,DB_Customers!$A:$I,9,0),VLOOKUP(A185,DB_Customers!$A:$N,14,0)),"❌ Acct Not Found"))</f>
        <v/>
      </c>
      <c r="D185" s="78" t="str">
        <f t="shared" ca="1" si="15"/>
        <v/>
      </c>
      <c r="E185" s="79"/>
      <c r="F185" s="80" t="str">
        <f t="shared" si="16"/>
        <v/>
      </c>
      <c r="G185" s="39" t="s">
        <v>140</v>
      </c>
      <c r="H185" s="81"/>
      <c r="I185" s="82" t="str">
        <f>IF(A185="","Pending",IF(H185="","⚠️ Enter Agent Code",IF(IFERROR(VLOOKUP(G185,DB_Agents!$B:$I,8,0),"")=H185,IF(AND(A185&lt;&gt;"",E185&lt;&gt;""),"Saved","Pending"),"🔒 BLOCKED — Wrong Code")))</f>
        <v>Pending</v>
      </c>
      <c r="J185" s="83" t="str">
        <f t="shared" ca="1" si="17"/>
        <v>—</v>
      </c>
      <c r="K185" s="84"/>
    </row>
    <row r="186" spans="1:11" ht="15" customHeight="1" x14ac:dyDescent="0.25">
      <c r="A186" s="85"/>
      <c r="B186" s="41" t="str">
        <f>IF(A186="","",IFERROR(VLOOKUP(A186,DB_Customers!$A:$D,4,0),"❌ Account Not Found"))</f>
        <v/>
      </c>
      <c r="C186" s="86" t="str">
        <f>IF(A186="","",IFERROR(IF(SUMIF(DB_Savings!$C:$C,A186,DB_Savings!$F:$F)=0,VLOOKUP(A186,DB_Customers!$A:$I,9,0),VLOOKUP(A186,DB_Customers!$A:$N,14,0)),"❌ Acct Not Found"))</f>
        <v/>
      </c>
      <c r="D186" s="87" t="str">
        <f t="shared" ca="1" si="15"/>
        <v/>
      </c>
      <c r="E186" s="79"/>
      <c r="F186" s="88" t="str">
        <f t="shared" si="16"/>
        <v/>
      </c>
      <c r="G186" s="43" t="s">
        <v>140</v>
      </c>
      <c r="H186" s="81"/>
      <c r="I186" s="89" t="str">
        <f>IF(A186="","Pending",IF(H186="","⚠️ Enter Agent Code",IF(IFERROR(VLOOKUP(G186,DB_Agents!$B:$I,8,0),"")=H186,IF(AND(A186&lt;&gt;"",E186&lt;&gt;""),"Saved","Pending"),"🔒 BLOCKED — Wrong Code")))</f>
        <v>Pending</v>
      </c>
      <c r="J186" s="90" t="str">
        <f t="shared" ca="1" si="17"/>
        <v>—</v>
      </c>
      <c r="K186" s="91"/>
    </row>
    <row r="187" spans="1:11" ht="15" customHeight="1" x14ac:dyDescent="0.25">
      <c r="A187" s="76"/>
      <c r="B187" s="37" t="str">
        <f>IF(A187="","",IFERROR(VLOOKUP(A187,DB_Customers!$A:$D,4,0),"❌ Account Not Found"))</f>
        <v/>
      </c>
      <c r="C187" s="77" t="str">
        <f>IF(A187="","",IFERROR(IF(SUMIF(DB_Savings!$C:$C,A187,DB_Savings!$F:$F)=0,VLOOKUP(A187,DB_Customers!$A:$I,9,0),VLOOKUP(A187,DB_Customers!$A:$N,14,0)),"❌ Acct Not Found"))</f>
        <v/>
      </c>
      <c r="D187" s="78" t="str">
        <f t="shared" ca="1" si="15"/>
        <v/>
      </c>
      <c r="E187" s="79"/>
      <c r="F187" s="80" t="str">
        <f t="shared" si="16"/>
        <v/>
      </c>
      <c r="G187" s="39" t="s">
        <v>140</v>
      </c>
      <c r="H187" s="81"/>
      <c r="I187" s="82" t="str">
        <f>IF(A187="","Pending",IF(H187="","⚠️ Enter Agent Code",IF(IFERROR(VLOOKUP(G187,DB_Agents!$B:$I,8,0),"")=H187,IF(AND(A187&lt;&gt;"",E187&lt;&gt;""),"Saved","Pending"),"🔒 BLOCKED — Wrong Code")))</f>
        <v>Pending</v>
      </c>
      <c r="J187" s="83" t="str">
        <f t="shared" ca="1" si="17"/>
        <v>—</v>
      </c>
      <c r="K187" s="84"/>
    </row>
    <row r="188" spans="1:11" ht="15" customHeight="1" x14ac:dyDescent="0.25">
      <c r="A188" s="85"/>
      <c r="B188" s="41" t="str">
        <f>IF(A188="","",IFERROR(VLOOKUP(A188,DB_Customers!$A:$D,4,0),"❌ Account Not Found"))</f>
        <v/>
      </c>
      <c r="C188" s="86" t="str">
        <f>IF(A188="","",IFERROR(IF(SUMIF(DB_Savings!$C:$C,A188,DB_Savings!$F:$F)=0,VLOOKUP(A188,DB_Customers!$A:$I,9,0),VLOOKUP(A188,DB_Customers!$A:$N,14,0)),"❌ Acct Not Found"))</f>
        <v/>
      </c>
      <c r="D188" s="87" t="str">
        <f t="shared" ca="1" si="15"/>
        <v/>
      </c>
      <c r="E188" s="79"/>
      <c r="F188" s="88" t="str">
        <f t="shared" si="16"/>
        <v/>
      </c>
      <c r="G188" s="43" t="s">
        <v>140</v>
      </c>
      <c r="H188" s="81"/>
      <c r="I188" s="89" t="str">
        <f>IF(A188="","Pending",IF(H188="","⚠️ Enter Agent Code",IF(IFERROR(VLOOKUP(G188,DB_Agents!$B:$I,8,0),"")=H188,IF(AND(A188&lt;&gt;"",E188&lt;&gt;""),"Saved","Pending"),"🔒 BLOCKED — Wrong Code")))</f>
        <v>Pending</v>
      </c>
      <c r="J188" s="90" t="str">
        <f t="shared" ca="1" si="17"/>
        <v>—</v>
      </c>
      <c r="K188" s="91"/>
    </row>
    <row r="189" spans="1:11" ht="15" customHeight="1" x14ac:dyDescent="0.25">
      <c r="A189" s="76"/>
      <c r="B189" s="37" t="str">
        <f>IF(A189="","",IFERROR(VLOOKUP(A189,DB_Customers!$A:$D,4,0),"❌ Account Not Found"))</f>
        <v/>
      </c>
      <c r="C189" s="77" t="str">
        <f>IF(A189="","",IFERROR(IF(SUMIF(DB_Savings!$C:$C,A189,DB_Savings!$F:$F)=0,VLOOKUP(A189,DB_Customers!$A:$I,9,0),VLOOKUP(A189,DB_Customers!$A:$N,14,0)),"❌ Acct Not Found"))</f>
        <v/>
      </c>
      <c r="D189" s="78" t="str">
        <f t="shared" ca="1" si="15"/>
        <v/>
      </c>
      <c r="E189" s="79"/>
      <c r="F189" s="80" t="str">
        <f t="shared" si="16"/>
        <v/>
      </c>
      <c r="G189" s="39" t="s">
        <v>140</v>
      </c>
      <c r="H189" s="81"/>
      <c r="I189" s="82" t="str">
        <f>IF(A189="","Pending",IF(H189="","⚠️ Enter Agent Code",IF(IFERROR(VLOOKUP(G189,DB_Agents!$B:$I,8,0),"")=H189,IF(AND(A189&lt;&gt;"",E189&lt;&gt;""),"Saved","Pending"),"🔒 BLOCKED — Wrong Code")))</f>
        <v>Pending</v>
      </c>
      <c r="J189" s="83" t="str">
        <f t="shared" ca="1" si="17"/>
        <v>—</v>
      </c>
      <c r="K189" s="84"/>
    </row>
    <row r="190" spans="1:11" ht="15" customHeight="1" x14ac:dyDescent="0.25">
      <c r="A190" s="85"/>
      <c r="B190" s="41" t="str">
        <f>IF(A190="","",IFERROR(VLOOKUP(A190,DB_Customers!$A:$D,4,0),"❌ Account Not Found"))</f>
        <v/>
      </c>
      <c r="C190" s="86" t="str">
        <f>IF(A190="","",IFERROR(IF(SUMIF(DB_Savings!$C:$C,A190,DB_Savings!$F:$F)=0,VLOOKUP(A190,DB_Customers!$A:$I,9,0),VLOOKUP(A190,DB_Customers!$A:$N,14,0)),"❌ Acct Not Found"))</f>
        <v/>
      </c>
      <c r="D190" s="87" t="str">
        <f t="shared" ca="1" si="15"/>
        <v/>
      </c>
      <c r="E190" s="79"/>
      <c r="F190" s="88" t="str">
        <f t="shared" si="16"/>
        <v/>
      </c>
      <c r="G190" s="43" t="s">
        <v>140</v>
      </c>
      <c r="H190" s="81"/>
      <c r="I190" s="89" t="str">
        <f>IF(A190="","Pending",IF(H190="","⚠️ Enter Agent Code",IF(IFERROR(VLOOKUP(G190,DB_Agents!$B:$I,8,0),"")=H190,IF(AND(A190&lt;&gt;"",E190&lt;&gt;""),"Saved","Pending"),"🔒 BLOCKED — Wrong Code")))</f>
        <v>Pending</v>
      </c>
      <c r="J190" s="90" t="str">
        <f t="shared" ca="1" si="17"/>
        <v>—</v>
      </c>
      <c r="K190" s="91"/>
    </row>
    <row r="191" spans="1:11" ht="15" customHeight="1" x14ac:dyDescent="0.25">
      <c r="A191" s="76"/>
      <c r="B191" s="37" t="str">
        <f>IF(A191="","",IFERROR(VLOOKUP(A191,DB_Customers!$A:$D,4,0),"❌ Account Not Found"))</f>
        <v/>
      </c>
      <c r="C191" s="77" t="str">
        <f>IF(A191="","",IFERROR(IF(SUMIF(DB_Savings!$C:$C,A191,DB_Savings!$F:$F)=0,VLOOKUP(A191,DB_Customers!$A:$I,9,0),VLOOKUP(A191,DB_Customers!$A:$N,14,0)),"❌ Acct Not Found"))</f>
        <v/>
      </c>
      <c r="D191" s="78" t="str">
        <f t="shared" ca="1" si="15"/>
        <v/>
      </c>
      <c r="E191" s="79"/>
      <c r="F191" s="80" t="str">
        <f t="shared" si="16"/>
        <v/>
      </c>
      <c r="G191" s="39" t="s">
        <v>140</v>
      </c>
      <c r="H191" s="81"/>
      <c r="I191" s="82" t="str">
        <f>IF(A191="","Pending",IF(H191="","⚠️ Enter Agent Code",IF(IFERROR(VLOOKUP(G191,DB_Agents!$B:$I,8,0),"")=H191,IF(AND(A191&lt;&gt;"",E191&lt;&gt;""),"Saved","Pending"),"🔒 BLOCKED — Wrong Code")))</f>
        <v>Pending</v>
      </c>
      <c r="J191" s="83" t="str">
        <f t="shared" ca="1" si="17"/>
        <v>—</v>
      </c>
      <c r="K191" s="84"/>
    </row>
    <row r="192" spans="1:11" ht="15" customHeight="1" x14ac:dyDescent="0.25">
      <c r="A192" s="85"/>
      <c r="B192" s="41" t="str">
        <f>IF(A192="","",IFERROR(VLOOKUP(A192,DB_Customers!$A:$D,4,0),"❌ Account Not Found"))</f>
        <v/>
      </c>
      <c r="C192" s="86" t="str">
        <f>IF(A192="","",IFERROR(IF(SUMIF(DB_Savings!$C:$C,A192,DB_Savings!$F:$F)=0,VLOOKUP(A192,DB_Customers!$A:$I,9,0),VLOOKUP(A192,DB_Customers!$A:$N,14,0)),"❌ Acct Not Found"))</f>
        <v/>
      </c>
      <c r="D192" s="87" t="str">
        <f t="shared" ca="1" si="15"/>
        <v/>
      </c>
      <c r="E192" s="79"/>
      <c r="F192" s="88" t="str">
        <f t="shared" si="16"/>
        <v/>
      </c>
      <c r="G192" s="43" t="s">
        <v>140</v>
      </c>
      <c r="H192" s="81"/>
      <c r="I192" s="89" t="str">
        <f>IF(A192="","Pending",IF(H192="","⚠️ Enter Agent Code",IF(IFERROR(VLOOKUP(G192,DB_Agents!$B:$I,8,0),"")=H192,IF(AND(A192&lt;&gt;"",E192&lt;&gt;""),"Saved","Pending"),"🔒 BLOCKED — Wrong Code")))</f>
        <v>Pending</v>
      </c>
      <c r="J192" s="90" t="str">
        <f t="shared" ca="1" si="17"/>
        <v>—</v>
      </c>
      <c r="K192" s="91"/>
    </row>
    <row r="193" spans="1:11" ht="15" customHeight="1" x14ac:dyDescent="0.25">
      <c r="A193" s="76"/>
      <c r="B193" s="37" t="str">
        <f>IF(A193="","",IFERROR(VLOOKUP(A193,DB_Customers!$A:$D,4,0),"❌ Account Not Found"))</f>
        <v/>
      </c>
      <c r="C193" s="77" t="str">
        <f>IF(A193="","",IFERROR(IF(SUMIF(DB_Savings!$C:$C,A193,DB_Savings!$F:$F)=0,VLOOKUP(A193,DB_Customers!$A:$I,9,0),VLOOKUP(A193,DB_Customers!$A:$N,14,0)),"❌ Acct Not Found"))</f>
        <v/>
      </c>
      <c r="D193" s="78" t="str">
        <f t="shared" ca="1" si="15"/>
        <v/>
      </c>
      <c r="E193" s="79"/>
      <c r="F193" s="80" t="str">
        <f t="shared" si="16"/>
        <v/>
      </c>
      <c r="G193" s="39" t="s">
        <v>140</v>
      </c>
      <c r="H193" s="81"/>
      <c r="I193" s="82" t="str">
        <f>IF(A193="","Pending",IF(H193="","⚠️ Enter Agent Code",IF(IFERROR(VLOOKUP(G193,DB_Agents!$B:$I,8,0),"")=H193,IF(AND(A193&lt;&gt;"",E193&lt;&gt;""),"Saved","Pending"),"🔒 BLOCKED — Wrong Code")))</f>
        <v>Pending</v>
      </c>
      <c r="J193" s="83" t="str">
        <f t="shared" ca="1" si="17"/>
        <v>—</v>
      </c>
      <c r="K193" s="84"/>
    </row>
    <row r="194" spans="1:11" ht="15" customHeight="1" x14ac:dyDescent="0.25">
      <c r="A194" s="85"/>
      <c r="B194" s="41" t="str">
        <f>IF(A194="","",IFERROR(VLOOKUP(A194,DB_Customers!$A:$D,4,0),"❌ Account Not Found"))</f>
        <v/>
      </c>
      <c r="C194" s="86" t="str">
        <f>IF(A194="","",IFERROR(IF(SUMIF(DB_Savings!$C:$C,A194,DB_Savings!$F:$F)=0,VLOOKUP(A194,DB_Customers!$A:$I,9,0),VLOOKUP(A194,DB_Customers!$A:$N,14,0)),"❌ Acct Not Found"))</f>
        <v/>
      </c>
      <c r="D194" s="87" t="str">
        <f t="shared" ca="1" si="15"/>
        <v/>
      </c>
      <c r="E194" s="79"/>
      <c r="F194" s="88" t="str">
        <f t="shared" si="16"/>
        <v/>
      </c>
      <c r="G194" s="43" t="s">
        <v>140</v>
      </c>
      <c r="H194" s="81"/>
      <c r="I194" s="89" t="str">
        <f>IF(A194="","Pending",IF(H194="","⚠️ Enter Agent Code",IF(IFERROR(VLOOKUP(G194,DB_Agents!$B:$I,8,0),"")=H194,IF(AND(A194&lt;&gt;"",E194&lt;&gt;""),"Saved","Pending"),"🔒 BLOCKED — Wrong Code")))</f>
        <v>Pending</v>
      </c>
      <c r="J194" s="90" t="str">
        <f t="shared" ca="1" si="17"/>
        <v>—</v>
      </c>
      <c r="K194" s="91"/>
    </row>
    <row r="195" spans="1:11" ht="15" customHeight="1" x14ac:dyDescent="0.25">
      <c r="A195" s="76"/>
      <c r="B195" s="37" t="str">
        <f>IF(A195="","",IFERROR(VLOOKUP(A195,DB_Customers!$A:$D,4,0),"❌ Account Not Found"))</f>
        <v/>
      </c>
      <c r="C195" s="77" t="str">
        <f>IF(A195="","",IFERROR(IF(SUMIF(DB_Savings!$C:$C,A195,DB_Savings!$F:$F)=0,VLOOKUP(A195,DB_Customers!$A:$I,9,0),VLOOKUP(A195,DB_Customers!$A:$N,14,0)),"❌ Acct Not Found"))</f>
        <v/>
      </c>
      <c r="D195" s="78" t="str">
        <f t="shared" ca="1" si="15"/>
        <v/>
      </c>
      <c r="E195" s="79"/>
      <c r="F195" s="80" t="str">
        <f t="shared" si="16"/>
        <v/>
      </c>
      <c r="G195" s="39" t="s">
        <v>140</v>
      </c>
      <c r="H195" s="81"/>
      <c r="I195" s="82" t="str">
        <f>IF(A195="","Pending",IF(H195="","⚠️ Enter Agent Code",IF(IFERROR(VLOOKUP(G195,DB_Agents!$B:$I,8,0),"")=H195,IF(AND(A195&lt;&gt;"",E195&lt;&gt;""),"Saved","Pending"),"🔒 BLOCKED — Wrong Code")))</f>
        <v>Pending</v>
      </c>
      <c r="J195" s="83" t="str">
        <f t="shared" ca="1" si="17"/>
        <v>—</v>
      </c>
      <c r="K195" s="84"/>
    </row>
    <row r="196" spans="1:11" ht="15" customHeight="1" x14ac:dyDescent="0.25">
      <c r="A196" s="85"/>
      <c r="B196" s="41" t="str">
        <f>IF(A196="","",IFERROR(VLOOKUP(A196,DB_Customers!$A:$D,4,0),"❌ Account Not Found"))</f>
        <v/>
      </c>
      <c r="C196" s="86" t="str">
        <f>IF(A196="","",IFERROR(IF(SUMIF(DB_Savings!$C:$C,A196,DB_Savings!$F:$F)=0,VLOOKUP(A196,DB_Customers!$A:$I,9,0),VLOOKUP(A196,DB_Customers!$A:$N,14,0)),"❌ Acct Not Found"))</f>
        <v/>
      </c>
      <c r="D196" s="87" t="str">
        <f t="shared" ca="1" si="15"/>
        <v/>
      </c>
      <c r="E196" s="79"/>
      <c r="F196" s="88" t="str">
        <f t="shared" si="16"/>
        <v/>
      </c>
      <c r="G196" s="43" t="s">
        <v>140</v>
      </c>
      <c r="H196" s="81"/>
      <c r="I196" s="89" t="str">
        <f>IF(A196="","Pending",IF(H196="","⚠️ Enter Agent Code",IF(IFERROR(VLOOKUP(G196,DB_Agents!$B:$I,8,0),"")=H196,IF(AND(A196&lt;&gt;"",E196&lt;&gt;""),"Saved","Pending"),"🔒 BLOCKED — Wrong Code")))</f>
        <v>Pending</v>
      </c>
      <c r="J196" s="90" t="str">
        <f t="shared" ca="1" si="17"/>
        <v>—</v>
      </c>
      <c r="K196" s="91"/>
    </row>
    <row r="197" spans="1:11" ht="15" customHeight="1" x14ac:dyDescent="0.25">
      <c r="A197" s="76"/>
      <c r="B197" s="37" t="str">
        <f>IF(A197="","",IFERROR(VLOOKUP(A197,DB_Customers!$A:$D,4,0),"❌ Account Not Found"))</f>
        <v/>
      </c>
      <c r="C197" s="77" t="str">
        <f>IF(A197="","",IFERROR(IF(SUMIF(DB_Savings!$C:$C,A197,DB_Savings!$F:$F)=0,VLOOKUP(A197,DB_Customers!$A:$I,9,0),VLOOKUP(A197,DB_Customers!$A:$N,14,0)),"❌ Acct Not Found"))</f>
        <v/>
      </c>
      <c r="D197" s="78" t="str">
        <f t="shared" ca="1" si="15"/>
        <v/>
      </c>
      <c r="E197" s="79"/>
      <c r="F197" s="80" t="str">
        <f t="shared" si="16"/>
        <v/>
      </c>
      <c r="G197" s="39" t="s">
        <v>140</v>
      </c>
      <c r="H197" s="81"/>
      <c r="I197" s="82" t="str">
        <f>IF(A197="","Pending",IF(H197="","⚠️ Enter Agent Code",IF(IFERROR(VLOOKUP(G197,DB_Agents!$B:$I,8,0),"")=H197,IF(AND(A197&lt;&gt;"",E197&lt;&gt;""),"Saved","Pending"),"🔒 BLOCKED — Wrong Code")))</f>
        <v>Pending</v>
      </c>
      <c r="J197" s="83" t="str">
        <f t="shared" ca="1" si="17"/>
        <v>—</v>
      </c>
      <c r="K197" s="84"/>
    </row>
    <row r="198" spans="1:11" ht="15" customHeight="1" x14ac:dyDescent="0.25">
      <c r="A198" s="85"/>
      <c r="B198" s="41" t="str">
        <f>IF(A198="","",IFERROR(VLOOKUP(A198,DB_Customers!$A:$D,4,0),"❌ Account Not Found"))</f>
        <v/>
      </c>
      <c r="C198" s="86" t="str">
        <f>IF(A198="","",IFERROR(IF(SUMIF(DB_Savings!$C:$C,A198,DB_Savings!$F:$F)=0,VLOOKUP(A198,DB_Customers!$A:$I,9,0),VLOOKUP(A198,DB_Customers!$A:$N,14,0)),"❌ Acct Not Found"))</f>
        <v/>
      </c>
      <c r="D198" s="87" t="str">
        <f t="shared" ca="1" si="15"/>
        <v/>
      </c>
      <c r="E198" s="79"/>
      <c r="F198" s="88" t="str">
        <f t="shared" si="16"/>
        <v/>
      </c>
      <c r="G198" s="43" t="s">
        <v>140</v>
      </c>
      <c r="H198" s="81"/>
      <c r="I198" s="89" t="str">
        <f>IF(A198="","Pending",IF(H198="","⚠️ Enter Agent Code",IF(IFERROR(VLOOKUP(G198,DB_Agents!$B:$I,8,0),"")=H198,IF(AND(A198&lt;&gt;"",E198&lt;&gt;""),"Saved","Pending"),"🔒 BLOCKED — Wrong Code")))</f>
        <v>Pending</v>
      </c>
      <c r="J198" s="90" t="str">
        <f t="shared" ca="1" si="17"/>
        <v>—</v>
      </c>
      <c r="K198" s="91"/>
    </row>
    <row r="199" spans="1:11" ht="15" customHeight="1" x14ac:dyDescent="0.25">
      <c r="A199" s="76"/>
      <c r="B199" s="37" t="str">
        <f>IF(A199="","",IFERROR(VLOOKUP(A199,DB_Customers!$A:$D,4,0),"❌ Account Not Found"))</f>
        <v/>
      </c>
      <c r="C199" s="77" t="str">
        <f>IF(A199="","",IFERROR(IF(SUMIF(DB_Savings!$C:$C,A199,DB_Savings!$F:$F)=0,VLOOKUP(A199,DB_Customers!$A:$I,9,0),VLOOKUP(A199,DB_Customers!$A:$N,14,0)),"❌ Acct Not Found"))</f>
        <v/>
      </c>
      <c r="D199" s="78" t="str">
        <f t="shared" ca="1" si="15"/>
        <v/>
      </c>
      <c r="E199" s="79"/>
      <c r="F199" s="80" t="str">
        <f t="shared" si="16"/>
        <v/>
      </c>
      <c r="G199" s="39" t="s">
        <v>140</v>
      </c>
      <c r="H199" s="81"/>
      <c r="I199" s="82" t="str">
        <f>IF(A199="","Pending",IF(H199="","⚠️ Enter Agent Code",IF(IFERROR(VLOOKUP(G199,DB_Agents!$B:$I,8,0),"")=H199,IF(AND(A199&lt;&gt;"",E199&lt;&gt;""),"Saved","Pending"),"🔒 BLOCKED — Wrong Code")))</f>
        <v>Pending</v>
      </c>
      <c r="J199" s="83" t="str">
        <f t="shared" ca="1" si="17"/>
        <v>—</v>
      </c>
      <c r="K199" s="84"/>
    </row>
    <row r="200" spans="1:11" ht="15" customHeight="1" x14ac:dyDescent="0.25">
      <c r="A200" s="85"/>
      <c r="B200" s="41" t="str">
        <f>IF(A200="","",IFERROR(VLOOKUP(A200,DB_Customers!$A:$D,4,0),"❌ Account Not Found"))</f>
        <v/>
      </c>
      <c r="C200" s="86" t="str">
        <f>IF(A200="","",IFERROR(IF(SUMIF(DB_Savings!$C:$C,A200,DB_Savings!$F:$F)=0,VLOOKUP(A200,DB_Customers!$A:$I,9,0),VLOOKUP(A200,DB_Customers!$A:$N,14,0)),"❌ Acct Not Found"))</f>
        <v/>
      </c>
      <c r="D200" s="87" t="str">
        <f t="shared" ca="1" si="15"/>
        <v/>
      </c>
      <c r="E200" s="79"/>
      <c r="F200" s="88" t="str">
        <f t="shared" si="16"/>
        <v/>
      </c>
      <c r="G200" s="43" t="s">
        <v>140</v>
      </c>
      <c r="H200" s="81"/>
      <c r="I200" s="89" t="str">
        <f>IF(A200="","Pending",IF(H200="","⚠️ Enter Agent Code",IF(IFERROR(VLOOKUP(G200,DB_Agents!$B:$I,8,0),"")=H200,IF(AND(A200&lt;&gt;"",E200&lt;&gt;""),"Saved","Pending"),"🔒 BLOCKED — Wrong Code")))</f>
        <v>Pending</v>
      </c>
      <c r="J200" s="90" t="str">
        <f t="shared" ca="1" si="17"/>
        <v>—</v>
      </c>
      <c r="K200" s="91"/>
    </row>
    <row r="201" spans="1:11" ht="15" customHeight="1" x14ac:dyDescent="0.25">
      <c r="A201" s="76"/>
      <c r="B201" s="37" t="str">
        <f>IF(A201="","",IFERROR(VLOOKUP(A201,DB_Customers!$A:$D,4,0),"❌ Account Not Found"))</f>
        <v/>
      </c>
      <c r="C201" s="77" t="str">
        <f>IF(A201="","",IFERROR(IF(SUMIF(DB_Savings!$C:$C,A201,DB_Savings!$F:$F)=0,VLOOKUP(A201,DB_Customers!$A:$I,9,0),VLOOKUP(A201,DB_Customers!$A:$N,14,0)),"❌ Acct Not Found"))</f>
        <v/>
      </c>
      <c r="D201" s="78" t="str">
        <f t="shared" ref="D201:D208" ca="1" si="18">IF(A201="","",TODAY())</f>
        <v/>
      </c>
      <c r="E201" s="79"/>
      <c r="F201" s="80" t="str">
        <f t="shared" ref="F201:F208" si="19">IF(OR(A201="",E201=""),"",IF(C201="","",C201+E201))</f>
        <v/>
      </c>
      <c r="G201" s="39" t="s">
        <v>140</v>
      </c>
      <c r="H201" s="81"/>
      <c r="I201" s="82" t="str">
        <f>IF(A201="","Pending",IF(H201="","⚠️ Enter Agent Code",IF(IFERROR(VLOOKUP(G201,DB_Agents!$B:$I,8,0),"")=H201,IF(AND(A201&lt;&gt;"",E201&lt;&gt;""),"Saved","Pending"),"🔒 BLOCKED — Wrong Code")))</f>
        <v>Pending</v>
      </c>
      <c r="J201" s="83" t="str">
        <f t="shared" ref="J201:J208" ca="1" si="20">IF(I201="Saved",TEXT(TODAY(),"YYYY-MM-DD")&amp;" Auto","—")</f>
        <v>—</v>
      </c>
      <c r="K201" s="84"/>
    </row>
    <row r="202" spans="1:11" ht="15" customHeight="1" x14ac:dyDescent="0.25">
      <c r="A202" s="85"/>
      <c r="B202" s="41" t="str">
        <f>IF(A202="","",IFERROR(VLOOKUP(A202,DB_Customers!$A:$D,4,0),"❌ Account Not Found"))</f>
        <v/>
      </c>
      <c r="C202" s="86" t="str">
        <f>IF(A202="","",IFERROR(IF(SUMIF(DB_Savings!$C:$C,A202,DB_Savings!$F:$F)=0,VLOOKUP(A202,DB_Customers!$A:$I,9,0),VLOOKUP(A202,DB_Customers!$A:$N,14,0)),"❌ Acct Not Found"))</f>
        <v/>
      </c>
      <c r="D202" s="87" t="str">
        <f t="shared" ca="1" si="18"/>
        <v/>
      </c>
      <c r="E202" s="79"/>
      <c r="F202" s="88" t="str">
        <f t="shared" si="19"/>
        <v/>
      </c>
      <c r="G202" s="43" t="s">
        <v>140</v>
      </c>
      <c r="H202" s="81"/>
      <c r="I202" s="89" t="str">
        <f>IF(A202="","Pending",IF(H202="","⚠️ Enter Agent Code",IF(IFERROR(VLOOKUP(G202,DB_Agents!$B:$I,8,0),"")=H202,IF(AND(A202&lt;&gt;"",E202&lt;&gt;""),"Saved","Pending"),"🔒 BLOCKED — Wrong Code")))</f>
        <v>Pending</v>
      </c>
      <c r="J202" s="90" t="str">
        <f t="shared" ca="1" si="20"/>
        <v>—</v>
      </c>
      <c r="K202" s="91"/>
    </row>
    <row r="203" spans="1:11" ht="15" customHeight="1" x14ac:dyDescent="0.25">
      <c r="A203" s="76"/>
      <c r="B203" s="37" t="str">
        <f>IF(A203="","",IFERROR(VLOOKUP(A203,DB_Customers!$A:$D,4,0),"❌ Account Not Found"))</f>
        <v/>
      </c>
      <c r="C203" s="77" t="str">
        <f>IF(A203="","",IFERROR(IF(SUMIF(DB_Savings!$C:$C,A203,DB_Savings!$F:$F)=0,VLOOKUP(A203,DB_Customers!$A:$I,9,0),VLOOKUP(A203,DB_Customers!$A:$N,14,0)),"❌ Acct Not Found"))</f>
        <v/>
      </c>
      <c r="D203" s="78" t="str">
        <f t="shared" ca="1" si="18"/>
        <v/>
      </c>
      <c r="E203" s="79"/>
      <c r="F203" s="80" t="str">
        <f t="shared" si="19"/>
        <v/>
      </c>
      <c r="G203" s="39" t="s">
        <v>140</v>
      </c>
      <c r="H203" s="81"/>
      <c r="I203" s="82" t="str">
        <f>IF(A203="","Pending",IF(H203="","⚠️ Enter Agent Code",IF(IFERROR(VLOOKUP(G203,DB_Agents!$B:$I,8,0),"")=H203,IF(AND(A203&lt;&gt;"",E203&lt;&gt;""),"Saved","Pending"),"🔒 BLOCKED — Wrong Code")))</f>
        <v>Pending</v>
      </c>
      <c r="J203" s="83" t="str">
        <f t="shared" ca="1" si="20"/>
        <v>—</v>
      </c>
      <c r="K203" s="84"/>
    </row>
    <row r="204" spans="1:11" ht="15" customHeight="1" x14ac:dyDescent="0.25">
      <c r="A204" s="85"/>
      <c r="B204" s="41" t="str">
        <f>IF(A204="","",IFERROR(VLOOKUP(A204,DB_Customers!$A:$D,4,0),"❌ Account Not Found"))</f>
        <v/>
      </c>
      <c r="C204" s="86" t="str">
        <f>IF(A204="","",IFERROR(IF(SUMIF(DB_Savings!$C:$C,A204,DB_Savings!$F:$F)=0,VLOOKUP(A204,DB_Customers!$A:$I,9,0),VLOOKUP(A204,DB_Customers!$A:$N,14,0)),"❌ Acct Not Found"))</f>
        <v/>
      </c>
      <c r="D204" s="87" t="str">
        <f t="shared" ca="1" si="18"/>
        <v/>
      </c>
      <c r="E204" s="79"/>
      <c r="F204" s="88" t="str">
        <f t="shared" si="19"/>
        <v/>
      </c>
      <c r="G204" s="43" t="s">
        <v>140</v>
      </c>
      <c r="H204" s="81"/>
      <c r="I204" s="89" t="str">
        <f>IF(A204="","Pending",IF(H204="","⚠️ Enter Agent Code",IF(IFERROR(VLOOKUP(G204,DB_Agents!$B:$I,8,0),"")=H204,IF(AND(A204&lt;&gt;"",E204&lt;&gt;""),"Saved","Pending"),"🔒 BLOCKED — Wrong Code")))</f>
        <v>Pending</v>
      </c>
      <c r="J204" s="90" t="str">
        <f t="shared" ca="1" si="20"/>
        <v>—</v>
      </c>
      <c r="K204" s="91"/>
    </row>
    <row r="205" spans="1:11" ht="15" customHeight="1" x14ac:dyDescent="0.25">
      <c r="A205" s="76"/>
      <c r="B205" s="37" t="str">
        <f>IF(A205="","",IFERROR(VLOOKUP(A205,DB_Customers!$A:$D,4,0),"❌ Account Not Found"))</f>
        <v/>
      </c>
      <c r="C205" s="77" t="str">
        <f>IF(A205="","",IFERROR(IF(SUMIF(DB_Savings!$C:$C,A205,DB_Savings!$F:$F)=0,VLOOKUP(A205,DB_Customers!$A:$I,9,0),VLOOKUP(A205,DB_Customers!$A:$N,14,0)),"❌ Acct Not Found"))</f>
        <v/>
      </c>
      <c r="D205" s="78" t="str">
        <f t="shared" ca="1" si="18"/>
        <v/>
      </c>
      <c r="E205" s="79"/>
      <c r="F205" s="80" t="str">
        <f t="shared" si="19"/>
        <v/>
      </c>
      <c r="G205" s="39" t="s">
        <v>140</v>
      </c>
      <c r="H205" s="81"/>
      <c r="I205" s="82" t="str">
        <f>IF(A205="","Pending",IF(H205="","⚠️ Enter Agent Code",IF(IFERROR(VLOOKUP(G205,DB_Agents!$B:$I,8,0),"")=H205,IF(AND(A205&lt;&gt;"",E205&lt;&gt;""),"Saved","Pending"),"🔒 BLOCKED — Wrong Code")))</f>
        <v>Pending</v>
      </c>
      <c r="J205" s="83" t="str">
        <f t="shared" ca="1" si="20"/>
        <v>—</v>
      </c>
      <c r="K205" s="84"/>
    </row>
    <row r="206" spans="1:11" ht="15" customHeight="1" x14ac:dyDescent="0.25">
      <c r="A206" s="85"/>
      <c r="B206" s="41" t="str">
        <f>IF(A206="","",IFERROR(VLOOKUP(A206,DB_Customers!$A:$D,4,0),"❌ Account Not Found"))</f>
        <v/>
      </c>
      <c r="C206" s="86" t="str">
        <f>IF(A206="","",IFERROR(IF(SUMIF(DB_Savings!$C:$C,A206,DB_Savings!$F:$F)=0,VLOOKUP(A206,DB_Customers!$A:$I,9,0),VLOOKUP(A206,DB_Customers!$A:$N,14,0)),"❌ Acct Not Found"))</f>
        <v/>
      </c>
      <c r="D206" s="87" t="str">
        <f t="shared" ca="1" si="18"/>
        <v/>
      </c>
      <c r="E206" s="79"/>
      <c r="F206" s="88" t="str">
        <f t="shared" si="19"/>
        <v/>
      </c>
      <c r="G206" s="43" t="s">
        <v>140</v>
      </c>
      <c r="H206" s="81"/>
      <c r="I206" s="89" t="str">
        <f>IF(A206="","Pending",IF(H206="","⚠️ Enter Agent Code",IF(IFERROR(VLOOKUP(G206,DB_Agents!$B:$I,8,0),"")=H206,IF(AND(A206&lt;&gt;"",E206&lt;&gt;""),"Saved","Pending"),"🔒 BLOCKED — Wrong Code")))</f>
        <v>Pending</v>
      </c>
      <c r="J206" s="90" t="str">
        <f t="shared" ca="1" si="20"/>
        <v>—</v>
      </c>
      <c r="K206" s="91"/>
    </row>
    <row r="207" spans="1:11" ht="15" customHeight="1" x14ac:dyDescent="0.25">
      <c r="A207" s="76"/>
      <c r="B207" s="37" t="str">
        <f>IF(A207="","",IFERROR(VLOOKUP(A207,DB_Customers!$A:$D,4,0),"❌ Account Not Found"))</f>
        <v/>
      </c>
      <c r="C207" s="77" t="str">
        <f>IF(A207="","",IFERROR(IF(SUMIF(DB_Savings!$C:$C,A207,DB_Savings!$F:$F)=0,VLOOKUP(A207,DB_Customers!$A:$I,9,0),VLOOKUP(A207,DB_Customers!$A:$N,14,0)),"❌ Acct Not Found"))</f>
        <v/>
      </c>
      <c r="D207" s="78" t="str">
        <f t="shared" ca="1" si="18"/>
        <v/>
      </c>
      <c r="E207" s="79"/>
      <c r="F207" s="80" t="str">
        <f t="shared" si="19"/>
        <v/>
      </c>
      <c r="G207" s="39" t="s">
        <v>140</v>
      </c>
      <c r="H207" s="81"/>
      <c r="I207" s="82" t="str">
        <f>IF(A207="","Pending",IF(H207="","⚠️ Enter Agent Code",IF(IFERROR(VLOOKUP(G207,DB_Agents!$B:$I,8,0),"")=H207,IF(AND(A207&lt;&gt;"",E207&lt;&gt;""),"Saved","Pending"),"🔒 BLOCKED — Wrong Code")))</f>
        <v>Pending</v>
      </c>
      <c r="J207" s="83" t="str">
        <f t="shared" ca="1" si="20"/>
        <v>—</v>
      </c>
      <c r="K207" s="84"/>
    </row>
    <row r="208" spans="1:11" ht="15" customHeight="1" x14ac:dyDescent="0.25">
      <c r="A208" s="85"/>
      <c r="B208" s="41" t="str">
        <f>IF(A208="","",IFERROR(VLOOKUP(A208,DB_Customers!$A:$D,4,0),"❌ Account Not Found"))</f>
        <v/>
      </c>
      <c r="C208" s="86" t="str">
        <f>IF(A208="","",IFERROR(IF(SUMIF(DB_Savings!$C:$C,A208,DB_Savings!$F:$F)=0,VLOOKUP(A208,DB_Customers!$A:$I,9,0),VLOOKUP(A208,DB_Customers!$A:$N,14,0)),"❌ Acct Not Found"))</f>
        <v/>
      </c>
      <c r="D208" s="87" t="str">
        <f t="shared" ca="1" si="18"/>
        <v/>
      </c>
      <c r="E208" s="79"/>
      <c r="F208" s="88" t="str">
        <f t="shared" si="19"/>
        <v/>
      </c>
      <c r="G208" s="43" t="s">
        <v>140</v>
      </c>
      <c r="H208" s="81"/>
      <c r="I208" s="89" t="str">
        <f>IF(A208="","Pending",IF(H208="","⚠️ Enter Agent Code",IF(IFERROR(VLOOKUP(G208,DB_Agents!$B:$I,8,0),"")=H208,IF(AND(A208&lt;&gt;"",E208&lt;&gt;""),"Saved","Pending"),"🔒 BLOCKED — Wrong Code")))</f>
        <v>Pending</v>
      </c>
      <c r="J208" s="90" t="str">
        <f t="shared" ca="1" si="20"/>
        <v>—</v>
      </c>
      <c r="K208" s="91"/>
    </row>
  </sheetData>
  <mergeCells count="12">
    <mergeCell ref="A2:L2"/>
    <mergeCell ref="A7:L7"/>
    <mergeCell ref="A1:L1"/>
    <mergeCell ref="A5:L5"/>
    <mergeCell ref="D4:F4"/>
    <mergeCell ref="G4:I4"/>
    <mergeCell ref="A3:C3"/>
    <mergeCell ref="J4:L4"/>
    <mergeCell ref="D3:F3"/>
    <mergeCell ref="G3:I3"/>
    <mergeCell ref="A4:C4"/>
    <mergeCell ref="J3:L3"/>
  </mergeCells>
  <conditionalFormatting sqref="H9:H208">
    <cfRule type="cellIs" dxfId="32" priority="2" operator="equal">
      <formula>"Saved"</formula>
    </cfRule>
    <cfRule type="cellIs" dxfId="31" priority="3" operator="equal">
      <formula>"Pending"</formula>
    </cfRule>
  </conditionalFormatting>
  <conditionalFormatting sqref="A9:J208">
    <cfRule type="expression" dxfId="30" priority="4">
      <formula>$H9="Saved"</formula>
    </cfRule>
  </conditionalFormatting>
  <dataValidations count="2">
    <dataValidation type="decimal" operator="greaterThan" showErrorMessage="1" error="Must be &gt; 0" sqref="E9:E208" xr:uid="{00000000-0002-0000-1E00-000000000000}">
      <formula1>0</formula1>
      <formula2>0</formula2>
    </dataValidation>
    <dataValidation type="list" sqref="G9:G208" xr:uid="{00000000-0002-0000-1E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67" t="s">
        <v>375</v>
      </c>
      <c r="B1" s="265"/>
      <c r="C1" s="265"/>
      <c r="D1" s="265"/>
      <c r="E1" s="265"/>
      <c r="F1" s="265"/>
      <c r="G1" s="265"/>
      <c r="H1" s="265"/>
      <c r="I1" s="265"/>
      <c r="J1" s="265"/>
      <c r="K1" s="265"/>
      <c r="L1" s="265"/>
      <c r="M1" s="265"/>
    </row>
    <row r="2" spans="1:13" ht="19.5" customHeight="1" x14ac:dyDescent="0.25">
      <c r="A2" s="366" t="s">
        <v>376</v>
      </c>
      <c r="B2" s="265"/>
      <c r="C2" s="265"/>
      <c r="D2" s="265"/>
      <c r="E2" s="265"/>
      <c r="F2" s="265"/>
      <c r="G2" s="265"/>
      <c r="H2" s="265"/>
      <c r="I2" s="265"/>
      <c r="J2" s="265"/>
      <c r="K2" s="265"/>
      <c r="L2" s="265"/>
      <c r="M2" s="265"/>
    </row>
    <row r="3" spans="1:13" ht="18" customHeight="1" x14ac:dyDescent="0.25">
      <c r="A3" s="328" t="s">
        <v>324</v>
      </c>
      <c r="B3" s="265"/>
      <c r="C3" s="265"/>
      <c r="D3" s="323" t="s">
        <v>325</v>
      </c>
      <c r="E3" s="265"/>
      <c r="F3" s="265"/>
      <c r="G3" s="35" t="s">
        <v>326</v>
      </c>
      <c r="K3" s="66" t="s">
        <v>313</v>
      </c>
    </row>
    <row r="4" spans="1:13" ht="27.75" customHeight="1" x14ac:dyDescent="0.25">
      <c r="A4" s="365">
        <f ca="1">SUMIFS(DB_Withdrawals!$G:$G,DB_Withdrawals!$J:$J,"Agent 08",DB_Withdrawals!$F:$F,TODAY())</f>
        <v>0</v>
      </c>
      <c r="B4" s="265"/>
      <c r="C4" s="265"/>
      <c r="D4" s="369">
        <f ca="1">COUNTIFS(DB_Withdrawals!$J:$J,"Agent 08",DB_Withdrawals!$K:$K,"Successful",DB_Withdrawals!$F:$F,TODAY())</f>
        <v>0</v>
      </c>
      <c r="E4" s="265"/>
      <c r="F4" s="265"/>
      <c r="G4" s="92">
        <f ca="1">COUNTIFS(DB_Withdrawals!$J:$J,"Agent 08",DB_Withdrawals!$K:$K,"Unsuccessful",DB_Withdrawals!$F:$F,TODAY())</f>
        <v>0</v>
      </c>
      <c r="K4" s="74" t="str">
        <f ca="1">TEXT(TODAY(),"DD MMM YYYY")</f>
        <v>24 Apr 2026</v>
      </c>
    </row>
    <row r="5" spans="1:13" ht="19.5" customHeight="1" x14ac:dyDescent="0.25">
      <c r="A5" s="368" t="s">
        <v>327</v>
      </c>
      <c r="B5" s="265"/>
      <c r="C5" s="265"/>
      <c r="D5" s="265"/>
      <c r="E5" s="265"/>
      <c r="F5" s="265"/>
      <c r="G5" s="265"/>
      <c r="H5" s="265"/>
      <c r="I5" s="265"/>
      <c r="J5" s="265"/>
      <c r="K5" s="265"/>
      <c r="L5" s="265"/>
      <c r="M5" s="265"/>
    </row>
    <row r="6" spans="1:13" ht="7.5" customHeight="1" x14ac:dyDescent="0.25"/>
    <row r="7" spans="1:13" ht="19.5" customHeight="1" x14ac:dyDescent="0.25">
      <c r="A7" s="364" t="s">
        <v>328</v>
      </c>
      <c r="B7" s="265"/>
      <c r="C7" s="265"/>
      <c r="D7" s="265"/>
      <c r="E7" s="265"/>
      <c r="F7" s="265"/>
      <c r="G7" s="265"/>
      <c r="H7" s="265"/>
      <c r="I7" s="265"/>
      <c r="J7" s="265"/>
      <c r="K7" s="265"/>
      <c r="L7" s="265"/>
      <c r="M7" s="265"/>
    </row>
    <row r="8" spans="1:13" ht="19.5" customHeight="1" x14ac:dyDescent="0.25">
      <c r="A8" s="93" t="s">
        <v>315</v>
      </c>
      <c r="B8" s="93" t="s">
        <v>77</v>
      </c>
      <c r="C8" s="93" t="s">
        <v>329</v>
      </c>
      <c r="D8" s="93" t="s">
        <v>78</v>
      </c>
      <c r="E8" s="93" t="s">
        <v>330</v>
      </c>
      <c r="F8" s="93" t="s">
        <v>331</v>
      </c>
      <c r="G8" s="93" t="s">
        <v>318</v>
      </c>
      <c r="H8" s="93" t="s">
        <v>14</v>
      </c>
      <c r="I8" s="75" t="s">
        <v>319</v>
      </c>
      <c r="J8" s="93" t="s">
        <v>13</v>
      </c>
      <c r="K8" s="93" t="s">
        <v>320</v>
      </c>
      <c r="L8" s="93" t="s">
        <v>321</v>
      </c>
    </row>
    <row r="9" spans="1:13" ht="15" customHeight="1" x14ac:dyDescent="0.25">
      <c r="A9" s="76"/>
      <c r="B9" s="37" t="str">
        <f>IF(A9="","",IFERROR(VLOOKUP(A9,DB_Customers!$A:$D,4,0),"❌ Account Not Found"))</f>
        <v/>
      </c>
      <c r="C9" s="77" t="str">
        <f>IF(A9="","",IFERROR(VLOOKUP(A9,DB_Customers!$A:$N,14,0),"❌ Acct Not Found"))</f>
        <v/>
      </c>
      <c r="D9" s="78" t="str">
        <f t="shared" ref="D9:D40" ca="1" si="0">IF(A9="","",TODAY())</f>
        <v/>
      </c>
      <c r="E9" s="94"/>
      <c r="F9" s="37"/>
      <c r="G9" s="95" t="str">
        <f t="shared" ref="G9:G40" si="1">IF(OR(A9="",E9=""),"",IF(C9="","",C9-E9))</f>
        <v/>
      </c>
      <c r="H9" s="39" t="s">
        <v>140</v>
      </c>
      <c r="I9" s="81"/>
      <c r="J9" s="82" t="str">
        <f>IF(AND(A9&lt;&gt;"",E9&lt;&gt;""),IF(I9="","⚠️ Enter Code",IF(IFERROR(VLOOKUP(H9,DB_Agents!$B:$I,8,0),"")=I9,IF(C9&gt;=E9,"Successful","Unsuccessful"),"🔒 BLOCKED — Wrong Code")),"Pending")</f>
        <v>Pending</v>
      </c>
      <c r="K9" s="83" t="str">
        <f t="shared" ref="K9:K40" ca="1" si="2">IF(J9="Successful",TEXT(TODAY(),"YYYY-MM-DD")&amp;" Auto","—")</f>
        <v>—</v>
      </c>
      <c r="L9" s="84"/>
    </row>
    <row r="10" spans="1:13" ht="15" customHeight="1" x14ac:dyDescent="0.25">
      <c r="A10" s="85"/>
      <c r="B10" s="41" t="str">
        <f>IF(A10="","",IFERROR(VLOOKUP(A10,DB_Customers!$A:$D,4,0),"❌ Account Not Found"))</f>
        <v/>
      </c>
      <c r="C10" s="86" t="str">
        <f>IF(A10="","",IFERROR(VLOOKUP(A10,DB_Customers!$A:$N,14,0),"❌ Acct Not Found"))</f>
        <v/>
      </c>
      <c r="D10" s="87" t="str">
        <f t="shared" ca="1" si="0"/>
        <v/>
      </c>
      <c r="E10" s="94"/>
      <c r="F10" s="41"/>
      <c r="G10" s="96" t="str">
        <f t="shared" si="1"/>
        <v/>
      </c>
      <c r="H10" s="43" t="s">
        <v>140</v>
      </c>
      <c r="I10" s="81"/>
      <c r="J10" s="89" t="str">
        <f>IF(AND(A10&lt;&gt;"",E10&lt;&gt;""),IF(I10="","⚠️ Enter Code",IF(IFERROR(VLOOKUP(H10,DB_Agents!$B:$I,8,0),"")=I10,IF(C10&gt;=E10,"Successful","Unsuccessful"),"🔒 BLOCKED — Wrong Code")),"Pending")</f>
        <v>Pending</v>
      </c>
      <c r="K10" s="90" t="str">
        <f t="shared" ca="1" si="2"/>
        <v>—</v>
      </c>
      <c r="L10" s="91"/>
    </row>
    <row r="11" spans="1:13" ht="15" customHeight="1" x14ac:dyDescent="0.25">
      <c r="A11" s="76"/>
      <c r="B11" s="37" t="str">
        <f>IF(A11="","",IFERROR(VLOOKUP(A11,DB_Customers!$A:$D,4,0),"❌ Account Not Found"))</f>
        <v/>
      </c>
      <c r="C11" s="77" t="str">
        <f>IF(A11="","",IFERROR(VLOOKUP(A11,DB_Customers!$A:$N,14,0),"❌ Acct Not Found"))</f>
        <v/>
      </c>
      <c r="D11" s="78" t="str">
        <f t="shared" ca="1" si="0"/>
        <v/>
      </c>
      <c r="E11" s="94"/>
      <c r="F11" s="37"/>
      <c r="G11" s="95" t="str">
        <f t="shared" si="1"/>
        <v/>
      </c>
      <c r="H11" s="39" t="s">
        <v>140</v>
      </c>
      <c r="I11" s="81"/>
      <c r="J11" s="82" t="str">
        <f>IF(AND(A11&lt;&gt;"",E11&lt;&gt;""),IF(I11="","⚠️ Enter Code",IF(IFERROR(VLOOKUP(H11,DB_Agents!$B:$I,8,0),"")=I11,IF(C11&gt;=E11,"Successful","Unsuccessful"),"🔒 BLOCKED — Wrong Code")),"Pending")</f>
        <v>Pending</v>
      </c>
      <c r="K11" s="83" t="str">
        <f t="shared" ca="1" si="2"/>
        <v>—</v>
      </c>
      <c r="L11" s="84"/>
    </row>
    <row r="12" spans="1:13" ht="15" customHeight="1" x14ac:dyDescent="0.25">
      <c r="A12" s="85"/>
      <c r="B12" s="41" t="str">
        <f>IF(A12="","",IFERROR(VLOOKUP(A12,DB_Customers!$A:$D,4,0),"❌ Account Not Found"))</f>
        <v/>
      </c>
      <c r="C12" s="86" t="str">
        <f>IF(A12="","",IFERROR(VLOOKUP(A12,DB_Customers!$A:$N,14,0),"❌ Acct Not Found"))</f>
        <v/>
      </c>
      <c r="D12" s="87" t="str">
        <f t="shared" ca="1" si="0"/>
        <v/>
      </c>
      <c r="E12" s="94"/>
      <c r="F12" s="41"/>
      <c r="G12" s="96" t="str">
        <f t="shared" si="1"/>
        <v/>
      </c>
      <c r="H12" s="43" t="s">
        <v>140</v>
      </c>
      <c r="I12" s="81"/>
      <c r="J12" s="89" t="str">
        <f>IF(AND(A12&lt;&gt;"",E12&lt;&gt;""),IF(I12="","⚠️ Enter Code",IF(IFERROR(VLOOKUP(H12,DB_Agents!$B:$I,8,0),"")=I12,IF(C12&gt;=E12,"Successful","Unsuccessful"),"🔒 BLOCKED — Wrong Code")),"Pending")</f>
        <v>Pending</v>
      </c>
      <c r="K12" s="90" t="str">
        <f t="shared" ca="1" si="2"/>
        <v>—</v>
      </c>
      <c r="L12" s="91"/>
    </row>
    <row r="13" spans="1:13" ht="15" customHeight="1" x14ac:dyDescent="0.25">
      <c r="A13" s="76"/>
      <c r="B13" s="37" t="str">
        <f>IF(A13="","",IFERROR(VLOOKUP(A13,DB_Customers!$A:$D,4,0),"❌ Account Not Found"))</f>
        <v/>
      </c>
      <c r="C13" s="77" t="str">
        <f>IF(A13="","",IFERROR(VLOOKUP(A13,DB_Customers!$A:$N,14,0),"❌ Acct Not Found"))</f>
        <v/>
      </c>
      <c r="D13" s="78" t="str">
        <f t="shared" ca="1" si="0"/>
        <v/>
      </c>
      <c r="E13" s="94"/>
      <c r="F13" s="37"/>
      <c r="G13" s="95" t="str">
        <f t="shared" si="1"/>
        <v/>
      </c>
      <c r="H13" s="39" t="s">
        <v>140</v>
      </c>
      <c r="I13" s="81"/>
      <c r="J13" s="82" t="str">
        <f>IF(AND(A13&lt;&gt;"",E13&lt;&gt;""),IF(I13="","⚠️ Enter Code",IF(IFERROR(VLOOKUP(H13,DB_Agents!$B:$I,8,0),"")=I13,IF(C13&gt;=E13,"Successful","Unsuccessful"),"🔒 BLOCKED — Wrong Code")),"Pending")</f>
        <v>Pending</v>
      </c>
      <c r="K13" s="83" t="str">
        <f t="shared" ca="1" si="2"/>
        <v>—</v>
      </c>
      <c r="L13" s="84"/>
    </row>
    <row r="14" spans="1:13" ht="15" customHeight="1" x14ac:dyDescent="0.25">
      <c r="A14" s="85"/>
      <c r="B14" s="41" t="str">
        <f>IF(A14="","",IFERROR(VLOOKUP(A14,DB_Customers!$A:$D,4,0),"❌ Account Not Found"))</f>
        <v/>
      </c>
      <c r="C14" s="86" t="str">
        <f>IF(A14="","",IFERROR(VLOOKUP(A14,DB_Customers!$A:$N,14,0),"❌ Acct Not Found"))</f>
        <v/>
      </c>
      <c r="D14" s="87" t="str">
        <f t="shared" ca="1" si="0"/>
        <v/>
      </c>
      <c r="E14" s="94"/>
      <c r="F14" s="41"/>
      <c r="G14" s="96" t="str">
        <f t="shared" si="1"/>
        <v/>
      </c>
      <c r="H14" s="43" t="s">
        <v>140</v>
      </c>
      <c r="I14" s="81"/>
      <c r="J14" s="89" t="str">
        <f>IF(AND(A14&lt;&gt;"",E14&lt;&gt;""),IF(I14="","⚠️ Enter Code",IF(IFERROR(VLOOKUP(H14,DB_Agents!$B:$I,8,0),"")=I14,IF(C14&gt;=E14,"Successful","Unsuccessful"),"🔒 BLOCKED — Wrong Code")),"Pending")</f>
        <v>Pending</v>
      </c>
      <c r="K14" s="90" t="str">
        <f t="shared" ca="1" si="2"/>
        <v>—</v>
      </c>
      <c r="L14" s="91"/>
    </row>
    <row r="15" spans="1:13" ht="15" customHeight="1" x14ac:dyDescent="0.25">
      <c r="A15" s="76"/>
      <c r="B15" s="37" t="str">
        <f>IF(A15="","",IFERROR(VLOOKUP(A15,DB_Customers!$A:$D,4,0),"❌ Account Not Found"))</f>
        <v/>
      </c>
      <c r="C15" s="77" t="str">
        <f>IF(A15="","",IFERROR(VLOOKUP(A15,DB_Customers!$A:$N,14,0),"❌ Acct Not Found"))</f>
        <v/>
      </c>
      <c r="D15" s="78" t="str">
        <f t="shared" ca="1" si="0"/>
        <v/>
      </c>
      <c r="E15" s="94"/>
      <c r="F15" s="37"/>
      <c r="G15" s="95" t="str">
        <f t="shared" si="1"/>
        <v/>
      </c>
      <c r="H15" s="39" t="s">
        <v>140</v>
      </c>
      <c r="I15" s="81"/>
      <c r="J15" s="82" t="str">
        <f>IF(AND(A15&lt;&gt;"",E15&lt;&gt;""),IF(I15="","⚠️ Enter Code",IF(IFERROR(VLOOKUP(H15,DB_Agents!$B:$I,8,0),"")=I15,IF(C15&gt;=E15,"Successful","Unsuccessful"),"🔒 BLOCKED — Wrong Code")),"Pending")</f>
        <v>Pending</v>
      </c>
      <c r="K15" s="83" t="str">
        <f t="shared" ca="1" si="2"/>
        <v>—</v>
      </c>
      <c r="L15" s="84"/>
    </row>
    <row r="16" spans="1:13" ht="15" customHeight="1" x14ac:dyDescent="0.25">
      <c r="A16" s="85"/>
      <c r="B16" s="41" t="str">
        <f>IF(A16="","",IFERROR(VLOOKUP(A16,DB_Customers!$A:$D,4,0),"❌ Account Not Found"))</f>
        <v/>
      </c>
      <c r="C16" s="86" t="str">
        <f>IF(A16="","",IFERROR(VLOOKUP(A16,DB_Customers!$A:$N,14,0),"❌ Acct Not Found"))</f>
        <v/>
      </c>
      <c r="D16" s="87" t="str">
        <f t="shared" ca="1" si="0"/>
        <v/>
      </c>
      <c r="E16" s="94"/>
      <c r="F16" s="41"/>
      <c r="G16" s="96" t="str">
        <f t="shared" si="1"/>
        <v/>
      </c>
      <c r="H16" s="43" t="s">
        <v>140</v>
      </c>
      <c r="I16" s="81"/>
      <c r="J16" s="89" t="str">
        <f>IF(AND(A16&lt;&gt;"",E16&lt;&gt;""),IF(I16="","⚠️ Enter Code",IF(IFERROR(VLOOKUP(H16,DB_Agents!$B:$I,8,0),"")=I16,IF(C16&gt;=E16,"Successful","Unsuccessful"),"🔒 BLOCKED — Wrong Code")),"Pending")</f>
        <v>Pending</v>
      </c>
      <c r="K16" s="90" t="str">
        <f t="shared" ca="1" si="2"/>
        <v>—</v>
      </c>
      <c r="L16" s="91"/>
    </row>
    <row r="17" spans="1:12" ht="15" customHeight="1" x14ac:dyDescent="0.25">
      <c r="A17" s="76"/>
      <c r="B17" s="37" t="str">
        <f>IF(A17="","",IFERROR(VLOOKUP(A17,DB_Customers!$A:$D,4,0),"❌ Account Not Found"))</f>
        <v/>
      </c>
      <c r="C17" s="77" t="str">
        <f>IF(A17="","",IFERROR(VLOOKUP(A17,DB_Customers!$A:$N,14,0),"❌ Acct Not Found"))</f>
        <v/>
      </c>
      <c r="D17" s="78" t="str">
        <f t="shared" ca="1" si="0"/>
        <v/>
      </c>
      <c r="E17" s="94"/>
      <c r="F17" s="37"/>
      <c r="G17" s="95" t="str">
        <f t="shared" si="1"/>
        <v/>
      </c>
      <c r="H17" s="39" t="s">
        <v>140</v>
      </c>
      <c r="I17" s="81"/>
      <c r="J17" s="82" t="str">
        <f>IF(AND(A17&lt;&gt;"",E17&lt;&gt;""),IF(I17="","⚠️ Enter Code",IF(IFERROR(VLOOKUP(H17,DB_Agents!$B:$I,8,0),"")=I17,IF(C17&gt;=E17,"Successful","Unsuccessful"),"🔒 BLOCKED — Wrong Code")),"Pending")</f>
        <v>Pending</v>
      </c>
      <c r="K17" s="83" t="str">
        <f t="shared" ca="1" si="2"/>
        <v>—</v>
      </c>
      <c r="L17" s="84"/>
    </row>
    <row r="18" spans="1:12" ht="15" customHeight="1" x14ac:dyDescent="0.25">
      <c r="A18" s="85"/>
      <c r="B18" s="41" t="str">
        <f>IF(A18="","",IFERROR(VLOOKUP(A18,DB_Customers!$A:$D,4,0),"❌ Account Not Found"))</f>
        <v/>
      </c>
      <c r="C18" s="86" t="str">
        <f>IF(A18="","",IFERROR(VLOOKUP(A18,DB_Customers!$A:$N,14,0),"❌ Acct Not Found"))</f>
        <v/>
      </c>
      <c r="D18" s="87" t="str">
        <f t="shared" ca="1" si="0"/>
        <v/>
      </c>
      <c r="E18" s="94"/>
      <c r="F18" s="41"/>
      <c r="G18" s="96" t="str">
        <f t="shared" si="1"/>
        <v/>
      </c>
      <c r="H18" s="43" t="s">
        <v>140</v>
      </c>
      <c r="I18" s="81"/>
      <c r="J18" s="89" t="str">
        <f>IF(AND(A18&lt;&gt;"",E18&lt;&gt;""),IF(I18="","⚠️ Enter Code",IF(IFERROR(VLOOKUP(H18,DB_Agents!$B:$I,8,0),"")=I18,IF(C18&gt;=E18,"Successful","Unsuccessful"),"🔒 BLOCKED — Wrong Code")),"Pending")</f>
        <v>Pending</v>
      </c>
      <c r="K18" s="90" t="str">
        <f t="shared" ca="1" si="2"/>
        <v>—</v>
      </c>
      <c r="L18" s="91"/>
    </row>
    <row r="19" spans="1:12" ht="15" customHeight="1" x14ac:dyDescent="0.25">
      <c r="A19" s="76"/>
      <c r="B19" s="37" t="str">
        <f>IF(A19="","",IFERROR(VLOOKUP(A19,DB_Customers!$A:$D,4,0),"❌ Account Not Found"))</f>
        <v/>
      </c>
      <c r="C19" s="77" t="str">
        <f>IF(A19="","",IFERROR(VLOOKUP(A19,DB_Customers!$A:$N,14,0),"❌ Acct Not Found"))</f>
        <v/>
      </c>
      <c r="D19" s="78" t="str">
        <f t="shared" ca="1" si="0"/>
        <v/>
      </c>
      <c r="E19" s="94"/>
      <c r="F19" s="37"/>
      <c r="G19" s="95" t="str">
        <f t="shared" si="1"/>
        <v/>
      </c>
      <c r="H19" s="39" t="s">
        <v>140</v>
      </c>
      <c r="I19" s="81"/>
      <c r="J19" s="82" t="str">
        <f>IF(AND(A19&lt;&gt;"",E19&lt;&gt;""),IF(I19="","⚠️ Enter Code",IF(IFERROR(VLOOKUP(H19,DB_Agents!$B:$I,8,0),"")=I19,IF(C19&gt;=E19,"Successful","Unsuccessful"),"🔒 BLOCKED — Wrong Code")),"Pending")</f>
        <v>Pending</v>
      </c>
      <c r="K19" s="83" t="str">
        <f t="shared" ca="1" si="2"/>
        <v>—</v>
      </c>
      <c r="L19" s="84"/>
    </row>
    <row r="20" spans="1:12" ht="15" customHeight="1" x14ac:dyDescent="0.25">
      <c r="A20" s="85"/>
      <c r="B20" s="41" t="str">
        <f>IF(A20="","",IFERROR(VLOOKUP(A20,DB_Customers!$A:$D,4,0),"❌ Account Not Found"))</f>
        <v/>
      </c>
      <c r="C20" s="86" t="str">
        <f>IF(A20="","",IFERROR(VLOOKUP(A20,DB_Customers!$A:$N,14,0),"❌ Acct Not Found"))</f>
        <v/>
      </c>
      <c r="D20" s="87" t="str">
        <f t="shared" ca="1" si="0"/>
        <v/>
      </c>
      <c r="E20" s="94"/>
      <c r="F20" s="41"/>
      <c r="G20" s="96" t="str">
        <f t="shared" si="1"/>
        <v/>
      </c>
      <c r="H20" s="43" t="s">
        <v>140</v>
      </c>
      <c r="I20" s="81"/>
      <c r="J20" s="89" t="str">
        <f>IF(AND(A20&lt;&gt;"",E20&lt;&gt;""),IF(I20="","⚠️ Enter Code",IF(IFERROR(VLOOKUP(H20,DB_Agents!$B:$I,8,0),"")=I20,IF(C20&gt;=E20,"Successful","Unsuccessful"),"🔒 BLOCKED — Wrong Code")),"Pending")</f>
        <v>Pending</v>
      </c>
      <c r="K20" s="90" t="str">
        <f t="shared" ca="1" si="2"/>
        <v>—</v>
      </c>
      <c r="L20" s="91"/>
    </row>
    <row r="21" spans="1:12" ht="15" customHeight="1" x14ac:dyDescent="0.25">
      <c r="A21" s="76"/>
      <c r="B21" s="37" t="str">
        <f>IF(A21="","",IFERROR(VLOOKUP(A21,DB_Customers!$A:$D,4,0),"❌ Account Not Found"))</f>
        <v/>
      </c>
      <c r="C21" s="77" t="str">
        <f>IF(A21="","",IFERROR(VLOOKUP(A21,DB_Customers!$A:$N,14,0),"❌ Acct Not Found"))</f>
        <v/>
      </c>
      <c r="D21" s="78" t="str">
        <f t="shared" ca="1" si="0"/>
        <v/>
      </c>
      <c r="E21" s="94"/>
      <c r="F21" s="37"/>
      <c r="G21" s="95" t="str">
        <f t="shared" si="1"/>
        <v/>
      </c>
      <c r="H21" s="39" t="s">
        <v>140</v>
      </c>
      <c r="I21" s="81"/>
      <c r="J21" s="82" t="str">
        <f>IF(AND(A21&lt;&gt;"",E21&lt;&gt;""),IF(I21="","⚠️ Enter Code",IF(IFERROR(VLOOKUP(H21,DB_Agents!$B:$I,8,0),"")=I21,IF(C21&gt;=E21,"Successful","Unsuccessful"),"🔒 BLOCKED — Wrong Code")),"Pending")</f>
        <v>Pending</v>
      </c>
      <c r="K21" s="83" t="str">
        <f t="shared" ca="1" si="2"/>
        <v>—</v>
      </c>
      <c r="L21" s="84"/>
    </row>
    <row r="22" spans="1:12" ht="15" customHeight="1" x14ac:dyDescent="0.25">
      <c r="A22" s="85"/>
      <c r="B22" s="41" t="str">
        <f>IF(A22="","",IFERROR(VLOOKUP(A22,DB_Customers!$A:$D,4,0),"❌ Account Not Found"))</f>
        <v/>
      </c>
      <c r="C22" s="86" t="str">
        <f>IF(A22="","",IFERROR(VLOOKUP(A22,DB_Customers!$A:$N,14,0),"❌ Acct Not Found"))</f>
        <v/>
      </c>
      <c r="D22" s="87" t="str">
        <f t="shared" ca="1" si="0"/>
        <v/>
      </c>
      <c r="E22" s="94"/>
      <c r="F22" s="41"/>
      <c r="G22" s="96" t="str">
        <f t="shared" si="1"/>
        <v/>
      </c>
      <c r="H22" s="43" t="s">
        <v>140</v>
      </c>
      <c r="I22" s="81"/>
      <c r="J22" s="89" t="str">
        <f>IF(AND(A22&lt;&gt;"",E22&lt;&gt;""),IF(I22="","⚠️ Enter Code",IF(IFERROR(VLOOKUP(H22,DB_Agents!$B:$I,8,0),"")=I22,IF(C22&gt;=E22,"Successful","Unsuccessful"),"🔒 BLOCKED — Wrong Code")),"Pending")</f>
        <v>Pending</v>
      </c>
      <c r="K22" s="90" t="str">
        <f t="shared" ca="1" si="2"/>
        <v>—</v>
      </c>
      <c r="L22" s="91"/>
    </row>
    <row r="23" spans="1:12" ht="15" customHeight="1" x14ac:dyDescent="0.25">
      <c r="A23" s="76"/>
      <c r="B23" s="37" t="str">
        <f>IF(A23="","",IFERROR(VLOOKUP(A23,DB_Customers!$A:$D,4,0),"❌ Account Not Found"))</f>
        <v/>
      </c>
      <c r="C23" s="77" t="str">
        <f>IF(A23="","",IFERROR(VLOOKUP(A23,DB_Customers!$A:$N,14,0),"❌ Acct Not Found"))</f>
        <v/>
      </c>
      <c r="D23" s="78" t="str">
        <f t="shared" ca="1" si="0"/>
        <v/>
      </c>
      <c r="E23" s="94"/>
      <c r="F23" s="37"/>
      <c r="G23" s="95" t="str">
        <f t="shared" si="1"/>
        <v/>
      </c>
      <c r="H23" s="39" t="s">
        <v>140</v>
      </c>
      <c r="I23" s="81"/>
      <c r="J23" s="82" t="str">
        <f>IF(AND(A23&lt;&gt;"",E23&lt;&gt;""),IF(I23="","⚠️ Enter Code",IF(IFERROR(VLOOKUP(H23,DB_Agents!$B:$I,8,0),"")=I23,IF(C23&gt;=E23,"Successful","Unsuccessful"),"🔒 BLOCKED — Wrong Code")),"Pending")</f>
        <v>Pending</v>
      </c>
      <c r="K23" s="83" t="str">
        <f t="shared" ca="1" si="2"/>
        <v>—</v>
      </c>
      <c r="L23" s="84"/>
    </row>
    <row r="24" spans="1:12" ht="15" customHeight="1" x14ac:dyDescent="0.25">
      <c r="A24" s="85"/>
      <c r="B24" s="41" t="str">
        <f>IF(A24="","",IFERROR(VLOOKUP(A24,DB_Customers!$A:$D,4,0),"❌ Account Not Found"))</f>
        <v/>
      </c>
      <c r="C24" s="86" t="str">
        <f>IF(A24="","",IFERROR(VLOOKUP(A24,DB_Customers!$A:$N,14,0),"❌ Acct Not Found"))</f>
        <v/>
      </c>
      <c r="D24" s="87" t="str">
        <f t="shared" ca="1" si="0"/>
        <v/>
      </c>
      <c r="E24" s="94"/>
      <c r="F24" s="41"/>
      <c r="G24" s="96" t="str">
        <f t="shared" si="1"/>
        <v/>
      </c>
      <c r="H24" s="43" t="s">
        <v>140</v>
      </c>
      <c r="I24" s="81"/>
      <c r="J24" s="89" t="str">
        <f>IF(AND(A24&lt;&gt;"",E24&lt;&gt;""),IF(I24="","⚠️ Enter Code",IF(IFERROR(VLOOKUP(H24,DB_Agents!$B:$I,8,0),"")=I24,IF(C24&gt;=E24,"Successful","Unsuccessful"),"🔒 BLOCKED — Wrong Code")),"Pending")</f>
        <v>Pending</v>
      </c>
      <c r="K24" s="90" t="str">
        <f t="shared" ca="1" si="2"/>
        <v>—</v>
      </c>
      <c r="L24" s="91"/>
    </row>
    <row r="25" spans="1:12" ht="15" customHeight="1" x14ac:dyDescent="0.25">
      <c r="A25" s="76"/>
      <c r="B25" s="37" t="str">
        <f>IF(A25="","",IFERROR(VLOOKUP(A25,DB_Customers!$A:$D,4,0),"❌ Account Not Found"))</f>
        <v/>
      </c>
      <c r="C25" s="77" t="str">
        <f>IF(A25="","",IFERROR(VLOOKUP(A25,DB_Customers!$A:$N,14,0),"❌ Acct Not Found"))</f>
        <v/>
      </c>
      <c r="D25" s="78" t="str">
        <f t="shared" ca="1" si="0"/>
        <v/>
      </c>
      <c r="E25" s="94"/>
      <c r="F25" s="37"/>
      <c r="G25" s="95" t="str">
        <f t="shared" si="1"/>
        <v/>
      </c>
      <c r="H25" s="39" t="s">
        <v>140</v>
      </c>
      <c r="I25" s="81"/>
      <c r="J25" s="82" t="str">
        <f>IF(AND(A25&lt;&gt;"",E25&lt;&gt;""),IF(I25="","⚠️ Enter Code",IF(IFERROR(VLOOKUP(H25,DB_Agents!$B:$I,8,0),"")=I25,IF(C25&gt;=E25,"Successful","Unsuccessful"),"🔒 BLOCKED — Wrong Code")),"Pending")</f>
        <v>Pending</v>
      </c>
      <c r="K25" s="83" t="str">
        <f t="shared" ca="1" si="2"/>
        <v>—</v>
      </c>
      <c r="L25" s="84"/>
    </row>
    <row r="26" spans="1:12" ht="15" customHeight="1" x14ac:dyDescent="0.25">
      <c r="A26" s="85"/>
      <c r="B26" s="41" t="str">
        <f>IF(A26="","",IFERROR(VLOOKUP(A26,DB_Customers!$A:$D,4,0),"❌ Account Not Found"))</f>
        <v/>
      </c>
      <c r="C26" s="86" t="str">
        <f>IF(A26="","",IFERROR(VLOOKUP(A26,DB_Customers!$A:$N,14,0),"❌ Acct Not Found"))</f>
        <v/>
      </c>
      <c r="D26" s="87" t="str">
        <f t="shared" ca="1" si="0"/>
        <v/>
      </c>
      <c r="E26" s="94"/>
      <c r="F26" s="41"/>
      <c r="G26" s="96" t="str">
        <f t="shared" si="1"/>
        <v/>
      </c>
      <c r="H26" s="43" t="s">
        <v>140</v>
      </c>
      <c r="I26" s="81"/>
      <c r="J26" s="89" t="str">
        <f>IF(AND(A26&lt;&gt;"",E26&lt;&gt;""),IF(I26="","⚠️ Enter Code",IF(IFERROR(VLOOKUP(H26,DB_Agents!$B:$I,8,0),"")=I26,IF(C26&gt;=E26,"Successful","Unsuccessful"),"🔒 BLOCKED — Wrong Code")),"Pending")</f>
        <v>Pending</v>
      </c>
      <c r="K26" s="90" t="str">
        <f t="shared" ca="1" si="2"/>
        <v>—</v>
      </c>
      <c r="L26" s="91"/>
    </row>
    <row r="27" spans="1:12" ht="15" customHeight="1" x14ac:dyDescent="0.25">
      <c r="A27" s="76"/>
      <c r="B27" s="37" t="str">
        <f>IF(A27="","",IFERROR(VLOOKUP(A27,DB_Customers!$A:$D,4,0),"❌ Account Not Found"))</f>
        <v/>
      </c>
      <c r="C27" s="77" t="str">
        <f>IF(A27="","",IFERROR(VLOOKUP(A27,DB_Customers!$A:$N,14,0),"❌ Acct Not Found"))</f>
        <v/>
      </c>
      <c r="D27" s="78" t="str">
        <f t="shared" ca="1" si="0"/>
        <v/>
      </c>
      <c r="E27" s="94"/>
      <c r="F27" s="37"/>
      <c r="G27" s="95" t="str">
        <f t="shared" si="1"/>
        <v/>
      </c>
      <c r="H27" s="39" t="s">
        <v>140</v>
      </c>
      <c r="I27" s="81"/>
      <c r="J27" s="82" t="str">
        <f>IF(AND(A27&lt;&gt;"",E27&lt;&gt;""),IF(I27="","⚠️ Enter Code",IF(IFERROR(VLOOKUP(H27,DB_Agents!$B:$I,8,0),"")=I27,IF(C27&gt;=E27,"Successful","Unsuccessful"),"🔒 BLOCKED — Wrong Code")),"Pending")</f>
        <v>Pending</v>
      </c>
      <c r="K27" s="83" t="str">
        <f t="shared" ca="1" si="2"/>
        <v>—</v>
      </c>
      <c r="L27" s="84"/>
    </row>
    <row r="28" spans="1:12" ht="15" customHeight="1" x14ac:dyDescent="0.25">
      <c r="A28" s="85"/>
      <c r="B28" s="41" t="str">
        <f>IF(A28="","",IFERROR(VLOOKUP(A28,DB_Customers!$A:$D,4,0),"❌ Account Not Found"))</f>
        <v/>
      </c>
      <c r="C28" s="86" t="str">
        <f>IF(A28="","",IFERROR(VLOOKUP(A28,DB_Customers!$A:$N,14,0),"❌ Acct Not Found"))</f>
        <v/>
      </c>
      <c r="D28" s="87" t="str">
        <f t="shared" ca="1" si="0"/>
        <v/>
      </c>
      <c r="E28" s="94"/>
      <c r="F28" s="41"/>
      <c r="G28" s="96" t="str">
        <f t="shared" si="1"/>
        <v/>
      </c>
      <c r="H28" s="43" t="s">
        <v>140</v>
      </c>
      <c r="I28" s="81"/>
      <c r="J28" s="89" t="str">
        <f>IF(AND(A28&lt;&gt;"",E28&lt;&gt;""),IF(I28="","⚠️ Enter Code",IF(IFERROR(VLOOKUP(H28,DB_Agents!$B:$I,8,0),"")=I28,IF(C28&gt;=E28,"Successful","Unsuccessful"),"🔒 BLOCKED — Wrong Code")),"Pending")</f>
        <v>Pending</v>
      </c>
      <c r="K28" s="90" t="str">
        <f t="shared" ca="1" si="2"/>
        <v>—</v>
      </c>
      <c r="L28" s="91"/>
    </row>
    <row r="29" spans="1:12" ht="15" customHeight="1" x14ac:dyDescent="0.25">
      <c r="A29" s="76"/>
      <c r="B29" s="37" t="str">
        <f>IF(A29="","",IFERROR(VLOOKUP(A29,DB_Customers!$A:$D,4,0),"❌ Account Not Found"))</f>
        <v/>
      </c>
      <c r="C29" s="77" t="str">
        <f>IF(A29="","",IFERROR(VLOOKUP(A29,DB_Customers!$A:$N,14,0),"❌ Acct Not Found"))</f>
        <v/>
      </c>
      <c r="D29" s="78" t="str">
        <f t="shared" ca="1" si="0"/>
        <v/>
      </c>
      <c r="E29" s="94"/>
      <c r="F29" s="37"/>
      <c r="G29" s="95" t="str">
        <f t="shared" si="1"/>
        <v/>
      </c>
      <c r="H29" s="39" t="s">
        <v>140</v>
      </c>
      <c r="I29" s="81"/>
      <c r="J29" s="82" t="str">
        <f>IF(AND(A29&lt;&gt;"",E29&lt;&gt;""),IF(I29="","⚠️ Enter Code",IF(IFERROR(VLOOKUP(H29,DB_Agents!$B:$I,8,0),"")=I29,IF(C29&gt;=E29,"Successful","Unsuccessful"),"🔒 BLOCKED — Wrong Code")),"Pending")</f>
        <v>Pending</v>
      </c>
      <c r="K29" s="83" t="str">
        <f t="shared" ca="1" si="2"/>
        <v>—</v>
      </c>
      <c r="L29" s="84"/>
    </row>
    <row r="30" spans="1:12" ht="15" customHeight="1" x14ac:dyDescent="0.25">
      <c r="A30" s="85"/>
      <c r="B30" s="41" t="str">
        <f>IF(A30="","",IFERROR(VLOOKUP(A30,DB_Customers!$A:$D,4,0),"❌ Account Not Found"))</f>
        <v/>
      </c>
      <c r="C30" s="86" t="str">
        <f>IF(A30="","",IFERROR(VLOOKUP(A30,DB_Customers!$A:$N,14,0),"❌ Acct Not Found"))</f>
        <v/>
      </c>
      <c r="D30" s="87" t="str">
        <f t="shared" ca="1" si="0"/>
        <v/>
      </c>
      <c r="E30" s="94"/>
      <c r="F30" s="41"/>
      <c r="G30" s="96" t="str">
        <f t="shared" si="1"/>
        <v/>
      </c>
      <c r="H30" s="43" t="s">
        <v>140</v>
      </c>
      <c r="I30" s="81"/>
      <c r="J30" s="89" t="str">
        <f>IF(AND(A30&lt;&gt;"",E30&lt;&gt;""),IF(I30="","⚠️ Enter Code",IF(IFERROR(VLOOKUP(H30,DB_Agents!$B:$I,8,0),"")=I30,IF(C30&gt;=E30,"Successful","Unsuccessful"),"🔒 BLOCKED — Wrong Code")),"Pending")</f>
        <v>Pending</v>
      </c>
      <c r="K30" s="90" t="str">
        <f t="shared" ca="1" si="2"/>
        <v>—</v>
      </c>
      <c r="L30" s="91"/>
    </row>
    <row r="31" spans="1:12" ht="15" customHeight="1" x14ac:dyDescent="0.25">
      <c r="A31" s="76"/>
      <c r="B31" s="37" t="str">
        <f>IF(A31="","",IFERROR(VLOOKUP(A31,DB_Customers!$A:$D,4,0),"❌ Account Not Found"))</f>
        <v/>
      </c>
      <c r="C31" s="77" t="str">
        <f>IF(A31="","",IFERROR(VLOOKUP(A31,DB_Customers!$A:$N,14,0),"❌ Acct Not Found"))</f>
        <v/>
      </c>
      <c r="D31" s="78" t="str">
        <f t="shared" ca="1" si="0"/>
        <v/>
      </c>
      <c r="E31" s="94"/>
      <c r="F31" s="37"/>
      <c r="G31" s="95" t="str">
        <f t="shared" si="1"/>
        <v/>
      </c>
      <c r="H31" s="39" t="s">
        <v>140</v>
      </c>
      <c r="I31" s="81"/>
      <c r="J31" s="82" t="str">
        <f>IF(AND(A31&lt;&gt;"",E31&lt;&gt;""),IF(I31="","⚠️ Enter Code",IF(IFERROR(VLOOKUP(H31,DB_Agents!$B:$I,8,0),"")=I31,IF(C31&gt;=E31,"Successful","Unsuccessful"),"🔒 BLOCKED — Wrong Code")),"Pending")</f>
        <v>Pending</v>
      </c>
      <c r="K31" s="83" t="str">
        <f t="shared" ca="1" si="2"/>
        <v>—</v>
      </c>
      <c r="L31" s="84"/>
    </row>
    <row r="32" spans="1:12" ht="15" customHeight="1" x14ac:dyDescent="0.25">
      <c r="A32" s="85"/>
      <c r="B32" s="41" t="str">
        <f>IF(A32="","",IFERROR(VLOOKUP(A32,DB_Customers!$A:$D,4,0),"❌ Account Not Found"))</f>
        <v/>
      </c>
      <c r="C32" s="86" t="str">
        <f>IF(A32="","",IFERROR(VLOOKUP(A32,DB_Customers!$A:$N,14,0),"❌ Acct Not Found"))</f>
        <v/>
      </c>
      <c r="D32" s="87" t="str">
        <f t="shared" ca="1" si="0"/>
        <v/>
      </c>
      <c r="E32" s="94"/>
      <c r="F32" s="41"/>
      <c r="G32" s="96" t="str">
        <f t="shared" si="1"/>
        <v/>
      </c>
      <c r="H32" s="43" t="s">
        <v>140</v>
      </c>
      <c r="I32" s="81"/>
      <c r="J32" s="89" t="str">
        <f>IF(AND(A32&lt;&gt;"",E32&lt;&gt;""),IF(I32="","⚠️ Enter Code",IF(IFERROR(VLOOKUP(H32,DB_Agents!$B:$I,8,0),"")=I32,IF(C32&gt;=E32,"Successful","Unsuccessful"),"🔒 BLOCKED — Wrong Code")),"Pending")</f>
        <v>Pending</v>
      </c>
      <c r="K32" s="90" t="str">
        <f t="shared" ca="1" si="2"/>
        <v>—</v>
      </c>
      <c r="L32" s="91"/>
    </row>
    <row r="33" spans="1:12" ht="15" customHeight="1" x14ac:dyDescent="0.25">
      <c r="A33" s="76"/>
      <c r="B33" s="37" t="str">
        <f>IF(A33="","",IFERROR(VLOOKUP(A33,DB_Customers!$A:$D,4,0),"❌ Account Not Found"))</f>
        <v/>
      </c>
      <c r="C33" s="77" t="str">
        <f>IF(A33="","",IFERROR(VLOOKUP(A33,DB_Customers!$A:$N,14,0),"❌ Acct Not Found"))</f>
        <v/>
      </c>
      <c r="D33" s="78" t="str">
        <f t="shared" ca="1" si="0"/>
        <v/>
      </c>
      <c r="E33" s="94"/>
      <c r="F33" s="37"/>
      <c r="G33" s="95" t="str">
        <f t="shared" si="1"/>
        <v/>
      </c>
      <c r="H33" s="39" t="s">
        <v>140</v>
      </c>
      <c r="I33" s="81"/>
      <c r="J33" s="82" t="str">
        <f>IF(AND(A33&lt;&gt;"",E33&lt;&gt;""),IF(I33="","⚠️ Enter Code",IF(IFERROR(VLOOKUP(H33,DB_Agents!$B:$I,8,0),"")=I33,IF(C33&gt;=E33,"Successful","Unsuccessful"),"🔒 BLOCKED — Wrong Code")),"Pending")</f>
        <v>Pending</v>
      </c>
      <c r="K33" s="83" t="str">
        <f t="shared" ca="1" si="2"/>
        <v>—</v>
      </c>
      <c r="L33" s="84"/>
    </row>
    <row r="34" spans="1:12" ht="15" customHeight="1" x14ac:dyDescent="0.25">
      <c r="A34" s="85"/>
      <c r="B34" s="41" t="str">
        <f>IF(A34="","",IFERROR(VLOOKUP(A34,DB_Customers!$A:$D,4,0),"❌ Account Not Found"))</f>
        <v/>
      </c>
      <c r="C34" s="86" t="str">
        <f>IF(A34="","",IFERROR(VLOOKUP(A34,DB_Customers!$A:$N,14,0),"❌ Acct Not Found"))</f>
        <v/>
      </c>
      <c r="D34" s="87" t="str">
        <f t="shared" ca="1" si="0"/>
        <v/>
      </c>
      <c r="E34" s="94"/>
      <c r="F34" s="41"/>
      <c r="G34" s="96" t="str">
        <f t="shared" si="1"/>
        <v/>
      </c>
      <c r="H34" s="43" t="s">
        <v>140</v>
      </c>
      <c r="I34" s="81"/>
      <c r="J34" s="89" t="str">
        <f>IF(AND(A34&lt;&gt;"",E34&lt;&gt;""),IF(I34="","⚠️ Enter Code",IF(IFERROR(VLOOKUP(H34,DB_Agents!$B:$I,8,0),"")=I34,IF(C34&gt;=E34,"Successful","Unsuccessful"),"🔒 BLOCKED — Wrong Code")),"Pending")</f>
        <v>Pending</v>
      </c>
      <c r="K34" s="90" t="str">
        <f t="shared" ca="1" si="2"/>
        <v>—</v>
      </c>
      <c r="L34" s="91"/>
    </row>
    <row r="35" spans="1:12" ht="15" customHeight="1" x14ac:dyDescent="0.25">
      <c r="A35" s="76"/>
      <c r="B35" s="37" t="str">
        <f>IF(A35="","",IFERROR(VLOOKUP(A35,DB_Customers!$A:$D,4,0),"❌ Account Not Found"))</f>
        <v/>
      </c>
      <c r="C35" s="77" t="str">
        <f>IF(A35="","",IFERROR(VLOOKUP(A35,DB_Customers!$A:$N,14,0),"❌ Acct Not Found"))</f>
        <v/>
      </c>
      <c r="D35" s="78" t="str">
        <f t="shared" ca="1" si="0"/>
        <v/>
      </c>
      <c r="E35" s="94"/>
      <c r="F35" s="37"/>
      <c r="G35" s="95" t="str">
        <f t="shared" si="1"/>
        <v/>
      </c>
      <c r="H35" s="39" t="s">
        <v>140</v>
      </c>
      <c r="I35" s="81"/>
      <c r="J35" s="82" t="str">
        <f>IF(AND(A35&lt;&gt;"",E35&lt;&gt;""),IF(I35="","⚠️ Enter Code",IF(IFERROR(VLOOKUP(H35,DB_Agents!$B:$I,8,0),"")=I35,IF(C35&gt;=E35,"Successful","Unsuccessful"),"🔒 BLOCKED — Wrong Code")),"Pending")</f>
        <v>Pending</v>
      </c>
      <c r="K35" s="83" t="str">
        <f t="shared" ca="1" si="2"/>
        <v>—</v>
      </c>
      <c r="L35" s="84"/>
    </row>
    <row r="36" spans="1:12" ht="15" customHeight="1" x14ac:dyDescent="0.25">
      <c r="A36" s="85"/>
      <c r="B36" s="41" t="str">
        <f>IF(A36="","",IFERROR(VLOOKUP(A36,DB_Customers!$A:$D,4,0),"❌ Account Not Found"))</f>
        <v/>
      </c>
      <c r="C36" s="86" t="str">
        <f>IF(A36="","",IFERROR(VLOOKUP(A36,DB_Customers!$A:$N,14,0),"❌ Acct Not Found"))</f>
        <v/>
      </c>
      <c r="D36" s="87" t="str">
        <f t="shared" ca="1" si="0"/>
        <v/>
      </c>
      <c r="E36" s="94"/>
      <c r="F36" s="41"/>
      <c r="G36" s="96" t="str">
        <f t="shared" si="1"/>
        <v/>
      </c>
      <c r="H36" s="43" t="s">
        <v>140</v>
      </c>
      <c r="I36" s="81"/>
      <c r="J36" s="89" t="str">
        <f>IF(AND(A36&lt;&gt;"",E36&lt;&gt;""),IF(I36="","⚠️ Enter Code",IF(IFERROR(VLOOKUP(H36,DB_Agents!$B:$I,8,0),"")=I36,IF(C36&gt;=E36,"Successful","Unsuccessful"),"🔒 BLOCKED — Wrong Code")),"Pending")</f>
        <v>Pending</v>
      </c>
      <c r="K36" s="90" t="str">
        <f t="shared" ca="1" si="2"/>
        <v>—</v>
      </c>
      <c r="L36" s="91"/>
    </row>
    <row r="37" spans="1:12" ht="15" customHeight="1" x14ac:dyDescent="0.25">
      <c r="A37" s="76"/>
      <c r="B37" s="37" t="str">
        <f>IF(A37="","",IFERROR(VLOOKUP(A37,DB_Customers!$A:$D,4,0),"❌ Account Not Found"))</f>
        <v/>
      </c>
      <c r="C37" s="77" t="str">
        <f>IF(A37="","",IFERROR(VLOOKUP(A37,DB_Customers!$A:$N,14,0),"❌ Acct Not Found"))</f>
        <v/>
      </c>
      <c r="D37" s="78" t="str">
        <f t="shared" ca="1" si="0"/>
        <v/>
      </c>
      <c r="E37" s="94"/>
      <c r="F37" s="37"/>
      <c r="G37" s="95" t="str">
        <f t="shared" si="1"/>
        <v/>
      </c>
      <c r="H37" s="39" t="s">
        <v>140</v>
      </c>
      <c r="I37" s="81"/>
      <c r="J37" s="82" t="str">
        <f>IF(AND(A37&lt;&gt;"",E37&lt;&gt;""),IF(I37="","⚠️ Enter Code",IF(IFERROR(VLOOKUP(H37,DB_Agents!$B:$I,8,0),"")=I37,IF(C37&gt;=E37,"Successful","Unsuccessful"),"🔒 BLOCKED — Wrong Code")),"Pending")</f>
        <v>Pending</v>
      </c>
      <c r="K37" s="83" t="str">
        <f t="shared" ca="1" si="2"/>
        <v>—</v>
      </c>
      <c r="L37" s="84"/>
    </row>
    <row r="38" spans="1:12" ht="15" customHeight="1" x14ac:dyDescent="0.25">
      <c r="A38" s="85"/>
      <c r="B38" s="41" t="str">
        <f>IF(A38="","",IFERROR(VLOOKUP(A38,DB_Customers!$A:$D,4,0),"❌ Account Not Found"))</f>
        <v/>
      </c>
      <c r="C38" s="86" t="str">
        <f>IF(A38="","",IFERROR(VLOOKUP(A38,DB_Customers!$A:$N,14,0),"❌ Acct Not Found"))</f>
        <v/>
      </c>
      <c r="D38" s="87" t="str">
        <f t="shared" ca="1" si="0"/>
        <v/>
      </c>
      <c r="E38" s="94"/>
      <c r="F38" s="41"/>
      <c r="G38" s="96" t="str">
        <f t="shared" si="1"/>
        <v/>
      </c>
      <c r="H38" s="43" t="s">
        <v>140</v>
      </c>
      <c r="I38" s="81"/>
      <c r="J38" s="89" t="str">
        <f>IF(AND(A38&lt;&gt;"",E38&lt;&gt;""),IF(I38="","⚠️ Enter Code",IF(IFERROR(VLOOKUP(H38,DB_Agents!$B:$I,8,0),"")=I38,IF(C38&gt;=E38,"Successful","Unsuccessful"),"🔒 BLOCKED — Wrong Code")),"Pending")</f>
        <v>Pending</v>
      </c>
      <c r="K38" s="90" t="str">
        <f t="shared" ca="1" si="2"/>
        <v>—</v>
      </c>
      <c r="L38" s="91"/>
    </row>
    <row r="39" spans="1:12" ht="15" customHeight="1" x14ac:dyDescent="0.25">
      <c r="A39" s="76"/>
      <c r="B39" s="37" t="str">
        <f>IF(A39="","",IFERROR(VLOOKUP(A39,DB_Customers!$A:$D,4,0),"❌ Account Not Found"))</f>
        <v/>
      </c>
      <c r="C39" s="77" t="str">
        <f>IF(A39="","",IFERROR(VLOOKUP(A39,DB_Customers!$A:$N,14,0),"❌ Acct Not Found"))</f>
        <v/>
      </c>
      <c r="D39" s="78" t="str">
        <f t="shared" ca="1" si="0"/>
        <v/>
      </c>
      <c r="E39" s="94"/>
      <c r="F39" s="37"/>
      <c r="G39" s="95" t="str">
        <f t="shared" si="1"/>
        <v/>
      </c>
      <c r="H39" s="39" t="s">
        <v>140</v>
      </c>
      <c r="I39" s="81"/>
      <c r="J39" s="82" t="str">
        <f>IF(AND(A39&lt;&gt;"",E39&lt;&gt;""),IF(I39="","⚠️ Enter Code",IF(IFERROR(VLOOKUP(H39,DB_Agents!$B:$I,8,0),"")=I39,IF(C39&gt;=E39,"Successful","Unsuccessful"),"🔒 BLOCKED — Wrong Code")),"Pending")</f>
        <v>Pending</v>
      </c>
      <c r="K39" s="83" t="str">
        <f t="shared" ca="1" si="2"/>
        <v>—</v>
      </c>
      <c r="L39" s="84"/>
    </row>
    <row r="40" spans="1:12" ht="15" customHeight="1" x14ac:dyDescent="0.25">
      <c r="A40" s="85"/>
      <c r="B40" s="41" t="str">
        <f>IF(A40="","",IFERROR(VLOOKUP(A40,DB_Customers!$A:$D,4,0),"❌ Account Not Found"))</f>
        <v/>
      </c>
      <c r="C40" s="86" t="str">
        <f>IF(A40="","",IFERROR(VLOOKUP(A40,DB_Customers!$A:$N,14,0),"❌ Acct Not Found"))</f>
        <v/>
      </c>
      <c r="D40" s="87" t="str">
        <f t="shared" ca="1" si="0"/>
        <v/>
      </c>
      <c r="E40" s="94"/>
      <c r="F40" s="41"/>
      <c r="G40" s="96" t="str">
        <f t="shared" si="1"/>
        <v/>
      </c>
      <c r="H40" s="43" t="s">
        <v>140</v>
      </c>
      <c r="I40" s="81"/>
      <c r="J40" s="89" t="str">
        <f>IF(AND(A40&lt;&gt;"",E40&lt;&gt;""),IF(I40="","⚠️ Enter Code",IF(IFERROR(VLOOKUP(H40,DB_Agents!$B:$I,8,0),"")=I40,IF(C40&gt;=E40,"Successful","Unsuccessful"),"🔒 BLOCKED — Wrong Code")),"Pending")</f>
        <v>Pending</v>
      </c>
      <c r="K40" s="90" t="str">
        <f t="shared" ca="1" si="2"/>
        <v>—</v>
      </c>
      <c r="L40" s="91"/>
    </row>
    <row r="41" spans="1:12" ht="15" customHeight="1" x14ac:dyDescent="0.25">
      <c r="A41" s="76"/>
      <c r="B41" s="37" t="str">
        <f>IF(A41="","",IFERROR(VLOOKUP(A41,DB_Customers!$A:$D,4,0),"❌ Account Not Found"))</f>
        <v/>
      </c>
      <c r="C41" s="77" t="str">
        <f>IF(A41="","",IFERROR(VLOOKUP(A41,DB_Customers!$A:$N,14,0),"❌ Acct Not Found"))</f>
        <v/>
      </c>
      <c r="D41" s="78" t="str">
        <f t="shared" ref="D41:D72" ca="1" si="3">IF(A41="","",TODAY())</f>
        <v/>
      </c>
      <c r="E41" s="94"/>
      <c r="F41" s="37"/>
      <c r="G41" s="95" t="str">
        <f t="shared" ref="G41:G72" si="4">IF(OR(A41="",E41=""),"",IF(C41="","",C41-E41))</f>
        <v/>
      </c>
      <c r="H41" s="39" t="s">
        <v>140</v>
      </c>
      <c r="I41" s="81"/>
      <c r="J41" s="82" t="str">
        <f>IF(AND(A41&lt;&gt;"",E41&lt;&gt;""),IF(I41="","⚠️ Enter Code",IF(IFERROR(VLOOKUP(H41,DB_Agents!$B:$I,8,0),"")=I41,IF(C41&gt;=E41,"Successful","Unsuccessful"),"🔒 BLOCKED — Wrong Code")),"Pending")</f>
        <v>Pending</v>
      </c>
      <c r="K41" s="83" t="str">
        <f t="shared" ref="K41:K72" ca="1" si="5">IF(J41="Successful",TEXT(TODAY(),"YYYY-MM-DD")&amp;" Auto","—")</f>
        <v>—</v>
      </c>
      <c r="L41" s="84"/>
    </row>
    <row r="42" spans="1:12" ht="15" customHeight="1" x14ac:dyDescent="0.25">
      <c r="A42" s="85"/>
      <c r="B42" s="41" t="str">
        <f>IF(A42="","",IFERROR(VLOOKUP(A42,DB_Customers!$A:$D,4,0),"❌ Account Not Found"))</f>
        <v/>
      </c>
      <c r="C42" s="86" t="str">
        <f>IF(A42="","",IFERROR(VLOOKUP(A42,DB_Customers!$A:$N,14,0),"❌ Acct Not Found"))</f>
        <v/>
      </c>
      <c r="D42" s="87" t="str">
        <f t="shared" ca="1" si="3"/>
        <v/>
      </c>
      <c r="E42" s="94"/>
      <c r="F42" s="41"/>
      <c r="G42" s="96" t="str">
        <f t="shared" si="4"/>
        <v/>
      </c>
      <c r="H42" s="43" t="s">
        <v>140</v>
      </c>
      <c r="I42" s="81"/>
      <c r="J42" s="89" t="str">
        <f>IF(AND(A42&lt;&gt;"",E42&lt;&gt;""),IF(I42="","⚠️ Enter Code",IF(IFERROR(VLOOKUP(H42,DB_Agents!$B:$I,8,0),"")=I42,IF(C42&gt;=E42,"Successful","Unsuccessful"),"🔒 BLOCKED — Wrong Code")),"Pending")</f>
        <v>Pending</v>
      </c>
      <c r="K42" s="90" t="str">
        <f t="shared" ca="1" si="5"/>
        <v>—</v>
      </c>
      <c r="L42" s="91"/>
    </row>
    <row r="43" spans="1:12" ht="15" customHeight="1" x14ac:dyDescent="0.25">
      <c r="A43" s="76"/>
      <c r="B43" s="37" t="str">
        <f>IF(A43="","",IFERROR(VLOOKUP(A43,DB_Customers!$A:$D,4,0),"❌ Account Not Found"))</f>
        <v/>
      </c>
      <c r="C43" s="77" t="str">
        <f>IF(A43="","",IFERROR(VLOOKUP(A43,DB_Customers!$A:$N,14,0),"❌ Acct Not Found"))</f>
        <v/>
      </c>
      <c r="D43" s="78" t="str">
        <f t="shared" ca="1" si="3"/>
        <v/>
      </c>
      <c r="E43" s="94"/>
      <c r="F43" s="37"/>
      <c r="G43" s="95" t="str">
        <f t="shared" si="4"/>
        <v/>
      </c>
      <c r="H43" s="39" t="s">
        <v>140</v>
      </c>
      <c r="I43" s="81"/>
      <c r="J43" s="82" t="str">
        <f>IF(AND(A43&lt;&gt;"",E43&lt;&gt;""),IF(I43="","⚠️ Enter Code",IF(IFERROR(VLOOKUP(H43,DB_Agents!$B:$I,8,0),"")=I43,IF(C43&gt;=E43,"Successful","Unsuccessful"),"🔒 BLOCKED — Wrong Code")),"Pending")</f>
        <v>Pending</v>
      </c>
      <c r="K43" s="83" t="str">
        <f t="shared" ca="1" si="5"/>
        <v>—</v>
      </c>
      <c r="L43" s="84"/>
    </row>
    <row r="44" spans="1:12" ht="15" customHeight="1" x14ac:dyDescent="0.25">
      <c r="A44" s="85"/>
      <c r="B44" s="41" t="str">
        <f>IF(A44="","",IFERROR(VLOOKUP(A44,DB_Customers!$A:$D,4,0),"❌ Account Not Found"))</f>
        <v/>
      </c>
      <c r="C44" s="86" t="str">
        <f>IF(A44="","",IFERROR(VLOOKUP(A44,DB_Customers!$A:$N,14,0),"❌ Acct Not Found"))</f>
        <v/>
      </c>
      <c r="D44" s="87" t="str">
        <f t="shared" ca="1" si="3"/>
        <v/>
      </c>
      <c r="E44" s="94"/>
      <c r="F44" s="41"/>
      <c r="G44" s="96" t="str">
        <f t="shared" si="4"/>
        <v/>
      </c>
      <c r="H44" s="43" t="s">
        <v>140</v>
      </c>
      <c r="I44" s="81"/>
      <c r="J44" s="89" t="str">
        <f>IF(AND(A44&lt;&gt;"",E44&lt;&gt;""),IF(I44="","⚠️ Enter Code",IF(IFERROR(VLOOKUP(H44,DB_Agents!$B:$I,8,0),"")=I44,IF(C44&gt;=E44,"Successful","Unsuccessful"),"🔒 BLOCKED — Wrong Code")),"Pending")</f>
        <v>Pending</v>
      </c>
      <c r="K44" s="90" t="str">
        <f t="shared" ca="1" si="5"/>
        <v>—</v>
      </c>
      <c r="L44" s="91"/>
    </row>
    <row r="45" spans="1:12" ht="15" customHeight="1" x14ac:dyDescent="0.25">
      <c r="A45" s="76"/>
      <c r="B45" s="37" t="str">
        <f>IF(A45="","",IFERROR(VLOOKUP(A45,DB_Customers!$A:$D,4,0),"❌ Account Not Found"))</f>
        <v/>
      </c>
      <c r="C45" s="77" t="str">
        <f>IF(A45="","",IFERROR(VLOOKUP(A45,DB_Customers!$A:$N,14,0),"❌ Acct Not Found"))</f>
        <v/>
      </c>
      <c r="D45" s="78" t="str">
        <f t="shared" ca="1" si="3"/>
        <v/>
      </c>
      <c r="E45" s="94"/>
      <c r="F45" s="37"/>
      <c r="G45" s="95" t="str">
        <f t="shared" si="4"/>
        <v/>
      </c>
      <c r="H45" s="39" t="s">
        <v>140</v>
      </c>
      <c r="I45" s="81"/>
      <c r="J45" s="82" t="str">
        <f>IF(AND(A45&lt;&gt;"",E45&lt;&gt;""),IF(I45="","⚠️ Enter Code",IF(IFERROR(VLOOKUP(H45,DB_Agents!$B:$I,8,0),"")=I45,IF(C45&gt;=E45,"Successful","Unsuccessful"),"🔒 BLOCKED — Wrong Code")),"Pending")</f>
        <v>Pending</v>
      </c>
      <c r="K45" s="83" t="str">
        <f t="shared" ca="1" si="5"/>
        <v>—</v>
      </c>
      <c r="L45" s="84"/>
    </row>
    <row r="46" spans="1:12" ht="15" customHeight="1" x14ac:dyDescent="0.25">
      <c r="A46" s="85"/>
      <c r="B46" s="41" t="str">
        <f>IF(A46="","",IFERROR(VLOOKUP(A46,DB_Customers!$A:$D,4,0),"❌ Account Not Found"))</f>
        <v/>
      </c>
      <c r="C46" s="86" t="str">
        <f>IF(A46="","",IFERROR(VLOOKUP(A46,DB_Customers!$A:$N,14,0),"❌ Acct Not Found"))</f>
        <v/>
      </c>
      <c r="D46" s="87" t="str">
        <f t="shared" ca="1" si="3"/>
        <v/>
      </c>
      <c r="E46" s="94"/>
      <c r="F46" s="41"/>
      <c r="G46" s="96" t="str">
        <f t="shared" si="4"/>
        <v/>
      </c>
      <c r="H46" s="43" t="s">
        <v>140</v>
      </c>
      <c r="I46" s="81"/>
      <c r="J46" s="89" t="str">
        <f>IF(AND(A46&lt;&gt;"",E46&lt;&gt;""),IF(I46="","⚠️ Enter Code",IF(IFERROR(VLOOKUP(H46,DB_Agents!$B:$I,8,0),"")=I46,IF(C46&gt;=E46,"Successful","Unsuccessful"),"🔒 BLOCKED — Wrong Code")),"Pending")</f>
        <v>Pending</v>
      </c>
      <c r="K46" s="90" t="str">
        <f t="shared" ca="1" si="5"/>
        <v>—</v>
      </c>
      <c r="L46" s="91"/>
    </row>
    <row r="47" spans="1:12" ht="15" customHeight="1" x14ac:dyDescent="0.25">
      <c r="A47" s="76"/>
      <c r="B47" s="37" t="str">
        <f>IF(A47="","",IFERROR(VLOOKUP(A47,DB_Customers!$A:$D,4,0),"❌ Account Not Found"))</f>
        <v/>
      </c>
      <c r="C47" s="77" t="str">
        <f>IF(A47="","",IFERROR(VLOOKUP(A47,DB_Customers!$A:$N,14,0),"❌ Acct Not Found"))</f>
        <v/>
      </c>
      <c r="D47" s="78" t="str">
        <f t="shared" ca="1" si="3"/>
        <v/>
      </c>
      <c r="E47" s="94"/>
      <c r="F47" s="37"/>
      <c r="G47" s="95" t="str">
        <f t="shared" si="4"/>
        <v/>
      </c>
      <c r="H47" s="39" t="s">
        <v>140</v>
      </c>
      <c r="I47" s="81"/>
      <c r="J47" s="82" t="str">
        <f>IF(AND(A47&lt;&gt;"",E47&lt;&gt;""),IF(I47="","⚠️ Enter Code",IF(IFERROR(VLOOKUP(H47,DB_Agents!$B:$I,8,0),"")=I47,IF(C47&gt;=E47,"Successful","Unsuccessful"),"🔒 BLOCKED — Wrong Code")),"Pending")</f>
        <v>Pending</v>
      </c>
      <c r="K47" s="83" t="str">
        <f t="shared" ca="1" si="5"/>
        <v>—</v>
      </c>
      <c r="L47" s="84"/>
    </row>
    <row r="48" spans="1:12" ht="15" customHeight="1" x14ac:dyDescent="0.25">
      <c r="A48" s="85"/>
      <c r="B48" s="41" t="str">
        <f>IF(A48="","",IFERROR(VLOOKUP(A48,DB_Customers!$A:$D,4,0),"❌ Account Not Found"))</f>
        <v/>
      </c>
      <c r="C48" s="86" t="str">
        <f>IF(A48="","",IFERROR(VLOOKUP(A48,DB_Customers!$A:$N,14,0),"❌ Acct Not Found"))</f>
        <v/>
      </c>
      <c r="D48" s="87" t="str">
        <f t="shared" ca="1" si="3"/>
        <v/>
      </c>
      <c r="E48" s="94"/>
      <c r="F48" s="41"/>
      <c r="G48" s="96" t="str">
        <f t="shared" si="4"/>
        <v/>
      </c>
      <c r="H48" s="43" t="s">
        <v>140</v>
      </c>
      <c r="I48" s="81"/>
      <c r="J48" s="89" t="str">
        <f>IF(AND(A48&lt;&gt;"",E48&lt;&gt;""),IF(I48="","⚠️ Enter Code",IF(IFERROR(VLOOKUP(H48,DB_Agents!$B:$I,8,0),"")=I48,IF(C48&gt;=E48,"Successful","Unsuccessful"),"🔒 BLOCKED — Wrong Code")),"Pending")</f>
        <v>Pending</v>
      </c>
      <c r="K48" s="90" t="str">
        <f t="shared" ca="1" si="5"/>
        <v>—</v>
      </c>
      <c r="L48" s="91"/>
    </row>
    <row r="49" spans="1:12" ht="15" customHeight="1" x14ac:dyDescent="0.25">
      <c r="A49" s="76"/>
      <c r="B49" s="37" t="str">
        <f>IF(A49="","",IFERROR(VLOOKUP(A49,DB_Customers!$A:$D,4,0),"❌ Account Not Found"))</f>
        <v/>
      </c>
      <c r="C49" s="77" t="str">
        <f>IF(A49="","",IFERROR(VLOOKUP(A49,DB_Customers!$A:$N,14,0),"❌ Acct Not Found"))</f>
        <v/>
      </c>
      <c r="D49" s="78" t="str">
        <f t="shared" ca="1" si="3"/>
        <v/>
      </c>
      <c r="E49" s="94"/>
      <c r="F49" s="37"/>
      <c r="G49" s="95" t="str">
        <f t="shared" si="4"/>
        <v/>
      </c>
      <c r="H49" s="39" t="s">
        <v>140</v>
      </c>
      <c r="I49" s="81"/>
      <c r="J49" s="82" t="str">
        <f>IF(AND(A49&lt;&gt;"",E49&lt;&gt;""),IF(I49="","⚠️ Enter Code",IF(IFERROR(VLOOKUP(H49,DB_Agents!$B:$I,8,0),"")=I49,IF(C49&gt;=E49,"Successful","Unsuccessful"),"🔒 BLOCKED — Wrong Code")),"Pending")</f>
        <v>Pending</v>
      </c>
      <c r="K49" s="83" t="str">
        <f t="shared" ca="1" si="5"/>
        <v>—</v>
      </c>
      <c r="L49" s="84"/>
    </row>
    <row r="50" spans="1:12" ht="15" customHeight="1" x14ac:dyDescent="0.25">
      <c r="A50" s="85"/>
      <c r="B50" s="41" t="str">
        <f>IF(A50="","",IFERROR(VLOOKUP(A50,DB_Customers!$A:$D,4,0),"❌ Account Not Found"))</f>
        <v/>
      </c>
      <c r="C50" s="86" t="str">
        <f>IF(A50="","",IFERROR(VLOOKUP(A50,DB_Customers!$A:$N,14,0),"❌ Acct Not Found"))</f>
        <v/>
      </c>
      <c r="D50" s="87" t="str">
        <f t="shared" ca="1" si="3"/>
        <v/>
      </c>
      <c r="E50" s="94"/>
      <c r="F50" s="41"/>
      <c r="G50" s="96" t="str">
        <f t="shared" si="4"/>
        <v/>
      </c>
      <c r="H50" s="43" t="s">
        <v>140</v>
      </c>
      <c r="I50" s="81"/>
      <c r="J50" s="89" t="str">
        <f>IF(AND(A50&lt;&gt;"",E50&lt;&gt;""),IF(I50="","⚠️ Enter Code",IF(IFERROR(VLOOKUP(H50,DB_Agents!$B:$I,8,0),"")=I50,IF(C50&gt;=E50,"Successful","Unsuccessful"),"🔒 BLOCKED — Wrong Code")),"Pending")</f>
        <v>Pending</v>
      </c>
      <c r="K50" s="90" t="str">
        <f t="shared" ca="1" si="5"/>
        <v>—</v>
      </c>
      <c r="L50" s="91"/>
    </row>
    <row r="51" spans="1:12" ht="15" customHeight="1" x14ac:dyDescent="0.25">
      <c r="A51" s="76"/>
      <c r="B51" s="37" t="str">
        <f>IF(A51="","",IFERROR(VLOOKUP(A51,DB_Customers!$A:$D,4,0),"❌ Account Not Found"))</f>
        <v/>
      </c>
      <c r="C51" s="77" t="str">
        <f>IF(A51="","",IFERROR(VLOOKUP(A51,DB_Customers!$A:$N,14,0),"❌ Acct Not Found"))</f>
        <v/>
      </c>
      <c r="D51" s="78" t="str">
        <f t="shared" ca="1" si="3"/>
        <v/>
      </c>
      <c r="E51" s="94"/>
      <c r="F51" s="37"/>
      <c r="G51" s="95" t="str">
        <f t="shared" si="4"/>
        <v/>
      </c>
      <c r="H51" s="39" t="s">
        <v>140</v>
      </c>
      <c r="I51" s="81"/>
      <c r="J51" s="82" t="str">
        <f>IF(AND(A51&lt;&gt;"",E51&lt;&gt;""),IF(I51="","⚠️ Enter Code",IF(IFERROR(VLOOKUP(H51,DB_Agents!$B:$I,8,0),"")=I51,IF(C51&gt;=E51,"Successful","Unsuccessful"),"🔒 BLOCKED — Wrong Code")),"Pending")</f>
        <v>Pending</v>
      </c>
      <c r="K51" s="83" t="str">
        <f t="shared" ca="1" si="5"/>
        <v>—</v>
      </c>
      <c r="L51" s="84"/>
    </row>
    <row r="52" spans="1:12" ht="15" customHeight="1" x14ac:dyDescent="0.25">
      <c r="A52" s="85"/>
      <c r="B52" s="41" t="str">
        <f>IF(A52="","",IFERROR(VLOOKUP(A52,DB_Customers!$A:$D,4,0),"❌ Account Not Found"))</f>
        <v/>
      </c>
      <c r="C52" s="86" t="str">
        <f>IF(A52="","",IFERROR(VLOOKUP(A52,DB_Customers!$A:$N,14,0),"❌ Acct Not Found"))</f>
        <v/>
      </c>
      <c r="D52" s="87" t="str">
        <f t="shared" ca="1" si="3"/>
        <v/>
      </c>
      <c r="E52" s="94"/>
      <c r="F52" s="41"/>
      <c r="G52" s="96" t="str">
        <f t="shared" si="4"/>
        <v/>
      </c>
      <c r="H52" s="43" t="s">
        <v>140</v>
      </c>
      <c r="I52" s="81"/>
      <c r="J52" s="89" t="str">
        <f>IF(AND(A52&lt;&gt;"",E52&lt;&gt;""),IF(I52="","⚠️ Enter Code",IF(IFERROR(VLOOKUP(H52,DB_Agents!$B:$I,8,0),"")=I52,IF(C52&gt;=E52,"Successful","Unsuccessful"),"🔒 BLOCKED — Wrong Code")),"Pending")</f>
        <v>Pending</v>
      </c>
      <c r="K52" s="90" t="str">
        <f t="shared" ca="1" si="5"/>
        <v>—</v>
      </c>
      <c r="L52" s="91"/>
    </row>
    <row r="53" spans="1:12" ht="15" customHeight="1" x14ac:dyDescent="0.25">
      <c r="A53" s="76"/>
      <c r="B53" s="37" t="str">
        <f>IF(A53="","",IFERROR(VLOOKUP(A53,DB_Customers!$A:$D,4,0),"❌ Account Not Found"))</f>
        <v/>
      </c>
      <c r="C53" s="77" t="str">
        <f>IF(A53="","",IFERROR(VLOOKUP(A53,DB_Customers!$A:$N,14,0),"❌ Acct Not Found"))</f>
        <v/>
      </c>
      <c r="D53" s="78" t="str">
        <f t="shared" ca="1" si="3"/>
        <v/>
      </c>
      <c r="E53" s="94"/>
      <c r="F53" s="37"/>
      <c r="G53" s="95" t="str">
        <f t="shared" si="4"/>
        <v/>
      </c>
      <c r="H53" s="39" t="s">
        <v>140</v>
      </c>
      <c r="I53" s="81"/>
      <c r="J53" s="82" t="str">
        <f>IF(AND(A53&lt;&gt;"",E53&lt;&gt;""),IF(I53="","⚠️ Enter Code",IF(IFERROR(VLOOKUP(H53,DB_Agents!$B:$I,8,0),"")=I53,IF(C53&gt;=E53,"Successful","Unsuccessful"),"🔒 BLOCKED — Wrong Code")),"Pending")</f>
        <v>Pending</v>
      </c>
      <c r="K53" s="83" t="str">
        <f t="shared" ca="1" si="5"/>
        <v>—</v>
      </c>
      <c r="L53" s="84"/>
    </row>
    <row r="54" spans="1:12" ht="15" customHeight="1" x14ac:dyDescent="0.25">
      <c r="A54" s="85"/>
      <c r="B54" s="41" t="str">
        <f>IF(A54="","",IFERROR(VLOOKUP(A54,DB_Customers!$A:$D,4,0),"❌ Account Not Found"))</f>
        <v/>
      </c>
      <c r="C54" s="86" t="str">
        <f>IF(A54="","",IFERROR(VLOOKUP(A54,DB_Customers!$A:$N,14,0),"❌ Acct Not Found"))</f>
        <v/>
      </c>
      <c r="D54" s="87" t="str">
        <f t="shared" ca="1" si="3"/>
        <v/>
      </c>
      <c r="E54" s="94"/>
      <c r="F54" s="41"/>
      <c r="G54" s="96" t="str">
        <f t="shared" si="4"/>
        <v/>
      </c>
      <c r="H54" s="43" t="s">
        <v>140</v>
      </c>
      <c r="I54" s="81"/>
      <c r="J54" s="89" t="str">
        <f>IF(AND(A54&lt;&gt;"",E54&lt;&gt;""),IF(I54="","⚠️ Enter Code",IF(IFERROR(VLOOKUP(H54,DB_Agents!$B:$I,8,0),"")=I54,IF(C54&gt;=E54,"Successful","Unsuccessful"),"🔒 BLOCKED — Wrong Code")),"Pending")</f>
        <v>Pending</v>
      </c>
      <c r="K54" s="90" t="str">
        <f t="shared" ca="1" si="5"/>
        <v>—</v>
      </c>
      <c r="L54" s="91"/>
    </row>
    <row r="55" spans="1:12" ht="15" customHeight="1" x14ac:dyDescent="0.25">
      <c r="A55" s="76"/>
      <c r="B55" s="37" t="str">
        <f>IF(A55="","",IFERROR(VLOOKUP(A55,DB_Customers!$A:$D,4,0),"❌ Account Not Found"))</f>
        <v/>
      </c>
      <c r="C55" s="77" t="str">
        <f>IF(A55="","",IFERROR(VLOOKUP(A55,DB_Customers!$A:$N,14,0),"❌ Acct Not Found"))</f>
        <v/>
      </c>
      <c r="D55" s="78" t="str">
        <f t="shared" ca="1" si="3"/>
        <v/>
      </c>
      <c r="E55" s="94"/>
      <c r="F55" s="37"/>
      <c r="G55" s="95" t="str">
        <f t="shared" si="4"/>
        <v/>
      </c>
      <c r="H55" s="39" t="s">
        <v>140</v>
      </c>
      <c r="I55" s="81"/>
      <c r="J55" s="82" t="str">
        <f>IF(AND(A55&lt;&gt;"",E55&lt;&gt;""),IF(I55="","⚠️ Enter Code",IF(IFERROR(VLOOKUP(H55,DB_Agents!$B:$I,8,0),"")=I55,IF(C55&gt;=E55,"Successful","Unsuccessful"),"🔒 BLOCKED — Wrong Code")),"Pending")</f>
        <v>Pending</v>
      </c>
      <c r="K55" s="83" t="str">
        <f t="shared" ca="1" si="5"/>
        <v>—</v>
      </c>
      <c r="L55" s="84"/>
    </row>
    <row r="56" spans="1:12" ht="15" customHeight="1" x14ac:dyDescent="0.25">
      <c r="A56" s="85"/>
      <c r="B56" s="41" t="str">
        <f>IF(A56="","",IFERROR(VLOOKUP(A56,DB_Customers!$A:$D,4,0),"❌ Account Not Found"))</f>
        <v/>
      </c>
      <c r="C56" s="86" t="str">
        <f>IF(A56="","",IFERROR(VLOOKUP(A56,DB_Customers!$A:$N,14,0),"❌ Acct Not Found"))</f>
        <v/>
      </c>
      <c r="D56" s="87" t="str">
        <f t="shared" ca="1" si="3"/>
        <v/>
      </c>
      <c r="E56" s="94"/>
      <c r="F56" s="41"/>
      <c r="G56" s="96" t="str">
        <f t="shared" si="4"/>
        <v/>
      </c>
      <c r="H56" s="43" t="s">
        <v>140</v>
      </c>
      <c r="I56" s="81"/>
      <c r="J56" s="89" t="str">
        <f>IF(AND(A56&lt;&gt;"",E56&lt;&gt;""),IF(I56="","⚠️ Enter Code",IF(IFERROR(VLOOKUP(H56,DB_Agents!$B:$I,8,0),"")=I56,IF(C56&gt;=E56,"Successful","Unsuccessful"),"🔒 BLOCKED — Wrong Code")),"Pending")</f>
        <v>Pending</v>
      </c>
      <c r="K56" s="90" t="str">
        <f t="shared" ca="1" si="5"/>
        <v>—</v>
      </c>
      <c r="L56" s="91"/>
    </row>
    <row r="57" spans="1:12" ht="15" customHeight="1" x14ac:dyDescent="0.25">
      <c r="A57" s="76"/>
      <c r="B57" s="37" t="str">
        <f>IF(A57="","",IFERROR(VLOOKUP(A57,DB_Customers!$A:$D,4,0),"❌ Account Not Found"))</f>
        <v/>
      </c>
      <c r="C57" s="77" t="str">
        <f>IF(A57="","",IFERROR(VLOOKUP(A57,DB_Customers!$A:$N,14,0),"❌ Acct Not Found"))</f>
        <v/>
      </c>
      <c r="D57" s="78" t="str">
        <f t="shared" ca="1" si="3"/>
        <v/>
      </c>
      <c r="E57" s="94"/>
      <c r="F57" s="37"/>
      <c r="G57" s="95" t="str">
        <f t="shared" si="4"/>
        <v/>
      </c>
      <c r="H57" s="39" t="s">
        <v>140</v>
      </c>
      <c r="I57" s="81"/>
      <c r="J57" s="82" t="str">
        <f>IF(AND(A57&lt;&gt;"",E57&lt;&gt;""),IF(I57="","⚠️ Enter Code",IF(IFERROR(VLOOKUP(H57,DB_Agents!$B:$I,8,0),"")=I57,IF(C57&gt;=E57,"Successful","Unsuccessful"),"🔒 BLOCKED — Wrong Code")),"Pending")</f>
        <v>Pending</v>
      </c>
      <c r="K57" s="83" t="str">
        <f t="shared" ca="1" si="5"/>
        <v>—</v>
      </c>
      <c r="L57" s="84"/>
    </row>
    <row r="58" spans="1:12" ht="15" customHeight="1" x14ac:dyDescent="0.25">
      <c r="A58" s="85"/>
      <c r="B58" s="41" t="str">
        <f>IF(A58="","",IFERROR(VLOOKUP(A58,DB_Customers!$A:$D,4,0),"❌ Account Not Found"))</f>
        <v/>
      </c>
      <c r="C58" s="86" t="str">
        <f>IF(A58="","",IFERROR(VLOOKUP(A58,DB_Customers!$A:$N,14,0),"❌ Acct Not Found"))</f>
        <v/>
      </c>
      <c r="D58" s="87" t="str">
        <f t="shared" ca="1" si="3"/>
        <v/>
      </c>
      <c r="E58" s="94"/>
      <c r="F58" s="41"/>
      <c r="G58" s="96" t="str">
        <f t="shared" si="4"/>
        <v/>
      </c>
      <c r="H58" s="43" t="s">
        <v>140</v>
      </c>
      <c r="I58" s="81"/>
      <c r="J58" s="89" t="str">
        <f>IF(AND(A58&lt;&gt;"",E58&lt;&gt;""),IF(I58="","⚠️ Enter Code",IF(IFERROR(VLOOKUP(H58,DB_Agents!$B:$I,8,0),"")=I58,IF(C58&gt;=E58,"Successful","Unsuccessful"),"🔒 BLOCKED — Wrong Code")),"Pending")</f>
        <v>Pending</v>
      </c>
      <c r="K58" s="90" t="str">
        <f t="shared" ca="1" si="5"/>
        <v>—</v>
      </c>
      <c r="L58" s="91"/>
    </row>
    <row r="59" spans="1:12" ht="15" customHeight="1" x14ac:dyDescent="0.25">
      <c r="A59" s="76"/>
      <c r="B59" s="37" t="str">
        <f>IF(A59="","",IFERROR(VLOOKUP(A59,DB_Customers!$A:$D,4,0),"❌ Account Not Found"))</f>
        <v/>
      </c>
      <c r="C59" s="77" t="str">
        <f>IF(A59="","",IFERROR(VLOOKUP(A59,DB_Customers!$A:$N,14,0),"❌ Acct Not Found"))</f>
        <v/>
      </c>
      <c r="D59" s="78" t="str">
        <f t="shared" ca="1" si="3"/>
        <v/>
      </c>
      <c r="E59" s="94"/>
      <c r="F59" s="37"/>
      <c r="G59" s="95" t="str">
        <f t="shared" si="4"/>
        <v/>
      </c>
      <c r="H59" s="39" t="s">
        <v>140</v>
      </c>
      <c r="I59" s="81"/>
      <c r="J59" s="82" t="str">
        <f>IF(AND(A59&lt;&gt;"",E59&lt;&gt;""),IF(I59="","⚠️ Enter Code",IF(IFERROR(VLOOKUP(H59,DB_Agents!$B:$I,8,0),"")=I59,IF(C59&gt;=E59,"Successful","Unsuccessful"),"🔒 BLOCKED — Wrong Code")),"Pending")</f>
        <v>Pending</v>
      </c>
      <c r="K59" s="83" t="str">
        <f t="shared" ca="1" si="5"/>
        <v>—</v>
      </c>
      <c r="L59" s="84"/>
    </row>
    <row r="60" spans="1:12" ht="15" customHeight="1" x14ac:dyDescent="0.25">
      <c r="A60" s="85"/>
      <c r="B60" s="41" t="str">
        <f>IF(A60="","",IFERROR(VLOOKUP(A60,DB_Customers!$A:$D,4,0),"❌ Account Not Found"))</f>
        <v/>
      </c>
      <c r="C60" s="86" t="str">
        <f>IF(A60="","",IFERROR(VLOOKUP(A60,DB_Customers!$A:$N,14,0),"❌ Acct Not Found"))</f>
        <v/>
      </c>
      <c r="D60" s="87" t="str">
        <f t="shared" ca="1" si="3"/>
        <v/>
      </c>
      <c r="E60" s="94"/>
      <c r="F60" s="41"/>
      <c r="G60" s="96" t="str">
        <f t="shared" si="4"/>
        <v/>
      </c>
      <c r="H60" s="43" t="s">
        <v>140</v>
      </c>
      <c r="I60" s="81"/>
      <c r="J60" s="89" t="str">
        <f>IF(AND(A60&lt;&gt;"",E60&lt;&gt;""),IF(I60="","⚠️ Enter Code",IF(IFERROR(VLOOKUP(H60,DB_Agents!$B:$I,8,0),"")=I60,IF(C60&gt;=E60,"Successful","Unsuccessful"),"🔒 BLOCKED — Wrong Code")),"Pending")</f>
        <v>Pending</v>
      </c>
      <c r="K60" s="90" t="str">
        <f t="shared" ca="1" si="5"/>
        <v>—</v>
      </c>
      <c r="L60" s="91"/>
    </row>
    <row r="61" spans="1:12" ht="15" customHeight="1" x14ac:dyDescent="0.25">
      <c r="A61" s="76"/>
      <c r="B61" s="37" t="str">
        <f>IF(A61="","",IFERROR(VLOOKUP(A61,DB_Customers!$A:$D,4,0),"❌ Account Not Found"))</f>
        <v/>
      </c>
      <c r="C61" s="77" t="str">
        <f>IF(A61="","",IFERROR(VLOOKUP(A61,DB_Customers!$A:$N,14,0),"❌ Acct Not Found"))</f>
        <v/>
      </c>
      <c r="D61" s="78" t="str">
        <f t="shared" ca="1" si="3"/>
        <v/>
      </c>
      <c r="E61" s="94"/>
      <c r="F61" s="37"/>
      <c r="G61" s="95" t="str">
        <f t="shared" si="4"/>
        <v/>
      </c>
      <c r="H61" s="39" t="s">
        <v>140</v>
      </c>
      <c r="I61" s="81"/>
      <c r="J61" s="82" t="str">
        <f>IF(AND(A61&lt;&gt;"",E61&lt;&gt;""),IF(I61="","⚠️ Enter Code",IF(IFERROR(VLOOKUP(H61,DB_Agents!$B:$I,8,0),"")=I61,IF(C61&gt;=E61,"Successful","Unsuccessful"),"🔒 BLOCKED — Wrong Code")),"Pending")</f>
        <v>Pending</v>
      </c>
      <c r="K61" s="83" t="str">
        <f t="shared" ca="1" si="5"/>
        <v>—</v>
      </c>
      <c r="L61" s="84"/>
    </row>
    <row r="62" spans="1:12" ht="15" customHeight="1" x14ac:dyDescent="0.25">
      <c r="A62" s="85"/>
      <c r="B62" s="41" t="str">
        <f>IF(A62="","",IFERROR(VLOOKUP(A62,DB_Customers!$A:$D,4,0),"❌ Account Not Found"))</f>
        <v/>
      </c>
      <c r="C62" s="86" t="str">
        <f>IF(A62="","",IFERROR(VLOOKUP(A62,DB_Customers!$A:$N,14,0),"❌ Acct Not Found"))</f>
        <v/>
      </c>
      <c r="D62" s="87" t="str">
        <f t="shared" ca="1" si="3"/>
        <v/>
      </c>
      <c r="E62" s="94"/>
      <c r="F62" s="41"/>
      <c r="G62" s="96" t="str">
        <f t="shared" si="4"/>
        <v/>
      </c>
      <c r="H62" s="43" t="s">
        <v>140</v>
      </c>
      <c r="I62" s="81"/>
      <c r="J62" s="89" t="str">
        <f>IF(AND(A62&lt;&gt;"",E62&lt;&gt;""),IF(I62="","⚠️ Enter Code",IF(IFERROR(VLOOKUP(H62,DB_Agents!$B:$I,8,0),"")=I62,IF(C62&gt;=E62,"Successful","Unsuccessful"),"🔒 BLOCKED — Wrong Code")),"Pending")</f>
        <v>Pending</v>
      </c>
      <c r="K62" s="90" t="str">
        <f t="shared" ca="1" si="5"/>
        <v>—</v>
      </c>
      <c r="L62" s="91"/>
    </row>
    <row r="63" spans="1:12" ht="15" customHeight="1" x14ac:dyDescent="0.25">
      <c r="A63" s="76"/>
      <c r="B63" s="37" t="str">
        <f>IF(A63="","",IFERROR(VLOOKUP(A63,DB_Customers!$A:$D,4,0),"❌ Account Not Found"))</f>
        <v/>
      </c>
      <c r="C63" s="77" t="str">
        <f>IF(A63="","",IFERROR(VLOOKUP(A63,DB_Customers!$A:$N,14,0),"❌ Acct Not Found"))</f>
        <v/>
      </c>
      <c r="D63" s="78" t="str">
        <f t="shared" ca="1" si="3"/>
        <v/>
      </c>
      <c r="E63" s="94"/>
      <c r="F63" s="37"/>
      <c r="G63" s="95" t="str">
        <f t="shared" si="4"/>
        <v/>
      </c>
      <c r="H63" s="39" t="s">
        <v>140</v>
      </c>
      <c r="I63" s="81"/>
      <c r="J63" s="82" t="str">
        <f>IF(AND(A63&lt;&gt;"",E63&lt;&gt;""),IF(I63="","⚠️ Enter Code",IF(IFERROR(VLOOKUP(H63,DB_Agents!$B:$I,8,0),"")=I63,IF(C63&gt;=E63,"Successful","Unsuccessful"),"🔒 BLOCKED — Wrong Code")),"Pending")</f>
        <v>Pending</v>
      </c>
      <c r="K63" s="83" t="str">
        <f t="shared" ca="1" si="5"/>
        <v>—</v>
      </c>
      <c r="L63" s="84"/>
    </row>
    <row r="64" spans="1:12" ht="15" customHeight="1" x14ac:dyDescent="0.25">
      <c r="A64" s="85"/>
      <c r="B64" s="41" t="str">
        <f>IF(A64="","",IFERROR(VLOOKUP(A64,DB_Customers!$A:$D,4,0),"❌ Account Not Found"))</f>
        <v/>
      </c>
      <c r="C64" s="86" t="str">
        <f>IF(A64="","",IFERROR(VLOOKUP(A64,DB_Customers!$A:$N,14,0),"❌ Acct Not Found"))</f>
        <v/>
      </c>
      <c r="D64" s="87" t="str">
        <f t="shared" ca="1" si="3"/>
        <v/>
      </c>
      <c r="E64" s="94"/>
      <c r="F64" s="41"/>
      <c r="G64" s="96" t="str">
        <f t="shared" si="4"/>
        <v/>
      </c>
      <c r="H64" s="43" t="s">
        <v>140</v>
      </c>
      <c r="I64" s="81"/>
      <c r="J64" s="89" t="str">
        <f>IF(AND(A64&lt;&gt;"",E64&lt;&gt;""),IF(I64="","⚠️ Enter Code",IF(IFERROR(VLOOKUP(H64,DB_Agents!$B:$I,8,0),"")=I64,IF(C64&gt;=E64,"Successful","Unsuccessful"),"🔒 BLOCKED — Wrong Code")),"Pending")</f>
        <v>Pending</v>
      </c>
      <c r="K64" s="90" t="str">
        <f t="shared" ca="1" si="5"/>
        <v>—</v>
      </c>
      <c r="L64" s="91"/>
    </row>
    <row r="65" spans="1:12" ht="15" customHeight="1" x14ac:dyDescent="0.25">
      <c r="A65" s="76"/>
      <c r="B65" s="37" t="str">
        <f>IF(A65="","",IFERROR(VLOOKUP(A65,DB_Customers!$A:$D,4,0),"❌ Account Not Found"))</f>
        <v/>
      </c>
      <c r="C65" s="77" t="str">
        <f>IF(A65="","",IFERROR(VLOOKUP(A65,DB_Customers!$A:$N,14,0),"❌ Acct Not Found"))</f>
        <v/>
      </c>
      <c r="D65" s="78" t="str">
        <f t="shared" ca="1" si="3"/>
        <v/>
      </c>
      <c r="E65" s="94"/>
      <c r="F65" s="37"/>
      <c r="G65" s="95" t="str">
        <f t="shared" si="4"/>
        <v/>
      </c>
      <c r="H65" s="39" t="s">
        <v>140</v>
      </c>
      <c r="I65" s="81"/>
      <c r="J65" s="82" t="str">
        <f>IF(AND(A65&lt;&gt;"",E65&lt;&gt;""),IF(I65="","⚠️ Enter Code",IF(IFERROR(VLOOKUP(H65,DB_Agents!$B:$I,8,0),"")=I65,IF(C65&gt;=E65,"Successful","Unsuccessful"),"🔒 BLOCKED — Wrong Code")),"Pending")</f>
        <v>Pending</v>
      </c>
      <c r="K65" s="83" t="str">
        <f t="shared" ca="1" si="5"/>
        <v>—</v>
      </c>
      <c r="L65" s="84"/>
    </row>
    <row r="66" spans="1:12" ht="15" customHeight="1" x14ac:dyDescent="0.25">
      <c r="A66" s="85"/>
      <c r="B66" s="41" t="str">
        <f>IF(A66="","",IFERROR(VLOOKUP(A66,DB_Customers!$A:$D,4,0),"❌ Account Not Found"))</f>
        <v/>
      </c>
      <c r="C66" s="86" t="str">
        <f>IF(A66="","",IFERROR(VLOOKUP(A66,DB_Customers!$A:$N,14,0),"❌ Acct Not Found"))</f>
        <v/>
      </c>
      <c r="D66" s="87" t="str">
        <f t="shared" ca="1" si="3"/>
        <v/>
      </c>
      <c r="E66" s="94"/>
      <c r="F66" s="41"/>
      <c r="G66" s="96" t="str">
        <f t="shared" si="4"/>
        <v/>
      </c>
      <c r="H66" s="43" t="s">
        <v>140</v>
      </c>
      <c r="I66" s="81"/>
      <c r="J66" s="89" t="str">
        <f>IF(AND(A66&lt;&gt;"",E66&lt;&gt;""),IF(I66="","⚠️ Enter Code",IF(IFERROR(VLOOKUP(H66,DB_Agents!$B:$I,8,0),"")=I66,IF(C66&gt;=E66,"Successful","Unsuccessful"),"🔒 BLOCKED — Wrong Code")),"Pending")</f>
        <v>Pending</v>
      </c>
      <c r="K66" s="90" t="str">
        <f t="shared" ca="1" si="5"/>
        <v>—</v>
      </c>
      <c r="L66" s="91"/>
    </row>
    <row r="67" spans="1:12" ht="15" customHeight="1" x14ac:dyDescent="0.25">
      <c r="A67" s="76"/>
      <c r="B67" s="37" t="str">
        <f>IF(A67="","",IFERROR(VLOOKUP(A67,DB_Customers!$A:$D,4,0),"❌ Account Not Found"))</f>
        <v/>
      </c>
      <c r="C67" s="77" t="str">
        <f>IF(A67="","",IFERROR(VLOOKUP(A67,DB_Customers!$A:$N,14,0),"❌ Acct Not Found"))</f>
        <v/>
      </c>
      <c r="D67" s="78" t="str">
        <f t="shared" ca="1" si="3"/>
        <v/>
      </c>
      <c r="E67" s="94"/>
      <c r="F67" s="37"/>
      <c r="G67" s="95" t="str">
        <f t="shared" si="4"/>
        <v/>
      </c>
      <c r="H67" s="39" t="s">
        <v>140</v>
      </c>
      <c r="I67" s="81"/>
      <c r="J67" s="82" t="str">
        <f>IF(AND(A67&lt;&gt;"",E67&lt;&gt;""),IF(I67="","⚠️ Enter Code",IF(IFERROR(VLOOKUP(H67,DB_Agents!$B:$I,8,0),"")=I67,IF(C67&gt;=E67,"Successful","Unsuccessful"),"🔒 BLOCKED — Wrong Code")),"Pending")</f>
        <v>Pending</v>
      </c>
      <c r="K67" s="83" t="str">
        <f t="shared" ca="1" si="5"/>
        <v>—</v>
      </c>
      <c r="L67" s="84"/>
    </row>
    <row r="68" spans="1:12" ht="15" customHeight="1" x14ac:dyDescent="0.25">
      <c r="A68" s="85"/>
      <c r="B68" s="41" t="str">
        <f>IF(A68="","",IFERROR(VLOOKUP(A68,DB_Customers!$A:$D,4,0),"❌ Account Not Found"))</f>
        <v/>
      </c>
      <c r="C68" s="86" t="str">
        <f>IF(A68="","",IFERROR(VLOOKUP(A68,DB_Customers!$A:$N,14,0),"❌ Acct Not Found"))</f>
        <v/>
      </c>
      <c r="D68" s="87" t="str">
        <f t="shared" ca="1" si="3"/>
        <v/>
      </c>
      <c r="E68" s="94"/>
      <c r="F68" s="41"/>
      <c r="G68" s="96" t="str">
        <f t="shared" si="4"/>
        <v/>
      </c>
      <c r="H68" s="43" t="s">
        <v>140</v>
      </c>
      <c r="I68" s="81"/>
      <c r="J68" s="89" t="str">
        <f>IF(AND(A68&lt;&gt;"",E68&lt;&gt;""),IF(I68="","⚠️ Enter Code",IF(IFERROR(VLOOKUP(H68,DB_Agents!$B:$I,8,0),"")=I68,IF(C68&gt;=E68,"Successful","Unsuccessful"),"🔒 BLOCKED — Wrong Code")),"Pending")</f>
        <v>Pending</v>
      </c>
      <c r="K68" s="90" t="str">
        <f t="shared" ca="1" si="5"/>
        <v>—</v>
      </c>
      <c r="L68" s="91"/>
    </row>
    <row r="69" spans="1:12" ht="15" customHeight="1" x14ac:dyDescent="0.25">
      <c r="A69" s="76"/>
      <c r="B69" s="37" t="str">
        <f>IF(A69="","",IFERROR(VLOOKUP(A69,DB_Customers!$A:$D,4,0),"❌ Account Not Found"))</f>
        <v/>
      </c>
      <c r="C69" s="77" t="str">
        <f>IF(A69="","",IFERROR(VLOOKUP(A69,DB_Customers!$A:$N,14,0),"❌ Acct Not Found"))</f>
        <v/>
      </c>
      <c r="D69" s="78" t="str">
        <f t="shared" ca="1" si="3"/>
        <v/>
      </c>
      <c r="E69" s="94"/>
      <c r="F69" s="37"/>
      <c r="G69" s="95" t="str">
        <f t="shared" si="4"/>
        <v/>
      </c>
      <c r="H69" s="39" t="s">
        <v>140</v>
      </c>
      <c r="I69" s="81"/>
      <c r="J69" s="82" t="str">
        <f>IF(AND(A69&lt;&gt;"",E69&lt;&gt;""),IF(I69="","⚠️ Enter Code",IF(IFERROR(VLOOKUP(H69,DB_Agents!$B:$I,8,0),"")=I69,IF(C69&gt;=E69,"Successful","Unsuccessful"),"🔒 BLOCKED — Wrong Code")),"Pending")</f>
        <v>Pending</v>
      </c>
      <c r="K69" s="83" t="str">
        <f t="shared" ca="1" si="5"/>
        <v>—</v>
      </c>
      <c r="L69" s="84"/>
    </row>
    <row r="70" spans="1:12" ht="15" customHeight="1" x14ac:dyDescent="0.25">
      <c r="A70" s="85"/>
      <c r="B70" s="41" t="str">
        <f>IF(A70="","",IFERROR(VLOOKUP(A70,DB_Customers!$A:$D,4,0),"❌ Account Not Found"))</f>
        <v/>
      </c>
      <c r="C70" s="86" t="str">
        <f>IF(A70="","",IFERROR(VLOOKUP(A70,DB_Customers!$A:$N,14,0),"❌ Acct Not Found"))</f>
        <v/>
      </c>
      <c r="D70" s="87" t="str">
        <f t="shared" ca="1" si="3"/>
        <v/>
      </c>
      <c r="E70" s="94"/>
      <c r="F70" s="41"/>
      <c r="G70" s="96" t="str">
        <f t="shared" si="4"/>
        <v/>
      </c>
      <c r="H70" s="43" t="s">
        <v>140</v>
      </c>
      <c r="I70" s="81"/>
      <c r="J70" s="89" t="str">
        <f>IF(AND(A70&lt;&gt;"",E70&lt;&gt;""),IF(I70="","⚠️ Enter Code",IF(IFERROR(VLOOKUP(H70,DB_Agents!$B:$I,8,0),"")=I70,IF(C70&gt;=E70,"Successful","Unsuccessful"),"🔒 BLOCKED — Wrong Code")),"Pending")</f>
        <v>Pending</v>
      </c>
      <c r="K70" s="90" t="str">
        <f t="shared" ca="1" si="5"/>
        <v>—</v>
      </c>
      <c r="L70" s="91"/>
    </row>
    <row r="71" spans="1:12" ht="15" customHeight="1" x14ac:dyDescent="0.25">
      <c r="A71" s="76"/>
      <c r="B71" s="37" t="str">
        <f>IF(A71="","",IFERROR(VLOOKUP(A71,DB_Customers!$A:$D,4,0),"❌ Account Not Found"))</f>
        <v/>
      </c>
      <c r="C71" s="77" t="str">
        <f>IF(A71="","",IFERROR(VLOOKUP(A71,DB_Customers!$A:$N,14,0),"❌ Acct Not Found"))</f>
        <v/>
      </c>
      <c r="D71" s="78" t="str">
        <f t="shared" ca="1" si="3"/>
        <v/>
      </c>
      <c r="E71" s="94"/>
      <c r="F71" s="37"/>
      <c r="G71" s="95" t="str">
        <f t="shared" si="4"/>
        <v/>
      </c>
      <c r="H71" s="39" t="s">
        <v>140</v>
      </c>
      <c r="I71" s="81"/>
      <c r="J71" s="82" t="str">
        <f>IF(AND(A71&lt;&gt;"",E71&lt;&gt;""),IF(I71="","⚠️ Enter Code",IF(IFERROR(VLOOKUP(H71,DB_Agents!$B:$I,8,0),"")=I71,IF(C71&gt;=E71,"Successful","Unsuccessful"),"🔒 BLOCKED — Wrong Code")),"Pending")</f>
        <v>Pending</v>
      </c>
      <c r="K71" s="83" t="str">
        <f t="shared" ca="1" si="5"/>
        <v>—</v>
      </c>
      <c r="L71" s="84"/>
    </row>
    <row r="72" spans="1:12" ht="15" customHeight="1" x14ac:dyDescent="0.25">
      <c r="A72" s="85"/>
      <c r="B72" s="41" t="str">
        <f>IF(A72="","",IFERROR(VLOOKUP(A72,DB_Customers!$A:$D,4,0),"❌ Account Not Found"))</f>
        <v/>
      </c>
      <c r="C72" s="86" t="str">
        <f>IF(A72="","",IFERROR(VLOOKUP(A72,DB_Customers!$A:$N,14,0),"❌ Acct Not Found"))</f>
        <v/>
      </c>
      <c r="D72" s="87" t="str">
        <f t="shared" ca="1" si="3"/>
        <v/>
      </c>
      <c r="E72" s="94"/>
      <c r="F72" s="41"/>
      <c r="G72" s="96" t="str">
        <f t="shared" si="4"/>
        <v/>
      </c>
      <c r="H72" s="43" t="s">
        <v>140</v>
      </c>
      <c r="I72" s="81"/>
      <c r="J72" s="89" t="str">
        <f>IF(AND(A72&lt;&gt;"",E72&lt;&gt;""),IF(I72="","⚠️ Enter Code",IF(IFERROR(VLOOKUP(H72,DB_Agents!$B:$I,8,0),"")=I72,IF(C72&gt;=E72,"Successful","Unsuccessful"),"🔒 BLOCKED — Wrong Code")),"Pending")</f>
        <v>Pending</v>
      </c>
      <c r="K72" s="90" t="str">
        <f t="shared" ca="1" si="5"/>
        <v>—</v>
      </c>
      <c r="L72" s="91"/>
    </row>
    <row r="73" spans="1:12" ht="15" customHeight="1" x14ac:dyDescent="0.25">
      <c r="A73" s="76"/>
      <c r="B73" s="37" t="str">
        <f>IF(A73="","",IFERROR(VLOOKUP(A73,DB_Customers!$A:$D,4,0),"❌ Account Not Found"))</f>
        <v/>
      </c>
      <c r="C73" s="77" t="str">
        <f>IF(A73="","",IFERROR(VLOOKUP(A73,DB_Customers!$A:$N,14,0),"❌ Acct Not Found"))</f>
        <v/>
      </c>
      <c r="D73" s="78" t="str">
        <f t="shared" ref="D73:D104" ca="1" si="6">IF(A73="","",TODAY())</f>
        <v/>
      </c>
      <c r="E73" s="94"/>
      <c r="F73" s="37"/>
      <c r="G73" s="95" t="str">
        <f t="shared" ref="G73:G104" si="7">IF(OR(A73="",E73=""),"",IF(C73="","",C73-E73))</f>
        <v/>
      </c>
      <c r="H73" s="39" t="s">
        <v>140</v>
      </c>
      <c r="I73" s="81"/>
      <c r="J73" s="82" t="str">
        <f>IF(AND(A73&lt;&gt;"",E73&lt;&gt;""),IF(I73="","⚠️ Enter Code",IF(IFERROR(VLOOKUP(H73,DB_Agents!$B:$I,8,0),"")=I73,IF(C73&gt;=E73,"Successful","Unsuccessful"),"🔒 BLOCKED — Wrong Code")),"Pending")</f>
        <v>Pending</v>
      </c>
      <c r="K73" s="83" t="str">
        <f t="shared" ref="K73:K104" ca="1" si="8">IF(J73="Successful",TEXT(TODAY(),"YYYY-MM-DD")&amp;" Auto","—")</f>
        <v>—</v>
      </c>
      <c r="L73" s="84"/>
    </row>
    <row r="74" spans="1:12" ht="15" customHeight="1" x14ac:dyDescent="0.25">
      <c r="A74" s="85"/>
      <c r="B74" s="41" t="str">
        <f>IF(A74="","",IFERROR(VLOOKUP(A74,DB_Customers!$A:$D,4,0),"❌ Account Not Found"))</f>
        <v/>
      </c>
      <c r="C74" s="86" t="str">
        <f>IF(A74="","",IFERROR(VLOOKUP(A74,DB_Customers!$A:$N,14,0),"❌ Acct Not Found"))</f>
        <v/>
      </c>
      <c r="D74" s="87" t="str">
        <f t="shared" ca="1" si="6"/>
        <v/>
      </c>
      <c r="E74" s="94"/>
      <c r="F74" s="41"/>
      <c r="G74" s="96" t="str">
        <f t="shared" si="7"/>
        <v/>
      </c>
      <c r="H74" s="43" t="s">
        <v>140</v>
      </c>
      <c r="I74" s="81"/>
      <c r="J74" s="89" t="str">
        <f>IF(AND(A74&lt;&gt;"",E74&lt;&gt;""),IF(I74="","⚠️ Enter Code",IF(IFERROR(VLOOKUP(H74,DB_Agents!$B:$I,8,0),"")=I74,IF(C74&gt;=E74,"Successful","Unsuccessful"),"🔒 BLOCKED — Wrong Code")),"Pending")</f>
        <v>Pending</v>
      </c>
      <c r="K74" s="90" t="str">
        <f t="shared" ca="1" si="8"/>
        <v>—</v>
      </c>
      <c r="L74" s="91"/>
    </row>
    <row r="75" spans="1:12" ht="15" customHeight="1" x14ac:dyDescent="0.25">
      <c r="A75" s="76"/>
      <c r="B75" s="37" t="str">
        <f>IF(A75="","",IFERROR(VLOOKUP(A75,DB_Customers!$A:$D,4,0),"❌ Account Not Found"))</f>
        <v/>
      </c>
      <c r="C75" s="77" t="str">
        <f>IF(A75="","",IFERROR(VLOOKUP(A75,DB_Customers!$A:$N,14,0),"❌ Acct Not Found"))</f>
        <v/>
      </c>
      <c r="D75" s="78" t="str">
        <f t="shared" ca="1" si="6"/>
        <v/>
      </c>
      <c r="E75" s="94"/>
      <c r="F75" s="37"/>
      <c r="G75" s="95" t="str">
        <f t="shared" si="7"/>
        <v/>
      </c>
      <c r="H75" s="39" t="s">
        <v>140</v>
      </c>
      <c r="I75" s="81"/>
      <c r="J75" s="82" t="str">
        <f>IF(AND(A75&lt;&gt;"",E75&lt;&gt;""),IF(I75="","⚠️ Enter Code",IF(IFERROR(VLOOKUP(H75,DB_Agents!$B:$I,8,0),"")=I75,IF(C75&gt;=E75,"Successful","Unsuccessful"),"🔒 BLOCKED — Wrong Code")),"Pending")</f>
        <v>Pending</v>
      </c>
      <c r="K75" s="83" t="str">
        <f t="shared" ca="1" si="8"/>
        <v>—</v>
      </c>
      <c r="L75" s="84"/>
    </row>
    <row r="76" spans="1:12" ht="15" customHeight="1" x14ac:dyDescent="0.25">
      <c r="A76" s="85"/>
      <c r="B76" s="41" t="str">
        <f>IF(A76="","",IFERROR(VLOOKUP(A76,DB_Customers!$A:$D,4,0),"❌ Account Not Found"))</f>
        <v/>
      </c>
      <c r="C76" s="86" t="str">
        <f>IF(A76="","",IFERROR(VLOOKUP(A76,DB_Customers!$A:$N,14,0),"❌ Acct Not Found"))</f>
        <v/>
      </c>
      <c r="D76" s="87" t="str">
        <f t="shared" ca="1" si="6"/>
        <v/>
      </c>
      <c r="E76" s="94"/>
      <c r="F76" s="41"/>
      <c r="G76" s="96" t="str">
        <f t="shared" si="7"/>
        <v/>
      </c>
      <c r="H76" s="43" t="s">
        <v>140</v>
      </c>
      <c r="I76" s="81"/>
      <c r="J76" s="89" t="str">
        <f>IF(AND(A76&lt;&gt;"",E76&lt;&gt;""),IF(I76="","⚠️ Enter Code",IF(IFERROR(VLOOKUP(H76,DB_Agents!$B:$I,8,0),"")=I76,IF(C76&gt;=E76,"Successful","Unsuccessful"),"🔒 BLOCKED — Wrong Code")),"Pending")</f>
        <v>Pending</v>
      </c>
      <c r="K76" s="90" t="str">
        <f t="shared" ca="1" si="8"/>
        <v>—</v>
      </c>
      <c r="L76" s="91"/>
    </row>
    <row r="77" spans="1:12" ht="15" customHeight="1" x14ac:dyDescent="0.25">
      <c r="A77" s="76"/>
      <c r="B77" s="37" t="str">
        <f>IF(A77="","",IFERROR(VLOOKUP(A77,DB_Customers!$A:$D,4,0),"❌ Account Not Found"))</f>
        <v/>
      </c>
      <c r="C77" s="77" t="str">
        <f>IF(A77="","",IFERROR(VLOOKUP(A77,DB_Customers!$A:$N,14,0),"❌ Acct Not Found"))</f>
        <v/>
      </c>
      <c r="D77" s="78" t="str">
        <f t="shared" ca="1" si="6"/>
        <v/>
      </c>
      <c r="E77" s="94"/>
      <c r="F77" s="37"/>
      <c r="G77" s="95" t="str">
        <f t="shared" si="7"/>
        <v/>
      </c>
      <c r="H77" s="39" t="s">
        <v>140</v>
      </c>
      <c r="I77" s="81"/>
      <c r="J77" s="82" t="str">
        <f>IF(AND(A77&lt;&gt;"",E77&lt;&gt;""),IF(I77="","⚠️ Enter Code",IF(IFERROR(VLOOKUP(H77,DB_Agents!$B:$I,8,0),"")=I77,IF(C77&gt;=E77,"Successful","Unsuccessful"),"🔒 BLOCKED — Wrong Code")),"Pending")</f>
        <v>Pending</v>
      </c>
      <c r="K77" s="83" t="str">
        <f t="shared" ca="1" si="8"/>
        <v>—</v>
      </c>
      <c r="L77" s="84"/>
    </row>
    <row r="78" spans="1:12" ht="15" customHeight="1" x14ac:dyDescent="0.25">
      <c r="A78" s="85"/>
      <c r="B78" s="41" t="str">
        <f>IF(A78="","",IFERROR(VLOOKUP(A78,DB_Customers!$A:$D,4,0),"❌ Account Not Found"))</f>
        <v/>
      </c>
      <c r="C78" s="86" t="str">
        <f>IF(A78="","",IFERROR(VLOOKUP(A78,DB_Customers!$A:$N,14,0),"❌ Acct Not Found"))</f>
        <v/>
      </c>
      <c r="D78" s="87" t="str">
        <f t="shared" ca="1" si="6"/>
        <v/>
      </c>
      <c r="E78" s="94"/>
      <c r="F78" s="41"/>
      <c r="G78" s="96" t="str">
        <f t="shared" si="7"/>
        <v/>
      </c>
      <c r="H78" s="43" t="s">
        <v>140</v>
      </c>
      <c r="I78" s="81"/>
      <c r="J78" s="89" t="str">
        <f>IF(AND(A78&lt;&gt;"",E78&lt;&gt;""),IF(I78="","⚠️ Enter Code",IF(IFERROR(VLOOKUP(H78,DB_Agents!$B:$I,8,0),"")=I78,IF(C78&gt;=E78,"Successful","Unsuccessful"),"🔒 BLOCKED — Wrong Code")),"Pending")</f>
        <v>Pending</v>
      </c>
      <c r="K78" s="90" t="str">
        <f t="shared" ca="1" si="8"/>
        <v>—</v>
      </c>
      <c r="L78" s="91"/>
    </row>
    <row r="79" spans="1:12" ht="15" customHeight="1" x14ac:dyDescent="0.25">
      <c r="A79" s="76"/>
      <c r="B79" s="37" t="str">
        <f>IF(A79="","",IFERROR(VLOOKUP(A79,DB_Customers!$A:$D,4,0),"❌ Account Not Found"))</f>
        <v/>
      </c>
      <c r="C79" s="77" t="str">
        <f>IF(A79="","",IFERROR(VLOOKUP(A79,DB_Customers!$A:$N,14,0),"❌ Acct Not Found"))</f>
        <v/>
      </c>
      <c r="D79" s="78" t="str">
        <f t="shared" ca="1" si="6"/>
        <v/>
      </c>
      <c r="E79" s="94"/>
      <c r="F79" s="37"/>
      <c r="G79" s="95" t="str">
        <f t="shared" si="7"/>
        <v/>
      </c>
      <c r="H79" s="39" t="s">
        <v>140</v>
      </c>
      <c r="I79" s="81"/>
      <c r="J79" s="82" t="str">
        <f>IF(AND(A79&lt;&gt;"",E79&lt;&gt;""),IF(I79="","⚠️ Enter Code",IF(IFERROR(VLOOKUP(H79,DB_Agents!$B:$I,8,0),"")=I79,IF(C79&gt;=E79,"Successful","Unsuccessful"),"🔒 BLOCKED — Wrong Code")),"Pending")</f>
        <v>Pending</v>
      </c>
      <c r="K79" s="83" t="str">
        <f t="shared" ca="1" si="8"/>
        <v>—</v>
      </c>
      <c r="L79" s="84"/>
    </row>
    <row r="80" spans="1:12" ht="15" customHeight="1" x14ac:dyDescent="0.25">
      <c r="A80" s="85"/>
      <c r="B80" s="41" t="str">
        <f>IF(A80="","",IFERROR(VLOOKUP(A80,DB_Customers!$A:$D,4,0),"❌ Account Not Found"))</f>
        <v/>
      </c>
      <c r="C80" s="86" t="str">
        <f>IF(A80="","",IFERROR(VLOOKUP(A80,DB_Customers!$A:$N,14,0),"❌ Acct Not Found"))</f>
        <v/>
      </c>
      <c r="D80" s="87" t="str">
        <f t="shared" ca="1" si="6"/>
        <v/>
      </c>
      <c r="E80" s="94"/>
      <c r="F80" s="41"/>
      <c r="G80" s="96" t="str">
        <f t="shared" si="7"/>
        <v/>
      </c>
      <c r="H80" s="43" t="s">
        <v>140</v>
      </c>
      <c r="I80" s="81"/>
      <c r="J80" s="89" t="str">
        <f>IF(AND(A80&lt;&gt;"",E80&lt;&gt;""),IF(I80="","⚠️ Enter Code",IF(IFERROR(VLOOKUP(H80,DB_Agents!$B:$I,8,0),"")=I80,IF(C80&gt;=E80,"Successful","Unsuccessful"),"🔒 BLOCKED — Wrong Code")),"Pending")</f>
        <v>Pending</v>
      </c>
      <c r="K80" s="90" t="str">
        <f t="shared" ca="1" si="8"/>
        <v>—</v>
      </c>
      <c r="L80" s="91"/>
    </row>
    <row r="81" spans="1:12" ht="15" customHeight="1" x14ac:dyDescent="0.25">
      <c r="A81" s="76"/>
      <c r="B81" s="37" t="str">
        <f>IF(A81="","",IFERROR(VLOOKUP(A81,DB_Customers!$A:$D,4,0),"❌ Account Not Found"))</f>
        <v/>
      </c>
      <c r="C81" s="77" t="str">
        <f>IF(A81="","",IFERROR(VLOOKUP(A81,DB_Customers!$A:$N,14,0),"❌ Acct Not Found"))</f>
        <v/>
      </c>
      <c r="D81" s="78" t="str">
        <f t="shared" ca="1" si="6"/>
        <v/>
      </c>
      <c r="E81" s="94"/>
      <c r="F81" s="37"/>
      <c r="G81" s="95" t="str">
        <f t="shared" si="7"/>
        <v/>
      </c>
      <c r="H81" s="39" t="s">
        <v>140</v>
      </c>
      <c r="I81" s="81"/>
      <c r="J81" s="82" t="str">
        <f>IF(AND(A81&lt;&gt;"",E81&lt;&gt;""),IF(I81="","⚠️ Enter Code",IF(IFERROR(VLOOKUP(H81,DB_Agents!$B:$I,8,0),"")=I81,IF(C81&gt;=E81,"Successful","Unsuccessful"),"🔒 BLOCKED — Wrong Code")),"Pending")</f>
        <v>Pending</v>
      </c>
      <c r="K81" s="83" t="str">
        <f t="shared" ca="1" si="8"/>
        <v>—</v>
      </c>
      <c r="L81" s="84"/>
    </row>
    <row r="82" spans="1:12" ht="15" customHeight="1" x14ac:dyDescent="0.25">
      <c r="A82" s="85"/>
      <c r="B82" s="41" t="str">
        <f>IF(A82="","",IFERROR(VLOOKUP(A82,DB_Customers!$A:$D,4,0),"❌ Account Not Found"))</f>
        <v/>
      </c>
      <c r="C82" s="86" t="str">
        <f>IF(A82="","",IFERROR(VLOOKUP(A82,DB_Customers!$A:$N,14,0),"❌ Acct Not Found"))</f>
        <v/>
      </c>
      <c r="D82" s="87" t="str">
        <f t="shared" ca="1" si="6"/>
        <v/>
      </c>
      <c r="E82" s="94"/>
      <c r="F82" s="41"/>
      <c r="G82" s="96" t="str">
        <f t="shared" si="7"/>
        <v/>
      </c>
      <c r="H82" s="43" t="s">
        <v>140</v>
      </c>
      <c r="I82" s="81"/>
      <c r="J82" s="89" t="str">
        <f>IF(AND(A82&lt;&gt;"",E82&lt;&gt;""),IF(I82="","⚠️ Enter Code",IF(IFERROR(VLOOKUP(H82,DB_Agents!$B:$I,8,0),"")=I82,IF(C82&gt;=E82,"Successful","Unsuccessful"),"🔒 BLOCKED — Wrong Code")),"Pending")</f>
        <v>Pending</v>
      </c>
      <c r="K82" s="90" t="str">
        <f t="shared" ca="1" si="8"/>
        <v>—</v>
      </c>
      <c r="L82" s="91"/>
    </row>
    <row r="83" spans="1:12" ht="15" customHeight="1" x14ac:dyDescent="0.25">
      <c r="A83" s="76"/>
      <c r="B83" s="37" t="str">
        <f>IF(A83="","",IFERROR(VLOOKUP(A83,DB_Customers!$A:$D,4,0),"❌ Account Not Found"))</f>
        <v/>
      </c>
      <c r="C83" s="77" t="str">
        <f>IF(A83="","",IFERROR(VLOOKUP(A83,DB_Customers!$A:$N,14,0),"❌ Acct Not Found"))</f>
        <v/>
      </c>
      <c r="D83" s="78" t="str">
        <f t="shared" ca="1" si="6"/>
        <v/>
      </c>
      <c r="E83" s="94"/>
      <c r="F83" s="37"/>
      <c r="G83" s="95" t="str">
        <f t="shared" si="7"/>
        <v/>
      </c>
      <c r="H83" s="39" t="s">
        <v>140</v>
      </c>
      <c r="I83" s="81"/>
      <c r="J83" s="82" t="str">
        <f>IF(AND(A83&lt;&gt;"",E83&lt;&gt;""),IF(I83="","⚠️ Enter Code",IF(IFERROR(VLOOKUP(H83,DB_Agents!$B:$I,8,0),"")=I83,IF(C83&gt;=E83,"Successful","Unsuccessful"),"🔒 BLOCKED — Wrong Code")),"Pending")</f>
        <v>Pending</v>
      </c>
      <c r="K83" s="83" t="str">
        <f t="shared" ca="1" si="8"/>
        <v>—</v>
      </c>
      <c r="L83" s="84"/>
    </row>
    <row r="84" spans="1:12" ht="15" customHeight="1" x14ac:dyDescent="0.25">
      <c r="A84" s="85"/>
      <c r="B84" s="41" t="str">
        <f>IF(A84="","",IFERROR(VLOOKUP(A84,DB_Customers!$A:$D,4,0),"❌ Account Not Found"))</f>
        <v/>
      </c>
      <c r="C84" s="86" t="str">
        <f>IF(A84="","",IFERROR(VLOOKUP(A84,DB_Customers!$A:$N,14,0),"❌ Acct Not Found"))</f>
        <v/>
      </c>
      <c r="D84" s="87" t="str">
        <f t="shared" ca="1" si="6"/>
        <v/>
      </c>
      <c r="E84" s="94"/>
      <c r="F84" s="41"/>
      <c r="G84" s="96" t="str">
        <f t="shared" si="7"/>
        <v/>
      </c>
      <c r="H84" s="43" t="s">
        <v>140</v>
      </c>
      <c r="I84" s="81"/>
      <c r="J84" s="89" t="str">
        <f>IF(AND(A84&lt;&gt;"",E84&lt;&gt;""),IF(I84="","⚠️ Enter Code",IF(IFERROR(VLOOKUP(H84,DB_Agents!$B:$I,8,0),"")=I84,IF(C84&gt;=E84,"Successful","Unsuccessful"),"🔒 BLOCKED — Wrong Code")),"Pending")</f>
        <v>Pending</v>
      </c>
      <c r="K84" s="90" t="str">
        <f t="shared" ca="1" si="8"/>
        <v>—</v>
      </c>
      <c r="L84" s="91"/>
    </row>
    <row r="85" spans="1:12" ht="15" customHeight="1" x14ac:dyDescent="0.25">
      <c r="A85" s="76"/>
      <c r="B85" s="37" t="str">
        <f>IF(A85="","",IFERROR(VLOOKUP(A85,DB_Customers!$A:$D,4,0),"❌ Account Not Found"))</f>
        <v/>
      </c>
      <c r="C85" s="77" t="str">
        <f>IF(A85="","",IFERROR(VLOOKUP(A85,DB_Customers!$A:$N,14,0),"❌ Acct Not Found"))</f>
        <v/>
      </c>
      <c r="D85" s="78" t="str">
        <f t="shared" ca="1" si="6"/>
        <v/>
      </c>
      <c r="E85" s="94"/>
      <c r="F85" s="37"/>
      <c r="G85" s="95" t="str">
        <f t="shared" si="7"/>
        <v/>
      </c>
      <c r="H85" s="39" t="s">
        <v>140</v>
      </c>
      <c r="I85" s="81"/>
      <c r="J85" s="82" t="str">
        <f>IF(AND(A85&lt;&gt;"",E85&lt;&gt;""),IF(I85="","⚠️ Enter Code",IF(IFERROR(VLOOKUP(H85,DB_Agents!$B:$I,8,0),"")=I85,IF(C85&gt;=E85,"Successful","Unsuccessful"),"🔒 BLOCKED — Wrong Code")),"Pending")</f>
        <v>Pending</v>
      </c>
      <c r="K85" s="83" t="str">
        <f t="shared" ca="1" si="8"/>
        <v>—</v>
      </c>
      <c r="L85" s="84"/>
    </row>
    <row r="86" spans="1:12" ht="15" customHeight="1" x14ac:dyDescent="0.25">
      <c r="A86" s="85"/>
      <c r="B86" s="41" t="str">
        <f>IF(A86="","",IFERROR(VLOOKUP(A86,DB_Customers!$A:$D,4,0),"❌ Account Not Found"))</f>
        <v/>
      </c>
      <c r="C86" s="86" t="str">
        <f>IF(A86="","",IFERROR(VLOOKUP(A86,DB_Customers!$A:$N,14,0),"❌ Acct Not Found"))</f>
        <v/>
      </c>
      <c r="D86" s="87" t="str">
        <f t="shared" ca="1" si="6"/>
        <v/>
      </c>
      <c r="E86" s="94"/>
      <c r="F86" s="41"/>
      <c r="G86" s="96" t="str">
        <f t="shared" si="7"/>
        <v/>
      </c>
      <c r="H86" s="43" t="s">
        <v>140</v>
      </c>
      <c r="I86" s="81"/>
      <c r="J86" s="89" t="str">
        <f>IF(AND(A86&lt;&gt;"",E86&lt;&gt;""),IF(I86="","⚠️ Enter Code",IF(IFERROR(VLOOKUP(H86,DB_Agents!$B:$I,8,0),"")=I86,IF(C86&gt;=E86,"Successful","Unsuccessful"),"🔒 BLOCKED — Wrong Code")),"Pending")</f>
        <v>Pending</v>
      </c>
      <c r="K86" s="90" t="str">
        <f t="shared" ca="1" si="8"/>
        <v>—</v>
      </c>
      <c r="L86" s="91"/>
    </row>
    <row r="87" spans="1:12" ht="15" customHeight="1" x14ac:dyDescent="0.25">
      <c r="A87" s="76"/>
      <c r="B87" s="37" t="str">
        <f>IF(A87="","",IFERROR(VLOOKUP(A87,DB_Customers!$A:$D,4,0),"❌ Account Not Found"))</f>
        <v/>
      </c>
      <c r="C87" s="77" t="str">
        <f>IF(A87="","",IFERROR(VLOOKUP(A87,DB_Customers!$A:$N,14,0),"❌ Acct Not Found"))</f>
        <v/>
      </c>
      <c r="D87" s="78" t="str">
        <f t="shared" ca="1" si="6"/>
        <v/>
      </c>
      <c r="E87" s="94"/>
      <c r="F87" s="37"/>
      <c r="G87" s="95" t="str">
        <f t="shared" si="7"/>
        <v/>
      </c>
      <c r="H87" s="39" t="s">
        <v>140</v>
      </c>
      <c r="I87" s="81"/>
      <c r="J87" s="82" t="str">
        <f>IF(AND(A87&lt;&gt;"",E87&lt;&gt;""),IF(I87="","⚠️ Enter Code",IF(IFERROR(VLOOKUP(H87,DB_Agents!$B:$I,8,0),"")=I87,IF(C87&gt;=E87,"Successful","Unsuccessful"),"🔒 BLOCKED — Wrong Code")),"Pending")</f>
        <v>Pending</v>
      </c>
      <c r="K87" s="83" t="str">
        <f t="shared" ca="1" si="8"/>
        <v>—</v>
      </c>
      <c r="L87" s="84"/>
    </row>
    <row r="88" spans="1:12" ht="15" customHeight="1" x14ac:dyDescent="0.25">
      <c r="A88" s="85"/>
      <c r="B88" s="41" t="str">
        <f>IF(A88="","",IFERROR(VLOOKUP(A88,DB_Customers!$A:$D,4,0),"❌ Account Not Found"))</f>
        <v/>
      </c>
      <c r="C88" s="86" t="str">
        <f>IF(A88="","",IFERROR(VLOOKUP(A88,DB_Customers!$A:$N,14,0),"❌ Acct Not Found"))</f>
        <v/>
      </c>
      <c r="D88" s="87" t="str">
        <f t="shared" ca="1" si="6"/>
        <v/>
      </c>
      <c r="E88" s="94"/>
      <c r="F88" s="41"/>
      <c r="G88" s="96" t="str">
        <f t="shared" si="7"/>
        <v/>
      </c>
      <c r="H88" s="43" t="s">
        <v>140</v>
      </c>
      <c r="I88" s="81"/>
      <c r="J88" s="89" t="str">
        <f>IF(AND(A88&lt;&gt;"",E88&lt;&gt;""),IF(I88="","⚠️ Enter Code",IF(IFERROR(VLOOKUP(H88,DB_Agents!$B:$I,8,0),"")=I88,IF(C88&gt;=E88,"Successful","Unsuccessful"),"🔒 BLOCKED — Wrong Code")),"Pending")</f>
        <v>Pending</v>
      </c>
      <c r="K88" s="90" t="str">
        <f t="shared" ca="1" si="8"/>
        <v>—</v>
      </c>
      <c r="L88" s="91"/>
    </row>
    <row r="89" spans="1:12" ht="15" customHeight="1" x14ac:dyDescent="0.25">
      <c r="A89" s="76"/>
      <c r="B89" s="37" t="str">
        <f>IF(A89="","",IFERROR(VLOOKUP(A89,DB_Customers!$A:$D,4,0),"❌ Account Not Found"))</f>
        <v/>
      </c>
      <c r="C89" s="77" t="str">
        <f>IF(A89="","",IFERROR(VLOOKUP(A89,DB_Customers!$A:$N,14,0),"❌ Acct Not Found"))</f>
        <v/>
      </c>
      <c r="D89" s="78" t="str">
        <f t="shared" ca="1" si="6"/>
        <v/>
      </c>
      <c r="E89" s="94"/>
      <c r="F89" s="37"/>
      <c r="G89" s="95" t="str">
        <f t="shared" si="7"/>
        <v/>
      </c>
      <c r="H89" s="39" t="s">
        <v>140</v>
      </c>
      <c r="I89" s="81"/>
      <c r="J89" s="82" t="str">
        <f>IF(AND(A89&lt;&gt;"",E89&lt;&gt;""),IF(I89="","⚠️ Enter Code",IF(IFERROR(VLOOKUP(H89,DB_Agents!$B:$I,8,0),"")=I89,IF(C89&gt;=E89,"Successful","Unsuccessful"),"🔒 BLOCKED — Wrong Code")),"Pending")</f>
        <v>Pending</v>
      </c>
      <c r="K89" s="83" t="str">
        <f t="shared" ca="1" si="8"/>
        <v>—</v>
      </c>
      <c r="L89" s="84"/>
    </row>
    <row r="90" spans="1:12" ht="15" customHeight="1" x14ac:dyDescent="0.25">
      <c r="A90" s="85"/>
      <c r="B90" s="41" t="str">
        <f>IF(A90="","",IFERROR(VLOOKUP(A90,DB_Customers!$A:$D,4,0),"❌ Account Not Found"))</f>
        <v/>
      </c>
      <c r="C90" s="86" t="str">
        <f>IF(A90="","",IFERROR(VLOOKUP(A90,DB_Customers!$A:$N,14,0),"❌ Acct Not Found"))</f>
        <v/>
      </c>
      <c r="D90" s="87" t="str">
        <f t="shared" ca="1" si="6"/>
        <v/>
      </c>
      <c r="E90" s="94"/>
      <c r="F90" s="41"/>
      <c r="G90" s="96" t="str">
        <f t="shared" si="7"/>
        <v/>
      </c>
      <c r="H90" s="43" t="s">
        <v>140</v>
      </c>
      <c r="I90" s="81"/>
      <c r="J90" s="89" t="str">
        <f>IF(AND(A90&lt;&gt;"",E90&lt;&gt;""),IF(I90="","⚠️ Enter Code",IF(IFERROR(VLOOKUP(H90,DB_Agents!$B:$I,8,0),"")=I90,IF(C90&gt;=E90,"Successful","Unsuccessful"),"🔒 BLOCKED — Wrong Code")),"Pending")</f>
        <v>Pending</v>
      </c>
      <c r="K90" s="90" t="str">
        <f t="shared" ca="1" si="8"/>
        <v>—</v>
      </c>
      <c r="L90" s="91"/>
    </row>
    <row r="91" spans="1:12" ht="15" customHeight="1" x14ac:dyDescent="0.25">
      <c r="A91" s="76"/>
      <c r="B91" s="37" t="str">
        <f>IF(A91="","",IFERROR(VLOOKUP(A91,DB_Customers!$A:$D,4,0),"❌ Account Not Found"))</f>
        <v/>
      </c>
      <c r="C91" s="77" t="str">
        <f>IF(A91="","",IFERROR(VLOOKUP(A91,DB_Customers!$A:$N,14,0),"❌ Acct Not Found"))</f>
        <v/>
      </c>
      <c r="D91" s="78" t="str">
        <f t="shared" ca="1" si="6"/>
        <v/>
      </c>
      <c r="E91" s="94"/>
      <c r="F91" s="37"/>
      <c r="G91" s="95" t="str">
        <f t="shared" si="7"/>
        <v/>
      </c>
      <c r="H91" s="39" t="s">
        <v>140</v>
      </c>
      <c r="I91" s="81"/>
      <c r="J91" s="82" t="str">
        <f>IF(AND(A91&lt;&gt;"",E91&lt;&gt;""),IF(I91="","⚠️ Enter Code",IF(IFERROR(VLOOKUP(H91,DB_Agents!$B:$I,8,0),"")=I91,IF(C91&gt;=E91,"Successful","Unsuccessful"),"🔒 BLOCKED — Wrong Code")),"Pending")</f>
        <v>Pending</v>
      </c>
      <c r="K91" s="83" t="str">
        <f t="shared" ca="1" si="8"/>
        <v>—</v>
      </c>
      <c r="L91" s="84"/>
    </row>
    <row r="92" spans="1:12" ht="15" customHeight="1" x14ac:dyDescent="0.25">
      <c r="A92" s="85"/>
      <c r="B92" s="41" t="str">
        <f>IF(A92="","",IFERROR(VLOOKUP(A92,DB_Customers!$A:$D,4,0),"❌ Account Not Found"))</f>
        <v/>
      </c>
      <c r="C92" s="86" t="str">
        <f>IF(A92="","",IFERROR(VLOOKUP(A92,DB_Customers!$A:$N,14,0),"❌ Acct Not Found"))</f>
        <v/>
      </c>
      <c r="D92" s="87" t="str">
        <f t="shared" ca="1" si="6"/>
        <v/>
      </c>
      <c r="E92" s="94"/>
      <c r="F92" s="41"/>
      <c r="G92" s="96" t="str">
        <f t="shared" si="7"/>
        <v/>
      </c>
      <c r="H92" s="43" t="s">
        <v>140</v>
      </c>
      <c r="I92" s="81"/>
      <c r="J92" s="89" t="str">
        <f>IF(AND(A92&lt;&gt;"",E92&lt;&gt;""),IF(I92="","⚠️ Enter Code",IF(IFERROR(VLOOKUP(H92,DB_Agents!$B:$I,8,0),"")=I92,IF(C92&gt;=E92,"Successful","Unsuccessful"),"🔒 BLOCKED — Wrong Code")),"Pending")</f>
        <v>Pending</v>
      </c>
      <c r="K92" s="90" t="str">
        <f t="shared" ca="1" si="8"/>
        <v>—</v>
      </c>
      <c r="L92" s="91"/>
    </row>
    <row r="93" spans="1:12" ht="15" customHeight="1" x14ac:dyDescent="0.25">
      <c r="A93" s="76"/>
      <c r="B93" s="37" t="str">
        <f>IF(A93="","",IFERROR(VLOOKUP(A93,DB_Customers!$A:$D,4,0),"❌ Account Not Found"))</f>
        <v/>
      </c>
      <c r="C93" s="77" t="str">
        <f>IF(A93="","",IFERROR(VLOOKUP(A93,DB_Customers!$A:$N,14,0),"❌ Acct Not Found"))</f>
        <v/>
      </c>
      <c r="D93" s="78" t="str">
        <f t="shared" ca="1" si="6"/>
        <v/>
      </c>
      <c r="E93" s="94"/>
      <c r="F93" s="37"/>
      <c r="G93" s="95" t="str">
        <f t="shared" si="7"/>
        <v/>
      </c>
      <c r="H93" s="39" t="s">
        <v>140</v>
      </c>
      <c r="I93" s="81"/>
      <c r="J93" s="82" t="str">
        <f>IF(AND(A93&lt;&gt;"",E93&lt;&gt;""),IF(I93="","⚠️ Enter Code",IF(IFERROR(VLOOKUP(H93,DB_Agents!$B:$I,8,0),"")=I93,IF(C93&gt;=E93,"Successful","Unsuccessful"),"🔒 BLOCKED — Wrong Code")),"Pending")</f>
        <v>Pending</v>
      </c>
      <c r="K93" s="83" t="str">
        <f t="shared" ca="1" si="8"/>
        <v>—</v>
      </c>
      <c r="L93" s="84"/>
    </row>
    <row r="94" spans="1:12" ht="15" customHeight="1" x14ac:dyDescent="0.25">
      <c r="A94" s="85"/>
      <c r="B94" s="41" t="str">
        <f>IF(A94="","",IFERROR(VLOOKUP(A94,DB_Customers!$A:$D,4,0),"❌ Account Not Found"))</f>
        <v/>
      </c>
      <c r="C94" s="86" t="str">
        <f>IF(A94="","",IFERROR(VLOOKUP(A94,DB_Customers!$A:$N,14,0),"❌ Acct Not Found"))</f>
        <v/>
      </c>
      <c r="D94" s="87" t="str">
        <f t="shared" ca="1" si="6"/>
        <v/>
      </c>
      <c r="E94" s="94"/>
      <c r="F94" s="41"/>
      <c r="G94" s="96" t="str">
        <f t="shared" si="7"/>
        <v/>
      </c>
      <c r="H94" s="43" t="s">
        <v>140</v>
      </c>
      <c r="I94" s="81"/>
      <c r="J94" s="89" t="str">
        <f>IF(AND(A94&lt;&gt;"",E94&lt;&gt;""),IF(I94="","⚠️ Enter Code",IF(IFERROR(VLOOKUP(H94,DB_Agents!$B:$I,8,0),"")=I94,IF(C94&gt;=E94,"Successful","Unsuccessful"),"🔒 BLOCKED — Wrong Code")),"Pending")</f>
        <v>Pending</v>
      </c>
      <c r="K94" s="90" t="str">
        <f t="shared" ca="1" si="8"/>
        <v>—</v>
      </c>
      <c r="L94" s="91"/>
    </row>
    <row r="95" spans="1:12" ht="15" customHeight="1" x14ac:dyDescent="0.25">
      <c r="A95" s="76"/>
      <c r="B95" s="37" t="str">
        <f>IF(A95="","",IFERROR(VLOOKUP(A95,DB_Customers!$A:$D,4,0),"❌ Account Not Found"))</f>
        <v/>
      </c>
      <c r="C95" s="77" t="str">
        <f>IF(A95="","",IFERROR(VLOOKUP(A95,DB_Customers!$A:$N,14,0),"❌ Acct Not Found"))</f>
        <v/>
      </c>
      <c r="D95" s="78" t="str">
        <f t="shared" ca="1" si="6"/>
        <v/>
      </c>
      <c r="E95" s="94"/>
      <c r="F95" s="37"/>
      <c r="G95" s="95" t="str">
        <f t="shared" si="7"/>
        <v/>
      </c>
      <c r="H95" s="39" t="s">
        <v>140</v>
      </c>
      <c r="I95" s="81"/>
      <c r="J95" s="82" t="str">
        <f>IF(AND(A95&lt;&gt;"",E95&lt;&gt;""),IF(I95="","⚠️ Enter Code",IF(IFERROR(VLOOKUP(H95,DB_Agents!$B:$I,8,0),"")=I95,IF(C95&gt;=E95,"Successful","Unsuccessful"),"🔒 BLOCKED — Wrong Code")),"Pending")</f>
        <v>Pending</v>
      </c>
      <c r="K95" s="83" t="str">
        <f t="shared" ca="1" si="8"/>
        <v>—</v>
      </c>
      <c r="L95" s="84"/>
    </row>
    <row r="96" spans="1:12" ht="15" customHeight="1" x14ac:dyDescent="0.25">
      <c r="A96" s="85"/>
      <c r="B96" s="41" t="str">
        <f>IF(A96="","",IFERROR(VLOOKUP(A96,DB_Customers!$A:$D,4,0),"❌ Account Not Found"))</f>
        <v/>
      </c>
      <c r="C96" s="86" t="str">
        <f>IF(A96="","",IFERROR(VLOOKUP(A96,DB_Customers!$A:$N,14,0),"❌ Acct Not Found"))</f>
        <v/>
      </c>
      <c r="D96" s="87" t="str">
        <f t="shared" ca="1" si="6"/>
        <v/>
      </c>
      <c r="E96" s="94"/>
      <c r="F96" s="41"/>
      <c r="G96" s="96" t="str">
        <f t="shared" si="7"/>
        <v/>
      </c>
      <c r="H96" s="43" t="s">
        <v>140</v>
      </c>
      <c r="I96" s="81"/>
      <c r="J96" s="89" t="str">
        <f>IF(AND(A96&lt;&gt;"",E96&lt;&gt;""),IF(I96="","⚠️ Enter Code",IF(IFERROR(VLOOKUP(H96,DB_Agents!$B:$I,8,0),"")=I96,IF(C96&gt;=E96,"Successful","Unsuccessful"),"🔒 BLOCKED — Wrong Code")),"Pending")</f>
        <v>Pending</v>
      </c>
      <c r="K96" s="90" t="str">
        <f t="shared" ca="1" si="8"/>
        <v>—</v>
      </c>
      <c r="L96" s="91"/>
    </row>
    <row r="97" spans="1:12" ht="15" customHeight="1" x14ac:dyDescent="0.25">
      <c r="A97" s="76"/>
      <c r="B97" s="37" t="str">
        <f>IF(A97="","",IFERROR(VLOOKUP(A97,DB_Customers!$A:$D,4,0),"❌ Account Not Found"))</f>
        <v/>
      </c>
      <c r="C97" s="77" t="str">
        <f>IF(A97="","",IFERROR(VLOOKUP(A97,DB_Customers!$A:$N,14,0),"❌ Acct Not Found"))</f>
        <v/>
      </c>
      <c r="D97" s="78" t="str">
        <f t="shared" ca="1" si="6"/>
        <v/>
      </c>
      <c r="E97" s="94"/>
      <c r="F97" s="37"/>
      <c r="G97" s="95" t="str">
        <f t="shared" si="7"/>
        <v/>
      </c>
      <c r="H97" s="39" t="s">
        <v>140</v>
      </c>
      <c r="I97" s="81"/>
      <c r="J97" s="82" t="str">
        <f>IF(AND(A97&lt;&gt;"",E97&lt;&gt;""),IF(I97="","⚠️ Enter Code",IF(IFERROR(VLOOKUP(H97,DB_Agents!$B:$I,8,0),"")=I97,IF(C97&gt;=E97,"Successful","Unsuccessful"),"🔒 BLOCKED — Wrong Code")),"Pending")</f>
        <v>Pending</v>
      </c>
      <c r="K97" s="83" t="str">
        <f t="shared" ca="1" si="8"/>
        <v>—</v>
      </c>
      <c r="L97" s="84"/>
    </row>
    <row r="98" spans="1:12" ht="15" customHeight="1" x14ac:dyDescent="0.25">
      <c r="A98" s="85"/>
      <c r="B98" s="41" t="str">
        <f>IF(A98="","",IFERROR(VLOOKUP(A98,DB_Customers!$A:$D,4,0),"❌ Account Not Found"))</f>
        <v/>
      </c>
      <c r="C98" s="86" t="str">
        <f>IF(A98="","",IFERROR(VLOOKUP(A98,DB_Customers!$A:$N,14,0),"❌ Acct Not Found"))</f>
        <v/>
      </c>
      <c r="D98" s="87" t="str">
        <f t="shared" ca="1" si="6"/>
        <v/>
      </c>
      <c r="E98" s="94"/>
      <c r="F98" s="41"/>
      <c r="G98" s="96" t="str">
        <f t="shared" si="7"/>
        <v/>
      </c>
      <c r="H98" s="43" t="s">
        <v>140</v>
      </c>
      <c r="I98" s="81"/>
      <c r="J98" s="89" t="str">
        <f>IF(AND(A98&lt;&gt;"",E98&lt;&gt;""),IF(I98="","⚠️ Enter Code",IF(IFERROR(VLOOKUP(H98,DB_Agents!$B:$I,8,0),"")=I98,IF(C98&gt;=E98,"Successful","Unsuccessful"),"🔒 BLOCKED — Wrong Code")),"Pending")</f>
        <v>Pending</v>
      </c>
      <c r="K98" s="90" t="str">
        <f t="shared" ca="1" si="8"/>
        <v>—</v>
      </c>
      <c r="L98" s="91"/>
    </row>
    <row r="99" spans="1:12" ht="15" customHeight="1" x14ac:dyDescent="0.25">
      <c r="A99" s="76"/>
      <c r="B99" s="37" t="str">
        <f>IF(A99="","",IFERROR(VLOOKUP(A99,DB_Customers!$A:$D,4,0),"❌ Account Not Found"))</f>
        <v/>
      </c>
      <c r="C99" s="77" t="str">
        <f>IF(A99="","",IFERROR(VLOOKUP(A99,DB_Customers!$A:$N,14,0),"❌ Acct Not Found"))</f>
        <v/>
      </c>
      <c r="D99" s="78" t="str">
        <f t="shared" ca="1" si="6"/>
        <v/>
      </c>
      <c r="E99" s="94"/>
      <c r="F99" s="37"/>
      <c r="G99" s="95" t="str">
        <f t="shared" si="7"/>
        <v/>
      </c>
      <c r="H99" s="39" t="s">
        <v>140</v>
      </c>
      <c r="I99" s="81"/>
      <c r="J99" s="82" t="str">
        <f>IF(AND(A99&lt;&gt;"",E99&lt;&gt;""),IF(I99="","⚠️ Enter Code",IF(IFERROR(VLOOKUP(H99,DB_Agents!$B:$I,8,0),"")=I99,IF(C99&gt;=E99,"Successful","Unsuccessful"),"🔒 BLOCKED — Wrong Code")),"Pending")</f>
        <v>Pending</v>
      </c>
      <c r="K99" s="83" t="str">
        <f t="shared" ca="1" si="8"/>
        <v>—</v>
      </c>
      <c r="L99" s="84"/>
    </row>
    <row r="100" spans="1:12" ht="15" customHeight="1" x14ac:dyDescent="0.25">
      <c r="A100" s="85"/>
      <c r="B100" s="41" t="str">
        <f>IF(A100="","",IFERROR(VLOOKUP(A100,DB_Customers!$A:$D,4,0),"❌ Account Not Found"))</f>
        <v/>
      </c>
      <c r="C100" s="86" t="str">
        <f>IF(A100="","",IFERROR(VLOOKUP(A100,DB_Customers!$A:$N,14,0),"❌ Acct Not Found"))</f>
        <v/>
      </c>
      <c r="D100" s="87" t="str">
        <f t="shared" ca="1" si="6"/>
        <v/>
      </c>
      <c r="E100" s="94"/>
      <c r="F100" s="41"/>
      <c r="G100" s="96" t="str">
        <f t="shared" si="7"/>
        <v/>
      </c>
      <c r="H100" s="43" t="s">
        <v>140</v>
      </c>
      <c r="I100" s="81"/>
      <c r="J100" s="89" t="str">
        <f>IF(AND(A100&lt;&gt;"",E100&lt;&gt;""),IF(I100="","⚠️ Enter Code",IF(IFERROR(VLOOKUP(H100,DB_Agents!$B:$I,8,0),"")=I100,IF(C100&gt;=E100,"Successful","Unsuccessful"),"🔒 BLOCKED — Wrong Code")),"Pending")</f>
        <v>Pending</v>
      </c>
      <c r="K100" s="90" t="str">
        <f t="shared" ca="1" si="8"/>
        <v>—</v>
      </c>
      <c r="L100" s="91"/>
    </row>
    <row r="101" spans="1:12" ht="15" customHeight="1" x14ac:dyDescent="0.25">
      <c r="A101" s="76"/>
      <c r="B101" s="37" t="str">
        <f>IF(A101="","",IFERROR(VLOOKUP(A101,DB_Customers!$A:$D,4,0),"❌ Account Not Found"))</f>
        <v/>
      </c>
      <c r="C101" s="77" t="str">
        <f>IF(A101="","",IFERROR(VLOOKUP(A101,DB_Customers!$A:$N,14,0),"❌ Acct Not Found"))</f>
        <v/>
      </c>
      <c r="D101" s="78" t="str">
        <f t="shared" ca="1" si="6"/>
        <v/>
      </c>
      <c r="E101" s="94"/>
      <c r="F101" s="37"/>
      <c r="G101" s="95" t="str">
        <f t="shared" si="7"/>
        <v/>
      </c>
      <c r="H101" s="39" t="s">
        <v>140</v>
      </c>
      <c r="I101" s="81"/>
      <c r="J101" s="82" t="str">
        <f>IF(AND(A101&lt;&gt;"",E101&lt;&gt;""),IF(I101="","⚠️ Enter Code",IF(IFERROR(VLOOKUP(H101,DB_Agents!$B:$I,8,0),"")=I101,IF(C101&gt;=E101,"Successful","Unsuccessful"),"🔒 BLOCKED — Wrong Code")),"Pending")</f>
        <v>Pending</v>
      </c>
      <c r="K101" s="83" t="str">
        <f t="shared" ca="1" si="8"/>
        <v>—</v>
      </c>
      <c r="L101" s="84"/>
    </row>
    <row r="102" spans="1:12" ht="15" customHeight="1" x14ac:dyDescent="0.25">
      <c r="A102" s="85"/>
      <c r="B102" s="41" t="str">
        <f>IF(A102="","",IFERROR(VLOOKUP(A102,DB_Customers!$A:$D,4,0),"❌ Account Not Found"))</f>
        <v/>
      </c>
      <c r="C102" s="86" t="str">
        <f>IF(A102="","",IFERROR(VLOOKUP(A102,DB_Customers!$A:$N,14,0),"❌ Acct Not Found"))</f>
        <v/>
      </c>
      <c r="D102" s="87" t="str">
        <f t="shared" ca="1" si="6"/>
        <v/>
      </c>
      <c r="E102" s="94"/>
      <c r="F102" s="41"/>
      <c r="G102" s="96" t="str">
        <f t="shared" si="7"/>
        <v/>
      </c>
      <c r="H102" s="43" t="s">
        <v>140</v>
      </c>
      <c r="I102" s="81"/>
      <c r="J102" s="89" t="str">
        <f>IF(AND(A102&lt;&gt;"",E102&lt;&gt;""),IF(I102="","⚠️ Enter Code",IF(IFERROR(VLOOKUP(H102,DB_Agents!$B:$I,8,0),"")=I102,IF(C102&gt;=E102,"Successful","Unsuccessful"),"🔒 BLOCKED — Wrong Code")),"Pending")</f>
        <v>Pending</v>
      </c>
      <c r="K102" s="90" t="str">
        <f t="shared" ca="1" si="8"/>
        <v>—</v>
      </c>
      <c r="L102" s="91"/>
    </row>
    <row r="103" spans="1:12" ht="15" customHeight="1" x14ac:dyDescent="0.25">
      <c r="A103" s="76"/>
      <c r="B103" s="37" t="str">
        <f>IF(A103="","",IFERROR(VLOOKUP(A103,DB_Customers!$A:$D,4,0),"❌ Account Not Found"))</f>
        <v/>
      </c>
      <c r="C103" s="77" t="str">
        <f>IF(A103="","",IFERROR(VLOOKUP(A103,DB_Customers!$A:$N,14,0),"❌ Acct Not Found"))</f>
        <v/>
      </c>
      <c r="D103" s="78" t="str">
        <f t="shared" ca="1" si="6"/>
        <v/>
      </c>
      <c r="E103" s="94"/>
      <c r="F103" s="37"/>
      <c r="G103" s="95" t="str">
        <f t="shared" si="7"/>
        <v/>
      </c>
      <c r="H103" s="39" t="s">
        <v>140</v>
      </c>
      <c r="I103" s="81"/>
      <c r="J103" s="82" t="str">
        <f>IF(AND(A103&lt;&gt;"",E103&lt;&gt;""),IF(I103="","⚠️ Enter Code",IF(IFERROR(VLOOKUP(H103,DB_Agents!$B:$I,8,0),"")=I103,IF(C103&gt;=E103,"Successful","Unsuccessful"),"🔒 BLOCKED — Wrong Code")),"Pending")</f>
        <v>Pending</v>
      </c>
      <c r="K103" s="83" t="str">
        <f t="shared" ca="1" si="8"/>
        <v>—</v>
      </c>
      <c r="L103" s="84"/>
    </row>
    <row r="104" spans="1:12" ht="15" customHeight="1" x14ac:dyDescent="0.25">
      <c r="A104" s="85"/>
      <c r="B104" s="41" t="str">
        <f>IF(A104="","",IFERROR(VLOOKUP(A104,DB_Customers!$A:$D,4,0),"❌ Account Not Found"))</f>
        <v/>
      </c>
      <c r="C104" s="86" t="str">
        <f>IF(A104="","",IFERROR(VLOOKUP(A104,DB_Customers!$A:$N,14,0),"❌ Acct Not Found"))</f>
        <v/>
      </c>
      <c r="D104" s="87" t="str">
        <f t="shared" ca="1" si="6"/>
        <v/>
      </c>
      <c r="E104" s="94"/>
      <c r="F104" s="41"/>
      <c r="G104" s="96" t="str">
        <f t="shared" si="7"/>
        <v/>
      </c>
      <c r="H104" s="43" t="s">
        <v>140</v>
      </c>
      <c r="I104" s="81"/>
      <c r="J104" s="89" t="str">
        <f>IF(AND(A104&lt;&gt;"",E104&lt;&gt;""),IF(I104="","⚠️ Enter Code",IF(IFERROR(VLOOKUP(H104,DB_Agents!$B:$I,8,0),"")=I104,IF(C104&gt;=E104,"Successful","Unsuccessful"),"🔒 BLOCKED — Wrong Code")),"Pending")</f>
        <v>Pending</v>
      </c>
      <c r="K104" s="90" t="str">
        <f t="shared" ca="1" si="8"/>
        <v>—</v>
      </c>
      <c r="L104" s="91"/>
    </row>
    <row r="105" spans="1:12" ht="15" customHeight="1" x14ac:dyDescent="0.25">
      <c r="A105" s="76"/>
      <c r="B105" s="37" t="str">
        <f>IF(A105="","",IFERROR(VLOOKUP(A105,DB_Customers!$A:$D,4,0),"❌ Account Not Found"))</f>
        <v/>
      </c>
      <c r="C105" s="77" t="str">
        <f>IF(A105="","",IFERROR(VLOOKUP(A105,DB_Customers!$A:$N,14,0),"❌ Acct Not Found"))</f>
        <v/>
      </c>
      <c r="D105" s="78" t="str">
        <f t="shared" ref="D105:D136" ca="1" si="9">IF(A105="","",TODAY())</f>
        <v/>
      </c>
      <c r="E105" s="94"/>
      <c r="F105" s="37"/>
      <c r="G105" s="95" t="str">
        <f t="shared" ref="G105:G136" si="10">IF(OR(A105="",E105=""),"",IF(C105="","",C105-E105))</f>
        <v/>
      </c>
      <c r="H105" s="39" t="s">
        <v>140</v>
      </c>
      <c r="I105" s="81"/>
      <c r="J105" s="82" t="str">
        <f>IF(AND(A105&lt;&gt;"",E105&lt;&gt;""),IF(I105="","⚠️ Enter Code",IF(IFERROR(VLOOKUP(H105,DB_Agents!$B:$I,8,0),"")=I105,IF(C105&gt;=E105,"Successful","Unsuccessful"),"🔒 BLOCKED — Wrong Code")),"Pending")</f>
        <v>Pending</v>
      </c>
      <c r="K105" s="83" t="str">
        <f t="shared" ref="K105:K136" ca="1" si="11">IF(J105="Successful",TEXT(TODAY(),"YYYY-MM-DD")&amp;" Auto","—")</f>
        <v>—</v>
      </c>
      <c r="L105" s="84"/>
    </row>
    <row r="106" spans="1:12" ht="15" customHeight="1" x14ac:dyDescent="0.25">
      <c r="A106" s="85"/>
      <c r="B106" s="41" t="str">
        <f>IF(A106="","",IFERROR(VLOOKUP(A106,DB_Customers!$A:$D,4,0),"❌ Account Not Found"))</f>
        <v/>
      </c>
      <c r="C106" s="86" t="str">
        <f>IF(A106="","",IFERROR(VLOOKUP(A106,DB_Customers!$A:$N,14,0),"❌ Acct Not Found"))</f>
        <v/>
      </c>
      <c r="D106" s="87" t="str">
        <f t="shared" ca="1" si="9"/>
        <v/>
      </c>
      <c r="E106" s="94"/>
      <c r="F106" s="41"/>
      <c r="G106" s="96" t="str">
        <f t="shared" si="10"/>
        <v/>
      </c>
      <c r="H106" s="43" t="s">
        <v>140</v>
      </c>
      <c r="I106" s="81"/>
      <c r="J106" s="89" t="str">
        <f>IF(AND(A106&lt;&gt;"",E106&lt;&gt;""),IF(I106="","⚠️ Enter Code",IF(IFERROR(VLOOKUP(H106,DB_Agents!$B:$I,8,0),"")=I106,IF(C106&gt;=E106,"Successful","Unsuccessful"),"🔒 BLOCKED — Wrong Code")),"Pending")</f>
        <v>Pending</v>
      </c>
      <c r="K106" s="90" t="str">
        <f t="shared" ca="1" si="11"/>
        <v>—</v>
      </c>
      <c r="L106" s="91"/>
    </row>
    <row r="107" spans="1:12" ht="15" customHeight="1" x14ac:dyDescent="0.25">
      <c r="A107" s="76"/>
      <c r="B107" s="37" t="str">
        <f>IF(A107="","",IFERROR(VLOOKUP(A107,DB_Customers!$A:$D,4,0),"❌ Account Not Found"))</f>
        <v/>
      </c>
      <c r="C107" s="77" t="str">
        <f>IF(A107="","",IFERROR(VLOOKUP(A107,DB_Customers!$A:$N,14,0),"❌ Acct Not Found"))</f>
        <v/>
      </c>
      <c r="D107" s="78" t="str">
        <f t="shared" ca="1" si="9"/>
        <v/>
      </c>
      <c r="E107" s="94"/>
      <c r="F107" s="37"/>
      <c r="G107" s="95" t="str">
        <f t="shared" si="10"/>
        <v/>
      </c>
      <c r="H107" s="39" t="s">
        <v>140</v>
      </c>
      <c r="I107" s="81"/>
      <c r="J107" s="82" t="str">
        <f>IF(AND(A107&lt;&gt;"",E107&lt;&gt;""),IF(I107="","⚠️ Enter Code",IF(IFERROR(VLOOKUP(H107,DB_Agents!$B:$I,8,0),"")=I107,IF(C107&gt;=E107,"Successful","Unsuccessful"),"🔒 BLOCKED — Wrong Code")),"Pending")</f>
        <v>Pending</v>
      </c>
      <c r="K107" s="83" t="str">
        <f t="shared" ca="1" si="11"/>
        <v>—</v>
      </c>
      <c r="L107" s="84"/>
    </row>
    <row r="108" spans="1:12" ht="15" customHeight="1" x14ac:dyDescent="0.25">
      <c r="A108" s="85"/>
      <c r="B108" s="41" t="str">
        <f>IF(A108="","",IFERROR(VLOOKUP(A108,DB_Customers!$A:$D,4,0),"❌ Account Not Found"))</f>
        <v/>
      </c>
      <c r="C108" s="86" t="str">
        <f>IF(A108="","",IFERROR(VLOOKUP(A108,DB_Customers!$A:$N,14,0),"❌ Acct Not Found"))</f>
        <v/>
      </c>
      <c r="D108" s="87" t="str">
        <f t="shared" ca="1" si="9"/>
        <v/>
      </c>
      <c r="E108" s="94"/>
      <c r="F108" s="41"/>
      <c r="G108" s="96" t="str">
        <f t="shared" si="10"/>
        <v/>
      </c>
      <c r="H108" s="43" t="s">
        <v>140</v>
      </c>
      <c r="I108" s="81"/>
      <c r="J108" s="89" t="str">
        <f>IF(AND(A108&lt;&gt;"",E108&lt;&gt;""),IF(I108="","⚠️ Enter Code",IF(IFERROR(VLOOKUP(H108,DB_Agents!$B:$I,8,0),"")=I108,IF(C108&gt;=E108,"Successful","Unsuccessful"),"🔒 BLOCKED — Wrong Code")),"Pending")</f>
        <v>Pending</v>
      </c>
      <c r="K108" s="90" t="str">
        <f t="shared" ca="1" si="11"/>
        <v>—</v>
      </c>
      <c r="L108" s="91"/>
    </row>
    <row r="109" spans="1:12" ht="15" customHeight="1" x14ac:dyDescent="0.25">
      <c r="A109" s="76"/>
      <c r="B109" s="37" t="str">
        <f>IF(A109="","",IFERROR(VLOOKUP(A109,DB_Customers!$A:$D,4,0),"❌ Account Not Found"))</f>
        <v/>
      </c>
      <c r="C109" s="77" t="str">
        <f>IF(A109="","",IFERROR(VLOOKUP(A109,DB_Customers!$A:$N,14,0),"❌ Acct Not Found"))</f>
        <v/>
      </c>
      <c r="D109" s="78" t="str">
        <f t="shared" ca="1" si="9"/>
        <v/>
      </c>
      <c r="E109" s="94"/>
      <c r="F109" s="37"/>
      <c r="G109" s="95" t="str">
        <f t="shared" si="10"/>
        <v/>
      </c>
      <c r="H109" s="39" t="s">
        <v>140</v>
      </c>
      <c r="I109" s="81"/>
      <c r="J109" s="82" t="str">
        <f>IF(AND(A109&lt;&gt;"",E109&lt;&gt;""),IF(I109="","⚠️ Enter Code",IF(IFERROR(VLOOKUP(H109,DB_Agents!$B:$I,8,0),"")=I109,IF(C109&gt;=E109,"Successful","Unsuccessful"),"🔒 BLOCKED — Wrong Code")),"Pending")</f>
        <v>Pending</v>
      </c>
      <c r="K109" s="83" t="str">
        <f t="shared" ca="1" si="11"/>
        <v>—</v>
      </c>
      <c r="L109" s="84"/>
    </row>
    <row r="110" spans="1:12" ht="15" customHeight="1" x14ac:dyDescent="0.25">
      <c r="A110" s="85"/>
      <c r="B110" s="41" t="str">
        <f>IF(A110="","",IFERROR(VLOOKUP(A110,DB_Customers!$A:$D,4,0),"❌ Account Not Found"))</f>
        <v/>
      </c>
      <c r="C110" s="86" t="str">
        <f>IF(A110="","",IFERROR(VLOOKUP(A110,DB_Customers!$A:$N,14,0),"❌ Acct Not Found"))</f>
        <v/>
      </c>
      <c r="D110" s="87" t="str">
        <f t="shared" ca="1" si="9"/>
        <v/>
      </c>
      <c r="E110" s="94"/>
      <c r="F110" s="41"/>
      <c r="G110" s="96" t="str">
        <f t="shared" si="10"/>
        <v/>
      </c>
      <c r="H110" s="43" t="s">
        <v>140</v>
      </c>
      <c r="I110" s="81"/>
      <c r="J110" s="89" t="str">
        <f>IF(AND(A110&lt;&gt;"",E110&lt;&gt;""),IF(I110="","⚠️ Enter Code",IF(IFERROR(VLOOKUP(H110,DB_Agents!$B:$I,8,0),"")=I110,IF(C110&gt;=E110,"Successful","Unsuccessful"),"🔒 BLOCKED — Wrong Code")),"Pending")</f>
        <v>Pending</v>
      </c>
      <c r="K110" s="90" t="str">
        <f t="shared" ca="1" si="11"/>
        <v>—</v>
      </c>
      <c r="L110" s="91"/>
    </row>
    <row r="111" spans="1:12" ht="15" customHeight="1" x14ac:dyDescent="0.25">
      <c r="A111" s="76"/>
      <c r="B111" s="37" t="str">
        <f>IF(A111="","",IFERROR(VLOOKUP(A111,DB_Customers!$A:$D,4,0),"❌ Account Not Found"))</f>
        <v/>
      </c>
      <c r="C111" s="77" t="str">
        <f>IF(A111="","",IFERROR(VLOOKUP(A111,DB_Customers!$A:$N,14,0),"❌ Acct Not Found"))</f>
        <v/>
      </c>
      <c r="D111" s="78" t="str">
        <f t="shared" ca="1" si="9"/>
        <v/>
      </c>
      <c r="E111" s="94"/>
      <c r="F111" s="37"/>
      <c r="G111" s="95" t="str">
        <f t="shared" si="10"/>
        <v/>
      </c>
      <c r="H111" s="39" t="s">
        <v>140</v>
      </c>
      <c r="I111" s="81"/>
      <c r="J111" s="82" t="str">
        <f>IF(AND(A111&lt;&gt;"",E111&lt;&gt;""),IF(I111="","⚠️ Enter Code",IF(IFERROR(VLOOKUP(H111,DB_Agents!$B:$I,8,0),"")=I111,IF(C111&gt;=E111,"Successful","Unsuccessful"),"🔒 BLOCKED — Wrong Code")),"Pending")</f>
        <v>Pending</v>
      </c>
      <c r="K111" s="83" t="str">
        <f t="shared" ca="1" si="11"/>
        <v>—</v>
      </c>
      <c r="L111" s="84"/>
    </row>
    <row r="112" spans="1:12" ht="15" customHeight="1" x14ac:dyDescent="0.25">
      <c r="A112" s="85"/>
      <c r="B112" s="41" t="str">
        <f>IF(A112="","",IFERROR(VLOOKUP(A112,DB_Customers!$A:$D,4,0),"❌ Account Not Found"))</f>
        <v/>
      </c>
      <c r="C112" s="86" t="str">
        <f>IF(A112="","",IFERROR(VLOOKUP(A112,DB_Customers!$A:$N,14,0),"❌ Acct Not Found"))</f>
        <v/>
      </c>
      <c r="D112" s="87" t="str">
        <f t="shared" ca="1" si="9"/>
        <v/>
      </c>
      <c r="E112" s="94"/>
      <c r="F112" s="41"/>
      <c r="G112" s="96" t="str">
        <f t="shared" si="10"/>
        <v/>
      </c>
      <c r="H112" s="43" t="s">
        <v>140</v>
      </c>
      <c r="I112" s="81"/>
      <c r="J112" s="89" t="str">
        <f>IF(AND(A112&lt;&gt;"",E112&lt;&gt;""),IF(I112="","⚠️ Enter Code",IF(IFERROR(VLOOKUP(H112,DB_Agents!$B:$I,8,0),"")=I112,IF(C112&gt;=E112,"Successful","Unsuccessful"),"🔒 BLOCKED — Wrong Code")),"Pending")</f>
        <v>Pending</v>
      </c>
      <c r="K112" s="90" t="str">
        <f t="shared" ca="1" si="11"/>
        <v>—</v>
      </c>
      <c r="L112" s="91"/>
    </row>
    <row r="113" spans="1:12" ht="15" customHeight="1" x14ac:dyDescent="0.25">
      <c r="A113" s="76"/>
      <c r="B113" s="37" t="str">
        <f>IF(A113="","",IFERROR(VLOOKUP(A113,DB_Customers!$A:$D,4,0),"❌ Account Not Found"))</f>
        <v/>
      </c>
      <c r="C113" s="77" t="str">
        <f>IF(A113="","",IFERROR(VLOOKUP(A113,DB_Customers!$A:$N,14,0),"❌ Acct Not Found"))</f>
        <v/>
      </c>
      <c r="D113" s="78" t="str">
        <f t="shared" ca="1" si="9"/>
        <v/>
      </c>
      <c r="E113" s="94"/>
      <c r="F113" s="37"/>
      <c r="G113" s="95" t="str">
        <f t="shared" si="10"/>
        <v/>
      </c>
      <c r="H113" s="39" t="s">
        <v>140</v>
      </c>
      <c r="I113" s="81"/>
      <c r="J113" s="82" t="str">
        <f>IF(AND(A113&lt;&gt;"",E113&lt;&gt;""),IF(I113="","⚠️ Enter Code",IF(IFERROR(VLOOKUP(H113,DB_Agents!$B:$I,8,0),"")=I113,IF(C113&gt;=E113,"Successful","Unsuccessful"),"🔒 BLOCKED — Wrong Code")),"Pending")</f>
        <v>Pending</v>
      </c>
      <c r="K113" s="83" t="str">
        <f t="shared" ca="1" si="11"/>
        <v>—</v>
      </c>
      <c r="L113" s="84"/>
    </row>
    <row r="114" spans="1:12" ht="15" customHeight="1" x14ac:dyDescent="0.25">
      <c r="A114" s="85"/>
      <c r="B114" s="41" t="str">
        <f>IF(A114="","",IFERROR(VLOOKUP(A114,DB_Customers!$A:$D,4,0),"❌ Account Not Found"))</f>
        <v/>
      </c>
      <c r="C114" s="86" t="str">
        <f>IF(A114="","",IFERROR(VLOOKUP(A114,DB_Customers!$A:$N,14,0),"❌ Acct Not Found"))</f>
        <v/>
      </c>
      <c r="D114" s="87" t="str">
        <f t="shared" ca="1" si="9"/>
        <v/>
      </c>
      <c r="E114" s="94"/>
      <c r="F114" s="41"/>
      <c r="G114" s="96" t="str">
        <f t="shared" si="10"/>
        <v/>
      </c>
      <c r="H114" s="43" t="s">
        <v>140</v>
      </c>
      <c r="I114" s="81"/>
      <c r="J114" s="89" t="str">
        <f>IF(AND(A114&lt;&gt;"",E114&lt;&gt;""),IF(I114="","⚠️ Enter Code",IF(IFERROR(VLOOKUP(H114,DB_Agents!$B:$I,8,0),"")=I114,IF(C114&gt;=E114,"Successful","Unsuccessful"),"🔒 BLOCKED — Wrong Code")),"Pending")</f>
        <v>Pending</v>
      </c>
      <c r="K114" s="90" t="str">
        <f t="shared" ca="1" si="11"/>
        <v>—</v>
      </c>
      <c r="L114" s="91"/>
    </row>
    <row r="115" spans="1:12" ht="15" customHeight="1" x14ac:dyDescent="0.25">
      <c r="A115" s="76"/>
      <c r="B115" s="37" t="str">
        <f>IF(A115="","",IFERROR(VLOOKUP(A115,DB_Customers!$A:$D,4,0),"❌ Account Not Found"))</f>
        <v/>
      </c>
      <c r="C115" s="77" t="str">
        <f>IF(A115="","",IFERROR(VLOOKUP(A115,DB_Customers!$A:$N,14,0),"❌ Acct Not Found"))</f>
        <v/>
      </c>
      <c r="D115" s="78" t="str">
        <f t="shared" ca="1" si="9"/>
        <v/>
      </c>
      <c r="E115" s="94"/>
      <c r="F115" s="37"/>
      <c r="G115" s="95" t="str">
        <f t="shared" si="10"/>
        <v/>
      </c>
      <c r="H115" s="39" t="s">
        <v>140</v>
      </c>
      <c r="I115" s="81"/>
      <c r="J115" s="82" t="str">
        <f>IF(AND(A115&lt;&gt;"",E115&lt;&gt;""),IF(I115="","⚠️ Enter Code",IF(IFERROR(VLOOKUP(H115,DB_Agents!$B:$I,8,0),"")=I115,IF(C115&gt;=E115,"Successful","Unsuccessful"),"🔒 BLOCKED — Wrong Code")),"Pending")</f>
        <v>Pending</v>
      </c>
      <c r="K115" s="83" t="str">
        <f t="shared" ca="1" si="11"/>
        <v>—</v>
      </c>
      <c r="L115" s="84"/>
    </row>
    <row r="116" spans="1:12" ht="15" customHeight="1" x14ac:dyDescent="0.25">
      <c r="A116" s="85"/>
      <c r="B116" s="41" t="str">
        <f>IF(A116="","",IFERROR(VLOOKUP(A116,DB_Customers!$A:$D,4,0),"❌ Account Not Found"))</f>
        <v/>
      </c>
      <c r="C116" s="86" t="str">
        <f>IF(A116="","",IFERROR(VLOOKUP(A116,DB_Customers!$A:$N,14,0),"❌ Acct Not Found"))</f>
        <v/>
      </c>
      <c r="D116" s="87" t="str">
        <f t="shared" ca="1" si="9"/>
        <v/>
      </c>
      <c r="E116" s="94"/>
      <c r="F116" s="41"/>
      <c r="G116" s="96" t="str">
        <f t="shared" si="10"/>
        <v/>
      </c>
      <c r="H116" s="43" t="s">
        <v>140</v>
      </c>
      <c r="I116" s="81"/>
      <c r="J116" s="89" t="str">
        <f>IF(AND(A116&lt;&gt;"",E116&lt;&gt;""),IF(I116="","⚠️ Enter Code",IF(IFERROR(VLOOKUP(H116,DB_Agents!$B:$I,8,0),"")=I116,IF(C116&gt;=E116,"Successful","Unsuccessful"),"🔒 BLOCKED — Wrong Code")),"Pending")</f>
        <v>Pending</v>
      </c>
      <c r="K116" s="90" t="str">
        <f t="shared" ca="1" si="11"/>
        <v>—</v>
      </c>
      <c r="L116" s="91"/>
    </row>
    <row r="117" spans="1:12" ht="15" customHeight="1" x14ac:dyDescent="0.25">
      <c r="A117" s="76"/>
      <c r="B117" s="37" t="str">
        <f>IF(A117="","",IFERROR(VLOOKUP(A117,DB_Customers!$A:$D,4,0),"❌ Account Not Found"))</f>
        <v/>
      </c>
      <c r="C117" s="77" t="str">
        <f>IF(A117="","",IFERROR(VLOOKUP(A117,DB_Customers!$A:$N,14,0),"❌ Acct Not Found"))</f>
        <v/>
      </c>
      <c r="D117" s="78" t="str">
        <f t="shared" ca="1" si="9"/>
        <v/>
      </c>
      <c r="E117" s="94"/>
      <c r="F117" s="37"/>
      <c r="G117" s="95" t="str">
        <f t="shared" si="10"/>
        <v/>
      </c>
      <c r="H117" s="39" t="s">
        <v>140</v>
      </c>
      <c r="I117" s="81"/>
      <c r="J117" s="82" t="str">
        <f>IF(AND(A117&lt;&gt;"",E117&lt;&gt;""),IF(I117="","⚠️ Enter Code",IF(IFERROR(VLOOKUP(H117,DB_Agents!$B:$I,8,0),"")=I117,IF(C117&gt;=E117,"Successful","Unsuccessful"),"🔒 BLOCKED — Wrong Code")),"Pending")</f>
        <v>Pending</v>
      </c>
      <c r="K117" s="83" t="str">
        <f t="shared" ca="1" si="11"/>
        <v>—</v>
      </c>
      <c r="L117" s="84"/>
    </row>
    <row r="118" spans="1:12" ht="15" customHeight="1" x14ac:dyDescent="0.25">
      <c r="A118" s="85"/>
      <c r="B118" s="41" t="str">
        <f>IF(A118="","",IFERROR(VLOOKUP(A118,DB_Customers!$A:$D,4,0),"❌ Account Not Found"))</f>
        <v/>
      </c>
      <c r="C118" s="86" t="str">
        <f>IF(A118="","",IFERROR(VLOOKUP(A118,DB_Customers!$A:$N,14,0),"❌ Acct Not Found"))</f>
        <v/>
      </c>
      <c r="D118" s="87" t="str">
        <f t="shared" ca="1" si="9"/>
        <v/>
      </c>
      <c r="E118" s="94"/>
      <c r="F118" s="41"/>
      <c r="G118" s="96" t="str">
        <f t="shared" si="10"/>
        <v/>
      </c>
      <c r="H118" s="43" t="s">
        <v>140</v>
      </c>
      <c r="I118" s="81"/>
      <c r="J118" s="89" t="str">
        <f>IF(AND(A118&lt;&gt;"",E118&lt;&gt;""),IF(I118="","⚠️ Enter Code",IF(IFERROR(VLOOKUP(H118,DB_Agents!$B:$I,8,0),"")=I118,IF(C118&gt;=E118,"Successful","Unsuccessful"),"🔒 BLOCKED — Wrong Code")),"Pending")</f>
        <v>Pending</v>
      </c>
      <c r="K118" s="90" t="str">
        <f t="shared" ca="1" si="11"/>
        <v>—</v>
      </c>
      <c r="L118" s="91"/>
    </row>
    <row r="119" spans="1:12" ht="15" customHeight="1" x14ac:dyDescent="0.25">
      <c r="A119" s="76"/>
      <c r="B119" s="37" t="str">
        <f>IF(A119="","",IFERROR(VLOOKUP(A119,DB_Customers!$A:$D,4,0),"❌ Account Not Found"))</f>
        <v/>
      </c>
      <c r="C119" s="77" t="str">
        <f>IF(A119="","",IFERROR(VLOOKUP(A119,DB_Customers!$A:$N,14,0),"❌ Acct Not Found"))</f>
        <v/>
      </c>
      <c r="D119" s="78" t="str">
        <f t="shared" ca="1" si="9"/>
        <v/>
      </c>
      <c r="E119" s="94"/>
      <c r="F119" s="37"/>
      <c r="G119" s="95" t="str">
        <f t="shared" si="10"/>
        <v/>
      </c>
      <c r="H119" s="39" t="s">
        <v>140</v>
      </c>
      <c r="I119" s="81"/>
      <c r="J119" s="82" t="str">
        <f>IF(AND(A119&lt;&gt;"",E119&lt;&gt;""),IF(I119="","⚠️ Enter Code",IF(IFERROR(VLOOKUP(H119,DB_Agents!$B:$I,8,0),"")=I119,IF(C119&gt;=E119,"Successful","Unsuccessful"),"🔒 BLOCKED — Wrong Code")),"Pending")</f>
        <v>Pending</v>
      </c>
      <c r="K119" s="83" t="str">
        <f t="shared" ca="1" si="11"/>
        <v>—</v>
      </c>
      <c r="L119" s="84"/>
    </row>
    <row r="120" spans="1:12" ht="15" customHeight="1" x14ac:dyDescent="0.25">
      <c r="A120" s="85"/>
      <c r="B120" s="41" t="str">
        <f>IF(A120="","",IFERROR(VLOOKUP(A120,DB_Customers!$A:$D,4,0),"❌ Account Not Found"))</f>
        <v/>
      </c>
      <c r="C120" s="86" t="str">
        <f>IF(A120="","",IFERROR(VLOOKUP(A120,DB_Customers!$A:$N,14,0),"❌ Acct Not Found"))</f>
        <v/>
      </c>
      <c r="D120" s="87" t="str">
        <f t="shared" ca="1" si="9"/>
        <v/>
      </c>
      <c r="E120" s="94"/>
      <c r="F120" s="41"/>
      <c r="G120" s="96" t="str">
        <f t="shared" si="10"/>
        <v/>
      </c>
      <c r="H120" s="43" t="s">
        <v>140</v>
      </c>
      <c r="I120" s="81"/>
      <c r="J120" s="89" t="str">
        <f>IF(AND(A120&lt;&gt;"",E120&lt;&gt;""),IF(I120="","⚠️ Enter Code",IF(IFERROR(VLOOKUP(H120,DB_Agents!$B:$I,8,0),"")=I120,IF(C120&gt;=E120,"Successful","Unsuccessful"),"🔒 BLOCKED — Wrong Code")),"Pending")</f>
        <v>Pending</v>
      </c>
      <c r="K120" s="90" t="str">
        <f t="shared" ca="1" si="11"/>
        <v>—</v>
      </c>
      <c r="L120" s="91"/>
    </row>
    <row r="121" spans="1:12" ht="15" customHeight="1" x14ac:dyDescent="0.25">
      <c r="A121" s="76"/>
      <c r="B121" s="37" t="str">
        <f>IF(A121="","",IFERROR(VLOOKUP(A121,DB_Customers!$A:$D,4,0),"❌ Account Not Found"))</f>
        <v/>
      </c>
      <c r="C121" s="77" t="str">
        <f>IF(A121="","",IFERROR(VLOOKUP(A121,DB_Customers!$A:$N,14,0),"❌ Acct Not Found"))</f>
        <v/>
      </c>
      <c r="D121" s="78" t="str">
        <f t="shared" ca="1" si="9"/>
        <v/>
      </c>
      <c r="E121" s="94"/>
      <c r="F121" s="37"/>
      <c r="G121" s="95" t="str">
        <f t="shared" si="10"/>
        <v/>
      </c>
      <c r="H121" s="39" t="s">
        <v>140</v>
      </c>
      <c r="I121" s="81"/>
      <c r="J121" s="82" t="str">
        <f>IF(AND(A121&lt;&gt;"",E121&lt;&gt;""),IF(I121="","⚠️ Enter Code",IF(IFERROR(VLOOKUP(H121,DB_Agents!$B:$I,8,0),"")=I121,IF(C121&gt;=E121,"Successful","Unsuccessful"),"🔒 BLOCKED — Wrong Code")),"Pending")</f>
        <v>Pending</v>
      </c>
      <c r="K121" s="83" t="str">
        <f t="shared" ca="1" si="11"/>
        <v>—</v>
      </c>
      <c r="L121" s="84"/>
    </row>
    <row r="122" spans="1:12" ht="15" customHeight="1" x14ac:dyDescent="0.25">
      <c r="A122" s="85"/>
      <c r="B122" s="41" t="str">
        <f>IF(A122="","",IFERROR(VLOOKUP(A122,DB_Customers!$A:$D,4,0),"❌ Account Not Found"))</f>
        <v/>
      </c>
      <c r="C122" s="86" t="str">
        <f>IF(A122="","",IFERROR(VLOOKUP(A122,DB_Customers!$A:$N,14,0),"❌ Acct Not Found"))</f>
        <v/>
      </c>
      <c r="D122" s="87" t="str">
        <f t="shared" ca="1" si="9"/>
        <v/>
      </c>
      <c r="E122" s="94"/>
      <c r="F122" s="41"/>
      <c r="G122" s="96" t="str">
        <f t="shared" si="10"/>
        <v/>
      </c>
      <c r="H122" s="43" t="s">
        <v>140</v>
      </c>
      <c r="I122" s="81"/>
      <c r="J122" s="89" t="str">
        <f>IF(AND(A122&lt;&gt;"",E122&lt;&gt;""),IF(I122="","⚠️ Enter Code",IF(IFERROR(VLOOKUP(H122,DB_Agents!$B:$I,8,0),"")=I122,IF(C122&gt;=E122,"Successful","Unsuccessful"),"🔒 BLOCKED — Wrong Code")),"Pending")</f>
        <v>Pending</v>
      </c>
      <c r="K122" s="90" t="str">
        <f t="shared" ca="1" si="11"/>
        <v>—</v>
      </c>
      <c r="L122" s="91"/>
    </row>
    <row r="123" spans="1:12" ht="15" customHeight="1" x14ac:dyDescent="0.25">
      <c r="A123" s="76"/>
      <c r="B123" s="37" t="str">
        <f>IF(A123="","",IFERROR(VLOOKUP(A123,DB_Customers!$A:$D,4,0),"❌ Account Not Found"))</f>
        <v/>
      </c>
      <c r="C123" s="77" t="str">
        <f>IF(A123="","",IFERROR(VLOOKUP(A123,DB_Customers!$A:$N,14,0),"❌ Acct Not Found"))</f>
        <v/>
      </c>
      <c r="D123" s="78" t="str">
        <f t="shared" ca="1" si="9"/>
        <v/>
      </c>
      <c r="E123" s="94"/>
      <c r="F123" s="37"/>
      <c r="G123" s="95" t="str">
        <f t="shared" si="10"/>
        <v/>
      </c>
      <c r="H123" s="39" t="s">
        <v>140</v>
      </c>
      <c r="I123" s="81"/>
      <c r="J123" s="82" t="str">
        <f>IF(AND(A123&lt;&gt;"",E123&lt;&gt;""),IF(I123="","⚠️ Enter Code",IF(IFERROR(VLOOKUP(H123,DB_Agents!$B:$I,8,0),"")=I123,IF(C123&gt;=E123,"Successful","Unsuccessful"),"🔒 BLOCKED — Wrong Code")),"Pending")</f>
        <v>Pending</v>
      </c>
      <c r="K123" s="83" t="str">
        <f t="shared" ca="1" si="11"/>
        <v>—</v>
      </c>
      <c r="L123" s="84"/>
    </row>
    <row r="124" spans="1:12" ht="15" customHeight="1" x14ac:dyDescent="0.25">
      <c r="A124" s="85"/>
      <c r="B124" s="41" t="str">
        <f>IF(A124="","",IFERROR(VLOOKUP(A124,DB_Customers!$A:$D,4,0),"❌ Account Not Found"))</f>
        <v/>
      </c>
      <c r="C124" s="86" t="str">
        <f>IF(A124="","",IFERROR(VLOOKUP(A124,DB_Customers!$A:$N,14,0),"❌ Acct Not Found"))</f>
        <v/>
      </c>
      <c r="D124" s="87" t="str">
        <f t="shared" ca="1" si="9"/>
        <v/>
      </c>
      <c r="E124" s="94"/>
      <c r="F124" s="41"/>
      <c r="G124" s="96" t="str">
        <f t="shared" si="10"/>
        <v/>
      </c>
      <c r="H124" s="43" t="s">
        <v>140</v>
      </c>
      <c r="I124" s="81"/>
      <c r="J124" s="89" t="str">
        <f>IF(AND(A124&lt;&gt;"",E124&lt;&gt;""),IF(I124="","⚠️ Enter Code",IF(IFERROR(VLOOKUP(H124,DB_Agents!$B:$I,8,0),"")=I124,IF(C124&gt;=E124,"Successful","Unsuccessful"),"🔒 BLOCKED — Wrong Code")),"Pending")</f>
        <v>Pending</v>
      </c>
      <c r="K124" s="90" t="str">
        <f t="shared" ca="1" si="11"/>
        <v>—</v>
      </c>
      <c r="L124" s="91"/>
    </row>
    <row r="125" spans="1:12" ht="15" customHeight="1" x14ac:dyDescent="0.25">
      <c r="A125" s="76"/>
      <c r="B125" s="37" t="str">
        <f>IF(A125="","",IFERROR(VLOOKUP(A125,DB_Customers!$A:$D,4,0),"❌ Account Not Found"))</f>
        <v/>
      </c>
      <c r="C125" s="77" t="str">
        <f>IF(A125="","",IFERROR(VLOOKUP(A125,DB_Customers!$A:$N,14,0),"❌ Acct Not Found"))</f>
        <v/>
      </c>
      <c r="D125" s="78" t="str">
        <f t="shared" ca="1" si="9"/>
        <v/>
      </c>
      <c r="E125" s="94"/>
      <c r="F125" s="37"/>
      <c r="G125" s="95" t="str">
        <f t="shared" si="10"/>
        <v/>
      </c>
      <c r="H125" s="39" t="s">
        <v>140</v>
      </c>
      <c r="I125" s="81"/>
      <c r="J125" s="82" t="str">
        <f>IF(AND(A125&lt;&gt;"",E125&lt;&gt;""),IF(I125="","⚠️ Enter Code",IF(IFERROR(VLOOKUP(H125,DB_Agents!$B:$I,8,0),"")=I125,IF(C125&gt;=E125,"Successful","Unsuccessful"),"🔒 BLOCKED — Wrong Code")),"Pending")</f>
        <v>Pending</v>
      </c>
      <c r="K125" s="83" t="str">
        <f t="shared" ca="1" si="11"/>
        <v>—</v>
      </c>
      <c r="L125" s="84"/>
    </row>
    <row r="126" spans="1:12" ht="15" customHeight="1" x14ac:dyDescent="0.25">
      <c r="A126" s="85"/>
      <c r="B126" s="41" t="str">
        <f>IF(A126="","",IFERROR(VLOOKUP(A126,DB_Customers!$A:$D,4,0),"❌ Account Not Found"))</f>
        <v/>
      </c>
      <c r="C126" s="86" t="str">
        <f>IF(A126="","",IFERROR(VLOOKUP(A126,DB_Customers!$A:$N,14,0),"❌ Acct Not Found"))</f>
        <v/>
      </c>
      <c r="D126" s="87" t="str">
        <f t="shared" ca="1" si="9"/>
        <v/>
      </c>
      <c r="E126" s="94"/>
      <c r="F126" s="41"/>
      <c r="G126" s="96" t="str">
        <f t="shared" si="10"/>
        <v/>
      </c>
      <c r="H126" s="43" t="s">
        <v>140</v>
      </c>
      <c r="I126" s="81"/>
      <c r="J126" s="89" t="str">
        <f>IF(AND(A126&lt;&gt;"",E126&lt;&gt;""),IF(I126="","⚠️ Enter Code",IF(IFERROR(VLOOKUP(H126,DB_Agents!$B:$I,8,0),"")=I126,IF(C126&gt;=E126,"Successful","Unsuccessful"),"🔒 BLOCKED — Wrong Code")),"Pending")</f>
        <v>Pending</v>
      </c>
      <c r="K126" s="90" t="str">
        <f t="shared" ca="1" si="11"/>
        <v>—</v>
      </c>
      <c r="L126" s="91"/>
    </row>
    <row r="127" spans="1:12" ht="15" customHeight="1" x14ac:dyDescent="0.25">
      <c r="A127" s="76"/>
      <c r="B127" s="37" t="str">
        <f>IF(A127="","",IFERROR(VLOOKUP(A127,DB_Customers!$A:$D,4,0),"❌ Account Not Found"))</f>
        <v/>
      </c>
      <c r="C127" s="77" t="str">
        <f>IF(A127="","",IFERROR(VLOOKUP(A127,DB_Customers!$A:$N,14,0),"❌ Acct Not Found"))</f>
        <v/>
      </c>
      <c r="D127" s="78" t="str">
        <f t="shared" ca="1" si="9"/>
        <v/>
      </c>
      <c r="E127" s="94"/>
      <c r="F127" s="37"/>
      <c r="G127" s="95" t="str">
        <f t="shared" si="10"/>
        <v/>
      </c>
      <c r="H127" s="39" t="s">
        <v>140</v>
      </c>
      <c r="I127" s="81"/>
      <c r="J127" s="82" t="str">
        <f>IF(AND(A127&lt;&gt;"",E127&lt;&gt;""),IF(I127="","⚠️ Enter Code",IF(IFERROR(VLOOKUP(H127,DB_Agents!$B:$I,8,0),"")=I127,IF(C127&gt;=E127,"Successful","Unsuccessful"),"🔒 BLOCKED — Wrong Code")),"Pending")</f>
        <v>Pending</v>
      </c>
      <c r="K127" s="83" t="str">
        <f t="shared" ca="1" si="11"/>
        <v>—</v>
      </c>
      <c r="L127" s="84"/>
    </row>
    <row r="128" spans="1:12" ht="15" customHeight="1" x14ac:dyDescent="0.25">
      <c r="A128" s="85"/>
      <c r="B128" s="41" t="str">
        <f>IF(A128="","",IFERROR(VLOOKUP(A128,DB_Customers!$A:$D,4,0),"❌ Account Not Found"))</f>
        <v/>
      </c>
      <c r="C128" s="86" t="str">
        <f>IF(A128="","",IFERROR(VLOOKUP(A128,DB_Customers!$A:$N,14,0),"❌ Acct Not Found"))</f>
        <v/>
      </c>
      <c r="D128" s="87" t="str">
        <f t="shared" ca="1" si="9"/>
        <v/>
      </c>
      <c r="E128" s="94"/>
      <c r="F128" s="41"/>
      <c r="G128" s="96" t="str">
        <f t="shared" si="10"/>
        <v/>
      </c>
      <c r="H128" s="43" t="s">
        <v>140</v>
      </c>
      <c r="I128" s="81"/>
      <c r="J128" s="89" t="str">
        <f>IF(AND(A128&lt;&gt;"",E128&lt;&gt;""),IF(I128="","⚠️ Enter Code",IF(IFERROR(VLOOKUP(H128,DB_Agents!$B:$I,8,0),"")=I128,IF(C128&gt;=E128,"Successful","Unsuccessful"),"🔒 BLOCKED — Wrong Code")),"Pending")</f>
        <v>Pending</v>
      </c>
      <c r="K128" s="90" t="str">
        <f t="shared" ca="1" si="11"/>
        <v>—</v>
      </c>
      <c r="L128" s="91"/>
    </row>
    <row r="129" spans="1:12" ht="15" customHeight="1" x14ac:dyDescent="0.25">
      <c r="A129" s="76"/>
      <c r="B129" s="37" t="str">
        <f>IF(A129="","",IFERROR(VLOOKUP(A129,DB_Customers!$A:$D,4,0),"❌ Account Not Found"))</f>
        <v/>
      </c>
      <c r="C129" s="77" t="str">
        <f>IF(A129="","",IFERROR(VLOOKUP(A129,DB_Customers!$A:$N,14,0),"❌ Acct Not Found"))</f>
        <v/>
      </c>
      <c r="D129" s="78" t="str">
        <f t="shared" ca="1" si="9"/>
        <v/>
      </c>
      <c r="E129" s="94"/>
      <c r="F129" s="37"/>
      <c r="G129" s="95" t="str">
        <f t="shared" si="10"/>
        <v/>
      </c>
      <c r="H129" s="39" t="s">
        <v>140</v>
      </c>
      <c r="I129" s="81"/>
      <c r="J129" s="82" t="str">
        <f>IF(AND(A129&lt;&gt;"",E129&lt;&gt;""),IF(I129="","⚠️ Enter Code",IF(IFERROR(VLOOKUP(H129,DB_Agents!$B:$I,8,0),"")=I129,IF(C129&gt;=E129,"Successful","Unsuccessful"),"🔒 BLOCKED — Wrong Code")),"Pending")</f>
        <v>Pending</v>
      </c>
      <c r="K129" s="83" t="str">
        <f t="shared" ca="1" si="11"/>
        <v>—</v>
      </c>
      <c r="L129" s="84"/>
    </row>
    <row r="130" spans="1:12" ht="15" customHeight="1" x14ac:dyDescent="0.25">
      <c r="A130" s="85"/>
      <c r="B130" s="41" t="str">
        <f>IF(A130="","",IFERROR(VLOOKUP(A130,DB_Customers!$A:$D,4,0),"❌ Account Not Found"))</f>
        <v/>
      </c>
      <c r="C130" s="86" t="str">
        <f>IF(A130="","",IFERROR(VLOOKUP(A130,DB_Customers!$A:$N,14,0),"❌ Acct Not Found"))</f>
        <v/>
      </c>
      <c r="D130" s="87" t="str">
        <f t="shared" ca="1" si="9"/>
        <v/>
      </c>
      <c r="E130" s="94"/>
      <c r="F130" s="41"/>
      <c r="G130" s="96" t="str">
        <f t="shared" si="10"/>
        <v/>
      </c>
      <c r="H130" s="43" t="s">
        <v>140</v>
      </c>
      <c r="I130" s="81"/>
      <c r="J130" s="89" t="str">
        <f>IF(AND(A130&lt;&gt;"",E130&lt;&gt;""),IF(I130="","⚠️ Enter Code",IF(IFERROR(VLOOKUP(H130,DB_Agents!$B:$I,8,0),"")=I130,IF(C130&gt;=E130,"Successful","Unsuccessful"),"🔒 BLOCKED — Wrong Code")),"Pending")</f>
        <v>Pending</v>
      </c>
      <c r="K130" s="90" t="str">
        <f t="shared" ca="1" si="11"/>
        <v>—</v>
      </c>
      <c r="L130" s="91"/>
    </row>
    <row r="131" spans="1:12" ht="15" customHeight="1" x14ac:dyDescent="0.25">
      <c r="A131" s="76"/>
      <c r="B131" s="37" t="str">
        <f>IF(A131="","",IFERROR(VLOOKUP(A131,DB_Customers!$A:$D,4,0),"❌ Account Not Found"))</f>
        <v/>
      </c>
      <c r="C131" s="77" t="str">
        <f>IF(A131="","",IFERROR(VLOOKUP(A131,DB_Customers!$A:$N,14,0),"❌ Acct Not Found"))</f>
        <v/>
      </c>
      <c r="D131" s="78" t="str">
        <f t="shared" ca="1" si="9"/>
        <v/>
      </c>
      <c r="E131" s="94"/>
      <c r="F131" s="37"/>
      <c r="G131" s="95" t="str">
        <f t="shared" si="10"/>
        <v/>
      </c>
      <c r="H131" s="39" t="s">
        <v>140</v>
      </c>
      <c r="I131" s="81"/>
      <c r="J131" s="82" t="str">
        <f>IF(AND(A131&lt;&gt;"",E131&lt;&gt;""),IF(I131="","⚠️ Enter Code",IF(IFERROR(VLOOKUP(H131,DB_Agents!$B:$I,8,0),"")=I131,IF(C131&gt;=E131,"Successful","Unsuccessful"),"🔒 BLOCKED — Wrong Code")),"Pending")</f>
        <v>Pending</v>
      </c>
      <c r="K131" s="83" t="str">
        <f t="shared" ca="1" si="11"/>
        <v>—</v>
      </c>
      <c r="L131" s="84"/>
    </row>
    <row r="132" spans="1:12" ht="15" customHeight="1" x14ac:dyDescent="0.25">
      <c r="A132" s="85"/>
      <c r="B132" s="41" t="str">
        <f>IF(A132="","",IFERROR(VLOOKUP(A132,DB_Customers!$A:$D,4,0),"❌ Account Not Found"))</f>
        <v/>
      </c>
      <c r="C132" s="86" t="str">
        <f>IF(A132="","",IFERROR(VLOOKUP(A132,DB_Customers!$A:$N,14,0),"❌ Acct Not Found"))</f>
        <v/>
      </c>
      <c r="D132" s="87" t="str">
        <f t="shared" ca="1" si="9"/>
        <v/>
      </c>
      <c r="E132" s="94"/>
      <c r="F132" s="41"/>
      <c r="G132" s="96" t="str">
        <f t="shared" si="10"/>
        <v/>
      </c>
      <c r="H132" s="43" t="s">
        <v>140</v>
      </c>
      <c r="I132" s="81"/>
      <c r="J132" s="89" t="str">
        <f>IF(AND(A132&lt;&gt;"",E132&lt;&gt;""),IF(I132="","⚠️ Enter Code",IF(IFERROR(VLOOKUP(H132,DB_Agents!$B:$I,8,0),"")=I132,IF(C132&gt;=E132,"Successful","Unsuccessful"),"🔒 BLOCKED — Wrong Code")),"Pending")</f>
        <v>Pending</v>
      </c>
      <c r="K132" s="90" t="str">
        <f t="shared" ca="1" si="11"/>
        <v>—</v>
      </c>
      <c r="L132" s="91"/>
    </row>
    <row r="133" spans="1:12" ht="15" customHeight="1" x14ac:dyDescent="0.25">
      <c r="A133" s="76"/>
      <c r="B133" s="37" t="str">
        <f>IF(A133="","",IFERROR(VLOOKUP(A133,DB_Customers!$A:$D,4,0),"❌ Account Not Found"))</f>
        <v/>
      </c>
      <c r="C133" s="77" t="str">
        <f>IF(A133="","",IFERROR(VLOOKUP(A133,DB_Customers!$A:$N,14,0),"❌ Acct Not Found"))</f>
        <v/>
      </c>
      <c r="D133" s="78" t="str">
        <f t="shared" ca="1" si="9"/>
        <v/>
      </c>
      <c r="E133" s="94"/>
      <c r="F133" s="37"/>
      <c r="G133" s="95" t="str">
        <f t="shared" si="10"/>
        <v/>
      </c>
      <c r="H133" s="39" t="s">
        <v>140</v>
      </c>
      <c r="I133" s="81"/>
      <c r="J133" s="82" t="str">
        <f>IF(AND(A133&lt;&gt;"",E133&lt;&gt;""),IF(I133="","⚠️ Enter Code",IF(IFERROR(VLOOKUP(H133,DB_Agents!$B:$I,8,0),"")=I133,IF(C133&gt;=E133,"Successful","Unsuccessful"),"🔒 BLOCKED — Wrong Code")),"Pending")</f>
        <v>Pending</v>
      </c>
      <c r="K133" s="83" t="str">
        <f t="shared" ca="1" si="11"/>
        <v>—</v>
      </c>
      <c r="L133" s="84"/>
    </row>
    <row r="134" spans="1:12" ht="15" customHeight="1" x14ac:dyDescent="0.25">
      <c r="A134" s="85"/>
      <c r="B134" s="41" t="str">
        <f>IF(A134="","",IFERROR(VLOOKUP(A134,DB_Customers!$A:$D,4,0),"❌ Account Not Found"))</f>
        <v/>
      </c>
      <c r="C134" s="86" t="str">
        <f>IF(A134="","",IFERROR(VLOOKUP(A134,DB_Customers!$A:$N,14,0),"❌ Acct Not Found"))</f>
        <v/>
      </c>
      <c r="D134" s="87" t="str">
        <f t="shared" ca="1" si="9"/>
        <v/>
      </c>
      <c r="E134" s="94"/>
      <c r="F134" s="41"/>
      <c r="G134" s="96" t="str">
        <f t="shared" si="10"/>
        <v/>
      </c>
      <c r="H134" s="43" t="s">
        <v>140</v>
      </c>
      <c r="I134" s="81"/>
      <c r="J134" s="89" t="str">
        <f>IF(AND(A134&lt;&gt;"",E134&lt;&gt;""),IF(I134="","⚠️ Enter Code",IF(IFERROR(VLOOKUP(H134,DB_Agents!$B:$I,8,0),"")=I134,IF(C134&gt;=E134,"Successful","Unsuccessful"),"🔒 BLOCKED — Wrong Code")),"Pending")</f>
        <v>Pending</v>
      </c>
      <c r="K134" s="90" t="str">
        <f t="shared" ca="1" si="11"/>
        <v>—</v>
      </c>
      <c r="L134" s="91"/>
    </row>
    <row r="135" spans="1:12" ht="15" customHeight="1" x14ac:dyDescent="0.25">
      <c r="A135" s="76"/>
      <c r="B135" s="37" t="str">
        <f>IF(A135="","",IFERROR(VLOOKUP(A135,DB_Customers!$A:$D,4,0),"❌ Account Not Found"))</f>
        <v/>
      </c>
      <c r="C135" s="77" t="str">
        <f>IF(A135="","",IFERROR(VLOOKUP(A135,DB_Customers!$A:$N,14,0),"❌ Acct Not Found"))</f>
        <v/>
      </c>
      <c r="D135" s="78" t="str">
        <f t="shared" ca="1" si="9"/>
        <v/>
      </c>
      <c r="E135" s="94"/>
      <c r="F135" s="37"/>
      <c r="G135" s="95" t="str">
        <f t="shared" si="10"/>
        <v/>
      </c>
      <c r="H135" s="39" t="s">
        <v>140</v>
      </c>
      <c r="I135" s="81"/>
      <c r="J135" s="82" t="str">
        <f>IF(AND(A135&lt;&gt;"",E135&lt;&gt;""),IF(I135="","⚠️ Enter Code",IF(IFERROR(VLOOKUP(H135,DB_Agents!$B:$I,8,0),"")=I135,IF(C135&gt;=E135,"Successful","Unsuccessful"),"🔒 BLOCKED — Wrong Code")),"Pending")</f>
        <v>Pending</v>
      </c>
      <c r="K135" s="83" t="str">
        <f t="shared" ca="1" si="11"/>
        <v>—</v>
      </c>
      <c r="L135" s="84"/>
    </row>
    <row r="136" spans="1:12" ht="15" customHeight="1" x14ac:dyDescent="0.25">
      <c r="A136" s="85"/>
      <c r="B136" s="41" t="str">
        <f>IF(A136="","",IFERROR(VLOOKUP(A136,DB_Customers!$A:$D,4,0),"❌ Account Not Found"))</f>
        <v/>
      </c>
      <c r="C136" s="86" t="str">
        <f>IF(A136="","",IFERROR(VLOOKUP(A136,DB_Customers!$A:$N,14,0),"❌ Acct Not Found"))</f>
        <v/>
      </c>
      <c r="D136" s="87" t="str">
        <f t="shared" ca="1" si="9"/>
        <v/>
      </c>
      <c r="E136" s="94"/>
      <c r="F136" s="41"/>
      <c r="G136" s="96" t="str">
        <f t="shared" si="10"/>
        <v/>
      </c>
      <c r="H136" s="43" t="s">
        <v>140</v>
      </c>
      <c r="I136" s="81"/>
      <c r="J136" s="89" t="str">
        <f>IF(AND(A136&lt;&gt;"",E136&lt;&gt;""),IF(I136="","⚠️ Enter Code",IF(IFERROR(VLOOKUP(H136,DB_Agents!$B:$I,8,0),"")=I136,IF(C136&gt;=E136,"Successful","Unsuccessful"),"🔒 BLOCKED — Wrong Code")),"Pending")</f>
        <v>Pending</v>
      </c>
      <c r="K136" s="90" t="str">
        <f t="shared" ca="1" si="11"/>
        <v>—</v>
      </c>
      <c r="L136" s="91"/>
    </row>
    <row r="137" spans="1:12" ht="15" customHeight="1" x14ac:dyDescent="0.25">
      <c r="A137" s="76"/>
      <c r="B137" s="37" t="str">
        <f>IF(A137="","",IFERROR(VLOOKUP(A137,DB_Customers!$A:$D,4,0),"❌ Account Not Found"))</f>
        <v/>
      </c>
      <c r="C137" s="77" t="str">
        <f>IF(A137="","",IFERROR(VLOOKUP(A137,DB_Customers!$A:$N,14,0),"❌ Acct Not Found"))</f>
        <v/>
      </c>
      <c r="D137" s="78" t="str">
        <f t="shared" ref="D137:D168" ca="1" si="12">IF(A137="","",TODAY())</f>
        <v/>
      </c>
      <c r="E137" s="94"/>
      <c r="F137" s="37"/>
      <c r="G137" s="95" t="str">
        <f t="shared" ref="G137:G168" si="13">IF(OR(A137="",E137=""),"",IF(C137="","",C137-E137))</f>
        <v/>
      </c>
      <c r="H137" s="39" t="s">
        <v>140</v>
      </c>
      <c r="I137" s="81"/>
      <c r="J137" s="82" t="str">
        <f>IF(AND(A137&lt;&gt;"",E137&lt;&gt;""),IF(I137="","⚠️ Enter Code",IF(IFERROR(VLOOKUP(H137,DB_Agents!$B:$I,8,0),"")=I137,IF(C137&gt;=E137,"Successful","Unsuccessful"),"🔒 BLOCKED — Wrong Code")),"Pending")</f>
        <v>Pending</v>
      </c>
      <c r="K137" s="83" t="str">
        <f t="shared" ref="K137:K168" ca="1" si="14">IF(J137="Successful",TEXT(TODAY(),"YYYY-MM-DD")&amp;" Auto","—")</f>
        <v>—</v>
      </c>
      <c r="L137" s="84"/>
    </row>
    <row r="138" spans="1:12" ht="15" customHeight="1" x14ac:dyDescent="0.25">
      <c r="A138" s="85"/>
      <c r="B138" s="41" t="str">
        <f>IF(A138="","",IFERROR(VLOOKUP(A138,DB_Customers!$A:$D,4,0),"❌ Account Not Found"))</f>
        <v/>
      </c>
      <c r="C138" s="86" t="str">
        <f>IF(A138="","",IFERROR(VLOOKUP(A138,DB_Customers!$A:$N,14,0),"❌ Acct Not Found"))</f>
        <v/>
      </c>
      <c r="D138" s="87" t="str">
        <f t="shared" ca="1" si="12"/>
        <v/>
      </c>
      <c r="E138" s="94"/>
      <c r="F138" s="41"/>
      <c r="G138" s="96" t="str">
        <f t="shared" si="13"/>
        <v/>
      </c>
      <c r="H138" s="43" t="s">
        <v>140</v>
      </c>
      <c r="I138" s="81"/>
      <c r="J138" s="89" t="str">
        <f>IF(AND(A138&lt;&gt;"",E138&lt;&gt;""),IF(I138="","⚠️ Enter Code",IF(IFERROR(VLOOKUP(H138,DB_Agents!$B:$I,8,0),"")=I138,IF(C138&gt;=E138,"Successful","Unsuccessful"),"🔒 BLOCKED — Wrong Code")),"Pending")</f>
        <v>Pending</v>
      </c>
      <c r="K138" s="90" t="str">
        <f t="shared" ca="1" si="14"/>
        <v>—</v>
      </c>
      <c r="L138" s="91"/>
    </row>
    <row r="139" spans="1:12" ht="15" customHeight="1" x14ac:dyDescent="0.25">
      <c r="A139" s="76"/>
      <c r="B139" s="37" t="str">
        <f>IF(A139="","",IFERROR(VLOOKUP(A139,DB_Customers!$A:$D,4,0),"❌ Account Not Found"))</f>
        <v/>
      </c>
      <c r="C139" s="77" t="str">
        <f>IF(A139="","",IFERROR(VLOOKUP(A139,DB_Customers!$A:$N,14,0),"❌ Acct Not Found"))</f>
        <v/>
      </c>
      <c r="D139" s="78" t="str">
        <f t="shared" ca="1" si="12"/>
        <v/>
      </c>
      <c r="E139" s="94"/>
      <c r="F139" s="37"/>
      <c r="G139" s="95" t="str">
        <f t="shared" si="13"/>
        <v/>
      </c>
      <c r="H139" s="39" t="s">
        <v>140</v>
      </c>
      <c r="I139" s="81"/>
      <c r="J139" s="82" t="str">
        <f>IF(AND(A139&lt;&gt;"",E139&lt;&gt;""),IF(I139="","⚠️ Enter Code",IF(IFERROR(VLOOKUP(H139,DB_Agents!$B:$I,8,0),"")=I139,IF(C139&gt;=E139,"Successful","Unsuccessful"),"🔒 BLOCKED — Wrong Code")),"Pending")</f>
        <v>Pending</v>
      </c>
      <c r="K139" s="83" t="str">
        <f t="shared" ca="1" si="14"/>
        <v>—</v>
      </c>
      <c r="L139" s="84"/>
    </row>
    <row r="140" spans="1:12" ht="15" customHeight="1" x14ac:dyDescent="0.25">
      <c r="A140" s="85"/>
      <c r="B140" s="41" t="str">
        <f>IF(A140="","",IFERROR(VLOOKUP(A140,DB_Customers!$A:$D,4,0),"❌ Account Not Found"))</f>
        <v/>
      </c>
      <c r="C140" s="86" t="str">
        <f>IF(A140="","",IFERROR(VLOOKUP(A140,DB_Customers!$A:$N,14,0),"❌ Acct Not Found"))</f>
        <v/>
      </c>
      <c r="D140" s="87" t="str">
        <f t="shared" ca="1" si="12"/>
        <v/>
      </c>
      <c r="E140" s="94"/>
      <c r="F140" s="41"/>
      <c r="G140" s="96" t="str">
        <f t="shared" si="13"/>
        <v/>
      </c>
      <c r="H140" s="43" t="s">
        <v>140</v>
      </c>
      <c r="I140" s="81"/>
      <c r="J140" s="89" t="str">
        <f>IF(AND(A140&lt;&gt;"",E140&lt;&gt;""),IF(I140="","⚠️ Enter Code",IF(IFERROR(VLOOKUP(H140,DB_Agents!$B:$I,8,0),"")=I140,IF(C140&gt;=E140,"Successful","Unsuccessful"),"🔒 BLOCKED — Wrong Code")),"Pending")</f>
        <v>Pending</v>
      </c>
      <c r="K140" s="90" t="str">
        <f t="shared" ca="1" si="14"/>
        <v>—</v>
      </c>
      <c r="L140" s="91"/>
    </row>
    <row r="141" spans="1:12" ht="15" customHeight="1" x14ac:dyDescent="0.25">
      <c r="A141" s="76"/>
      <c r="B141" s="37" t="str">
        <f>IF(A141="","",IFERROR(VLOOKUP(A141,DB_Customers!$A:$D,4,0),"❌ Account Not Found"))</f>
        <v/>
      </c>
      <c r="C141" s="77" t="str">
        <f>IF(A141="","",IFERROR(VLOOKUP(A141,DB_Customers!$A:$N,14,0),"❌ Acct Not Found"))</f>
        <v/>
      </c>
      <c r="D141" s="78" t="str">
        <f t="shared" ca="1" si="12"/>
        <v/>
      </c>
      <c r="E141" s="94"/>
      <c r="F141" s="37"/>
      <c r="G141" s="95" t="str">
        <f t="shared" si="13"/>
        <v/>
      </c>
      <c r="H141" s="39" t="s">
        <v>140</v>
      </c>
      <c r="I141" s="81"/>
      <c r="J141" s="82" t="str">
        <f>IF(AND(A141&lt;&gt;"",E141&lt;&gt;""),IF(I141="","⚠️ Enter Code",IF(IFERROR(VLOOKUP(H141,DB_Agents!$B:$I,8,0),"")=I141,IF(C141&gt;=E141,"Successful","Unsuccessful"),"🔒 BLOCKED — Wrong Code")),"Pending")</f>
        <v>Pending</v>
      </c>
      <c r="K141" s="83" t="str">
        <f t="shared" ca="1" si="14"/>
        <v>—</v>
      </c>
      <c r="L141" s="84"/>
    </row>
    <row r="142" spans="1:12" ht="15" customHeight="1" x14ac:dyDescent="0.25">
      <c r="A142" s="85"/>
      <c r="B142" s="41" t="str">
        <f>IF(A142="","",IFERROR(VLOOKUP(A142,DB_Customers!$A:$D,4,0),"❌ Account Not Found"))</f>
        <v/>
      </c>
      <c r="C142" s="86" t="str">
        <f>IF(A142="","",IFERROR(VLOOKUP(A142,DB_Customers!$A:$N,14,0),"❌ Acct Not Found"))</f>
        <v/>
      </c>
      <c r="D142" s="87" t="str">
        <f t="shared" ca="1" si="12"/>
        <v/>
      </c>
      <c r="E142" s="94"/>
      <c r="F142" s="41"/>
      <c r="G142" s="96" t="str">
        <f t="shared" si="13"/>
        <v/>
      </c>
      <c r="H142" s="43" t="s">
        <v>140</v>
      </c>
      <c r="I142" s="81"/>
      <c r="J142" s="89" t="str">
        <f>IF(AND(A142&lt;&gt;"",E142&lt;&gt;""),IF(I142="","⚠️ Enter Code",IF(IFERROR(VLOOKUP(H142,DB_Agents!$B:$I,8,0),"")=I142,IF(C142&gt;=E142,"Successful","Unsuccessful"),"🔒 BLOCKED — Wrong Code")),"Pending")</f>
        <v>Pending</v>
      </c>
      <c r="K142" s="90" t="str">
        <f t="shared" ca="1" si="14"/>
        <v>—</v>
      </c>
      <c r="L142" s="91"/>
    </row>
    <row r="143" spans="1:12" ht="15" customHeight="1" x14ac:dyDescent="0.25">
      <c r="A143" s="76"/>
      <c r="B143" s="37" t="str">
        <f>IF(A143="","",IFERROR(VLOOKUP(A143,DB_Customers!$A:$D,4,0),"❌ Account Not Found"))</f>
        <v/>
      </c>
      <c r="C143" s="77" t="str">
        <f>IF(A143="","",IFERROR(VLOOKUP(A143,DB_Customers!$A:$N,14,0),"❌ Acct Not Found"))</f>
        <v/>
      </c>
      <c r="D143" s="78" t="str">
        <f t="shared" ca="1" si="12"/>
        <v/>
      </c>
      <c r="E143" s="94"/>
      <c r="F143" s="37"/>
      <c r="G143" s="95" t="str">
        <f t="shared" si="13"/>
        <v/>
      </c>
      <c r="H143" s="39" t="s">
        <v>140</v>
      </c>
      <c r="I143" s="81"/>
      <c r="J143" s="82" t="str">
        <f>IF(AND(A143&lt;&gt;"",E143&lt;&gt;""),IF(I143="","⚠️ Enter Code",IF(IFERROR(VLOOKUP(H143,DB_Agents!$B:$I,8,0),"")=I143,IF(C143&gt;=E143,"Successful","Unsuccessful"),"🔒 BLOCKED — Wrong Code")),"Pending")</f>
        <v>Pending</v>
      </c>
      <c r="K143" s="83" t="str">
        <f t="shared" ca="1" si="14"/>
        <v>—</v>
      </c>
      <c r="L143" s="84"/>
    </row>
    <row r="144" spans="1:12" ht="15" customHeight="1" x14ac:dyDescent="0.25">
      <c r="A144" s="85"/>
      <c r="B144" s="41" t="str">
        <f>IF(A144="","",IFERROR(VLOOKUP(A144,DB_Customers!$A:$D,4,0),"❌ Account Not Found"))</f>
        <v/>
      </c>
      <c r="C144" s="86" t="str">
        <f>IF(A144="","",IFERROR(VLOOKUP(A144,DB_Customers!$A:$N,14,0),"❌ Acct Not Found"))</f>
        <v/>
      </c>
      <c r="D144" s="87" t="str">
        <f t="shared" ca="1" si="12"/>
        <v/>
      </c>
      <c r="E144" s="94"/>
      <c r="F144" s="41"/>
      <c r="G144" s="96" t="str">
        <f t="shared" si="13"/>
        <v/>
      </c>
      <c r="H144" s="43" t="s">
        <v>140</v>
      </c>
      <c r="I144" s="81"/>
      <c r="J144" s="89" t="str">
        <f>IF(AND(A144&lt;&gt;"",E144&lt;&gt;""),IF(I144="","⚠️ Enter Code",IF(IFERROR(VLOOKUP(H144,DB_Agents!$B:$I,8,0),"")=I144,IF(C144&gt;=E144,"Successful","Unsuccessful"),"🔒 BLOCKED — Wrong Code")),"Pending")</f>
        <v>Pending</v>
      </c>
      <c r="K144" s="90" t="str">
        <f t="shared" ca="1" si="14"/>
        <v>—</v>
      </c>
      <c r="L144" s="91"/>
    </row>
    <row r="145" spans="1:12" ht="15" customHeight="1" x14ac:dyDescent="0.25">
      <c r="A145" s="76"/>
      <c r="B145" s="37" t="str">
        <f>IF(A145="","",IFERROR(VLOOKUP(A145,DB_Customers!$A:$D,4,0),"❌ Account Not Found"))</f>
        <v/>
      </c>
      <c r="C145" s="77" t="str">
        <f>IF(A145="","",IFERROR(VLOOKUP(A145,DB_Customers!$A:$N,14,0),"❌ Acct Not Found"))</f>
        <v/>
      </c>
      <c r="D145" s="78" t="str">
        <f t="shared" ca="1" si="12"/>
        <v/>
      </c>
      <c r="E145" s="94"/>
      <c r="F145" s="37"/>
      <c r="G145" s="95" t="str">
        <f t="shared" si="13"/>
        <v/>
      </c>
      <c r="H145" s="39" t="s">
        <v>140</v>
      </c>
      <c r="I145" s="81"/>
      <c r="J145" s="82" t="str">
        <f>IF(AND(A145&lt;&gt;"",E145&lt;&gt;""),IF(I145="","⚠️ Enter Code",IF(IFERROR(VLOOKUP(H145,DB_Agents!$B:$I,8,0),"")=I145,IF(C145&gt;=E145,"Successful","Unsuccessful"),"🔒 BLOCKED — Wrong Code")),"Pending")</f>
        <v>Pending</v>
      </c>
      <c r="K145" s="83" t="str">
        <f t="shared" ca="1" si="14"/>
        <v>—</v>
      </c>
      <c r="L145" s="84"/>
    </row>
    <row r="146" spans="1:12" ht="15" customHeight="1" x14ac:dyDescent="0.25">
      <c r="A146" s="85"/>
      <c r="B146" s="41" t="str">
        <f>IF(A146="","",IFERROR(VLOOKUP(A146,DB_Customers!$A:$D,4,0),"❌ Account Not Found"))</f>
        <v/>
      </c>
      <c r="C146" s="86" t="str">
        <f>IF(A146="","",IFERROR(VLOOKUP(A146,DB_Customers!$A:$N,14,0),"❌ Acct Not Found"))</f>
        <v/>
      </c>
      <c r="D146" s="87" t="str">
        <f t="shared" ca="1" si="12"/>
        <v/>
      </c>
      <c r="E146" s="94"/>
      <c r="F146" s="41"/>
      <c r="G146" s="96" t="str">
        <f t="shared" si="13"/>
        <v/>
      </c>
      <c r="H146" s="43" t="s">
        <v>140</v>
      </c>
      <c r="I146" s="81"/>
      <c r="J146" s="89" t="str">
        <f>IF(AND(A146&lt;&gt;"",E146&lt;&gt;""),IF(I146="","⚠️ Enter Code",IF(IFERROR(VLOOKUP(H146,DB_Agents!$B:$I,8,0),"")=I146,IF(C146&gt;=E146,"Successful","Unsuccessful"),"🔒 BLOCKED — Wrong Code")),"Pending")</f>
        <v>Pending</v>
      </c>
      <c r="K146" s="90" t="str">
        <f t="shared" ca="1" si="14"/>
        <v>—</v>
      </c>
      <c r="L146" s="91"/>
    </row>
    <row r="147" spans="1:12" ht="15" customHeight="1" x14ac:dyDescent="0.25">
      <c r="A147" s="76"/>
      <c r="B147" s="37" t="str">
        <f>IF(A147="","",IFERROR(VLOOKUP(A147,DB_Customers!$A:$D,4,0),"❌ Account Not Found"))</f>
        <v/>
      </c>
      <c r="C147" s="77" t="str">
        <f>IF(A147="","",IFERROR(VLOOKUP(A147,DB_Customers!$A:$N,14,0),"❌ Acct Not Found"))</f>
        <v/>
      </c>
      <c r="D147" s="78" t="str">
        <f t="shared" ca="1" si="12"/>
        <v/>
      </c>
      <c r="E147" s="94"/>
      <c r="F147" s="37"/>
      <c r="G147" s="95" t="str">
        <f t="shared" si="13"/>
        <v/>
      </c>
      <c r="H147" s="39" t="s">
        <v>140</v>
      </c>
      <c r="I147" s="81"/>
      <c r="J147" s="82" t="str">
        <f>IF(AND(A147&lt;&gt;"",E147&lt;&gt;""),IF(I147="","⚠️ Enter Code",IF(IFERROR(VLOOKUP(H147,DB_Agents!$B:$I,8,0),"")=I147,IF(C147&gt;=E147,"Successful","Unsuccessful"),"🔒 BLOCKED — Wrong Code")),"Pending")</f>
        <v>Pending</v>
      </c>
      <c r="K147" s="83" t="str">
        <f t="shared" ca="1" si="14"/>
        <v>—</v>
      </c>
      <c r="L147" s="84"/>
    </row>
    <row r="148" spans="1:12" ht="15" customHeight="1" x14ac:dyDescent="0.25">
      <c r="A148" s="85"/>
      <c r="B148" s="41" t="str">
        <f>IF(A148="","",IFERROR(VLOOKUP(A148,DB_Customers!$A:$D,4,0),"❌ Account Not Found"))</f>
        <v/>
      </c>
      <c r="C148" s="86" t="str">
        <f>IF(A148="","",IFERROR(VLOOKUP(A148,DB_Customers!$A:$N,14,0),"❌ Acct Not Found"))</f>
        <v/>
      </c>
      <c r="D148" s="87" t="str">
        <f t="shared" ca="1" si="12"/>
        <v/>
      </c>
      <c r="E148" s="94"/>
      <c r="F148" s="41"/>
      <c r="G148" s="96" t="str">
        <f t="shared" si="13"/>
        <v/>
      </c>
      <c r="H148" s="43" t="s">
        <v>140</v>
      </c>
      <c r="I148" s="81"/>
      <c r="J148" s="89" t="str">
        <f>IF(AND(A148&lt;&gt;"",E148&lt;&gt;""),IF(I148="","⚠️ Enter Code",IF(IFERROR(VLOOKUP(H148,DB_Agents!$B:$I,8,0),"")=I148,IF(C148&gt;=E148,"Successful","Unsuccessful"),"🔒 BLOCKED — Wrong Code")),"Pending")</f>
        <v>Pending</v>
      </c>
      <c r="K148" s="90" t="str">
        <f t="shared" ca="1" si="14"/>
        <v>—</v>
      </c>
      <c r="L148" s="91"/>
    </row>
    <row r="149" spans="1:12" ht="15" customHeight="1" x14ac:dyDescent="0.25">
      <c r="A149" s="76"/>
      <c r="B149" s="37" t="str">
        <f>IF(A149="","",IFERROR(VLOOKUP(A149,DB_Customers!$A:$D,4,0),"❌ Account Not Found"))</f>
        <v/>
      </c>
      <c r="C149" s="77" t="str">
        <f>IF(A149="","",IFERROR(VLOOKUP(A149,DB_Customers!$A:$N,14,0),"❌ Acct Not Found"))</f>
        <v/>
      </c>
      <c r="D149" s="78" t="str">
        <f t="shared" ca="1" si="12"/>
        <v/>
      </c>
      <c r="E149" s="94"/>
      <c r="F149" s="37"/>
      <c r="G149" s="95" t="str">
        <f t="shared" si="13"/>
        <v/>
      </c>
      <c r="H149" s="39" t="s">
        <v>140</v>
      </c>
      <c r="I149" s="81"/>
      <c r="J149" s="82" t="str">
        <f>IF(AND(A149&lt;&gt;"",E149&lt;&gt;""),IF(I149="","⚠️ Enter Code",IF(IFERROR(VLOOKUP(H149,DB_Agents!$B:$I,8,0),"")=I149,IF(C149&gt;=E149,"Successful","Unsuccessful"),"🔒 BLOCKED — Wrong Code")),"Pending")</f>
        <v>Pending</v>
      </c>
      <c r="K149" s="83" t="str">
        <f t="shared" ca="1" si="14"/>
        <v>—</v>
      </c>
      <c r="L149" s="84"/>
    </row>
    <row r="150" spans="1:12" ht="15" customHeight="1" x14ac:dyDescent="0.25">
      <c r="A150" s="85"/>
      <c r="B150" s="41" t="str">
        <f>IF(A150="","",IFERROR(VLOOKUP(A150,DB_Customers!$A:$D,4,0),"❌ Account Not Found"))</f>
        <v/>
      </c>
      <c r="C150" s="86" t="str">
        <f>IF(A150="","",IFERROR(VLOOKUP(A150,DB_Customers!$A:$N,14,0),"❌ Acct Not Found"))</f>
        <v/>
      </c>
      <c r="D150" s="87" t="str">
        <f t="shared" ca="1" si="12"/>
        <v/>
      </c>
      <c r="E150" s="94"/>
      <c r="F150" s="41"/>
      <c r="G150" s="96" t="str">
        <f t="shared" si="13"/>
        <v/>
      </c>
      <c r="H150" s="43" t="s">
        <v>140</v>
      </c>
      <c r="I150" s="81"/>
      <c r="J150" s="89" t="str">
        <f>IF(AND(A150&lt;&gt;"",E150&lt;&gt;""),IF(I150="","⚠️ Enter Code",IF(IFERROR(VLOOKUP(H150,DB_Agents!$B:$I,8,0),"")=I150,IF(C150&gt;=E150,"Successful","Unsuccessful"),"🔒 BLOCKED — Wrong Code")),"Pending")</f>
        <v>Pending</v>
      </c>
      <c r="K150" s="90" t="str">
        <f t="shared" ca="1" si="14"/>
        <v>—</v>
      </c>
      <c r="L150" s="91"/>
    </row>
    <row r="151" spans="1:12" ht="15" customHeight="1" x14ac:dyDescent="0.25">
      <c r="A151" s="76"/>
      <c r="B151" s="37" t="str">
        <f>IF(A151="","",IFERROR(VLOOKUP(A151,DB_Customers!$A:$D,4,0),"❌ Account Not Found"))</f>
        <v/>
      </c>
      <c r="C151" s="77" t="str">
        <f>IF(A151="","",IFERROR(VLOOKUP(A151,DB_Customers!$A:$N,14,0),"❌ Acct Not Found"))</f>
        <v/>
      </c>
      <c r="D151" s="78" t="str">
        <f t="shared" ca="1" si="12"/>
        <v/>
      </c>
      <c r="E151" s="94"/>
      <c r="F151" s="37"/>
      <c r="G151" s="95" t="str">
        <f t="shared" si="13"/>
        <v/>
      </c>
      <c r="H151" s="39" t="s">
        <v>140</v>
      </c>
      <c r="I151" s="81"/>
      <c r="J151" s="82" t="str">
        <f>IF(AND(A151&lt;&gt;"",E151&lt;&gt;""),IF(I151="","⚠️ Enter Code",IF(IFERROR(VLOOKUP(H151,DB_Agents!$B:$I,8,0),"")=I151,IF(C151&gt;=E151,"Successful","Unsuccessful"),"🔒 BLOCKED — Wrong Code")),"Pending")</f>
        <v>Pending</v>
      </c>
      <c r="K151" s="83" t="str">
        <f t="shared" ca="1" si="14"/>
        <v>—</v>
      </c>
      <c r="L151" s="84"/>
    </row>
    <row r="152" spans="1:12" ht="15" customHeight="1" x14ac:dyDescent="0.25">
      <c r="A152" s="85"/>
      <c r="B152" s="41" t="str">
        <f>IF(A152="","",IFERROR(VLOOKUP(A152,DB_Customers!$A:$D,4,0),"❌ Account Not Found"))</f>
        <v/>
      </c>
      <c r="C152" s="86" t="str">
        <f>IF(A152="","",IFERROR(VLOOKUP(A152,DB_Customers!$A:$N,14,0),"❌ Acct Not Found"))</f>
        <v/>
      </c>
      <c r="D152" s="87" t="str">
        <f t="shared" ca="1" si="12"/>
        <v/>
      </c>
      <c r="E152" s="94"/>
      <c r="F152" s="41"/>
      <c r="G152" s="96" t="str">
        <f t="shared" si="13"/>
        <v/>
      </c>
      <c r="H152" s="43" t="s">
        <v>140</v>
      </c>
      <c r="I152" s="81"/>
      <c r="J152" s="89" t="str">
        <f>IF(AND(A152&lt;&gt;"",E152&lt;&gt;""),IF(I152="","⚠️ Enter Code",IF(IFERROR(VLOOKUP(H152,DB_Agents!$B:$I,8,0),"")=I152,IF(C152&gt;=E152,"Successful","Unsuccessful"),"🔒 BLOCKED — Wrong Code")),"Pending")</f>
        <v>Pending</v>
      </c>
      <c r="K152" s="90" t="str">
        <f t="shared" ca="1" si="14"/>
        <v>—</v>
      </c>
      <c r="L152" s="91"/>
    </row>
    <row r="153" spans="1:12" ht="15" customHeight="1" x14ac:dyDescent="0.25">
      <c r="A153" s="76"/>
      <c r="B153" s="37" t="str">
        <f>IF(A153="","",IFERROR(VLOOKUP(A153,DB_Customers!$A:$D,4,0),"❌ Account Not Found"))</f>
        <v/>
      </c>
      <c r="C153" s="77" t="str">
        <f>IF(A153="","",IFERROR(VLOOKUP(A153,DB_Customers!$A:$N,14,0),"❌ Acct Not Found"))</f>
        <v/>
      </c>
      <c r="D153" s="78" t="str">
        <f t="shared" ca="1" si="12"/>
        <v/>
      </c>
      <c r="E153" s="94"/>
      <c r="F153" s="37"/>
      <c r="G153" s="95" t="str">
        <f t="shared" si="13"/>
        <v/>
      </c>
      <c r="H153" s="39" t="s">
        <v>140</v>
      </c>
      <c r="I153" s="81"/>
      <c r="J153" s="82" t="str">
        <f>IF(AND(A153&lt;&gt;"",E153&lt;&gt;""),IF(I153="","⚠️ Enter Code",IF(IFERROR(VLOOKUP(H153,DB_Agents!$B:$I,8,0),"")=I153,IF(C153&gt;=E153,"Successful","Unsuccessful"),"🔒 BLOCKED — Wrong Code")),"Pending")</f>
        <v>Pending</v>
      </c>
      <c r="K153" s="83" t="str">
        <f t="shared" ca="1" si="14"/>
        <v>—</v>
      </c>
      <c r="L153" s="84"/>
    </row>
    <row r="154" spans="1:12" ht="15" customHeight="1" x14ac:dyDescent="0.25">
      <c r="A154" s="85"/>
      <c r="B154" s="41" t="str">
        <f>IF(A154="","",IFERROR(VLOOKUP(A154,DB_Customers!$A:$D,4,0),"❌ Account Not Found"))</f>
        <v/>
      </c>
      <c r="C154" s="86" t="str">
        <f>IF(A154="","",IFERROR(VLOOKUP(A154,DB_Customers!$A:$N,14,0),"❌ Acct Not Found"))</f>
        <v/>
      </c>
      <c r="D154" s="87" t="str">
        <f t="shared" ca="1" si="12"/>
        <v/>
      </c>
      <c r="E154" s="94"/>
      <c r="F154" s="41"/>
      <c r="G154" s="96" t="str">
        <f t="shared" si="13"/>
        <v/>
      </c>
      <c r="H154" s="43" t="s">
        <v>140</v>
      </c>
      <c r="I154" s="81"/>
      <c r="J154" s="89" t="str">
        <f>IF(AND(A154&lt;&gt;"",E154&lt;&gt;""),IF(I154="","⚠️ Enter Code",IF(IFERROR(VLOOKUP(H154,DB_Agents!$B:$I,8,0),"")=I154,IF(C154&gt;=E154,"Successful","Unsuccessful"),"🔒 BLOCKED — Wrong Code")),"Pending")</f>
        <v>Pending</v>
      </c>
      <c r="K154" s="90" t="str">
        <f t="shared" ca="1" si="14"/>
        <v>—</v>
      </c>
      <c r="L154" s="91"/>
    </row>
    <row r="155" spans="1:12" ht="15" customHeight="1" x14ac:dyDescent="0.25">
      <c r="A155" s="76"/>
      <c r="B155" s="37" t="str">
        <f>IF(A155="","",IFERROR(VLOOKUP(A155,DB_Customers!$A:$D,4,0),"❌ Account Not Found"))</f>
        <v/>
      </c>
      <c r="C155" s="77" t="str">
        <f>IF(A155="","",IFERROR(VLOOKUP(A155,DB_Customers!$A:$N,14,0),"❌ Acct Not Found"))</f>
        <v/>
      </c>
      <c r="D155" s="78" t="str">
        <f t="shared" ca="1" si="12"/>
        <v/>
      </c>
      <c r="E155" s="94"/>
      <c r="F155" s="37"/>
      <c r="G155" s="95" t="str">
        <f t="shared" si="13"/>
        <v/>
      </c>
      <c r="H155" s="39" t="s">
        <v>140</v>
      </c>
      <c r="I155" s="81"/>
      <c r="J155" s="82" t="str">
        <f>IF(AND(A155&lt;&gt;"",E155&lt;&gt;""),IF(I155="","⚠️ Enter Code",IF(IFERROR(VLOOKUP(H155,DB_Agents!$B:$I,8,0),"")=I155,IF(C155&gt;=E155,"Successful","Unsuccessful"),"🔒 BLOCKED — Wrong Code")),"Pending")</f>
        <v>Pending</v>
      </c>
      <c r="K155" s="83" t="str">
        <f t="shared" ca="1" si="14"/>
        <v>—</v>
      </c>
      <c r="L155" s="84"/>
    </row>
    <row r="156" spans="1:12" ht="15" customHeight="1" x14ac:dyDescent="0.25">
      <c r="A156" s="85"/>
      <c r="B156" s="41" t="str">
        <f>IF(A156="","",IFERROR(VLOOKUP(A156,DB_Customers!$A:$D,4,0),"❌ Account Not Found"))</f>
        <v/>
      </c>
      <c r="C156" s="86" t="str">
        <f>IF(A156="","",IFERROR(VLOOKUP(A156,DB_Customers!$A:$N,14,0),"❌ Acct Not Found"))</f>
        <v/>
      </c>
      <c r="D156" s="87" t="str">
        <f t="shared" ca="1" si="12"/>
        <v/>
      </c>
      <c r="E156" s="94"/>
      <c r="F156" s="41"/>
      <c r="G156" s="96" t="str">
        <f t="shared" si="13"/>
        <v/>
      </c>
      <c r="H156" s="43" t="s">
        <v>140</v>
      </c>
      <c r="I156" s="81"/>
      <c r="J156" s="89" t="str">
        <f>IF(AND(A156&lt;&gt;"",E156&lt;&gt;""),IF(I156="","⚠️ Enter Code",IF(IFERROR(VLOOKUP(H156,DB_Agents!$B:$I,8,0),"")=I156,IF(C156&gt;=E156,"Successful","Unsuccessful"),"🔒 BLOCKED — Wrong Code")),"Pending")</f>
        <v>Pending</v>
      </c>
      <c r="K156" s="90" t="str">
        <f t="shared" ca="1" si="14"/>
        <v>—</v>
      </c>
      <c r="L156" s="91"/>
    </row>
    <row r="157" spans="1:12" ht="15" customHeight="1" x14ac:dyDescent="0.25">
      <c r="A157" s="76"/>
      <c r="B157" s="37" t="str">
        <f>IF(A157="","",IFERROR(VLOOKUP(A157,DB_Customers!$A:$D,4,0),"❌ Account Not Found"))</f>
        <v/>
      </c>
      <c r="C157" s="77" t="str">
        <f>IF(A157="","",IFERROR(VLOOKUP(A157,DB_Customers!$A:$N,14,0),"❌ Acct Not Found"))</f>
        <v/>
      </c>
      <c r="D157" s="78" t="str">
        <f t="shared" ca="1" si="12"/>
        <v/>
      </c>
      <c r="E157" s="94"/>
      <c r="F157" s="37"/>
      <c r="G157" s="95" t="str">
        <f t="shared" si="13"/>
        <v/>
      </c>
      <c r="H157" s="39" t="s">
        <v>140</v>
      </c>
      <c r="I157" s="81"/>
      <c r="J157" s="82" t="str">
        <f>IF(AND(A157&lt;&gt;"",E157&lt;&gt;""),IF(I157="","⚠️ Enter Code",IF(IFERROR(VLOOKUP(H157,DB_Agents!$B:$I,8,0),"")=I157,IF(C157&gt;=E157,"Successful","Unsuccessful"),"🔒 BLOCKED — Wrong Code")),"Pending")</f>
        <v>Pending</v>
      </c>
      <c r="K157" s="83" t="str">
        <f t="shared" ca="1" si="14"/>
        <v>—</v>
      </c>
      <c r="L157" s="84"/>
    </row>
    <row r="158" spans="1:12" ht="15" customHeight="1" x14ac:dyDescent="0.25">
      <c r="A158" s="85"/>
      <c r="B158" s="41" t="str">
        <f>IF(A158="","",IFERROR(VLOOKUP(A158,DB_Customers!$A:$D,4,0),"❌ Account Not Found"))</f>
        <v/>
      </c>
      <c r="C158" s="86" t="str">
        <f>IF(A158="","",IFERROR(VLOOKUP(A158,DB_Customers!$A:$N,14,0),"❌ Acct Not Found"))</f>
        <v/>
      </c>
      <c r="D158" s="87" t="str">
        <f t="shared" ca="1" si="12"/>
        <v/>
      </c>
      <c r="E158" s="94"/>
      <c r="F158" s="41"/>
      <c r="G158" s="96" t="str">
        <f t="shared" si="13"/>
        <v/>
      </c>
      <c r="H158" s="43" t="s">
        <v>140</v>
      </c>
      <c r="I158" s="81"/>
      <c r="J158" s="89" t="str">
        <f>IF(AND(A158&lt;&gt;"",E158&lt;&gt;""),IF(I158="","⚠️ Enter Code",IF(IFERROR(VLOOKUP(H158,DB_Agents!$B:$I,8,0),"")=I158,IF(C158&gt;=E158,"Successful","Unsuccessful"),"🔒 BLOCKED — Wrong Code")),"Pending")</f>
        <v>Pending</v>
      </c>
      <c r="K158" s="90" t="str">
        <f t="shared" ca="1" si="14"/>
        <v>—</v>
      </c>
      <c r="L158" s="91"/>
    </row>
    <row r="159" spans="1:12" ht="15" customHeight="1" x14ac:dyDescent="0.25">
      <c r="A159" s="76"/>
      <c r="B159" s="37" t="str">
        <f>IF(A159="","",IFERROR(VLOOKUP(A159,DB_Customers!$A:$D,4,0),"❌ Account Not Found"))</f>
        <v/>
      </c>
      <c r="C159" s="77" t="str">
        <f>IF(A159="","",IFERROR(VLOOKUP(A159,DB_Customers!$A:$N,14,0),"❌ Acct Not Found"))</f>
        <v/>
      </c>
      <c r="D159" s="78" t="str">
        <f t="shared" ca="1" si="12"/>
        <v/>
      </c>
      <c r="E159" s="94"/>
      <c r="F159" s="37"/>
      <c r="G159" s="95" t="str">
        <f t="shared" si="13"/>
        <v/>
      </c>
      <c r="H159" s="39" t="s">
        <v>140</v>
      </c>
      <c r="I159" s="81"/>
      <c r="J159" s="82" t="str">
        <f>IF(AND(A159&lt;&gt;"",E159&lt;&gt;""),IF(I159="","⚠️ Enter Code",IF(IFERROR(VLOOKUP(H159,DB_Agents!$B:$I,8,0),"")=I159,IF(C159&gt;=E159,"Successful","Unsuccessful"),"🔒 BLOCKED — Wrong Code")),"Pending")</f>
        <v>Pending</v>
      </c>
      <c r="K159" s="83" t="str">
        <f t="shared" ca="1" si="14"/>
        <v>—</v>
      </c>
      <c r="L159" s="84"/>
    </row>
    <row r="160" spans="1:12" ht="15" customHeight="1" x14ac:dyDescent="0.25">
      <c r="A160" s="85"/>
      <c r="B160" s="41" t="str">
        <f>IF(A160="","",IFERROR(VLOOKUP(A160,DB_Customers!$A:$D,4,0),"❌ Account Not Found"))</f>
        <v/>
      </c>
      <c r="C160" s="86" t="str">
        <f>IF(A160="","",IFERROR(VLOOKUP(A160,DB_Customers!$A:$N,14,0),"❌ Acct Not Found"))</f>
        <v/>
      </c>
      <c r="D160" s="87" t="str">
        <f t="shared" ca="1" si="12"/>
        <v/>
      </c>
      <c r="E160" s="94"/>
      <c r="F160" s="41"/>
      <c r="G160" s="96" t="str">
        <f t="shared" si="13"/>
        <v/>
      </c>
      <c r="H160" s="43" t="s">
        <v>140</v>
      </c>
      <c r="I160" s="81"/>
      <c r="J160" s="89" t="str">
        <f>IF(AND(A160&lt;&gt;"",E160&lt;&gt;""),IF(I160="","⚠️ Enter Code",IF(IFERROR(VLOOKUP(H160,DB_Agents!$B:$I,8,0),"")=I160,IF(C160&gt;=E160,"Successful","Unsuccessful"),"🔒 BLOCKED — Wrong Code")),"Pending")</f>
        <v>Pending</v>
      </c>
      <c r="K160" s="90" t="str">
        <f t="shared" ca="1" si="14"/>
        <v>—</v>
      </c>
      <c r="L160" s="91"/>
    </row>
    <row r="161" spans="1:12" ht="15" customHeight="1" x14ac:dyDescent="0.25">
      <c r="A161" s="76"/>
      <c r="B161" s="37" t="str">
        <f>IF(A161="","",IFERROR(VLOOKUP(A161,DB_Customers!$A:$D,4,0),"❌ Account Not Found"))</f>
        <v/>
      </c>
      <c r="C161" s="77" t="str">
        <f>IF(A161="","",IFERROR(VLOOKUP(A161,DB_Customers!$A:$N,14,0),"❌ Acct Not Found"))</f>
        <v/>
      </c>
      <c r="D161" s="78" t="str">
        <f t="shared" ca="1" si="12"/>
        <v/>
      </c>
      <c r="E161" s="94"/>
      <c r="F161" s="37"/>
      <c r="G161" s="95" t="str">
        <f t="shared" si="13"/>
        <v/>
      </c>
      <c r="H161" s="39" t="s">
        <v>140</v>
      </c>
      <c r="I161" s="81"/>
      <c r="J161" s="82" t="str">
        <f>IF(AND(A161&lt;&gt;"",E161&lt;&gt;""),IF(I161="","⚠️ Enter Code",IF(IFERROR(VLOOKUP(H161,DB_Agents!$B:$I,8,0),"")=I161,IF(C161&gt;=E161,"Successful","Unsuccessful"),"🔒 BLOCKED — Wrong Code")),"Pending")</f>
        <v>Pending</v>
      </c>
      <c r="K161" s="83" t="str">
        <f t="shared" ca="1" si="14"/>
        <v>—</v>
      </c>
      <c r="L161" s="84"/>
    </row>
    <row r="162" spans="1:12" ht="15" customHeight="1" x14ac:dyDescent="0.25">
      <c r="A162" s="85"/>
      <c r="B162" s="41" t="str">
        <f>IF(A162="","",IFERROR(VLOOKUP(A162,DB_Customers!$A:$D,4,0),"❌ Account Not Found"))</f>
        <v/>
      </c>
      <c r="C162" s="86" t="str">
        <f>IF(A162="","",IFERROR(VLOOKUP(A162,DB_Customers!$A:$N,14,0),"❌ Acct Not Found"))</f>
        <v/>
      </c>
      <c r="D162" s="87" t="str">
        <f t="shared" ca="1" si="12"/>
        <v/>
      </c>
      <c r="E162" s="94"/>
      <c r="F162" s="41"/>
      <c r="G162" s="96" t="str">
        <f t="shared" si="13"/>
        <v/>
      </c>
      <c r="H162" s="43" t="s">
        <v>140</v>
      </c>
      <c r="I162" s="81"/>
      <c r="J162" s="89" t="str">
        <f>IF(AND(A162&lt;&gt;"",E162&lt;&gt;""),IF(I162="","⚠️ Enter Code",IF(IFERROR(VLOOKUP(H162,DB_Agents!$B:$I,8,0),"")=I162,IF(C162&gt;=E162,"Successful","Unsuccessful"),"🔒 BLOCKED — Wrong Code")),"Pending")</f>
        <v>Pending</v>
      </c>
      <c r="K162" s="90" t="str">
        <f t="shared" ca="1" si="14"/>
        <v>—</v>
      </c>
      <c r="L162" s="91"/>
    </row>
    <row r="163" spans="1:12" ht="15" customHeight="1" x14ac:dyDescent="0.25">
      <c r="A163" s="76"/>
      <c r="B163" s="37" t="str">
        <f>IF(A163="","",IFERROR(VLOOKUP(A163,DB_Customers!$A:$D,4,0),"❌ Account Not Found"))</f>
        <v/>
      </c>
      <c r="C163" s="77" t="str">
        <f>IF(A163="","",IFERROR(VLOOKUP(A163,DB_Customers!$A:$N,14,0),"❌ Acct Not Found"))</f>
        <v/>
      </c>
      <c r="D163" s="78" t="str">
        <f t="shared" ca="1" si="12"/>
        <v/>
      </c>
      <c r="E163" s="94"/>
      <c r="F163" s="37"/>
      <c r="G163" s="95" t="str">
        <f t="shared" si="13"/>
        <v/>
      </c>
      <c r="H163" s="39" t="s">
        <v>140</v>
      </c>
      <c r="I163" s="81"/>
      <c r="J163" s="82" t="str">
        <f>IF(AND(A163&lt;&gt;"",E163&lt;&gt;""),IF(I163="","⚠️ Enter Code",IF(IFERROR(VLOOKUP(H163,DB_Agents!$B:$I,8,0),"")=I163,IF(C163&gt;=E163,"Successful","Unsuccessful"),"🔒 BLOCKED — Wrong Code")),"Pending")</f>
        <v>Pending</v>
      </c>
      <c r="K163" s="83" t="str">
        <f t="shared" ca="1" si="14"/>
        <v>—</v>
      </c>
      <c r="L163" s="84"/>
    </row>
    <row r="164" spans="1:12" ht="15" customHeight="1" x14ac:dyDescent="0.25">
      <c r="A164" s="85"/>
      <c r="B164" s="41" t="str">
        <f>IF(A164="","",IFERROR(VLOOKUP(A164,DB_Customers!$A:$D,4,0),"❌ Account Not Found"))</f>
        <v/>
      </c>
      <c r="C164" s="86" t="str">
        <f>IF(A164="","",IFERROR(VLOOKUP(A164,DB_Customers!$A:$N,14,0),"❌ Acct Not Found"))</f>
        <v/>
      </c>
      <c r="D164" s="87" t="str">
        <f t="shared" ca="1" si="12"/>
        <v/>
      </c>
      <c r="E164" s="94"/>
      <c r="F164" s="41"/>
      <c r="G164" s="96" t="str">
        <f t="shared" si="13"/>
        <v/>
      </c>
      <c r="H164" s="43" t="s">
        <v>140</v>
      </c>
      <c r="I164" s="81"/>
      <c r="J164" s="89" t="str">
        <f>IF(AND(A164&lt;&gt;"",E164&lt;&gt;""),IF(I164="","⚠️ Enter Code",IF(IFERROR(VLOOKUP(H164,DB_Agents!$B:$I,8,0),"")=I164,IF(C164&gt;=E164,"Successful","Unsuccessful"),"🔒 BLOCKED — Wrong Code")),"Pending")</f>
        <v>Pending</v>
      </c>
      <c r="K164" s="90" t="str">
        <f t="shared" ca="1" si="14"/>
        <v>—</v>
      </c>
      <c r="L164" s="91"/>
    </row>
    <row r="165" spans="1:12" ht="15" customHeight="1" x14ac:dyDescent="0.25">
      <c r="A165" s="76"/>
      <c r="B165" s="37" t="str">
        <f>IF(A165="","",IFERROR(VLOOKUP(A165,DB_Customers!$A:$D,4,0),"❌ Account Not Found"))</f>
        <v/>
      </c>
      <c r="C165" s="77" t="str">
        <f>IF(A165="","",IFERROR(VLOOKUP(A165,DB_Customers!$A:$N,14,0),"❌ Acct Not Found"))</f>
        <v/>
      </c>
      <c r="D165" s="78" t="str">
        <f t="shared" ca="1" si="12"/>
        <v/>
      </c>
      <c r="E165" s="94"/>
      <c r="F165" s="37"/>
      <c r="G165" s="95" t="str">
        <f t="shared" si="13"/>
        <v/>
      </c>
      <c r="H165" s="39" t="s">
        <v>140</v>
      </c>
      <c r="I165" s="81"/>
      <c r="J165" s="82" t="str">
        <f>IF(AND(A165&lt;&gt;"",E165&lt;&gt;""),IF(I165="","⚠️ Enter Code",IF(IFERROR(VLOOKUP(H165,DB_Agents!$B:$I,8,0),"")=I165,IF(C165&gt;=E165,"Successful","Unsuccessful"),"🔒 BLOCKED — Wrong Code")),"Pending")</f>
        <v>Pending</v>
      </c>
      <c r="K165" s="83" t="str">
        <f t="shared" ca="1" si="14"/>
        <v>—</v>
      </c>
      <c r="L165" s="84"/>
    </row>
    <row r="166" spans="1:12" ht="15" customHeight="1" x14ac:dyDescent="0.25">
      <c r="A166" s="85"/>
      <c r="B166" s="41" t="str">
        <f>IF(A166="","",IFERROR(VLOOKUP(A166,DB_Customers!$A:$D,4,0),"❌ Account Not Found"))</f>
        <v/>
      </c>
      <c r="C166" s="86" t="str">
        <f>IF(A166="","",IFERROR(VLOOKUP(A166,DB_Customers!$A:$N,14,0),"❌ Acct Not Found"))</f>
        <v/>
      </c>
      <c r="D166" s="87" t="str">
        <f t="shared" ca="1" si="12"/>
        <v/>
      </c>
      <c r="E166" s="94"/>
      <c r="F166" s="41"/>
      <c r="G166" s="96" t="str">
        <f t="shared" si="13"/>
        <v/>
      </c>
      <c r="H166" s="43" t="s">
        <v>140</v>
      </c>
      <c r="I166" s="81"/>
      <c r="J166" s="89" t="str">
        <f>IF(AND(A166&lt;&gt;"",E166&lt;&gt;""),IF(I166="","⚠️ Enter Code",IF(IFERROR(VLOOKUP(H166,DB_Agents!$B:$I,8,0),"")=I166,IF(C166&gt;=E166,"Successful","Unsuccessful"),"🔒 BLOCKED — Wrong Code")),"Pending")</f>
        <v>Pending</v>
      </c>
      <c r="K166" s="90" t="str">
        <f t="shared" ca="1" si="14"/>
        <v>—</v>
      </c>
      <c r="L166" s="91"/>
    </row>
    <row r="167" spans="1:12" ht="15" customHeight="1" x14ac:dyDescent="0.25">
      <c r="A167" s="76"/>
      <c r="B167" s="37" t="str">
        <f>IF(A167="","",IFERROR(VLOOKUP(A167,DB_Customers!$A:$D,4,0),"❌ Account Not Found"))</f>
        <v/>
      </c>
      <c r="C167" s="77" t="str">
        <f>IF(A167="","",IFERROR(VLOOKUP(A167,DB_Customers!$A:$N,14,0),"❌ Acct Not Found"))</f>
        <v/>
      </c>
      <c r="D167" s="78" t="str">
        <f t="shared" ca="1" si="12"/>
        <v/>
      </c>
      <c r="E167" s="94"/>
      <c r="F167" s="37"/>
      <c r="G167" s="95" t="str">
        <f t="shared" si="13"/>
        <v/>
      </c>
      <c r="H167" s="39" t="s">
        <v>140</v>
      </c>
      <c r="I167" s="81"/>
      <c r="J167" s="82" t="str">
        <f>IF(AND(A167&lt;&gt;"",E167&lt;&gt;""),IF(I167="","⚠️ Enter Code",IF(IFERROR(VLOOKUP(H167,DB_Agents!$B:$I,8,0),"")=I167,IF(C167&gt;=E167,"Successful","Unsuccessful"),"🔒 BLOCKED — Wrong Code")),"Pending")</f>
        <v>Pending</v>
      </c>
      <c r="K167" s="83" t="str">
        <f t="shared" ca="1" si="14"/>
        <v>—</v>
      </c>
      <c r="L167" s="84"/>
    </row>
    <row r="168" spans="1:12" ht="15" customHeight="1" x14ac:dyDescent="0.25">
      <c r="A168" s="85"/>
      <c r="B168" s="41" t="str">
        <f>IF(A168="","",IFERROR(VLOOKUP(A168,DB_Customers!$A:$D,4,0),"❌ Account Not Found"))</f>
        <v/>
      </c>
      <c r="C168" s="86" t="str">
        <f>IF(A168="","",IFERROR(VLOOKUP(A168,DB_Customers!$A:$N,14,0),"❌ Acct Not Found"))</f>
        <v/>
      </c>
      <c r="D168" s="87" t="str">
        <f t="shared" ca="1" si="12"/>
        <v/>
      </c>
      <c r="E168" s="94"/>
      <c r="F168" s="41"/>
      <c r="G168" s="96" t="str">
        <f t="shared" si="13"/>
        <v/>
      </c>
      <c r="H168" s="43" t="s">
        <v>140</v>
      </c>
      <c r="I168" s="81"/>
      <c r="J168" s="89" t="str">
        <f>IF(AND(A168&lt;&gt;"",E168&lt;&gt;""),IF(I168="","⚠️ Enter Code",IF(IFERROR(VLOOKUP(H168,DB_Agents!$B:$I,8,0),"")=I168,IF(C168&gt;=E168,"Successful","Unsuccessful"),"🔒 BLOCKED — Wrong Code")),"Pending")</f>
        <v>Pending</v>
      </c>
      <c r="K168" s="90" t="str">
        <f t="shared" ca="1" si="14"/>
        <v>—</v>
      </c>
      <c r="L168" s="91"/>
    </row>
    <row r="169" spans="1:12" ht="15" customHeight="1" x14ac:dyDescent="0.25">
      <c r="A169" s="76"/>
      <c r="B169" s="37" t="str">
        <f>IF(A169="","",IFERROR(VLOOKUP(A169,DB_Customers!$A:$D,4,0),"❌ Account Not Found"))</f>
        <v/>
      </c>
      <c r="C169" s="77" t="str">
        <f>IF(A169="","",IFERROR(VLOOKUP(A169,DB_Customers!$A:$N,14,0),"❌ Acct Not Found"))</f>
        <v/>
      </c>
      <c r="D169" s="78" t="str">
        <f t="shared" ref="D169:D200" ca="1" si="15">IF(A169="","",TODAY())</f>
        <v/>
      </c>
      <c r="E169" s="94"/>
      <c r="F169" s="37"/>
      <c r="G169" s="95" t="str">
        <f t="shared" ref="G169:G200" si="16">IF(OR(A169="",E169=""),"",IF(C169="","",C169-E169))</f>
        <v/>
      </c>
      <c r="H169" s="39" t="s">
        <v>140</v>
      </c>
      <c r="I169" s="81"/>
      <c r="J169" s="82" t="str">
        <f>IF(AND(A169&lt;&gt;"",E169&lt;&gt;""),IF(I169="","⚠️ Enter Code",IF(IFERROR(VLOOKUP(H169,DB_Agents!$B:$I,8,0),"")=I169,IF(C169&gt;=E169,"Successful","Unsuccessful"),"🔒 BLOCKED — Wrong Code")),"Pending")</f>
        <v>Pending</v>
      </c>
      <c r="K169" s="83" t="str">
        <f t="shared" ref="K169:K200" ca="1" si="17">IF(J169="Successful",TEXT(TODAY(),"YYYY-MM-DD")&amp;" Auto","—")</f>
        <v>—</v>
      </c>
      <c r="L169" s="84"/>
    </row>
    <row r="170" spans="1:12" ht="15" customHeight="1" x14ac:dyDescent="0.25">
      <c r="A170" s="85"/>
      <c r="B170" s="41" t="str">
        <f>IF(A170="","",IFERROR(VLOOKUP(A170,DB_Customers!$A:$D,4,0),"❌ Account Not Found"))</f>
        <v/>
      </c>
      <c r="C170" s="86" t="str">
        <f>IF(A170="","",IFERROR(VLOOKUP(A170,DB_Customers!$A:$N,14,0),"❌ Acct Not Found"))</f>
        <v/>
      </c>
      <c r="D170" s="87" t="str">
        <f t="shared" ca="1" si="15"/>
        <v/>
      </c>
      <c r="E170" s="94"/>
      <c r="F170" s="41"/>
      <c r="G170" s="96" t="str">
        <f t="shared" si="16"/>
        <v/>
      </c>
      <c r="H170" s="43" t="s">
        <v>140</v>
      </c>
      <c r="I170" s="81"/>
      <c r="J170" s="89" t="str">
        <f>IF(AND(A170&lt;&gt;"",E170&lt;&gt;""),IF(I170="","⚠️ Enter Code",IF(IFERROR(VLOOKUP(H170,DB_Agents!$B:$I,8,0),"")=I170,IF(C170&gt;=E170,"Successful","Unsuccessful"),"🔒 BLOCKED — Wrong Code")),"Pending")</f>
        <v>Pending</v>
      </c>
      <c r="K170" s="90" t="str">
        <f t="shared" ca="1" si="17"/>
        <v>—</v>
      </c>
      <c r="L170" s="91"/>
    </row>
    <row r="171" spans="1:12" ht="15" customHeight="1" x14ac:dyDescent="0.25">
      <c r="A171" s="76"/>
      <c r="B171" s="37" t="str">
        <f>IF(A171="","",IFERROR(VLOOKUP(A171,DB_Customers!$A:$D,4,0),"❌ Account Not Found"))</f>
        <v/>
      </c>
      <c r="C171" s="77" t="str">
        <f>IF(A171="","",IFERROR(VLOOKUP(A171,DB_Customers!$A:$N,14,0),"❌ Acct Not Found"))</f>
        <v/>
      </c>
      <c r="D171" s="78" t="str">
        <f t="shared" ca="1" si="15"/>
        <v/>
      </c>
      <c r="E171" s="94"/>
      <c r="F171" s="37"/>
      <c r="G171" s="95" t="str">
        <f t="shared" si="16"/>
        <v/>
      </c>
      <c r="H171" s="39" t="s">
        <v>140</v>
      </c>
      <c r="I171" s="81"/>
      <c r="J171" s="82" t="str">
        <f>IF(AND(A171&lt;&gt;"",E171&lt;&gt;""),IF(I171="","⚠️ Enter Code",IF(IFERROR(VLOOKUP(H171,DB_Agents!$B:$I,8,0),"")=I171,IF(C171&gt;=E171,"Successful","Unsuccessful"),"🔒 BLOCKED — Wrong Code")),"Pending")</f>
        <v>Pending</v>
      </c>
      <c r="K171" s="83" t="str">
        <f t="shared" ca="1" si="17"/>
        <v>—</v>
      </c>
      <c r="L171" s="84"/>
    </row>
    <row r="172" spans="1:12" ht="15" customHeight="1" x14ac:dyDescent="0.25">
      <c r="A172" s="85"/>
      <c r="B172" s="41" t="str">
        <f>IF(A172="","",IFERROR(VLOOKUP(A172,DB_Customers!$A:$D,4,0),"❌ Account Not Found"))</f>
        <v/>
      </c>
      <c r="C172" s="86" t="str">
        <f>IF(A172="","",IFERROR(VLOOKUP(A172,DB_Customers!$A:$N,14,0),"❌ Acct Not Found"))</f>
        <v/>
      </c>
      <c r="D172" s="87" t="str">
        <f t="shared" ca="1" si="15"/>
        <v/>
      </c>
      <c r="E172" s="94"/>
      <c r="F172" s="41"/>
      <c r="G172" s="96" t="str">
        <f t="shared" si="16"/>
        <v/>
      </c>
      <c r="H172" s="43" t="s">
        <v>140</v>
      </c>
      <c r="I172" s="81"/>
      <c r="J172" s="89" t="str">
        <f>IF(AND(A172&lt;&gt;"",E172&lt;&gt;""),IF(I172="","⚠️ Enter Code",IF(IFERROR(VLOOKUP(H172,DB_Agents!$B:$I,8,0),"")=I172,IF(C172&gt;=E172,"Successful","Unsuccessful"),"🔒 BLOCKED — Wrong Code")),"Pending")</f>
        <v>Pending</v>
      </c>
      <c r="K172" s="90" t="str">
        <f t="shared" ca="1" si="17"/>
        <v>—</v>
      </c>
      <c r="L172" s="91"/>
    </row>
    <row r="173" spans="1:12" ht="15" customHeight="1" x14ac:dyDescent="0.25">
      <c r="A173" s="76"/>
      <c r="B173" s="37" t="str">
        <f>IF(A173="","",IFERROR(VLOOKUP(A173,DB_Customers!$A:$D,4,0),"❌ Account Not Found"))</f>
        <v/>
      </c>
      <c r="C173" s="77" t="str">
        <f>IF(A173="","",IFERROR(VLOOKUP(A173,DB_Customers!$A:$N,14,0),"❌ Acct Not Found"))</f>
        <v/>
      </c>
      <c r="D173" s="78" t="str">
        <f t="shared" ca="1" si="15"/>
        <v/>
      </c>
      <c r="E173" s="94"/>
      <c r="F173" s="37"/>
      <c r="G173" s="95" t="str">
        <f t="shared" si="16"/>
        <v/>
      </c>
      <c r="H173" s="39" t="s">
        <v>140</v>
      </c>
      <c r="I173" s="81"/>
      <c r="J173" s="82" t="str">
        <f>IF(AND(A173&lt;&gt;"",E173&lt;&gt;""),IF(I173="","⚠️ Enter Code",IF(IFERROR(VLOOKUP(H173,DB_Agents!$B:$I,8,0),"")=I173,IF(C173&gt;=E173,"Successful","Unsuccessful"),"🔒 BLOCKED — Wrong Code")),"Pending")</f>
        <v>Pending</v>
      </c>
      <c r="K173" s="83" t="str">
        <f t="shared" ca="1" si="17"/>
        <v>—</v>
      </c>
      <c r="L173" s="84"/>
    </row>
    <row r="174" spans="1:12" ht="15" customHeight="1" x14ac:dyDescent="0.25">
      <c r="A174" s="85"/>
      <c r="B174" s="41" t="str">
        <f>IF(A174="","",IFERROR(VLOOKUP(A174,DB_Customers!$A:$D,4,0),"❌ Account Not Found"))</f>
        <v/>
      </c>
      <c r="C174" s="86" t="str">
        <f>IF(A174="","",IFERROR(VLOOKUP(A174,DB_Customers!$A:$N,14,0),"❌ Acct Not Found"))</f>
        <v/>
      </c>
      <c r="D174" s="87" t="str">
        <f t="shared" ca="1" si="15"/>
        <v/>
      </c>
      <c r="E174" s="94"/>
      <c r="F174" s="41"/>
      <c r="G174" s="96" t="str">
        <f t="shared" si="16"/>
        <v/>
      </c>
      <c r="H174" s="43" t="s">
        <v>140</v>
      </c>
      <c r="I174" s="81"/>
      <c r="J174" s="89" t="str">
        <f>IF(AND(A174&lt;&gt;"",E174&lt;&gt;""),IF(I174="","⚠️ Enter Code",IF(IFERROR(VLOOKUP(H174,DB_Agents!$B:$I,8,0),"")=I174,IF(C174&gt;=E174,"Successful","Unsuccessful"),"🔒 BLOCKED — Wrong Code")),"Pending")</f>
        <v>Pending</v>
      </c>
      <c r="K174" s="90" t="str">
        <f t="shared" ca="1" si="17"/>
        <v>—</v>
      </c>
      <c r="L174" s="91"/>
    </row>
    <row r="175" spans="1:12" ht="15" customHeight="1" x14ac:dyDescent="0.25">
      <c r="A175" s="76"/>
      <c r="B175" s="37" t="str">
        <f>IF(A175="","",IFERROR(VLOOKUP(A175,DB_Customers!$A:$D,4,0),"❌ Account Not Found"))</f>
        <v/>
      </c>
      <c r="C175" s="77" t="str">
        <f>IF(A175="","",IFERROR(VLOOKUP(A175,DB_Customers!$A:$N,14,0),"❌ Acct Not Found"))</f>
        <v/>
      </c>
      <c r="D175" s="78" t="str">
        <f t="shared" ca="1" si="15"/>
        <v/>
      </c>
      <c r="E175" s="94"/>
      <c r="F175" s="37"/>
      <c r="G175" s="95" t="str">
        <f t="shared" si="16"/>
        <v/>
      </c>
      <c r="H175" s="39" t="s">
        <v>140</v>
      </c>
      <c r="I175" s="81"/>
      <c r="J175" s="82" t="str">
        <f>IF(AND(A175&lt;&gt;"",E175&lt;&gt;""),IF(I175="","⚠️ Enter Code",IF(IFERROR(VLOOKUP(H175,DB_Agents!$B:$I,8,0),"")=I175,IF(C175&gt;=E175,"Successful","Unsuccessful"),"🔒 BLOCKED — Wrong Code")),"Pending")</f>
        <v>Pending</v>
      </c>
      <c r="K175" s="83" t="str">
        <f t="shared" ca="1" si="17"/>
        <v>—</v>
      </c>
      <c r="L175" s="84"/>
    </row>
    <row r="176" spans="1:12" ht="15" customHeight="1" x14ac:dyDescent="0.25">
      <c r="A176" s="85"/>
      <c r="B176" s="41" t="str">
        <f>IF(A176="","",IFERROR(VLOOKUP(A176,DB_Customers!$A:$D,4,0),"❌ Account Not Found"))</f>
        <v/>
      </c>
      <c r="C176" s="86" t="str">
        <f>IF(A176="","",IFERROR(VLOOKUP(A176,DB_Customers!$A:$N,14,0),"❌ Acct Not Found"))</f>
        <v/>
      </c>
      <c r="D176" s="87" t="str">
        <f t="shared" ca="1" si="15"/>
        <v/>
      </c>
      <c r="E176" s="94"/>
      <c r="F176" s="41"/>
      <c r="G176" s="96" t="str">
        <f t="shared" si="16"/>
        <v/>
      </c>
      <c r="H176" s="43" t="s">
        <v>140</v>
      </c>
      <c r="I176" s="81"/>
      <c r="J176" s="89" t="str">
        <f>IF(AND(A176&lt;&gt;"",E176&lt;&gt;""),IF(I176="","⚠️ Enter Code",IF(IFERROR(VLOOKUP(H176,DB_Agents!$B:$I,8,0),"")=I176,IF(C176&gt;=E176,"Successful","Unsuccessful"),"🔒 BLOCKED — Wrong Code")),"Pending")</f>
        <v>Pending</v>
      </c>
      <c r="K176" s="90" t="str">
        <f t="shared" ca="1" si="17"/>
        <v>—</v>
      </c>
      <c r="L176" s="91"/>
    </row>
    <row r="177" spans="1:12" ht="15" customHeight="1" x14ac:dyDescent="0.25">
      <c r="A177" s="76"/>
      <c r="B177" s="37" t="str">
        <f>IF(A177="","",IFERROR(VLOOKUP(A177,DB_Customers!$A:$D,4,0),"❌ Account Not Found"))</f>
        <v/>
      </c>
      <c r="C177" s="77" t="str">
        <f>IF(A177="","",IFERROR(VLOOKUP(A177,DB_Customers!$A:$N,14,0),"❌ Acct Not Found"))</f>
        <v/>
      </c>
      <c r="D177" s="78" t="str">
        <f t="shared" ca="1" si="15"/>
        <v/>
      </c>
      <c r="E177" s="94"/>
      <c r="F177" s="37"/>
      <c r="G177" s="95" t="str">
        <f t="shared" si="16"/>
        <v/>
      </c>
      <c r="H177" s="39" t="s">
        <v>140</v>
      </c>
      <c r="I177" s="81"/>
      <c r="J177" s="82" t="str">
        <f>IF(AND(A177&lt;&gt;"",E177&lt;&gt;""),IF(I177="","⚠️ Enter Code",IF(IFERROR(VLOOKUP(H177,DB_Agents!$B:$I,8,0),"")=I177,IF(C177&gt;=E177,"Successful","Unsuccessful"),"🔒 BLOCKED — Wrong Code")),"Pending")</f>
        <v>Pending</v>
      </c>
      <c r="K177" s="83" t="str">
        <f t="shared" ca="1" si="17"/>
        <v>—</v>
      </c>
      <c r="L177" s="84"/>
    </row>
    <row r="178" spans="1:12" ht="15" customHeight="1" x14ac:dyDescent="0.25">
      <c r="A178" s="85"/>
      <c r="B178" s="41" t="str">
        <f>IF(A178="","",IFERROR(VLOOKUP(A178,DB_Customers!$A:$D,4,0),"❌ Account Not Found"))</f>
        <v/>
      </c>
      <c r="C178" s="86" t="str">
        <f>IF(A178="","",IFERROR(VLOOKUP(A178,DB_Customers!$A:$N,14,0),"❌ Acct Not Found"))</f>
        <v/>
      </c>
      <c r="D178" s="87" t="str">
        <f t="shared" ca="1" si="15"/>
        <v/>
      </c>
      <c r="E178" s="94"/>
      <c r="F178" s="41"/>
      <c r="G178" s="96" t="str">
        <f t="shared" si="16"/>
        <v/>
      </c>
      <c r="H178" s="43" t="s">
        <v>140</v>
      </c>
      <c r="I178" s="81"/>
      <c r="J178" s="89" t="str">
        <f>IF(AND(A178&lt;&gt;"",E178&lt;&gt;""),IF(I178="","⚠️ Enter Code",IF(IFERROR(VLOOKUP(H178,DB_Agents!$B:$I,8,0),"")=I178,IF(C178&gt;=E178,"Successful","Unsuccessful"),"🔒 BLOCKED — Wrong Code")),"Pending")</f>
        <v>Pending</v>
      </c>
      <c r="K178" s="90" t="str">
        <f t="shared" ca="1" si="17"/>
        <v>—</v>
      </c>
      <c r="L178" s="91"/>
    </row>
    <row r="179" spans="1:12" ht="15" customHeight="1" x14ac:dyDescent="0.25">
      <c r="A179" s="76"/>
      <c r="B179" s="37" t="str">
        <f>IF(A179="","",IFERROR(VLOOKUP(A179,DB_Customers!$A:$D,4,0),"❌ Account Not Found"))</f>
        <v/>
      </c>
      <c r="C179" s="77" t="str">
        <f>IF(A179="","",IFERROR(VLOOKUP(A179,DB_Customers!$A:$N,14,0),"❌ Acct Not Found"))</f>
        <v/>
      </c>
      <c r="D179" s="78" t="str">
        <f t="shared" ca="1" si="15"/>
        <v/>
      </c>
      <c r="E179" s="94"/>
      <c r="F179" s="37"/>
      <c r="G179" s="95" t="str">
        <f t="shared" si="16"/>
        <v/>
      </c>
      <c r="H179" s="39" t="s">
        <v>140</v>
      </c>
      <c r="I179" s="81"/>
      <c r="J179" s="82" t="str">
        <f>IF(AND(A179&lt;&gt;"",E179&lt;&gt;""),IF(I179="","⚠️ Enter Code",IF(IFERROR(VLOOKUP(H179,DB_Agents!$B:$I,8,0),"")=I179,IF(C179&gt;=E179,"Successful","Unsuccessful"),"🔒 BLOCKED — Wrong Code")),"Pending")</f>
        <v>Pending</v>
      </c>
      <c r="K179" s="83" t="str">
        <f t="shared" ca="1" si="17"/>
        <v>—</v>
      </c>
      <c r="L179" s="84"/>
    </row>
    <row r="180" spans="1:12" ht="15" customHeight="1" x14ac:dyDescent="0.25">
      <c r="A180" s="85"/>
      <c r="B180" s="41" t="str">
        <f>IF(A180="","",IFERROR(VLOOKUP(A180,DB_Customers!$A:$D,4,0),"❌ Account Not Found"))</f>
        <v/>
      </c>
      <c r="C180" s="86" t="str">
        <f>IF(A180="","",IFERROR(VLOOKUP(A180,DB_Customers!$A:$N,14,0),"❌ Acct Not Found"))</f>
        <v/>
      </c>
      <c r="D180" s="87" t="str">
        <f t="shared" ca="1" si="15"/>
        <v/>
      </c>
      <c r="E180" s="94"/>
      <c r="F180" s="41"/>
      <c r="G180" s="96" t="str">
        <f t="shared" si="16"/>
        <v/>
      </c>
      <c r="H180" s="43" t="s">
        <v>140</v>
      </c>
      <c r="I180" s="81"/>
      <c r="J180" s="89" t="str">
        <f>IF(AND(A180&lt;&gt;"",E180&lt;&gt;""),IF(I180="","⚠️ Enter Code",IF(IFERROR(VLOOKUP(H180,DB_Agents!$B:$I,8,0),"")=I180,IF(C180&gt;=E180,"Successful","Unsuccessful"),"🔒 BLOCKED — Wrong Code")),"Pending")</f>
        <v>Pending</v>
      </c>
      <c r="K180" s="90" t="str">
        <f t="shared" ca="1" si="17"/>
        <v>—</v>
      </c>
      <c r="L180" s="91"/>
    </row>
    <row r="181" spans="1:12" ht="15" customHeight="1" x14ac:dyDescent="0.25">
      <c r="A181" s="76"/>
      <c r="B181" s="37" t="str">
        <f>IF(A181="","",IFERROR(VLOOKUP(A181,DB_Customers!$A:$D,4,0),"❌ Account Not Found"))</f>
        <v/>
      </c>
      <c r="C181" s="77" t="str">
        <f>IF(A181="","",IFERROR(VLOOKUP(A181,DB_Customers!$A:$N,14,0),"❌ Acct Not Found"))</f>
        <v/>
      </c>
      <c r="D181" s="78" t="str">
        <f t="shared" ca="1" si="15"/>
        <v/>
      </c>
      <c r="E181" s="94"/>
      <c r="F181" s="37"/>
      <c r="G181" s="95" t="str">
        <f t="shared" si="16"/>
        <v/>
      </c>
      <c r="H181" s="39" t="s">
        <v>140</v>
      </c>
      <c r="I181" s="81"/>
      <c r="J181" s="82" t="str">
        <f>IF(AND(A181&lt;&gt;"",E181&lt;&gt;""),IF(I181="","⚠️ Enter Code",IF(IFERROR(VLOOKUP(H181,DB_Agents!$B:$I,8,0),"")=I181,IF(C181&gt;=E181,"Successful","Unsuccessful"),"🔒 BLOCKED — Wrong Code")),"Pending")</f>
        <v>Pending</v>
      </c>
      <c r="K181" s="83" t="str">
        <f t="shared" ca="1" si="17"/>
        <v>—</v>
      </c>
      <c r="L181" s="84"/>
    </row>
    <row r="182" spans="1:12" ht="15" customHeight="1" x14ac:dyDescent="0.25">
      <c r="A182" s="85"/>
      <c r="B182" s="41" t="str">
        <f>IF(A182="","",IFERROR(VLOOKUP(A182,DB_Customers!$A:$D,4,0),"❌ Account Not Found"))</f>
        <v/>
      </c>
      <c r="C182" s="86" t="str">
        <f>IF(A182="","",IFERROR(VLOOKUP(A182,DB_Customers!$A:$N,14,0),"❌ Acct Not Found"))</f>
        <v/>
      </c>
      <c r="D182" s="87" t="str">
        <f t="shared" ca="1" si="15"/>
        <v/>
      </c>
      <c r="E182" s="94"/>
      <c r="F182" s="41"/>
      <c r="G182" s="96" t="str">
        <f t="shared" si="16"/>
        <v/>
      </c>
      <c r="H182" s="43" t="s">
        <v>140</v>
      </c>
      <c r="I182" s="81"/>
      <c r="J182" s="89" t="str">
        <f>IF(AND(A182&lt;&gt;"",E182&lt;&gt;""),IF(I182="","⚠️ Enter Code",IF(IFERROR(VLOOKUP(H182,DB_Agents!$B:$I,8,0),"")=I182,IF(C182&gt;=E182,"Successful","Unsuccessful"),"🔒 BLOCKED — Wrong Code")),"Pending")</f>
        <v>Pending</v>
      </c>
      <c r="K182" s="90" t="str">
        <f t="shared" ca="1" si="17"/>
        <v>—</v>
      </c>
      <c r="L182" s="91"/>
    </row>
    <row r="183" spans="1:12" ht="15" customHeight="1" x14ac:dyDescent="0.25">
      <c r="A183" s="76"/>
      <c r="B183" s="37" t="str">
        <f>IF(A183="","",IFERROR(VLOOKUP(A183,DB_Customers!$A:$D,4,0),"❌ Account Not Found"))</f>
        <v/>
      </c>
      <c r="C183" s="77" t="str">
        <f>IF(A183="","",IFERROR(VLOOKUP(A183,DB_Customers!$A:$N,14,0),"❌ Acct Not Found"))</f>
        <v/>
      </c>
      <c r="D183" s="78" t="str">
        <f t="shared" ca="1" si="15"/>
        <v/>
      </c>
      <c r="E183" s="94"/>
      <c r="F183" s="37"/>
      <c r="G183" s="95" t="str">
        <f t="shared" si="16"/>
        <v/>
      </c>
      <c r="H183" s="39" t="s">
        <v>140</v>
      </c>
      <c r="I183" s="81"/>
      <c r="J183" s="82" t="str">
        <f>IF(AND(A183&lt;&gt;"",E183&lt;&gt;""),IF(I183="","⚠️ Enter Code",IF(IFERROR(VLOOKUP(H183,DB_Agents!$B:$I,8,0),"")=I183,IF(C183&gt;=E183,"Successful","Unsuccessful"),"🔒 BLOCKED — Wrong Code")),"Pending")</f>
        <v>Pending</v>
      </c>
      <c r="K183" s="83" t="str">
        <f t="shared" ca="1" si="17"/>
        <v>—</v>
      </c>
      <c r="L183" s="84"/>
    </row>
    <row r="184" spans="1:12" ht="15" customHeight="1" x14ac:dyDescent="0.25">
      <c r="A184" s="85"/>
      <c r="B184" s="41" t="str">
        <f>IF(A184="","",IFERROR(VLOOKUP(A184,DB_Customers!$A:$D,4,0),"❌ Account Not Found"))</f>
        <v/>
      </c>
      <c r="C184" s="86" t="str">
        <f>IF(A184="","",IFERROR(VLOOKUP(A184,DB_Customers!$A:$N,14,0),"❌ Acct Not Found"))</f>
        <v/>
      </c>
      <c r="D184" s="87" t="str">
        <f t="shared" ca="1" si="15"/>
        <v/>
      </c>
      <c r="E184" s="94"/>
      <c r="F184" s="41"/>
      <c r="G184" s="96" t="str">
        <f t="shared" si="16"/>
        <v/>
      </c>
      <c r="H184" s="43" t="s">
        <v>140</v>
      </c>
      <c r="I184" s="81"/>
      <c r="J184" s="89" t="str">
        <f>IF(AND(A184&lt;&gt;"",E184&lt;&gt;""),IF(I184="","⚠️ Enter Code",IF(IFERROR(VLOOKUP(H184,DB_Agents!$B:$I,8,0),"")=I184,IF(C184&gt;=E184,"Successful","Unsuccessful"),"🔒 BLOCKED — Wrong Code")),"Pending")</f>
        <v>Pending</v>
      </c>
      <c r="K184" s="90" t="str">
        <f t="shared" ca="1" si="17"/>
        <v>—</v>
      </c>
      <c r="L184" s="91"/>
    </row>
    <row r="185" spans="1:12" ht="15" customHeight="1" x14ac:dyDescent="0.25">
      <c r="A185" s="76"/>
      <c r="B185" s="37" t="str">
        <f>IF(A185="","",IFERROR(VLOOKUP(A185,DB_Customers!$A:$D,4,0),"❌ Account Not Found"))</f>
        <v/>
      </c>
      <c r="C185" s="77" t="str">
        <f>IF(A185="","",IFERROR(VLOOKUP(A185,DB_Customers!$A:$N,14,0),"❌ Acct Not Found"))</f>
        <v/>
      </c>
      <c r="D185" s="78" t="str">
        <f t="shared" ca="1" si="15"/>
        <v/>
      </c>
      <c r="E185" s="94"/>
      <c r="F185" s="37"/>
      <c r="G185" s="95" t="str">
        <f t="shared" si="16"/>
        <v/>
      </c>
      <c r="H185" s="39" t="s">
        <v>140</v>
      </c>
      <c r="I185" s="81"/>
      <c r="J185" s="82" t="str">
        <f>IF(AND(A185&lt;&gt;"",E185&lt;&gt;""),IF(I185="","⚠️ Enter Code",IF(IFERROR(VLOOKUP(H185,DB_Agents!$B:$I,8,0),"")=I185,IF(C185&gt;=E185,"Successful","Unsuccessful"),"🔒 BLOCKED — Wrong Code")),"Pending")</f>
        <v>Pending</v>
      </c>
      <c r="K185" s="83" t="str">
        <f t="shared" ca="1" si="17"/>
        <v>—</v>
      </c>
      <c r="L185" s="84"/>
    </row>
    <row r="186" spans="1:12" ht="15" customHeight="1" x14ac:dyDescent="0.25">
      <c r="A186" s="85"/>
      <c r="B186" s="41" t="str">
        <f>IF(A186="","",IFERROR(VLOOKUP(A186,DB_Customers!$A:$D,4,0),"❌ Account Not Found"))</f>
        <v/>
      </c>
      <c r="C186" s="86" t="str">
        <f>IF(A186="","",IFERROR(VLOOKUP(A186,DB_Customers!$A:$N,14,0),"❌ Acct Not Found"))</f>
        <v/>
      </c>
      <c r="D186" s="87" t="str">
        <f t="shared" ca="1" si="15"/>
        <v/>
      </c>
      <c r="E186" s="94"/>
      <c r="F186" s="41"/>
      <c r="G186" s="96" t="str">
        <f t="shared" si="16"/>
        <v/>
      </c>
      <c r="H186" s="43" t="s">
        <v>140</v>
      </c>
      <c r="I186" s="81"/>
      <c r="J186" s="89" t="str">
        <f>IF(AND(A186&lt;&gt;"",E186&lt;&gt;""),IF(I186="","⚠️ Enter Code",IF(IFERROR(VLOOKUP(H186,DB_Agents!$B:$I,8,0),"")=I186,IF(C186&gt;=E186,"Successful","Unsuccessful"),"🔒 BLOCKED — Wrong Code")),"Pending")</f>
        <v>Pending</v>
      </c>
      <c r="K186" s="90" t="str">
        <f t="shared" ca="1" si="17"/>
        <v>—</v>
      </c>
      <c r="L186" s="91"/>
    </row>
    <row r="187" spans="1:12" ht="15" customHeight="1" x14ac:dyDescent="0.25">
      <c r="A187" s="76"/>
      <c r="B187" s="37" t="str">
        <f>IF(A187="","",IFERROR(VLOOKUP(A187,DB_Customers!$A:$D,4,0),"❌ Account Not Found"))</f>
        <v/>
      </c>
      <c r="C187" s="77" t="str">
        <f>IF(A187="","",IFERROR(VLOOKUP(A187,DB_Customers!$A:$N,14,0),"❌ Acct Not Found"))</f>
        <v/>
      </c>
      <c r="D187" s="78" t="str">
        <f t="shared" ca="1" si="15"/>
        <v/>
      </c>
      <c r="E187" s="94"/>
      <c r="F187" s="37"/>
      <c r="G187" s="95" t="str">
        <f t="shared" si="16"/>
        <v/>
      </c>
      <c r="H187" s="39" t="s">
        <v>140</v>
      </c>
      <c r="I187" s="81"/>
      <c r="J187" s="82" t="str">
        <f>IF(AND(A187&lt;&gt;"",E187&lt;&gt;""),IF(I187="","⚠️ Enter Code",IF(IFERROR(VLOOKUP(H187,DB_Agents!$B:$I,8,0),"")=I187,IF(C187&gt;=E187,"Successful","Unsuccessful"),"🔒 BLOCKED — Wrong Code")),"Pending")</f>
        <v>Pending</v>
      </c>
      <c r="K187" s="83" t="str">
        <f t="shared" ca="1" si="17"/>
        <v>—</v>
      </c>
      <c r="L187" s="84"/>
    </row>
    <row r="188" spans="1:12" ht="15" customHeight="1" x14ac:dyDescent="0.25">
      <c r="A188" s="85"/>
      <c r="B188" s="41" t="str">
        <f>IF(A188="","",IFERROR(VLOOKUP(A188,DB_Customers!$A:$D,4,0),"❌ Account Not Found"))</f>
        <v/>
      </c>
      <c r="C188" s="86" t="str">
        <f>IF(A188="","",IFERROR(VLOOKUP(A188,DB_Customers!$A:$N,14,0),"❌ Acct Not Found"))</f>
        <v/>
      </c>
      <c r="D188" s="87" t="str">
        <f t="shared" ca="1" si="15"/>
        <v/>
      </c>
      <c r="E188" s="94"/>
      <c r="F188" s="41"/>
      <c r="G188" s="96" t="str">
        <f t="shared" si="16"/>
        <v/>
      </c>
      <c r="H188" s="43" t="s">
        <v>140</v>
      </c>
      <c r="I188" s="81"/>
      <c r="J188" s="89" t="str">
        <f>IF(AND(A188&lt;&gt;"",E188&lt;&gt;""),IF(I188="","⚠️ Enter Code",IF(IFERROR(VLOOKUP(H188,DB_Agents!$B:$I,8,0),"")=I188,IF(C188&gt;=E188,"Successful","Unsuccessful"),"🔒 BLOCKED — Wrong Code")),"Pending")</f>
        <v>Pending</v>
      </c>
      <c r="K188" s="90" t="str">
        <f t="shared" ca="1" si="17"/>
        <v>—</v>
      </c>
      <c r="L188" s="91"/>
    </row>
    <row r="189" spans="1:12" ht="15" customHeight="1" x14ac:dyDescent="0.25">
      <c r="A189" s="76"/>
      <c r="B189" s="37" t="str">
        <f>IF(A189="","",IFERROR(VLOOKUP(A189,DB_Customers!$A:$D,4,0),"❌ Account Not Found"))</f>
        <v/>
      </c>
      <c r="C189" s="77" t="str">
        <f>IF(A189="","",IFERROR(VLOOKUP(A189,DB_Customers!$A:$N,14,0),"❌ Acct Not Found"))</f>
        <v/>
      </c>
      <c r="D189" s="78" t="str">
        <f t="shared" ca="1" si="15"/>
        <v/>
      </c>
      <c r="E189" s="94"/>
      <c r="F189" s="37"/>
      <c r="G189" s="95" t="str">
        <f t="shared" si="16"/>
        <v/>
      </c>
      <c r="H189" s="39" t="s">
        <v>140</v>
      </c>
      <c r="I189" s="81"/>
      <c r="J189" s="82" t="str">
        <f>IF(AND(A189&lt;&gt;"",E189&lt;&gt;""),IF(I189="","⚠️ Enter Code",IF(IFERROR(VLOOKUP(H189,DB_Agents!$B:$I,8,0),"")=I189,IF(C189&gt;=E189,"Successful","Unsuccessful"),"🔒 BLOCKED — Wrong Code")),"Pending")</f>
        <v>Pending</v>
      </c>
      <c r="K189" s="83" t="str">
        <f t="shared" ca="1" si="17"/>
        <v>—</v>
      </c>
      <c r="L189" s="84"/>
    </row>
    <row r="190" spans="1:12" ht="15" customHeight="1" x14ac:dyDescent="0.25">
      <c r="A190" s="85"/>
      <c r="B190" s="41" t="str">
        <f>IF(A190="","",IFERROR(VLOOKUP(A190,DB_Customers!$A:$D,4,0),"❌ Account Not Found"))</f>
        <v/>
      </c>
      <c r="C190" s="86" t="str">
        <f>IF(A190="","",IFERROR(VLOOKUP(A190,DB_Customers!$A:$N,14,0),"❌ Acct Not Found"))</f>
        <v/>
      </c>
      <c r="D190" s="87" t="str">
        <f t="shared" ca="1" si="15"/>
        <v/>
      </c>
      <c r="E190" s="94"/>
      <c r="F190" s="41"/>
      <c r="G190" s="96" t="str">
        <f t="shared" si="16"/>
        <v/>
      </c>
      <c r="H190" s="43" t="s">
        <v>140</v>
      </c>
      <c r="I190" s="81"/>
      <c r="J190" s="89" t="str">
        <f>IF(AND(A190&lt;&gt;"",E190&lt;&gt;""),IF(I190="","⚠️ Enter Code",IF(IFERROR(VLOOKUP(H190,DB_Agents!$B:$I,8,0),"")=I190,IF(C190&gt;=E190,"Successful","Unsuccessful"),"🔒 BLOCKED — Wrong Code")),"Pending")</f>
        <v>Pending</v>
      </c>
      <c r="K190" s="90" t="str">
        <f t="shared" ca="1" si="17"/>
        <v>—</v>
      </c>
      <c r="L190" s="91"/>
    </row>
    <row r="191" spans="1:12" ht="15" customHeight="1" x14ac:dyDescent="0.25">
      <c r="A191" s="76"/>
      <c r="B191" s="37" t="str">
        <f>IF(A191="","",IFERROR(VLOOKUP(A191,DB_Customers!$A:$D,4,0),"❌ Account Not Found"))</f>
        <v/>
      </c>
      <c r="C191" s="77" t="str">
        <f>IF(A191="","",IFERROR(VLOOKUP(A191,DB_Customers!$A:$N,14,0),"❌ Acct Not Found"))</f>
        <v/>
      </c>
      <c r="D191" s="78" t="str">
        <f t="shared" ca="1" si="15"/>
        <v/>
      </c>
      <c r="E191" s="94"/>
      <c r="F191" s="37"/>
      <c r="G191" s="95" t="str">
        <f t="shared" si="16"/>
        <v/>
      </c>
      <c r="H191" s="39" t="s">
        <v>140</v>
      </c>
      <c r="I191" s="81"/>
      <c r="J191" s="82" t="str">
        <f>IF(AND(A191&lt;&gt;"",E191&lt;&gt;""),IF(I191="","⚠️ Enter Code",IF(IFERROR(VLOOKUP(H191,DB_Agents!$B:$I,8,0),"")=I191,IF(C191&gt;=E191,"Successful","Unsuccessful"),"🔒 BLOCKED — Wrong Code")),"Pending")</f>
        <v>Pending</v>
      </c>
      <c r="K191" s="83" t="str">
        <f t="shared" ca="1" si="17"/>
        <v>—</v>
      </c>
      <c r="L191" s="84"/>
    </row>
    <row r="192" spans="1:12" ht="15" customHeight="1" x14ac:dyDescent="0.25">
      <c r="A192" s="85"/>
      <c r="B192" s="41" t="str">
        <f>IF(A192="","",IFERROR(VLOOKUP(A192,DB_Customers!$A:$D,4,0),"❌ Account Not Found"))</f>
        <v/>
      </c>
      <c r="C192" s="86" t="str">
        <f>IF(A192="","",IFERROR(VLOOKUP(A192,DB_Customers!$A:$N,14,0),"❌ Acct Not Found"))</f>
        <v/>
      </c>
      <c r="D192" s="87" t="str">
        <f t="shared" ca="1" si="15"/>
        <v/>
      </c>
      <c r="E192" s="94"/>
      <c r="F192" s="41"/>
      <c r="G192" s="96" t="str">
        <f t="shared" si="16"/>
        <v/>
      </c>
      <c r="H192" s="43" t="s">
        <v>140</v>
      </c>
      <c r="I192" s="81"/>
      <c r="J192" s="89" t="str">
        <f>IF(AND(A192&lt;&gt;"",E192&lt;&gt;""),IF(I192="","⚠️ Enter Code",IF(IFERROR(VLOOKUP(H192,DB_Agents!$B:$I,8,0),"")=I192,IF(C192&gt;=E192,"Successful","Unsuccessful"),"🔒 BLOCKED — Wrong Code")),"Pending")</f>
        <v>Pending</v>
      </c>
      <c r="K192" s="90" t="str">
        <f t="shared" ca="1" si="17"/>
        <v>—</v>
      </c>
      <c r="L192" s="91"/>
    </row>
    <row r="193" spans="1:12" ht="15" customHeight="1" x14ac:dyDescent="0.25">
      <c r="A193" s="76"/>
      <c r="B193" s="37" t="str">
        <f>IF(A193="","",IFERROR(VLOOKUP(A193,DB_Customers!$A:$D,4,0),"❌ Account Not Found"))</f>
        <v/>
      </c>
      <c r="C193" s="77" t="str">
        <f>IF(A193="","",IFERROR(VLOOKUP(A193,DB_Customers!$A:$N,14,0),"❌ Acct Not Found"))</f>
        <v/>
      </c>
      <c r="D193" s="78" t="str">
        <f t="shared" ca="1" si="15"/>
        <v/>
      </c>
      <c r="E193" s="94"/>
      <c r="F193" s="37"/>
      <c r="G193" s="95" t="str">
        <f t="shared" si="16"/>
        <v/>
      </c>
      <c r="H193" s="39" t="s">
        <v>140</v>
      </c>
      <c r="I193" s="81"/>
      <c r="J193" s="82" t="str">
        <f>IF(AND(A193&lt;&gt;"",E193&lt;&gt;""),IF(I193="","⚠️ Enter Code",IF(IFERROR(VLOOKUP(H193,DB_Agents!$B:$I,8,0),"")=I193,IF(C193&gt;=E193,"Successful","Unsuccessful"),"🔒 BLOCKED — Wrong Code")),"Pending")</f>
        <v>Pending</v>
      </c>
      <c r="K193" s="83" t="str">
        <f t="shared" ca="1" si="17"/>
        <v>—</v>
      </c>
      <c r="L193" s="84"/>
    </row>
    <row r="194" spans="1:12" ht="15" customHeight="1" x14ac:dyDescent="0.25">
      <c r="A194" s="85"/>
      <c r="B194" s="41" t="str">
        <f>IF(A194="","",IFERROR(VLOOKUP(A194,DB_Customers!$A:$D,4,0),"❌ Account Not Found"))</f>
        <v/>
      </c>
      <c r="C194" s="86" t="str">
        <f>IF(A194="","",IFERROR(VLOOKUP(A194,DB_Customers!$A:$N,14,0),"❌ Acct Not Found"))</f>
        <v/>
      </c>
      <c r="D194" s="87" t="str">
        <f t="shared" ca="1" si="15"/>
        <v/>
      </c>
      <c r="E194" s="94"/>
      <c r="F194" s="41"/>
      <c r="G194" s="96" t="str">
        <f t="shared" si="16"/>
        <v/>
      </c>
      <c r="H194" s="43" t="s">
        <v>140</v>
      </c>
      <c r="I194" s="81"/>
      <c r="J194" s="89" t="str">
        <f>IF(AND(A194&lt;&gt;"",E194&lt;&gt;""),IF(I194="","⚠️ Enter Code",IF(IFERROR(VLOOKUP(H194,DB_Agents!$B:$I,8,0),"")=I194,IF(C194&gt;=E194,"Successful","Unsuccessful"),"🔒 BLOCKED — Wrong Code")),"Pending")</f>
        <v>Pending</v>
      </c>
      <c r="K194" s="90" t="str">
        <f t="shared" ca="1" si="17"/>
        <v>—</v>
      </c>
      <c r="L194" s="91"/>
    </row>
    <row r="195" spans="1:12" ht="15" customHeight="1" x14ac:dyDescent="0.25">
      <c r="A195" s="76"/>
      <c r="B195" s="37" t="str">
        <f>IF(A195="","",IFERROR(VLOOKUP(A195,DB_Customers!$A:$D,4,0),"❌ Account Not Found"))</f>
        <v/>
      </c>
      <c r="C195" s="77" t="str">
        <f>IF(A195="","",IFERROR(VLOOKUP(A195,DB_Customers!$A:$N,14,0),"❌ Acct Not Found"))</f>
        <v/>
      </c>
      <c r="D195" s="78" t="str">
        <f t="shared" ca="1" si="15"/>
        <v/>
      </c>
      <c r="E195" s="94"/>
      <c r="F195" s="37"/>
      <c r="G195" s="95" t="str">
        <f t="shared" si="16"/>
        <v/>
      </c>
      <c r="H195" s="39" t="s">
        <v>140</v>
      </c>
      <c r="I195" s="81"/>
      <c r="J195" s="82" t="str">
        <f>IF(AND(A195&lt;&gt;"",E195&lt;&gt;""),IF(I195="","⚠️ Enter Code",IF(IFERROR(VLOOKUP(H195,DB_Agents!$B:$I,8,0),"")=I195,IF(C195&gt;=E195,"Successful","Unsuccessful"),"🔒 BLOCKED — Wrong Code")),"Pending")</f>
        <v>Pending</v>
      </c>
      <c r="K195" s="83" t="str">
        <f t="shared" ca="1" si="17"/>
        <v>—</v>
      </c>
      <c r="L195" s="84"/>
    </row>
    <row r="196" spans="1:12" ht="15" customHeight="1" x14ac:dyDescent="0.25">
      <c r="A196" s="85"/>
      <c r="B196" s="41" t="str">
        <f>IF(A196="","",IFERROR(VLOOKUP(A196,DB_Customers!$A:$D,4,0),"❌ Account Not Found"))</f>
        <v/>
      </c>
      <c r="C196" s="86" t="str">
        <f>IF(A196="","",IFERROR(VLOOKUP(A196,DB_Customers!$A:$N,14,0),"❌ Acct Not Found"))</f>
        <v/>
      </c>
      <c r="D196" s="87" t="str">
        <f t="shared" ca="1" si="15"/>
        <v/>
      </c>
      <c r="E196" s="94"/>
      <c r="F196" s="41"/>
      <c r="G196" s="96" t="str">
        <f t="shared" si="16"/>
        <v/>
      </c>
      <c r="H196" s="43" t="s">
        <v>140</v>
      </c>
      <c r="I196" s="81"/>
      <c r="J196" s="89" t="str">
        <f>IF(AND(A196&lt;&gt;"",E196&lt;&gt;""),IF(I196="","⚠️ Enter Code",IF(IFERROR(VLOOKUP(H196,DB_Agents!$B:$I,8,0),"")=I196,IF(C196&gt;=E196,"Successful","Unsuccessful"),"🔒 BLOCKED — Wrong Code")),"Pending")</f>
        <v>Pending</v>
      </c>
      <c r="K196" s="90" t="str">
        <f t="shared" ca="1" si="17"/>
        <v>—</v>
      </c>
      <c r="L196" s="91"/>
    </row>
    <row r="197" spans="1:12" ht="15" customHeight="1" x14ac:dyDescent="0.25">
      <c r="A197" s="76"/>
      <c r="B197" s="37" t="str">
        <f>IF(A197="","",IFERROR(VLOOKUP(A197,DB_Customers!$A:$D,4,0),"❌ Account Not Found"))</f>
        <v/>
      </c>
      <c r="C197" s="77" t="str">
        <f>IF(A197="","",IFERROR(VLOOKUP(A197,DB_Customers!$A:$N,14,0),"❌ Acct Not Found"))</f>
        <v/>
      </c>
      <c r="D197" s="78" t="str">
        <f t="shared" ca="1" si="15"/>
        <v/>
      </c>
      <c r="E197" s="94"/>
      <c r="F197" s="37"/>
      <c r="G197" s="95" t="str">
        <f t="shared" si="16"/>
        <v/>
      </c>
      <c r="H197" s="39" t="s">
        <v>140</v>
      </c>
      <c r="I197" s="81"/>
      <c r="J197" s="82" t="str">
        <f>IF(AND(A197&lt;&gt;"",E197&lt;&gt;""),IF(I197="","⚠️ Enter Code",IF(IFERROR(VLOOKUP(H197,DB_Agents!$B:$I,8,0),"")=I197,IF(C197&gt;=E197,"Successful","Unsuccessful"),"🔒 BLOCKED — Wrong Code")),"Pending")</f>
        <v>Pending</v>
      </c>
      <c r="K197" s="83" t="str">
        <f t="shared" ca="1" si="17"/>
        <v>—</v>
      </c>
      <c r="L197" s="84"/>
    </row>
    <row r="198" spans="1:12" ht="15" customHeight="1" x14ac:dyDescent="0.25">
      <c r="A198" s="85"/>
      <c r="B198" s="41" t="str">
        <f>IF(A198="","",IFERROR(VLOOKUP(A198,DB_Customers!$A:$D,4,0),"❌ Account Not Found"))</f>
        <v/>
      </c>
      <c r="C198" s="86" t="str">
        <f>IF(A198="","",IFERROR(VLOOKUP(A198,DB_Customers!$A:$N,14,0),"❌ Acct Not Found"))</f>
        <v/>
      </c>
      <c r="D198" s="87" t="str">
        <f t="shared" ca="1" si="15"/>
        <v/>
      </c>
      <c r="E198" s="94"/>
      <c r="F198" s="41"/>
      <c r="G198" s="96" t="str">
        <f t="shared" si="16"/>
        <v/>
      </c>
      <c r="H198" s="43" t="s">
        <v>140</v>
      </c>
      <c r="I198" s="81"/>
      <c r="J198" s="89" t="str">
        <f>IF(AND(A198&lt;&gt;"",E198&lt;&gt;""),IF(I198="","⚠️ Enter Code",IF(IFERROR(VLOOKUP(H198,DB_Agents!$B:$I,8,0),"")=I198,IF(C198&gt;=E198,"Successful","Unsuccessful"),"🔒 BLOCKED — Wrong Code")),"Pending")</f>
        <v>Pending</v>
      </c>
      <c r="K198" s="90" t="str">
        <f t="shared" ca="1" si="17"/>
        <v>—</v>
      </c>
      <c r="L198" s="91"/>
    </row>
    <row r="199" spans="1:12" ht="15" customHeight="1" x14ac:dyDescent="0.25">
      <c r="A199" s="76"/>
      <c r="B199" s="37" t="str">
        <f>IF(A199="","",IFERROR(VLOOKUP(A199,DB_Customers!$A:$D,4,0),"❌ Account Not Found"))</f>
        <v/>
      </c>
      <c r="C199" s="77" t="str">
        <f>IF(A199="","",IFERROR(VLOOKUP(A199,DB_Customers!$A:$N,14,0),"❌ Acct Not Found"))</f>
        <v/>
      </c>
      <c r="D199" s="78" t="str">
        <f t="shared" ca="1" si="15"/>
        <v/>
      </c>
      <c r="E199" s="94"/>
      <c r="F199" s="37"/>
      <c r="G199" s="95" t="str">
        <f t="shared" si="16"/>
        <v/>
      </c>
      <c r="H199" s="39" t="s">
        <v>140</v>
      </c>
      <c r="I199" s="81"/>
      <c r="J199" s="82" t="str">
        <f>IF(AND(A199&lt;&gt;"",E199&lt;&gt;""),IF(I199="","⚠️ Enter Code",IF(IFERROR(VLOOKUP(H199,DB_Agents!$B:$I,8,0),"")=I199,IF(C199&gt;=E199,"Successful","Unsuccessful"),"🔒 BLOCKED — Wrong Code")),"Pending")</f>
        <v>Pending</v>
      </c>
      <c r="K199" s="83" t="str">
        <f t="shared" ca="1" si="17"/>
        <v>—</v>
      </c>
      <c r="L199" s="84"/>
    </row>
    <row r="200" spans="1:12" ht="15" customHeight="1" x14ac:dyDescent="0.25">
      <c r="A200" s="85"/>
      <c r="B200" s="41" t="str">
        <f>IF(A200="","",IFERROR(VLOOKUP(A200,DB_Customers!$A:$D,4,0),"❌ Account Not Found"))</f>
        <v/>
      </c>
      <c r="C200" s="86" t="str">
        <f>IF(A200="","",IFERROR(VLOOKUP(A200,DB_Customers!$A:$N,14,0),"❌ Acct Not Found"))</f>
        <v/>
      </c>
      <c r="D200" s="87" t="str">
        <f t="shared" ca="1" si="15"/>
        <v/>
      </c>
      <c r="E200" s="94"/>
      <c r="F200" s="41"/>
      <c r="G200" s="96" t="str">
        <f t="shared" si="16"/>
        <v/>
      </c>
      <c r="H200" s="43" t="s">
        <v>140</v>
      </c>
      <c r="I200" s="81"/>
      <c r="J200" s="89" t="str">
        <f>IF(AND(A200&lt;&gt;"",E200&lt;&gt;""),IF(I200="","⚠️ Enter Code",IF(IFERROR(VLOOKUP(H200,DB_Agents!$B:$I,8,0),"")=I200,IF(C200&gt;=E200,"Successful","Unsuccessful"),"🔒 BLOCKED — Wrong Code")),"Pending")</f>
        <v>Pending</v>
      </c>
      <c r="K200" s="90" t="str">
        <f t="shared" ca="1" si="17"/>
        <v>—</v>
      </c>
      <c r="L200" s="91"/>
    </row>
    <row r="201" spans="1:12" ht="15" customHeight="1" x14ac:dyDescent="0.25">
      <c r="A201" s="76"/>
      <c r="B201" s="37" t="str">
        <f>IF(A201="","",IFERROR(VLOOKUP(A201,DB_Customers!$A:$D,4,0),"❌ Account Not Found"))</f>
        <v/>
      </c>
      <c r="C201" s="77" t="str">
        <f>IF(A201="","",IFERROR(VLOOKUP(A201,DB_Customers!$A:$N,14,0),"❌ Acct Not Found"))</f>
        <v/>
      </c>
      <c r="D201" s="78" t="str">
        <f t="shared" ref="D201:D208" ca="1" si="18">IF(A201="","",TODAY())</f>
        <v/>
      </c>
      <c r="E201" s="94"/>
      <c r="F201" s="37"/>
      <c r="G201" s="95" t="str">
        <f t="shared" ref="G201:G208" si="19">IF(OR(A201="",E201=""),"",IF(C201="","",C201-E201))</f>
        <v/>
      </c>
      <c r="H201" s="39" t="s">
        <v>140</v>
      </c>
      <c r="I201" s="81"/>
      <c r="J201" s="82" t="str">
        <f>IF(AND(A201&lt;&gt;"",E201&lt;&gt;""),IF(I201="","⚠️ Enter Code",IF(IFERROR(VLOOKUP(H201,DB_Agents!$B:$I,8,0),"")=I201,IF(C201&gt;=E201,"Successful","Unsuccessful"),"🔒 BLOCKED — Wrong Code")),"Pending")</f>
        <v>Pending</v>
      </c>
      <c r="K201" s="83" t="str">
        <f t="shared" ref="K201:K208" ca="1" si="20">IF(J201="Successful",TEXT(TODAY(),"YYYY-MM-DD")&amp;" Auto","—")</f>
        <v>—</v>
      </c>
      <c r="L201" s="84"/>
    </row>
    <row r="202" spans="1:12" ht="15" customHeight="1" x14ac:dyDescent="0.25">
      <c r="A202" s="85"/>
      <c r="B202" s="41" t="str">
        <f>IF(A202="","",IFERROR(VLOOKUP(A202,DB_Customers!$A:$D,4,0),"❌ Account Not Found"))</f>
        <v/>
      </c>
      <c r="C202" s="86" t="str">
        <f>IF(A202="","",IFERROR(VLOOKUP(A202,DB_Customers!$A:$N,14,0),"❌ Acct Not Found"))</f>
        <v/>
      </c>
      <c r="D202" s="87" t="str">
        <f t="shared" ca="1" si="18"/>
        <v/>
      </c>
      <c r="E202" s="94"/>
      <c r="F202" s="41"/>
      <c r="G202" s="96" t="str">
        <f t="shared" si="19"/>
        <v/>
      </c>
      <c r="H202" s="43" t="s">
        <v>140</v>
      </c>
      <c r="I202" s="81"/>
      <c r="J202" s="89" t="str">
        <f>IF(AND(A202&lt;&gt;"",E202&lt;&gt;""),IF(I202="","⚠️ Enter Code",IF(IFERROR(VLOOKUP(H202,DB_Agents!$B:$I,8,0),"")=I202,IF(C202&gt;=E202,"Successful","Unsuccessful"),"🔒 BLOCKED — Wrong Code")),"Pending")</f>
        <v>Pending</v>
      </c>
      <c r="K202" s="90" t="str">
        <f t="shared" ca="1" si="20"/>
        <v>—</v>
      </c>
      <c r="L202" s="91"/>
    </row>
    <row r="203" spans="1:12" ht="15" customHeight="1" x14ac:dyDescent="0.25">
      <c r="A203" s="76"/>
      <c r="B203" s="37" t="str">
        <f>IF(A203="","",IFERROR(VLOOKUP(A203,DB_Customers!$A:$D,4,0),"❌ Account Not Found"))</f>
        <v/>
      </c>
      <c r="C203" s="77" t="str">
        <f>IF(A203="","",IFERROR(VLOOKUP(A203,DB_Customers!$A:$N,14,0),"❌ Acct Not Found"))</f>
        <v/>
      </c>
      <c r="D203" s="78" t="str">
        <f t="shared" ca="1" si="18"/>
        <v/>
      </c>
      <c r="E203" s="94"/>
      <c r="F203" s="37"/>
      <c r="G203" s="95" t="str">
        <f t="shared" si="19"/>
        <v/>
      </c>
      <c r="H203" s="39" t="s">
        <v>140</v>
      </c>
      <c r="I203" s="81"/>
      <c r="J203" s="82" t="str">
        <f>IF(AND(A203&lt;&gt;"",E203&lt;&gt;""),IF(I203="","⚠️ Enter Code",IF(IFERROR(VLOOKUP(H203,DB_Agents!$B:$I,8,0),"")=I203,IF(C203&gt;=E203,"Successful","Unsuccessful"),"🔒 BLOCKED — Wrong Code")),"Pending")</f>
        <v>Pending</v>
      </c>
      <c r="K203" s="83" t="str">
        <f t="shared" ca="1" si="20"/>
        <v>—</v>
      </c>
      <c r="L203" s="84"/>
    </row>
    <row r="204" spans="1:12" ht="15" customHeight="1" x14ac:dyDescent="0.25">
      <c r="A204" s="85"/>
      <c r="B204" s="41" t="str">
        <f>IF(A204="","",IFERROR(VLOOKUP(A204,DB_Customers!$A:$D,4,0),"❌ Account Not Found"))</f>
        <v/>
      </c>
      <c r="C204" s="86" t="str">
        <f>IF(A204="","",IFERROR(VLOOKUP(A204,DB_Customers!$A:$N,14,0),"❌ Acct Not Found"))</f>
        <v/>
      </c>
      <c r="D204" s="87" t="str">
        <f t="shared" ca="1" si="18"/>
        <v/>
      </c>
      <c r="E204" s="94"/>
      <c r="F204" s="41"/>
      <c r="G204" s="96" t="str">
        <f t="shared" si="19"/>
        <v/>
      </c>
      <c r="H204" s="43" t="s">
        <v>140</v>
      </c>
      <c r="I204" s="81"/>
      <c r="J204" s="89" t="str">
        <f>IF(AND(A204&lt;&gt;"",E204&lt;&gt;""),IF(I204="","⚠️ Enter Code",IF(IFERROR(VLOOKUP(H204,DB_Agents!$B:$I,8,0),"")=I204,IF(C204&gt;=E204,"Successful","Unsuccessful"),"🔒 BLOCKED — Wrong Code")),"Pending")</f>
        <v>Pending</v>
      </c>
      <c r="K204" s="90" t="str">
        <f t="shared" ca="1" si="20"/>
        <v>—</v>
      </c>
      <c r="L204" s="91"/>
    </row>
    <row r="205" spans="1:12" ht="15" customHeight="1" x14ac:dyDescent="0.25">
      <c r="A205" s="76"/>
      <c r="B205" s="37" t="str">
        <f>IF(A205="","",IFERROR(VLOOKUP(A205,DB_Customers!$A:$D,4,0),"❌ Account Not Found"))</f>
        <v/>
      </c>
      <c r="C205" s="77" t="str">
        <f>IF(A205="","",IFERROR(VLOOKUP(A205,DB_Customers!$A:$N,14,0),"❌ Acct Not Found"))</f>
        <v/>
      </c>
      <c r="D205" s="78" t="str">
        <f t="shared" ca="1" si="18"/>
        <v/>
      </c>
      <c r="E205" s="94"/>
      <c r="F205" s="37"/>
      <c r="G205" s="95" t="str">
        <f t="shared" si="19"/>
        <v/>
      </c>
      <c r="H205" s="39" t="s">
        <v>140</v>
      </c>
      <c r="I205" s="81"/>
      <c r="J205" s="82" t="str">
        <f>IF(AND(A205&lt;&gt;"",E205&lt;&gt;""),IF(I205="","⚠️ Enter Code",IF(IFERROR(VLOOKUP(H205,DB_Agents!$B:$I,8,0),"")=I205,IF(C205&gt;=E205,"Successful","Unsuccessful"),"🔒 BLOCKED — Wrong Code")),"Pending")</f>
        <v>Pending</v>
      </c>
      <c r="K205" s="83" t="str">
        <f t="shared" ca="1" si="20"/>
        <v>—</v>
      </c>
      <c r="L205" s="84"/>
    </row>
    <row r="206" spans="1:12" ht="15" customHeight="1" x14ac:dyDescent="0.25">
      <c r="A206" s="85"/>
      <c r="B206" s="41" t="str">
        <f>IF(A206="","",IFERROR(VLOOKUP(A206,DB_Customers!$A:$D,4,0),"❌ Account Not Found"))</f>
        <v/>
      </c>
      <c r="C206" s="86" t="str">
        <f>IF(A206="","",IFERROR(VLOOKUP(A206,DB_Customers!$A:$N,14,0),"❌ Acct Not Found"))</f>
        <v/>
      </c>
      <c r="D206" s="87" t="str">
        <f t="shared" ca="1" si="18"/>
        <v/>
      </c>
      <c r="E206" s="94"/>
      <c r="F206" s="41"/>
      <c r="G206" s="96" t="str">
        <f t="shared" si="19"/>
        <v/>
      </c>
      <c r="H206" s="43" t="s">
        <v>140</v>
      </c>
      <c r="I206" s="81"/>
      <c r="J206" s="89" t="str">
        <f>IF(AND(A206&lt;&gt;"",E206&lt;&gt;""),IF(I206="","⚠️ Enter Code",IF(IFERROR(VLOOKUP(H206,DB_Agents!$B:$I,8,0),"")=I206,IF(C206&gt;=E206,"Successful","Unsuccessful"),"🔒 BLOCKED — Wrong Code")),"Pending")</f>
        <v>Pending</v>
      </c>
      <c r="K206" s="90" t="str">
        <f t="shared" ca="1" si="20"/>
        <v>—</v>
      </c>
      <c r="L206" s="91"/>
    </row>
    <row r="207" spans="1:12" ht="15" customHeight="1" x14ac:dyDescent="0.25">
      <c r="A207" s="76"/>
      <c r="B207" s="37" t="str">
        <f>IF(A207="","",IFERROR(VLOOKUP(A207,DB_Customers!$A:$D,4,0),"❌ Account Not Found"))</f>
        <v/>
      </c>
      <c r="C207" s="77" t="str">
        <f>IF(A207="","",IFERROR(VLOOKUP(A207,DB_Customers!$A:$N,14,0),"❌ Acct Not Found"))</f>
        <v/>
      </c>
      <c r="D207" s="78" t="str">
        <f t="shared" ca="1" si="18"/>
        <v/>
      </c>
      <c r="E207" s="94"/>
      <c r="F207" s="37"/>
      <c r="G207" s="95" t="str">
        <f t="shared" si="19"/>
        <v/>
      </c>
      <c r="H207" s="39" t="s">
        <v>140</v>
      </c>
      <c r="I207" s="81"/>
      <c r="J207" s="82" t="str">
        <f>IF(AND(A207&lt;&gt;"",E207&lt;&gt;""),IF(I207="","⚠️ Enter Code",IF(IFERROR(VLOOKUP(H207,DB_Agents!$B:$I,8,0),"")=I207,IF(C207&gt;=E207,"Successful","Unsuccessful"),"🔒 BLOCKED — Wrong Code")),"Pending")</f>
        <v>Pending</v>
      </c>
      <c r="K207" s="83" t="str">
        <f t="shared" ca="1" si="20"/>
        <v>—</v>
      </c>
      <c r="L207" s="84"/>
    </row>
    <row r="208" spans="1:12" ht="15" customHeight="1" x14ac:dyDescent="0.25">
      <c r="A208" s="85"/>
      <c r="B208" s="41" t="str">
        <f>IF(A208="","",IFERROR(VLOOKUP(A208,DB_Customers!$A:$D,4,0),"❌ Account Not Found"))</f>
        <v/>
      </c>
      <c r="C208" s="86" t="str">
        <f>IF(A208="","",IFERROR(VLOOKUP(A208,DB_Customers!$A:$N,14,0),"❌ Acct Not Found"))</f>
        <v/>
      </c>
      <c r="D208" s="87" t="str">
        <f t="shared" ca="1" si="18"/>
        <v/>
      </c>
      <c r="E208" s="94"/>
      <c r="F208" s="41"/>
      <c r="G208" s="96" t="str">
        <f t="shared" si="19"/>
        <v/>
      </c>
      <c r="H208" s="43" t="s">
        <v>140</v>
      </c>
      <c r="I208" s="81"/>
      <c r="J208" s="89" t="str">
        <f>IF(AND(A208&lt;&gt;"",E208&lt;&gt;""),IF(I208="","⚠️ Enter Code",IF(IFERROR(VLOOKUP(H208,DB_Agents!$B:$I,8,0),"")=I208,IF(C208&gt;=E208,"Successful","Unsuccessful"),"🔒 BLOCKED — Wrong Code")),"Pending")</f>
        <v>Pending</v>
      </c>
      <c r="K208" s="90" t="str">
        <f t="shared" ca="1" si="20"/>
        <v>—</v>
      </c>
      <c r="L208" s="91"/>
    </row>
  </sheetData>
  <mergeCells count="8">
    <mergeCell ref="A7:M7"/>
    <mergeCell ref="A4:C4"/>
    <mergeCell ref="A2:M2"/>
    <mergeCell ref="A1:M1"/>
    <mergeCell ref="A5:M5"/>
    <mergeCell ref="D4:F4"/>
    <mergeCell ref="D3:F3"/>
    <mergeCell ref="A3:C3"/>
  </mergeCells>
  <conditionalFormatting sqref="I9:I208">
    <cfRule type="cellIs" dxfId="29" priority="2" operator="equal">
      <formula>"Successful"</formula>
    </cfRule>
    <cfRule type="cellIs" dxfId="28" priority="3" operator="equal">
      <formula>"Unsuccessful"</formula>
    </cfRule>
  </conditionalFormatting>
  <conditionalFormatting sqref="A9:K208">
    <cfRule type="expression" dxfId="27" priority="4">
      <formula>$I9="Unsuccessful"</formula>
    </cfRule>
  </conditionalFormatting>
  <conditionalFormatting sqref="G9:G208">
    <cfRule type="cellIs" dxfId="26" priority="5" operator="lessThan">
      <formula>0</formula>
    </cfRule>
  </conditionalFormatting>
  <dataValidations count="1">
    <dataValidation type="list" sqref="H9:H208" xr:uid="{00000000-0002-0000-1F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38.42578125" customWidth="1"/>
    <col min="2" max="2" width="16" customWidth="1"/>
    <col min="3" max="3" width="22" customWidth="1"/>
    <col min="4" max="5" width="13" customWidth="1"/>
    <col min="6" max="6" width="20" customWidth="1"/>
    <col min="7" max="7" width="9" customWidth="1"/>
    <col min="8" max="8" width="8" customWidth="1"/>
    <col min="9" max="10" width="14" customWidth="1"/>
    <col min="11" max="11" width="18" customWidth="1"/>
    <col min="12" max="12" width="10" customWidth="1"/>
    <col min="13" max="13" width="12" customWidth="1"/>
    <col min="14" max="14" width="18" customWidth="1"/>
  </cols>
  <sheetData>
    <row r="1" spans="1:14" ht="31.5" customHeight="1" x14ac:dyDescent="0.25">
      <c r="A1" s="226" t="s">
        <v>377</v>
      </c>
    </row>
    <row r="2" spans="1:14" ht="19.5" customHeight="1" x14ac:dyDescent="0.25">
      <c r="A2" s="201" t="s">
        <v>2</v>
      </c>
    </row>
    <row r="4" spans="1:14" ht="21.75" customHeight="1" x14ac:dyDescent="0.25">
      <c r="A4" s="97" t="s">
        <v>333</v>
      </c>
    </row>
    <row r="5" spans="1:14" ht="19.5" customHeight="1" x14ac:dyDescent="0.25">
      <c r="A5" s="227" t="s">
        <v>334</v>
      </c>
      <c r="B5" s="202"/>
    </row>
    <row r="6" spans="1:14" ht="19.5" customHeight="1" x14ac:dyDescent="0.25">
      <c r="A6" s="227" t="s">
        <v>335</v>
      </c>
      <c r="B6" s="202"/>
    </row>
    <row r="7" spans="1:14" ht="19.5" customHeight="1" x14ac:dyDescent="0.25">
      <c r="A7" s="227" t="s">
        <v>336</v>
      </c>
      <c r="B7" s="228">
        <v>2.5</v>
      </c>
    </row>
    <row r="8" spans="1:14" ht="19.5" customHeight="1" x14ac:dyDescent="0.25">
      <c r="A8" s="99" t="s">
        <v>337</v>
      </c>
      <c r="B8" s="203" t="str">
        <f>IF(B5="","",B5*B7/100*B6)</f>
        <v/>
      </c>
    </row>
    <row r="9" spans="1:14" ht="19.5" customHeight="1" x14ac:dyDescent="0.25">
      <c r="A9" s="99" t="s">
        <v>338</v>
      </c>
      <c r="B9" s="204" t="str">
        <f>IF(B5="","",B5+(B5*B7/100*B6))</f>
        <v/>
      </c>
    </row>
    <row r="10" spans="1:14" ht="19.5" customHeight="1" x14ac:dyDescent="0.25">
      <c r="A10" s="99" t="s">
        <v>339</v>
      </c>
      <c r="B10" s="204" t="str">
        <f>IFERROR(B9/B6,"")</f>
        <v/>
      </c>
    </row>
    <row r="11" spans="1:14" ht="7.5" customHeight="1" x14ac:dyDescent="0.25"/>
    <row r="12" spans="1:14" ht="21.75" customHeight="1" x14ac:dyDescent="0.25">
      <c r="A12" s="205"/>
    </row>
    <row r="13" spans="1:14" ht="27.95" customHeight="1" x14ac:dyDescent="0.25">
      <c r="A13" s="212" t="s">
        <v>82</v>
      </c>
      <c r="B13" s="212" t="s">
        <v>315</v>
      </c>
      <c r="C13" s="212" t="s">
        <v>77</v>
      </c>
      <c r="D13" s="212" t="s">
        <v>84</v>
      </c>
      <c r="E13" s="212" t="s">
        <v>340</v>
      </c>
      <c r="F13" s="212" t="s">
        <v>8</v>
      </c>
      <c r="G13" s="212" t="s">
        <v>9</v>
      </c>
      <c r="H13" s="212" t="s">
        <v>86</v>
      </c>
      <c r="I13" s="212" t="s">
        <v>341</v>
      </c>
      <c r="J13" s="212" t="s">
        <v>342</v>
      </c>
      <c r="K13" s="212" t="s">
        <v>13</v>
      </c>
      <c r="L13" s="212" t="s">
        <v>14</v>
      </c>
      <c r="M13" s="212" t="s">
        <v>319</v>
      </c>
      <c r="N13" s="212" t="s">
        <v>15</v>
      </c>
    </row>
    <row r="14" spans="1:14" ht="18" customHeight="1" x14ac:dyDescent="0.25">
      <c r="A14" s="229" t="str">
        <f t="shared" ref="A14:A45" si="0">IF(B14="","",IF(C14="❌ Account Not Found","INVALID","LN"&amp;TEXT(D14,"YYYYMMDD")&amp;TEXT(ROW()-13,"0000")))</f>
        <v/>
      </c>
      <c r="B14" s="230"/>
      <c r="C14" s="231" t="str">
        <f>IF(B14="","",IFERROR(VLOOKUP(B14,DB_Customers!$A:$D,4,0),"❌ Account Not Found"))</f>
        <v/>
      </c>
      <c r="D14" s="232" t="str">
        <f t="shared" ref="D14:D45" ca="1" si="1">IF(B14="","",TODAY())</f>
        <v/>
      </c>
      <c r="E14" s="233"/>
      <c r="F14" s="231"/>
      <c r="G14" s="234"/>
      <c r="H14" s="235">
        <v>2.5</v>
      </c>
      <c r="I14" s="236" t="str">
        <f t="shared" ref="I14:I45" si="2">IF(E14="","",E14+(E14*H14/100*G14))</f>
        <v/>
      </c>
      <c r="J14" s="237" t="str">
        <f t="shared" ref="J14:J45" si="3">IFERROR(I14/G14,"")</f>
        <v/>
      </c>
      <c r="K14" s="238" t="str">
        <f>IF(B14="","Pending",IF(M14="","⚠️ Enter Code",IF(IFERROR(VLOOKUP(L14,DB_Agents!$B:$I,8,0),"")=M14,"Pending","🔒 BLOCKED — Wrong Code")))</f>
        <v>Pending</v>
      </c>
      <c r="L14" s="239" t="s">
        <v>140</v>
      </c>
      <c r="M14" s="240"/>
      <c r="N14" s="230"/>
    </row>
    <row r="15" spans="1:14" ht="18" customHeight="1" x14ac:dyDescent="0.25">
      <c r="A15" s="241" t="str">
        <f t="shared" si="0"/>
        <v/>
      </c>
      <c r="B15" s="242"/>
      <c r="C15" s="243" t="str">
        <f>IF(B15="","",IFERROR(VLOOKUP(B15,DB_Customers!$A:$D,4,0),"❌ Account Not Found"))</f>
        <v/>
      </c>
      <c r="D15" s="244" t="str">
        <f t="shared" ca="1" si="1"/>
        <v/>
      </c>
      <c r="E15" s="245"/>
      <c r="F15" s="243"/>
      <c r="G15" s="246"/>
      <c r="H15" s="247">
        <v>2.5</v>
      </c>
      <c r="I15" s="248" t="str">
        <f t="shared" si="2"/>
        <v/>
      </c>
      <c r="J15" s="249" t="str">
        <f t="shared" si="3"/>
        <v/>
      </c>
      <c r="K15" s="250" t="str">
        <f>IF(B15="","Pending",IF(M15="","⚠️ Enter Code",IF(IFERROR(VLOOKUP(L15,DB_Agents!$B:$I,8,0),"")=M15,"Pending","🔒 BLOCKED — Wrong Code")))</f>
        <v>Pending</v>
      </c>
      <c r="L15" s="251" t="s">
        <v>140</v>
      </c>
      <c r="M15" s="252"/>
      <c r="N15" s="242"/>
    </row>
    <row r="16" spans="1:14" ht="18" customHeight="1" x14ac:dyDescent="0.25">
      <c r="A16" s="229" t="str">
        <f t="shared" si="0"/>
        <v/>
      </c>
      <c r="B16" s="230"/>
      <c r="C16" s="231" t="str">
        <f>IF(B16="","",IFERROR(VLOOKUP(B16,DB_Customers!$A:$D,4,0),"❌ Account Not Found"))</f>
        <v/>
      </c>
      <c r="D16" s="232" t="str">
        <f t="shared" ca="1" si="1"/>
        <v/>
      </c>
      <c r="E16" s="233"/>
      <c r="F16" s="231"/>
      <c r="G16" s="234"/>
      <c r="H16" s="235">
        <v>2.5</v>
      </c>
      <c r="I16" s="236" t="str">
        <f t="shared" si="2"/>
        <v/>
      </c>
      <c r="J16" s="237" t="str">
        <f t="shared" si="3"/>
        <v/>
      </c>
      <c r="K16" s="238" t="str">
        <f>IF(B16="","Pending",IF(M16="","⚠️ Enter Code",IF(IFERROR(VLOOKUP(L16,DB_Agents!$B:$I,8,0),"")=M16,"Pending","🔒 BLOCKED — Wrong Code")))</f>
        <v>Pending</v>
      </c>
      <c r="L16" s="239" t="s">
        <v>140</v>
      </c>
      <c r="M16" s="240"/>
      <c r="N16" s="230"/>
    </row>
    <row r="17" spans="1:14" ht="18" customHeight="1" x14ac:dyDescent="0.25">
      <c r="A17" s="241" t="str">
        <f t="shared" si="0"/>
        <v/>
      </c>
      <c r="B17" s="242"/>
      <c r="C17" s="243" t="str">
        <f>IF(B17="","",IFERROR(VLOOKUP(B17,DB_Customers!$A:$D,4,0),"❌ Account Not Found"))</f>
        <v/>
      </c>
      <c r="D17" s="244" t="str">
        <f t="shared" ca="1" si="1"/>
        <v/>
      </c>
      <c r="E17" s="245"/>
      <c r="F17" s="243"/>
      <c r="G17" s="246"/>
      <c r="H17" s="247">
        <v>2.5</v>
      </c>
      <c r="I17" s="248" t="str">
        <f t="shared" si="2"/>
        <v/>
      </c>
      <c r="J17" s="249" t="str">
        <f t="shared" si="3"/>
        <v/>
      </c>
      <c r="K17" s="250" t="str">
        <f>IF(B17="","Pending",IF(M17="","⚠️ Enter Code",IF(IFERROR(VLOOKUP(L17,DB_Agents!$B:$I,8,0),"")=M17,"Pending","🔒 BLOCKED — Wrong Code")))</f>
        <v>Pending</v>
      </c>
      <c r="L17" s="251" t="s">
        <v>140</v>
      </c>
      <c r="M17" s="252"/>
      <c r="N17" s="242"/>
    </row>
    <row r="18" spans="1:14" ht="18" customHeight="1" x14ac:dyDescent="0.25">
      <c r="A18" s="229" t="str">
        <f t="shared" si="0"/>
        <v/>
      </c>
      <c r="B18" s="230"/>
      <c r="C18" s="231" t="str">
        <f>IF(B18="","",IFERROR(VLOOKUP(B18,DB_Customers!$A:$D,4,0),"❌ Account Not Found"))</f>
        <v/>
      </c>
      <c r="D18" s="232" t="str">
        <f t="shared" ca="1" si="1"/>
        <v/>
      </c>
      <c r="E18" s="233"/>
      <c r="F18" s="231"/>
      <c r="G18" s="234"/>
      <c r="H18" s="235">
        <v>2.5</v>
      </c>
      <c r="I18" s="236" t="str">
        <f t="shared" si="2"/>
        <v/>
      </c>
      <c r="J18" s="237" t="str">
        <f t="shared" si="3"/>
        <v/>
      </c>
      <c r="K18" s="238" t="str">
        <f>IF(B18="","Pending",IF(M18="","⚠️ Enter Code",IF(IFERROR(VLOOKUP(L18,DB_Agents!$B:$I,8,0),"")=M18,"Pending","🔒 BLOCKED — Wrong Code")))</f>
        <v>Pending</v>
      </c>
      <c r="L18" s="239" t="s">
        <v>140</v>
      </c>
      <c r="M18" s="240"/>
      <c r="N18" s="230"/>
    </row>
    <row r="19" spans="1:14" ht="18" customHeight="1" x14ac:dyDescent="0.25">
      <c r="A19" s="241" t="str">
        <f t="shared" si="0"/>
        <v/>
      </c>
      <c r="B19" s="242"/>
      <c r="C19" s="243" t="str">
        <f>IF(B19="","",IFERROR(VLOOKUP(B19,DB_Customers!$A:$D,4,0),"❌ Account Not Found"))</f>
        <v/>
      </c>
      <c r="D19" s="244" t="str">
        <f t="shared" ca="1" si="1"/>
        <v/>
      </c>
      <c r="E19" s="245"/>
      <c r="F19" s="243"/>
      <c r="G19" s="246"/>
      <c r="H19" s="247">
        <v>2.5</v>
      </c>
      <c r="I19" s="248" t="str">
        <f t="shared" si="2"/>
        <v/>
      </c>
      <c r="J19" s="249" t="str">
        <f t="shared" si="3"/>
        <v/>
      </c>
      <c r="K19" s="250" t="str">
        <f>IF(B19="","Pending",IF(M19="","⚠️ Enter Code",IF(IFERROR(VLOOKUP(L19,DB_Agents!$B:$I,8,0),"")=M19,"Pending","🔒 BLOCKED — Wrong Code")))</f>
        <v>Pending</v>
      </c>
      <c r="L19" s="251" t="s">
        <v>140</v>
      </c>
      <c r="M19" s="252"/>
      <c r="N19" s="242"/>
    </row>
    <row r="20" spans="1:14" ht="18" customHeight="1" x14ac:dyDescent="0.25">
      <c r="A20" s="229" t="str">
        <f t="shared" si="0"/>
        <v/>
      </c>
      <c r="B20" s="230"/>
      <c r="C20" s="231" t="str">
        <f>IF(B20="","",IFERROR(VLOOKUP(B20,DB_Customers!$A:$D,4,0),"❌ Account Not Found"))</f>
        <v/>
      </c>
      <c r="D20" s="232" t="str">
        <f t="shared" ca="1" si="1"/>
        <v/>
      </c>
      <c r="E20" s="233"/>
      <c r="F20" s="231"/>
      <c r="G20" s="234"/>
      <c r="H20" s="235">
        <v>2.5</v>
      </c>
      <c r="I20" s="236" t="str">
        <f t="shared" si="2"/>
        <v/>
      </c>
      <c r="J20" s="237" t="str">
        <f t="shared" si="3"/>
        <v/>
      </c>
      <c r="K20" s="238" t="str">
        <f>IF(B20="","Pending",IF(M20="","⚠️ Enter Code",IF(IFERROR(VLOOKUP(L20,DB_Agents!$B:$I,8,0),"")=M20,"Pending","🔒 BLOCKED — Wrong Code")))</f>
        <v>Pending</v>
      </c>
      <c r="L20" s="239" t="s">
        <v>140</v>
      </c>
      <c r="M20" s="240"/>
      <c r="N20" s="230"/>
    </row>
    <row r="21" spans="1:14" ht="18" customHeight="1" x14ac:dyDescent="0.25">
      <c r="A21" s="241" t="str">
        <f t="shared" si="0"/>
        <v/>
      </c>
      <c r="B21" s="242"/>
      <c r="C21" s="243" t="str">
        <f>IF(B21="","",IFERROR(VLOOKUP(B21,DB_Customers!$A:$D,4,0),"❌ Account Not Found"))</f>
        <v/>
      </c>
      <c r="D21" s="244" t="str">
        <f t="shared" ca="1" si="1"/>
        <v/>
      </c>
      <c r="E21" s="245"/>
      <c r="F21" s="243"/>
      <c r="G21" s="246"/>
      <c r="H21" s="247">
        <v>2.5</v>
      </c>
      <c r="I21" s="248" t="str">
        <f t="shared" si="2"/>
        <v/>
      </c>
      <c r="J21" s="249" t="str">
        <f t="shared" si="3"/>
        <v/>
      </c>
      <c r="K21" s="250" t="str">
        <f>IF(B21="","Pending",IF(M21="","⚠️ Enter Code",IF(IFERROR(VLOOKUP(L21,DB_Agents!$B:$I,8,0),"")=M21,"Pending","🔒 BLOCKED — Wrong Code")))</f>
        <v>Pending</v>
      </c>
      <c r="L21" s="251" t="s">
        <v>140</v>
      </c>
      <c r="M21" s="252"/>
      <c r="N21" s="242"/>
    </row>
    <row r="22" spans="1:14" ht="18" customHeight="1" x14ac:dyDescent="0.25">
      <c r="A22" s="229" t="str">
        <f t="shared" si="0"/>
        <v/>
      </c>
      <c r="B22" s="230"/>
      <c r="C22" s="231" t="str">
        <f>IF(B22="","",IFERROR(VLOOKUP(B22,DB_Customers!$A:$D,4,0),"❌ Account Not Found"))</f>
        <v/>
      </c>
      <c r="D22" s="232" t="str">
        <f t="shared" ca="1" si="1"/>
        <v/>
      </c>
      <c r="E22" s="233"/>
      <c r="F22" s="231"/>
      <c r="G22" s="234"/>
      <c r="H22" s="235">
        <v>2.5</v>
      </c>
      <c r="I22" s="236" t="str">
        <f t="shared" si="2"/>
        <v/>
      </c>
      <c r="J22" s="237" t="str">
        <f t="shared" si="3"/>
        <v/>
      </c>
      <c r="K22" s="238" t="str">
        <f>IF(B22="","Pending",IF(M22="","⚠️ Enter Code",IF(IFERROR(VLOOKUP(L22,DB_Agents!$B:$I,8,0),"")=M22,"Pending","🔒 BLOCKED — Wrong Code")))</f>
        <v>Pending</v>
      </c>
      <c r="L22" s="239" t="s">
        <v>140</v>
      </c>
      <c r="M22" s="240"/>
      <c r="N22" s="230"/>
    </row>
    <row r="23" spans="1:14" ht="18" customHeight="1" x14ac:dyDescent="0.25">
      <c r="A23" s="241" t="str">
        <f t="shared" si="0"/>
        <v/>
      </c>
      <c r="B23" s="242"/>
      <c r="C23" s="243" t="str">
        <f>IF(B23="","",IFERROR(VLOOKUP(B23,DB_Customers!$A:$D,4,0),"❌ Account Not Found"))</f>
        <v/>
      </c>
      <c r="D23" s="244" t="str">
        <f t="shared" ca="1" si="1"/>
        <v/>
      </c>
      <c r="E23" s="245"/>
      <c r="F23" s="243"/>
      <c r="G23" s="246"/>
      <c r="H23" s="247">
        <v>2.5</v>
      </c>
      <c r="I23" s="248" t="str">
        <f t="shared" si="2"/>
        <v/>
      </c>
      <c r="J23" s="249" t="str">
        <f t="shared" si="3"/>
        <v/>
      </c>
      <c r="K23" s="250" t="str">
        <f>IF(B23="","Pending",IF(M23="","⚠️ Enter Code",IF(IFERROR(VLOOKUP(L23,DB_Agents!$B:$I,8,0),"")=M23,"Pending","🔒 BLOCKED — Wrong Code")))</f>
        <v>Pending</v>
      </c>
      <c r="L23" s="251" t="s">
        <v>140</v>
      </c>
      <c r="M23" s="252"/>
      <c r="N23" s="242"/>
    </row>
    <row r="24" spans="1:14" ht="18" customHeight="1" x14ac:dyDescent="0.25">
      <c r="A24" s="229" t="str">
        <f t="shared" si="0"/>
        <v/>
      </c>
      <c r="B24" s="230"/>
      <c r="C24" s="231" t="str">
        <f>IF(B24="","",IFERROR(VLOOKUP(B24,DB_Customers!$A:$D,4,0),"❌ Account Not Found"))</f>
        <v/>
      </c>
      <c r="D24" s="232" t="str">
        <f t="shared" ca="1" si="1"/>
        <v/>
      </c>
      <c r="E24" s="233"/>
      <c r="F24" s="231"/>
      <c r="G24" s="234"/>
      <c r="H24" s="235">
        <v>2.5</v>
      </c>
      <c r="I24" s="236" t="str">
        <f t="shared" si="2"/>
        <v/>
      </c>
      <c r="J24" s="237" t="str">
        <f t="shared" si="3"/>
        <v/>
      </c>
      <c r="K24" s="238" t="str">
        <f>IF(B24="","Pending",IF(M24="","⚠️ Enter Code",IF(IFERROR(VLOOKUP(L24,DB_Agents!$B:$I,8,0),"")=M24,"Pending","🔒 BLOCKED — Wrong Code")))</f>
        <v>Pending</v>
      </c>
      <c r="L24" s="239" t="s">
        <v>140</v>
      </c>
      <c r="M24" s="240"/>
      <c r="N24" s="230"/>
    </row>
    <row r="25" spans="1:14" ht="18" customHeight="1" x14ac:dyDescent="0.25">
      <c r="A25" s="241" t="str">
        <f t="shared" si="0"/>
        <v/>
      </c>
      <c r="B25" s="242"/>
      <c r="C25" s="243" t="str">
        <f>IF(B25="","",IFERROR(VLOOKUP(B25,DB_Customers!$A:$D,4,0),"❌ Account Not Found"))</f>
        <v/>
      </c>
      <c r="D25" s="244" t="str">
        <f t="shared" ca="1" si="1"/>
        <v/>
      </c>
      <c r="E25" s="245"/>
      <c r="F25" s="243"/>
      <c r="G25" s="246"/>
      <c r="H25" s="247">
        <v>2.5</v>
      </c>
      <c r="I25" s="248" t="str">
        <f t="shared" si="2"/>
        <v/>
      </c>
      <c r="J25" s="249" t="str">
        <f t="shared" si="3"/>
        <v/>
      </c>
      <c r="K25" s="250" t="str">
        <f>IF(B25="","Pending",IF(M25="","⚠️ Enter Code",IF(IFERROR(VLOOKUP(L25,DB_Agents!$B:$I,8,0),"")=M25,"Pending","🔒 BLOCKED — Wrong Code")))</f>
        <v>Pending</v>
      </c>
      <c r="L25" s="251" t="s">
        <v>140</v>
      </c>
      <c r="M25" s="252"/>
      <c r="N25" s="242"/>
    </row>
    <row r="26" spans="1:14" ht="18" customHeight="1" x14ac:dyDescent="0.25">
      <c r="A26" s="229" t="str">
        <f t="shared" si="0"/>
        <v/>
      </c>
      <c r="B26" s="230"/>
      <c r="C26" s="231" t="str">
        <f>IF(B26="","",IFERROR(VLOOKUP(B26,DB_Customers!$A:$D,4,0),"❌ Account Not Found"))</f>
        <v/>
      </c>
      <c r="D26" s="232" t="str">
        <f t="shared" ca="1" si="1"/>
        <v/>
      </c>
      <c r="E26" s="233"/>
      <c r="F26" s="231"/>
      <c r="G26" s="234"/>
      <c r="H26" s="235">
        <v>2.5</v>
      </c>
      <c r="I26" s="236" t="str">
        <f t="shared" si="2"/>
        <v/>
      </c>
      <c r="J26" s="237" t="str">
        <f t="shared" si="3"/>
        <v/>
      </c>
      <c r="K26" s="238" t="str">
        <f>IF(B26="","Pending",IF(M26="","⚠️ Enter Code",IF(IFERROR(VLOOKUP(L26,DB_Agents!$B:$I,8,0),"")=M26,"Pending","🔒 BLOCKED — Wrong Code")))</f>
        <v>Pending</v>
      </c>
      <c r="L26" s="239" t="s">
        <v>140</v>
      </c>
      <c r="M26" s="240"/>
      <c r="N26" s="230"/>
    </row>
    <row r="27" spans="1:14" ht="18" customHeight="1" x14ac:dyDescent="0.25">
      <c r="A27" s="241" t="str">
        <f t="shared" si="0"/>
        <v/>
      </c>
      <c r="B27" s="242"/>
      <c r="C27" s="243" t="str">
        <f>IF(B27="","",IFERROR(VLOOKUP(B27,DB_Customers!$A:$D,4,0),"❌ Account Not Found"))</f>
        <v/>
      </c>
      <c r="D27" s="244" t="str">
        <f t="shared" ca="1" si="1"/>
        <v/>
      </c>
      <c r="E27" s="245"/>
      <c r="F27" s="243"/>
      <c r="G27" s="246"/>
      <c r="H27" s="247">
        <v>2.5</v>
      </c>
      <c r="I27" s="248" t="str">
        <f t="shared" si="2"/>
        <v/>
      </c>
      <c r="J27" s="249" t="str">
        <f t="shared" si="3"/>
        <v/>
      </c>
      <c r="K27" s="250" t="str">
        <f>IF(B27="","Pending",IF(M27="","⚠️ Enter Code",IF(IFERROR(VLOOKUP(L27,DB_Agents!$B:$I,8,0),"")=M27,"Pending","🔒 BLOCKED — Wrong Code")))</f>
        <v>Pending</v>
      </c>
      <c r="L27" s="251" t="s">
        <v>140</v>
      </c>
      <c r="M27" s="252"/>
      <c r="N27" s="242"/>
    </row>
    <row r="28" spans="1:14" ht="18" customHeight="1" x14ac:dyDescent="0.25">
      <c r="A28" s="229" t="str">
        <f t="shared" si="0"/>
        <v/>
      </c>
      <c r="B28" s="230"/>
      <c r="C28" s="231" t="str">
        <f>IF(B28="","",IFERROR(VLOOKUP(B28,DB_Customers!$A:$D,4,0),"❌ Account Not Found"))</f>
        <v/>
      </c>
      <c r="D28" s="232" t="str">
        <f t="shared" ca="1" si="1"/>
        <v/>
      </c>
      <c r="E28" s="233"/>
      <c r="F28" s="231"/>
      <c r="G28" s="234"/>
      <c r="H28" s="235">
        <v>2.5</v>
      </c>
      <c r="I28" s="236" t="str">
        <f t="shared" si="2"/>
        <v/>
      </c>
      <c r="J28" s="237" t="str">
        <f t="shared" si="3"/>
        <v/>
      </c>
      <c r="K28" s="238" t="str">
        <f>IF(B28="","Pending",IF(M28="","⚠️ Enter Code",IF(IFERROR(VLOOKUP(L28,DB_Agents!$B:$I,8,0),"")=M28,"Pending","🔒 BLOCKED — Wrong Code")))</f>
        <v>Pending</v>
      </c>
      <c r="L28" s="239" t="s">
        <v>140</v>
      </c>
      <c r="M28" s="240"/>
      <c r="N28" s="230"/>
    </row>
    <row r="29" spans="1:14" ht="18" customHeight="1" x14ac:dyDescent="0.25">
      <c r="A29" s="241" t="str">
        <f t="shared" si="0"/>
        <v/>
      </c>
      <c r="B29" s="242"/>
      <c r="C29" s="243" t="str">
        <f>IF(B29="","",IFERROR(VLOOKUP(B29,DB_Customers!$A:$D,4,0),"❌ Account Not Found"))</f>
        <v/>
      </c>
      <c r="D29" s="244" t="str">
        <f t="shared" ca="1" si="1"/>
        <v/>
      </c>
      <c r="E29" s="245"/>
      <c r="F29" s="243"/>
      <c r="G29" s="246"/>
      <c r="H29" s="247">
        <v>2.5</v>
      </c>
      <c r="I29" s="248" t="str">
        <f t="shared" si="2"/>
        <v/>
      </c>
      <c r="J29" s="249" t="str">
        <f t="shared" si="3"/>
        <v/>
      </c>
      <c r="K29" s="250" t="str">
        <f>IF(B29="","Pending",IF(M29="","⚠️ Enter Code",IF(IFERROR(VLOOKUP(L29,DB_Agents!$B:$I,8,0),"")=M29,"Pending","🔒 BLOCKED — Wrong Code")))</f>
        <v>Pending</v>
      </c>
      <c r="L29" s="251" t="s">
        <v>140</v>
      </c>
      <c r="M29" s="252"/>
      <c r="N29" s="242"/>
    </row>
    <row r="30" spans="1:14" ht="18" customHeight="1" x14ac:dyDescent="0.25">
      <c r="A30" s="229" t="str">
        <f t="shared" si="0"/>
        <v/>
      </c>
      <c r="B30" s="230"/>
      <c r="C30" s="231" t="str">
        <f>IF(B30="","",IFERROR(VLOOKUP(B30,DB_Customers!$A:$D,4,0),"❌ Account Not Found"))</f>
        <v/>
      </c>
      <c r="D30" s="232" t="str">
        <f t="shared" ca="1" si="1"/>
        <v/>
      </c>
      <c r="E30" s="233"/>
      <c r="F30" s="231"/>
      <c r="G30" s="234"/>
      <c r="H30" s="235">
        <v>2.5</v>
      </c>
      <c r="I30" s="236" t="str">
        <f t="shared" si="2"/>
        <v/>
      </c>
      <c r="J30" s="237" t="str">
        <f t="shared" si="3"/>
        <v/>
      </c>
      <c r="K30" s="238" t="str">
        <f>IF(B30="","Pending",IF(M30="","⚠️ Enter Code",IF(IFERROR(VLOOKUP(L30,DB_Agents!$B:$I,8,0),"")=M30,"Pending","🔒 BLOCKED — Wrong Code")))</f>
        <v>Pending</v>
      </c>
      <c r="L30" s="239" t="s">
        <v>140</v>
      </c>
      <c r="M30" s="240"/>
      <c r="N30" s="230"/>
    </row>
    <row r="31" spans="1:14" ht="18" customHeight="1" x14ac:dyDescent="0.25">
      <c r="A31" s="241" t="str">
        <f t="shared" si="0"/>
        <v/>
      </c>
      <c r="B31" s="242"/>
      <c r="C31" s="243" t="str">
        <f>IF(B31="","",IFERROR(VLOOKUP(B31,DB_Customers!$A:$D,4,0),"❌ Account Not Found"))</f>
        <v/>
      </c>
      <c r="D31" s="244" t="str">
        <f t="shared" ca="1" si="1"/>
        <v/>
      </c>
      <c r="E31" s="245"/>
      <c r="F31" s="243"/>
      <c r="G31" s="246"/>
      <c r="H31" s="247">
        <v>2.5</v>
      </c>
      <c r="I31" s="248" t="str">
        <f t="shared" si="2"/>
        <v/>
      </c>
      <c r="J31" s="249" t="str">
        <f t="shared" si="3"/>
        <v/>
      </c>
      <c r="K31" s="250" t="str">
        <f>IF(B31="","Pending",IF(M31="","⚠️ Enter Code",IF(IFERROR(VLOOKUP(L31,DB_Agents!$B:$I,8,0),"")=M31,"Pending","🔒 BLOCKED — Wrong Code")))</f>
        <v>Pending</v>
      </c>
      <c r="L31" s="251" t="s">
        <v>140</v>
      </c>
      <c r="M31" s="252"/>
      <c r="N31" s="242"/>
    </row>
    <row r="32" spans="1:14" ht="18" customHeight="1" x14ac:dyDescent="0.25">
      <c r="A32" s="229" t="str">
        <f t="shared" si="0"/>
        <v/>
      </c>
      <c r="B32" s="230"/>
      <c r="C32" s="231" t="str">
        <f>IF(B32="","",IFERROR(VLOOKUP(B32,DB_Customers!$A:$D,4,0),"❌ Account Not Found"))</f>
        <v/>
      </c>
      <c r="D32" s="232" t="str">
        <f t="shared" ca="1" si="1"/>
        <v/>
      </c>
      <c r="E32" s="233"/>
      <c r="F32" s="231"/>
      <c r="G32" s="234"/>
      <c r="H32" s="235">
        <v>2.5</v>
      </c>
      <c r="I32" s="236" t="str">
        <f t="shared" si="2"/>
        <v/>
      </c>
      <c r="J32" s="237" t="str">
        <f t="shared" si="3"/>
        <v/>
      </c>
      <c r="K32" s="238" t="str">
        <f>IF(B32="","Pending",IF(M32="","⚠️ Enter Code",IF(IFERROR(VLOOKUP(L32,DB_Agents!$B:$I,8,0),"")=M32,"Pending","🔒 BLOCKED — Wrong Code")))</f>
        <v>Pending</v>
      </c>
      <c r="L32" s="239" t="s">
        <v>140</v>
      </c>
      <c r="M32" s="240"/>
      <c r="N32" s="230"/>
    </row>
    <row r="33" spans="1:14" ht="18" customHeight="1" x14ac:dyDescent="0.25">
      <c r="A33" s="241" t="str">
        <f t="shared" si="0"/>
        <v/>
      </c>
      <c r="B33" s="242"/>
      <c r="C33" s="243" t="str">
        <f>IF(B33="","",IFERROR(VLOOKUP(B33,DB_Customers!$A:$D,4,0),"❌ Account Not Found"))</f>
        <v/>
      </c>
      <c r="D33" s="244" t="str">
        <f t="shared" ca="1" si="1"/>
        <v/>
      </c>
      <c r="E33" s="245"/>
      <c r="F33" s="243"/>
      <c r="G33" s="246"/>
      <c r="H33" s="247">
        <v>2.5</v>
      </c>
      <c r="I33" s="248" t="str">
        <f t="shared" si="2"/>
        <v/>
      </c>
      <c r="J33" s="249" t="str">
        <f t="shared" si="3"/>
        <v/>
      </c>
      <c r="K33" s="250" t="str">
        <f>IF(B33="","Pending",IF(M33="","⚠️ Enter Code",IF(IFERROR(VLOOKUP(L33,DB_Agents!$B:$I,8,0),"")=M33,"Pending","🔒 BLOCKED — Wrong Code")))</f>
        <v>Pending</v>
      </c>
      <c r="L33" s="251" t="s">
        <v>140</v>
      </c>
      <c r="M33" s="252"/>
      <c r="N33" s="242"/>
    </row>
    <row r="34" spans="1:14" ht="18" customHeight="1" x14ac:dyDescent="0.25">
      <c r="A34" s="229" t="str">
        <f t="shared" si="0"/>
        <v/>
      </c>
      <c r="B34" s="230"/>
      <c r="C34" s="231" t="str">
        <f>IF(B34="","",IFERROR(VLOOKUP(B34,DB_Customers!$A:$D,4,0),"❌ Account Not Found"))</f>
        <v/>
      </c>
      <c r="D34" s="232" t="str">
        <f t="shared" ca="1" si="1"/>
        <v/>
      </c>
      <c r="E34" s="233"/>
      <c r="F34" s="231"/>
      <c r="G34" s="234"/>
      <c r="H34" s="235">
        <v>2.5</v>
      </c>
      <c r="I34" s="236" t="str">
        <f t="shared" si="2"/>
        <v/>
      </c>
      <c r="J34" s="237" t="str">
        <f t="shared" si="3"/>
        <v/>
      </c>
      <c r="K34" s="238" t="str">
        <f>IF(B34="","Pending",IF(M34="","⚠️ Enter Code",IF(IFERROR(VLOOKUP(L34,DB_Agents!$B:$I,8,0),"")=M34,"Pending","🔒 BLOCKED — Wrong Code")))</f>
        <v>Pending</v>
      </c>
      <c r="L34" s="239" t="s">
        <v>140</v>
      </c>
      <c r="M34" s="240"/>
      <c r="N34" s="230"/>
    </row>
    <row r="35" spans="1:14" ht="18" customHeight="1" x14ac:dyDescent="0.25">
      <c r="A35" s="241" t="str">
        <f t="shared" si="0"/>
        <v/>
      </c>
      <c r="B35" s="242"/>
      <c r="C35" s="243" t="str">
        <f>IF(B35="","",IFERROR(VLOOKUP(B35,DB_Customers!$A:$D,4,0),"❌ Account Not Found"))</f>
        <v/>
      </c>
      <c r="D35" s="244" t="str">
        <f t="shared" ca="1" si="1"/>
        <v/>
      </c>
      <c r="E35" s="245"/>
      <c r="F35" s="243"/>
      <c r="G35" s="246"/>
      <c r="H35" s="247">
        <v>2.5</v>
      </c>
      <c r="I35" s="248" t="str">
        <f t="shared" si="2"/>
        <v/>
      </c>
      <c r="J35" s="249" t="str">
        <f t="shared" si="3"/>
        <v/>
      </c>
      <c r="K35" s="250" t="str">
        <f>IF(B35="","Pending",IF(M35="","⚠️ Enter Code",IF(IFERROR(VLOOKUP(L35,DB_Agents!$B:$I,8,0),"")=M35,"Pending","🔒 BLOCKED — Wrong Code")))</f>
        <v>Pending</v>
      </c>
      <c r="L35" s="251" t="s">
        <v>140</v>
      </c>
      <c r="M35" s="252"/>
      <c r="N35" s="242"/>
    </row>
    <row r="36" spans="1:14" ht="18" customHeight="1" x14ac:dyDescent="0.25">
      <c r="A36" s="229" t="str">
        <f t="shared" si="0"/>
        <v/>
      </c>
      <c r="B36" s="230"/>
      <c r="C36" s="231" t="str">
        <f>IF(B36="","",IFERROR(VLOOKUP(B36,DB_Customers!$A:$D,4,0),"❌ Account Not Found"))</f>
        <v/>
      </c>
      <c r="D36" s="232" t="str">
        <f t="shared" ca="1" si="1"/>
        <v/>
      </c>
      <c r="E36" s="233"/>
      <c r="F36" s="231"/>
      <c r="G36" s="234"/>
      <c r="H36" s="235">
        <v>2.5</v>
      </c>
      <c r="I36" s="236" t="str">
        <f t="shared" si="2"/>
        <v/>
      </c>
      <c r="J36" s="237" t="str">
        <f t="shared" si="3"/>
        <v/>
      </c>
      <c r="K36" s="238" t="str">
        <f>IF(B36="","Pending",IF(M36="","⚠️ Enter Code",IF(IFERROR(VLOOKUP(L36,DB_Agents!$B:$I,8,0),"")=M36,"Pending","🔒 BLOCKED — Wrong Code")))</f>
        <v>Pending</v>
      </c>
      <c r="L36" s="239" t="s">
        <v>140</v>
      </c>
      <c r="M36" s="240"/>
      <c r="N36" s="230"/>
    </row>
    <row r="37" spans="1:14" ht="18" customHeight="1" x14ac:dyDescent="0.25">
      <c r="A37" s="241" t="str">
        <f t="shared" si="0"/>
        <v/>
      </c>
      <c r="B37" s="242"/>
      <c r="C37" s="243" t="str">
        <f>IF(B37="","",IFERROR(VLOOKUP(B37,DB_Customers!$A:$D,4,0),"❌ Account Not Found"))</f>
        <v/>
      </c>
      <c r="D37" s="244" t="str">
        <f t="shared" ca="1" si="1"/>
        <v/>
      </c>
      <c r="E37" s="245"/>
      <c r="F37" s="243"/>
      <c r="G37" s="246"/>
      <c r="H37" s="247">
        <v>2.5</v>
      </c>
      <c r="I37" s="248" t="str">
        <f t="shared" si="2"/>
        <v/>
      </c>
      <c r="J37" s="249" t="str">
        <f t="shared" si="3"/>
        <v/>
      </c>
      <c r="K37" s="250" t="str">
        <f>IF(B37="","Pending",IF(M37="","⚠️ Enter Code",IF(IFERROR(VLOOKUP(L37,DB_Agents!$B:$I,8,0),"")=M37,"Pending","🔒 BLOCKED — Wrong Code")))</f>
        <v>Pending</v>
      </c>
      <c r="L37" s="251" t="s">
        <v>140</v>
      </c>
      <c r="M37" s="252"/>
      <c r="N37" s="242"/>
    </row>
    <row r="38" spans="1:14" ht="18" customHeight="1" x14ac:dyDescent="0.25">
      <c r="A38" s="229" t="str">
        <f t="shared" si="0"/>
        <v/>
      </c>
      <c r="B38" s="230"/>
      <c r="C38" s="231" t="str">
        <f>IF(B38="","",IFERROR(VLOOKUP(B38,DB_Customers!$A:$D,4,0),"❌ Account Not Found"))</f>
        <v/>
      </c>
      <c r="D38" s="232" t="str">
        <f t="shared" ca="1" si="1"/>
        <v/>
      </c>
      <c r="E38" s="233"/>
      <c r="F38" s="231"/>
      <c r="G38" s="234"/>
      <c r="H38" s="235">
        <v>2.5</v>
      </c>
      <c r="I38" s="236" t="str">
        <f t="shared" si="2"/>
        <v/>
      </c>
      <c r="J38" s="237" t="str">
        <f t="shared" si="3"/>
        <v/>
      </c>
      <c r="K38" s="238" t="str">
        <f>IF(B38="","Pending",IF(M38="","⚠️ Enter Code",IF(IFERROR(VLOOKUP(L38,DB_Agents!$B:$I,8,0),"")=M38,"Pending","🔒 BLOCKED — Wrong Code")))</f>
        <v>Pending</v>
      </c>
      <c r="L38" s="239" t="s">
        <v>140</v>
      </c>
      <c r="M38" s="240"/>
      <c r="N38" s="230"/>
    </row>
    <row r="39" spans="1:14" ht="18" customHeight="1" x14ac:dyDescent="0.25">
      <c r="A39" s="241" t="str">
        <f t="shared" si="0"/>
        <v/>
      </c>
      <c r="B39" s="242"/>
      <c r="C39" s="243" t="str">
        <f>IF(B39="","",IFERROR(VLOOKUP(B39,DB_Customers!$A:$D,4,0),"❌ Account Not Found"))</f>
        <v/>
      </c>
      <c r="D39" s="244" t="str">
        <f t="shared" ca="1" si="1"/>
        <v/>
      </c>
      <c r="E39" s="245"/>
      <c r="F39" s="243"/>
      <c r="G39" s="246"/>
      <c r="H39" s="247">
        <v>2.5</v>
      </c>
      <c r="I39" s="248" t="str">
        <f t="shared" si="2"/>
        <v/>
      </c>
      <c r="J39" s="249" t="str">
        <f t="shared" si="3"/>
        <v/>
      </c>
      <c r="K39" s="250" t="str">
        <f>IF(B39="","Pending",IF(M39="","⚠️ Enter Code",IF(IFERROR(VLOOKUP(L39,DB_Agents!$B:$I,8,0),"")=M39,"Pending","🔒 BLOCKED — Wrong Code")))</f>
        <v>Pending</v>
      </c>
      <c r="L39" s="251" t="s">
        <v>140</v>
      </c>
      <c r="M39" s="252"/>
      <c r="N39" s="242"/>
    </row>
    <row r="40" spans="1:14" ht="18" customHeight="1" x14ac:dyDescent="0.25">
      <c r="A40" s="229" t="str">
        <f t="shared" si="0"/>
        <v/>
      </c>
      <c r="B40" s="230"/>
      <c r="C40" s="231" t="str">
        <f>IF(B40="","",IFERROR(VLOOKUP(B40,DB_Customers!$A:$D,4,0),"❌ Account Not Found"))</f>
        <v/>
      </c>
      <c r="D40" s="232" t="str">
        <f t="shared" ca="1" si="1"/>
        <v/>
      </c>
      <c r="E40" s="233"/>
      <c r="F40" s="231"/>
      <c r="G40" s="234"/>
      <c r="H40" s="235">
        <v>2.5</v>
      </c>
      <c r="I40" s="236" t="str">
        <f t="shared" si="2"/>
        <v/>
      </c>
      <c r="J40" s="237" t="str">
        <f t="shared" si="3"/>
        <v/>
      </c>
      <c r="K40" s="238" t="str">
        <f>IF(B40="","Pending",IF(M40="","⚠️ Enter Code",IF(IFERROR(VLOOKUP(L40,DB_Agents!$B:$I,8,0),"")=M40,"Pending","🔒 BLOCKED — Wrong Code")))</f>
        <v>Pending</v>
      </c>
      <c r="L40" s="239" t="s">
        <v>140</v>
      </c>
      <c r="M40" s="240"/>
      <c r="N40" s="230"/>
    </row>
    <row r="41" spans="1:14" ht="18" customHeight="1" x14ac:dyDescent="0.25">
      <c r="A41" s="241" t="str">
        <f t="shared" si="0"/>
        <v/>
      </c>
      <c r="B41" s="242"/>
      <c r="C41" s="243" t="str">
        <f>IF(B41="","",IFERROR(VLOOKUP(B41,DB_Customers!$A:$D,4,0),"❌ Account Not Found"))</f>
        <v/>
      </c>
      <c r="D41" s="244" t="str">
        <f t="shared" ca="1" si="1"/>
        <v/>
      </c>
      <c r="E41" s="245"/>
      <c r="F41" s="243"/>
      <c r="G41" s="246"/>
      <c r="H41" s="247">
        <v>2.5</v>
      </c>
      <c r="I41" s="248" t="str">
        <f t="shared" si="2"/>
        <v/>
      </c>
      <c r="J41" s="249" t="str">
        <f t="shared" si="3"/>
        <v/>
      </c>
      <c r="K41" s="250" t="str">
        <f>IF(B41="","Pending",IF(M41="","⚠️ Enter Code",IF(IFERROR(VLOOKUP(L41,DB_Agents!$B:$I,8,0),"")=M41,"Pending","🔒 BLOCKED — Wrong Code")))</f>
        <v>Pending</v>
      </c>
      <c r="L41" s="251" t="s">
        <v>140</v>
      </c>
      <c r="M41" s="252"/>
      <c r="N41" s="242"/>
    </row>
    <row r="42" spans="1:14" ht="18" customHeight="1" x14ac:dyDescent="0.25">
      <c r="A42" s="229" t="str">
        <f t="shared" si="0"/>
        <v/>
      </c>
      <c r="B42" s="230"/>
      <c r="C42" s="231" t="str">
        <f>IF(B42="","",IFERROR(VLOOKUP(B42,DB_Customers!$A:$D,4,0),"❌ Account Not Found"))</f>
        <v/>
      </c>
      <c r="D42" s="232" t="str">
        <f t="shared" ca="1" si="1"/>
        <v/>
      </c>
      <c r="E42" s="233"/>
      <c r="F42" s="231"/>
      <c r="G42" s="234"/>
      <c r="H42" s="235">
        <v>2.5</v>
      </c>
      <c r="I42" s="236" t="str">
        <f t="shared" si="2"/>
        <v/>
      </c>
      <c r="J42" s="237" t="str">
        <f t="shared" si="3"/>
        <v/>
      </c>
      <c r="K42" s="238" t="str">
        <f>IF(B42="","Pending",IF(M42="","⚠️ Enter Code",IF(IFERROR(VLOOKUP(L42,DB_Agents!$B:$I,8,0),"")=M42,"Pending","🔒 BLOCKED — Wrong Code")))</f>
        <v>Pending</v>
      </c>
      <c r="L42" s="239" t="s">
        <v>140</v>
      </c>
      <c r="M42" s="240"/>
      <c r="N42" s="230"/>
    </row>
    <row r="43" spans="1:14" ht="18" customHeight="1" x14ac:dyDescent="0.25">
      <c r="A43" s="241" t="str">
        <f t="shared" si="0"/>
        <v/>
      </c>
      <c r="B43" s="242"/>
      <c r="C43" s="243" t="str">
        <f>IF(B43="","",IFERROR(VLOOKUP(B43,DB_Customers!$A:$D,4,0),"❌ Account Not Found"))</f>
        <v/>
      </c>
      <c r="D43" s="244" t="str">
        <f t="shared" ca="1" si="1"/>
        <v/>
      </c>
      <c r="E43" s="245"/>
      <c r="F43" s="243"/>
      <c r="G43" s="246"/>
      <c r="H43" s="247">
        <v>2.5</v>
      </c>
      <c r="I43" s="248" t="str">
        <f t="shared" si="2"/>
        <v/>
      </c>
      <c r="J43" s="249" t="str">
        <f t="shared" si="3"/>
        <v/>
      </c>
      <c r="K43" s="250" t="str">
        <f>IF(B43="","Pending",IF(M43="","⚠️ Enter Code",IF(IFERROR(VLOOKUP(L43,DB_Agents!$B:$I,8,0),"")=M43,"Pending","🔒 BLOCKED — Wrong Code")))</f>
        <v>Pending</v>
      </c>
      <c r="L43" s="251" t="s">
        <v>140</v>
      </c>
      <c r="M43" s="252"/>
      <c r="N43" s="242"/>
    </row>
    <row r="44" spans="1:14" ht="18" customHeight="1" x14ac:dyDescent="0.25">
      <c r="A44" s="229" t="str">
        <f t="shared" si="0"/>
        <v/>
      </c>
      <c r="B44" s="230"/>
      <c r="C44" s="231" t="str">
        <f>IF(B44="","",IFERROR(VLOOKUP(B44,DB_Customers!$A:$D,4,0),"❌ Account Not Found"))</f>
        <v/>
      </c>
      <c r="D44" s="232" t="str">
        <f t="shared" ca="1" si="1"/>
        <v/>
      </c>
      <c r="E44" s="233"/>
      <c r="F44" s="231"/>
      <c r="G44" s="234"/>
      <c r="H44" s="235">
        <v>2.5</v>
      </c>
      <c r="I44" s="236" t="str">
        <f t="shared" si="2"/>
        <v/>
      </c>
      <c r="J44" s="237" t="str">
        <f t="shared" si="3"/>
        <v/>
      </c>
      <c r="K44" s="238" t="str">
        <f>IF(B44="","Pending",IF(M44="","⚠️ Enter Code",IF(IFERROR(VLOOKUP(L44,DB_Agents!$B:$I,8,0),"")=M44,"Pending","🔒 BLOCKED — Wrong Code")))</f>
        <v>Pending</v>
      </c>
      <c r="L44" s="239" t="s">
        <v>140</v>
      </c>
      <c r="M44" s="240"/>
      <c r="N44" s="230"/>
    </row>
    <row r="45" spans="1:14" ht="18" customHeight="1" x14ac:dyDescent="0.25">
      <c r="A45" s="241" t="str">
        <f t="shared" si="0"/>
        <v/>
      </c>
      <c r="B45" s="242"/>
      <c r="C45" s="243" t="str">
        <f>IF(B45="","",IFERROR(VLOOKUP(B45,DB_Customers!$A:$D,4,0),"❌ Account Not Found"))</f>
        <v/>
      </c>
      <c r="D45" s="244" t="str">
        <f t="shared" ca="1" si="1"/>
        <v/>
      </c>
      <c r="E45" s="245"/>
      <c r="F45" s="243"/>
      <c r="G45" s="246"/>
      <c r="H45" s="247">
        <v>2.5</v>
      </c>
      <c r="I45" s="248" t="str">
        <f t="shared" si="2"/>
        <v/>
      </c>
      <c r="J45" s="249" t="str">
        <f t="shared" si="3"/>
        <v/>
      </c>
      <c r="K45" s="250" t="str">
        <f>IF(B45="","Pending",IF(M45="","⚠️ Enter Code",IF(IFERROR(VLOOKUP(L45,DB_Agents!$B:$I,8,0),"")=M45,"Pending","🔒 BLOCKED — Wrong Code")))</f>
        <v>Pending</v>
      </c>
      <c r="L45" s="251" t="s">
        <v>140</v>
      </c>
      <c r="M45" s="252"/>
      <c r="N45" s="242"/>
    </row>
    <row r="46" spans="1:14" ht="18" customHeight="1" x14ac:dyDescent="0.25">
      <c r="A46" s="229" t="str">
        <f t="shared" ref="A46:A77" si="4">IF(B46="","",IF(C46="❌ Account Not Found","INVALID","LN"&amp;TEXT(D46,"YYYYMMDD")&amp;TEXT(ROW()-13,"0000")))</f>
        <v/>
      </c>
      <c r="B46" s="230"/>
      <c r="C46" s="231" t="str">
        <f>IF(B46="","",IFERROR(VLOOKUP(B46,DB_Customers!$A:$D,4,0),"❌ Account Not Found"))</f>
        <v/>
      </c>
      <c r="D46" s="232" t="str">
        <f t="shared" ref="D46:D77" ca="1" si="5">IF(B46="","",TODAY())</f>
        <v/>
      </c>
      <c r="E46" s="233"/>
      <c r="F46" s="231"/>
      <c r="G46" s="234"/>
      <c r="H46" s="235">
        <v>2.5</v>
      </c>
      <c r="I46" s="236" t="str">
        <f t="shared" ref="I46:I77" si="6">IF(E46="","",E46+(E46*H46/100*G46))</f>
        <v/>
      </c>
      <c r="J46" s="237" t="str">
        <f t="shared" ref="J46:J77" si="7">IFERROR(I46/G46,"")</f>
        <v/>
      </c>
      <c r="K46" s="238" t="str">
        <f>IF(B46="","Pending",IF(M46="","⚠️ Enter Code",IF(IFERROR(VLOOKUP(L46,DB_Agents!$B:$I,8,0),"")=M46,"Pending","🔒 BLOCKED — Wrong Code")))</f>
        <v>Pending</v>
      </c>
      <c r="L46" s="239" t="s">
        <v>140</v>
      </c>
      <c r="M46" s="240"/>
      <c r="N46" s="230"/>
    </row>
    <row r="47" spans="1:14" ht="18" customHeight="1" x14ac:dyDescent="0.25">
      <c r="A47" s="241" t="str">
        <f t="shared" si="4"/>
        <v/>
      </c>
      <c r="B47" s="242"/>
      <c r="C47" s="243" t="str">
        <f>IF(B47="","",IFERROR(VLOOKUP(B47,DB_Customers!$A:$D,4,0),"❌ Account Not Found"))</f>
        <v/>
      </c>
      <c r="D47" s="244" t="str">
        <f t="shared" ca="1" si="5"/>
        <v/>
      </c>
      <c r="E47" s="245"/>
      <c r="F47" s="243"/>
      <c r="G47" s="246"/>
      <c r="H47" s="247">
        <v>2.5</v>
      </c>
      <c r="I47" s="248" t="str">
        <f t="shared" si="6"/>
        <v/>
      </c>
      <c r="J47" s="249" t="str">
        <f t="shared" si="7"/>
        <v/>
      </c>
      <c r="K47" s="250" t="str">
        <f>IF(B47="","Pending",IF(M47="","⚠️ Enter Code",IF(IFERROR(VLOOKUP(L47,DB_Agents!$B:$I,8,0),"")=M47,"Pending","🔒 BLOCKED — Wrong Code")))</f>
        <v>Pending</v>
      </c>
      <c r="L47" s="251" t="s">
        <v>140</v>
      </c>
      <c r="M47" s="252"/>
      <c r="N47" s="242"/>
    </row>
    <row r="48" spans="1:14" ht="18" customHeight="1" x14ac:dyDescent="0.25">
      <c r="A48" s="229" t="str">
        <f t="shared" si="4"/>
        <v/>
      </c>
      <c r="B48" s="230"/>
      <c r="C48" s="231" t="str">
        <f>IF(B48="","",IFERROR(VLOOKUP(B48,DB_Customers!$A:$D,4,0),"❌ Account Not Found"))</f>
        <v/>
      </c>
      <c r="D48" s="232" t="str">
        <f t="shared" ca="1" si="5"/>
        <v/>
      </c>
      <c r="E48" s="233"/>
      <c r="F48" s="231"/>
      <c r="G48" s="234"/>
      <c r="H48" s="235">
        <v>2.5</v>
      </c>
      <c r="I48" s="236" t="str">
        <f t="shared" si="6"/>
        <v/>
      </c>
      <c r="J48" s="237" t="str">
        <f t="shared" si="7"/>
        <v/>
      </c>
      <c r="K48" s="238" t="str">
        <f>IF(B48="","Pending",IF(M48="","⚠️ Enter Code",IF(IFERROR(VLOOKUP(L48,DB_Agents!$B:$I,8,0),"")=M48,"Pending","🔒 BLOCKED — Wrong Code")))</f>
        <v>Pending</v>
      </c>
      <c r="L48" s="239" t="s">
        <v>140</v>
      </c>
      <c r="M48" s="240"/>
      <c r="N48" s="230"/>
    </row>
    <row r="49" spans="1:14" ht="18" customHeight="1" x14ac:dyDescent="0.25">
      <c r="A49" s="241" t="str">
        <f t="shared" si="4"/>
        <v/>
      </c>
      <c r="B49" s="242"/>
      <c r="C49" s="243" t="str">
        <f>IF(B49="","",IFERROR(VLOOKUP(B49,DB_Customers!$A:$D,4,0),"❌ Account Not Found"))</f>
        <v/>
      </c>
      <c r="D49" s="244" t="str">
        <f t="shared" ca="1" si="5"/>
        <v/>
      </c>
      <c r="E49" s="245"/>
      <c r="F49" s="243"/>
      <c r="G49" s="246"/>
      <c r="H49" s="247">
        <v>2.5</v>
      </c>
      <c r="I49" s="248" t="str">
        <f t="shared" si="6"/>
        <v/>
      </c>
      <c r="J49" s="249" t="str">
        <f t="shared" si="7"/>
        <v/>
      </c>
      <c r="K49" s="250" t="str">
        <f>IF(B49="","Pending",IF(M49="","⚠️ Enter Code",IF(IFERROR(VLOOKUP(L49,DB_Agents!$B:$I,8,0),"")=M49,"Pending","🔒 BLOCKED — Wrong Code")))</f>
        <v>Pending</v>
      </c>
      <c r="L49" s="251" t="s">
        <v>140</v>
      </c>
      <c r="M49" s="252"/>
      <c r="N49" s="242"/>
    </row>
    <row r="50" spans="1:14" ht="18" customHeight="1" x14ac:dyDescent="0.25">
      <c r="A50" s="229" t="str">
        <f t="shared" si="4"/>
        <v/>
      </c>
      <c r="B50" s="230"/>
      <c r="C50" s="231" t="str">
        <f>IF(B50="","",IFERROR(VLOOKUP(B50,DB_Customers!$A:$D,4,0),"❌ Account Not Found"))</f>
        <v/>
      </c>
      <c r="D50" s="232" t="str">
        <f t="shared" ca="1" si="5"/>
        <v/>
      </c>
      <c r="E50" s="233"/>
      <c r="F50" s="231"/>
      <c r="G50" s="234"/>
      <c r="H50" s="235">
        <v>2.5</v>
      </c>
      <c r="I50" s="236" t="str">
        <f t="shared" si="6"/>
        <v/>
      </c>
      <c r="J50" s="237" t="str">
        <f t="shared" si="7"/>
        <v/>
      </c>
      <c r="K50" s="238" t="str">
        <f>IF(B50="","Pending",IF(M50="","⚠️ Enter Code",IF(IFERROR(VLOOKUP(L50,DB_Agents!$B:$I,8,0),"")=M50,"Pending","🔒 BLOCKED — Wrong Code")))</f>
        <v>Pending</v>
      </c>
      <c r="L50" s="239" t="s">
        <v>140</v>
      </c>
      <c r="M50" s="240"/>
      <c r="N50" s="230"/>
    </row>
    <row r="51" spans="1:14" ht="18" customHeight="1" x14ac:dyDescent="0.25">
      <c r="A51" s="241" t="str">
        <f t="shared" si="4"/>
        <v/>
      </c>
      <c r="B51" s="242"/>
      <c r="C51" s="243" t="str">
        <f>IF(B51="","",IFERROR(VLOOKUP(B51,DB_Customers!$A:$D,4,0),"❌ Account Not Found"))</f>
        <v/>
      </c>
      <c r="D51" s="244" t="str">
        <f t="shared" ca="1" si="5"/>
        <v/>
      </c>
      <c r="E51" s="245"/>
      <c r="F51" s="243"/>
      <c r="G51" s="246"/>
      <c r="H51" s="247">
        <v>2.5</v>
      </c>
      <c r="I51" s="248" t="str">
        <f t="shared" si="6"/>
        <v/>
      </c>
      <c r="J51" s="249" t="str">
        <f t="shared" si="7"/>
        <v/>
      </c>
      <c r="K51" s="250" t="str">
        <f>IF(B51="","Pending",IF(M51="","⚠️ Enter Code",IF(IFERROR(VLOOKUP(L51,DB_Agents!$B:$I,8,0),"")=M51,"Pending","🔒 BLOCKED — Wrong Code")))</f>
        <v>Pending</v>
      </c>
      <c r="L51" s="251" t="s">
        <v>140</v>
      </c>
      <c r="M51" s="252"/>
      <c r="N51" s="242"/>
    </row>
    <row r="52" spans="1:14" ht="18" customHeight="1" x14ac:dyDescent="0.25">
      <c r="A52" s="229" t="str">
        <f t="shared" si="4"/>
        <v/>
      </c>
      <c r="B52" s="230"/>
      <c r="C52" s="231" t="str">
        <f>IF(B52="","",IFERROR(VLOOKUP(B52,DB_Customers!$A:$D,4,0),"❌ Account Not Found"))</f>
        <v/>
      </c>
      <c r="D52" s="232" t="str">
        <f t="shared" ca="1" si="5"/>
        <v/>
      </c>
      <c r="E52" s="233"/>
      <c r="F52" s="231"/>
      <c r="G52" s="234"/>
      <c r="H52" s="235">
        <v>2.5</v>
      </c>
      <c r="I52" s="236" t="str">
        <f t="shared" si="6"/>
        <v/>
      </c>
      <c r="J52" s="237" t="str">
        <f t="shared" si="7"/>
        <v/>
      </c>
      <c r="K52" s="238" t="str">
        <f>IF(B52="","Pending",IF(M52="","⚠️ Enter Code",IF(IFERROR(VLOOKUP(L52,DB_Agents!$B:$I,8,0),"")=M52,"Pending","🔒 BLOCKED — Wrong Code")))</f>
        <v>Pending</v>
      </c>
      <c r="L52" s="239" t="s">
        <v>140</v>
      </c>
      <c r="M52" s="240"/>
      <c r="N52" s="230"/>
    </row>
    <row r="53" spans="1:14" ht="18" customHeight="1" x14ac:dyDescent="0.25">
      <c r="A53" s="241" t="str">
        <f t="shared" si="4"/>
        <v/>
      </c>
      <c r="B53" s="242"/>
      <c r="C53" s="243" t="str">
        <f>IF(B53="","",IFERROR(VLOOKUP(B53,DB_Customers!$A:$D,4,0),"❌ Account Not Found"))</f>
        <v/>
      </c>
      <c r="D53" s="244" t="str">
        <f t="shared" ca="1" si="5"/>
        <v/>
      </c>
      <c r="E53" s="245"/>
      <c r="F53" s="243"/>
      <c r="G53" s="246"/>
      <c r="H53" s="247">
        <v>2.5</v>
      </c>
      <c r="I53" s="248" t="str">
        <f t="shared" si="6"/>
        <v/>
      </c>
      <c r="J53" s="249" t="str">
        <f t="shared" si="7"/>
        <v/>
      </c>
      <c r="K53" s="250" t="str">
        <f>IF(B53="","Pending",IF(M53="","⚠️ Enter Code",IF(IFERROR(VLOOKUP(L53,DB_Agents!$B:$I,8,0),"")=M53,"Pending","🔒 BLOCKED — Wrong Code")))</f>
        <v>Pending</v>
      </c>
      <c r="L53" s="251" t="s">
        <v>140</v>
      </c>
      <c r="M53" s="252"/>
      <c r="N53" s="242"/>
    </row>
    <row r="54" spans="1:14" ht="18" customHeight="1" x14ac:dyDescent="0.25">
      <c r="A54" s="229" t="str">
        <f t="shared" si="4"/>
        <v/>
      </c>
      <c r="B54" s="230"/>
      <c r="C54" s="231" t="str">
        <f>IF(B54="","",IFERROR(VLOOKUP(B54,DB_Customers!$A:$D,4,0),"❌ Account Not Found"))</f>
        <v/>
      </c>
      <c r="D54" s="232" t="str">
        <f t="shared" ca="1" si="5"/>
        <v/>
      </c>
      <c r="E54" s="233"/>
      <c r="F54" s="231"/>
      <c r="G54" s="234"/>
      <c r="H54" s="235">
        <v>2.5</v>
      </c>
      <c r="I54" s="236" t="str">
        <f t="shared" si="6"/>
        <v/>
      </c>
      <c r="J54" s="237" t="str">
        <f t="shared" si="7"/>
        <v/>
      </c>
      <c r="K54" s="238" t="str">
        <f>IF(B54="","Pending",IF(M54="","⚠️ Enter Code",IF(IFERROR(VLOOKUP(L54,DB_Agents!$B:$I,8,0),"")=M54,"Pending","🔒 BLOCKED — Wrong Code")))</f>
        <v>Pending</v>
      </c>
      <c r="L54" s="239" t="s">
        <v>140</v>
      </c>
      <c r="M54" s="240"/>
      <c r="N54" s="230"/>
    </row>
    <row r="55" spans="1:14" ht="18" customHeight="1" x14ac:dyDescent="0.25">
      <c r="A55" s="241" t="str">
        <f t="shared" si="4"/>
        <v/>
      </c>
      <c r="B55" s="242"/>
      <c r="C55" s="243" t="str">
        <f>IF(B55="","",IFERROR(VLOOKUP(B55,DB_Customers!$A:$D,4,0),"❌ Account Not Found"))</f>
        <v/>
      </c>
      <c r="D55" s="244" t="str">
        <f t="shared" ca="1" si="5"/>
        <v/>
      </c>
      <c r="E55" s="245"/>
      <c r="F55" s="243"/>
      <c r="G55" s="246"/>
      <c r="H55" s="247">
        <v>2.5</v>
      </c>
      <c r="I55" s="248" t="str">
        <f t="shared" si="6"/>
        <v/>
      </c>
      <c r="J55" s="249" t="str">
        <f t="shared" si="7"/>
        <v/>
      </c>
      <c r="K55" s="250" t="str">
        <f>IF(B55="","Pending",IF(M55="","⚠️ Enter Code",IF(IFERROR(VLOOKUP(L55,DB_Agents!$B:$I,8,0),"")=M55,"Pending","🔒 BLOCKED — Wrong Code")))</f>
        <v>Pending</v>
      </c>
      <c r="L55" s="251" t="s">
        <v>140</v>
      </c>
      <c r="M55" s="252"/>
      <c r="N55" s="242"/>
    </row>
    <row r="56" spans="1:14" ht="18" customHeight="1" x14ac:dyDescent="0.25">
      <c r="A56" s="229" t="str">
        <f t="shared" si="4"/>
        <v/>
      </c>
      <c r="B56" s="230"/>
      <c r="C56" s="231" t="str">
        <f>IF(B56="","",IFERROR(VLOOKUP(B56,DB_Customers!$A:$D,4,0),"❌ Account Not Found"))</f>
        <v/>
      </c>
      <c r="D56" s="232" t="str">
        <f t="shared" ca="1" si="5"/>
        <v/>
      </c>
      <c r="E56" s="233"/>
      <c r="F56" s="231"/>
      <c r="G56" s="234"/>
      <c r="H56" s="235">
        <v>2.5</v>
      </c>
      <c r="I56" s="236" t="str">
        <f t="shared" si="6"/>
        <v/>
      </c>
      <c r="J56" s="237" t="str">
        <f t="shared" si="7"/>
        <v/>
      </c>
      <c r="K56" s="238" t="str">
        <f>IF(B56="","Pending",IF(M56="","⚠️ Enter Code",IF(IFERROR(VLOOKUP(L56,DB_Agents!$B:$I,8,0),"")=M56,"Pending","🔒 BLOCKED — Wrong Code")))</f>
        <v>Pending</v>
      </c>
      <c r="L56" s="239" t="s">
        <v>140</v>
      </c>
      <c r="M56" s="240"/>
      <c r="N56" s="230"/>
    </row>
    <row r="57" spans="1:14" ht="18" customHeight="1" x14ac:dyDescent="0.25">
      <c r="A57" s="241" t="str">
        <f t="shared" si="4"/>
        <v/>
      </c>
      <c r="B57" s="242"/>
      <c r="C57" s="243" t="str">
        <f>IF(B57="","",IFERROR(VLOOKUP(B57,DB_Customers!$A:$D,4,0),"❌ Account Not Found"))</f>
        <v/>
      </c>
      <c r="D57" s="244" t="str">
        <f t="shared" ca="1" si="5"/>
        <v/>
      </c>
      <c r="E57" s="245"/>
      <c r="F57" s="243"/>
      <c r="G57" s="246"/>
      <c r="H57" s="247">
        <v>2.5</v>
      </c>
      <c r="I57" s="248" t="str">
        <f t="shared" si="6"/>
        <v/>
      </c>
      <c r="J57" s="249" t="str">
        <f t="shared" si="7"/>
        <v/>
      </c>
      <c r="K57" s="250" t="str">
        <f>IF(B57="","Pending",IF(M57="","⚠️ Enter Code",IF(IFERROR(VLOOKUP(L57,DB_Agents!$B:$I,8,0),"")=M57,"Pending","🔒 BLOCKED — Wrong Code")))</f>
        <v>Pending</v>
      </c>
      <c r="L57" s="251" t="s">
        <v>140</v>
      </c>
      <c r="M57" s="252"/>
      <c r="N57" s="242"/>
    </row>
    <row r="58" spans="1:14" ht="18" customHeight="1" x14ac:dyDescent="0.25">
      <c r="A58" s="229" t="str">
        <f t="shared" si="4"/>
        <v/>
      </c>
      <c r="B58" s="230"/>
      <c r="C58" s="231" t="str">
        <f>IF(B58="","",IFERROR(VLOOKUP(B58,DB_Customers!$A:$D,4,0),"❌ Account Not Found"))</f>
        <v/>
      </c>
      <c r="D58" s="232" t="str">
        <f t="shared" ca="1" si="5"/>
        <v/>
      </c>
      <c r="E58" s="233"/>
      <c r="F58" s="231"/>
      <c r="G58" s="234"/>
      <c r="H58" s="235">
        <v>2.5</v>
      </c>
      <c r="I58" s="236" t="str">
        <f t="shared" si="6"/>
        <v/>
      </c>
      <c r="J58" s="237" t="str">
        <f t="shared" si="7"/>
        <v/>
      </c>
      <c r="K58" s="238" t="str">
        <f>IF(B58="","Pending",IF(M58="","⚠️ Enter Code",IF(IFERROR(VLOOKUP(L58,DB_Agents!$B:$I,8,0),"")=M58,"Pending","🔒 BLOCKED — Wrong Code")))</f>
        <v>Pending</v>
      </c>
      <c r="L58" s="239" t="s">
        <v>140</v>
      </c>
      <c r="M58" s="240"/>
      <c r="N58" s="230"/>
    </row>
    <row r="59" spans="1:14" ht="18" customHeight="1" x14ac:dyDescent="0.25">
      <c r="A59" s="241" t="str">
        <f t="shared" si="4"/>
        <v/>
      </c>
      <c r="B59" s="242"/>
      <c r="C59" s="243" t="str">
        <f>IF(B59="","",IFERROR(VLOOKUP(B59,DB_Customers!$A:$D,4,0),"❌ Account Not Found"))</f>
        <v/>
      </c>
      <c r="D59" s="244" t="str">
        <f t="shared" ca="1" si="5"/>
        <v/>
      </c>
      <c r="E59" s="245"/>
      <c r="F59" s="243"/>
      <c r="G59" s="246"/>
      <c r="H59" s="247">
        <v>2.5</v>
      </c>
      <c r="I59" s="248" t="str">
        <f t="shared" si="6"/>
        <v/>
      </c>
      <c r="J59" s="249" t="str">
        <f t="shared" si="7"/>
        <v/>
      </c>
      <c r="K59" s="250" t="str">
        <f>IF(B59="","Pending",IF(M59="","⚠️ Enter Code",IF(IFERROR(VLOOKUP(L59,DB_Agents!$B:$I,8,0),"")=M59,"Pending","🔒 BLOCKED — Wrong Code")))</f>
        <v>Pending</v>
      </c>
      <c r="L59" s="251" t="s">
        <v>140</v>
      </c>
      <c r="M59" s="252"/>
      <c r="N59" s="242"/>
    </row>
    <row r="60" spans="1:14" ht="18" customHeight="1" x14ac:dyDescent="0.25">
      <c r="A60" s="229" t="str">
        <f t="shared" si="4"/>
        <v/>
      </c>
      <c r="B60" s="230"/>
      <c r="C60" s="231" t="str">
        <f>IF(B60="","",IFERROR(VLOOKUP(B60,DB_Customers!$A:$D,4,0),"❌ Account Not Found"))</f>
        <v/>
      </c>
      <c r="D60" s="232" t="str">
        <f t="shared" ca="1" si="5"/>
        <v/>
      </c>
      <c r="E60" s="233"/>
      <c r="F60" s="231"/>
      <c r="G60" s="234"/>
      <c r="H60" s="235">
        <v>2.5</v>
      </c>
      <c r="I60" s="236" t="str">
        <f t="shared" si="6"/>
        <v/>
      </c>
      <c r="J60" s="237" t="str">
        <f t="shared" si="7"/>
        <v/>
      </c>
      <c r="K60" s="238" t="str">
        <f>IF(B60="","Pending",IF(M60="","⚠️ Enter Code",IF(IFERROR(VLOOKUP(L60,DB_Agents!$B:$I,8,0),"")=M60,"Pending","🔒 BLOCKED — Wrong Code")))</f>
        <v>Pending</v>
      </c>
      <c r="L60" s="239" t="s">
        <v>140</v>
      </c>
      <c r="M60" s="240"/>
      <c r="N60" s="230"/>
    </row>
    <row r="61" spans="1:14" ht="18" customHeight="1" x14ac:dyDescent="0.25">
      <c r="A61" s="241" t="str">
        <f t="shared" si="4"/>
        <v/>
      </c>
      <c r="B61" s="242"/>
      <c r="C61" s="243" t="str">
        <f>IF(B61="","",IFERROR(VLOOKUP(B61,DB_Customers!$A:$D,4,0),"❌ Account Not Found"))</f>
        <v/>
      </c>
      <c r="D61" s="244" t="str">
        <f t="shared" ca="1" si="5"/>
        <v/>
      </c>
      <c r="E61" s="245"/>
      <c r="F61" s="243"/>
      <c r="G61" s="246"/>
      <c r="H61" s="247">
        <v>2.5</v>
      </c>
      <c r="I61" s="248" t="str">
        <f t="shared" si="6"/>
        <v/>
      </c>
      <c r="J61" s="249" t="str">
        <f t="shared" si="7"/>
        <v/>
      </c>
      <c r="K61" s="250" t="str">
        <f>IF(B61="","Pending",IF(M61="","⚠️ Enter Code",IF(IFERROR(VLOOKUP(L61,DB_Agents!$B:$I,8,0),"")=M61,"Pending","🔒 BLOCKED — Wrong Code")))</f>
        <v>Pending</v>
      </c>
      <c r="L61" s="251" t="s">
        <v>140</v>
      </c>
      <c r="M61" s="252"/>
      <c r="N61" s="242"/>
    </row>
    <row r="62" spans="1:14" ht="18" customHeight="1" x14ac:dyDescent="0.25">
      <c r="A62" s="229" t="str">
        <f t="shared" si="4"/>
        <v/>
      </c>
      <c r="B62" s="230"/>
      <c r="C62" s="231" t="str">
        <f>IF(B62="","",IFERROR(VLOOKUP(B62,DB_Customers!$A:$D,4,0),"❌ Account Not Found"))</f>
        <v/>
      </c>
      <c r="D62" s="232" t="str">
        <f t="shared" ca="1" si="5"/>
        <v/>
      </c>
      <c r="E62" s="233"/>
      <c r="F62" s="231"/>
      <c r="G62" s="234"/>
      <c r="H62" s="235">
        <v>2.5</v>
      </c>
      <c r="I62" s="236" t="str">
        <f t="shared" si="6"/>
        <v/>
      </c>
      <c r="J62" s="237" t="str">
        <f t="shared" si="7"/>
        <v/>
      </c>
      <c r="K62" s="238" t="str">
        <f>IF(B62="","Pending",IF(M62="","⚠️ Enter Code",IF(IFERROR(VLOOKUP(L62,DB_Agents!$B:$I,8,0),"")=M62,"Pending","🔒 BLOCKED — Wrong Code")))</f>
        <v>Pending</v>
      </c>
      <c r="L62" s="239" t="s">
        <v>140</v>
      </c>
      <c r="M62" s="240"/>
      <c r="N62" s="230"/>
    </row>
    <row r="63" spans="1:14" ht="18" customHeight="1" x14ac:dyDescent="0.25">
      <c r="A63" s="241" t="str">
        <f t="shared" si="4"/>
        <v/>
      </c>
      <c r="B63" s="242"/>
      <c r="C63" s="243" t="str">
        <f>IF(B63="","",IFERROR(VLOOKUP(B63,DB_Customers!$A:$D,4,0),"❌ Account Not Found"))</f>
        <v/>
      </c>
      <c r="D63" s="244" t="str">
        <f t="shared" ca="1" si="5"/>
        <v/>
      </c>
      <c r="E63" s="245"/>
      <c r="F63" s="243"/>
      <c r="G63" s="246"/>
      <c r="H63" s="247">
        <v>2.5</v>
      </c>
      <c r="I63" s="248" t="str">
        <f t="shared" si="6"/>
        <v/>
      </c>
      <c r="J63" s="249" t="str">
        <f t="shared" si="7"/>
        <v/>
      </c>
      <c r="K63" s="250" t="str">
        <f>IF(B63="","Pending",IF(M63="","⚠️ Enter Code",IF(IFERROR(VLOOKUP(L63,DB_Agents!$B:$I,8,0),"")=M63,"Pending","🔒 BLOCKED — Wrong Code")))</f>
        <v>Pending</v>
      </c>
      <c r="L63" s="251" t="s">
        <v>140</v>
      </c>
      <c r="M63" s="252"/>
      <c r="N63" s="242"/>
    </row>
    <row r="64" spans="1:14" ht="18" customHeight="1" x14ac:dyDescent="0.25">
      <c r="A64" s="229" t="str">
        <f t="shared" si="4"/>
        <v/>
      </c>
      <c r="B64" s="230"/>
      <c r="C64" s="231" t="str">
        <f>IF(B64="","",IFERROR(VLOOKUP(B64,DB_Customers!$A:$D,4,0),"❌ Account Not Found"))</f>
        <v/>
      </c>
      <c r="D64" s="232" t="str">
        <f t="shared" ca="1" si="5"/>
        <v/>
      </c>
      <c r="E64" s="233"/>
      <c r="F64" s="231"/>
      <c r="G64" s="234"/>
      <c r="H64" s="235">
        <v>2.5</v>
      </c>
      <c r="I64" s="236" t="str">
        <f t="shared" si="6"/>
        <v/>
      </c>
      <c r="J64" s="237" t="str">
        <f t="shared" si="7"/>
        <v/>
      </c>
      <c r="K64" s="238" t="str">
        <f>IF(B64="","Pending",IF(M64="","⚠️ Enter Code",IF(IFERROR(VLOOKUP(L64,DB_Agents!$B:$I,8,0),"")=M64,"Pending","🔒 BLOCKED — Wrong Code")))</f>
        <v>Pending</v>
      </c>
      <c r="L64" s="239" t="s">
        <v>140</v>
      </c>
      <c r="M64" s="240"/>
      <c r="N64" s="230"/>
    </row>
    <row r="65" spans="1:14" ht="18" customHeight="1" x14ac:dyDescent="0.25">
      <c r="A65" s="241" t="str">
        <f t="shared" si="4"/>
        <v/>
      </c>
      <c r="B65" s="242"/>
      <c r="C65" s="243" t="str">
        <f>IF(B65="","",IFERROR(VLOOKUP(B65,DB_Customers!$A:$D,4,0),"❌ Account Not Found"))</f>
        <v/>
      </c>
      <c r="D65" s="244" t="str">
        <f t="shared" ca="1" si="5"/>
        <v/>
      </c>
      <c r="E65" s="245"/>
      <c r="F65" s="243"/>
      <c r="G65" s="246"/>
      <c r="H65" s="247">
        <v>2.5</v>
      </c>
      <c r="I65" s="248" t="str">
        <f t="shared" si="6"/>
        <v/>
      </c>
      <c r="J65" s="249" t="str">
        <f t="shared" si="7"/>
        <v/>
      </c>
      <c r="K65" s="250" t="str">
        <f>IF(B65="","Pending",IF(M65="","⚠️ Enter Code",IF(IFERROR(VLOOKUP(L65,DB_Agents!$B:$I,8,0),"")=M65,"Pending","🔒 BLOCKED — Wrong Code")))</f>
        <v>Pending</v>
      </c>
      <c r="L65" s="251" t="s">
        <v>140</v>
      </c>
      <c r="M65" s="252"/>
      <c r="N65" s="242"/>
    </row>
    <row r="66" spans="1:14" ht="18" customHeight="1" x14ac:dyDescent="0.25">
      <c r="A66" s="229" t="str">
        <f t="shared" si="4"/>
        <v/>
      </c>
      <c r="B66" s="230"/>
      <c r="C66" s="231" t="str">
        <f>IF(B66="","",IFERROR(VLOOKUP(B66,DB_Customers!$A:$D,4,0),"❌ Account Not Found"))</f>
        <v/>
      </c>
      <c r="D66" s="232" t="str">
        <f t="shared" ca="1" si="5"/>
        <v/>
      </c>
      <c r="E66" s="233"/>
      <c r="F66" s="231"/>
      <c r="G66" s="234"/>
      <c r="H66" s="235">
        <v>2.5</v>
      </c>
      <c r="I66" s="236" t="str">
        <f t="shared" si="6"/>
        <v/>
      </c>
      <c r="J66" s="237" t="str">
        <f t="shared" si="7"/>
        <v/>
      </c>
      <c r="K66" s="238" t="str">
        <f>IF(B66="","Pending",IF(M66="","⚠️ Enter Code",IF(IFERROR(VLOOKUP(L66,DB_Agents!$B:$I,8,0),"")=M66,"Pending","🔒 BLOCKED — Wrong Code")))</f>
        <v>Pending</v>
      </c>
      <c r="L66" s="239" t="s">
        <v>140</v>
      </c>
      <c r="M66" s="240"/>
      <c r="N66" s="230"/>
    </row>
    <row r="67" spans="1:14" ht="18" customHeight="1" x14ac:dyDescent="0.25">
      <c r="A67" s="241" t="str">
        <f t="shared" si="4"/>
        <v/>
      </c>
      <c r="B67" s="242"/>
      <c r="C67" s="243" t="str">
        <f>IF(B67="","",IFERROR(VLOOKUP(B67,DB_Customers!$A:$D,4,0),"❌ Account Not Found"))</f>
        <v/>
      </c>
      <c r="D67" s="244" t="str">
        <f t="shared" ca="1" si="5"/>
        <v/>
      </c>
      <c r="E67" s="245"/>
      <c r="F67" s="243"/>
      <c r="G67" s="246"/>
      <c r="H67" s="247">
        <v>2.5</v>
      </c>
      <c r="I67" s="248" t="str">
        <f t="shared" si="6"/>
        <v/>
      </c>
      <c r="J67" s="249" t="str">
        <f t="shared" si="7"/>
        <v/>
      </c>
      <c r="K67" s="250" t="str">
        <f>IF(B67="","Pending",IF(M67="","⚠️ Enter Code",IF(IFERROR(VLOOKUP(L67,DB_Agents!$B:$I,8,0),"")=M67,"Pending","🔒 BLOCKED — Wrong Code")))</f>
        <v>Pending</v>
      </c>
      <c r="L67" s="251" t="s">
        <v>140</v>
      </c>
      <c r="M67" s="252"/>
      <c r="N67" s="242"/>
    </row>
    <row r="68" spans="1:14" ht="18" customHeight="1" x14ac:dyDescent="0.25">
      <c r="A68" s="229" t="str">
        <f t="shared" si="4"/>
        <v/>
      </c>
      <c r="B68" s="230"/>
      <c r="C68" s="231" t="str">
        <f>IF(B68="","",IFERROR(VLOOKUP(B68,DB_Customers!$A:$D,4,0),"❌ Account Not Found"))</f>
        <v/>
      </c>
      <c r="D68" s="232" t="str">
        <f t="shared" ca="1" si="5"/>
        <v/>
      </c>
      <c r="E68" s="233"/>
      <c r="F68" s="231"/>
      <c r="G68" s="234"/>
      <c r="H68" s="235">
        <v>2.5</v>
      </c>
      <c r="I68" s="236" t="str">
        <f t="shared" si="6"/>
        <v/>
      </c>
      <c r="J68" s="237" t="str">
        <f t="shared" si="7"/>
        <v/>
      </c>
      <c r="K68" s="238" t="str">
        <f>IF(B68="","Pending",IF(M68="","⚠️ Enter Code",IF(IFERROR(VLOOKUP(L68,DB_Agents!$B:$I,8,0),"")=M68,"Pending","🔒 BLOCKED — Wrong Code")))</f>
        <v>Pending</v>
      </c>
      <c r="L68" s="239" t="s">
        <v>140</v>
      </c>
      <c r="M68" s="240"/>
      <c r="N68" s="230"/>
    </row>
    <row r="69" spans="1:14" ht="18" customHeight="1" x14ac:dyDescent="0.25">
      <c r="A69" s="241" t="str">
        <f t="shared" si="4"/>
        <v/>
      </c>
      <c r="B69" s="242"/>
      <c r="C69" s="243" t="str">
        <f>IF(B69="","",IFERROR(VLOOKUP(B69,DB_Customers!$A:$D,4,0),"❌ Account Not Found"))</f>
        <v/>
      </c>
      <c r="D69" s="244" t="str">
        <f t="shared" ca="1" si="5"/>
        <v/>
      </c>
      <c r="E69" s="245"/>
      <c r="F69" s="243"/>
      <c r="G69" s="246"/>
      <c r="H69" s="247">
        <v>2.5</v>
      </c>
      <c r="I69" s="248" t="str">
        <f t="shared" si="6"/>
        <v/>
      </c>
      <c r="J69" s="249" t="str">
        <f t="shared" si="7"/>
        <v/>
      </c>
      <c r="K69" s="250" t="str">
        <f>IF(B69="","Pending",IF(M69="","⚠️ Enter Code",IF(IFERROR(VLOOKUP(L69,DB_Agents!$B:$I,8,0),"")=M69,"Pending","🔒 BLOCKED — Wrong Code")))</f>
        <v>Pending</v>
      </c>
      <c r="L69" s="251" t="s">
        <v>140</v>
      </c>
      <c r="M69" s="252"/>
      <c r="N69" s="242"/>
    </row>
    <row r="70" spans="1:14" ht="18" customHeight="1" x14ac:dyDescent="0.25">
      <c r="A70" s="229" t="str">
        <f t="shared" si="4"/>
        <v/>
      </c>
      <c r="B70" s="230"/>
      <c r="C70" s="231" t="str">
        <f>IF(B70="","",IFERROR(VLOOKUP(B70,DB_Customers!$A:$D,4,0),"❌ Account Not Found"))</f>
        <v/>
      </c>
      <c r="D70" s="232" t="str">
        <f t="shared" ca="1" si="5"/>
        <v/>
      </c>
      <c r="E70" s="233"/>
      <c r="F70" s="231"/>
      <c r="G70" s="234"/>
      <c r="H70" s="235">
        <v>2.5</v>
      </c>
      <c r="I70" s="236" t="str">
        <f t="shared" si="6"/>
        <v/>
      </c>
      <c r="J70" s="237" t="str">
        <f t="shared" si="7"/>
        <v/>
      </c>
      <c r="K70" s="238" t="str">
        <f>IF(B70="","Pending",IF(M70="","⚠️ Enter Code",IF(IFERROR(VLOOKUP(L70,DB_Agents!$B:$I,8,0),"")=M70,"Pending","🔒 BLOCKED — Wrong Code")))</f>
        <v>Pending</v>
      </c>
      <c r="L70" s="239" t="s">
        <v>140</v>
      </c>
      <c r="M70" s="240"/>
      <c r="N70" s="230"/>
    </row>
    <row r="71" spans="1:14" ht="18" customHeight="1" x14ac:dyDescent="0.25">
      <c r="A71" s="241" t="str">
        <f t="shared" si="4"/>
        <v/>
      </c>
      <c r="B71" s="242"/>
      <c r="C71" s="243" t="str">
        <f>IF(B71="","",IFERROR(VLOOKUP(B71,DB_Customers!$A:$D,4,0),"❌ Account Not Found"))</f>
        <v/>
      </c>
      <c r="D71" s="244" t="str">
        <f t="shared" ca="1" si="5"/>
        <v/>
      </c>
      <c r="E71" s="245"/>
      <c r="F71" s="243"/>
      <c r="G71" s="246"/>
      <c r="H71" s="247">
        <v>2.5</v>
      </c>
      <c r="I71" s="248" t="str">
        <f t="shared" si="6"/>
        <v/>
      </c>
      <c r="J71" s="249" t="str">
        <f t="shared" si="7"/>
        <v/>
      </c>
      <c r="K71" s="250" t="str">
        <f>IF(B71="","Pending",IF(M71="","⚠️ Enter Code",IF(IFERROR(VLOOKUP(L71,DB_Agents!$B:$I,8,0),"")=M71,"Pending","🔒 BLOCKED — Wrong Code")))</f>
        <v>Pending</v>
      </c>
      <c r="L71" s="251" t="s">
        <v>140</v>
      </c>
      <c r="M71" s="252"/>
      <c r="N71" s="242"/>
    </row>
    <row r="72" spans="1:14" ht="18" customHeight="1" x14ac:dyDescent="0.25">
      <c r="A72" s="229" t="str">
        <f t="shared" si="4"/>
        <v/>
      </c>
      <c r="B72" s="230"/>
      <c r="C72" s="231" t="str">
        <f>IF(B72="","",IFERROR(VLOOKUP(B72,DB_Customers!$A:$D,4,0),"❌ Account Not Found"))</f>
        <v/>
      </c>
      <c r="D72" s="232" t="str">
        <f t="shared" ca="1" si="5"/>
        <v/>
      </c>
      <c r="E72" s="233"/>
      <c r="F72" s="231"/>
      <c r="G72" s="234"/>
      <c r="H72" s="235">
        <v>2.5</v>
      </c>
      <c r="I72" s="236" t="str">
        <f t="shared" si="6"/>
        <v/>
      </c>
      <c r="J72" s="237" t="str">
        <f t="shared" si="7"/>
        <v/>
      </c>
      <c r="K72" s="238" t="str">
        <f>IF(B72="","Pending",IF(M72="","⚠️ Enter Code",IF(IFERROR(VLOOKUP(L72,DB_Agents!$B:$I,8,0),"")=M72,"Pending","🔒 BLOCKED — Wrong Code")))</f>
        <v>Pending</v>
      </c>
      <c r="L72" s="239" t="s">
        <v>140</v>
      </c>
      <c r="M72" s="240"/>
      <c r="N72" s="230"/>
    </row>
    <row r="73" spans="1:14" ht="18" customHeight="1" x14ac:dyDescent="0.25">
      <c r="A73" s="241" t="str">
        <f t="shared" si="4"/>
        <v/>
      </c>
      <c r="B73" s="242"/>
      <c r="C73" s="243" t="str">
        <f>IF(B73="","",IFERROR(VLOOKUP(B73,DB_Customers!$A:$D,4,0),"❌ Account Not Found"))</f>
        <v/>
      </c>
      <c r="D73" s="244" t="str">
        <f t="shared" ca="1" si="5"/>
        <v/>
      </c>
      <c r="E73" s="245"/>
      <c r="F73" s="243"/>
      <c r="G73" s="246"/>
      <c r="H73" s="247">
        <v>2.5</v>
      </c>
      <c r="I73" s="248" t="str">
        <f t="shared" si="6"/>
        <v/>
      </c>
      <c r="J73" s="249" t="str">
        <f t="shared" si="7"/>
        <v/>
      </c>
      <c r="K73" s="250" t="str">
        <f>IF(B73="","Pending",IF(M73="","⚠️ Enter Code",IF(IFERROR(VLOOKUP(L73,DB_Agents!$B:$I,8,0),"")=M73,"Pending","🔒 BLOCKED — Wrong Code")))</f>
        <v>Pending</v>
      </c>
      <c r="L73" s="251" t="s">
        <v>140</v>
      </c>
      <c r="M73" s="252"/>
      <c r="N73" s="242"/>
    </row>
    <row r="74" spans="1:14" ht="18" customHeight="1" x14ac:dyDescent="0.25">
      <c r="A74" s="229" t="str">
        <f t="shared" si="4"/>
        <v/>
      </c>
      <c r="B74" s="230"/>
      <c r="C74" s="231" t="str">
        <f>IF(B74="","",IFERROR(VLOOKUP(B74,DB_Customers!$A:$D,4,0),"❌ Account Not Found"))</f>
        <v/>
      </c>
      <c r="D74" s="232" t="str">
        <f t="shared" ca="1" si="5"/>
        <v/>
      </c>
      <c r="E74" s="233"/>
      <c r="F74" s="231"/>
      <c r="G74" s="234"/>
      <c r="H74" s="235">
        <v>2.5</v>
      </c>
      <c r="I74" s="236" t="str">
        <f t="shared" si="6"/>
        <v/>
      </c>
      <c r="J74" s="237" t="str">
        <f t="shared" si="7"/>
        <v/>
      </c>
      <c r="K74" s="238" t="str">
        <f>IF(B74="","Pending",IF(M74="","⚠️ Enter Code",IF(IFERROR(VLOOKUP(L74,DB_Agents!$B:$I,8,0),"")=M74,"Pending","🔒 BLOCKED — Wrong Code")))</f>
        <v>Pending</v>
      </c>
      <c r="L74" s="239" t="s">
        <v>140</v>
      </c>
      <c r="M74" s="240"/>
      <c r="N74" s="230"/>
    </row>
    <row r="75" spans="1:14" ht="18" customHeight="1" x14ac:dyDescent="0.25">
      <c r="A75" s="241" t="str">
        <f t="shared" si="4"/>
        <v/>
      </c>
      <c r="B75" s="242"/>
      <c r="C75" s="243" t="str">
        <f>IF(B75="","",IFERROR(VLOOKUP(B75,DB_Customers!$A:$D,4,0),"❌ Account Not Found"))</f>
        <v/>
      </c>
      <c r="D75" s="244" t="str">
        <f t="shared" ca="1" si="5"/>
        <v/>
      </c>
      <c r="E75" s="245"/>
      <c r="F75" s="243"/>
      <c r="G75" s="246"/>
      <c r="H75" s="247">
        <v>2.5</v>
      </c>
      <c r="I75" s="248" t="str">
        <f t="shared" si="6"/>
        <v/>
      </c>
      <c r="J75" s="249" t="str">
        <f t="shared" si="7"/>
        <v/>
      </c>
      <c r="K75" s="250" t="str">
        <f>IF(B75="","Pending",IF(M75="","⚠️ Enter Code",IF(IFERROR(VLOOKUP(L75,DB_Agents!$B:$I,8,0),"")=M75,"Pending","🔒 BLOCKED — Wrong Code")))</f>
        <v>Pending</v>
      </c>
      <c r="L75" s="251" t="s">
        <v>140</v>
      </c>
      <c r="M75" s="252"/>
      <c r="N75" s="242"/>
    </row>
    <row r="76" spans="1:14" ht="18" customHeight="1" x14ac:dyDescent="0.25">
      <c r="A76" s="229" t="str">
        <f t="shared" si="4"/>
        <v/>
      </c>
      <c r="B76" s="230"/>
      <c r="C76" s="231" t="str">
        <f>IF(B76="","",IFERROR(VLOOKUP(B76,DB_Customers!$A:$D,4,0),"❌ Account Not Found"))</f>
        <v/>
      </c>
      <c r="D76" s="232" t="str">
        <f t="shared" ca="1" si="5"/>
        <v/>
      </c>
      <c r="E76" s="233"/>
      <c r="F76" s="231"/>
      <c r="G76" s="234"/>
      <c r="H76" s="235">
        <v>2.5</v>
      </c>
      <c r="I76" s="236" t="str">
        <f t="shared" si="6"/>
        <v/>
      </c>
      <c r="J76" s="237" t="str">
        <f t="shared" si="7"/>
        <v/>
      </c>
      <c r="K76" s="238" t="str">
        <f>IF(B76="","Pending",IF(M76="","⚠️ Enter Code",IF(IFERROR(VLOOKUP(L76,DB_Agents!$B:$I,8,0),"")=M76,"Pending","🔒 BLOCKED — Wrong Code")))</f>
        <v>Pending</v>
      </c>
      <c r="L76" s="239" t="s">
        <v>140</v>
      </c>
      <c r="M76" s="240"/>
      <c r="N76" s="230"/>
    </row>
    <row r="77" spans="1:14" ht="18" customHeight="1" x14ac:dyDescent="0.25">
      <c r="A77" s="241" t="str">
        <f t="shared" si="4"/>
        <v/>
      </c>
      <c r="B77" s="242"/>
      <c r="C77" s="243" t="str">
        <f>IF(B77="","",IFERROR(VLOOKUP(B77,DB_Customers!$A:$D,4,0),"❌ Account Not Found"))</f>
        <v/>
      </c>
      <c r="D77" s="244" t="str">
        <f t="shared" ca="1" si="5"/>
        <v/>
      </c>
      <c r="E77" s="245"/>
      <c r="F77" s="243"/>
      <c r="G77" s="246"/>
      <c r="H77" s="247">
        <v>2.5</v>
      </c>
      <c r="I77" s="248" t="str">
        <f t="shared" si="6"/>
        <v/>
      </c>
      <c r="J77" s="249" t="str">
        <f t="shared" si="7"/>
        <v/>
      </c>
      <c r="K77" s="250" t="str">
        <f>IF(B77="","Pending",IF(M77="","⚠️ Enter Code",IF(IFERROR(VLOOKUP(L77,DB_Agents!$B:$I,8,0),"")=M77,"Pending","🔒 BLOCKED — Wrong Code")))</f>
        <v>Pending</v>
      </c>
      <c r="L77" s="251" t="s">
        <v>140</v>
      </c>
      <c r="M77" s="252"/>
      <c r="N77" s="242"/>
    </row>
    <row r="78" spans="1:14" ht="18" customHeight="1" x14ac:dyDescent="0.25">
      <c r="A78" s="229" t="str">
        <f t="shared" ref="A78:A109" si="8">IF(B78="","",IF(C78="❌ Account Not Found","INVALID","LN"&amp;TEXT(D78,"YYYYMMDD")&amp;TEXT(ROW()-13,"0000")))</f>
        <v/>
      </c>
      <c r="B78" s="230"/>
      <c r="C78" s="231" t="str">
        <f>IF(B78="","",IFERROR(VLOOKUP(B78,DB_Customers!$A:$D,4,0),"❌ Account Not Found"))</f>
        <v/>
      </c>
      <c r="D78" s="232" t="str">
        <f t="shared" ref="D78:D109" ca="1" si="9">IF(B78="","",TODAY())</f>
        <v/>
      </c>
      <c r="E78" s="233"/>
      <c r="F78" s="231"/>
      <c r="G78" s="234"/>
      <c r="H78" s="235">
        <v>2.5</v>
      </c>
      <c r="I78" s="236" t="str">
        <f t="shared" ref="I78:I109" si="10">IF(E78="","",E78+(E78*H78/100*G78))</f>
        <v/>
      </c>
      <c r="J78" s="237" t="str">
        <f t="shared" ref="J78:J109" si="11">IFERROR(I78/G78,"")</f>
        <v/>
      </c>
      <c r="K78" s="238" t="str">
        <f>IF(B78="","Pending",IF(M78="","⚠️ Enter Code",IF(IFERROR(VLOOKUP(L78,DB_Agents!$B:$I,8,0),"")=M78,"Pending","🔒 BLOCKED — Wrong Code")))</f>
        <v>Pending</v>
      </c>
      <c r="L78" s="239" t="s">
        <v>140</v>
      </c>
      <c r="M78" s="240"/>
      <c r="N78" s="230"/>
    </row>
    <row r="79" spans="1:14" ht="18" customHeight="1" x14ac:dyDescent="0.25">
      <c r="A79" s="241" t="str">
        <f t="shared" si="8"/>
        <v/>
      </c>
      <c r="B79" s="242"/>
      <c r="C79" s="243" t="str">
        <f>IF(B79="","",IFERROR(VLOOKUP(B79,DB_Customers!$A:$D,4,0),"❌ Account Not Found"))</f>
        <v/>
      </c>
      <c r="D79" s="244" t="str">
        <f t="shared" ca="1" si="9"/>
        <v/>
      </c>
      <c r="E79" s="245"/>
      <c r="F79" s="243"/>
      <c r="G79" s="246"/>
      <c r="H79" s="247">
        <v>2.5</v>
      </c>
      <c r="I79" s="248" t="str">
        <f t="shared" si="10"/>
        <v/>
      </c>
      <c r="J79" s="249" t="str">
        <f t="shared" si="11"/>
        <v/>
      </c>
      <c r="K79" s="250" t="str">
        <f>IF(B79="","Pending",IF(M79="","⚠️ Enter Code",IF(IFERROR(VLOOKUP(L79,DB_Agents!$B:$I,8,0),"")=M79,"Pending","🔒 BLOCKED — Wrong Code")))</f>
        <v>Pending</v>
      </c>
      <c r="L79" s="251" t="s">
        <v>140</v>
      </c>
      <c r="M79" s="252"/>
      <c r="N79" s="242"/>
    </row>
    <row r="80" spans="1:14" ht="18" customHeight="1" x14ac:dyDescent="0.25">
      <c r="A80" s="229" t="str">
        <f t="shared" si="8"/>
        <v/>
      </c>
      <c r="B80" s="230"/>
      <c r="C80" s="231" t="str">
        <f>IF(B80="","",IFERROR(VLOOKUP(B80,DB_Customers!$A:$D,4,0),"❌ Account Not Found"))</f>
        <v/>
      </c>
      <c r="D80" s="232" t="str">
        <f t="shared" ca="1" si="9"/>
        <v/>
      </c>
      <c r="E80" s="233"/>
      <c r="F80" s="231"/>
      <c r="G80" s="234"/>
      <c r="H80" s="235">
        <v>2.5</v>
      </c>
      <c r="I80" s="236" t="str">
        <f t="shared" si="10"/>
        <v/>
      </c>
      <c r="J80" s="237" t="str">
        <f t="shared" si="11"/>
        <v/>
      </c>
      <c r="K80" s="238" t="str">
        <f>IF(B80="","Pending",IF(M80="","⚠️ Enter Code",IF(IFERROR(VLOOKUP(L80,DB_Agents!$B:$I,8,0),"")=M80,"Pending","🔒 BLOCKED — Wrong Code")))</f>
        <v>Pending</v>
      </c>
      <c r="L80" s="239" t="s">
        <v>140</v>
      </c>
      <c r="M80" s="240"/>
      <c r="N80" s="230"/>
    </row>
    <row r="81" spans="1:14" ht="18" customHeight="1" x14ac:dyDescent="0.25">
      <c r="A81" s="241" t="str">
        <f t="shared" si="8"/>
        <v/>
      </c>
      <c r="B81" s="242"/>
      <c r="C81" s="243" t="str">
        <f>IF(B81="","",IFERROR(VLOOKUP(B81,DB_Customers!$A:$D,4,0),"❌ Account Not Found"))</f>
        <v/>
      </c>
      <c r="D81" s="244" t="str">
        <f t="shared" ca="1" si="9"/>
        <v/>
      </c>
      <c r="E81" s="245"/>
      <c r="F81" s="243"/>
      <c r="G81" s="246"/>
      <c r="H81" s="247">
        <v>2.5</v>
      </c>
      <c r="I81" s="248" t="str">
        <f t="shared" si="10"/>
        <v/>
      </c>
      <c r="J81" s="249" t="str">
        <f t="shared" si="11"/>
        <v/>
      </c>
      <c r="K81" s="250" t="str">
        <f>IF(B81="","Pending",IF(M81="","⚠️ Enter Code",IF(IFERROR(VLOOKUP(L81,DB_Agents!$B:$I,8,0),"")=M81,"Pending","🔒 BLOCKED — Wrong Code")))</f>
        <v>Pending</v>
      </c>
      <c r="L81" s="251" t="s">
        <v>140</v>
      </c>
      <c r="M81" s="252"/>
      <c r="N81" s="242"/>
    </row>
    <row r="82" spans="1:14" ht="18" customHeight="1" x14ac:dyDescent="0.25">
      <c r="A82" s="229" t="str">
        <f t="shared" si="8"/>
        <v/>
      </c>
      <c r="B82" s="230"/>
      <c r="C82" s="231" t="str">
        <f>IF(B82="","",IFERROR(VLOOKUP(B82,DB_Customers!$A:$D,4,0),"❌ Account Not Found"))</f>
        <v/>
      </c>
      <c r="D82" s="232" t="str">
        <f t="shared" ca="1" si="9"/>
        <v/>
      </c>
      <c r="E82" s="233"/>
      <c r="F82" s="231"/>
      <c r="G82" s="234"/>
      <c r="H82" s="235">
        <v>2.5</v>
      </c>
      <c r="I82" s="236" t="str">
        <f t="shared" si="10"/>
        <v/>
      </c>
      <c r="J82" s="237" t="str">
        <f t="shared" si="11"/>
        <v/>
      </c>
      <c r="K82" s="238" t="str">
        <f>IF(B82="","Pending",IF(M82="","⚠️ Enter Code",IF(IFERROR(VLOOKUP(L82,DB_Agents!$B:$I,8,0),"")=M82,"Pending","🔒 BLOCKED — Wrong Code")))</f>
        <v>Pending</v>
      </c>
      <c r="L82" s="239" t="s">
        <v>140</v>
      </c>
      <c r="M82" s="240"/>
      <c r="N82" s="230"/>
    </row>
    <row r="83" spans="1:14" ht="18" customHeight="1" x14ac:dyDescent="0.25">
      <c r="A83" s="241" t="str">
        <f t="shared" si="8"/>
        <v/>
      </c>
      <c r="B83" s="242"/>
      <c r="C83" s="243" t="str">
        <f>IF(B83="","",IFERROR(VLOOKUP(B83,DB_Customers!$A:$D,4,0),"❌ Account Not Found"))</f>
        <v/>
      </c>
      <c r="D83" s="244" t="str">
        <f t="shared" ca="1" si="9"/>
        <v/>
      </c>
      <c r="E83" s="245"/>
      <c r="F83" s="243"/>
      <c r="G83" s="246"/>
      <c r="H83" s="247">
        <v>2.5</v>
      </c>
      <c r="I83" s="248" t="str">
        <f t="shared" si="10"/>
        <v/>
      </c>
      <c r="J83" s="249" t="str">
        <f t="shared" si="11"/>
        <v/>
      </c>
      <c r="K83" s="250" t="str">
        <f>IF(B83="","Pending",IF(M83="","⚠️ Enter Code",IF(IFERROR(VLOOKUP(L83,DB_Agents!$B:$I,8,0),"")=M83,"Pending","🔒 BLOCKED — Wrong Code")))</f>
        <v>Pending</v>
      </c>
      <c r="L83" s="251" t="s">
        <v>140</v>
      </c>
      <c r="M83" s="252"/>
      <c r="N83" s="242"/>
    </row>
    <row r="84" spans="1:14" ht="18" customHeight="1" x14ac:dyDescent="0.25">
      <c r="A84" s="229" t="str">
        <f t="shared" si="8"/>
        <v/>
      </c>
      <c r="B84" s="230"/>
      <c r="C84" s="231" t="str">
        <f>IF(B84="","",IFERROR(VLOOKUP(B84,DB_Customers!$A:$D,4,0),"❌ Account Not Found"))</f>
        <v/>
      </c>
      <c r="D84" s="232" t="str">
        <f t="shared" ca="1" si="9"/>
        <v/>
      </c>
      <c r="E84" s="233"/>
      <c r="F84" s="231"/>
      <c r="G84" s="234"/>
      <c r="H84" s="235">
        <v>2.5</v>
      </c>
      <c r="I84" s="236" t="str">
        <f t="shared" si="10"/>
        <v/>
      </c>
      <c r="J84" s="237" t="str">
        <f t="shared" si="11"/>
        <v/>
      </c>
      <c r="K84" s="238" t="str">
        <f>IF(B84="","Pending",IF(M84="","⚠️ Enter Code",IF(IFERROR(VLOOKUP(L84,DB_Agents!$B:$I,8,0),"")=M84,"Pending","🔒 BLOCKED — Wrong Code")))</f>
        <v>Pending</v>
      </c>
      <c r="L84" s="239" t="s">
        <v>140</v>
      </c>
      <c r="M84" s="240"/>
      <c r="N84" s="230"/>
    </row>
    <row r="85" spans="1:14" ht="18" customHeight="1" x14ac:dyDescent="0.25">
      <c r="A85" s="241" t="str">
        <f t="shared" si="8"/>
        <v/>
      </c>
      <c r="B85" s="242"/>
      <c r="C85" s="243" t="str">
        <f>IF(B85="","",IFERROR(VLOOKUP(B85,DB_Customers!$A:$D,4,0),"❌ Account Not Found"))</f>
        <v/>
      </c>
      <c r="D85" s="244" t="str">
        <f t="shared" ca="1" si="9"/>
        <v/>
      </c>
      <c r="E85" s="245"/>
      <c r="F85" s="243"/>
      <c r="G85" s="246"/>
      <c r="H85" s="247">
        <v>2.5</v>
      </c>
      <c r="I85" s="248" t="str">
        <f t="shared" si="10"/>
        <v/>
      </c>
      <c r="J85" s="249" t="str">
        <f t="shared" si="11"/>
        <v/>
      </c>
      <c r="K85" s="250" t="str">
        <f>IF(B85="","Pending",IF(M85="","⚠️ Enter Code",IF(IFERROR(VLOOKUP(L85,DB_Agents!$B:$I,8,0),"")=M85,"Pending","🔒 BLOCKED — Wrong Code")))</f>
        <v>Pending</v>
      </c>
      <c r="L85" s="251" t="s">
        <v>140</v>
      </c>
      <c r="M85" s="252"/>
      <c r="N85" s="242"/>
    </row>
    <row r="86" spans="1:14" ht="18" customHeight="1" x14ac:dyDescent="0.25">
      <c r="A86" s="229" t="str">
        <f t="shared" si="8"/>
        <v/>
      </c>
      <c r="B86" s="230"/>
      <c r="C86" s="231" t="str">
        <f>IF(B86="","",IFERROR(VLOOKUP(B86,DB_Customers!$A:$D,4,0),"❌ Account Not Found"))</f>
        <v/>
      </c>
      <c r="D86" s="232" t="str">
        <f t="shared" ca="1" si="9"/>
        <v/>
      </c>
      <c r="E86" s="233"/>
      <c r="F86" s="231"/>
      <c r="G86" s="234"/>
      <c r="H86" s="235">
        <v>2.5</v>
      </c>
      <c r="I86" s="236" t="str">
        <f t="shared" si="10"/>
        <v/>
      </c>
      <c r="J86" s="237" t="str">
        <f t="shared" si="11"/>
        <v/>
      </c>
      <c r="K86" s="238" t="str">
        <f>IF(B86="","Pending",IF(M86="","⚠️ Enter Code",IF(IFERROR(VLOOKUP(L86,DB_Agents!$B:$I,8,0),"")=M86,"Pending","🔒 BLOCKED — Wrong Code")))</f>
        <v>Pending</v>
      </c>
      <c r="L86" s="239" t="s">
        <v>140</v>
      </c>
      <c r="M86" s="240"/>
      <c r="N86" s="230"/>
    </row>
    <row r="87" spans="1:14" ht="18" customHeight="1" x14ac:dyDescent="0.25">
      <c r="A87" s="241" t="str">
        <f t="shared" si="8"/>
        <v/>
      </c>
      <c r="B87" s="242"/>
      <c r="C87" s="243" t="str">
        <f>IF(B87="","",IFERROR(VLOOKUP(B87,DB_Customers!$A:$D,4,0),"❌ Account Not Found"))</f>
        <v/>
      </c>
      <c r="D87" s="244" t="str">
        <f t="shared" ca="1" si="9"/>
        <v/>
      </c>
      <c r="E87" s="245"/>
      <c r="F87" s="243"/>
      <c r="G87" s="246"/>
      <c r="H87" s="247">
        <v>2.5</v>
      </c>
      <c r="I87" s="248" t="str">
        <f t="shared" si="10"/>
        <v/>
      </c>
      <c r="J87" s="249" t="str">
        <f t="shared" si="11"/>
        <v/>
      </c>
      <c r="K87" s="250" t="str">
        <f>IF(B87="","Pending",IF(M87="","⚠️ Enter Code",IF(IFERROR(VLOOKUP(L87,DB_Agents!$B:$I,8,0),"")=M87,"Pending","🔒 BLOCKED — Wrong Code")))</f>
        <v>Pending</v>
      </c>
      <c r="L87" s="251" t="s">
        <v>140</v>
      </c>
      <c r="M87" s="252"/>
      <c r="N87" s="242"/>
    </row>
    <row r="88" spans="1:14" ht="18" customHeight="1" x14ac:dyDescent="0.25">
      <c r="A88" s="229" t="str">
        <f t="shared" si="8"/>
        <v/>
      </c>
      <c r="B88" s="230"/>
      <c r="C88" s="231" t="str">
        <f>IF(B88="","",IFERROR(VLOOKUP(B88,DB_Customers!$A:$D,4,0),"❌ Account Not Found"))</f>
        <v/>
      </c>
      <c r="D88" s="232" t="str">
        <f t="shared" ca="1" si="9"/>
        <v/>
      </c>
      <c r="E88" s="233"/>
      <c r="F88" s="231"/>
      <c r="G88" s="234"/>
      <c r="H88" s="235">
        <v>2.5</v>
      </c>
      <c r="I88" s="236" t="str">
        <f t="shared" si="10"/>
        <v/>
      </c>
      <c r="J88" s="237" t="str">
        <f t="shared" si="11"/>
        <v/>
      </c>
      <c r="K88" s="238" t="str">
        <f>IF(B88="","Pending",IF(M88="","⚠️ Enter Code",IF(IFERROR(VLOOKUP(L88,DB_Agents!$B:$I,8,0),"")=M88,"Pending","🔒 BLOCKED — Wrong Code")))</f>
        <v>Pending</v>
      </c>
      <c r="L88" s="239" t="s">
        <v>140</v>
      </c>
      <c r="M88" s="240"/>
      <c r="N88" s="230"/>
    </row>
    <row r="89" spans="1:14" ht="18" customHeight="1" x14ac:dyDescent="0.25">
      <c r="A89" s="241" t="str">
        <f t="shared" si="8"/>
        <v/>
      </c>
      <c r="B89" s="242"/>
      <c r="C89" s="243" t="str">
        <f>IF(B89="","",IFERROR(VLOOKUP(B89,DB_Customers!$A:$D,4,0),"❌ Account Not Found"))</f>
        <v/>
      </c>
      <c r="D89" s="244" t="str">
        <f t="shared" ca="1" si="9"/>
        <v/>
      </c>
      <c r="E89" s="245"/>
      <c r="F89" s="243"/>
      <c r="G89" s="246"/>
      <c r="H89" s="247">
        <v>2.5</v>
      </c>
      <c r="I89" s="248" t="str">
        <f t="shared" si="10"/>
        <v/>
      </c>
      <c r="J89" s="249" t="str">
        <f t="shared" si="11"/>
        <v/>
      </c>
      <c r="K89" s="250" t="str">
        <f>IF(B89="","Pending",IF(M89="","⚠️ Enter Code",IF(IFERROR(VLOOKUP(L89,DB_Agents!$B:$I,8,0),"")=M89,"Pending","🔒 BLOCKED — Wrong Code")))</f>
        <v>Pending</v>
      </c>
      <c r="L89" s="251" t="s">
        <v>140</v>
      </c>
      <c r="M89" s="252"/>
      <c r="N89" s="242"/>
    </row>
    <row r="90" spans="1:14" ht="18" customHeight="1" x14ac:dyDescent="0.25">
      <c r="A90" s="229" t="str">
        <f t="shared" si="8"/>
        <v/>
      </c>
      <c r="B90" s="230"/>
      <c r="C90" s="231" t="str">
        <f>IF(B90="","",IFERROR(VLOOKUP(B90,DB_Customers!$A:$D,4,0),"❌ Account Not Found"))</f>
        <v/>
      </c>
      <c r="D90" s="232" t="str">
        <f t="shared" ca="1" si="9"/>
        <v/>
      </c>
      <c r="E90" s="233"/>
      <c r="F90" s="231"/>
      <c r="G90" s="234"/>
      <c r="H90" s="235">
        <v>2.5</v>
      </c>
      <c r="I90" s="236" t="str">
        <f t="shared" si="10"/>
        <v/>
      </c>
      <c r="J90" s="237" t="str">
        <f t="shared" si="11"/>
        <v/>
      </c>
      <c r="K90" s="238" t="str">
        <f>IF(B90="","Pending",IF(M90="","⚠️ Enter Code",IF(IFERROR(VLOOKUP(L90,DB_Agents!$B:$I,8,0),"")=M90,"Pending","🔒 BLOCKED — Wrong Code")))</f>
        <v>Pending</v>
      </c>
      <c r="L90" s="239" t="s">
        <v>140</v>
      </c>
      <c r="M90" s="240"/>
      <c r="N90" s="230"/>
    </row>
    <row r="91" spans="1:14" ht="18" customHeight="1" x14ac:dyDescent="0.25">
      <c r="A91" s="241" t="str">
        <f t="shared" si="8"/>
        <v/>
      </c>
      <c r="B91" s="242"/>
      <c r="C91" s="243" t="str">
        <f>IF(B91="","",IFERROR(VLOOKUP(B91,DB_Customers!$A:$D,4,0),"❌ Account Not Found"))</f>
        <v/>
      </c>
      <c r="D91" s="244" t="str">
        <f t="shared" ca="1" si="9"/>
        <v/>
      </c>
      <c r="E91" s="245"/>
      <c r="F91" s="243"/>
      <c r="G91" s="246"/>
      <c r="H91" s="247">
        <v>2.5</v>
      </c>
      <c r="I91" s="248" t="str">
        <f t="shared" si="10"/>
        <v/>
      </c>
      <c r="J91" s="249" t="str">
        <f t="shared" si="11"/>
        <v/>
      </c>
      <c r="K91" s="250" t="str">
        <f>IF(B91="","Pending",IF(M91="","⚠️ Enter Code",IF(IFERROR(VLOOKUP(L91,DB_Agents!$B:$I,8,0),"")=M91,"Pending","🔒 BLOCKED — Wrong Code")))</f>
        <v>Pending</v>
      </c>
      <c r="L91" s="251" t="s">
        <v>140</v>
      </c>
      <c r="M91" s="252"/>
      <c r="N91" s="242"/>
    </row>
    <row r="92" spans="1:14" ht="18" customHeight="1" x14ac:dyDescent="0.25">
      <c r="A92" s="229" t="str">
        <f t="shared" si="8"/>
        <v/>
      </c>
      <c r="B92" s="230"/>
      <c r="C92" s="231" t="str">
        <f>IF(B92="","",IFERROR(VLOOKUP(B92,DB_Customers!$A:$D,4,0),"❌ Account Not Found"))</f>
        <v/>
      </c>
      <c r="D92" s="232" t="str">
        <f t="shared" ca="1" si="9"/>
        <v/>
      </c>
      <c r="E92" s="233"/>
      <c r="F92" s="231"/>
      <c r="G92" s="234"/>
      <c r="H92" s="235">
        <v>2.5</v>
      </c>
      <c r="I92" s="236" t="str">
        <f t="shared" si="10"/>
        <v/>
      </c>
      <c r="J92" s="237" t="str">
        <f t="shared" si="11"/>
        <v/>
      </c>
      <c r="K92" s="238" t="str">
        <f>IF(B92="","Pending",IF(M92="","⚠️ Enter Code",IF(IFERROR(VLOOKUP(L92,DB_Agents!$B:$I,8,0),"")=M92,"Pending","🔒 BLOCKED — Wrong Code")))</f>
        <v>Pending</v>
      </c>
      <c r="L92" s="239" t="s">
        <v>140</v>
      </c>
      <c r="M92" s="240"/>
      <c r="N92" s="230"/>
    </row>
    <row r="93" spans="1:14" ht="18" customHeight="1" x14ac:dyDescent="0.25">
      <c r="A93" s="241" t="str">
        <f t="shared" si="8"/>
        <v/>
      </c>
      <c r="B93" s="242"/>
      <c r="C93" s="243" t="str">
        <f>IF(B93="","",IFERROR(VLOOKUP(B93,DB_Customers!$A:$D,4,0),"❌ Account Not Found"))</f>
        <v/>
      </c>
      <c r="D93" s="244" t="str">
        <f t="shared" ca="1" si="9"/>
        <v/>
      </c>
      <c r="E93" s="245"/>
      <c r="F93" s="243"/>
      <c r="G93" s="246"/>
      <c r="H93" s="247">
        <v>2.5</v>
      </c>
      <c r="I93" s="248" t="str">
        <f t="shared" si="10"/>
        <v/>
      </c>
      <c r="J93" s="249" t="str">
        <f t="shared" si="11"/>
        <v/>
      </c>
      <c r="K93" s="250" t="str">
        <f>IF(B93="","Pending",IF(M93="","⚠️ Enter Code",IF(IFERROR(VLOOKUP(L93,DB_Agents!$B:$I,8,0),"")=M93,"Pending","🔒 BLOCKED — Wrong Code")))</f>
        <v>Pending</v>
      </c>
      <c r="L93" s="251" t="s">
        <v>140</v>
      </c>
      <c r="M93" s="252"/>
      <c r="N93" s="242"/>
    </row>
    <row r="94" spans="1:14" ht="18" customHeight="1" x14ac:dyDescent="0.25">
      <c r="A94" s="229" t="str">
        <f t="shared" si="8"/>
        <v/>
      </c>
      <c r="B94" s="230"/>
      <c r="C94" s="231" t="str">
        <f>IF(B94="","",IFERROR(VLOOKUP(B94,DB_Customers!$A:$D,4,0),"❌ Account Not Found"))</f>
        <v/>
      </c>
      <c r="D94" s="232" t="str">
        <f t="shared" ca="1" si="9"/>
        <v/>
      </c>
      <c r="E94" s="233"/>
      <c r="F94" s="231"/>
      <c r="G94" s="234"/>
      <c r="H94" s="235">
        <v>2.5</v>
      </c>
      <c r="I94" s="236" t="str">
        <f t="shared" si="10"/>
        <v/>
      </c>
      <c r="J94" s="237" t="str">
        <f t="shared" si="11"/>
        <v/>
      </c>
      <c r="K94" s="238" t="str">
        <f>IF(B94="","Pending",IF(M94="","⚠️ Enter Code",IF(IFERROR(VLOOKUP(L94,DB_Agents!$B:$I,8,0),"")=M94,"Pending","🔒 BLOCKED — Wrong Code")))</f>
        <v>Pending</v>
      </c>
      <c r="L94" s="239" t="s">
        <v>140</v>
      </c>
      <c r="M94" s="240"/>
      <c r="N94" s="230"/>
    </row>
    <row r="95" spans="1:14" ht="18" customHeight="1" x14ac:dyDescent="0.25">
      <c r="A95" s="241" t="str">
        <f t="shared" si="8"/>
        <v/>
      </c>
      <c r="B95" s="242"/>
      <c r="C95" s="243" t="str">
        <f>IF(B95="","",IFERROR(VLOOKUP(B95,DB_Customers!$A:$D,4,0),"❌ Account Not Found"))</f>
        <v/>
      </c>
      <c r="D95" s="244" t="str">
        <f t="shared" ca="1" si="9"/>
        <v/>
      </c>
      <c r="E95" s="245"/>
      <c r="F95" s="243"/>
      <c r="G95" s="246"/>
      <c r="H95" s="247">
        <v>2.5</v>
      </c>
      <c r="I95" s="248" t="str">
        <f t="shared" si="10"/>
        <v/>
      </c>
      <c r="J95" s="249" t="str">
        <f t="shared" si="11"/>
        <v/>
      </c>
      <c r="K95" s="250" t="str">
        <f>IF(B95="","Pending",IF(M95="","⚠️ Enter Code",IF(IFERROR(VLOOKUP(L95,DB_Agents!$B:$I,8,0),"")=M95,"Pending","🔒 BLOCKED — Wrong Code")))</f>
        <v>Pending</v>
      </c>
      <c r="L95" s="251" t="s">
        <v>140</v>
      </c>
      <c r="M95" s="252"/>
      <c r="N95" s="242"/>
    </row>
    <row r="96" spans="1:14" ht="18" customHeight="1" x14ac:dyDescent="0.25">
      <c r="A96" s="229" t="str">
        <f t="shared" si="8"/>
        <v/>
      </c>
      <c r="B96" s="230"/>
      <c r="C96" s="231" t="str">
        <f>IF(B96="","",IFERROR(VLOOKUP(B96,DB_Customers!$A:$D,4,0),"❌ Account Not Found"))</f>
        <v/>
      </c>
      <c r="D96" s="232" t="str">
        <f t="shared" ca="1" si="9"/>
        <v/>
      </c>
      <c r="E96" s="233"/>
      <c r="F96" s="231"/>
      <c r="G96" s="234"/>
      <c r="H96" s="235">
        <v>2.5</v>
      </c>
      <c r="I96" s="236" t="str">
        <f t="shared" si="10"/>
        <v/>
      </c>
      <c r="J96" s="237" t="str">
        <f t="shared" si="11"/>
        <v/>
      </c>
      <c r="K96" s="238" t="str">
        <f>IF(B96="","Pending",IF(M96="","⚠️ Enter Code",IF(IFERROR(VLOOKUP(L96,DB_Agents!$B:$I,8,0),"")=M96,"Pending","🔒 BLOCKED — Wrong Code")))</f>
        <v>Pending</v>
      </c>
      <c r="L96" s="239" t="s">
        <v>140</v>
      </c>
      <c r="M96" s="240"/>
      <c r="N96" s="230"/>
    </row>
    <row r="97" spans="1:14" ht="18" customHeight="1" x14ac:dyDescent="0.25">
      <c r="A97" s="241" t="str">
        <f t="shared" si="8"/>
        <v/>
      </c>
      <c r="B97" s="242"/>
      <c r="C97" s="243" t="str">
        <f>IF(B97="","",IFERROR(VLOOKUP(B97,DB_Customers!$A:$D,4,0),"❌ Account Not Found"))</f>
        <v/>
      </c>
      <c r="D97" s="244" t="str">
        <f t="shared" ca="1" si="9"/>
        <v/>
      </c>
      <c r="E97" s="245"/>
      <c r="F97" s="243"/>
      <c r="G97" s="246"/>
      <c r="H97" s="247">
        <v>2.5</v>
      </c>
      <c r="I97" s="248" t="str">
        <f t="shared" si="10"/>
        <v/>
      </c>
      <c r="J97" s="249" t="str">
        <f t="shared" si="11"/>
        <v/>
      </c>
      <c r="K97" s="250" t="str">
        <f>IF(B97="","Pending",IF(M97="","⚠️ Enter Code",IF(IFERROR(VLOOKUP(L97,DB_Agents!$B:$I,8,0),"")=M97,"Pending","🔒 BLOCKED — Wrong Code")))</f>
        <v>Pending</v>
      </c>
      <c r="L97" s="251" t="s">
        <v>140</v>
      </c>
      <c r="M97" s="252"/>
      <c r="N97" s="242"/>
    </row>
    <row r="98" spans="1:14" ht="18" customHeight="1" x14ac:dyDescent="0.25">
      <c r="A98" s="229" t="str">
        <f t="shared" si="8"/>
        <v/>
      </c>
      <c r="B98" s="230"/>
      <c r="C98" s="231" t="str">
        <f>IF(B98="","",IFERROR(VLOOKUP(B98,DB_Customers!$A:$D,4,0),"❌ Account Not Found"))</f>
        <v/>
      </c>
      <c r="D98" s="232" t="str">
        <f t="shared" ca="1" si="9"/>
        <v/>
      </c>
      <c r="E98" s="233"/>
      <c r="F98" s="231"/>
      <c r="G98" s="234"/>
      <c r="H98" s="235">
        <v>2.5</v>
      </c>
      <c r="I98" s="236" t="str">
        <f t="shared" si="10"/>
        <v/>
      </c>
      <c r="J98" s="237" t="str">
        <f t="shared" si="11"/>
        <v/>
      </c>
      <c r="K98" s="238" t="str">
        <f>IF(B98="","Pending",IF(M98="","⚠️ Enter Code",IF(IFERROR(VLOOKUP(L98,DB_Agents!$B:$I,8,0),"")=M98,"Pending","🔒 BLOCKED — Wrong Code")))</f>
        <v>Pending</v>
      </c>
      <c r="L98" s="239" t="s">
        <v>140</v>
      </c>
      <c r="M98" s="240"/>
      <c r="N98" s="230"/>
    </row>
    <row r="99" spans="1:14" ht="18" customHeight="1" x14ac:dyDescent="0.25">
      <c r="A99" s="241" t="str">
        <f t="shared" si="8"/>
        <v/>
      </c>
      <c r="B99" s="242"/>
      <c r="C99" s="243" t="str">
        <f>IF(B99="","",IFERROR(VLOOKUP(B99,DB_Customers!$A:$D,4,0),"❌ Account Not Found"))</f>
        <v/>
      </c>
      <c r="D99" s="244" t="str">
        <f t="shared" ca="1" si="9"/>
        <v/>
      </c>
      <c r="E99" s="245"/>
      <c r="F99" s="243"/>
      <c r="G99" s="246"/>
      <c r="H99" s="247">
        <v>2.5</v>
      </c>
      <c r="I99" s="248" t="str">
        <f t="shared" si="10"/>
        <v/>
      </c>
      <c r="J99" s="249" t="str">
        <f t="shared" si="11"/>
        <v/>
      </c>
      <c r="K99" s="250" t="str">
        <f>IF(B99="","Pending",IF(M99="","⚠️ Enter Code",IF(IFERROR(VLOOKUP(L99,DB_Agents!$B:$I,8,0),"")=M99,"Pending","🔒 BLOCKED — Wrong Code")))</f>
        <v>Pending</v>
      </c>
      <c r="L99" s="251" t="s">
        <v>140</v>
      </c>
      <c r="M99" s="252"/>
      <c r="N99" s="242"/>
    </row>
    <row r="100" spans="1:14" ht="18" customHeight="1" x14ac:dyDescent="0.25">
      <c r="A100" s="229" t="str">
        <f t="shared" si="8"/>
        <v/>
      </c>
      <c r="B100" s="230"/>
      <c r="C100" s="231" t="str">
        <f>IF(B100="","",IFERROR(VLOOKUP(B100,DB_Customers!$A:$D,4,0),"❌ Account Not Found"))</f>
        <v/>
      </c>
      <c r="D100" s="232" t="str">
        <f t="shared" ca="1" si="9"/>
        <v/>
      </c>
      <c r="E100" s="233"/>
      <c r="F100" s="231"/>
      <c r="G100" s="234"/>
      <c r="H100" s="235">
        <v>2.5</v>
      </c>
      <c r="I100" s="236" t="str">
        <f t="shared" si="10"/>
        <v/>
      </c>
      <c r="J100" s="237" t="str">
        <f t="shared" si="11"/>
        <v/>
      </c>
      <c r="K100" s="238" t="str">
        <f>IF(B100="","Pending",IF(M100="","⚠️ Enter Code",IF(IFERROR(VLOOKUP(L100,DB_Agents!$B:$I,8,0),"")=M100,"Pending","🔒 BLOCKED — Wrong Code")))</f>
        <v>Pending</v>
      </c>
      <c r="L100" s="239" t="s">
        <v>140</v>
      </c>
      <c r="M100" s="240"/>
      <c r="N100" s="230"/>
    </row>
    <row r="101" spans="1:14" ht="18" customHeight="1" x14ac:dyDescent="0.25">
      <c r="A101" s="241" t="str">
        <f t="shared" si="8"/>
        <v/>
      </c>
      <c r="B101" s="242"/>
      <c r="C101" s="243" t="str">
        <f>IF(B101="","",IFERROR(VLOOKUP(B101,DB_Customers!$A:$D,4,0),"❌ Account Not Found"))</f>
        <v/>
      </c>
      <c r="D101" s="244" t="str">
        <f t="shared" ca="1" si="9"/>
        <v/>
      </c>
      <c r="E101" s="245"/>
      <c r="F101" s="243"/>
      <c r="G101" s="246"/>
      <c r="H101" s="247">
        <v>2.5</v>
      </c>
      <c r="I101" s="248" t="str">
        <f t="shared" si="10"/>
        <v/>
      </c>
      <c r="J101" s="249" t="str">
        <f t="shared" si="11"/>
        <v/>
      </c>
      <c r="K101" s="250" t="str">
        <f>IF(B101="","Pending",IF(M101="","⚠️ Enter Code",IF(IFERROR(VLOOKUP(L101,DB_Agents!$B:$I,8,0),"")=M101,"Pending","🔒 BLOCKED — Wrong Code")))</f>
        <v>Pending</v>
      </c>
      <c r="L101" s="251" t="s">
        <v>140</v>
      </c>
      <c r="M101" s="252"/>
      <c r="N101" s="242"/>
    </row>
    <row r="102" spans="1:14" ht="18" customHeight="1" x14ac:dyDescent="0.25">
      <c r="A102" s="229" t="str">
        <f t="shared" si="8"/>
        <v/>
      </c>
      <c r="B102" s="230"/>
      <c r="C102" s="231" t="str">
        <f>IF(B102="","",IFERROR(VLOOKUP(B102,DB_Customers!$A:$D,4,0),"❌ Account Not Found"))</f>
        <v/>
      </c>
      <c r="D102" s="232" t="str">
        <f t="shared" ca="1" si="9"/>
        <v/>
      </c>
      <c r="E102" s="233"/>
      <c r="F102" s="231"/>
      <c r="G102" s="234"/>
      <c r="H102" s="235">
        <v>2.5</v>
      </c>
      <c r="I102" s="236" t="str">
        <f t="shared" si="10"/>
        <v/>
      </c>
      <c r="J102" s="237" t="str">
        <f t="shared" si="11"/>
        <v/>
      </c>
      <c r="K102" s="238" t="str">
        <f>IF(B102="","Pending",IF(M102="","⚠️ Enter Code",IF(IFERROR(VLOOKUP(L102,DB_Agents!$B:$I,8,0),"")=M102,"Pending","🔒 BLOCKED — Wrong Code")))</f>
        <v>Pending</v>
      </c>
      <c r="L102" s="239" t="s">
        <v>140</v>
      </c>
      <c r="M102" s="240"/>
      <c r="N102" s="230"/>
    </row>
    <row r="103" spans="1:14" ht="18" customHeight="1" x14ac:dyDescent="0.25">
      <c r="A103" s="241" t="str">
        <f t="shared" si="8"/>
        <v/>
      </c>
      <c r="B103" s="242"/>
      <c r="C103" s="243" t="str">
        <f>IF(B103="","",IFERROR(VLOOKUP(B103,DB_Customers!$A:$D,4,0),"❌ Account Not Found"))</f>
        <v/>
      </c>
      <c r="D103" s="244" t="str">
        <f t="shared" ca="1" si="9"/>
        <v/>
      </c>
      <c r="E103" s="245"/>
      <c r="F103" s="243"/>
      <c r="G103" s="246"/>
      <c r="H103" s="247">
        <v>2.5</v>
      </c>
      <c r="I103" s="248" t="str">
        <f t="shared" si="10"/>
        <v/>
      </c>
      <c r="J103" s="249" t="str">
        <f t="shared" si="11"/>
        <v/>
      </c>
      <c r="K103" s="250" t="str">
        <f>IF(B103="","Pending",IF(M103="","⚠️ Enter Code",IF(IFERROR(VLOOKUP(L103,DB_Agents!$B:$I,8,0),"")=M103,"Pending","🔒 BLOCKED — Wrong Code")))</f>
        <v>Pending</v>
      </c>
      <c r="L103" s="251" t="s">
        <v>140</v>
      </c>
      <c r="M103" s="252"/>
      <c r="N103" s="242"/>
    </row>
    <row r="104" spans="1:14" ht="18" customHeight="1" x14ac:dyDescent="0.25">
      <c r="A104" s="229" t="str">
        <f t="shared" si="8"/>
        <v/>
      </c>
      <c r="B104" s="230"/>
      <c r="C104" s="231" t="str">
        <f>IF(B104="","",IFERROR(VLOOKUP(B104,DB_Customers!$A:$D,4,0),"❌ Account Not Found"))</f>
        <v/>
      </c>
      <c r="D104" s="232" t="str">
        <f t="shared" ca="1" si="9"/>
        <v/>
      </c>
      <c r="E104" s="233"/>
      <c r="F104" s="231"/>
      <c r="G104" s="234"/>
      <c r="H104" s="235">
        <v>2.5</v>
      </c>
      <c r="I104" s="236" t="str">
        <f t="shared" si="10"/>
        <v/>
      </c>
      <c r="J104" s="237" t="str">
        <f t="shared" si="11"/>
        <v/>
      </c>
      <c r="K104" s="238" t="str">
        <f>IF(B104="","Pending",IF(M104="","⚠️ Enter Code",IF(IFERROR(VLOOKUP(L104,DB_Agents!$B:$I,8,0),"")=M104,"Pending","🔒 BLOCKED — Wrong Code")))</f>
        <v>Pending</v>
      </c>
      <c r="L104" s="239" t="s">
        <v>140</v>
      </c>
      <c r="M104" s="240"/>
      <c r="N104" s="230"/>
    </row>
    <row r="105" spans="1:14" ht="18" customHeight="1" x14ac:dyDescent="0.25">
      <c r="A105" s="241" t="str">
        <f t="shared" si="8"/>
        <v/>
      </c>
      <c r="B105" s="242"/>
      <c r="C105" s="243" t="str">
        <f>IF(B105="","",IFERROR(VLOOKUP(B105,DB_Customers!$A:$D,4,0),"❌ Account Not Found"))</f>
        <v/>
      </c>
      <c r="D105" s="244" t="str">
        <f t="shared" ca="1" si="9"/>
        <v/>
      </c>
      <c r="E105" s="245"/>
      <c r="F105" s="243"/>
      <c r="G105" s="246"/>
      <c r="H105" s="247">
        <v>2.5</v>
      </c>
      <c r="I105" s="248" t="str">
        <f t="shared" si="10"/>
        <v/>
      </c>
      <c r="J105" s="249" t="str">
        <f t="shared" si="11"/>
        <v/>
      </c>
      <c r="K105" s="250" t="str">
        <f>IF(B105="","Pending",IF(M105="","⚠️ Enter Code",IF(IFERROR(VLOOKUP(L105,DB_Agents!$B:$I,8,0),"")=M105,"Pending","🔒 BLOCKED — Wrong Code")))</f>
        <v>Pending</v>
      </c>
      <c r="L105" s="251" t="s">
        <v>140</v>
      </c>
      <c r="M105" s="252"/>
      <c r="N105" s="242"/>
    </row>
    <row r="106" spans="1:14" ht="18" customHeight="1" x14ac:dyDescent="0.25">
      <c r="A106" s="229" t="str">
        <f t="shared" si="8"/>
        <v/>
      </c>
      <c r="B106" s="230"/>
      <c r="C106" s="231" t="str">
        <f>IF(B106="","",IFERROR(VLOOKUP(B106,DB_Customers!$A:$D,4,0),"❌ Account Not Found"))</f>
        <v/>
      </c>
      <c r="D106" s="232" t="str">
        <f t="shared" ca="1" si="9"/>
        <v/>
      </c>
      <c r="E106" s="233"/>
      <c r="F106" s="231"/>
      <c r="G106" s="234"/>
      <c r="H106" s="235">
        <v>2.5</v>
      </c>
      <c r="I106" s="236" t="str">
        <f t="shared" si="10"/>
        <v/>
      </c>
      <c r="J106" s="237" t="str">
        <f t="shared" si="11"/>
        <v/>
      </c>
      <c r="K106" s="238" t="str">
        <f>IF(B106="","Pending",IF(M106="","⚠️ Enter Code",IF(IFERROR(VLOOKUP(L106,DB_Agents!$B:$I,8,0),"")=M106,"Pending","🔒 BLOCKED — Wrong Code")))</f>
        <v>Pending</v>
      </c>
      <c r="L106" s="239" t="s">
        <v>140</v>
      </c>
      <c r="M106" s="240"/>
      <c r="N106" s="230"/>
    </row>
    <row r="107" spans="1:14" ht="18" customHeight="1" x14ac:dyDescent="0.25">
      <c r="A107" s="241" t="str">
        <f t="shared" si="8"/>
        <v/>
      </c>
      <c r="B107" s="242"/>
      <c r="C107" s="243" t="str">
        <f>IF(B107="","",IFERROR(VLOOKUP(B107,DB_Customers!$A:$D,4,0),"❌ Account Not Found"))</f>
        <v/>
      </c>
      <c r="D107" s="244" t="str">
        <f t="shared" ca="1" si="9"/>
        <v/>
      </c>
      <c r="E107" s="245"/>
      <c r="F107" s="243"/>
      <c r="G107" s="246"/>
      <c r="H107" s="247">
        <v>2.5</v>
      </c>
      <c r="I107" s="248" t="str">
        <f t="shared" si="10"/>
        <v/>
      </c>
      <c r="J107" s="249" t="str">
        <f t="shared" si="11"/>
        <v/>
      </c>
      <c r="K107" s="250" t="str">
        <f>IF(B107="","Pending",IF(M107="","⚠️ Enter Code",IF(IFERROR(VLOOKUP(L107,DB_Agents!$B:$I,8,0),"")=M107,"Pending","🔒 BLOCKED — Wrong Code")))</f>
        <v>Pending</v>
      </c>
      <c r="L107" s="251" t="s">
        <v>140</v>
      </c>
      <c r="M107" s="252"/>
      <c r="N107" s="242"/>
    </row>
    <row r="108" spans="1:14" ht="18" customHeight="1" x14ac:dyDescent="0.25">
      <c r="A108" s="229" t="str">
        <f t="shared" si="8"/>
        <v/>
      </c>
      <c r="B108" s="230"/>
      <c r="C108" s="231" t="str">
        <f>IF(B108="","",IFERROR(VLOOKUP(B108,DB_Customers!$A:$D,4,0),"❌ Account Not Found"))</f>
        <v/>
      </c>
      <c r="D108" s="232" t="str">
        <f t="shared" ca="1" si="9"/>
        <v/>
      </c>
      <c r="E108" s="233"/>
      <c r="F108" s="231"/>
      <c r="G108" s="234"/>
      <c r="H108" s="235">
        <v>2.5</v>
      </c>
      <c r="I108" s="236" t="str">
        <f t="shared" si="10"/>
        <v/>
      </c>
      <c r="J108" s="237" t="str">
        <f t="shared" si="11"/>
        <v/>
      </c>
      <c r="K108" s="238" t="str">
        <f>IF(B108="","Pending",IF(M108="","⚠️ Enter Code",IF(IFERROR(VLOOKUP(L108,DB_Agents!$B:$I,8,0),"")=M108,"Pending","🔒 BLOCKED — Wrong Code")))</f>
        <v>Pending</v>
      </c>
      <c r="L108" s="239" t="s">
        <v>140</v>
      </c>
      <c r="M108" s="240"/>
      <c r="N108" s="230"/>
    </row>
    <row r="109" spans="1:14" ht="18" customHeight="1" x14ac:dyDescent="0.25">
      <c r="A109" s="241" t="str">
        <f t="shared" si="8"/>
        <v/>
      </c>
      <c r="B109" s="242"/>
      <c r="C109" s="243" t="str">
        <f>IF(B109="","",IFERROR(VLOOKUP(B109,DB_Customers!$A:$D,4,0),"❌ Account Not Found"))</f>
        <v/>
      </c>
      <c r="D109" s="244" t="str">
        <f t="shared" ca="1" si="9"/>
        <v/>
      </c>
      <c r="E109" s="245"/>
      <c r="F109" s="243"/>
      <c r="G109" s="246"/>
      <c r="H109" s="247">
        <v>2.5</v>
      </c>
      <c r="I109" s="248" t="str">
        <f t="shared" si="10"/>
        <v/>
      </c>
      <c r="J109" s="249" t="str">
        <f t="shared" si="11"/>
        <v/>
      </c>
      <c r="K109" s="250" t="str">
        <f>IF(B109="","Pending",IF(M109="","⚠️ Enter Code",IF(IFERROR(VLOOKUP(L109,DB_Agents!$B:$I,8,0),"")=M109,"Pending","🔒 BLOCKED — Wrong Code")))</f>
        <v>Pending</v>
      </c>
      <c r="L109" s="251" t="s">
        <v>140</v>
      </c>
      <c r="M109" s="252"/>
      <c r="N109" s="242"/>
    </row>
    <row r="110" spans="1:14" ht="18" customHeight="1" x14ac:dyDescent="0.25">
      <c r="A110" s="229" t="str">
        <f t="shared" ref="A110:A141" si="12">IF(B110="","",IF(C110="❌ Account Not Found","INVALID","LN"&amp;TEXT(D110,"YYYYMMDD")&amp;TEXT(ROW()-13,"0000")))</f>
        <v/>
      </c>
      <c r="B110" s="230"/>
      <c r="C110" s="231" t="str">
        <f>IF(B110="","",IFERROR(VLOOKUP(B110,DB_Customers!$A:$D,4,0),"❌ Account Not Found"))</f>
        <v/>
      </c>
      <c r="D110" s="232" t="str">
        <f t="shared" ref="D110:D141" ca="1" si="13">IF(B110="","",TODAY())</f>
        <v/>
      </c>
      <c r="E110" s="233"/>
      <c r="F110" s="231"/>
      <c r="G110" s="234"/>
      <c r="H110" s="235">
        <v>2.5</v>
      </c>
      <c r="I110" s="236" t="str">
        <f t="shared" ref="I110:I141" si="14">IF(E110="","",E110+(E110*H110/100*G110))</f>
        <v/>
      </c>
      <c r="J110" s="237" t="str">
        <f t="shared" ref="J110:J141" si="15">IFERROR(I110/G110,"")</f>
        <v/>
      </c>
      <c r="K110" s="238" t="str">
        <f>IF(B110="","Pending",IF(M110="","⚠️ Enter Code",IF(IFERROR(VLOOKUP(L110,DB_Agents!$B:$I,8,0),"")=M110,"Pending","🔒 BLOCKED — Wrong Code")))</f>
        <v>Pending</v>
      </c>
      <c r="L110" s="239" t="s">
        <v>140</v>
      </c>
      <c r="M110" s="240"/>
      <c r="N110" s="230"/>
    </row>
    <row r="111" spans="1:14" ht="18" customHeight="1" x14ac:dyDescent="0.25">
      <c r="A111" s="241" t="str">
        <f t="shared" si="12"/>
        <v/>
      </c>
      <c r="B111" s="242"/>
      <c r="C111" s="243" t="str">
        <f>IF(B111="","",IFERROR(VLOOKUP(B111,DB_Customers!$A:$D,4,0),"❌ Account Not Found"))</f>
        <v/>
      </c>
      <c r="D111" s="244" t="str">
        <f t="shared" ca="1" si="13"/>
        <v/>
      </c>
      <c r="E111" s="245"/>
      <c r="F111" s="243"/>
      <c r="G111" s="246"/>
      <c r="H111" s="247">
        <v>2.5</v>
      </c>
      <c r="I111" s="248" t="str">
        <f t="shared" si="14"/>
        <v/>
      </c>
      <c r="J111" s="249" t="str">
        <f t="shared" si="15"/>
        <v/>
      </c>
      <c r="K111" s="250" t="str">
        <f>IF(B111="","Pending",IF(M111="","⚠️ Enter Code",IF(IFERROR(VLOOKUP(L111,DB_Agents!$B:$I,8,0),"")=M111,"Pending","🔒 BLOCKED — Wrong Code")))</f>
        <v>Pending</v>
      </c>
      <c r="L111" s="251" t="s">
        <v>140</v>
      </c>
      <c r="M111" s="252"/>
      <c r="N111" s="242"/>
    </row>
    <row r="112" spans="1:14" ht="18" customHeight="1" x14ac:dyDescent="0.25">
      <c r="A112" s="229" t="str">
        <f t="shared" si="12"/>
        <v/>
      </c>
      <c r="B112" s="230"/>
      <c r="C112" s="231" t="str">
        <f>IF(B112="","",IFERROR(VLOOKUP(B112,DB_Customers!$A:$D,4,0),"❌ Account Not Found"))</f>
        <v/>
      </c>
      <c r="D112" s="232" t="str">
        <f t="shared" ca="1" si="13"/>
        <v/>
      </c>
      <c r="E112" s="233"/>
      <c r="F112" s="231"/>
      <c r="G112" s="234"/>
      <c r="H112" s="235">
        <v>2.5</v>
      </c>
      <c r="I112" s="236" t="str">
        <f t="shared" si="14"/>
        <v/>
      </c>
      <c r="J112" s="237" t="str">
        <f t="shared" si="15"/>
        <v/>
      </c>
      <c r="K112" s="238" t="str">
        <f>IF(B112="","Pending",IF(M112="","⚠️ Enter Code",IF(IFERROR(VLOOKUP(L112,DB_Agents!$B:$I,8,0),"")=M112,"Pending","🔒 BLOCKED — Wrong Code")))</f>
        <v>Pending</v>
      </c>
      <c r="L112" s="239" t="s">
        <v>140</v>
      </c>
      <c r="M112" s="240"/>
      <c r="N112" s="230"/>
    </row>
    <row r="113" spans="1:14" ht="18" customHeight="1" x14ac:dyDescent="0.25">
      <c r="A113" s="241" t="str">
        <f t="shared" si="12"/>
        <v/>
      </c>
      <c r="B113" s="242"/>
      <c r="C113" s="243" t="str">
        <f>IF(B113="","",IFERROR(VLOOKUP(B113,DB_Customers!$A:$D,4,0),"❌ Account Not Found"))</f>
        <v/>
      </c>
      <c r="D113" s="244" t="str">
        <f t="shared" ca="1" si="13"/>
        <v/>
      </c>
      <c r="E113" s="245"/>
      <c r="F113" s="243"/>
      <c r="G113" s="246"/>
      <c r="H113" s="247">
        <v>2.5</v>
      </c>
      <c r="I113" s="248" t="str">
        <f t="shared" si="14"/>
        <v/>
      </c>
      <c r="J113" s="249" t="str">
        <f t="shared" si="15"/>
        <v/>
      </c>
      <c r="K113" s="250" t="str">
        <f>IF(B113="","Pending",IF(M113="","⚠️ Enter Code",IF(IFERROR(VLOOKUP(L113,DB_Agents!$B:$I,8,0),"")=M113,"Pending","🔒 BLOCKED — Wrong Code")))</f>
        <v>Pending</v>
      </c>
      <c r="L113" s="251" t="s">
        <v>140</v>
      </c>
      <c r="M113" s="252"/>
      <c r="N113" s="242"/>
    </row>
    <row r="114" spans="1:14" ht="18" customHeight="1" x14ac:dyDescent="0.25">
      <c r="A114" s="253" t="str">
        <f t="shared" si="12"/>
        <v/>
      </c>
      <c r="B114" s="254"/>
      <c r="C114" s="254" t="str">
        <f>IF(B114="","",IFERROR(VLOOKUP(B114,DB_Customers!$A:$D,4,0),"❌ Account Not Found"))</f>
        <v/>
      </c>
      <c r="D114" s="253" t="str">
        <f t="shared" ca="1" si="13"/>
        <v/>
      </c>
      <c r="E114" s="254"/>
      <c r="F114" s="254"/>
      <c r="G114" s="253"/>
      <c r="H114" s="255">
        <v>2.5</v>
      </c>
      <c r="I114" s="253" t="str">
        <f t="shared" si="14"/>
        <v/>
      </c>
      <c r="J114" s="253" t="str">
        <f t="shared" si="15"/>
        <v/>
      </c>
      <c r="K114" s="253" t="str">
        <f>IF(B114="","Pending",IF(M114="","⚠️ Enter Code",IF(IFERROR(VLOOKUP(L114,DB_Agents!$B:$I,8,0),"")=M114,"Pending","🔒 BLOCKED — Wrong Code")))</f>
        <v>Pending</v>
      </c>
      <c r="L114" s="253" t="s">
        <v>140</v>
      </c>
      <c r="M114" s="240"/>
      <c r="N114" s="254"/>
    </row>
    <row r="115" spans="1:14" ht="18" customHeight="1" x14ac:dyDescent="0.25">
      <c r="A115" s="256" t="str">
        <f t="shared" si="12"/>
        <v/>
      </c>
      <c r="B115" s="257"/>
      <c r="C115" s="257" t="str">
        <f>IF(B115="","",IFERROR(VLOOKUP(B115,DB_Customers!$A:$D,4,0),"❌ Account Not Found"))</f>
        <v/>
      </c>
      <c r="D115" s="256" t="str">
        <f t="shared" ca="1" si="13"/>
        <v/>
      </c>
      <c r="E115" s="257"/>
      <c r="F115" s="257"/>
      <c r="G115" s="256"/>
      <c r="H115" s="258">
        <v>2.5</v>
      </c>
      <c r="I115" s="256" t="str">
        <f t="shared" si="14"/>
        <v/>
      </c>
      <c r="J115" s="256" t="str">
        <f t="shared" si="15"/>
        <v/>
      </c>
      <c r="K115" s="256" t="str">
        <f>IF(B115="","Pending",IF(M115="","⚠️ Enter Code",IF(IFERROR(VLOOKUP(L115,DB_Agents!$B:$I,8,0),"")=M115,"Pending","🔒 BLOCKED — Wrong Code")))</f>
        <v>Pending</v>
      </c>
      <c r="L115" s="256" t="s">
        <v>140</v>
      </c>
      <c r="M115" s="252"/>
      <c r="N115" s="257"/>
    </row>
    <row r="116" spans="1:14" ht="18" customHeight="1" x14ac:dyDescent="0.25">
      <c r="A116" s="253" t="str">
        <f t="shared" si="12"/>
        <v/>
      </c>
      <c r="B116" s="254"/>
      <c r="C116" s="254" t="str">
        <f>IF(B116="","",IFERROR(VLOOKUP(B116,DB_Customers!$A:$D,4,0),"❌ Account Not Found"))</f>
        <v/>
      </c>
      <c r="D116" s="253" t="str">
        <f t="shared" ca="1" si="13"/>
        <v/>
      </c>
      <c r="E116" s="254"/>
      <c r="F116" s="254"/>
      <c r="G116" s="253"/>
      <c r="H116" s="255">
        <v>2.5</v>
      </c>
      <c r="I116" s="253" t="str">
        <f t="shared" si="14"/>
        <v/>
      </c>
      <c r="J116" s="253" t="str">
        <f t="shared" si="15"/>
        <v/>
      </c>
      <c r="K116" s="253" t="str">
        <f>IF(B116="","Pending",IF(M116="","⚠️ Enter Code",IF(IFERROR(VLOOKUP(L116,DB_Agents!$B:$I,8,0),"")=M116,"Pending","🔒 BLOCKED — Wrong Code")))</f>
        <v>Pending</v>
      </c>
      <c r="L116" s="253" t="s">
        <v>140</v>
      </c>
      <c r="M116" s="240"/>
      <c r="N116" s="254"/>
    </row>
    <row r="117" spans="1:14" ht="18" customHeight="1" x14ac:dyDescent="0.25">
      <c r="A117" s="256" t="str">
        <f t="shared" si="12"/>
        <v/>
      </c>
      <c r="B117" s="257"/>
      <c r="C117" s="257" t="str">
        <f>IF(B117="","",IFERROR(VLOOKUP(B117,DB_Customers!$A:$D,4,0),"❌ Account Not Found"))</f>
        <v/>
      </c>
      <c r="D117" s="256" t="str">
        <f t="shared" ca="1" si="13"/>
        <v/>
      </c>
      <c r="E117" s="257"/>
      <c r="F117" s="257"/>
      <c r="G117" s="256"/>
      <c r="H117" s="258">
        <v>2.5</v>
      </c>
      <c r="I117" s="256" t="str">
        <f t="shared" si="14"/>
        <v/>
      </c>
      <c r="J117" s="256" t="str">
        <f t="shared" si="15"/>
        <v/>
      </c>
      <c r="K117" s="256" t="str">
        <f>IF(B117="","Pending",IF(M117="","⚠️ Enter Code",IF(IFERROR(VLOOKUP(L117,DB_Agents!$B:$I,8,0),"")=M117,"Pending","🔒 BLOCKED — Wrong Code")))</f>
        <v>Pending</v>
      </c>
      <c r="L117" s="256" t="s">
        <v>140</v>
      </c>
      <c r="M117" s="252"/>
      <c r="N117" s="257"/>
    </row>
    <row r="118" spans="1:14" ht="18" customHeight="1" x14ac:dyDescent="0.25">
      <c r="A118" s="253" t="str">
        <f t="shared" si="12"/>
        <v/>
      </c>
      <c r="B118" s="254"/>
      <c r="C118" s="254" t="str">
        <f>IF(B118="","",IFERROR(VLOOKUP(B118,DB_Customers!$A:$D,4,0),"❌ Account Not Found"))</f>
        <v/>
      </c>
      <c r="D118" s="253" t="str">
        <f t="shared" ca="1" si="13"/>
        <v/>
      </c>
      <c r="E118" s="254"/>
      <c r="F118" s="254"/>
      <c r="G118" s="253"/>
      <c r="H118" s="255">
        <v>2.5</v>
      </c>
      <c r="I118" s="253" t="str">
        <f t="shared" si="14"/>
        <v/>
      </c>
      <c r="J118" s="253" t="str">
        <f t="shared" si="15"/>
        <v/>
      </c>
      <c r="K118" s="253" t="str">
        <f>IF(B118="","Pending",IF(M118="","⚠️ Enter Code",IF(IFERROR(VLOOKUP(L118,DB_Agents!$B:$I,8,0),"")=M118,"Pending","🔒 BLOCKED — Wrong Code")))</f>
        <v>Pending</v>
      </c>
      <c r="L118" s="253" t="s">
        <v>140</v>
      </c>
      <c r="M118" s="240"/>
      <c r="N118" s="254"/>
    </row>
    <row r="119" spans="1:14" ht="18" customHeight="1" x14ac:dyDescent="0.25">
      <c r="A119" s="256" t="str">
        <f t="shared" si="12"/>
        <v/>
      </c>
      <c r="B119" s="257"/>
      <c r="C119" s="257" t="str">
        <f>IF(B119="","",IFERROR(VLOOKUP(B119,DB_Customers!$A:$D,4,0),"❌ Account Not Found"))</f>
        <v/>
      </c>
      <c r="D119" s="256" t="str">
        <f t="shared" ca="1" si="13"/>
        <v/>
      </c>
      <c r="E119" s="257"/>
      <c r="F119" s="257"/>
      <c r="G119" s="256"/>
      <c r="H119" s="258">
        <v>2.5</v>
      </c>
      <c r="I119" s="256" t="str">
        <f t="shared" si="14"/>
        <v/>
      </c>
      <c r="J119" s="256" t="str">
        <f t="shared" si="15"/>
        <v/>
      </c>
      <c r="K119" s="256" t="str">
        <f>IF(B119="","Pending",IF(M119="","⚠️ Enter Code",IF(IFERROR(VLOOKUP(L119,DB_Agents!$B:$I,8,0),"")=M119,"Pending","🔒 BLOCKED — Wrong Code")))</f>
        <v>Pending</v>
      </c>
      <c r="L119" s="256" t="s">
        <v>140</v>
      </c>
      <c r="M119" s="252"/>
      <c r="N119" s="257"/>
    </row>
    <row r="120" spans="1:14" ht="18" customHeight="1" x14ac:dyDescent="0.25">
      <c r="A120" s="253" t="str">
        <f t="shared" si="12"/>
        <v/>
      </c>
      <c r="B120" s="254"/>
      <c r="C120" s="254" t="str">
        <f>IF(B120="","",IFERROR(VLOOKUP(B120,DB_Customers!$A:$D,4,0),"❌ Account Not Found"))</f>
        <v/>
      </c>
      <c r="D120" s="253" t="str">
        <f t="shared" ca="1" si="13"/>
        <v/>
      </c>
      <c r="E120" s="254"/>
      <c r="F120" s="254"/>
      <c r="G120" s="253"/>
      <c r="H120" s="255">
        <v>2.5</v>
      </c>
      <c r="I120" s="253" t="str">
        <f t="shared" si="14"/>
        <v/>
      </c>
      <c r="J120" s="253" t="str">
        <f t="shared" si="15"/>
        <v/>
      </c>
      <c r="K120" s="253" t="str">
        <f>IF(B120="","Pending",IF(M120="","⚠️ Enter Code",IF(IFERROR(VLOOKUP(L120,DB_Agents!$B:$I,8,0),"")=M120,"Pending","🔒 BLOCKED — Wrong Code")))</f>
        <v>Pending</v>
      </c>
      <c r="L120" s="253" t="s">
        <v>140</v>
      </c>
      <c r="M120" s="240"/>
      <c r="N120" s="254"/>
    </row>
    <row r="121" spans="1:14" ht="18" customHeight="1" x14ac:dyDescent="0.25">
      <c r="A121" s="256" t="str">
        <f t="shared" si="12"/>
        <v/>
      </c>
      <c r="B121" s="257"/>
      <c r="C121" s="257" t="str">
        <f>IF(B121="","",IFERROR(VLOOKUP(B121,DB_Customers!$A:$D,4,0),"❌ Account Not Found"))</f>
        <v/>
      </c>
      <c r="D121" s="256" t="str">
        <f t="shared" ca="1" si="13"/>
        <v/>
      </c>
      <c r="E121" s="257"/>
      <c r="F121" s="257"/>
      <c r="G121" s="256"/>
      <c r="H121" s="258">
        <v>2.5</v>
      </c>
      <c r="I121" s="256" t="str">
        <f t="shared" si="14"/>
        <v/>
      </c>
      <c r="J121" s="256" t="str">
        <f t="shared" si="15"/>
        <v/>
      </c>
      <c r="K121" s="256" t="str">
        <f>IF(B121="","Pending",IF(M121="","⚠️ Enter Code",IF(IFERROR(VLOOKUP(L121,DB_Agents!$B:$I,8,0),"")=M121,"Pending","🔒 BLOCKED — Wrong Code")))</f>
        <v>Pending</v>
      </c>
      <c r="L121" s="256" t="s">
        <v>140</v>
      </c>
      <c r="M121" s="252"/>
      <c r="N121" s="257"/>
    </row>
    <row r="122" spans="1:14" ht="18" customHeight="1" x14ac:dyDescent="0.25">
      <c r="A122" s="253" t="str">
        <f t="shared" si="12"/>
        <v/>
      </c>
      <c r="B122" s="254"/>
      <c r="C122" s="254" t="str">
        <f>IF(B122="","",IFERROR(VLOOKUP(B122,DB_Customers!$A:$D,4,0),"❌ Account Not Found"))</f>
        <v/>
      </c>
      <c r="D122" s="253" t="str">
        <f t="shared" ca="1" si="13"/>
        <v/>
      </c>
      <c r="E122" s="254"/>
      <c r="F122" s="254"/>
      <c r="G122" s="253"/>
      <c r="H122" s="255">
        <v>2.5</v>
      </c>
      <c r="I122" s="253" t="str">
        <f t="shared" si="14"/>
        <v/>
      </c>
      <c r="J122" s="253" t="str">
        <f t="shared" si="15"/>
        <v/>
      </c>
      <c r="K122" s="253" t="str">
        <f>IF(B122="","Pending",IF(M122="","⚠️ Enter Code",IF(IFERROR(VLOOKUP(L122,DB_Agents!$B:$I,8,0),"")=M122,"Pending","🔒 BLOCKED — Wrong Code")))</f>
        <v>Pending</v>
      </c>
      <c r="L122" s="253" t="s">
        <v>140</v>
      </c>
      <c r="M122" s="240"/>
      <c r="N122" s="254"/>
    </row>
    <row r="123" spans="1:14" ht="18" customHeight="1" x14ac:dyDescent="0.25">
      <c r="A123" s="256" t="str">
        <f t="shared" si="12"/>
        <v/>
      </c>
      <c r="B123" s="257"/>
      <c r="C123" s="257" t="str">
        <f>IF(B123="","",IFERROR(VLOOKUP(B123,DB_Customers!$A:$D,4,0),"❌ Account Not Found"))</f>
        <v/>
      </c>
      <c r="D123" s="256" t="str">
        <f t="shared" ca="1" si="13"/>
        <v/>
      </c>
      <c r="E123" s="257"/>
      <c r="F123" s="257"/>
      <c r="G123" s="256"/>
      <c r="H123" s="258">
        <v>2.5</v>
      </c>
      <c r="I123" s="256" t="str">
        <f t="shared" si="14"/>
        <v/>
      </c>
      <c r="J123" s="256" t="str">
        <f t="shared" si="15"/>
        <v/>
      </c>
      <c r="K123" s="256" t="str">
        <f>IF(B123="","Pending",IF(M123="","⚠️ Enter Code",IF(IFERROR(VLOOKUP(L123,DB_Agents!$B:$I,8,0),"")=M123,"Pending","🔒 BLOCKED — Wrong Code")))</f>
        <v>Pending</v>
      </c>
      <c r="L123" s="256" t="s">
        <v>140</v>
      </c>
      <c r="M123" s="252"/>
      <c r="N123" s="257"/>
    </row>
    <row r="124" spans="1:14" ht="18" customHeight="1" x14ac:dyDescent="0.25">
      <c r="A124" s="253" t="str">
        <f t="shared" si="12"/>
        <v/>
      </c>
      <c r="B124" s="254"/>
      <c r="C124" s="254" t="str">
        <f>IF(B124="","",IFERROR(VLOOKUP(B124,DB_Customers!$A:$D,4,0),"❌ Account Not Found"))</f>
        <v/>
      </c>
      <c r="D124" s="253" t="str">
        <f t="shared" ca="1" si="13"/>
        <v/>
      </c>
      <c r="E124" s="254"/>
      <c r="F124" s="254"/>
      <c r="G124" s="253"/>
      <c r="H124" s="255">
        <v>2.5</v>
      </c>
      <c r="I124" s="253" t="str">
        <f t="shared" si="14"/>
        <v/>
      </c>
      <c r="J124" s="253" t="str">
        <f t="shared" si="15"/>
        <v/>
      </c>
      <c r="K124" s="253" t="str">
        <f>IF(B124="","Pending",IF(M124="","⚠️ Enter Code",IF(IFERROR(VLOOKUP(L124,DB_Agents!$B:$I,8,0),"")=M124,"Pending","🔒 BLOCKED — Wrong Code")))</f>
        <v>Pending</v>
      </c>
      <c r="L124" s="253" t="s">
        <v>140</v>
      </c>
      <c r="M124" s="240"/>
      <c r="N124" s="254"/>
    </row>
    <row r="125" spans="1:14" ht="18" customHeight="1" x14ac:dyDescent="0.25">
      <c r="A125" s="256" t="str">
        <f t="shared" si="12"/>
        <v/>
      </c>
      <c r="B125" s="257"/>
      <c r="C125" s="257" t="str">
        <f>IF(B125="","",IFERROR(VLOOKUP(B125,DB_Customers!$A:$D,4,0),"❌ Account Not Found"))</f>
        <v/>
      </c>
      <c r="D125" s="256" t="str">
        <f t="shared" ca="1" si="13"/>
        <v/>
      </c>
      <c r="E125" s="257"/>
      <c r="F125" s="257"/>
      <c r="G125" s="256"/>
      <c r="H125" s="258">
        <v>2.5</v>
      </c>
      <c r="I125" s="256" t="str">
        <f t="shared" si="14"/>
        <v/>
      </c>
      <c r="J125" s="256" t="str">
        <f t="shared" si="15"/>
        <v/>
      </c>
      <c r="K125" s="256" t="str">
        <f>IF(B125="","Pending",IF(M125="","⚠️ Enter Code",IF(IFERROR(VLOOKUP(L125,DB_Agents!$B:$I,8,0),"")=M125,"Pending","🔒 BLOCKED — Wrong Code")))</f>
        <v>Pending</v>
      </c>
      <c r="L125" s="256" t="s">
        <v>140</v>
      </c>
      <c r="M125" s="252"/>
      <c r="N125" s="257"/>
    </row>
    <row r="126" spans="1:14" ht="18" customHeight="1" x14ac:dyDescent="0.25">
      <c r="A126" s="253" t="str">
        <f t="shared" si="12"/>
        <v/>
      </c>
      <c r="B126" s="254"/>
      <c r="C126" s="254" t="str">
        <f>IF(B126="","",IFERROR(VLOOKUP(B126,DB_Customers!$A:$D,4,0),"❌ Account Not Found"))</f>
        <v/>
      </c>
      <c r="D126" s="253" t="str">
        <f t="shared" ca="1" si="13"/>
        <v/>
      </c>
      <c r="E126" s="254"/>
      <c r="F126" s="254"/>
      <c r="G126" s="253"/>
      <c r="H126" s="255">
        <v>2.5</v>
      </c>
      <c r="I126" s="253" t="str">
        <f t="shared" si="14"/>
        <v/>
      </c>
      <c r="J126" s="253" t="str">
        <f t="shared" si="15"/>
        <v/>
      </c>
      <c r="K126" s="253" t="str">
        <f>IF(B126="","Pending",IF(M126="","⚠️ Enter Code",IF(IFERROR(VLOOKUP(L126,DB_Agents!$B:$I,8,0),"")=M126,"Pending","🔒 BLOCKED — Wrong Code")))</f>
        <v>Pending</v>
      </c>
      <c r="L126" s="253" t="s">
        <v>140</v>
      </c>
      <c r="M126" s="240"/>
      <c r="N126" s="254"/>
    </row>
    <row r="127" spans="1:14" ht="18" customHeight="1" x14ac:dyDescent="0.25">
      <c r="A127" s="256" t="str">
        <f t="shared" si="12"/>
        <v/>
      </c>
      <c r="B127" s="257"/>
      <c r="C127" s="257" t="str">
        <f>IF(B127="","",IFERROR(VLOOKUP(B127,DB_Customers!$A:$D,4,0),"❌ Account Not Found"))</f>
        <v/>
      </c>
      <c r="D127" s="256" t="str">
        <f t="shared" ca="1" si="13"/>
        <v/>
      </c>
      <c r="E127" s="257"/>
      <c r="F127" s="257"/>
      <c r="G127" s="256"/>
      <c r="H127" s="258">
        <v>2.5</v>
      </c>
      <c r="I127" s="256" t="str">
        <f t="shared" si="14"/>
        <v/>
      </c>
      <c r="J127" s="256" t="str">
        <f t="shared" si="15"/>
        <v/>
      </c>
      <c r="K127" s="256" t="str">
        <f>IF(B127="","Pending",IF(M127="","⚠️ Enter Code",IF(IFERROR(VLOOKUP(L127,DB_Agents!$B:$I,8,0),"")=M127,"Pending","🔒 BLOCKED — Wrong Code")))</f>
        <v>Pending</v>
      </c>
      <c r="L127" s="256" t="s">
        <v>140</v>
      </c>
      <c r="M127" s="252"/>
      <c r="N127" s="257"/>
    </row>
    <row r="128" spans="1:14" ht="18" customHeight="1" x14ac:dyDescent="0.25">
      <c r="A128" s="253" t="str">
        <f t="shared" si="12"/>
        <v/>
      </c>
      <c r="B128" s="254"/>
      <c r="C128" s="254" t="str">
        <f>IF(B128="","",IFERROR(VLOOKUP(B128,DB_Customers!$A:$D,4,0),"❌ Account Not Found"))</f>
        <v/>
      </c>
      <c r="D128" s="253" t="str">
        <f t="shared" ca="1" si="13"/>
        <v/>
      </c>
      <c r="E128" s="254"/>
      <c r="F128" s="254"/>
      <c r="G128" s="253"/>
      <c r="H128" s="255">
        <v>2.5</v>
      </c>
      <c r="I128" s="253" t="str">
        <f t="shared" si="14"/>
        <v/>
      </c>
      <c r="J128" s="253" t="str">
        <f t="shared" si="15"/>
        <v/>
      </c>
      <c r="K128" s="253" t="str">
        <f>IF(B128="","Pending",IF(M128="","⚠️ Enter Code",IF(IFERROR(VLOOKUP(L128,DB_Agents!$B:$I,8,0),"")=M128,"Pending","🔒 BLOCKED — Wrong Code")))</f>
        <v>Pending</v>
      </c>
      <c r="L128" s="253" t="s">
        <v>140</v>
      </c>
      <c r="M128" s="240"/>
      <c r="N128" s="254"/>
    </row>
    <row r="129" spans="1:14" ht="18" customHeight="1" x14ac:dyDescent="0.25">
      <c r="A129" s="256" t="str">
        <f t="shared" si="12"/>
        <v/>
      </c>
      <c r="B129" s="257"/>
      <c r="C129" s="257" t="str">
        <f>IF(B129="","",IFERROR(VLOOKUP(B129,DB_Customers!$A:$D,4,0),"❌ Account Not Found"))</f>
        <v/>
      </c>
      <c r="D129" s="256" t="str">
        <f t="shared" ca="1" si="13"/>
        <v/>
      </c>
      <c r="E129" s="257"/>
      <c r="F129" s="257"/>
      <c r="G129" s="256"/>
      <c r="H129" s="258">
        <v>2.5</v>
      </c>
      <c r="I129" s="256" t="str">
        <f t="shared" si="14"/>
        <v/>
      </c>
      <c r="J129" s="256" t="str">
        <f t="shared" si="15"/>
        <v/>
      </c>
      <c r="K129" s="256" t="str">
        <f>IF(B129="","Pending",IF(M129="","⚠️ Enter Code",IF(IFERROR(VLOOKUP(L129,DB_Agents!$B:$I,8,0),"")=M129,"Pending","🔒 BLOCKED — Wrong Code")))</f>
        <v>Pending</v>
      </c>
      <c r="L129" s="256" t="s">
        <v>140</v>
      </c>
      <c r="M129" s="252"/>
      <c r="N129" s="257"/>
    </row>
    <row r="130" spans="1:14" ht="18" customHeight="1" x14ac:dyDescent="0.25">
      <c r="A130" s="253" t="str">
        <f t="shared" si="12"/>
        <v/>
      </c>
      <c r="B130" s="254"/>
      <c r="C130" s="254" t="str">
        <f>IF(B130="","",IFERROR(VLOOKUP(B130,DB_Customers!$A:$D,4,0),"❌ Account Not Found"))</f>
        <v/>
      </c>
      <c r="D130" s="253" t="str">
        <f t="shared" ca="1" si="13"/>
        <v/>
      </c>
      <c r="E130" s="254"/>
      <c r="F130" s="254"/>
      <c r="G130" s="253"/>
      <c r="H130" s="255">
        <v>2.5</v>
      </c>
      <c r="I130" s="253" t="str">
        <f t="shared" si="14"/>
        <v/>
      </c>
      <c r="J130" s="253" t="str">
        <f t="shared" si="15"/>
        <v/>
      </c>
      <c r="K130" s="253" t="str">
        <f>IF(B130="","Pending",IF(M130="","⚠️ Enter Code",IF(IFERROR(VLOOKUP(L130,DB_Agents!$B:$I,8,0),"")=M130,"Pending","🔒 BLOCKED — Wrong Code")))</f>
        <v>Pending</v>
      </c>
      <c r="L130" s="253" t="s">
        <v>140</v>
      </c>
      <c r="M130" s="240"/>
      <c r="N130" s="254"/>
    </row>
    <row r="131" spans="1:14" ht="18" customHeight="1" x14ac:dyDescent="0.25">
      <c r="A131" s="256" t="str">
        <f t="shared" si="12"/>
        <v/>
      </c>
      <c r="B131" s="257"/>
      <c r="C131" s="257" t="str">
        <f>IF(B131="","",IFERROR(VLOOKUP(B131,DB_Customers!$A:$D,4,0),"❌ Account Not Found"))</f>
        <v/>
      </c>
      <c r="D131" s="256" t="str">
        <f t="shared" ca="1" si="13"/>
        <v/>
      </c>
      <c r="E131" s="257"/>
      <c r="F131" s="257"/>
      <c r="G131" s="256"/>
      <c r="H131" s="258">
        <v>2.5</v>
      </c>
      <c r="I131" s="256" t="str">
        <f t="shared" si="14"/>
        <v/>
      </c>
      <c r="J131" s="256" t="str">
        <f t="shared" si="15"/>
        <v/>
      </c>
      <c r="K131" s="256" t="str">
        <f>IF(B131="","Pending",IF(M131="","⚠️ Enter Code",IF(IFERROR(VLOOKUP(L131,DB_Agents!$B:$I,8,0),"")=M131,"Pending","🔒 BLOCKED — Wrong Code")))</f>
        <v>Pending</v>
      </c>
      <c r="L131" s="256" t="s">
        <v>140</v>
      </c>
      <c r="M131" s="252"/>
      <c r="N131" s="257"/>
    </row>
    <row r="132" spans="1:14" ht="18" customHeight="1" x14ac:dyDescent="0.25">
      <c r="A132" s="253" t="str">
        <f t="shared" si="12"/>
        <v/>
      </c>
      <c r="B132" s="254"/>
      <c r="C132" s="254" t="str">
        <f>IF(B132="","",IFERROR(VLOOKUP(B132,DB_Customers!$A:$D,4,0),"❌ Account Not Found"))</f>
        <v/>
      </c>
      <c r="D132" s="253" t="str">
        <f t="shared" ca="1" si="13"/>
        <v/>
      </c>
      <c r="E132" s="254"/>
      <c r="F132" s="254"/>
      <c r="G132" s="253"/>
      <c r="H132" s="255">
        <v>2.5</v>
      </c>
      <c r="I132" s="253" t="str">
        <f t="shared" si="14"/>
        <v/>
      </c>
      <c r="J132" s="253" t="str">
        <f t="shared" si="15"/>
        <v/>
      </c>
      <c r="K132" s="253" t="str">
        <f>IF(B132="","Pending",IF(M132="","⚠️ Enter Code",IF(IFERROR(VLOOKUP(L132,DB_Agents!$B:$I,8,0),"")=M132,"Pending","🔒 BLOCKED — Wrong Code")))</f>
        <v>Pending</v>
      </c>
      <c r="L132" s="253" t="s">
        <v>140</v>
      </c>
      <c r="M132" s="240"/>
      <c r="N132" s="254"/>
    </row>
    <row r="133" spans="1:14" ht="18" customHeight="1" x14ac:dyDescent="0.25">
      <c r="A133" s="256" t="str">
        <f t="shared" si="12"/>
        <v/>
      </c>
      <c r="B133" s="257"/>
      <c r="C133" s="257" t="str">
        <f>IF(B133="","",IFERROR(VLOOKUP(B133,DB_Customers!$A:$D,4,0),"❌ Account Not Found"))</f>
        <v/>
      </c>
      <c r="D133" s="256" t="str">
        <f t="shared" ca="1" si="13"/>
        <v/>
      </c>
      <c r="E133" s="257"/>
      <c r="F133" s="257"/>
      <c r="G133" s="256"/>
      <c r="H133" s="258">
        <v>2.5</v>
      </c>
      <c r="I133" s="256" t="str">
        <f t="shared" si="14"/>
        <v/>
      </c>
      <c r="J133" s="256" t="str">
        <f t="shared" si="15"/>
        <v/>
      </c>
      <c r="K133" s="256" t="str">
        <f>IF(B133="","Pending",IF(M133="","⚠️ Enter Code",IF(IFERROR(VLOOKUP(L133,DB_Agents!$B:$I,8,0),"")=M133,"Pending","🔒 BLOCKED — Wrong Code")))</f>
        <v>Pending</v>
      </c>
      <c r="L133" s="256" t="s">
        <v>140</v>
      </c>
      <c r="M133" s="252"/>
      <c r="N133" s="257"/>
    </row>
    <row r="134" spans="1:14" ht="18" customHeight="1" x14ac:dyDescent="0.25">
      <c r="A134" s="253" t="str">
        <f t="shared" si="12"/>
        <v/>
      </c>
      <c r="B134" s="254"/>
      <c r="C134" s="254" t="str">
        <f>IF(B134="","",IFERROR(VLOOKUP(B134,DB_Customers!$A:$D,4,0),"❌ Account Not Found"))</f>
        <v/>
      </c>
      <c r="D134" s="253" t="str">
        <f t="shared" ca="1" si="13"/>
        <v/>
      </c>
      <c r="E134" s="254"/>
      <c r="F134" s="254"/>
      <c r="G134" s="253"/>
      <c r="H134" s="255">
        <v>2.5</v>
      </c>
      <c r="I134" s="253" t="str">
        <f t="shared" si="14"/>
        <v/>
      </c>
      <c r="J134" s="253" t="str">
        <f t="shared" si="15"/>
        <v/>
      </c>
      <c r="K134" s="253" t="str">
        <f>IF(B134="","Pending",IF(M134="","⚠️ Enter Code",IF(IFERROR(VLOOKUP(L134,DB_Agents!$B:$I,8,0),"")=M134,"Pending","🔒 BLOCKED — Wrong Code")))</f>
        <v>Pending</v>
      </c>
      <c r="L134" s="253" t="s">
        <v>140</v>
      </c>
      <c r="M134" s="240"/>
      <c r="N134" s="254"/>
    </row>
    <row r="135" spans="1:14" ht="18" customHeight="1" x14ac:dyDescent="0.25">
      <c r="A135" s="256" t="str">
        <f t="shared" si="12"/>
        <v/>
      </c>
      <c r="B135" s="257"/>
      <c r="C135" s="257" t="str">
        <f>IF(B135="","",IFERROR(VLOOKUP(B135,DB_Customers!$A:$D,4,0),"❌ Account Not Found"))</f>
        <v/>
      </c>
      <c r="D135" s="256" t="str">
        <f t="shared" ca="1" si="13"/>
        <v/>
      </c>
      <c r="E135" s="257"/>
      <c r="F135" s="257"/>
      <c r="G135" s="256"/>
      <c r="H135" s="258">
        <v>2.5</v>
      </c>
      <c r="I135" s="256" t="str">
        <f t="shared" si="14"/>
        <v/>
      </c>
      <c r="J135" s="256" t="str">
        <f t="shared" si="15"/>
        <v/>
      </c>
      <c r="K135" s="256" t="str">
        <f>IF(B135="","Pending",IF(M135="","⚠️ Enter Code",IF(IFERROR(VLOOKUP(L135,DB_Agents!$B:$I,8,0),"")=M135,"Pending","🔒 BLOCKED — Wrong Code")))</f>
        <v>Pending</v>
      </c>
      <c r="L135" s="256" t="s">
        <v>140</v>
      </c>
      <c r="M135" s="252"/>
      <c r="N135" s="257"/>
    </row>
    <row r="136" spans="1:14" ht="18" customHeight="1" x14ac:dyDescent="0.25">
      <c r="A136" s="253" t="str">
        <f t="shared" si="12"/>
        <v/>
      </c>
      <c r="B136" s="254"/>
      <c r="C136" s="254" t="str">
        <f>IF(B136="","",IFERROR(VLOOKUP(B136,DB_Customers!$A:$D,4,0),"❌ Account Not Found"))</f>
        <v/>
      </c>
      <c r="D136" s="253" t="str">
        <f t="shared" ca="1" si="13"/>
        <v/>
      </c>
      <c r="E136" s="254"/>
      <c r="F136" s="254"/>
      <c r="G136" s="253"/>
      <c r="H136" s="255">
        <v>2.5</v>
      </c>
      <c r="I136" s="253" t="str">
        <f t="shared" si="14"/>
        <v/>
      </c>
      <c r="J136" s="253" t="str">
        <f t="shared" si="15"/>
        <v/>
      </c>
      <c r="K136" s="253" t="str">
        <f>IF(B136="","Pending",IF(M136="","⚠️ Enter Code",IF(IFERROR(VLOOKUP(L136,DB_Agents!$B:$I,8,0),"")=M136,"Pending","🔒 BLOCKED — Wrong Code")))</f>
        <v>Pending</v>
      </c>
      <c r="L136" s="253" t="s">
        <v>140</v>
      </c>
      <c r="M136" s="240"/>
      <c r="N136" s="254"/>
    </row>
    <row r="137" spans="1:14" ht="18" customHeight="1" x14ac:dyDescent="0.25">
      <c r="A137" s="256" t="str">
        <f t="shared" si="12"/>
        <v/>
      </c>
      <c r="B137" s="257"/>
      <c r="C137" s="257" t="str">
        <f>IF(B137="","",IFERROR(VLOOKUP(B137,DB_Customers!$A:$D,4,0),"❌ Account Not Found"))</f>
        <v/>
      </c>
      <c r="D137" s="256" t="str">
        <f t="shared" ca="1" si="13"/>
        <v/>
      </c>
      <c r="E137" s="257"/>
      <c r="F137" s="257"/>
      <c r="G137" s="256"/>
      <c r="H137" s="258">
        <v>2.5</v>
      </c>
      <c r="I137" s="256" t="str">
        <f t="shared" si="14"/>
        <v/>
      </c>
      <c r="J137" s="256" t="str">
        <f t="shared" si="15"/>
        <v/>
      </c>
      <c r="K137" s="256" t="str">
        <f>IF(B137="","Pending",IF(M137="","⚠️ Enter Code",IF(IFERROR(VLOOKUP(L137,DB_Agents!$B:$I,8,0),"")=M137,"Pending","🔒 BLOCKED — Wrong Code")))</f>
        <v>Pending</v>
      </c>
      <c r="L137" s="256" t="s">
        <v>140</v>
      </c>
      <c r="M137" s="252"/>
      <c r="N137" s="257"/>
    </row>
    <row r="138" spans="1:14" ht="18" customHeight="1" x14ac:dyDescent="0.25">
      <c r="A138" s="253" t="str">
        <f t="shared" si="12"/>
        <v/>
      </c>
      <c r="B138" s="254"/>
      <c r="C138" s="254" t="str">
        <f>IF(B138="","",IFERROR(VLOOKUP(B138,DB_Customers!$A:$D,4,0),"❌ Account Not Found"))</f>
        <v/>
      </c>
      <c r="D138" s="253" t="str">
        <f t="shared" ca="1" si="13"/>
        <v/>
      </c>
      <c r="E138" s="254"/>
      <c r="F138" s="254"/>
      <c r="G138" s="253"/>
      <c r="H138" s="255">
        <v>2.5</v>
      </c>
      <c r="I138" s="253" t="str">
        <f t="shared" si="14"/>
        <v/>
      </c>
      <c r="J138" s="253" t="str">
        <f t="shared" si="15"/>
        <v/>
      </c>
      <c r="K138" s="253" t="str">
        <f>IF(B138="","Pending",IF(M138="","⚠️ Enter Code",IF(IFERROR(VLOOKUP(L138,DB_Agents!$B:$I,8,0),"")=M138,"Pending","🔒 BLOCKED — Wrong Code")))</f>
        <v>Pending</v>
      </c>
      <c r="L138" s="253" t="s">
        <v>140</v>
      </c>
      <c r="M138" s="240"/>
      <c r="N138" s="254"/>
    </row>
    <row r="139" spans="1:14" ht="18" customHeight="1" x14ac:dyDescent="0.25">
      <c r="A139" s="256" t="str">
        <f t="shared" si="12"/>
        <v/>
      </c>
      <c r="B139" s="257"/>
      <c r="C139" s="257" t="str">
        <f>IF(B139="","",IFERROR(VLOOKUP(B139,DB_Customers!$A:$D,4,0),"❌ Account Not Found"))</f>
        <v/>
      </c>
      <c r="D139" s="256" t="str">
        <f t="shared" ca="1" si="13"/>
        <v/>
      </c>
      <c r="E139" s="257"/>
      <c r="F139" s="257"/>
      <c r="G139" s="256"/>
      <c r="H139" s="258">
        <v>2.5</v>
      </c>
      <c r="I139" s="256" t="str">
        <f t="shared" si="14"/>
        <v/>
      </c>
      <c r="J139" s="256" t="str">
        <f t="shared" si="15"/>
        <v/>
      </c>
      <c r="K139" s="256" t="str">
        <f>IF(B139="","Pending",IF(M139="","⚠️ Enter Code",IF(IFERROR(VLOOKUP(L139,DB_Agents!$B:$I,8,0),"")=M139,"Pending","🔒 BLOCKED — Wrong Code")))</f>
        <v>Pending</v>
      </c>
      <c r="L139" s="256" t="s">
        <v>140</v>
      </c>
      <c r="M139" s="252"/>
      <c r="N139" s="257"/>
    </row>
    <row r="140" spans="1:14" ht="18" customHeight="1" x14ac:dyDescent="0.25">
      <c r="A140" s="253" t="str">
        <f t="shared" si="12"/>
        <v/>
      </c>
      <c r="B140" s="254"/>
      <c r="C140" s="254" t="str">
        <f>IF(B140="","",IFERROR(VLOOKUP(B140,DB_Customers!$A:$D,4,0),"❌ Account Not Found"))</f>
        <v/>
      </c>
      <c r="D140" s="253" t="str">
        <f t="shared" ca="1" si="13"/>
        <v/>
      </c>
      <c r="E140" s="254"/>
      <c r="F140" s="254"/>
      <c r="G140" s="253"/>
      <c r="H140" s="255">
        <v>2.5</v>
      </c>
      <c r="I140" s="253" t="str">
        <f t="shared" si="14"/>
        <v/>
      </c>
      <c r="J140" s="253" t="str">
        <f t="shared" si="15"/>
        <v/>
      </c>
      <c r="K140" s="253" t="str">
        <f>IF(B140="","Pending",IF(M140="","⚠️ Enter Code",IF(IFERROR(VLOOKUP(L140,DB_Agents!$B:$I,8,0),"")=M140,"Pending","🔒 BLOCKED — Wrong Code")))</f>
        <v>Pending</v>
      </c>
      <c r="L140" s="253" t="s">
        <v>140</v>
      </c>
      <c r="M140" s="240"/>
      <c r="N140" s="254"/>
    </row>
    <row r="141" spans="1:14" ht="18" customHeight="1" x14ac:dyDescent="0.25">
      <c r="A141" s="256" t="str">
        <f t="shared" si="12"/>
        <v/>
      </c>
      <c r="B141" s="257"/>
      <c r="C141" s="257" t="str">
        <f>IF(B141="","",IFERROR(VLOOKUP(B141,DB_Customers!$A:$D,4,0),"❌ Account Not Found"))</f>
        <v/>
      </c>
      <c r="D141" s="256" t="str">
        <f t="shared" ca="1" si="13"/>
        <v/>
      </c>
      <c r="E141" s="257"/>
      <c r="F141" s="257"/>
      <c r="G141" s="256"/>
      <c r="H141" s="258">
        <v>2.5</v>
      </c>
      <c r="I141" s="256" t="str">
        <f t="shared" si="14"/>
        <v/>
      </c>
      <c r="J141" s="256" t="str">
        <f t="shared" si="15"/>
        <v/>
      </c>
      <c r="K141" s="256" t="str">
        <f>IF(B141="","Pending",IF(M141="","⚠️ Enter Code",IF(IFERROR(VLOOKUP(L141,DB_Agents!$B:$I,8,0),"")=M141,"Pending","🔒 BLOCKED — Wrong Code")))</f>
        <v>Pending</v>
      </c>
      <c r="L141" s="256" t="s">
        <v>140</v>
      </c>
      <c r="M141" s="252"/>
      <c r="N141" s="257"/>
    </row>
    <row r="142" spans="1:14" ht="18" customHeight="1" x14ac:dyDescent="0.25">
      <c r="A142" s="253" t="str">
        <f t="shared" ref="A142:A173" si="16">IF(B142="","",IF(C142="❌ Account Not Found","INVALID","LN"&amp;TEXT(D142,"YYYYMMDD")&amp;TEXT(ROW()-13,"0000")))</f>
        <v/>
      </c>
      <c r="B142" s="254"/>
      <c r="C142" s="254" t="str">
        <f>IF(B142="","",IFERROR(VLOOKUP(B142,DB_Customers!$A:$D,4,0),"❌ Account Not Found"))</f>
        <v/>
      </c>
      <c r="D142" s="253" t="str">
        <f t="shared" ref="D142:D173" ca="1" si="17">IF(B142="","",TODAY())</f>
        <v/>
      </c>
      <c r="E142" s="254"/>
      <c r="F142" s="254"/>
      <c r="G142" s="253"/>
      <c r="H142" s="255">
        <v>2.5</v>
      </c>
      <c r="I142" s="253" t="str">
        <f t="shared" ref="I142:I173" si="18">IF(E142="","",E142+(E142*H142/100*G142))</f>
        <v/>
      </c>
      <c r="J142" s="253" t="str">
        <f t="shared" ref="J142:J173" si="19">IFERROR(I142/G142,"")</f>
        <v/>
      </c>
      <c r="K142" s="253" t="str">
        <f>IF(B142="","Pending",IF(M142="","⚠️ Enter Code",IF(IFERROR(VLOOKUP(L142,DB_Agents!$B:$I,8,0),"")=M142,"Pending","🔒 BLOCKED — Wrong Code")))</f>
        <v>Pending</v>
      </c>
      <c r="L142" s="253" t="s">
        <v>140</v>
      </c>
      <c r="M142" s="240"/>
      <c r="N142" s="254"/>
    </row>
    <row r="143" spans="1:14" ht="18" customHeight="1" x14ac:dyDescent="0.25">
      <c r="A143" s="256" t="str">
        <f t="shared" si="16"/>
        <v/>
      </c>
      <c r="B143" s="257"/>
      <c r="C143" s="257" t="str">
        <f>IF(B143="","",IFERROR(VLOOKUP(B143,DB_Customers!$A:$D,4,0),"❌ Account Not Found"))</f>
        <v/>
      </c>
      <c r="D143" s="256" t="str">
        <f t="shared" ca="1" si="17"/>
        <v/>
      </c>
      <c r="E143" s="257"/>
      <c r="F143" s="257"/>
      <c r="G143" s="256"/>
      <c r="H143" s="258">
        <v>2.5</v>
      </c>
      <c r="I143" s="256" t="str">
        <f t="shared" si="18"/>
        <v/>
      </c>
      <c r="J143" s="256" t="str">
        <f t="shared" si="19"/>
        <v/>
      </c>
      <c r="K143" s="256" t="str">
        <f>IF(B143="","Pending",IF(M143="","⚠️ Enter Code",IF(IFERROR(VLOOKUP(L143,DB_Agents!$B:$I,8,0),"")=M143,"Pending","🔒 BLOCKED — Wrong Code")))</f>
        <v>Pending</v>
      </c>
      <c r="L143" s="256" t="s">
        <v>140</v>
      </c>
      <c r="M143" s="252"/>
      <c r="N143" s="257"/>
    </row>
    <row r="144" spans="1:14" ht="18" customHeight="1" x14ac:dyDescent="0.25">
      <c r="A144" s="253" t="str">
        <f t="shared" si="16"/>
        <v/>
      </c>
      <c r="B144" s="254"/>
      <c r="C144" s="254" t="str">
        <f>IF(B144="","",IFERROR(VLOOKUP(B144,DB_Customers!$A:$D,4,0),"❌ Account Not Found"))</f>
        <v/>
      </c>
      <c r="D144" s="253" t="str">
        <f t="shared" ca="1" si="17"/>
        <v/>
      </c>
      <c r="E144" s="254"/>
      <c r="F144" s="254"/>
      <c r="G144" s="253"/>
      <c r="H144" s="255">
        <v>2.5</v>
      </c>
      <c r="I144" s="253" t="str">
        <f t="shared" si="18"/>
        <v/>
      </c>
      <c r="J144" s="253" t="str">
        <f t="shared" si="19"/>
        <v/>
      </c>
      <c r="K144" s="253" t="str">
        <f>IF(B144="","Pending",IF(M144="","⚠️ Enter Code",IF(IFERROR(VLOOKUP(L144,DB_Agents!$B:$I,8,0),"")=M144,"Pending","🔒 BLOCKED — Wrong Code")))</f>
        <v>Pending</v>
      </c>
      <c r="L144" s="253" t="s">
        <v>140</v>
      </c>
      <c r="M144" s="240"/>
      <c r="N144" s="254"/>
    </row>
    <row r="145" spans="1:14" ht="18" customHeight="1" x14ac:dyDescent="0.25">
      <c r="A145" s="256" t="str">
        <f t="shared" si="16"/>
        <v/>
      </c>
      <c r="B145" s="257"/>
      <c r="C145" s="257" t="str">
        <f>IF(B145="","",IFERROR(VLOOKUP(B145,DB_Customers!$A:$D,4,0),"❌ Account Not Found"))</f>
        <v/>
      </c>
      <c r="D145" s="256" t="str">
        <f t="shared" ca="1" si="17"/>
        <v/>
      </c>
      <c r="E145" s="257"/>
      <c r="F145" s="257"/>
      <c r="G145" s="256"/>
      <c r="H145" s="258">
        <v>2.5</v>
      </c>
      <c r="I145" s="256" t="str">
        <f t="shared" si="18"/>
        <v/>
      </c>
      <c r="J145" s="256" t="str">
        <f t="shared" si="19"/>
        <v/>
      </c>
      <c r="K145" s="256" t="str">
        <f>IF(B145="","Pending",IF(M145="","⚠️ Enter Code",IF(IFERROR(VLOOKUP(L145,DB_Agents!$B:$I,8,0),"")=M145,"Pending","🔒 BLOCKED — Wrong Code")))</f>
        <v>Pending</v>
      </c>
      <c r="L145" s="256" t="s">
        <v>140</v>
      </c>
      <c r="M145" s="252"/>
      <c r="N145" s="257"/>
    </row>
    <row r="146" spans="1:14" ht="18" customHeight="1" x14ac:dyDescent="0.25">
      <c r="A146" s="253" t="str">
        <f t="shared" si="16"/>
        <v/>
      </c>
      <c r="B146" s="254"/>
      <c r="C146" s="254" t="str">
        <f>IF(B146="","",IFERROR(VLOOKUP(B146,DB_Customers!$A:$D,4,0),"❌ Account Not Found"))</f>
        <v/>
      </c>
      <c r="D146" s="253" t="str">
        <f t="shared" ca="1" si="17"/>
        <v/>
      </c>
      <c r="E146" s="254"/>
      <c r="F146" s="254"/>
      <c r="G146" s="253"/>
      <c r="H146" s="255">
        <v>2.5</v>
      </c>
      <c r="I146" s="253" t="str">
        <f t="shared" si="18"/>
        <v/>
      </c>
      <c r="J146" s="253" t="str">
        <f t="shared" si="19"/>
        <v/>
      </c>
      <c r="K146" s="253" t="str">
        <f>IF(B146="","Pending",IF(M146="","⚠️ Enter Code",IF(IFERROR(VLOOKUP(L146,DB_Agents!$B:$I,8,0),"")=M146,"Pending","🔒 BLOCKED — Wrong Code")))</f>
        <v>Pending</v>
      </c>
      <c r="L146" s="253" t="s">
        <v>140</v>
      </c>
      <c r="M146" s="240"/>
      <c r="N146" s="254"/>
    </row>
    <row r="147" spans="1:14" ht="18" customHeight="1" x14ac:dyDescent="0.25">
      <c r="A147" s="256" t="str">
        <f t="shared" si="16"/>
        <v/>
      </c>
      <c r="B147" s="257"/>
      <c r="C147" s="257" t="str">
        <f>IF(B147="","",IFERROR(VLOOKUP(B147,DB_Customers!$A:$D,4,0),"❌ Account Not Found"))</f>
        <v/>
      </c>
      <c r="D147" s="256" t="str">
        <f t="shared" ca="1" si="17"/>
        <v/>
      </c>
      <c r="E147" s="257"/>
      <c r="F147" s="257"/>
      <c r="G147" s="256"/>
      <c r="H147" s="258">
        <v>2.5</v>
      </c>
      <c r="I147" s="256" t="str">
        <f t="shared" si="18"/>
        <v/>
      </c>
      <c r="J147" s="256" t="str">
        <f t="shared" si="19"/>
        <v/>
      </c>
      <c r="K147" s="256" t="str">
        <f>IF(B147="","Pending",IF(M147="","⚠️ Enter Code",IF(IFERROR(VLOOKUP(L147,DB_Agents!$B:$I,8,0),"")=M147,"Pending","🔒 BLOCKED — Wrong Code")))</f>
        <v>Pending</v>
      </c>
      <c r="L147" s="256" t="s">
        <v>140</v>
      </c>
      <c r="M147" s="252"/>
      <c r="N147" s="257"/>
    </row>
    <row r="148" spans="1:14" ht="18" customHeight="1" x14ac:dyDescent="0.25">
      <c r="A148" s="253" t="str">
        <f t="shared" si="16"/>
        <v/>
      </c>
      <c r="B148" s="254"/>
      <c r="C148" s="254" t="str">
        <f>IF(B148="","",IFERROR(VLOOKUP(B148,DB_Customers!$A:$D,4,0),"❌ Account Not Found"))</f>
        <v/>
      </c>
      <c r="D148" s="253" t="str">
        <f t="shared" ca="1" si="17"/>
        <v/>
      </c>
      <c r="E148" s="254"/>
      <c r="F148" s="254"/>
      <c r="G148" s="253"/>
      <c r="H148" s="255">
        <v>2.5</v>
      </c>
      <c r="I148" s="253" t="str">
        <f t="shared" si="18"/>
        <v/>
      </c>
      <c r="J148" s="253" t="str">
        <f t="shared" si="19"/>
        <v/>
      </c>
      <c r="K148" s="253" t="str">
        <f>IF(B148="","Pending",IF(M148="","⚠️ Enter Code",IF(IFERROR(VLOOKUP(L148,DB_Agents!$B:$I,8,0),"")=M148,"Pending","🔒 BLOCKED — Wrong Code")))</f>
        <v>Pending</v>
      </c>
      <c r="L148" s="253" t="s">
        <v>140</v>
      </c>
      <c r="M148" s="240"/>
      <c r="N148" s="254"/>
    </row>
    <row r="149" spans="1:14" ht="18" customHeight="1" x14ac:dyDescent="0.25">
      <c r="A149" s="256" t="str">
        <f t="shared" si="16"/>
        <v/>
      </c>
      <c r="B149" s="257"/>
      <c r="C149" s="257" t="str">
        <f>IF(B149="","",IFERROR(VLOOKUP(B149,DB_Customers!$A:$D,4,0),"❌ Account Not Found"))</f>
        <v/>
      </c>
      <c r="D149" s="256" t="str">
        <f t="shared" ca="1" si="17"/>
        <v/>
      </c>
      <c r="E149" s="257"/>
      <c r="F149" s="257"/>
      <c r="G149" s="256"/>
      <c r="H149" s="258">
        <v>2.5</v>
      </c>
      <c r="I149" s="256" t="str">
        <f t="shared" si="18"/>
        <v/>
      </c>
      <c r="J149" s="256" t="str">
        <f t="shared" si="19"/>
        <v/>
      </c>
      <c r="K149" s="256" t="str">
        <f>IF(B149="","Pending",IF(M149="","⚠️ Enter Code",IF(IFERROR(VLOOKUP(L149,DB_Agents!$B:$I,8,0),"")=M149,"Pending","🔒 BLOCKED — Wrong Code")))</f>
        <v>Pending</v>
      </c>
      <c r="L149" s="256" t="s">
        <v>140</v>
      </c>
      <c r="M149" s="252"/>
      <c r="N149" s="257"/>
    </row>
    <row r="150" spans="1:14" ht="18" customHeight="1" x14ac:dyDescent="0.25">
      <c r="A150" s="253" t="str">
        <f t="shared" si="16"/>
        <v/>
      </c>
      <c r="B150" s="254"/>
      <c r="C150" s="254" t="str">
        <f>IF(B150="","",IFERROR(VLOOKUP(B150,DB_Customers!$A:$D,4,0),"❌ Account Not Found"))</f>
        <v/>
      </c>
      <c r="D150" s="253" t="str">
        <f t="shared" ca="1" si="17"/>
        <v/>
      </c>
      <c r="E150" s="254"/>
      <c r="F150" s="254"/>
      <c r="G150" s="253"/>
      <c r="H150" s="255">
        <v>2.5</v>
      </c>
      <c r="I150" s="253" t="str">
        <f t="shared" si="18"/>
        <v/>
      </c>
      <c r="J150" s="253" t="str">
        <f t="shared" si="19"/>
        <v/>
      </c>
      <c r="K150" s="253" t="str">
        <f>IF(B150="","Pending",IF(M150="","⚠️ Enter Code",IF(IFERROR(VLOOKUP(L150,DB_Agents!$B:$I,8,0),"")=M150,"Pending","🔒 BLOCKED — Wrong Code")))</f>
        <v>Pending</v>
      </c>
      <c r="L150" s="253" t="s">
        <v>140</v>
      </c>
      <c r="M150" s="240"/>
      <c r="N150" s="254"/>
    </row>
    <row r="151" spans="1:14" ht="18" customHeight="1" x14ac:dyDescent="0.25">
      <c r="A151" s="256" t="str">
        <f t="shared" si="16"/>
        <v/>
      </c>
      <c r="B151" s="257"/>
      <c r="C151" s="257" t="str">
        <f>IF(B151="","",IFERROR(VLOOKUP(B151,DB_Customers!$A:$D,4,0),"❌ Account Not Found"))</f>
        <v/>
      </c>
      <c r="D151" s="256" t="str">
        <f t="shared" ca="1" si="17"/>
        <v/>
      </c>
      <c r="E151" s="257"/>
      <c r="F151" s="257"/>
      <c r="G151" s="256"/>
      <c r="H151" s="258">
        <v>2.5</v>
      </c>
      <c r="I151" s="256" t="str">
        <f t="shared" si="18"/>
        <v/>
      </c>
      <c r="J151" s="256" t="str">
        <f t="shared" si="19"/>
        <v/>
      </c>
      <c r="K151" s="256" t="str">
        <f>IF(B151="","Pending",IF(M151="","⚠️ Enter Code",IF(IFERROR(VLOOKUP(L151,DB_Agents!$B:$I,8,0),"")=M151,"Pending","🔒 BLOCKED — Wrong Code")))</f>
        <v>Pending</v>
      </c>
      <c r="L151" s="256" t="s">
        <v>140</v>
      </c>
      <c r="M151" s="252"/>
      <c r="N151" s="257"/>
    </row>
    <row r="152" spans="1:14" ht="18" customHeight="1" x14ac:dyDescent="0.25">
      <c r="A152" s="253" t="str">
        <f t="shared" si="16"/>
        <v/>
      </c>
      <c r="B152" s="254"/>
      <c r="C152" s="254" t="str">
        <f>IF(B152="","",IFERROR(VLOOKUP(B152,DB_Customers!$A:$D,4,0),"❌ Account Not Found"))</f>
        <v/>
      </c>
      <c r="D152" s="253" t="str">
        <f t="shared" ca="1" si="17"/>
        <v/>
      </c>
      <c r="E152" s="254"/>
      <c r="F152" s="254"/>
      <c r="G152" s="253"/>
      <c r="H152" s="255">
        <v>2.5</v>
      </c>
      <c r="I152" s="253" t="str">
        <f t="shared" si="18"/>
        <v/>
      </c>
      <c r="J152" s="253" t="str">
        <f t="shared" si="19"/>
        <v/>
      </c>
      <c r="K152" s="253" t="str">
        <f>IF(B152="","Pending",IF(M152="","⚠️ Enter Code",IF(IFERROR(VLOOKUP(L152,DB_Agents!$B:$I,8,0),"")=M152,"Pending","🔒 BLOCKED — Wrong Code")))</f>
        <v>Pending</v>
      </c>
      <c r="L152" s="253" t="s">
        <v>140</v>
      </c>
      <c r="M152" s="240"/>
      <c r="N152" s="254"/>
    </row>
    <row r="153" spans="1:14" ht="18" customHeight="1" x14ac:dyDescent="0.25">
      <c r="A153" s="256" t="str">
        <f t="shared" si="16"/>
        <v/>
      </c>
      <c r="B153" s="257"/>
      <c r="C153" s="257" t="str">
        <f>IF(B153="","",IFERROR(VLOOKUP(B153,DB_Customers!$A:$D,4,0),"❌ Account Not Found"))</f>
        <v/>
      </c>
      <c r="D153" s="256" t="str">
        <f t="shared" ca="1" si="17"/>
        <v/>
      </c>
      <c r="E153" s="257"/>
      <c r="F153" s="257"/>
      <c r="G153" s="256"/>
      <c r="H153" s="258">
        <v>2.5</v>
      </c>
      <c r="I153" s="256" t="str">
        <f t="shared" si="18"/>
        <v/>
      </c>
      <c r="J153" s="256" t="str">
        <f t="shared" si="19"/>
        <v/>
      </c>
      <c r="K153" s="256" t="str">
        <f>IF(B153="","Pending",IF(M153="","⚠️ Enter Code",IF(IFERROR(VLOOKUP(L153,DB_Agents!$B:$I,8,0),"")=M153,"Pending","🔒 BLOCKED — Wrong Code")))</f>
        <v>Pending</v>
      </c>
      <c r="L153" s="256" t="s">
        <v>140</v>
      </c>
      <c r="M153" s="252"/>
      <c r="N153" s="257"/>
    </row>
    <row r="154" spans="1:14" ht="18" customHeight="1" x14ac:dyDescent="0.25">
      <c r="A154" s="253" t="str">
        <f t="shared" si="16"/>
        <v/>
      </c>
      <c r="B154" s="254"/>
      <c r="C154" s="254" t="str">
        <f>IF(B154="","",IFERROR(VLOOKUP(B154,DB_Customers!$A:$D,4,0),"❌ Account Not Found"))</f>
        <v/>
      </c>
      <c r="D154" s="253" t="str">
        <f t="shared" ca="1" si="17"/>
        <v/>
      </c>
      <c r="E154" s="254"/>
      <c r="F154" s="254"/>
      <c r="G154" s="253"/>
      <c r="H154" s="255">
        <v>2.5</v>
      </c>
      <c r="I154" s="253" t="str">
        <f t="shared" si="18"/>
        <v/>
      </c>
      <c r="J154" s="253" t="str">
        <f t="shared" si="19"/>
        <v/>
      </c>
      <c r="K154" s="253" t="str">
        <f>IF(B154="","Pending",IF(M154="","⚠️ Enter Code",IF(IFERROR(VLOOKUP(L154,DB_Agents!$B:$I,8,0),"")=M154,"Pending","🔒 BLOCKED — Wrong Code")))</f>
        <v>Pending</v>
      </c>
      <c r="L154" s="253" t="s">
        <v>140</v>
      </c>
      <c r="M154" s="240"/>
      <c r="N154" s="254"/>
    </row>
    <row r="155" spans="1:14" ht="18" customHeight="1" x14ac:dyDescent="0.25">
      <c r="A155" s="256" t="str">
        <f t="shared" si="16"/>
        <v/>
      </c>
      <c r="B155" s="257"/>
      <c r="C155" s="257" t="str">
        <f>IF(B155="","",IFERROR(VLOOKUP(B155,DB_Customers!$A:$D,4,0),"❌ Account Not Found"))</f>
        <v/>
      </c>
      <c r="D155" s="256" t="str">
        <f t="shared" ca="1" si="17"/>
        <v/>
      </c>
      <c r="E155" s="257"/>
      <c r="F155" s="257"/>
      <c r="G155" s="256"/>
      <c r="H155" s="258">
        <v>2.5</v>
      </c>
      <c r="I155" s="256" t="str">
        <f t="shared" si="18"/>
        <v/>
      </c>
      <c r="J155" s="256" t="str">
        <f t="shared" si="19"/>
        <v/>
      </c>
      <c r="K155" s="256" t="str">
        <f>IF(B155="","Pending",IF(M155="","⚠️ Enter Code",IF(IFERROR(VLOOKUP(L155,DB_Agents!$B:$I,8,0),"")=M155,"Pending","🔒 BLOCKED — Wrong Code")))</f>
        <v>Pending</v>
      </c>
      <c r="L155" s="256" t="s">
        <v>140</v>
      </c>
      <c r="M155" s="252"/>
      <c r="N155" s="257"/>
    </row>
    <row r="156" spans="1:14" ht="18" customHeight="1" x14ac:dyDescent="0.25">
      <c r="A156" s="253" t="str">
        <f t="shared" si="16"/>
        <v/>
      </c>
      <c r="B156" s="254"/>
      <c r="C156" s="254" t="str">
        <f>IF(B156="","",IFERROR(VLOOKUP(B156,DB_Customers!$A:$D,4,0),"❌ Account Not Found"))</f>
        <v/>
      </c>
      <c r="D156" s="253" t="str">
        <f t="shared" ca="1" si="17"/>
        <v/>
      </c>
      <c r="E156" s="254"/>
      <c r="F156" s="254"/>
      <c r="G156" s="253"/>
      <c r="H156" s="255">
        <v>2.5</v>
      </c>
      <c r="I156" s="253" t="str">
        <f t="shared" si="18"/>
        <v/>
      </c>
      <c r="J156" s="253" t="str">
        <f t="shared" si="19"/>
        <v/>
      </c>
      <c r="K156" s="253" t="str">
        <f>IF(B156="","Pending",IF(M156="","⚠️ Enter Code",IF(IFERROR(VLOOKUP(L156,DB_Agents!$B:$I,8,0),"")=M156,"Pending","🔒 BLOCKED — Wrong Code")))</f>
        <v>Pending</v>
      </c>
      <c r="L156" s="253" t="s">
        <v>140</v>
      </c>
      <c r="M156" s="240"/>
      <c r="N156" s="254"/>
    </row>
    <row r="157" spans="1:14" ht="18" customHeight="1" x14ac:dyDescent="0.25">
      <c r="A157" s="256" t="str">
        <f t="shared" si="16"/>
        <v/>
      </c>
      <c r="B157" s="257"/>
      <c r="C157" s="257" t="str">
        <f>IF(B157="","",IFERROR(VLOOKUP(B157,DB_Customers!$A:$D,4,0),"❌ Account Not Found"))</f>
        <v/>
      </c>
      <c r="D157" s="256" t="str">
        <f t="shared" ca="1" si="17"/>
        <v/>
      </c>
      <c r="E157" s="257"/>
      <c r="F157" s="257"/>
      <c r="G157" s="256"/>
      <c r="H157" s="258">
        <v>2.5</v>
      </c>
      <c r="I157" s="256" t="str">
        <f t="shared" si="18"/>
        <v/>
      </c>
      <c r="J157" s="256" t="str">
        <f t="shared" si="19"/>
        <v/>
      </c>
      <c r="K157" s="256" t="str">
        <f>IF(B157="","Pending",IF(M157="","⚠️ Enter Code",IF(IFERROR(VLOOKUP(L157,DB_Agents!$B:$I,8,0),"")=M157,"Pending","🔒 BLOCKED — Wrong Code")))</f>
        <v>Pending</v>
      </c>
      <c r="L157" s="256" t="s">
        <v>140</v>
      </c>
      <c r="M157" s="252"/>
      <c r="N157" s="257"/>
    </row>
    <row r="158" spans="1:14" ht="18" customHeight="1" x14ac:dyDescent="0.25">
      <c r="A158" s="253" t="str">
        <f t="shared" si="16"/>
        <v/>
      </c>
      <c r="B158" s="254"/>
      <c r="C158" s="254" t="str">
        <f>IF(B158="","",IFERROR(VLOOKUP(B158,DB_Customers!$A:$D,4,0),"❌ Account Not Found"))</f>
        <v/>
      </c>
      <c r="D158" s="253" t="str">
        <f t="shared" ca="1" si="17"/>
        <v/>
      </c>
      <c r="E158" s="254"/>
      <c r="F158" s="254"/>
      <c r="G158" s="253"/>
      <c r="H158" s="255">
        <v>2.5</v>
      </c>
      <c r="I158" s="253" t="str">
        <f t="shared" si="18"/>
        <v/>
      </c>
      <c r="J158" s="253" t="str">
        <f t="shared" si="19"/>
        <v/>
      </c>
      <c r="K158" s="253" t="str">
        <f>IF(B158="","Pending",IF(M158="","⚠️ Enter Code",IF(IFERROR(VLOOKUP(L158,DB_Agents!$B:$I,8,0),"")=M158,"Pending","🔒 BLOCKED — Wrong Code")))</f>
        <v>Pending</v>
      </c>
      <c r="L158" s="253" t="s">
        <v>140</v>
      </c>
      <c r="M158" s="240"/>
      <c r="N158" s="254"/>
    </row>
    <row r="159" spans="1:14" ht="18" customHeight="1" x14ac:dyDescent="0.25">
      <c r="A159" s="256" t="str">
        <f t="shared" si="16"/>
        <v/>
      </c>
      <c r="B159" s="257"/>
      <c r="C159" s="257" t="str">
        <f>IF(B159="","",IFERROR(VLOOKUP(B159,DB_Customers!$A:$D,4,0),"❌ Account Not Found"))</f>
        <v/>
      </c>
      <c r="D159" s="256" t="str">
        <f t="shared" ca="1" si="17"/>
        <v/>
      </c>
      <c r="E159" s="257"/>
      <c r="F159" s="257"/>
      <c r="G159" s="256"/>
      <c r="H159" s="258">
        <v>2.5</v>
      </c>
      <c r="I159" s="256" t="str">
        <f t="shared" si="18"/>
        <v/>
      </c>
      <c r="J159" s="256" t="str">
        <f t="shared" si="19"/>
        <v/>
      </c>
      <c r="K159" s="256" t="str">
        <f>IF(B159="","Pending",IF(M159="","⚠️ Enter Code",IF(IFERROR(VLOOKUP(L159,DB_Agents!$B:$I,8,0),"")=M159,"Pending","🔒 BLOCKED — Wrong Code")))</f>
        <v>Pending</v>
      </c>
      <c r="L159" s="256" t="s">
        <v>140</v>
      </c>
      <c r="M159" s="252"/>
      <c r="N159" s="257"/>
    </row>
    <row r="160" spans="1:14" ht="18" customHeight="1" x14ac:dyDescent="0.25">
      <c r="A160" s="253" t="str">
        <f t="shared" si="16"/>
        <v/>
      </c>
      <c r="B160" s="254"/>
      <c r="C160" s="254" t="str">
        <f>IF(B160="","",IFERROR(VLOOKUP(B160,DB_Customers!$A:$D,4,0),"❌ Account Not Found"))</f>
        <v/>
      </c>
      <c r="D160" s="253" t="str">
        <f t="shared" ca="1" si="17"/>
        <v/>
      </c>
      <c r="E160" s="254"/>
      <c r="F160" s="254"/>
      <c r="G160" s="253"/>
      <c r="H160" s="255">
        <v>2.5</v>
      </c>
      <c r="I160" s="253" t="str">
        <f t="shared" si="18"/>
        <v/>
      </c>
      <c r="J160" s="253" t="str">
        <f t="shared" si="19"/>
        <v/>
      </c>
      <c r="K160" s="253" t="str">
        <f>IF(B160="","Pending",IF(M160="","⚠️ Enter Code",IF(IFERROR(VLOOKUP(L160,DB_Agents!$B:$I,8,0),"")=M160,"Pending","🔒 BLOCKED — Wrong Code")))</f>
        <v>Pending</v>
      </c>
      <c r="L160" s="253" t="s">
        <v>140</v>
      </c>
      <c r="M160" s="240"/>
      <c r="N160" s="254"/>
    </row>
    <row r="161" spans="1:14" ht="18" customHeight="1" x14ac:dyDescent="0.25">
      <c r="A161" s="256" t="str">
        <f t="shared" si="16"/>
        <v/>
      </c>
      <c r="B161" s="257"/>
      <c r="C161" s="257" t="str">
        <f>IF(B161="","",IFERROR(VLOOKUP(B161,DB_Customers!$A:$D,4,0),"❌ Account Not Found"))</f>
        <v/>
      </c>
      <c r="D161" s="256" t="str">
        <f t="shared" ca="1" si="17"/>
        <v/>
      </c>
      <c r="E161" s="257"/>
      <c r="F161" s="257"/>
      <c r="G161" s="256"/>
      <c r="H161" s="258">
        <v>2.5</v>
      </c>
      <c r="I161" s="256" t="str">
        <f t="shared" si="18"/>
        <v/>
      </c>
      <c r="J161" s="256" t="str">
        <f t="shared" si="19"/>
        <v/>
      </c>
      <c r="K161" s="256" t="str">
        <f>IF(B161="","Pending",IF(M161="","⚠️ Enter Code",IF(IFERROR(VLOOKUP(L161,DB_Agents!$B:$I,8,0),"")=M161,"Pending","🔒 BLOCKED — Wrong Code")))</f>
        <v>Pending</v>
      </c>
      <c r="L161" s="256" t="s">
        <v>140</v>
      </c>
      <c r="M161" s="252"/>
      <c r="N161" s="257"/>
    </row>
    <row r="162" spans="1:14" ht="18" customHeight="1" x14ac:dyDescent="0.25">
      <c r="A162" s="253" t="str">
        <f t="shared" si="16"/>
        <v/>
      </c>
      <c r="B162" s="254"/>
      <c r="C162" s="254" t="str">
        <f>IF(B162="","",IFERROR(VLOOKUP(B162,DB_Customers!$A:$D,4,0),"❌ Account Not Found"))</f>
        <v/>
      </c>
      <c r="D162" s="253" t="str">
        <f t="shared" ca="1" si="17"/>
        <v/>
      </c>
      <c r="E162" s="254"/>
      <c r="F162" s="254"/>
      <c r="G162" s="253"/>
      <c r="H162" s="255">
        <v>2.5</v>
      </c>
      <c r="I162" s="253" t="str">
        <f t="shared" si="18"/>
        <v/>
      </c>
      <c r="J162" s="253" t="str">
        <f t="shared" si="19"/>
        <v/>
      </c>
      <c r="K162" s="253" t="str">
        <f>IF(B162="","Pending",IF(M162="","⚠️ Enter Code",IF(IFERROR(VLOOKUP(L162,DB_Agents!$B:$I,8,0),"")=M162,"Pending","🔒 BLOCKED — Wrong Code")))</f>
        <v>Pending</v>
      </c>
      <c r="L162" s="253" t="s">
        <v>140</v>
      </c>
      <c r="M162" s="240"/>
      <c r="N162" s="254"/>
    </row>
    <row r="163" spans="1:14" ht="18" customHeight="1" x14ac:dyDescent="0.25">
      <c r="A163" s="256" t="str">
        <f t="shared" si="16"/>
        <v/>
      </c>
      <c r="B163" s="257"/>
      <c r="C163" s="257" t="str">
        <f>IF(B163="","",IFERROR(VLOOKUP(B163,DB_Customers!$A:$D,4,0),"❌ Account Not Found"))</f>
        <v/>
      </c>
      <c r="D163" s="256" t="str">
        <f t="shared" ca="1" si="17"/>
        <v/>
      </c>
      <c r="E163" s="257"/>
      <c r="F163" s="257"/>
      <c r="G163" s="256"/>
      <c r="H163" s="258">
        <v>2.5</v>
      </c>
      <c r="I163" s="256" t="str">
        <f t="shared" si="18"/>
        <v/>
      </c>
      <c r="J163" s="256" t="str">
        <f t="shared" si="19"/>
        <v/>
      </c>
      <c r="K163" s="256" t="str">
        <f>IF(B163="","Pending",IF(M163="","⚠️ Enter Code",IF(IFERROR(VLOOKUP(L163,DB_Agents!$B:$I,8,0),"")=M163,"Pending","🔒 BLOCKED — Wrong Code")))</f>
        <v>Pending</v>
      </c>
      <c r="L163" s="256" t="s">
        <v>140</v>
      </c>
      <c r="M163" s="252"/>
      <c r="N163" s="257"/>
    </row>
    <row r="164" spans="1:14" ht="18" customHeight="1" x14ac:dyDescent="0.25">
      <c r="A164" s="253" t="str">
        <f t="shared" si="16"/>
        <v/>
      </c>
      <c r="B164" s="254"/>
      <c r="C164" s="254" t="str">
        <f>IF(B164="","",IFERROR(VLOOKUP(B164,DB_Customers!$A:$D,4,0),"❌ Account Not Found"))</f>
        <v/>
      </c>
      <c r="D164" s="253" t="str">
        <f t="shared" ca="1" si="17"/>
        <v/>
      </c>
      <c r="E164" s="254"/>
      <c r="F164" s="254"/>
      <c r="G164" s="253"/>
      <c r="H164" s="255">
        <v>2.5</v>
      </c>
      <c r="I164" s="253" t="str">
        <f t="shared" si="18"/>
        <v/>
      </c>
      <c r="J164" s="253" t="str">
        <f t="shared" si="19"/>
        <v/>
      </c>
      <c r="K164" s="253" t="str">
        <f>IF(B164="","Pending",IF(M164="","⚠️ Enter Code",IF(IFERROR(VLOOKUP(L164,DB_Agents!$B:$I,8,0),"")=M164,"Pending","🔒 BLOCKED — Wrong Code")))</f>
        <v>Pending</v>
      </c>
      <c r="L164" s="253" t="s">
        <v>140</v>
      </c>
      <c r="M164" s="240"/>
      <c r="N164" s="254"/>
    </row>
    <row r="165" spans="1:14" ht="18" customHeight="1" x14ac:dyDescent="0.25">
      <c r="A165" s="256" t="str">
        <f t="shared" si="16"/>
        <v/>
      </c>
      <c r="B165" s="257"/>
      <c r="C165" s="257" t="str">
        <f>IF(B165="","",IFERROR(VLOOKUP(B165,DB_Customers!$A:$D,4,0),"❌ Account Not Found"))</f>
        <v/>
      </c>
      <c r="D165" s="256" t="str">
        <f t="shared" ca="1" si="17"/>
        <v/>
      </c>
      <c r="E165" s="257"/>
      <c r="F165" s="257"/>
      <c r="G165" s="256"/>
      <c r="H165" s="258">
        <v>2.5</v>
      </c>
      <c r="I165" s="256" t="str">
        <f t="shared" si="18"/>
        <v/>
      </c>
      <c r="J165" s="256" t="str">
        <f t="shared" si="19"/>
        <v/>
      </c>
      <c r="K165" s="256" t="str">
        <f>IF(B165="","Pending",IF(M165="","⚠️ Enter Code",IF(IFERROR(VLOOKUP(L165,DB_Agents!$B:$I,8,0),"")=M165,"Pending","🔒 BLOCKED — Wrong Code")))</f>
        <v>Pending</v>
      </c>
      <c r="L165" s="256" t="s">
        <v>140</v>
      </c>
      <c r="M165" s="252"/>
      <c r="N165" s="257"/>
    </row>
    <row r="166" spans="1:14" ht="18" customHeight="1" x14ac:dyDescent="0.25">
      <c r="A166" s="253" t="str">
        <f t="shared" si="16"/>
        <v/>
      </c>
      <c r="B166" s="254"/>
      <c r="C166" s="254" t="str">
        <f>IF(B166="","",IFERROR(VLOOKUP(B166,DB_Customers!$A:$D,4,0),"❌ Account Not Found"))</f>
        <v/>
      </c>
      <c r="D166" s="253" t="str">
        <f t="shared" ca="1" si="17"/>
        <v/>
      </c>
      <c r="E166" s="254"/>
      <c r="F166" s="254"/>
      <c r="G166" s="253"/>
      <c r="H166" s="255">
        <v>2.5</v>
      </c>
      <c r="I166" s="253" t="str">
        <f t="shared" si="18"/>
        <v/>
      </c>
      <c r="J166" s="253" t="str">
        <f t="shared" si="19"/>
        <v/>
      </c>
      <c r="K166" s="253" t="str">
        <f>IF(B166="","Pending",IF(M166="","⚠️ Enter Code",IF(IFERROR(VLOOKUP(L166,DB_Agents!$B:$I,8,0),"")=M166,"Pending","🔒 BLOCKED — Wrong Code")))</f>
        <v>Pending</v>
      </c>
      <c r="L166" s="253" t="s">
        <v>140</v>
      </c>
      <c r="M166" s="240"/>
      <c r="N166" s="254"/>
    </row>
    <row r="167" spans="1:14" ht="18" customHeight="1" x14ac:dyDescent="0.25">
      <c r="A167" s="256" t="str">
        <f t="shared" si="16"/>
        <v/>
      </c>
      <c r="B167" s="257"/>
      <c r="C167" s="257" t="str">
        <f>IF(B167="","",IFERROR(VLOOKUP(B167,DB_Customers!$A:$D,4,0),"❌ Account Not Found"))</f>
        <v/>
      </c>
      <c r="D167" s="256" t="str">
        <f t="shared" ca="1" si="17"/>
        <v/>
      </c>
      <c r="E167" s="257"/>
      <c r="F167" s="257"/>
      <c r="G167" s="256"/>
      <c r="H167" s="258">
        <v>2.5</v>
      </c>
      <c r="I167" s="256" t="str">
        <f t="shared" si="18"/>
        <v/>
      </c>
      <c r="J167" s="256" t="str">
        <f t="shared" si="19"/>
        <v/>
      </c>
      <c r="K167" s="256" t="str">
        <f>IF(B167="","Pending",IF(M167="","⚠️ Enter Code",IF(IFERROR(VLOOKUP(L167,DB_Agents!$B:$I,8,0),"")=M167,"Pending","🔒 BLOCKED — Wrong Code")))</f>
        <v>Pending</v>
      </c>
      <c r="L167" s="256" t="s">
        <v>140</v>
      </c>
      <c r="M167" s="252"/>
      <c r="N167" s="257"/>
    </row>
    <row r="168" spans="1:14" ht="18" customHeight="1" x14ac:dyDescent="0.25">
      <c r="A168" s="253" t="str">
        <f t="shared" si="16"/>
        <v/>
      </c>
      <c r="B168" s="254"/>
      <c r="C168" s="254" t="str">
        <f>IF(B168="","",IFERROR(VLOOKUP(B168,DB_Customers!$A:$D,4,0),"❌ Account Not Found"))</f>
        <v/>
      </c>
      <c r="D168" s="253" t="str">
        <f t="shared" ca="1" si="17"/>
        <v/>
      </c>
      <c r="E168" s="254"/>
      <c r="F168" s="254"/>
      <c r="G168" s="253"/>
      <c r="H168" s="255">
        <v>2.5</v>
      </c>
      <c r="I168" s="253" t="str">
        <f t="shared" si="18"/>
        <v/>
      </c>
      <c r="J168" s="253" t="str">
        <f t="shared" si="19"/>
        <v/>
      </c>
      <c r="K168" s="253" t="str">
        <f>IF(B168="","Pending",IF(M168="","⚠️ Enter Code",IF(IFERROR(VLOOKUP(L168,DB_Agents!$B:$I,8,0),"")=M168,"Pending","🔒 BLOCKED — Wrong Code")))</f>
        <v>Pending</v>
      </c>
      <c r="L168" s="253" t="s">
        <v>140</v>
      </c>
      <c r="M168" s="240"/>
      <c r="N168" s="254"/>
    </row>
    <row r="169" spans="1:14" ht="18" customHeight="1" x14ac:dyDescent="0.25">
      <c r="A169" s="256" t="str">
        <f t="shared" si="16"/>
        <v/>
      </c>
      <c r="B169" s="257"/>
      <c r="C169" s="257" t="str">
        <f>IF(B169="","",IFERROR(VLOOKUP(B169,DB_Customers!$A:$D,4,0),"❌ Account Not Found"))</f>
        <v/>
      </c>
      <c r="D169" s="256" t="str">
        <f t="shared" ca="1" si="17"/>
        <v/>
      </c>
      <c r="E169" s="257"/>
      <c r="F169" s="257"/>
      <c r="G169" s="256"/>
      <c r="H169" s="258">
        <v>2.5</v>
      </c>
      <c r="I169" s="256" t="str">
        <f t="shared" si="18"/>
        <v/>
      </c>
      <c r="J169" s="256" t="str">
        <f t="shared" si="19"/>
        <v/>
      </c>
      <c r="K169" s="256" t="str">
        <f>IF(B169="","Pending",IF(M169="","⚠️ Enter Code",IF(IFERROR(VLOOKUP(L169,DB_Agents!$B:$I,8,0),"")=M169,"Pending","🔒 BLOCKED — Wrong Code")))</f>
        <v>Pending</v>
      </c>
      <c r="L169" s="256" t="s">
        <v>140</v>
      </c>
      <c r="M169" s="252"/>
      <c r="N169" s="257"/>
    </row>
    <row r="170" spans="1:14" ht="18" customHeight="1" x14ac:dyDescent="0.25">
      <c r="A170" s="253" t="str">
        <f t="shared" si="16"/>
        <v/>
      </c>
      <c r="B170" s="254"/>
      <c r="C170" s="254" t="str">
        <f>IF(B170="","",IFERROR(VLOOKUP(B170,DB_Customers!$A:$D,4,0),"❌ Account Not Found"))</f>
        <v/>
      </c>
      <c r="D170" s="253" t="str">
        <f t="shared" ca="1" si="17"/>
        <v/>
      </c>
      <c r="E170" s="254"/>
      <c r="F170" s="254"/>
      <c r="G170" s="253"/>
      <c r="H170" s="255">
        <v>2.5</v>
      </c>
      <c r="I170" s="253" t="str">
        <f t="shared" si="18"/>
        <v/>
      </c>
      <c r="J170" s="253" t="str">
        <f t="shared" si="19"/>
        <v/>
      </c>
      <c r="K170" s="253" t="str">
        <f>IF(B170="","Pending",IF(M170="","⚠️ Enter Code",IF(IFERROR(VLOOKUP(L170,DB_Agents!$B:$I,8,0),"")=M170,"Pending","🔒 BLOCKED — Wrong Code")))</f>
        <v>Pending</v>
      </c>
      <c r="L170" s="253" t="s">
        <v>140</v>
      </c>
      <c r="M170" s="240"/>
      <c r="N170" s="254"/>
    </row>
    <row r="171" spans="1:14" ht="18" customHeight="1" x14ac:dyDescent="0.25">
      <c r="A171" s="256" t="str">
        <f t="shared" si="16"/>
        <v/>
      </c>
      <c r="B171" s="257"/>
      <c r="C171" s="257" t="str">
        <f>IF(B171="","",IFERROR(VLOOKUP(B171,DB_Customers!$A:$D,4,0),"❌ Account Not Found"))</f>
        <v/>
      </c>
      <c r="D171" s="256" t="str">
        <f t="shared" ca="1" si="17"/>
        <v/>
      </c>
      <c r="E171" s="257"/>
      <c r="F171" s="257"/>
      <c r="G171" s="256"/>
      <c r="H171" s="258">
        <v>2.5</v>
      </c>
      <c r="I171" s="256" t="str">
        <f t="shared" si="18"/>
        <v/>
      </c>
      <c r="J171" s="256" t="str">
        <f t="shared" si="19"/>
        <v/>
      </c>
      <c r="K171" s="256" t="str">
        <f>IF(B171="","Pending",IF(M171="","⚠️ Enter Code",IF(IFERROR(VLOOKUP(L171,DB_Agents!$B:$I,8,0),"")=M171,"Pending","🔒 BLOCKED — Wrong Code")))</f>
        <v>Pending</v>
      </c>
      <c r="L171" s="256" t="s">
        <v>140</v>
      </c>
      <c r="M171" s="252"/>
      <c r="N171" s="257"/>
    </row>
    <row r="172" spans="1:14" ht="18" customHeight="1" x14ac:dyDescent="0.25">
      <c r="A172" s="253" t="str">
        <f t="shared" si="16"/>
        <v/>
      </c>
      <c r="B172" s="254"/>
      <c r="C172" s="254" t="str">
        <f>IF(B172="","",IFERROR(VLOOKUP(B172,DB_Customers!$A:$D,4,0),"❌ Account Not Found"))</f>
        <v/>
      </c>
      <c r="D172" s="253" t="str">
        <f t="shared" ca="1" si="17"/>
        <v/>
      </c>
      <c r="E172" s="254"/>
      <c r="F172" s="254"/>
      <c r="G172" s="253"/>
      <c r="H172" s="255">
        <v>2.5</v>
      </c>
      <c r="I172" s="253" t="str">
        <f t="shared" si="18"/>
        <v/>
      </c>
      <c r="J172" s="253" t="str">
        <f t="shared" si="19"/>
        <v/>
      </c>
      <c r="K172" s="253" t="str">
        <f>IF(B172="","Pending",IF(M172="","⚠️ Enter Code",IF(IFERROR(VLOOKUP(L172,DB_Agents!$B:$I,8,0),"")=M172,"Pending","🔒 BLOCKED — Wrong Code")))</f>
        <v>Pending</v>
      </c>
      <c r="L172" s="253" t="s">
        <v>140</v>
      </c>
      <c r="M172" s="240"/>
      <c r="N172" s="254"/>
    </row>
    <row r="173" spans="1:14" ht="18" customHeight="1" x14ac:dyDescent="0.25">
      <c r="A173" s="256" t="str">
        <f t="shared" si="16"/>
        <v/>
      </c>
      <c r="B173" s="257"/>
      <c r="C173" s="257" t="str">
        <f>IF(B173="","",IFERROR(VLOOKUP(B173,DB_Customers!$A:$D,4,0),"❌ Account Not Found"))</f>
        <v/>
      </c>
      <c r="D173" s="256" t="str">
        <f t="shared" ca="1" si="17"/>
        <v/>
      </c>
      <c r="E173" s="257"/>
      <c r="F173" s="257"/>
      <c r="G173" s="256"/>
      <c r="H173" s="258">
        <v>2.5</v>
      </c>
      <c r="I173" s="256" t="str">
        <f t="shared" si="18"/>
        <v/>
      </c>
      <c r="J173" s="256" t="str">
        <f t="shared" si="19"/>
        <v/>
      </c>
      <c r="K173" s="256" t="str">
        <f>IF(B173="","Pending",IF(M173="","⚠️ Enter Code",IF(IFERROR(VLOOKUP(L173,DB_Agents!$B:$I,8,0),"")=M173,"Pending","🔒 BLOCKED — Wrong Code")))</f>
        <v>Pending</v>
      </c>
      <c r="L173" s="256" t="s">
        <v>140</v>
      </c>
      <c r="M173" s="252"/>
      <c r="N173" s="257"/>
    </row>
    <row r="174" spans="1:14" ht="18" customHeight="1" x14ac:dyDescent="0.25">
      <c r="A174" s="253" t="str">
        <f t="shared" ref="A174:A205" si="20">IF(B174="","",IF(C174="❌ Account Not Found","INVALID","LN"&amp;TEXT(D174,"YYYYMMDD")&amp;TEXT(ROW()-13,"0000")))</f>
        <v/>
      </c>
      <c r="B174" s="254"/>
      <c r="C174" s="254" t="str">
        <f>IF(B174="","",IFERROR(VLOOKUP(B174,DB_Customers!$A:$D,4,0),"❌ Account Not Found"))</f>
        <v/>
      </c>
      <c r="D174" s="253" t="str">
        <f t="shared" ref="D174:D205" ca="1" si="21">IF(B174="","",TODAY())</f>
        <v/>
      </c>
      <c r="E174" s="254"/>
      <c r="F174" s="254"/>
      <c r="G174" s="253"/>
      <c r="H174" s="255">
        <v>2.5</v>
      </c>
      <c r="I174" s="253" t="str">
        <f t="shared" ref="I174:I205" si="22">IF(E174="","",E174+(E174*H174/100*G174))</f>
        <v/>
      </c>
      <c r="J174" s="253" t="str">
        <f t="shared" ref="J174:J205" si="23">IFERROR(I174/G174,"")</f>
        <v/>
      </c>
      <c r="K174" s="253" t="str">
        <f>IF(B174="","Pending",IF(M174="","⚠️ Enter Code",IF(IFERROR(VLOOKUP(L174,DB_Agents!$B:$I,8,0),"")=M174,"Pending","🔒 BLOCKED — Wrong Code")))</f>
        <v>Pending</v>
      </c>
      <c r="L174" s="253" t="s">
        <v>140</v>
      </c>
      <c r="M174" s="240"/>
      <c r="N174" s="254"/>
    </row>
    <row r="175" spans="1:14" ht="18" customHeight="1" x14ac:dyDescent="0.25">
      <c r="A175" s="256" t="str">
        <f t="shared" si="20"/>
        <v/>
      </c>
      <c r="B175" s="257"/>
      <c r="C175" s="257" t="str">
        <f>IF(B175="","",IFERROR(VLOOKUP(B175,DB_Customers!$A:$D,4,0),"❌ Account Not Found"))</f>
        <v/>
      </c>
      <c r="D175" s="256" t="str">
        <f t="shared" ca="1" si="21"/>
        <v/>
      </c>
      <c r="E175" s="257"/>
      <c r="F175" s="257"/>
      <c r="G175" s="256"/>
      <c r="H175" s="258">
        <v>2.5</v>
      </c>
      <c r="I175" s="256" t="str">
        <f t="shared" si="22"/>
        <v/>
      </c>
      <c r="J175" s="256" t="str">
        <f t="shared" si="23"/>
        <v/>
      </c>
      <c r="K175" s="256" t="str">
        <f>IF(B175="","Pending",IF(M175="","⚠️ Enter Code",IF(IFERROR(VLOOKUP(L175,DB_Agents!$B:$I,8,0),"")=M175,"Pending","🔒 BLOCKED — Wrong Code")))</f>
        <v>Pending</v>
      </c>
      <c r="L175" s="256" t="s">
        <v>140</v>
      </c>
      <c r="M175" s="252"/>
      <c r="N175" s="257"/>
    </row>
    <row r="176" spans="1:14" ht="18" customHeight="1" x14ac:dyDescent="0.25">
      <c r="A176" s="253" t="str">
        <f t="shared" si="20"/>
        <v/>
      </c>
      <c r="B176" s="254"/>
      <c r="C176" s="254" t="str">
        <f>IF(B176="","",IFERROR(VLOOKUP(B176,DB_Customers!$A:$D,4,0),"❌ Account Not Found"))</f>
        <v/>
      </c>
      <c r="D176" s="253" t="str">
        <f t="shared" ca="1" si="21"/>
        <v/>
      </c>
      <c r="E176" s="254"/>
      <c r="F176" s="254"/>
      <c r="G176" s="253"/>
      <c r="H176" s="255">
        <v>2.5</v>
      </c>
      <c r="I176" s="253" t="str">
        <f t="shared" si="22"/>
        <v/>
      </c>
      <c r="J176" s="253" t="str">
        <f t="shared" si="23"/>
        <v/>
      </c>
      <c r="K176" s="253" t="str">
        <f>IF(B176="","Pending",IF(M176="","⚠️ Enter Code",IF(IFERROR(VLOOKUP(L176,DB_Agents!$B:$I,8,0),"")=M176,"Pending","🔒 BLOCKED — Wrong Code")))</f>
        <v>Pending</v>
      </c>
      <c r="L176" s="253" t="s">
        <v>140</v>
      </c>
      <c r="M176" s="240"/>
      <c r="N176" s="254"/>
    </row>
    <row r="177" spans="1:14" ht="18" customHeight="1" x14ac:dyDescent="0.25">
      <c r="A177" s="256" t="str">
        <f t="shared" si="20"/>
        <v/>
      </c>
      <c r="B177" s="257"/>
      <c r="C177" s="257" t="str">
        <f>IF(B177="","",IFERROR(VLOOKUP(B177,DB_Customers!$A:$D,4,0),"❌ Account Not Found"))</f>
        <v/>
      </c>
      <c r="D177" s="256" t="str">
        <f t="shared" ca="1" si="21"/>
        <v/>
      </c>
      <c r="E177" s="257"/>
      <c r="F177" s="257"/>
      <c r="G177" s="256"/>
      <c r="H177" s="258">
        <v>2.5</v>
      </c>
      <c r="I177" s="256" t="str">
        <f t="shared" si="22"/>
        <v/>
      </c>
      <c r="J177" s="256" t="str">
        <f t="shared" si="23"/>
        <v/>
      </c>
      <c r="K177" s="256" t="str">
        <f>IF(B177="","Pending",IF(M177="","⚠️ Enter Code",IF(IFERROR(VLOOKUP(L177,DB_Agents!$B:$I,8,0),"")=M177,"Pending","🔒 BLOCKED — Wrong Code")))</f>
        <v>Pending</v>
      </c>
      <c r="L177" s="256" t="s">
        <v>140</v>
      </c>
      <c r="M177" s="252"/>
      <c r="N177" s="257"/>
    </row>
    <row r="178" spans="1:14" ht="18" customHeight="1" x14ac:dyDescent="0.25">
      <c r="A178" s="253" t="str">
        <f t="shared" si="20"/>
        <v/>
      </c>
      <c r="B178" s="254"/>
      <c r="C178" s="254" t="str">
        <f>IF(B178="","",IFERROR(VLOOKUP(B178,DB_Customers!$A:$D,4,0),"❌ Account Not Found"))</f>
        <v/>
      </c>
      <c r="D178" s="253" t="str">
        <f t="shared" ca="1" si="21"/>
        <v/>
      </c>
      <c r="E178" s="254"/>
      <c r="F178" s="254"/>
      <c r="G178" s="253"/>
      <c r="H178" s="255">
        <v>2.5</v>
      </c>
      <c r="I178" s="253" t="str">
        <f t="shared" si="22"/>
        <v/>
      </c>
      <c r="J178" s="253" t="str">
        <f t="shared" si="23"/>
        <v/>
      </c>
      <c r="K178" s="253" t="str">
        <f>IF(B178="","Pending",IF(M178="","⚠️ Enter Code",IF(IFERROR(VLOOKUP(L178,DB_Agents!$B:$I,8,0),"")=M178,"Pending","🔒 BLOCKED — Wrong Code")))</f>
        <v>Pending</v>
      </c>
      <c r="L178" s="253" t="s">
        <v>140</v>
      </c>
      <c r="M178" s="240"/>
      <c r="N178" s="254"/>
    </row>
    <row r="179" spans="1:14" ht="18" customHeight="1" x14ac:dyDescent="0.25">
      <c r="A179" s="256" t="str">
        <f t="shared" si="20"/>
        <v/>
      </c>
      <c r="B179" s="257"/>
      <c r="C179" s="257" t="str">
        <f>IF(B179="","",IFERROR(VLOOKUP(B179,DB_Customers!$A:$D,4,0),"❌ Account Not Found"))</f>
        <v/>
      </c>
      <c r="D179" s="256" t="str">
        <f t="shared" ca="1" si="21"/>
        <v/>
      </c>
      <c r="E179" s="257"/>
      <c r="F179" s="257"/>
      <c r="G179" s="256"/>
      <c r="H179" s="258">
        <v>2.5</v>
      </c>
      <c r="I179" s="256" t="str">
        <f t="shared" si="22"/>
        <v/>
      </c>
      <c r="J179" s="256" t="str">
        <f t="shared" si="23"/>
        <v/>
      </c>
      <c r="K179" s="256" t="str">
        <f>IF(B179="","Pending",IF(M179="","⚠️ Enter Code",IF(IFERROR(VLOOKUP(L179,DB_Agents!$B:$I,8,0),"")=M179,"Pending","🔒 BLOCKED — Wrong Code")))</f>
        <v>Pending</v>
      </c>
      <c r="L179" s="256" t="s">
        <v>140</v>
      </c>
      <c r="M179" s="252"/>
      <c r="N179" s="257"/>
    </row>
    <row r="180" spans="1:14" ht="18" customHeight="1" x14ac:dyDescent="0.25">
      <c r="A180" s="253" t="str">
        <f t="shared" si="20"/>
        <v/>
      </c>
      <c r="B180" s="254"/>
      <c r="C180" s="254" t="str">
        <f>IF(B180="","",IFERROR(VLOOKUP(B180,DB_Customers!$A:$D,4,0),"❌ Account Not Found"))</f>
        <v/>
      </c>
      <c r="D180" s="253" t="str">
        <f t="shared" ca="1" si="21"/>
        <v/>
      </c>
      <c r="E180" s="254"/>
      <c r="F180" s="254"/>
      <c r="G180" s="253"/>
      <c r="H180" s="255">
        <v>2.5</v>
      </c>
      <c r="I180" s="253" t="str">
        <f t="shared" si="22"/>
        <v/>
      </c>
      <c r="J180" s="253" t="str">
        <f t="shared" si="23"/>
        <v/>
      </c>
      <c r="K180" s="253" t="str">
        <f>IF(B180="","Pending",IF(M180="","⚠️ Enter Code",IF(IFERROR(VLOOKUP(L180,DB_Agents!$B:$I,8,0),"")=M180,"Pending","🔒 BLOCKED — Wrong Code")))</f>
        <v>Pending</v>
      </c>
      <c r="L180" s="253" t="s">
        <v>140</v>
      </c>
      <c r="M180" s="240"/>
      <c r="N180" s="254"/>
    </row>
    <row r="181" spans="1:14" ht="18" customHeight="1" x14ac:dyDescent="0.25">
      <c r="A181" s="256" t="str">
        <f t="shared" si="20"/>
        <v/>
      </c>
      <c r="B181" s="257"/>
      <c r="C181" s="257" t="str">
        <f>IF(B181="","",IFERROR(VLOOKUP(B181,DB_Customers!$A:$D,4,0),"❌ Account Not Found"))</f>
        <v/>
      </c>
      <c r="D181" s="256" t="str">
        <f t="shared" ca="1" si="21"/>
        <v/>
      </c>
      <c r="E181" s="257"/>
      <c r="F181" s="257"/>
      <c r="G181" s="256"/>
      <c r="H181" s="258">
        <v>2.5</v>
      </c>
      <c r="I181" s="256" t="str">
        <f t="shared" si="22"/>
        <v/>
      </c>
      <c r="J181" s="256" t="str">
        <f t="shared" si="23"/>
        <v/>
      </c>
      <c r="K181" s="256" t="str">
        <f>IF(B181="","Pending",IF(M181="","⚠️ Enter Code",IF(IFERROR(VLOOKUP(L181,DB_Agents!$B:$I,8,0),"")=M181,"Pending","🔒 BLOCKED — Wrong Code")))</f>
        <v>Pending</v>
      </c>
      <c r="L181" s="256" t="s">
        <v>140</v>
      </c>
      <c r="M181" s="252"/>
      <c r="N181" s="257"/>
    </row>
    <row r="182" spans="1:14" ht="18" customHeight="1" x14ac:dyDescent="0.25">
      <c r="A182" s="253" t="str">
        <f t="shared" si="20"/>
        <v/>
      </c>
      <c r="B182" s="254"/>
      <c r="C182" s="254" t="str">
        <f>IF(B182="","",IFERROR(VLOOKUP(B182,DB_Customers!$A:$D,4,0),"❌ Account Not Found"))</f>
        <v/>
      </c>
      <c r="D182" s="253" t="str">
        <f t="shared" ca="1" si="21"/>
        <v/>
      </c>
      <c r="E182" s="254"/>
      <c r="F182" s="254"/>
      <c r="G182" s="253"/>
      <c r="H182" s="255">
        <v>2.5</v>
      </c>
      <c r="I182" s="253" t="str">
        <f t="shared" si="22"/>
        <v/>
      </c>
      <c r="J182" s="253" t="str">
        <f t="shared" si="23"/>
        <v/>
      </c>
      <c r="K182" s="253" t="str">
        <f>IF(B182="","Pending",IF(M182="","⚠️ Enter Code",IF(IFERROR(VLOOKUP(L182,DB_Agents!$B:$I,8,0),"")=M182,"Pending","🔒 BLOCKED — Wrong Code")))</f>
        <v>Pending</v>
      </c>
      <c r="L182" s="253" t="s">
        <v>140</v>
      </c>
      <c r="M182" s="240"/>
      <c r="N182" s="254"/>
    </row>
    <row r="183" spans="1:14" ht="18" customHeight="1" x14ac:dyDescent="0.25">
      <c r="A183" s="256" t="str">
        <f t="shared" si="20"/>
        <v/>
      </c>
      <c r="B183" s="257"/>
      <c r="C183" s="257" t="str">
        <f>IF(B183="","",IFERROR(VLOOKUP(B183,DB_Customers!$A:$D,4,0),"❌ Account Not Found"))</f>
        <v/>
      </c>
      <c r="D183" s="256" t="str">
        <f t="shared" ca="1" si="21"/>
        <v/>
      </c>
      <c r="E183" s="257"/>
      <c r="F183" s="257"/>
      <c r="G183" s="256"/>
      <c r="H183" s="258">
        <v>2.5</v>
      </c>
      <c r="I183" s="256" t="str">
        <f t="shared" si="22"/>
        <v/>
      </c>
      <c r="J183" s="256" t="str">
        <f t="shared" si="23"/>
        <v/>
      </c>
      <c r="K183" s="256" t="str">
        <f>IF(B183="","Pending",IF(M183="","⚠️ Enter Code",IF(IFERROR(VLOOKUP(L183,DB_Agents!$B:$I,8,0),"")=M183,"Pending","🔒 BLOCKED — Wrong Code")))</f>
        <v>Pending</v>
      </c>
      <c r="L183" s="256" t="s">
        <v>140</v>
      </c>
      <c r="M183" s="252"/>
      <c r="N183" s="257"/>
    </row>
    <row r="184" spans="1:14" ht="18" customHeight="1" x14ac:dyDescent="0.25">
      <c r="A184" s="253" t="str">
        <f t="shared" si="20"/>
        <v/>
      </c>
      <c r="B184" s="254"/>
      <c r="C184" s="254" t="str">
        <f>IF(B184="","",IFERROR(VLOOKUP(B184,DB_Customers!$A:$D,4,0),"❌ Account Not Found"))</f>
        <v/>
      </c>
      <c r="D184" s="253" t="str">
        <f t="shared" ca="1" si="21"/>
        <v/>
      </c>
      <c r="E184" s="254"/>
      <c r="F184" s="254"/>
      <c r="G184" s="253"/>
      <c r="H184" s="255">
        <v>2.5</v>
      </c>
      <c r="I184" s="253" t="str">
        <f t="shared" si="22"/>
        <v/>
      </c>
      <c r="J184" s="253" t="str">
        <f t="shared" si="23"/>
        <v/>
      </c>
      <c r="K184" s="253" t="str">
        <f>IF(B184="","Pending",IF(M184="","⚠️ Enter Code",IF(IFERROR(VLOOKUP(L184,DB_Agents!$B:$I,8,0),"")=M184,"Pending","🔒 BLOCKED — Wrong Code")))</f>
        <v>Pending</v>
      </c>
      <c r="L184" s="253" t="s">
        <v>140</v>
      </c>
      <c r="M184" s="240"/>
      <c r="N184" s="254"/>
    </row>
    <row r="185" spans="1:14" ht="18" customHeight="1" x14ac:dyDescent="0.25">
      <c r="A185" s="256" t="str">
        <f t="shared" si="20"/>
        <v/>
      </c>
      <c r="B185" s="257"/>
      <c r="C185" s="257" t="str">
        <f>IF(B185="","",IFERROR(VLOOKUP(B185,DB_Customers!$A:$D,4,0),"❌ Account Not Found"))</f>
        <v/>
      </c>
      <c r="D185" s="256" t="str">
        <f t="shared" ca="1" si="21"/>
        <v/>
      </c>
      <c r="E185" s="257"/>
      <c r="F185" s="257"/>
      <c r="G185" s="256"/>
      <c r="H185" s="258">
        <v>2.5</v>
      </c>
      <c r="I185" s="256" t="str">
        <f t="shared" si="22"/>
        <v/>
      </c>
      <c r="J185" s="256" t="str">
        <f t="shared" si="23"/>
        <v/>
      </c>
      <c r="K185" s="256" t="str">
        <f>IF(B185="","Pending",IF(M185="","⚠️ Enter Code",IF(IFERROR(VLOOKUP(L185,DB_Agents!$B:$I,8,0),"")=M185,"Pending","🔒 BLOCKED — Wrong Code")))</f>
        <v>Pending</v>
      </c>
      <c r="L185" s="256" t="s">
        <v>140</v>
      </c>
      <c r="M185" s="252"/>
      <c r="N185" s="257"/>
    </row>
    <row r="186" spans="1:14" ht="18" customHeight="1" x14ac:dyDescent="0.25">
      <c r="A186" s="253" t="str">
        <f t="shared" si="20"/>
        <v/>
      </c>
      <c r="B186" s="254"/>
      <c r="C186" s="254" t="str">
        <f>IF(B186="","",IFERROR(VLOOKUP(B186,DB_Customers!$A:$D,4,0),"❌ Account Not Found"))</f>
        <v/>
      </c>
      <c r="D186" s="253" t="str">
        <f t="shared" ca="1" si="21"/>
        <v/>
      </c>
      <c r="E186" s="254"/>
      <c r="F186" s="254"/>
      <c r="G186" s="253"/>
      <c r="H186" s="255">
        <v>2.5</v>
      </c>
      <c r="I186" s="253" t="str">
        <f t="shared" si="22"/>
        <v/>
      </c>
      <c r="J186" s="253" t="str">
        <f t="shared" si="23"/>
        <v/>
      </c>
      <c r="K186" s="253" t="str">
        <f>IF(B186="","Pending",IF(M186="","⚠️ Enter Code",IF(IFERROR(VLOOKUP(L186,DB_Agents!$B:$I,8,0),"")=M186,"Pending","🔒 BLOCKED — Wrong Code")))</f>
        <v>Pending</v>
      </c>
      <c r="L186" s="253" t="s">
        <v>140</v>
      </c>
      <c r="M186" s="240"/>
      <c r="N186" s="254"/>
    </row>
    <row r="187" spans="1:14" ht="18" customHeight="1" x14ac:dyDescent="0.25">
      <c r="A187" s="256" t="str">
        <f t="shared" si="20"/>
        <v/>
      </c>
      <c r="B187" s="257"/>
      <c r="C187" s="257" t="str">
        <f>IF(B187="","",IFERROR(VLOOKUP(B187,DB_Customers!$A:$D,4,0),"❌ Account Not Found"))</f>
        <v/>
      </c>
      <c r="D187" s="256" t="str">
        <f t="shared" ca="1" si="21"/>
        <v/>
      </c>
      <c r="E187" s="257"/>
      <c r="F187" s="257"/>
      <c r="G187" s="256"/>
      <c r="H187" s="258">
        <v>2.5</v>
      </c>
      <c r="I187" s="256" t="str">
        <f t="shared" si="22"/>
        <v/>
      </c>
      <c r="J187" s="256" t="str">
        <f t="shared" si="23"/>
        <v/>
      </c>
      <c r="K187" s="256" t="str">
        <f>IF(B187="","Pending",IF(M187="","⚠️ Enter Code",IF(IFERROR(VLOOKUP(L187,DB_Agents!$B:$I,8,0),"")=M187,"Pending","🔒 BLOCKED — Wrong Code")))</f>
        <v>Pending</v>
      </c>
      <c r="L187" s="256" t="s">
        <v>140</v>
      </c>
      <c r="M187" s="252"/>
      <c r="N187" s="257"/>
    </row>
    <row r="188" spans="1:14" ht="18" customHeight="1" x14ac:dyDescent="0.25">
      <c r="A188" s="253" t="str">
        <f t="shared" si="20"/>
        <v/>
      </c>
      <c r="B188" s="254"/>
      <c r="C188" s="254" t="str">
        <f>IF(B188="","",IFERROR(VLOOKUP(B188,DB_Customers!$A:$D,4,0),"❌ Account Not Found"))</f>
        <v/>
      </c>
      <c r="D188" s="253" t="str">
        <f t="shared" ca="1" si="21"/>
        <v/>
      </c>
      <c r="E188" s="254"/>
      <c r="F188" s="254"/>
      <c r="G188" s="253"/>
      <c r="H188" s="255">
        <v>2.5</v>
      </c>
      <c r="I188" s="253" t="str">
        <f t="shared" si="22"/>
        <v/>
      </c>
      <c r="J188" s="253" t="str">
        <f t="shared" si="23"/>
        <v/>
      </c>
      <c r="K188" s="253" t="str">
        <f>IF(B188="","Pending",IF(M188="","⚠️ Enter Code",IF(IFERROR(VLOOKUP(L188,DB_Agents!$B:$I,8,0),"")=M188,"Pending","🔒 BLOCKED — Wrong Code")))</f>
        <v>Pending</v>
      </c>
      <c r="L188" s="253" t="s">
        <v>140</v>
      </c>
      <c r="M188" s="240"/>
      <c r="N188" s="254"/>
    </row>
    <row r="189" spans="1:14" ht="18" customHeight="1" x14ac:dyDescent="0.25">
      <c r="A189" s="256" t="str">
        <f t="shared" si="20"/>
        <v/>
      </c>
      <c r="B189" s="257"/>
      <c r="C189" s="257" t="str">
        <f>IF(B189="","",IFERROR(VLOOKUP(B189,DB_Customers!$A:$D,4,0),"❌ Account Not Found"))</f>
        <v/>
      </c>
      <c r="D189" s="256" t="str">
        <f t="shared" ca="1" si="21"/>
        <v/>
      </c>
      <c r="E189" s="257"/>
      <c r="F189" s="257"/>
      <c r="G189" s="256"/>
      <c r="H189" s="258">
        <v>2.5</v>
      </c>
      <c r="I189" s="256" t="str">
        <f t="shared" si="22"/>
        <v/>
      </c>
      <c r="J189" s="256" t="str">
        <f t="shared" si="23"/>
        <v/>
      </c>
      <c r="K189" s="256" t="str">
        <f>IF(B189="","Pending",IF(M189="","⚠️ Enter Code",IF(IFERROR(VLOOKUP(L189,DB_Agents!$B:$I,8,0),"")=M189,"Pending","🔒 BLOCKED — Wrong Code")))</f>
        <v>Pending</v>
      </c>
      <c r="L189" s="256" t="s">
        <v>140</v>
      </c>
      <c r="M189" s="252"/>
      <c r="N189" s="257"/>
    </row>
    <row r="190" spans="1:14" ht="18" customHeight="1" x14ac:dyDescent="0.25">
      <c r="A190" s="253" t="str">
        <f t="shared" si="20"/>
        <v/>
      </c>
      <c r="B190" s="254"/>
      <c r="C190" s="254" t="str">
        <f>IF(B190="","",IFERROR(VLOOKUP(B190,DB_Customers!$A:$D,4,0),"❌ Account Not Found"))</f>
        <v/>
      </c>
      <c r="D190" s="253" t="str">
        <f t="shared" ca="1" si="21"/>
        <v/>
      </c>
      <c r="E190" s="254"/>
      <c r="F190" s="254"/>
      <c r="G190" s="253"/>
      <c r="H190" s="255">
        <v>2.5</v>
      </c>
      <c r="I190" s="253" t="str">
        <f t="shared" si="22"/>
        <v/>
      </c>
      <c r="J190" s="253" t="str">
        <f t="shared" si="23"/>
        <v/>
      </c>
      <c r="K190" s="253" t="str">
        <f>IF(B190="","Pending",IF(M190="","⚠️ Enter Code",IF(IFERROR(VLOOKUP(L190,DB_Agents!$B:$I,8,0),"")=M190,"Pending","🔒 BLOCKED — Wrong Code")))</f>
        <v>Pending</v>
      </c>
      <c r="L190" s="253" t="s">
        <v>140</v>
      </c>
      <c r="M190" s="240"/>
      <c r="N190" s="254"/>
    </row>
    <row r="191" spans="1:14" ht="18" customHeight="1" x14ac:dyDescent="0.25">
      <c r="A191" s="256" t="str">
        <f t="shared" si="20"/>
        <v/>
      </c>
      <c r="B191" s="257"/>
      <c r="C191" s="257" t="str">
        <f>IF(B191="","",IFERROR(VLOOKUP(B191,DB_Customers!$A:$D,4,0),"❌ Account Not Found"))</f>
        <v/>
      </c>
      <c r="D191" s="256" t="str">
        <f t="shared" ca="1" si="21"/>
        <v/>
      </c>
      <c r="E191" s="257"/>
      <c r="F191" s="257"/>
      <c r="G191" s="256"/>
      <c r="H191" s="258">
        <v>2.5</v>
      </c>
      <c r="I191" s="256" t="str">
        <f t="shared" si="22"/>
        <v/>
      </c>
      <c r="J191" s="256" t="str">
        <f t="shared" si="23"/>
        <v/>
      </c>
      <c r="K191" s="256" t="str">
        <f>IF(B191="","Pending",IF(M191="","⚠️ Enter Code",IF(IFERROR(VLOOKUP(L191,DB_Agents!$B:$I,8,0),"")=M191,"Pending","🔒 BLOCKED — Wrong Code")))</f>
        <v>Pending</v>
      </c>
      <c r="L191" s="256" t="s">
        <v>140</v>
      </c>
      <c r="M191" s="252"/>
      <c r="N191" s="257"/>
    </row>
    <row r="192" spans="1:14" ht="18" customHeight="1" x14ac:dyDescent="0.25">
      <c r="A192" s="253" t="str">
        <f t="shared" si="20"/>
        <v/>
      </c>
      <c r="B192" s="254"/>
      <c r="C192" s="254" t="str">
        <f>IF(B192="","",IFERROR(VLOOKUP(B192,DB_Customers!$A:$D,4,0),"❌ Account Not Found"))</f>
        <v/>
      </c>
      <c r="D192" s="253" t="str">
        <f t="shared" ca="1" si="21"/>
        <v/>
      </c>
      <c r="E192" s="254"/>
      <c r="F192" s="254"/>
      <c r="G192" s="253"/>
      <c r="H192" s="255">
        <v>2.5</v>
      </c>
      <c r="I192" s="253" t="str">
        <f t="shared" si="22"/>
        <v/>
      </c>
      <c r="J192" s="253" t="str">
        <f t="shared" si="23"/>
        <v/>
      </c>
      <c r="K192" s="253" t="str">
        <f>IF(B192="","Pending",IF(M192="","⚠️ Enter Code",IF(IFERROR(VLOOKUP(L192,DB_Agents!$B:$I,8,0),"")=M192,"Pending","🔒 BLOCKED — Wrong Code")))</f>
        <v>Pending</v>
      </c>
      <c r="L192" s="253" t="s">
        <v>140</v>
      </c>
      <c r="M192" s="240"/>
      <c r="N192" s="254"/>
    </row>
    <row r="193" spans="1:14" ht="18" customHeight="1" x14ac:dyDescent="0.25">
      <c r="A193" s="256" t="str">
        <f t="shared" si="20"/>
        <v/>
      </c>
      <c r="B193" s="257"/>
      <c r="C193" s="257" t="str">
        <f>IF(B193="","",IFERROR(VLOOKUP(B193,DB_Customers!$A:$D,4,0),"❌ Account Not Found"))</f>
        <v/>
      </c>
      <c r="D193" s="256" t="str">
        <f t="shared" ca="1" si="21"/>
        <v/>
      </c>
      <c r="E193" s="257"/>
      <c r="F193" s="257"/>
      <c r="G193" s="256"/>
      <c r="H193" s="258">
        <v>2.5</v>
      </c>
      <c r="I193" s="256" t="str">
        <f t="shared" si="22"/>
        <v/>
      </c>
      <c r="J193" s="256" t="str">
        <f t="shared" si="23"/>
        <v/>
      </c>
      <c r="K193" s="256" t="str">
        <f>IF(B193="","Pending",IF(M193="","⚠️ Enter Code",IF(IFERROR(VLOOKUP(L193,DB_Agents!$B:$I,8,0),"")=M193,"Pending","🔒 BLOCKED — Wrong Code")))</f>
        <v>Pending</v>
      </c>
      <c r="L193" s="256" t="s">
        <v>140</v>
      </c>
      <c r="M193" s="252"/>
      <c r="N193" s="257"/>
    </row>
    <row r="194" spans="1:14" ht="18" customHeight="1" x14ac:dyDescent="0.25">
      <c r="A194" s="253" t="str">
        <f t="shared" si="20"/>
        <v/>
      </c>
      <c r="B194" s="254"/>
      <c r="C194" s="254" t="str">
        <f>IF(B194="","",IFERROR(VLOOKUP(B194,DB_Customers!$A:$D,4,0),"❌ Account Not Found"))</f>
        <v/>
      </c>
      <c r="D194" s="253" t="str">
        <f t="shared" ca="1" si="21"/>
        <v/>
      </c>
      <c r="E194" s="254"/>
      <c r="F194" s="254"/>
      <c r="G194" s="253"/>
      <c r="H194" s="255">
        <v>2.5</v>
      </c>
      <c r="I194" s="253" t="str">
        <f t="shared" si="22"/>
        <v/>
      </c>
      <c r="J194" s="253" t="str">
        <f t="shared" si="23"/>
        <v/>
      </c>
      <c r="K194" s="253" t="str">
        <f>IF(B194="","Pending",IF(M194="","⚠️ Enter Code",IF(IFERROR(VLOOKUP(L194,DB_Agents!$B:$I,8,0),"")=M194,"Pending","🔒 BLOCKED — Wrong Code")))</f>
        <v>Pending</v>
      </c>
      <c r="L194" s="253" t="s">
        <v>140</v>
      </c>
      <c r="M194" s="240"/>
      <c r="N194" s="254"/>
    </row>
    <row r="195" spans="1:14" ht="18" customHeight="1" x14ac:dyDescent="0.25">
      <c r="A195" s="256" t="str">
        <f t="shared" si="20"/>
        <v/>
      </c>
      <c r="B195" s="257"/>
      <c r="C195" s="257" t="str">
        <f>IF(B195="","",IFERROR(VLOOKUP(B195,DB_Customers!$A:$D,4,0),"❌ Account Not Found"))</f>
        <v/>
      </c>
      <c r="D195" s="256" t="str">
        <f t="shared" ca="1" si="21"/>
        <v/>
      </c>
      <c r="E195" s="257"/>
      <c r="F195" s="257"/>
      <c r="G195" s="256"/>
      <c r="H195" s="258">
        <v>2.5</v>
      </c>
      <c r="I195" s="256" t="str">
        <f t="shared" si="22"/>
        <v/>
      </c>
      <c r="J195" s="256" t="str">
        <f t="shared" si="23"/>
        <v/>
      </c>
      <c r="K195" s="256" t="str">
        <f>IF(B195="","Pending",IF(M195="","⚠️ Enter Code",IF(IFERROR(VLOOKUP(L195,DB_Agents!$B:$I,8,0),"")=M195,"Pending","🔒 BLOCKED — Wrong Code")))</f>
        <v>Pending</v>
      </c>
      <c r="L195" s="256" t="s">
        <v>140</v>
      </c>
      <c r="M195" s="252"/>
      <c r="N195" s="257"/>
    </row>
    <row r="196" spans="1:14" ht="18" customHeight="1" x14ac:dyDescent="0.25">
      <c r="A196" s="253" t="str">
        <f t="shared" si="20"/>
        <v/>
      </c>
      <c r="B196" s="254"/>
      <c r="C196" s="254" t="str">
        <f>IF(B196="","",IFERROR(VLOOKUP(B196,DB_Customers!$A:$D,4,0),"❌ Account Not Found"))</f>
        <v/>
      </c>
      <c r="D196" s="253" t="str">
        <f t="shared" ca="1" si="21"/>
        <v/>
      </c>
      <c r="E196" s="254"/>
      <c r="F196" s="254"/>
      <c r="G196" s="253"/>
      <c r="H196" s="255">
        <v>2.5</v>
      </c>
      <c r="I196" s="253" t="str">
        <f t="shared" si="22"/>
        <v/>
      </c>
      <c r="J196" s="253" t="str">
        <f t="shared" si="23"/>
        <v/>
      </c>
      <c r="K196" s="253" t="str">
        <f>IF(B196="","Pending",IF(M196="","⚠️ Enter Code",IF(IFERROR(VLOOKUP(L196,DB_Agents!$B:$I,8,0),"")=M196,"Pending","🔒 BLOCKED — Wrong Code")))</f>
        <v>Pending</v>
      </c>
      <c r="L196" s="253" t="s">
        <v>140</v>
      </c>
      <c r="M196" s="240"/>
      <c r="N196" s="254"/>
    </row>
    <row r="197" spans="1:14" ht="18" customHeight="1" x14ac:dyDescent="0.25">
      <c r="A197" s="256" t="str">
        <f t="shared" si="20"/>
        <v/>
      </c>
      <c r="B197" s="257"/>
      <c r="C197" s="257" t="str">
        <f>IF(B197="","",IFERROR(VLOOKUP(B197,DB_Customers!$A:$D,4,0),"❌ Account Not Found"))</f>
        <v/>
      </c>
      <c r="D197" s="256" t="str">
        <f t="shared" ca="1" si="21"/>
        <v/>
      </c>
      <c r="E197" s="257"/>
      <c r="F197" s="257"/>
      <c r="G197" s="256"/>
      <c r="H197" s="258">
        <v>2.5</v>
      </c>
      <c r="I197" s="256" t="str">
        <f t="shared" si="22"/>
        <v/>
      </c>
      <c r="J197" s="256" t="str">
        <f t="shared" si="23"/>
        <v/>
      </c>
      <c r="K197" s="256" t="str">
        <f>IF(B197="","Pending",IF(M197="","⚠️ Enter Code",IF(IFERROR(VLOOKUP(L197,DB_Agents!$B:$I,8,0),"")=M197,"Pending","🔒 BLOCKED — Wrong Code")))</f>
        <v>Pending</v>
      </c>
      <c r="L197" s="256" t="s">
        <v>140</v>
      </c>
      <c r="M197" s="252"/>
      <c r="N197" s="257"/>
    </row>
    <row r="198" spans="1:14" ht="18" customHeight="1" x14ac:dyDescent="0.25">
      <c r="A198" s="253" t="str">
        <f t="shared" si="20"/>
        <v/>
      </c>
      <c r="B198" s="254"/>
      <c r="C198" s="254" t="str">
        <f>IF(B198="","",IFERROR(VLOOKUP(B198,DB_Customers!$A:$D,4,0),"❌ Account Not Found"))</f>
        <v/>
      </c>
      <c r="D198" s="253" t="str">
        <f t="shared" ca="1" si="21"/>
        <v/>
      </c>
      <c r="E198" s="254"/>
      <c r="F198" s="254"/>
      <c r="G198" s="253"/>
      <c r="H198" s="255">
        <v>2.5</v>
      </c>
      <c r="I198" s="253" t="str">
        <f t="shared" si="22"/>
        <v/>
      </c>
      <c r="J198" s="253" t="str">
        <f t="shared" si="23"/>
        <v/>
      </c>
      <c r="K198" s="253" t="str">
        <f>IF(B198="","Pending",IF(M198="","⚠️ Enter Code",IF(IFERROR(VLOOKUP(L198,DB_Agents!$B:$I,8,0),"")=M198,"Pending","🔒 BLOCKED — Wrong Code")))</f>
        <v>Pending</v>
      </c>
      <c r="L198" s="253" t="s">
        <v>140</v>
      </c>
      <c r="M198" s="240"/>
      <c r="N198" s="254"/>
    </row>
    <row r="199" spans="1:14" ht="18" customHeight="1" x14ac:dyDescent="0.25">
      <c r="A199" s="256" t="str">
        <f t="shared" si="20"/>
        <v/>
      </c>
      <c r="B199" s="257"/>
      <c r="C199" s="257" t="str">
        <f>IF(B199="","",IFERROR(VLOOKUP(B199,DB_Customers!$A:$D,4,0),"❌ Account Not Found"))</f>
        <v/>
      </c>
      <c r="D199" s="256" t="str">
        <f t="shared" ca="1" si="21"/>
        <v/>
      </c>
      <c r="E199" s="257"/>
      <c r="F199" s="257"/>
      <c r="G199" s="256"/>
      <c r="H199" s="258">
        <v>2.5</v>
      </c>
      <c r="I199" s="256" t="str">
        <f t="shared" si="22"/>
        <v/>
      </c>
      <c r="J199" s="256" t="str">
        <f t="shared" si="23"/>
        <v/>
      </c>
      <c r="K199" s="256" t="str">
        <f>IF(B199="","Pending",IF(M199="","⚠️ Enter Code",IF(IFERROR(VLOOKUP(L199,DB_Agents!$B:$I,8,0),"")=M199,"Pending","🔒 BLOCKED — Wrong Code")))</f>
        <v>Pending</v>
      </c>
      <c r="L199" s="256" t="s">
        <v>140</v>
      </c>
      <c r="M199" s="252"/>
      <c r="N199" s="257"/>
    </row>
    <row r="200" spans="1:14" ht="18" customHeight="1" x14ac:dyDescent="0.25">
      <c r="A200" s="253" t="str">
        <f t="shared" si="20"/>
        <v/>
      </c>
      <c r="B200" s="254"/>
      <c r="C200" s="254" t="str">
        <f>IF(B200="","",IFERROR(VLOOKUP(B200,DB_Customers!$A:$D,4,0),"❌ Account Not Found"))</f>
        <v/>
      </c>
      <c r="D200" s="253" t="str">
        <f t="shared" ca="1" si="21"/>
        <v/>
      </c>
      <c r="E200" s="254"/>
      <c r="F200" s="254"/>
      <c r="G200" s="253"/>
      <c r="H200" s="255">
        <v>2.5</v>
      </c>
      <c r="I200" s="253" t="str">
        <f t="shared" si="22"/>
        <v/>
      </c>
      <c r="J200" s="253" t="str">
        <f t="shared" si="23"/>
        <v/>
      </c>
      <c r="K200" s="253" t="str">
        <f>IF(B200="","Pending",IF(M200="","⚠️ Enter Code",IF(IFERROR(VLOOKUP(L200,DB_Agents!$B:$I,8,0),"")=M200,"Pending","🔒 BLOCKED — Wrong Code")))</f>
        <v>Pending</v>
      </c>
      <c r="L200" s="253" t="s">
        <v>140</v>
      </c>
      <c r="M200" s="240"/>
      <c r="N200" s="254"/>
    </row>
    <row r="201" spans="1:14" ht="18" customHeight="1" x14ac:dyDescent="0.25">
      <c r="A201" s="256" t="str">
        <f t="shared" si="20"/>
        <v/>
      </c>
      <c r="B201" s="257"/>
      <c r="C201" s="257" t="str">
        <f>IF(B201="","",IFERROR(VLOOKUP(B201,DB_Customers!$A:$D,4,0),"❌ Account Not Found"))</f>
        <v/>
      </c>
      <c r="D201" s="256" t="str">
        <f t="shared" ca="1" si="21"/>
        <v/>
      </c>
      <c r="E201" s="257"/>
      <c r="F201" s="257"/>
      <c r="G201" s="256"/>
      <c r="H201" s="256">
        <v>2.5</v>
      </c>
      <c r="I201" s="256" t="str">
        <f t="shared" si="22"/>
        <v/>
      </c>
      <c r="J201" s="256" t="str">
        <f t="shared" si="23"/>
        <v/>
      </c>
      <c r="K201" s="256" t="str">
        <f>IF(B201="","Pending",IF(M201="","⚠️ Enter Code",IF(IFERROR(VLOOKUP(L201,DB_Agents!$B:$I,8,0),"")=M201,"Pending","🔒 BLOCKED — Wrong Code")))</f>
        <v>Pending</v>
      </c>
      <c r="L201" s="256" t="s">
        <v>140</v>
      </c>
      <c r="M201" s="252"/>
      <c r="N201" s="257"/>
    </row>
    <row r="202" spans="1:14" ht="18" customHeight="1" x14ac:dyDescent="0.25">
      <c r="A202" s="253" t="str">
        <f t="shared" si="20"/>
        <v/>
      </c>
      <c r="B202" s="254"/>
      <c r="C202" s="254" t="str">
        <f>IF(B202="","",IFERROR(VLOOKUP(B202,DB_Customers!$A:$D,4,0),"❌ Account Not Found"))</f>
        <v/>
      </c>
      <c r="D202" s="253" t="str">
        <f t="shared" ca="1" si="21"/>
        <v/>
      </c>
      <c r="E202" s="254"/>
      <c r="F202" s="254"/>
      <c r="G202" s="253"/>
      <c r="H202" s="253">
        <v>2.5</v>
      </c>
      <c r="I202" s="253" t="str">
        <f t="shared" si="22"/>
        <v/>
      </c>
      <c r="J202" s="253" t="str">
        <f t="shared" si="23"/>
        <v/>
      </c>
      <c r="K202" s="253" t="str">
        <f>IF(B202="","Pending",IF(M202="","⚠️ Enter Code",IF(IFERROR(VLOOKUP(L202,DB_Agents!$B:$I,8,0),"")=M202,"Pending","🔒 BLOCKED — Wrong Code")))</f>
        <v>Pending</v>
      </c>
      <c r="L202" s="253" t="s">
        <v>140</v>
      </c>
      <c r="M202" s="240"/>
      <c r="N202" s="254"/>
    </row>
    <row r="203" spans="1:14" ht="18" customHeight="1" x14ac:dyDescent="0.25">
      <c r="A203" s="256" t="str">
        <f t="shared" si="20"/>
        <v/>
      </c>
      <c r="B203" s="257"/>
      <c r="C203" s="257" t="str">
        <f>IF(B203="","",IFERROR(VLOOKUP(B203,DB_Customers!$A:$D,4,0),"❌ Account Not Found"))</f>
        <v/>
      </c>
      <c r="D203" s="256" t="str">
        <f t="shared" ca="1" si="21"/>
        <v/>
      </c>
      <c r="E203" s="257"/>
      <c r="F203" s="257"/>
      <c r="G203" s="256"/>
      <c r="H203" s="256">
        <v>2.5</v>
      </c>
      <c r="I203" s="256" t="str">
        <f t="shared" si="22"/>
        <v/>
      </c>
      <c r="J203" s="256" t="str">
        <f t="shared" si="23"/>
        <v/>
      </c>
      <c r="K203" s="256" t="str">
        <f>IF(B203="","Pending",IF(M203="","⚠️ Enter Code",IF(IFERROR(VLOOKUP(L203,DB_Agents!$B:$I,8,0),"")=M203,"Pending","🔒 BLOCKED — Wrong Code")))</f>
        <v>Pending</v>
      </c>
      <c r="L203" s="256" t="s">
        <v>140</v>
      </c>
      <c r="M203" s="252"/>
      <c r="N203" s="257"/>
    </row>
    <row r="204" spans="1:14" ht="18" customHeight="1" x14ac:dyDescent="0.25">
      <c r="A204" s="253" t="str">
        <f t="shared" si="20"/>
        <v/>
      </c>
      <c r="B204" s="254"/>
      <c r="C204" s="254" t="str">
        <f>IF(B204="","",IFERROR(VLOOKUP(B204,DB_Customers!$A:$D,4,0),"❌ Account Not Found"))</f>
        <v/>
      </c>
      <c r="D204" s="253" t="str">
        <f t="shared" ca="1" si="21"/>
        <v/>
      </c>
      <c r="E204" s="254"/>
      <c r="F204" s="254"/>
      <c r="G204" s="253"/>
      <c r="H204" s="253">
        <v>2.5</v>
      </c>
      <c r="I204" s="253" t="str">
        <f t="shared" si="22"/>
        <v/>
      </c>
      <c r="J204" s="253" t="str">
        <f t="shared" si="23"/>
        <v/>
      </c>
      <c r="K204" s="253" t="str">
        <f>IF(B204="","Pending",IF(M204="","⚠️ Enter Code",IF(IFERROR(VLOOKUP(L204,DB_Agents!$B:$I,8,0),"")=M204,"Pending","🔒 BLOCKED — Wrong Code")))</f>
        <v>Pending</v>
      </c>
      <c r="L204" s="253" t="s">
        <v>140</v>
      </c>
      <c r="M204" s="240"/>
      <c r="N204" s="254"/>
    </row>
    <row r="205" spans="1:14" ht="18" customHeight="1" x14ac:dyDescent="0.25">
      <c r="A205" s="256" t="str">
        <f t="shared" si="20"/>
        <v/>
      </c>
      <c r="B205" s="257"/>
      <c r="C205" s="257" t="str">
        <f>IF(B205="","",IFERROR(VLOOKUP(B205,DB_Customers!$A:$D,4,0),"❌ Account Not Found"))</f>
        <v/>
      </c>
      <c r="D205" s="256" t="str">
        <f t="shared" ca="1" si="21"/>
        <v/>
      </c>
      <c r="E205" s="257"/>
      <c r="F205" s="257"/>
      <c r="G205" s="256"/>
      <c r="H205" s="256">
        <v>2.5</v>
      </c>
      <c r="I205" s="256" t="str">
        <f t="shared" si="22"/>
        <v/>
      </c>
      <c r="J205" s="256" t="str">
        <f t="shared" si="23"/>
        <v/>
      </c>
      <c r="K205" s="256" t="str">
        <f>IF(B205="","Pending",IF(M205="","⚠️ Enter Code",IF(IFERROR(VLOOKUP(L205,DB_Agents!$B:$I,8,0),"")=M205,"Pending","🔒 BLOCKED — Wrong Code")))</f>
        <v>Pending</v>
      </c>
      <c r="L205" s="256" t="s">
        <v>140</v>
      </c>
      <c r="M205" s="252"/>
      <c r="N205" s="257"/>
    </row>
    <row r="206" spans="1:14" ht="18" customHeight="1" x14ac:dyDescent="0.25">
      <c r="A206" s="253" t="str">
        <f t="shared" ref="A206:A213" si="24">IF(B206="","",IF(C206="❌ Account Not Found","INVALID","LN"&amp;TEXT(D206,"YYYYMMDD")&amp;TEXT(ROW()-13,"0000")))</f>
        <v/>
      </c>
      <c r="B206" s="254"/>
      <c r="C206" s="254" t="str">
        <f>IF(B206="","",IFERROR(VLOOKUP(B206,DB_Customers!$A:$D,4,0),"❌ Account Not Found"))</f>
        <v/>
      </c>
      <c r="D206" s="253" t="str">
        <f t="shared" ref="D206:D213" ca="1" si="25">IF(B206="","",TODAY())</f>
        <v/>
      </c>
      <c r="E206" s="254"/>
      <c r="F206" s="254"/>
      <c r="G206" s="253"/>
      <c r="H206" s="253">
        <v>2.5</v>
      </c>
      <c r="I206" s="253" t="str">
        <f t="shared" ref="I206:I213" si="26">IF(E206="","",E206+(E206*H206/100*G206))</f>
        <v/>
      </c>
      <c r="J206" s="253" t="str">
        <f t="shared" ref="J206:J213" si="27">IFERROR(I206/G206,"")</f>
        <v/>
      </c>
      <c r="K206" s="253" t="str">
        <f>IF(B206="","Pending",IF(M206="","⚠️ Enter Code",IF(IFERROR(VLOOKUP(L206,DB_Agents!$B:$I,8,0),"")=M206,"Pending","🔒 BLOCKED — Wrong Code")))</f>
        <v>Pending</v>
      </c>
      <c r="L206" s="253" t="s">
        <v>140</v>
      </c>
      <c r="M206" s="240"/>
      <c r="N206" s="254"/>
    </row>
    <row r="207" spans="1:14" ht="18" customHeight="1" x14ac:dyDescent="0.25">
      <c r="A207" s="256" t="str">
        <f t="shared" si="24"/>
        <v/>
      </c>
      <c r="B207" s="257"/>
      <c r="C207" s="257" t="str">
        <f>IF(B207="","",IFERROR(VLOOKUP(B207,DB_Customers!$A:$D,4,0),"❌ Account Not Found"))</f>
        <v/>
      </c>
      <c r="D207" s="256" t="str">
        <f t="shared" ca="1" si="25"/>
        <v/>
      </c>
      <c r="E207" s="257"/>
      <c r="F207" s="257"/>
      <c r="G207" s="256"/>
      <c r="H207" s="256">
        <v>2.5</v>
      </c>
      <c r="I207" s="256" t="str">
        <f t="shared" si="26"/>
        <v/>
      </c>
      <c r="J207" s="256" t="str">
        <f t="shared" si="27"/>
        <v/>
      </c>
      <c r="K207" s="256" t="str">
        <f>IF(B207="","Pending",IF(M207="","⚠️ Enter Code",IF(IFERROR(VLOOKUP(L207,DB_Agents!$B:$I,8,0),"")=M207,"Pending","🔒 BLOCKED — Wrong Code")))</f>
        <v>Pending</v>
      </c>
      <c r="L207" s="256" t="s">
        <v>140</v>
      </c>
      <c r="M207" s="252"/>
      <c r="N207" s="257"/>
    </row>
    <row r="208" spans="1:14" ht="18" customHeight="1" x14ac:dyDescent="0.25">
      <c r="A208" s="253" t="str">
        <f t="shared" si="24"/>
        <v/>
      </c>
      <c r="B208" s="254"/>
      <c r="C208" s="254" t="str">
        <f>IF(B208="","",IFERROR(VLOOKUP(B208,DB_Customers!$A:$D,4,0),"❌ Account Not Found"))</f>
        <v/>
      </c>
      <c r="D208" s="253" t="str">
        <f t="shared" ca="1" si="25"/>
        <v/>
      </c>
      <c r="E208" s="254"/>
      <c r="F208" s="254"/>
      <c r="G208" s="253"/>
      <c r="H208" s="253">
        <v>2.5</v>
      </c>
      <c r="I208" s="253" t="str">
        <f t="shared" si="26"/>
        <v/>
      </c>
      <c r="J208" s="253" t="str">
        <f t="shared" si="27"/>
        <v/>
      </c>
      <c r="K208" s="253" t="str">
        <f>IF(B208="","Pending",IF(M208="","⚠️ Enter Code",IF(IFERROR(VLOOKUP(L208,DB_Agents!$B:$I,8,0),"")=M208,"Pending","🔒 BLOCKED — Wrong Code")))</f>
        <v>Pending</v>
      </c>
      <c r="L208" s="253" t="s">
        <v>140</v>
      </c>
      <c r="M208" s="240"/>
      <c r="N208" s="254"/>
    </row>
    <row r="209" spans="1:14" ht="18" customHeight="1" x14ac:dyDescent="0.25">
      <c r="A209" s="256" t="str">
        <f t="shared" si="24"/>
        <v/>
      </c>
      <c r="B209" s="257"/>
      <c r="C209" s="257" t="str">
        <f>IF(B209="","",IFERROR(VLOOKUP(B209,DB_Customers!$A:$D,4,0),"❌ Account Not Found"))</f>
        <v/>
      </c>
      <c r="D209" s="256" t="str">
        <f t="shared" ca="1" si="25"/>
        <v/>
      </c>
      <c r="E209" s="257"/>
      <c r="F209" s="257"/>
      <c r="G209" s="256"/>
      <c r="H209" s="256">
        <v>2.5</v>
      </c>
      <c r="I209" s="256" t="str">
        <f t="shared" si="26"/>
        <v/>
      </c>
      <c r="J209" s="256" t="str">
        <f t="shared" si="27"/>
        <v/>
      </c>
      <c r="K209" s="256" t="str">
        <f>IF(B209="","Pending",IF(M209="","⚠️ Enter Code",IF(IFERROR(VLOOKUP(L209,DB_Agents!$B:$I,8,0),"")=M209,"Pending","🔒 BLOCKED — Wrong Code")))</f>
        <v>Pending</v>
      </c>
      <c r="L209" s="256" t="s">
        <v>140</v>
      </c>
      <c r="M209" s="252"/>
      <c r="N209" s="257"/>
    </row>
    <row r="210" spans="1:14" ht="18" customHeight="1" x14ac:dyDescent="0.25">
      <c r="A210" s="253" t="str">
        <f t="shared" si="24"/>
        <v/>
      </c>
      <c r="B210" s="254"/>
      <c r="C210" s="254" t="str">
        <f>IF(B210="","",IFERROR(VLOOKUP(B210,DB_Customers!$A:$D,4,0),"❌ Account Not Found"))</f>
        <v/>
      </c>
      <c r="D210" s="253" t="str">
        <f t="shared" ca="1" si="25"/>
        <v/>
      </c>
      <c r="E210" s="254"/>
      <c r="F210" s="254"/>
      <c r="G210" s="253"/>
      <c r="H210" s="253">
        <v>2.5</v>
      </c>
      <c r="I210" s="253" t="str">
        <f t="shared" si="26"/>
        <v/>
      </c>
      <c r="J210" s="253" t="str">
        <f t="shared" si="27"/>
        <v/>
      </c>
      <c r="K210" s="253" t="str">
        <f>IF(B210="","Pending",IF(M210="","⚠️ Enter Code",IF(IFERROR(VLOOKUP(L210,DB_Agents!$B:$I,8,0),"")=M210,"Pending","🔒 BLOCKED — Wrong Code")))</f>
        <v>Pending</v>
      </c>
      <c r="L210" s="253" t="s">
        <v>140</v>
      </c>
      <c r="M210" s="240"/>
      <c r="N210" s="254"/>
    </row>
    <row r="211" spans="1:14" ht="18" customHeight="1" x14ac:dyDescent="0.25">
      <c r="A211" s="256" t="str">
        <f t="shared" si="24"/>
        <v/>
      </c>
      <c r="B211" s="257"/>
      <c r="C211" s="257" t="str">
        <f>IF(B211="","",IFERROR(VLOOKUP(B211,DB_Customers!$A:$D,4,0),"❌ Account Not Found"))</f>
        <v/>
      </c>
      <c r="D211" s="256" t="str">
        <f t="shared" ca="1" si="25"/>
        <v/>
      </c>
      <c r="E211" s="257"/>
      <c r="F211" s="257"/>
      <c r="G211" s="256"/>
      <c r="H211" s="256">
        <v>2.5</v>
      </c>
      <c r="I211" s="256" t="str">
        <f t="shared" si="26"/>
        <v/>
      </c>
      <c r="J211" s="256" t="str">
        <f t="shared" si="27"/>
        <v/>
      </c>
      <c r="K211" s="256" t="str">
        <f>IF(B211="","Pending",IF(M211="","⚠️ Enter Code",IF(IFERROR(VLOOKUP(L211,DB_Agents!$B:$I,8,0),"")=M211,"Pending","🔒 BLOCKED — Wrong Code")))</f>
        <v>Pending</v>
      </c>
      <c r="L211" s="256" t="s">
        <v>140</v>
      </c>
      <c r="M211" s="252"/>
      <c r="N211" s="257"/>
    </row>
    <row r="212" spans="1:14" ht="18" customHeight="1" x14ac:dyDescent="0.25">
      <c r="A212" s="253" t="str">
        <f t="shared" si="24"/>
        <v/>
      </c>
      <c r="B212" s="254"/>
      <c r="C212" s="254" t="str">
        <f>IF(B212="","",IFERROR(VLOOKUP(B212,DB_Customers!$A:$D,4,0),"❌ Account Not Found"))</f>
        <v/>
      </c>
      <c r="D212" s="253" t="str">
        <f t="shared" ca="1" si="25"/>
        <v/>
      </c>
      <c r="E212" s="254"/>
      <c r="F212" s="254"/>
      <c r="G212" s="253"/>
      <c r="H212" s="253">
        <v>2.5</v>
      </c>
      <c r="I212" s="253" t="str">
        <f t="shared" si="26"/>
        <v/>
      </c>
      <c r="J212" s="253" t="str">
        <f t="shared" si="27"/>
        <v/>
      </c>
      <c r="K212" s="253" t="str">
        <f>IF(B212="","Pending",IF(M212="","⚠️ Enter Code",IF(IFERROR(VLOOKUP(L212,DB_Agents!$B:$I,8,0),"")=M212,"Pending","🔒 BLOCKED — Wrong Code")))</f>
        <v>Pending</v>
      </c>
      <c r="L212" s="253" t="s">
        <v>140</v>
      </c>
      <c r="M212" s="240"/>
      <c r="N212" s="254"/>
    </row>
    <row r="213" spans="1:14" ht="18" customHeight="1" x14ac:dyDescent="0.25">
      <c r="A213" s="256" t="str">
        <f t="shared" si="24"/>
        <v/>
      </c>
      <c r="B213" s="257"/>
      <c r="C213" s="257" t="str">
        <f>IF(B213="","",IFERROR(VLOOKUP(B213,DB_Customers!$A:$D,4,0),"❌ Account Not Found"))</f>
        <v/>
      </c>
      <c r="D213" s="256" t="str">
        <f t="shared" ca="1" si="25"/>
        <v/>
      </c>
      <c r="E213" s="257"/>
      <c r="F213" s="257"/>
      <c r="G213" s="256"/>
      <c r="H213" s="256">
        <v>2.5</v>
      </c>
      <c r="I213" s="256" t="str">
        <f t="shared" si="26"/>
        <v/>
      </c>
      <c r="J213" s="256" t="str">
        <f t="shared" si="27"/>
        <v/>
      </c>
      <c r="K213" s="256" t="str">
        <f>IF(B213="","Pending",IF(M213="","⚠️ Enter Code",IF(IFERROR(VLOOKUP(L213,DB_Agents!$B:$I,8,0),"")=M213,"Pending","🔒 BLOCKED — Wrong Code")))</f>
        <v>Pending</v>
      </c>
      <c r="L213" s="256" t="s">
        <v>140</v>
      </c>
      <c r="M213" s="252"/>
      <c r="N213" s="257"/>
    </row>
  </sheetData>
  <conditionalFormatting sqref="K14:K113">
    <cfRule type="cellIs" dxfId="25" priority="2" operator="equal">
      <formula>"Approved"</formula>
    </cfRule>
    <cfRule type="cellIs" dxfId="24" priority="3" operator="equal">
      <formula>"Pending"</formula>
    </cfRule>
    <cfRule type="cellIs" dxfId="23" priority="4" operator="equal">
      <formula>"Rejected"</formula>
    </cfRule>
  </conditionalFormatting>
  <dataValidations count="2">
    <dataValidation type="whole" showErrorMessage="1" error="Enter 1-36 months" sqref="G14:G113" xr:uid="{00000000-0002-0000-2000-000000000000}">
      <formula1>1</formula1>
      <formula2>36</formula2>
    </dataValidation>
    <dataValidation type="list" sqref="L14:L113" xr:uid="{00000000-0002-0000-20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359" t="s">
        <v>378</v>
      </c>
      <c r="B1" s="265"/>
      <c r="C1" s="265"/>
      <c r="D1" s="265"/>
      <c r="E1" s="265"/>
      <c r="F1" s="265"/>
      <c r="G1" s="265"/>
      <c r="H1" s="265"/>
      <c r="I1" s="265"/>
      <c r="J1" s="265"/>
      <c r="K1" s="265"/>
      <c r="L1" s="265"/>
    </row>
    <row r="2" spans="1:12" ht="19.5" customHeight="1" x14ac:dyDescent="0.25">
      <c r="A2" s="357" t="s">
        <v>379</v>
      </c>
      <c r="B2" s="265"/>
      <c r="C2" s="265"/>
      <c r="D2" s="265"/>
      <c r="E2" s="265"/>
      <c r="F2" s="265"/>
      <c r="G2" s="265"/>
      <c r="H2" s="265"/>
      <c r="I2" s="265"/>
      <c r="J2" s="265"/>
      <c r="K2" s="265"/>
      <c r="L2" s="265"/>
    </row>
    <row r="3" spans="1:12" ht="18" customHeight="1" x14ac:dyDescent="0.25">
      <c r="A3" s="323" t="s">
        <v>311</v>
      </c>
      <c r="B3" s="265"/>
      <c r="C3" s="265"/>
      <c r="D3" s="324" t="s">
        <v>312</v>
      </c>
      <c r="E3" s="265"/>
      <c r="F3" s="265"/>
      <c r="G3" s="351" t="s">
        <v>313</v>
      </c>
      <c r="H3" s="265"/>
      <c r="I3" s="265"/>
      <c r="J3" s="265"/>
      <c r="K3" s="265"/>
      <c r="L3" s="265"/>
    </row>
    <row r="4" spans="1:12" ht="27.75" customHeight="1" x14ac:dyDescent="0.25">
      <c r="A4" s="363">
        <f ca="1">SUMIFS(DB_Savings!$F:$F,DB_Savings!$G:$G,"Agent 09",DB_Savings!$E:$E,TODAY())</f>
        <v>0</v>
      </c>
      <c r="B4" s="265"/>
      <c r="C4" s="265"/>
      <c r="D4" s="361">
        <f ca="1">COUNTIFS(DB_Savings!$G:$G,"Agent 09",DB_Savings!$E:$E,TODAY())</f>
        <v>0</v>
      </c>
      <c r="E4" s="265"/>
      <c r="F4" s="265"/>
      <c r="G4" s="362" t="str">
        <f ca="1">TEXT(TODAY(),"DDDD, DD MMMM YYYY")</f>
        <v>Friday, 24 April 2026</v>
      </c>
      <c r="H4" s="265"/>
      <c r="I4" s="265"/>
      <c r="J4" s="265"/>
      <c r="K4" s="265"/>
      <c r="L4" s="265"/>
    </row>
    <row r="5" spans="1:12" ht="21.75" customHeight="1" x14ac:dyDescent="0.25">
      <c r="A5" s="360" t="str">
        <f ca="1">IF(SUMIFS(DB_Savings!$F:$F,DB_Savings!$G:$G,"Agent 09",DB_Savings!$E:$E,TODAY())&gt;=J4,"✅ DAILY TARGET ACHIEVED! Well done Agent 09!","⏳ Collection in progress — Keep going! Remaining: GHC "&amp;TEXT(J4-SUMIFS(DB_Savings!$F:$F,DB_Savings!$G:$G,"Agent 09",DB_Savings!$E:$E,TODAY()),"#,##0.00"))</f>
        <v>✅ DAILY TARGET ACHIEVED! Well done Agent 09!</v>
      </c>
      <c r="B5" s="265"/>
      <c r="C5" s="265"/>
      <c r="D5" s="265"/>
      <c r="E5" s="265"/>
      <c r="F5" s="265"/>
      <c r="G5" s="265"/>
      <c r="H5" s="265"/>
      <c r="I5" s="265"/>
      <c r="J5" s="265"/>
      <c r="K5" s="265"/>
      <c r="L5" s="265"/>
    </row>
    <row r="6" spans="1:12" ht="7.5" customHeight="1" x14ac:dyDescent="0.25"/>
    <row r="7" spans="1:12" ht="19.5" customHeight="1" x14ac:dyDescent="0.25">
      <c r="A7" s="358" t="s">
        <v>314</v>
      </c>
      <c r="B7" s="265"/>
      <c r="C7" s="265"/>
      <c r="D7" s="265"/>
      <c r="E7" s="265"/>
      <c r="F7" s="265"/>
      <c r="G7" s="265"/>
      <c r="H7" s="265"/>
      <c r="I7" s="265"/>
      <c r="J7" s="265"/>
      <c r="K7" s="265"/>
      <c r="L7" s="265"/>
    </row>
    <row r="8" spans="1:12" ht="19.5" customHeight="1" x14ac:dyDescent="0.25">
      <c r="A8" s="36" t="s">
        <v>315</v>
      </c>
      <c r="B8" s="36" t="s">
        <v>77</v>
      </c>
      <c r="C8" s="36" t="s">
        <v>316</v>
      </c>
      <c r="D8" s="36" t="s">
        <v>78</v>
      </c>
      <c r="E8" s="36" t="s">
        <v>317</v>
      </c>
      <c r="F8" s="36" t="s">
        <v>318</v>
      </c>
      <c r="G8" s="36" t="s">
        <v>14</v>
      </c>
      <c r="H8" s="75" t="s">
        <v>319</v>
      </c>
      <c r="I8" s="36" t="s">
        <v>13</v>
      </c>
      <c r="J8" s="36" t="s">
        <v>320</v>
      </c>
      <c r="K8" s="36" t="s">
        <v>321</v>
      </c>
    </row>
    <row r="9" spans="1:12" ht="15" customHeight="1" x14ac:dyDescent="0.25">
      <c r="A9" s="76"/>
      <c r="B9" s="37" t="str">
        <f>IF(A9="","",IFERROR(VLOOKUP(A9,DB_Customers!$A:$D,4,0),"❌ Account Not Found"))</f>
        <v/>
      </c>
      <c r="C9" s="77" t="str">
        <f>IF(A9="","",IFERROR(IF(SUMIF(DB_Savings!$C:$C,A9,DB_Savings!$F:$F)=0,VLOOKUP(A9,DB_Customers!$A:$I,9,0),VLOOKUP(A9,DB_Customers!$A:$N,14,0)),"❌ Acct Not Found"))</f>
        <v/>
      </c>
      <c r="D9" s="78" t="str">
        <f t="shared" ref="D9:D40" ca="1" si="0">IF(A9="","",TODAY())</f>
        <v/>
      </c>
      <c r="E9" s="79"/>
      <c r="F9" s="80" t="str">
        <f t="shared" ref="F9:F40" si="1">IF(OR(A9="",E9=""),"",IF(C9="","",C9+E9))</f>
        <v/>
      </c>
      <c r="G9" s="39" t="s">
        <v>141</v>
      </c>
      <c r="H9" s="81"/>
      <c r="I9" s="82" t="str">
        <f>IF(A9="","Pending",IF(H9="","⚠️ Enter Agent Code",IF(IFERROR(VLOOKUP(G9,DB_Agents!$B:$I,8,0),"")=H9,IF(AND(A9&lt;&gt;"",E9&lt;&gt;""),"Saved","Pending"),"🔒 BLOCKED — Wrong Code")))</f>
        <v>Pending</v>
      </c>
      <c r="J9" s="83" t="str">
        <f t="shared" ref="J9:J40" ca="1" si="2">IF(I9="Saved",TEXT(TODAY(),"YYYY-MM-DD")&amp;" Auto","—")</f>
        <v>—</v>
      </c>
      <c r="K9" s="84"/>
    </row>
    <row r="10" spans="1:12" ht="15" customHeight="1" x14ac:dyDescent="0.25">
      <c r="A10" s="85"/>
      <c r="B10" s="41" t="str">
        <f>IF(A10="","",IFERROR(VLOOKUP(A10,DB_Customers!$A:$D,4,0),"❌ Account Not Found"))</f>
        <v/>
      </c>
      <c r="C10" s="86" t="str">
        <f>IF(A10="","",IFERROR(IF(SUMIF(DB_Savings!$C:$C,A10,DB_Savings!$F:$F)=0,VLOOKUP(A10,DB_Customers!$A:$I,9,0),VLOOKUP(A10,DB_Customers!$A:$N,14,0)),"❌ Acct Not Found"))</f>
        <v/>
      </c>
      <c r="D10" s="87" t="str">
        <f t="shared" ca="1" si="0"/>
        <v/>
      </c>
      <c r="E10" s="79"/>
      <c r="F10" s="88" t="str">
        <f t="shared" si="1"/>
        <v/>
      </c>
      <c r="G10" s="43" t="s">
        <v>141</v>
      </c>
      <c r="H10" s="81"/>
      <c r="I10" s="89" t="str">
        <f>IF(A10="","Pending",IF(H10="","⚠️ Enter Agent Code",IF(IFERROR(VLOOKUP(G10,DB_Agents!$B:$I,8,0),"")=H10,IF(AND(A10&lt;&gt;"",E10&lt;&gt;""),"Saved","Pending"),"🔒 BLOCKED — Wrong Code")))</f>
        <v>Pending</v>
      </c>
      <c r="J10" s="90" t="str">
        <f t="shared" ca="1" si="2"/>
        <v>—</v>
      </c>
      <c r="K10" s="91"/>
    </row>
    <row r="11" spans="1:12" ht="15" customHeight="1" x14ac:dyDescent="0.25">
      <c r="A11" s="76"/>
      <c r="B11" s="37" t="str">
        <f>IF(A11="","",IFERROR(VLOOKUP(A11,DB_Customers!$A:$D,4,0),"❌ Account Not Found"))</f>
        <v/>
      </c>
      <c r="C11" s="77" t="str">
        <f>IF(A11="","",IFERROR(IF(SUMIF(DB_Savings!$C:$C,A11,DB_Savings!$F:$F)=0,VLOOKUP(A11,DB_Customers!$A:$I,9,0),VLOOKUP(A11,DB_Customers!$A:$N,14,0)),"❌ Acct Not Found"))</f>
        <v/>
      </c>
      <c r="D11" s="78" t="str">
        <f t="shared" ca="1" si="0"/>
        <v/>
      </c>
      <c r="E11" s="79"/>
      <c r="F11" s="80" t="str">
        <f t="shared" si="1"/>
        <v/>
      </c>
      <c r="G11" s="39" t="s">
        <v>141</v>
      </c>
      <c r="H11" s="81"/>
      <c r="I11" s="82" t="str">
        <f>IF(A11="","Pending",IF(H11="","⚠️ Enter Agent Code",IF(IFERROR(VLOOKUP(G11,DB_Agents!$B:$I,8,0),"")=H11,IF(AND(A11&lt;&gt;"",E11&lt;&gt;""),"Saved","Pending"),"🔒 BLOCKED — Wrong Code")))</f>
        <v>Pending</v>
      </c>
      <c r="J11" s="83" t="str">
        <f t="shared" ca="1" si="2"/>
        <v>—</v>
      </c>
      <c r="K11" s="84"/>
    </row>
    <row r="12" spans="1:12" ht="15" customHeight="1" x14ac:dyDescent="0.25">
      <c r="A12" s="85"/>
      <c r="B12" s="41" t="str">
        <f>IF(A12="","",IFERROR(VLOOKUP(A12,DB_Customers!$A:$D,4,0),"❌ Account Not Found"))</f>
        <v/>
      </c>
      <c r="C12" s="86" t="str">
        <f>IF(A12="","",IFERROR(IF(SUMIF(DB_Savings!$C:$C,A12,DB_Savings!$F:$F)=0,VLOOKUP(A12,DB_Customers!$A:$I,9,0),VLOOKUP(A12,DB_Customers!$A:$N,14,0)),"❌ Acct Not Found"))</f>
        <v/>
      </c>
      <c r="D12" s="87" t="str">
        <f t="shared" ca="1" si="0"/>
        <v/>
      </c>
      <c r="E12" s="79"/>
      <c r="F12" s="88" t="str">
        <f t="shared" si="1"/>
        <v/>
      </c>
      <c r="G12" s="43" t="s">
        <v>141</v>
      </c>
      <c r="H12" s="81"/>
      <c r="I12" s="89" t="str">
        <f>IF(A12="","Pending",IF(H12="","⚠️ Enter Agent Code",IF(IFERROR(VLOOKUP(G12,DB_Agents!$B:$I,8,0),"")=H12,IF(AND(A12&lt;&gt;"",E12&lt;&gt;""),"Saved","Pending"),"🔒 BLOCKED — Wrong Code")))</f>
        <v>Pending</v>
      </c>
      <c r="J12" s="90" t="str">
        <f t="shared" ca="1" si="2"/>
        <v>—</v>
      </c>
      <c r="K12" s="91"/>
    </row>
    <row r="13" spans="1:12" ht="15" customHeight="1" x14ac:dyDescent="0.25">
      <c r="A13" s="76"/>
      <c r="B13" s="37" t="str">
        <f>IF(A13="","",IFERROR(VLOOKUP(A13,DB_Customers!$A:$D,4,0),"❌ Account Not Found"))</f>
        <v/>
      </c>
      <c r="C13" s="77" t="str">
        <f>IF(A13="","",IFERROR(IF(SUMIF(DB_Savings!$C:$C,A13,DB_Savings!$F:$F)=0,VLOOKUP(A13,DB_Customers!$A:$I,9,0),VLOOKUP(A13,DB_Customers!$A:$N,14,0)),"❌ Acct Not Found"))</f>
        <v/>
      </c>
      <c r="D13" s="78" t="str">
        <f t="shared" ca="1" si="0"/>
        <v/>
      </c>
      <c r="E13" s="79"/>
      <c r="F13" s="80" t="str">
        <f t="shared" si="1"/>
        <v/>
      </c>
      <c r="G13" s="39" t="s">
        <v>141</v>
      </c>
      <c r="H13" s="81"/>
      <c r="I13" s="82" t="str">
        <f>IF(A13="","Pending",IF(H13="","⚠️ Enter Agent Code",IF(IFERROR(VLOOKUP(G13,DB_Agents!$B:$I,8,0),"")=H13,IF(AND(A13&lt;&gt;"",E13&lt;&gt;""),"Saved","Pending"),"🔒 BLOCKED — Wrong Code")))</f>
        <v>Pending</v>
      </c>
      <c r="J13" s="83" t="str">
        <f t="shared" ca="1" si="2"/>
        <v>—</v>
      </c>
      <c r="K13" s="84"/>
    </row>
    <row r="14" spans="1:12" ht="15" customHeight="1" x14ac:dyDescent="0.25">
      <c r="A14" s="85"/>
      <c r="B14" s="41" t="str">
        <f>IF(A14="","",IFERROR(VLOOKUP(A14,DB_Customers!$A:$D,4,0),"❌ Account Not Found"))</f>
        <v/>
      </c>
      <c r="C14" s="86" t="str">
        <f>IF(A14="","",IFERROR(IF(SUMIF(DB_Savings!$C:$C,A14,DB_Savings!$F:$F)=0,VLOOKUP(A14,DB_Customers!$A:$I,9,0),VLOOKUP(A14,DB_Customers!$A:$N,14,0)),"❌ Acct Not Found"))</f>
        <v/>
      </c>
      <c r="D14" s="87" t="str">
        <f t="shared" ca="1" si="0"/>
        <v/>
      </c>
      <c r="E14" s="79"/>
      <c r="F14" s="88" t="str">
        <f t="shared" si="1"/>
        <v/>
      </c>
      <c r="G14" s="43" t="s">
        <v>141</v>
      </c>
      <c r="H14" s="81"/>
      <c r="I14" s="89" t="str">
        <f>IF(A14="","Pending",IF(H14="","⚠️ Enter Agent Code",IF(IFERROR(VLOOKUP(G14,DB_Agents!$B:$I,8,0),"")=H14,IF(AND(A14&lt;&gt;"",E14&lt;&gt;""),"Saved","Pending"),"🔒 BLOCKED — Wrong Code")))</f>
        <v>Pending</v>
      </c>
      <c r="J14" s="90" t="str">
        <f t="shared" ca="1" si="2"/>
        <v>—</v>
      </c>
      <c r="K14" s="91"/>
    </row>
    <row r="15" spans="1:12" ht="15" customHeight="1" x14ac:dyDescent="0.25">
      <c r="A15" s="76"/>
      <c r="B15" s="37" t="str">
        <f>IF(A15="","",IFERROR(VLOOKUP(A15,DB_Customers!$A:$D,4,0),"❌ Account Not Found"))</f>
        <v/>
      </c>
      <c r="C15" s="77" t="str">
        <f>IF(A15="","",IFERROR(IF(SUMIF(DB_Savings!$C:$C,A15,DB_Savings!$F:$F)=0,VLOOKUP(A15,DB_Customers!$A:$I,9,0),VLOOKUP(A15,DB_Customers!$A:$N,14,0)),"❌ Acct Not Found"))</f>
        <v/>
      </c>
      <c r="D15" s="78" t="str">
        <f t="shared" ca="1" si="0"/>
        <v/>
      </c>
      <c r="E15" s="79"/>
      <c r="F15" s="80" t="str">
        <f t="shared" si="1"/>
        <v/>
      </c>
      <c r="G15" s="39" t="s">
        <v>141</v>
      </c>
      <c r="H15" s="81"/>
      <c r="I15" s="82" t="str">
        <f>IF(A15="","Pending",IF(H15="","⚠️ Enter Agent Code",IF(IFERROR(VLOOKUP(G15,DB_Agents!$B:$I,8,0),"")=H15,IF(AND(A15&lt;&gt;"",E15&lt;&gt;""),"Saved","Pending"),"🔒 BLOCKED — Wrong Code")))</f>
        <v>Pending</v>
      </c>
      <c r="J15" s="83" t="str">
        <f t="shared" ca="1" si="2"/>
        <v>—</v>
      </c>
      <c r="K15" s="84"/>
    </row>
    <row r="16" spans="1:12" ht="15" customHeight="1" x14ac:dyDescent="0.25">
      <c r="A16" s="85"/>
      <c r="B16" s="41" t="str">
        <f>IF(A16="","",IFERROR(VLOOKUP(A16,DB_Customers!$A:$D,4,0),"❌ Account Not Found"))</f>
        <v/>
      </c>
      <c r="C16" s="86" t="str">
        <f>IF(A16="","",IFERROR(IF(SUMIF(DB_Savings!$C:$C,A16,DB_Savings!$F:$F)=0,VLOOKUP(A16,DB_Customers!$A:$I,9,0),VLOOKUP(A16,DB_Customers!$A:$N,14,0)),"❌ Acct Not Found"))</f>
        <v/>
      </c>
      <c r="D16" s="87" t="str">
        <f t="shared" ca="1" si="0"/>
        <v/>
      </c>
      <c r="E16" s="79"/>
      <c r="F16" s="88" t="str">
        <f t="shared" si="1"/>
        <v/>
      </c>
      <c r="G16" s="43" t="s">
        <v>141</v>
      </c>
      <c r="H16" s="81"/>
      <c r="I16" s="89" t="str">
        <f>IF(A16="","Pending",IF(H16="","⚠️ Enter Agent Code",IF(IFERROR(VLOOKUP(G16,DB_Agents!$B:$I,8,0),"")=H16,IF(AND(A16&lt;&gt;"",E16&lt;&gt;""),"Saved","Pending"),"🔒 BLOCKED — Wrong Code")))</f>
        <v>Pending</v>
      </c>
      <c r="J16" s="90" t="str">
        <f t="shared" ca="1" si="2"/>
        <v>—</v>
      </c>
      <c r="K16" s="91"/>
    </row>
    <row r="17" spans="1:11" ht="15" customHeight="1" x14ac:dyDescent="0.25">
      <c r="A17" s="76"/>
      <c r="B17" s="37" t="str">
        <f>IF(A17="","",IFERROR(VLOOKUP(A17,DB_Customers!$A:$D,4,0),"❌ Account Not Found"))</f>
        <v/>
      </c>
      <c r="C17" s="77" t="str">
        <f>IF(A17="","",IFERROR(IF(SUMIF(DB_Savings!$C:$C,A17,DB_Savings!$F:$F)=0,VLOOKUP(A17,DB_Customers!$A:$I,9,0),VLOOKUP(A17,DB_Customers!$A:$N,14,0)),"❌ Acct Not Found"))</f>
        <v/>
      </c>
      <c r="D17" s="78" t="str">
        <f t="shared" ca="1" si="0"/>
        <v/>
      </c>
      <c r="E17" s="79"/>
      <c r="F17" s="80" t="str">
        <f t="shared" si="1"/>
        <v/>
      </c>
      <c r="G17" s="39" t="s">
        <v>141</v>
      </c>
      <c r="H17" s="81"/>
      <c r="I17" s="82" t="str">
        <f>IF(A17="","Pending",IF(H17="","⚠️ Enter Agent Code",IF(IFERROR(VLOOKUP(G17,DB_Agents!$B:$I,8,0),"")=H17,IF(AND(A17&lt;&gt;"",E17&lt;&gt;""),"Saved","Pending"),"🔒 BLOCKED — Wrong Code")))</f>
        <v>Pending</v>
      </c>
      <c r="J17" s="83" t="str">
        <f t="shared" ca="1" si="2"/>
        <v>—</v>
      </c>
      <c r="K17" s="84"/>
    </row>
    <row r="18" spans="1:11" ht="15" customHeight="1" x14ac:dyDescent="0.25">
      <c r="A18" s="85"/>
      <c r="B18" s="41" t="str">
        <f>IF(A18="","",IFERROR(VLOOKUP(A18,DB_Customers!$A:$D,4,0),"❌ Account Not Found"))</f>
        <v/>
      </c>
      <c r="C18" s="86" t="str">
        <f>IF(A18="","",IFERROR(IF(SUMIF(DB_Savings!$C:$C,A18,DB_Savings!$F:$F)=0,VLOOKUP(A18,DB_Customers!$A:$I,9,0),VLOOKUP(A18,DB_Customers!$A:$N,14,0)),"❌ Acct Not Found"))</f>
        <v/>
      </c>
      <c r="D18" s="87" t="str">
        <f t="shared" ca="1" si="0"/>
        <v/>
      </c>
      <c r="E18" s="79"/>
      <c r="F18" s="88" t="str">
        <f t="shared" si="1"/>
        <v/>
      </c>
      <c r="G18" s="43" t="s">
        <v>141</v>
      </c>
      <c r="H18" s="81"/>
      <c r="I18" s="89" t="str">
        <f>IF(A18="","Pending",IF(H18="","⚠️ Enter Agent Code",IF(IFERROR(VLOOKUP(G18,DB_Agents!$B:$I,8,0),"")=H18,IF(AND(A18&lt;&gt;"",E18&lt;&gt;""),"Saved","Pending"),"🔒 BLOCKED — Wrong Code")))</f>
        <v>Pending</v>
      </c>
      <c r="J18" s="90" t="str">
        <f t="shared" ca="1" si="2"/>
        <v>—</v>
      </c>
      <c r="K18" s="91"/>
    </row>
    <row r="19" spans="1:11" ht="15" customHeight="1" x14ac:dyDescent="0.25">
      <c r="A19" s="76"/>
      <c r="B19" s="37" t="str">
        <f>IF(A19="","",IFERROR(VLOOKUP(A19,DB_Customers!$A:$D,4,0),"❌ Account Not Found"))</f>
        <v/>
      </c>
      <c r="C19" s="77" t="str">
        <f>IF(A19="","",IFERROR(IF(SUMIF(DB_Savings!$C:$C,A19,DB_Savings!$F:$F)=0,VLOOKUP(A19,DB_Customers!$A:$I,9,0),VLOOKUP(A19,DB_Customers!$A:$N,14,0)),"❌ Acct Not Found"))</f>
        <v/>
      </c>
      <c r="D19" s="78" t="str">
        <f t="shared" ca="1" si="0"/>
        <v/>
      </c>
      <c r="E19" s="79"/>
      <c r="F19" s="80" t="str">
        <f t="shared" si="1"/>
        <v/>
      </c>
      <c r="G19" s="39" t="s">
        <v>141</v>
      </c>
      <c r="H19" s="81"/>
      <c r="I19" s="82" t="str">
        <f>IF(A19="","Pending",IF(H19="","⚠️ Enter Agent Code",IF(IFERROR(VLOOKUP(G19,DB_Agents!$B:$I,8,0),"")=H19,IF(AND(A19&lt;&gt;"",E19&lt;&gt;""),"Saved","Pending"),"🔒 BLOCKED — Wrong Code")))</f>
        <v>Pending</v>
      </c>
      <c r="J19" s="83" t="str">
        <f t="shared" ca="1" si="2"/>
        <v>—</v>
      </c>
      <c r="K19" s="84"/>
    </row>
    <row r="20" spans="1:11" ht="15" customHeight="1" x14ac:dyDescent="0.25">
      <c r="A20" s="85"/>
      <c r="B20" s="41" t="str">
        <f>IF(A20="","",IFERROR(VLOOKUP(A20,DB_Customers!$A:$D,4,0),"❌ Account Not Found"))</f>
        <v/>
      </c>
      <c r="C20" s="86" t="str">
        <f>IF(A20="","",IFERROR(IF(SUMIF(DB_Savings!$C:$C,A20,DB_Savings!$F:$F)=0,VLOOKUP(A20,DB_Customers!$A:$I,9,0),VLOOKUP(A20,DB_Customers!$A:$N,14,0)),"❌ Acct Not Found"))</f>
        <v/>
      </c>
      <c r="D20" s="87" t="str">
        <f t="shared" ca="1" si="0"/>
        <v/>
      </c>
      <c r="E20" s="79"/>
      <c r="F20" s="88" t="str">
        <f t="shared" si="1"/>
        <v/>
      </c>
      <c r="G20" s="43" t="s">
        <v>141</v>
      </c>
      <c r="H20" s="81"/>
      <c r="I20" s="89" t="str">
        <f>IF(A20="","Pending",IF(H20="","⚠️ Enter Agent Code",IF(IFERROR(VLOOKUP(G20,DB_Agents!$B:$I,8,0),"")=H20,IF(AND(A20&lt;&gt;"",E20&lt;&gt;""),"Saved","Pending"),"🔒 BLOCKED — Wrong Code")))</f>
        <v>Pending</v>
      </c>
      <c r="J20" s="90" t="str">
        <f t="shared" ca="1" si="2"/>
        <v>—</v>
      </c>
      <c r="K20" s="91"/>
    </row>
    <row r="21" spans="1:11" ht="15" customHeight="1" x14ac:dyDescent="0.25">
      <c r="A21" s="76"/>
      <c r="B21" s="37" t="str">
        <f>IF(A21="","",IFERROR(VLOOKUP(A21,DB_Customers!$A:$D,4,0),"❌ Account Not Found"))</f>
        <v/>
      </c>
      <c r="C21" s="77" t="str">
        <f>IF(A21="","",IFERROR(IF(SUMIF(DB_Savings!$C:$C,A21,DB_Savings!$F:$F)=0,VLOOKUP(A21,DB_Customers!$A:$I,9,0),VLOOKUP(A21,DB_Customers!$A:$N,14,0)),"❌ Acct Not Found"))</f>
        <v/>
      </c>
      <c r="D21" s="78" t="str">
        <f t="shared" ca="1" si="0"/>
        <v/>
      </c>
      <c r="E21" s="79"/>
      <c r="F21" s="80" t="str">
        <f t="shared" si="1"/>
        <v/>
      </c>
      <c r="G21" s="39" t="s">
        <v>141</v>
      </c>
      <c r="H21" s="81"/>
      <c r="I21" s="82" t="str">
        <f>IF(A21="","Pending",IF(H21="","⚠️ Enter Agent Code",IF(IFERROR(VLOOKUP(G21,DB_Agents!$B:$I,8,0),"")=H21,IF(AND(A21&lt;&gt;"",E21&lt;&gt;""),"Saved","Pending"),"🔒 BLOCKED — Wrong Code")))</f>
        <v>Pending</v>
      </c>
      <c r="J21" s="83" t="str">
        <f t="shared" ca="1" si="2"/>
        <v>—</v>
      </c>
      <c r="K21" s="84"/>
    </row>
    <row r="22" spans="1:11" ht="15" customHeight="1" x14ac:dyDescent="0.25">
      <c r="A22" s="85"/>
      <c r="B22" s="41" t="str">
        <f>IF(A22="","",IFERROR(VLOOKUP(A22,DB_Customers!$A:$D,4,0),"❌ Account Not Found"))</f>
        <v/>
      </c>
      <c r="C22" s="86" t="str">
        <f>IF(A22="","",IFERROR(IF(SUMIF(DB_Savings!$C:$C,A22,DB_Savings!$F:$F)=0,VLOOKUP(A22,DB_Customers!$A:$I,9,0),VLOOKUP(A22,DB_Customers!$A:$N,14,0)),"❌ Acct Not Found"))</f>
        <v/>
      </c>
      <c r="D22" s="87" t="str">
        <f t="shared" ca="1" si="0"/>
        <v/>
      </c>
      <c r="E22" s="79"/>
      <c r="F22" s="88" t="str">
        <f t="shared" si="1"/>
        <v/>
      </c>
      <c r="G22" s="43" t="s">
        <v>141</v>
      </c>
      <c r="H22" s="81"/>
      <c r="I22" s="89" t="str">
        <f>IF(A22="","Pending",IF(H22="","⚠️ Enter Agent Code",IF(IFERROR(VLOOKUP(G22,DB_Agents!$B:$I,8,0),"")=H22,IF(AND(A22&lt;&gt;"",E22&lt;&gt;""),"Saved","Pending"),"🔒 BLOCKED — Wrong Code")))</f>
        <v>Pending</v>
      </c>
      <c r="J22" s="90" t="str">
        <f t="shared" ca="1" si="2"/>
        <v>—</v>
      </c>
      <c r="K22" s="91"/>
    </row>
    <row r="23" spans="1:11" ht="15" customHeight="1" x14ac:dyDescent="0.25">
      <c r="A23" s="76"/>
      <c r="B23" s="37" t="str">
        <f>IF(A23="","",IFERROR(VLOOKUP(A23,DB_Customers!$A:$D,4,0),"❌ Account Not Found"))</f>
        <v/>
      </c>
      <c r="C23" s="77" t="str">
        <f>IF(A23="","",IFERROR(IF(SUMIF(DB_Savings!$C:$C,A23,DB_Savings!$F:$F)=0,VLOOKUP(A23,DB_Customers!$A:$I,9,0),VLOOKUP(A23,DB_Customers!$A:$N,14,0)),"❌ Acct Not Found"))</f>
        <v/>
      </c>
      <c r="D23" s="78" t="str">
        <f t="shared" ca="1" si="0"/>
        <v/>
      </c>
      <c r="E23" s="79"/>
      <c r="F23" s="80" t="str">
        <f t="shared" si="1"/>
        <v/>
      </c>
      <c r="G23" s="39" t="s">
        <v>141</v>
      </c>
      <c r="H23" s="81"/>
      <c r="I23" s="82" t="str">
        <f>IF(A23="","Pending",IF(H23="","⚠️ Enter Agent Code",IF(IFERROR(VLOOKUP(G23,DB_Agents!$B:$I,8,0),"")=H23,IF(AND(A23&lt;&gt;"",E23&lt;&gt;""),"Saved","Pending"),"🔒 BLOCKED — Wrong Code")))</f>
        <v>Pending</v>
      </c>
      <c r="J23" s="83" t="str">
        <f t="shared" ca="1" si="2"/>
        <v>—</v>
      </c>
      <c r="K23" s="84"/>
    </row>
    <row r="24" spans="1:11" ht="15" customHeight="1" x14ac:dyDescent="0.25">
      <c r="A24" s="85"/>
      <c r="B24" s="41" t="str">
        <f>IF(A24="","",IFERROR(VLOOKUP(A24,DB_Customers!$A:$D,4,0),"❌ Account Not Found"))</f>
        <v/>
      </c>
      <c r="C24" s="86" t="str">
        <f>IF(A24="","",IFERROR(IF(SUMIF(DB_Savings!$C:$C,A24,DB_Savings!$F:$F)=0,VLOOKUP(A24,DB_Customers!$A:$I,9,0),VLOOKUP(A24,DB_Customers!$A:$N,14,0)),"❌ Acct Not Found"))</f>
        <v/>
      </c>
      <c r="D24" s="87" t="str">
        <f t="shared" ca="1" si="0"/>
        <v/>
      </c>
      <c r="E24" s="79"/>
      <c r="F24" s="88" t="str">
        <f t="shared" si="1"/>
        <v/>
      </c>
      <c r="G24" s="43" t="s">
        <v>141</v>
      </c>
      <c r="H24" s="81"/>
      <c r="I24" s="89" t="str">
        <f>IF(A24="","Pending",IF(H24="","⚠️ Enter Agent Code",IF(IFERROR(VLOOKUP(G24,DB_Agents!$B:$I,8,0),"")=H24,IF(AND(A24&lt;&gt;"",E24&lt;&gt;""),"Saved","Pending"),"🔒 BLOCKED — Wrong Code")))</f>
        <v>Pending</v>
      </c>
      <c r="J24" s="90" t="str">
        <f t="shared" ca="1" si="2"/>
        <v>—</v>
      </c>
      <c r="K24" s="91"/>
    </row>
    <row r="25" spans="1:11" ht="15" customHeight="1" x14ac:dyDescent="0.25">
      <c r="A25" s="76"/>
      <c r="B25" s="37" t="str">
        <f>IF(A25="","",IFERROR(VLOOKUP(A25,DB_Customers!$A:$D,4,0),"❌ Account Not Found"))</f>
        <v/>
      </c>
      <c r="C25" s="77" t="str">
        <f>IF(A25="","",IFERROR(IF(SUMIF(DB_Savings!$C:$C,A25,DB_Savings!$F:$F)=0,VLOOKUP(A25,DB_Customers!$A:$I,9,0),VLOOKUP(A25,DB_Customers!$A:$N,14,0)),"❌ Acct Not Found"))</f>
        <v/>
      </c>
      <c r="D25" s="78" t="str">
        <f t="shared" ca="1" si="0"/>
        <v/>
      </c>
      <c r="E25" s="79"/>
      <c r="F25" s="80" t="str">
        <f t="shared" si="1"/>
        <v/>
      </c>
      <c r="G25" s="39" t="s">
        <v>141</v>
      </c>
      <c r="H25" s="81"/>
      <c r="I25" s="82" t="str">
        <f>IF(A25="","Pending",IF(H25="","⚠️ Enter Agent Code",IF(IFERROR(VLOOKUP(G25,DB_Agents!$B:$I,8,0),"")=H25,IF(AND(A25&lt;&gt;"",E25&lt;&gt;""),"Saved","Pending"),"🔒 BLOCKED — Wrong Code")))</f>
        <v>Pending</v>
      </c>
      <c r="J25" s="83" t="str">
        <f t="shared" ca="1" si="2"/>
        <v>—</v>
      </c>
      <c r="K25" s="84"/>
    </row>
    <row r="26" spans="1:11" ht="15" customHeight="1" x14ac:dyDescent="0.25">
      <c r="A26" s="85"/>
      <c r="B26" s="41" t="str">
        <f>IF(A26="","",IFERROR(VLOOKUP(A26,DB_Customers!$A:$D,4,0),"❌ Account Not Found"))</f>
        <v/>
      </c>
      <c r="C26" s="86" t="str">
        <f>IF(A26="","",IFERROR(IF(SUMIF(DB_Savings!$C:$C,A26,DB_Savings!$F:$F)=0,VLOOKUP(A26,DB_Customers!$A:$I,9,0),VLOOKUP(A26,DB_Customers!$A:$N,14,0)),"❌ Acct Not Found"))</f>
        <v/>
      </c>
      <c r="D26" s="87" t="str">
        <f t="shared" ca="1" si="0"/>
        <v/>
      </c>
      <c r="E26" s="79"/>
      <c r="F26" s="88" t="str">
        <f t="shared" si="1"/>
        <v/>
      </c>
      <c r="G26" s="43" t="s">
        <v>141</v>
      </c>
      <c r="H26" s="81"/>
      <c r="I26" s="89" t="str">
        <f>IF(A26="","Pending",IF(H26="","⚠️ Enter Agent Code",IF(IFERROR(VLOOKUP(G26,DB_Agents!$B:$I,8,0),"")=H26,IF(AND(A26&lt;&gt;"",E26&lt;&gt;""),"Saved","Pending"),"🔒 BLOCKED — Wrong Code")))</f>
        <v>Pending</v>
      </c>
      <c r="J26" s="90" t="str">
        <f t="shared" ca="1" si="2"/>
        <v>—</v>
      </c>
      <c r="K26" s="91"/>
    </row>
    <row r="27" spans="1:11" ht="15" customHeight="1" x14ac:dyDescent="0.25">
      <c r="A27" s="76"/>
      <c r="B27" s="37" t="str">
        <f>IF(A27="","",IFERROR(VLOOKUP(A27,DB_Customers!$A:$D,4,0),"❌ Account Not Found"))</f>
        <v/>
      </c>
      <c r="C27" s="77" t="str">
        <f>IF(A27="","",IFERROR(IF(SUMIF(DB_Savings!$C:$C,A27,DB_Savings!$F:$F)=0,VLOOKUP(A27,DB_Customers!$A:$I,9,0),VLOOKUP(A27,DB_Customers!$A:$N,14,0)),"❌ Acct Not Found"))</f>
        <v/>
      </c>
      <c r="D27" s="78" t="str">
        <f t="shared" ca="1" si="0"/>
        <v/>
      </c>
      <c r="E27" s="79"/>
      <c r="F27" s="80" t="str">
        <f t="shared" si="1"/>
        <v/>
      </c>
      <c r="G27" s="39" t="s">
        <v>141</v>
      </c>
      <c r="H27" s="81"/>
      <c r="I27" s="82" t="str">
        <f>IF(A27="","Pending",IF(H27="","⚠️ Enter Agent Code",IF(IFERROR(VLOOKUP(G27,DB_Agents!$B:$I,8,0),"")=H27,IF(AND(A27&lt;&gt;"",E27&lt;&gt;""),"Saved","Pending"),"🔒 BLOCKED — Wrong Code")))</f>
        <v>Pending</v>
      </c>
      <c r="J27" s="83" t="str">
        <f t="shared" ca="1" si="2"/>
        <v>—</v>
      </c>
      <c r="K27" s="84"/>
    </row>
    <row r="28" spans="1:11" ht="15" customHeight="1" x14ac:dyDescent="0.25">
      <c r="A28" s="85"/>
      <c r="B28" s="41" t="str">
        <f>IF(A28="","",IFERROR(VLOOKUP(A28,DB_Customers!$A:$D,4,0),"❌ Account Not Found"))</f>
        <v/>
      </c>
      <c r="C28" s="86" t="str">
        <f>IF(A28="","",IFERROR(IF(SUMIF(DB_Savings!$C:$C,A28,DB_Savings!$F:$F)=0,VLOOKUP(A28,DB_Customers!$A:$I,9,0),VLOOKUP(A28,DB_Customers!$A:$N,14,0)),"❌ Acct Not Found"))</f>
        <v/>
      </c>
      <c r="D28" s="87" t="str">
        <f t="shared" ca="1" si="0"/>
        <v/>
      </c>
      <c r="E28" s="79"/>
      <c r="F28" s="88" t="str">
        <f t="shared" si="1"/>
        <v/>
      </c>
      <c r="G28" s="43" t="s">
        <v>141</v>
      </c>
      <c r="H28" s="81"/>
      <c r="I28" s="89" t="str">
        <f>IF(A28="","Pending",IF(H28="","⚠️ Enter Agent Code",IF(IFERROR(VLOOKUP(G28,DB_Agents!$B:$I,8,0),"")=H28,IF(AND(A28&lt;&gt;"",E28&lt;&gt;""),"Saved","Pending"),"🔒 BLOCKED — Wrong Code")))</f>
        <v>Pending</v>
      </c>
      <c r="J28" s="90" t="str">
        <f t="shared" ca="1" si="2"/>
        <v>—</v>
      </c>
      <c r="K28" s="91"/>
    </row>
    <row r="29" spans="1:11" ht="15" customHeight="1" x14ac:dyDescent="0.25">
      <c r="A29" s="76"/>
      <c r="B29" s="37" t="str">
        <f>IF(A29="","",IFERROR(VLOOKUP(A29,DB_Customers!$A:$D,4,0),"❌ Account Not Found"))</f>
        <v/>
      </c>
      <c r="C29" s="77" t="str">
        <f>IF(A29="","",IFERROR(IF(SUMIF(DB_Savings!$C:$C,A29,DB_Savings!$F:$F)=0,VLOOKUP(A29,DB_Customers!$A:$I,9,0),VLOOKUP(A29,DB_Customers!$A:$N,14,0)),"❌ Acct Not Found"))</f>
        <v/>
      </c>
      <c r="D29" s="78" t="str">
        <f t="shared" ca="1" si="0"/>
        <v/>
      </c>
      <c r="E29" s="79"/>
      <c r="F29" s="80" t="str">
        <f t="shared" si="1"/>
        <v/>
      </c>
      <c r="G29" s="39" t="s">
        <v>141</v>
      </c>
      <c r="H29" s="81"/>
      <c r="I29" s="82" t="str">
        <f>IF(A29="","Pending",IF(H29="","⚠️ Enter Agent Code",IF(IFERROR(VLOOKUP(G29,DB_Agents!$B:$I,8,0),"")=H29,IF(AND(A29&lt;&gt;"",E29&lt;&gt;""),"Saved","Pending"),"🔒 BLOCKED — Wrong Code")))</f>
        <v>Pending</v>
      </c>
      <c r="J29" s="83" t="str">
        <f t="shared" ca="1" si="2"/>
        <v>—</v>
      </c>
      <c r="K29" s="84"/>
    </row>
    <row r="30" spans="1:11" ht="15" customHeight="1" x14ac:dyDescent="0.25">
      <c r="A30" s="85"/>
      <c r="B30" s="41" t="str">
        <f>IF(A30="","",IFERROR(VLOOKUP(A30,DB_Customers!$A:$D,4,0),"❌ Account Not Found"))</f>
        <v/>
      </c>
      <c r="C30" s="86" t="str">
        <f>IF(A30="","",IFERROR(IF(SUMIF(DB_Savings!$C:$C,A30,DB_Savings!$F:$F)=0,VLOOKUP(A30,DB_Customers!$A:$I,9,0),VLOOKUP(A30,DB_Customers!$A:$N,14,0)),"❌ Acct Not Found"))</f>
        <v/>
      </c>
      <c r="D30" s="87" t="str">
        <f t="shared" ca="1" si="0"/>
        <v/>
      </c>
      <c r="E30" s="79"/>
      <c r="F30" s="88" t="str">
        <f t="shared" si="1"/>
        <v/>
      </c>
      <c r="G30" s="43" t="s">
        <v>141</v>
      </c>
      <c r="H30" s="81"/>
      <c r="I30" s="89" t="str">
        <f>IF(A30="","Pending",IF(H30="","⚠️ Enter Agent Code",IF(IFERROR(VLOOKUP(G30,DB_Agents!$B:$I,8,0),"")=H30,IF(AND(A30&lt;&gt;"",E30&lt;&gt;""),"Saved","Pending"),"🔒 BLOCKED — Wrong Code")))</f>
        <v>Pending</v>
      </c>
      <c r="J30" s="90" t="str">
        <f t="shared" ca="1" si="2"/>
        <v>—</v>
      </c>
      <c r="K30" s="91"/>
    </row>
    <row r="31" spans="1:11" ht="15" customHeight="1" x14ac:dyDescent="0.25">
      <c r="A31" s="76"/>
      <c r="B31" s="37" t="str">
        <f>IF(A31="","",IFERROR(VLOOKUP(A31,DB_Customers!$A:$D,4,0),"❌ Account Not Found"))</f>
        <v/>
      </c>
      <c r="C31" s="77" t="str">
        <f>IF(A31="","",IFERROR(IF(SUMIF(DB_Savings!$C:$C,A31,DB_Savings!$F:$F)=0,VLOOKUP(A31,DB_Customers!$A:$I,9,0),VLOOKUP(A31,DB_Customers!$A:$N,14,0)),"❌ Acct Not Found"))</f>
        <v/>
      </c>
      <c r="D31" s="78" t="str">
        <f t="shared" ca="1" si="0"/>
        <v/>
      </c>
      <c r="E31" s="79"/>
      <c r="F31" s="80" t="str">
        <f t="shared" si="1"/>
        <v/>
      </c>
      <c r="G31" s="39" t="s">
        <v>141</v>
      </c>
      <c r="H31" s="81"/>
      <c r="I31" s="82" t="str">
        <f>IF(A31="","Pending",IF(H31="","⚠️ Enter Agent Code",IF(IFERROR(VLOOKUP(G31,DB_Agents!$B:$I,8,0),"")=H31,IF(AND(A31&lt;&gt;"",E31&lt;&gt;""),"Saved","Pending"),"🔒 BLOCKED — Wrong Code")))</f>
        <v>Pending</v>
      </c>
      <c r="J31" s="83" t="str">
        <f t="shared" ca="1" si="2"/>
        <v>—</v>
      </c>
      <c r="K31" s="84"/>
    </row>
    <row r="32" spans="1:11" ht="15" customHeight="1" x14ac:dyDescent="0.25">
      <c r="A32" s="85"/>
      <c r="B32" s="41" t="str">
        <f>IF(A32="","",IFERROR(VLOOKUP(A32,DB_Customers!$A:$D,4,0),"❌ Account Not Found"))</f>
        <v/>
      </c>
      <c r="C32" s="86" t="str">
        <f>IF(A32="","",IFERROR(IF(SUMIF(DB_Savings!$C:$C,A32,DB_Savings!$F:$F)=0,VLOOKUP(A32,DB_Customers!$A:$I,9,0),VLOOKUP(A32,DB_Customers!$A:$N,14,0)),"❌ Acct Not Found"))</f>
        <v/>
      </c>
      <c r="D32" s="87" t="str">
        <f t="shared" ca="1" si="0"/>
        <v/>
      </c>
      <c r="E32" s="79"/>
      <c r="F32" s="88" t="str">
        <f t="shared" si="1"/>
        <v/>
      </c>
      <c r="G32" s="43" t="s">
        <v>141</v>
      </c>
      <c r="H32" s="81"/>
      <c r="I32" s="89" t="str">
        <f>IF(A32="","Pending",IF(H32="","⚠️ Enter Agent Code",IF(IFERROR(VLOOKUP(G32,DB_Agents!$B:$I,8,0),"")=H32,IF(AND(A32&lt;&gt;"",E32&lt;&gt;""),"Saved","Pending"),"🔒 BLOCKED — Wrong Code")))</f>
        <v>Pending</v>
      </c>
      <c r="J32" s="90" t="str">
        <f t="shared" ca="1" si="2"/>
        <v>—</v>
      </c>
      <c r="K32" s="91"/>
    </row>
    <row r="33" spans="1:11" ht="15" customHeight="1" x14ac:dyDescent="0.25">
      <c r="A33" s="76"/>
      <c r="B33" s="37" t="str">
        <f>IF(A33="","",IFERROR(VLOOKUP(A33,DB_Customers!$A:$D,4,0),"❌ Account Not Found"))</f>
        <v/>
      </c>
      <c r="C33" s="77" t="str">
        <f>IF(A33="","",IFERROR(IF(SUMIF(DB_Savings!$C:$C,A33,DB_Savings!$F:$F)=0,VLOOKUP(A33,DB_Customers!$A:$I,9,0),VLOOKUP(A33,DB_Customers!$A:$N,14,0)),"❌ Acct Not Found"))</f>
        <v/>
      </c>
      <c r="D33" s="78" t="str">
        <f t="shared" ca="1" si="0"/>
        <v/>
      </c>
      <c r="E33" s="79"/>
      <c r="F33" s="80" t="str">
        <f t="shared" si="1"/>
        <v/>
      </c>
      <c r="G33" s="39" t="s">
        <v>141</v>
      </c>
      <c r="H33" s="81"/>
      <c r="I33" s="82" t="str">
        <f>IF(A33="","Pending",IF(H33="","⚠️ Enter Agent Code",IF(IFERROR(VLOOKUP(G33,DB_Agents!$B:$I,8,0),"")=H33,IF(AND(A33&lt;&gt;"",E33&lt;&gt;""),"Saved","Pending"),"🔒 BLOCKED — Wrong Code")))</f>
        <v>Pending</v>
      </c>
      <c r="J33" s="83" t="str">
        <f t="shared" ca="1" si="2"/>
        <v>—</v>
      </c>
      <c r="K33" s="84"/>
    </row>
    <row r="34" spans="1:11" ht="15" customHeight="1" x14ac:dyDescent="0.25">
      <c r="A34" s="85"/>
      <c r="B34" s="41" t="str">
        <f>IF(A34="","",IFERROR(VLOOKUP(A34,DB_Customers!$A:$D,4,0),"❌ Account Not Found"))</f>
        <v/>
      </c>
      <c r="C34" s="86" t="str">
        <f>IF(A34="","",IFERROR(IF(SUMIF(DB_Savings!$C:$C,A34,DB_Savings!$F:$F)=0,VLOOKUP(A34,DB_Customers!$A:$I,9,0),VLOOKUP(A34,DB_Customers!$A:$N,14,0)),"❌ Acct Not Found"))</f>
        <v/>
      </c>
      <c r="D34" s="87" t="str">
        <f t="shared" ca="1" si="0"/>
        <v/>
      </c>
      <c r="E34" s="79"/>
      <c r="F34" s="88" t="str">
        <f t="shared" si="1"/>
        <v/>
      </c>
      <c r="G34" s="43" t="s">
        <v>141</v>
      </c>
      <c r="H34" s="81"/>
      <c r="I34" s="89" t="str">
        <f>IF(A34="","Pending",IF(H34="","⚠️ Enter Agent Code",IF(IFERROR(VLOOKUP(G34,DB_Agents!$B:$I,8,0),"")=H34,IF(AND(A34&lt;&gt;"",E34&lt;&gt;""),"Saved","Pending"),"🔒 BLOCKED — Wrong Code")))</f>
        <v>Pending</v>
      </c>
      <c r="J34" s="90" t="str">
        <f t="shared" ca="1" si="2"/>
        <v>—</v>
      </c>
      <c r="K34" s="91"/>
    </row>
    <row r="35" spans="1:11" ht="15" customHeight="1" x14ac:dyDescent="0.25">
      <c r="A35" s="76"/>
      <c r="B35" s="37" t="str">
        <f>IF(A35="","",IFERROR(VLOOKUP(A35,DB_Customers!$A:$D,4,0),"❌ Account Not Found"))</f>
        <v/>
      </c>
      <c r="C35" s="77" t="str">
        <f>IF(A35="","",IFERROR(IF(SUMIF(DB_Savings!$C:$C,A35,DB_Savings!$F:$F)=0,VLOOKUP(A35,DB_Customers!$A:$I,9,0),VLOOKUP(A35,DB_Customers!$A:$N,14,0)),"❌ Acct Not Found"))</f>
        <v/>
      </c>
      <c r="D35" s="78" t="str">
        <f t="shared" ca="1" si="0"/>
        <v/>
      </c>
      <c r="E35" s="79"/>
      <c r="F35" s="80" t="str">
        <f t="shared" si="1"/>
        <v/>
      </c>
      <c r="G35" s="39" t="s">
        <v>141</v>
      </c>
      <c r="H35" s="81"/>
      <c r="I35" s="82" t="str">
        <f>IF(A35="","Pending",IF(H35="","⚠️ Enter Agent Code",IF(IFERROR(VLOOKUP(G35,DB_Agents!$B:$I,8,0),"")=H35,IF(AND(A35&lt;&gt;"",E35&lt;&gt;""),"Saved","Pending"),"🔒 BLOCKED — Wrong Code")))</f>
        <v>Pending</v>
      </c>
      <c r="J35" s="83" t="str">
        <f t="shared" ca="1" si="2"/>
        <v>—</v>
      </c>
      <c r="K35" s="84"/>
    </row>
    <row r="36" spans="1:11" ht="15" customHeight="1" x14ac:dyDescent="0.25">
      <c r="A36" s="85"/>
      <c r="B36" s="41" t="str">
        <f>IF(A36="","",IFERROR(VLOOKUP(A36,DB_Customers!$A:$D,4,0),"❌ Account Not Found"))</f>
        <v/>
      </c>
      <c r="C36" s="86" t="str">
        <f>IF(A36="","",IFERROR(IF(SUMIF(DB_Savings!$C:$C,A36,DB_Savings!$F:$F)=0,VLOOKUP(A36,DB_Customers!$A:$I,9,0),VLOOKUP(A36,DB_Customers!$A:$N,14,0)),"❌ Acct Not Found"))</f>
        <v/>
      </c>
      <c r="D36" s="87" t="str">
        <f t="shared" ca="1" si="0"/>
        <v/>
      </c>
      <c r="E36" s="79"/>
      <c r="F36" s="88" t="str">
        <f t="shared" si="1"/>
        <v/>
      </c>
      <c r="G36" s="43" t="s">
        <v>141</v>
      </c>
      <c r="H36" s="81"/>
      <c r="I36" s="89" t="str">
        <f>IF(A36="","Pending",IF(H36="","⚠️ Enter Agent Code",IF(IFERROR(VLOOKUP(G36,DB_Agents!$B:$I,8,0),"")=H36,IF(AND(A36&lt;&gt;"",E36&lt;&gt;""),"Saved","Pending"),"🔒 BLOCKED — Wrong Code")))</f>
        <v>Pending</v>
      </c>
      <c r="J36" s="90" t="str">
        <f t="shared" ca="1" si="2"/>
        <v>—</v>
      </c>
      <c r="K36" s="91"/>
    </row>
    <row r="37" spans="1:11" ht="15" customHeight="1" x14ac:dyDescent="0.25">
      <c r="A37" s="76"/>
      <c r="B37" s="37" t="str">
        <f>IF(A37="","",IFERROR(VLOOKUP(A37,DB_Customers!$A:$D,4,0),"❌ Account Not Found"))</f>
        <v/>
      </c>
      <c r="C37" s="77" t="str">
        <f>IF(A37="","",IFERROR(IF(SUMIF(DB_Savings!$C:$C,A37,DB_Savings!$F:$F)=0,VLOOKUP(A37,DB_Customers!$A:$I,9,0),VLOOKUP(A37,DB_Customers!$A:$N,14,0)),"❌ Acct Not Found"))</f>
        <v/>
      </c>
      <c r="D37" s="78" t="str">
        <f t="shared" ca="1" si="0"/>
        <v/>
      </c>
      <c r="E37" s="79"/>
      <c r="F37" s="80" t="str">
        <f t="shared" si="1"/>
        <v/>
      </c>
      <c r="G37" s="39" t="s">
        <v>141</v>
      </c>
      <c r="H37" s="81"/>
      <c r="I37" s="82" t="str">
        <f>IF(A37="","Pending",IF(H37="","⚠️ Enter Agent Code",IF(IFERROR(VLOOKUP(G37,DB_Agents!$B:$I,8,0),"")=H37,IF(AND(A37&lt;&gt;"",E37&lt;&gt;""),"Saved","Pending"),"🔒 BLOCKED — Wrong Code")))</f>
        <v>Pending</v>
      </c>
      <c r="J37" s="83" t="str">
        <f t="shared" ca="1" si="2"/>
        <v>—</v>
      </c>
      <c r="K37" s="84"/>
    </row>
    <row r="38" spans="1:11" ht="15" customHeight="1" x14ac:dyDescent="0.25">
      <c r="A38" s="85"/>
      <c r="B38" s="41" t="str">
        <f>IF(A38="","",IFERROR(VLOOKUP(A38,DB_Customers!$A:$D,4,0),"❌ Account Not Found"))</f>
        <v/>
      </c>
      <c r="C38" s="86" t="str">
        <f>IF(A38="","",IFERROR(IF(SUMIF(DB_Savings!$C:$C,A38,DB_Savings!$F:$F)=0,VLOOKUP(A38,DB_Customers!$A:$I,9,0),VLOOKUP(A38,DB_Customers!$A:$N,14,0)),"❌ Acct Not Found"))</f>
        <v/>
      </c>
      <c r="D38" s="87" t="str">
        <f t="shared" ca="1" si="0"/>
        <v/>
      </c>
      <c r="E38" s="79"/>
      <c r="F38" s="88" t="str">
        <f t="shared" si="1"/>
        <v/>
      </c>
      <c r="G38" s="43" t="s">
        <v>141</v>
      </c>
      <c r="H38" s="81"/>
      <c r="I38" s="89" t="str">
        <f>IF(A38="","Pending",IF(H38="","⚠️ Enter Agent Code",IF(IFERROR(VLOOKUP(G38,DB_Agents!$B:$I,8,0),"")=H38,IF(AND(A38&lt;&gt;"",E38&lt;&gt;""),"Saved","Pending"),"🔒 BLOCKED — Wrong Code")))</f>
        <v>Pending</v>
      </c>
      <c r="J38" s="90" t="str">
        <f t="shared" ca="1" si="2"/>
        <v>—</v>
      </c>
      <c r="K38" s="91"/>
    </row>
    <row r="39" spans="1:11" ht="15" customHeight="1" x14ac:dyDescent="0.25">
      <c r="A39" s="76"/>
      <c r="B39" s="37" t="str">
        <f>IF(A39="","",IFERROR(VLOOKUP(A39,DB_Customers!$A:$D,4,0),"❌ Account Not Found"))</f>
        <v/>
      </c>
      <c r="C39" s="77" t="str">
        <f>IF(A39="","",IFERROR(IF(SUMIF(DB_Savings!$C:$C,A39,DB_Savings!$F:$F)=0,VLOOKUP(A39,DB_Customers!$A:$I,9,0),VLOOKUP(A39,DB_Customers!$A:$N,14,0)),"❌ Acct Not Found"))</f>
        <v/>
      </c>
      <c r="D39" s="78" t="str">
        <f t="shared" ca="1" si="0"/>
        <v/>
      </c>
      <c r="E39" s="79"/>
      <c r="F39" s="80" t="str">
        <f t="shared" si="1"/>
        <v/>
      </c>
      <c r="G39" s="39" t="s">
        <v>141</v>
      </c>
      <c r="H39" s="81"/>
      <c r="I39" s="82" t="str">
        <f>IF(A39="","Pending",IF(H39="","⚠️ Enter Agent Code",IF(IFERROR(VLOOKUP(G39,DB_Agents!$B:$I,8,0),"")=H39,IF(AND(A39&lt;&gt;"",E39&lt;&gt;""),"Saved","Pending"),"🔒 BLOCKED — Wrong Code")))</f>
        <v>Pending</v>
      </c>
      <c r="J39" s="83" t="str">
        <f t="shared" ca="1" si="2"/>
        <v>—</v>
      </c>
      <c r="K39" s="84"/>
    </row>
    <row r="40" spans="1:11" ht="15" customHeight="1" x14ac:dyDescent="0.25">
      <c r="A40" s="85"/>
      <c r="B40" s="41" t="str">
        <f>IF(A40="","",IFERROR(VLOOKUP(A40,DB_Customers!$A:$D,4,0),"❌ Account Not Found"))</f>
        <v/>
      </c>
      <c r="C40" s="86" t="str">
        <f>IF(A40="","",IFERROR(IF(SUMIF(DB_Savings!$C:$C,A40,DB_Savings!$F:$F)=0,VLOOKUP(A40,DB_Customers!$A:$I,9,0),VLOOKUP(A40,DB_Customers!$A:$N,14,0)),"❌ Acct Not Found"))</f>
        <v/>
      </c>
      <c r="D40" s="87" t="str">
        <f t="shared" ca="1" si="0"/>
        <v/>
      </c>
      <c r="E40" s="79"/>
      <c r="F40" s="88" t="str">
        <f t="shared" si="1"/>
        <v/>
      </c>
      <c r="G40" s="43" t="s">
        <v>141</v>
      </c>
      <c r="H40" s="81"/>
      <c r="I40" s="89" t="str">
        <f>IF(A40="","Pending",IF(H40="","⚠️ Enter Agent Code",IF(IFERROR(VLOOKUP(G40,DB_Agents!$B:$I,8,0),"")=H40,IF(AND(A40&lt;&gt;"",E40&lt;&gt;""),"Saved","Pending"),"🔒 BLOCKED — Wrong Code")))</f>
        <v>Pending</v>
      </c>
      <c r="J40" s="90" t="str">
        <f t="shared" ca="1" si="2"/>
        <v>—</v>
      </c>
      <c r="K40" s="91"/>
    </row>
    <row r="41" spans="1:11" ht="15" customHeight="1" x14ac:dyDescent="0.25">
      <c r="A41" s="76"/>
      <c r="B41" s="37" t="str">
        <f>IF(A41="","",IFERROR(VLOOKUP(A41,DB_Customers!$A:$D,4,0),"❌ Account Not Found"))</f>
        <v/>
      </c>
      <c r="C41" s="77" t="str">
        <f>IF(A41="","",IFERROR(IF(SUMIF(DB_Savings!$C:$C,A41,DB_Savings!$F:$F)=0,VLOOKUP(A41,DB_Customers!$A:$I,9,0),VLOOKUP(A41,DB_Customers!$A:$N,14,0)),"❌ Acct Not Found"))</f>
        <v/>
      </c>
      <c r="D41" s="78" t="str">
        <f t="shared" ref="D41:D72" ca="1" si="3">IF(A41="","",TODAY())</f>
        <v/>
      </c>
      <c r="E41" s="79"/>
      <c r="F41" s="80" t="str">
        <f t="shared" ref="F41:F72" si="4">IF(OR(A41="",E41=""),"",IF(C41="","",C41+E41))</f>
        <v/>
      </c>
      <c r="G41" s="39" t="s">
        <v>141</v>
      </c>
      <c r="H41" s="81"/>
      <c r="I41" s="82" t="str">
        <f>IF(A41="","Pending",IF(H41="","⚠️ Enter Agent Code",IF(IFERROR(VLOOKUP(G41,DB_Agents!$B:$I,8,0),"")=H41,IF(AND(A41&lt;&gt;"",E41&lt;&gt;""),"Saved","Pending"),"🔒 BLOCKED — Wrong Code")))</f>
        <v>Pending</v>
      </c>
      <c r="J41" s="83" t="str">
        <f t="shared" ref="J41:J72" ca="1" si="5">IF(I41="Saved",TEXT(TODAY(),"YYYY-MM-DD")&amp;" Auto","—")</f>
        <v>—</v>
      </c>
      <c r="K41" s="84"/>
    </row>
    <row r="42" spans="1:11" ht="15" customHeight="1" x14ac:dyDescent="0.25">
      <c r="A42" s="85"/>
      <c r="B42" s="41" t="str">
        <f>IF(A42="","",IFERROR(VLOOKUP(A42,DB_Customers!$A:$D,4,0),"❌ Account Not Found"))</f>
        <v/>
      </c>
      <c r="C42" s="86" t="str">
        <f>IF(A42="","",IFERROR(IF(SUMIF(DB_Savings!$C:$C,A42,DB_Savings!$F:$F)=0,VLOOKUP(A42,DB_Customers!$A:$I,9,0),VLOOKUP(A42,DB_Customers!$A:$N,14,0)),"❌ Acct Not Found"))</f>
        <v/>
      </c>
      <c r="D42" s="87" t="str">
        <f t="shared" ca="1" si="3"/>
        <v/>
      </c>
      <c r="E42" s="79"/>
      <c r="F42" s="88" t="str">
        <f t="shared" si="4"/>
        <v/>
      </c>
      <c r="G42" s="43" t="s">
        <v>141</v>
      </c>
      <c r="H42" s="81"/>
      <c r="I42" s="89" t="str">
        <f>IF(A42="","Pending",IF(H42="","⚠️ Enter Agent Code",IF(IFERROR(VLOOKUP(G42,DB_Agents!$B:$I,8,0),"")=H42,IF(AND(A42&lt;&gt;"",E42&lt;&gt;""),"Saved","Pending"),"🔒 BLOCKED — Wrong Code")))</f>
        <v>Pending</v>
      </c>
      <c r="J42" s="90" t="str">
        <f t="shared" ca="1" si="5"/>
        <v>—</v>
      </c>
      <c r="K42" s="91"/>
    </row>
    <row r="43" spans="1:11" ht="15" customHeight="1" x14ac:dyDescent="0.25">
      <c r="A43" s="76"/>
      <c r="B43" s="37" t="str">
        <f>IF(A43="","",IFERROR(VLOOKUP(A43,DB_Customers!$A:$D,4,0),"❌ Account Not Found"))</f>
        <v/>
      </c>
      <c r="C43" s="77" t="str">
        <f>IF(A43="","",IFERROR(IF(SUMIF(DB_Savings!$C:$C,A43,DB_Savings!$F:$F)=0,VLOOKUP(A43,DB_Customers!$A:$I,9,0),VLOOKUP(A43,DB_Customers!$A:$N,14,0)),"❌ Acct Not Found"))</f>
        <v/>
      </c>
      <c r="D43" s="78" t="str">
        <f t="shared" ca="1" si="3"/>
        <v/>
      </c>
      <c r="E43" s="79"/>
      <c r="F43" s="80" t="str">
        <f t="shared" si="4"/>
        <v/>
      </c>
      <c r="G43" s="39" t="s">
        <v>141</v>
      </c>
      <c r="H43" s="81"/>
      <c r="I43" s="82" t="str">
        <f>IF(A43="","Pending",IF(H43="","⚠️ Enter Agent Code",IF(IFERROR(VLOOKUP(G43,DB_Agents!$B:$I,8,0),"")=H43,IF(AND(A43&lt;&gt;"",E43&lt;&gt;""),"Saved","Pending"),"🔒 BLOCKED — Wrong Code")))</f>
        <v>Pending</v>
      </c>
      <c r="J43" s="83" t="str">
        <f t="shared" ca="1" si="5"/>
        <v>—</v>
      </c>
      <c r="K43" s="84"/>
    </row>
    <row r="44" spans="1:11" ht="15" customHeight="1" x14ac:dyDescent="0.25">
      <c r="A44" s="85"/>
      <c r="B44" s="41" t="str">
        <f>IF(A44="","",IFERROR(VLOOKUP(A44,DB_Customers!$A:$D,4,0),"❌ Account Not Found"))</f>
        <v/>
      </c>
      <c r="C44" s="86" t="str">
        <f>IF(A44="","",IFERROR(IF(SUMIF(DB_Savings!$C:$C,A44,DB_Savings!$F:$F)=0,VLOOKUP(A44,DB_Customers!$A:$I,9,0),VLOOKUP(A44,DB_Customers!$A:$N,14,0)),"❌ Acct Not Found"))</f>
        <v/>
      </c>
      <c r="D44" s="87" t="str">
        <f t="shared" ca="1" si="3"/>
        <v/>
      </c>
      <c r="E44" s="79"/>
      <c r="F44" s="88" t="str">
        <f t="shared" si="4"/>
        <v/>
      </c>
      <c r="G44" s="43" t="s">
        <v>141</v>
      </c>
      <c r="H44" s="81"/>
      <c r="I44" s="89" t="str">
        <f>IF(A44="","Pending",IF(H44="","⚠️ Enter Agent Code",IF(IFERROR(VLOOKUP(G44,DB_Agents!$B:$I,8,0),"")=H44,IF(AND(A44&lt;&gt;"",E44&lt;&gt;""),"Saved","Pending"),"🔒 BLOCKED — Wrong Code")))</f>
        <v>Pending</v>
      </c>
      <c r="J44" s="90" t="str">
        <f t="shared" ca="1" si="5"/>
        <v>—</v>
      </c>
      <c r="K44" s="91"/>
    </row>
    <row r="45" spans="1:11" ht="15" customHeight="1" x14ac:dyDescent="0.25">
      <c r="A45" s="76"/>
      <c r="B45" s="37" t="str">
        <f>IF(A45="","",IFERROR(VLOOKUP(A45,DB_Customers!$A:$D,4,0),"❌ Account Not Found"))</f>
        <v/>
      </c>
      <c r="C45" s="77" t="str">
        <f>IF(A45="","",IFERROR(IF(SUMIF(DB_Savings!$C:$C,A45,DB_Savings!$F:$F)=0,VLOOKUP(A45,DB_Customers!$A:$I,9,0),VLOOKUP(A45,DB_Customers!$A:$N,14,0)),"❌ Acct Not Found"))</f>
        <v/>
      </c>
      <c r="D45" s="78" t="str">
        <f t="shared" ca="1" si="3"/>
        <v/>
      </c>
      <c r="E45" s="79"/>
      <c r="F45" s="80" t="str">
        <f t="shared" si="4"/>
        <v/>
      </c>
      <c r="G45" s="39" t="s">
        <v>141</v>
      </c>
      <c r="H45" s="81"/>
      <c r="I45" s="82" t="str">
        <f>IF(A45="","Pending",IF(H45="","⚠️ Enter Agent Code",IF(IFERROR(VLOOKUP(G45,DB_Agents!$B:$I,8,0),"")=H45,IF(AND(A45&lt;&gt;"",E45&lt;&gt;""),"Saved","Pending"),"🔒 BLOCKED — Wrong Code")))</f>
        <v>Pending</v>
      </c>
      <c r="J45" s="83" t="str">
        <f t="shared" ca="1" si="5"/>
        <v>—</v>
      </c>
      <c r="K45" s="84"/>
    </row>
    <row r="46" spans="1:11" ht="15" customHeight="1" x14ac:dyDescent="0.25">
      <c r="A46" s="85"/>
      <c r="B46" s="41" t="str">
        <f>IF(A46="","",IFERROR(VLOOKUP(A46,DB_Customers!$A:$D,4,0),"❌ Account Not Found"))</f>
        <v/>
      </c>
      <c r="C46" s="86" t="str">
        <f>IF(A46="","",IFERROR(IF(SUMIF(DB_Savings!$C:$C,A46,DB_Savings!$F:$F)=0,VLOOKUP(A46,DB_Customers!$A:$I,9,0),VLOOKUP(A46,DB_Customers!$A:$N,14,0)),"❌ Acct Not Found"))</f>
        <v/>
      </c>
      <c r="D46" s="87" t="str">
        <f t="shared" ca="1" si="3"/>
        <v/>
      </c>
      <c r="E46" s="79"/>
      <c r="F46" s="88" t="str">
        <f t="shared" si="4"/>
        <v/>
      </c>
      <c r="G46" s="43" t="s">
        <v>141</v>
      </c>
      <c r="H46" s="81"/>
      <c r="I46" s="89" t="str">
        <f>IF(A46="","Pending",IF(H46="","⚠️ Enter Agent Code",IF(IFERROR(VLOOKUP(G46,DB_Agents!$B:$I,8,0),"")=H46,IF(AND(A46&lt;&gt;"",E46&lt;&gt;""),"Saved","Pending"),"🔒 BLOCKED — Wrong Code")))</f>
        <v>Pending</v>
      </c>
      <c r="J46" s="90" t="str">
        <f t="shared" ca="1" si="5"/>
        <v>—</v>
      </c>
      <c r="K46" s="91"/>
    </row>
    <row r="47" spans="1:11" ht="15" customHeight="1" x14ac:dyDescent="0.25">
      <c r="A47" s="76"/>
      <c r="B47" s="37" t="str">
        <f>IF(A47="","",IFERROR(VLOOKUP(A47,DB_Customers!$A:$D,4,0),"❌ Account Not Found"))</f>
        <v/>
      </c>
      <c r="C47" s="77" t="str">
        <f>IF(A47="","",IFERROR(IF(SUMIF(DB_Savings!$C:$C,A47,DB_Savings!$F:$F)=0,VLOOKUP(A47,DB_Customers!$A:$I,9,0),VLOOKUP(A47,DB_Customers!$A:$N,14,0)),"❌ Acct Not Found"))</f>
        <v/>
      </c>
      <c r="D47" s="78" t="str">
        <f t="shared" ca="1" si="3"/>
        <v/>
      </c>
      <c r="E47" s="79"/>
      <c r="F47" s="80" t="str">
        <f t="shared" si="4"/>
        <v/>
      </c>
      <c r="G47" s="39" t="s">
        <v>141</v>
      </c>
      <c r="H47" s="81"/>
      <c r="I47" s="82" t="str">
        <f>IF(A47="","Pending",IF(H47="","⚠️ Enter Agent Code",IF(IFERROR(VLOOKUP(G47,DB_Agents!$B:$I,8,0),"")=H47,IF(AND(A47&lt;&gt;"",E47&lt;&gt;""),"Saved","Pending"),"🔒 BLOCKED — Wrong Code")))</f>
        <v>Pending</v>
      </c>
      <c r="J47" s="83" t="str">
        <f t="shared" ca="1" si="5"/>
        <v>—</v>
      </c>
      <c r="K47" s="84"/>
    </row>
    <row r="48" spans="1:11" ht="15" customHeight="1" x14ac:dyDescent="0.25">
      <c r="A48" s="85"/>
      <c r="B48" s="41" t="str">
        <f>IF(A48="","",IFERROR(VLOOKUP(A48,DB_Customers!$A:$D,4,0),"❌ Account Not Found"))</f>
        <v/>
      </c>
      <c r="C48" s="86" t="str">
        <f>IF(A48="","",IFERROR(IF(SUMIF(DB_Savings!$C:$C,A48,DB_Savings!$F:$F)=0,VLOOKUP(A48,DB_Customers!$A:$I,9,0),VLOOKUP(A48,DB_Customers!$A:$N,14,0)),"❌ Acct Not Found"))</f>
        <v/>
      </c>
      <c r="D48" s="87" t="str">
        <f t="shared" ca="1" si="3"/>
        <v/>
      </c>
      <c r="E48" s="79"/>
      <c r="F48" s="88" t="str">
        <f t="shared" si="4"/>
        <v/>
      </c>
      <c r="G48" s="43" t="s">
        <v>141</v>
      </c>
      <c r="H48" s="81"/>
      <c r="I48" s="89" t="str">
        <f>IF(A48="","Pending",IF(H48="","⚠️ Enter Agent Code",IF(IFERROR(VLOOKUP(G48,DB_Agents!$B:$I,8,0),"")=H48,IF(AND(A48&lt;&gt;"",E48&lt;&gt;""),"Saved","Pending"),"🔒 BLOCKED — Wrong Code")))</f>
        <v>Pending</v>
      </c>
      <c r="J48" s="90" t="str">
        <f t="shared" ca="1" si="5"/>
        <v>—</v>
      </c>
      <c r="K48" s="91"/>
    </row>
    <row r="49" spans="1:11" ht="15" customHeight="1" x14ac:dyDescent="0.25">
      <c r="A49" s="76"/>
      <c r="B49" s="37" t="str">
        <f>IF(A49="","",IFERROR(VLOOKUP(A49,DB_Customers!$A:$D,4,0),"❌ Account Not Found"))</f>
        <v/>
      </c>
      <c r="C49" s="77" t="str">
        <f>IF(A49="","",IFERROR(IF(SUMIF(DB_Savings!$C:$C,A49,DB_Savings!$F:$F)=0,VLOOKUP(A49,DB_Customers!$A:$I,9,0),VLOOKUP(A49,DB_Customers!$A:$N,14,0)),"❌ Acct Not Found"))</f>
        <v/>
      </c>
      <c r="D49" s="78" t="str">
        <f t="shared" ca="1" si="3"/>
        <v/>
      </c>
      <c r="E49" s="79"/>
      <c r="F49" s="80" t="str">
        <f t="shared" si="4"/>
        <v/>
      </c>
      <c r="G49" s="39" t="s">
        <v>141</v>
      </c>
      <c r="H49" s="81"/>
      <c r="I49" s="82" t="str">
        <f>IF(A49="","Pending",IF(H49="","⚠️ Enter Agent Code",IF(IFERROR(VLOOKUP(G49,DB_Agents!$B:$I,8,0),"")=H49,IF(AND(A49&lt;&gt;"",E49&lt;&gt;""),"Saved","Pending"),"🔒 BLOCKED — Wrong Code")))</f>
        <v>Pending</v>
      </c>
      <c r="J49" s="83" t="str">
        <f t="shared" ca="1" si="5"/>
        <v>—</v>
      </c>
      <c r="K49" s="84"/>
    </row>
    <row r="50" spans="1:11" ht="15" customHeight="1" x14ac:dyDescent="0.25">
      <c r="A50" s="85"/>
      <c r="B50" s="41" t="str">
        <f>IF(A50="","",IFERROR(VLOOKUP(A50,DB_Customers!$A:$D,4,0),"❌ Account Not Found"))</f>
        <v/>
      </c>
      <c r="C50" s="86" t="str">
        <f>IF(A50="","",IFERROR(IF(SUMIF(DB_Savings!$C:$C,A50,DB_Savings!$F:$F)=0,VLOOKUP(A50,DB_Customers!$A:$I,9,0),VLOOKUP(A50,DB_Customers!$A:$N,14,0)),"❌ Acct Not Found"))</f>
        <v/>
      </c>
      <c r="D50" s="87" t="str">
        <f t="shared" ca="1" si="3"/>
        <v/>
      </c>
      <c r="E50" s="79"/>
      <c r="F50" s="88" t="str">
        <f t="shared" si="4"/>
        <v/>
      </c>
      <c r="G50" s="43" t="s">
        <v>141</v>
      </c>
      <c r="H50" s="81"/>
      <c r="I50" s="89" t="str">
        <f>IF(A50="","Pending",IF(H50="","⚠️ Enter Agent Code",IF(IFERROR(VLOOKUP(G50,DB_Agents!$B:$I,8,0),"")=H50,IF(AND(A50&lt;&gt;"",E50&lt;&gt;""),"Saved","Pending"),"🔒 BLOCKED — Wrong Code")))</f>
        <v>Pending</v>
      </c>
      <c r="J50" s="90" t="str">
        <f t="shared" ca="1" si="5"/>
        <v>—</v>
      </c>
      <c r="K50" s="91"/>
    </row>
    <row r="51" spans="1:11" ht="15" customHeight="1" x14ac:dyDescent="0.25">
      <c r="A51" s="76"/>
      <c r="B51" s="37" t="str">
        <f>IF(A51="","",IFERROR(VLOOKUP(A51,DB_Customers!$A:$D,4,0),"❌ Account Not Found"))</f>
        <v/>
      </c>
      <c r="C51" s="77" t="str">
        <f>IF(A51="","",IFERROR(IF(SUMIF(DB_Savings!$C:$C,A51,DB_Savings!$F:$F)=0,VLOOKUP(A51,DB_Customers!$A:$I,9,0),VLOOKUP(A51,DB_Customers!$A:$N,14,0)),"❌ Acct Not Found"))</f>
        <v/>
      </c>
      <c r="D51" s="78" t="str">
        <f t="shared" ca="1" si="3"/>
        <v/>
      </c>
      <c r="E51" s="79"/>
      <c r="F51" s="80" t="str">
        <f t="shared" si="4"/>
        <v/>
      </c>
      <c r="G51" s="39" t="s">
        <v>141</v>
      </c>
      <c r="H51" s="81"/>
      <c r="I51" s="82" t="str">
        <f>IF(A51="","Pending",IF(H51="","⚠️ Enter Agent Code",IF(IFERROR(VLOOKUP(G51,DB_Agents!$B:$I,8,0),"")=H51,IF(AND(A51&lt;&gt;"",E51&lt;&gt;""),"Saved","Pending"),"🔒 BLOCKED — Wrong Code")))</f>
        <v>Pending</v>
      </c>
      <c r="J51" s="83" t="str">
        <f t="shared" ca="1" si="5"/>
        <v>—</v>
      </c>
      <c r="K51" s="84"/>
    </row>
    <row r="52" spans="1:11" ht="15" customHeight="1" x14ac:dyDescent="0.25">
      <c r="A52" s="85"/>
      <c r="B52" s="41" t="str">
        <f>IF(A52="","",IFERROR(VLOOKUP(A52,DB_Customers!$A:$D,4,0),"❌ Account Not Found"))</f>
        <v/>
      </c>
      <c r="C52" s="86" t="str">
        <f>IF(A52="","",IFERROR(IF(SUMIF(DB_Savings!$C:$C,A52,DB_Savings!$F:$F)=0,VLOOKUP(A52,DB_Customers!$A:$I,9,0),VLOOKUP(A52,DB_Customers!$A:$N,14,0)),"❌ Acct Not Found"))</f>
        <v/>
      </c>
      <c r="D52" s="87" t="str">
        <f t="shared" ca="1" si="3"/>
        <v/>
      </c>
      <c r="E52" s="79"/>
      <c r="F52" s="88" t="str">
        <f t="shared" si="4"/>
        <v/>
      </c>
      <c r="G52" s="43" t="s">
        <v>141</v>
      </c>
      <c r="H52" s="81"/>
      <c r="I52" s="89" t="str">
        <f>IF(A52="","Pending",IF(H52="","⚠️ Enter Agent Code",IF(IFERROR(VLOOKUP(G52,DB_Agents!$B:$I,8,0),"")=H52,IF(AND(A52&lt;&gt;"",E52&lt;&gt;""),"Saved","Pending"),"🔒 BLOCKED — Wrong Code")))</f>
        <v>Pending</v>
      </c>
      <c r="J52" s="90" t="str">
        <f t="shared" ca="1" si="5"/>
        <v>—</v>
      </c>
      <c r="K52" s="91"/>
    </row>
    <row r="53" spans="1:11" ht="15" customHeight="1" x14ac:dyDescent="0.25">
      <c r="A53" s="76"/>
      <c r="B53" s="37" t="str">
        <f>IF(A53="","",IFERROR(VLOOKUP(A53,DB_Customers!$A:$D,4,0),"❌ Account Not Found"))</f>
        <v/>
      </c>
      <c r="C53" s="77" t="str">
        <f>IF(A53="","",IFERROR(IF(SUMIF(DB_Savings!$C:$C,A53,DB_Savings!$F:$F)=0,VLOOKUP(A53,DB_Customers!$A:$I,9,0),VLOOKUP(A53,DB_Customers!$A:$N,14,0)),"❌ Acct Not Found"))</f>
        <v/>
      </c>
      <c r="D53" s="78" t="str">
        <f t="shared" ca="1" si="3"/>
        <v/>
      </c>
      <c r="E53" s="79"/>
      <c r="F53" s="80" t="str">
        <f t="shared" si="4"/>
        <v/>
      </c>
      <c r="G53" s="39" t="s">
        <v>141</v>
      </c>
      <c r="H53" s="81"/>
      <c r="I53" s="82" t="str">
        <f>IF(A53="","Pending",IF(H53="","⚠️ Enter Agent Code",IF(IFERROR(VLOOKUP(G53,DB_Agents!$B:$I,8,0),"")=H53,IF(AND(A53&lt;&gt;"",E53&lt;&gt;""),"Saved","Pending"),"🔒 BLOCKED — Wrong Code")))</f>
        <v>Pending</v>
      </c>
      <c r="J53" s="83" t="str">
        <f t="shared" ca="1" si="5"/>
        <v>—</v>
      </c>
      <c r="K53" s="84"/>
    </row>
    <row r="54" spans="1:11" ht="15" customHeight="1" x14ac:dyDescent="0.25">
      <c r="A54" s="85"/>
      <c r="B54" s="41" t="str">
        <f>IF(A54="","",IFERROR(VLOOKUP(A54,DB_Customers!$A:$D,4,0),"❌ Account Not Found"))</f>
        <v/>
      </c>
      <c r="C54" s="86" t="str">
        <f>IF(A54="","",IFERROR(IF(SUMIF(DB_Savings!$C:$C,A54,DB_Savings!$F:$F)=0,VLOOKUP(A54,DB_Customers!$A:$I,9,0),VLOOKUP(A54,DB_Customers!$A:$N,14,0)),"❌ Acct Not Found"))</f>
        <v/>
      </c>
      <c r="D54" s="87" t="str">
        <f t="shared" ca="1" si="3"/>
        <v/>
      </c>
      <c r="E54" s="79"/>
      <c r="F54" s="88" t="str">
        <f t="shared" si="4"/>
        <v/>
      </c>
      <c r="G54" s="43" t="s">
        <v>141</v>
      </c>
      <c r="H54" s="81"/>
      <c r="I54" s="89" t="str">
        <f>IF(A54="","Pending",IF(H54="","⚠️ Enter Agent Code",IF(IFERROR(VLOOKUP(G54,DB_Agents!$B:$I,8,0),"")=H54,IF(AND(A54&lt;&gt;"",E54&lt;&gt;""),"Saved","Pending"),"🔒 BLOCKED — Wrong Code")))</f>
        <v>Pending</v>
      </c>
      <c r="J54" s="90" t="str">
        <f t="shared" ca="1" si="5"/>
        <v>—</v>
      </c>
      <c r="K54" s="91"/>
    </row>
    <row r="55" spans="1:11" ht="15" customHeight="1" x14ac:dyDescent="0.25">
      <c r="A55" s="76"/>
      <c r="B55" s="37" t="str">
        <f>IF(A55="","",IFERROR(VLOOKUP(A55,DB_Customers!$A:$D,4,0),"❌ Account Not Found"))</f>
        <v/>
      </c>
      <c r="C55" s="77" t="str">
        <f>IF(A55="","",IFERROR(IF(SUMIF(DB_Savings!$C:$C,A55,DB_Savings!$F:$F)=0,VLOOKUP(A55,DB_Customers!$A:$I,9,0),VLOOKUP(A55,DB_Customers!$A:$N,14,0)),"❌ Acct Not Found"))</f>
        <v/>
      </c>
      <c r="D55" s="78" t="str">
        <f t="shared" ca="1" si="3"/>
        <v/>
      </c>
      <c r="E55" s="79"/>
      <c r="F55" s="80" t="str">
        <f t="shared" si="4"/>
        <v/>
      </c>
      <c r="G55" s="39" t="s">
        <v>141</v>
      </c>
      <c r="H55" s="81"/>
      <c r="I55" s="82" t="str">
        <f>IF(A55="","Pending",IF(H55="","⚠️ Enter Agent Code",IF(IFERROR(VLOOKUP(G55,DB_Agents!$B:$I,8,0),"")=H55,IF(AND(A55&lt;&gt;"",E55&lt;&gt;""),"Saved","Pending"),"🔒 BLOCKED — Wrong Code")))</f>
        <v>Pending</v>
      </c>
      <c r="J55" s="83" t="str">
        <f t="shared" ca="1" si="5"/>
        <v>—</v>
      </c>
      <c r="K55" s="84"/>
    </row>
    <row r="56" spans="1:11" ht="15" customHeight="1" x14ac:dyDescent="0.25">
      <c r="A56" s="85"/>
      <c r="B56" s="41" t="str">
        <f>IF(A56="","",IFERROR(VLOOKUP(A56,DB_Customers!$A:$D,4,0),"❌ Account Not Found"))</f>
        <v/>
      </c>
      <c r="C56" s="86" t="str">
        <f>IF(A56="","",IFERROR(IF(SUMIF(DB_Savings!$C:$C,A56,DB_Savings!$F:$F)=0,VLOOKUP(A56,DB_Customers!$A:$I,9,0),VLOOKUP(A56,DB_Customers!$A:$N,14,0)),"❌ Acct Not Found"))</f>
        <v/>
      </c>
      <c r="D56" s="87" t="str">
        <f t="shared" ca="1" si="3"/>
        <v/>
      </c>
      <c r="E56" s="79"/>
      <c r="F56" s="88" t="str">
        <f t="shared" si="4"/>
        <v/>
      </c>
      <c r="G56" s="43" t="s">
        <v>141</v>
      </c>
      <c r="H56" s="81"/>
      <c r="I56" s="89" t="str">
        <f>IF(A56="","Pending",IF(H56="","⚠️ Enter Agent Code",IF(IFERROR(VLOOKUP(G56,DB_Agents!$B:$I,8,0),"")=H56,IF(AND(A56&lt;&gt;"",E56&lt;&gt;""),"Saved","Pending"),"🔒 BLOCKED — Wrong Code")))</f>
        <v>Pending</v>
      </c>
      <c r="J56" s="90" t="str">
        <f t="shared" ca="1" si="5"/>
        <v>—</v>
      </c>
      <c r="K56" s="91"/>
    </row>
    <row r="57" spans="1:11" ht="15" customHeight="1" x14ac:dyDescent="0.25">
      <c r="A57" s="76"/>
      <c r="B57" s="37" t="str">
        <f>IF(A57="","",IFERROR(VLOOKUP(A57,DB_Customers!$A:$D,4,0),"❌ Account Not Found"))</f>
        <v/>
      </c>
      <c r="C57" s="77" t="str">
        <f>IF(A57="","",IFERROR(IF(SUMIF(DB_Savings!$C:$C,A57,DB_Savings!$F:$F)=0,VLOOKUP(A57,DB_Customers!$A:$I,9,0),VLOOKUP(A57,DB_Customers!$A:$N,14,0)),"❌ Acct Not Found"))</f>
        <v/>
      </c>
      <c r="D57" s="78" t="str">
        <f t="shared" ca="1" si="3"/>
        <v/>
      </c>
      <c r="E57" s="79"/>
      <c r="F57" s="80" t="str">
        <f t="shared" si="4"/>
        <v/>
      </c>
      <c r="G57" s="39" t="s">
        <v>141</v>
      </c>
      <c r="H57" s="81"/>
      <c r="I57" s="82" t="str">
        <f>IF(A57="","Pending",IF(H57="","⚠️ Enter Agent Code",IF(IFERROR(VLOOKUP(G57,DB_Agents!$B:$I,8,0),"")=H57,IF(AND(A57&lt;&gt;"",E57&lt;&gt;""),"Saved","Pending"),"🔒 BLOCKED — Wrong Code")))</f>
        <v>Pending</v>
      </c>
      <c r="J57" s="83" t="str">
        <f t="shared" ca="1" si="5"/>
        <v>—</v>
      </c>
      <c r="K57" s="84"/>
    </row>
    <row r="58" spans="1:11" ht="15" customHeight="1" x14ac:dyDescent="0.25">
      <c r="A58" s="85"/>
      <c r="B58" s="41" t="str">
        <f>IF(A58="","",IFERROR(VLOOKUP(A58,DB_Customers!$A:$D,4,0),"❌ Account Not Found"))</f>
        <v/>
      </c>
      <c r="C58" s="86" t="str">
        <f>IF(A58="","",IFERROR(IF(SUMIF(DB_Savings!$C:$C,A58,DB_Savings!$F:$F)=0,VLOOKUP(A58,DB_Customers!$A:$I,9,0),VLOOKUP(A58,DB_Customers!$A:$N,14,0)),"❌ Acct Not Found"))</f>
        <v/>
      </c>
      <c r="D58" s="87" t="str">
        <f t="shared" ca="1" si="3"/>
        <v/>
      </c>
      <c r="E58" s="79"/>
      <c r="F58" s="88" t="str">
        <f t="shared" si="4"/>
        <v/>
      </c>
      <c r="G58" s="43" t="s">
        <v>141</v>
      </c>
      <c r="H58" s="81"/>
      <c r="I58" s="89" t="str">
        <f>IF(A58="","Pending",IF(H58="","⚠️ Enter Agent Code",IF(IFERROR(VLOOKUP(G58,DB_Agents!$B:$I,8,0),"")=H58,IF(AND(A58&lt;&gt;"",E58&lt;&gt;""),"Saved","Pending"),"🔒 BLOCKED — Wrong Code")))</f>
        <v>Pending</v>
      </c>
      <c r="J58" s="90" t="str">
        <f t="shared" ca="1" si="5"/>
        <v>—</v>
      </c>
      <c r="K58" s="91"/>
    </row>
    <row r="59" spans="1:11" ht="15" customHeight="1" x14ac:dyDescent="0.25">
      <c r="A59" s="76"/>
      <c r="B59" s="37" t="str">
        <f>IF(A59="","",IFERROR(VLOOKUP(A59,DB_Customers!$A:$D,4,0),"❌ Account Not Found"))</f>
        <v/>
      </c>
      <c r="C59" s="77" t="str">
        <f>IF(A59="","",IFERROR(IF(SUMIF(DB_Savings!$C:$C,A59,DB_Savings!$F:$F)=0,VLOOKUP(A59,DB_Customers!$A:$I,9,0),VLOOKUP(A59,DB_Customers!$A:$N,14,0)),"❌ Acct Not Found"))</f>
        <v/>
      </c>
      <c r="D59" s="78" t="str">
        <f t="shared" ca="1" si="3"/>
        <v/>
      </c>
      <c r="E59" s="79"/>
      <c r="F59" s="80" t="str">
        <f t="shared" si="4"/>
        <v/>
      </c>
      <c r="G59" s="39" t="s">
        <v>141</v>
      </c>
      <c r="H59" s="81"/>
      <c r="I59" s="82" t="str">
        <f>IF(A59="","Pending",IF(H59="","⚠️ Enter Agent Code",IF(IFERROR(VLOOKUP(G59,DB_Agents!$B:$I,8,0),"")=H59,IF(AND(A59&lt;&gt;"",E59&lt;&gt;""),"Saved","Pending"),"🔒 BLOCKED — Wrong Code")))</f>
        <v>Pending</v>
      </c>
      <c r="J59" s="83" t="str">
        <f t="shared" ca="1" si="5"/>
        <v>—</v>
      </c>
      <c r="K59" s="84"/>
    </row>
    <row r="60" spans="1:11" ht="15" customHeight="1" x14ac:dyDescent="0.25">
      <c r="A60" s="85"/>
      <c r="B60" s="41" t="str">
        <f>IF(A60="","",IFERROR(VLOOKUP(A60,DB_Customers!$A:$D,4,0),"❌ Account Not Found"))</f>
        <v/>
      </c>
      <c r="C60" s="86" t="str">
        <f>IF(A60="","",IFERROR(IF(SUMIF(DB_Savings!$C:$C,A60,DB_Savings!$F:$F)=0,VLOOKUP(A60,DB_Customers!$A:$I,9,0),VLOOKUP(A60,DB_Customers!$A:$N,14,0)),"❌ Acct Not Found"))</f>
        <v/>
      </c>
      <c r="D60" s="87" t="str">
        <f t="shared" ca="1" si="3"/>
        <v/>
      </c>
      <c r="E60" s="79"/>
      <c r="F60" s="88" t="str">
        <f t="shared" si="4"/>
        <v/>
      </c>
      <c r="G60" s="43" t="s">
        <v>141</v>
      </c>
      <c r="H60" s="81"/>
      <c r="I60" s="89" t="str">
        <f>IF(A60="","Pending",IF(H60="","⚠️ Enter Agent Code",IF(IFERROR(VLOOKUP(G60,DB_Agents!$B:$I,8,0),"")=H60,IF(AND(A60&lt;&gt;"",E60&lt;&gt;""),"Saved","Pending"),"🔒 BLOCKED — Wrong Code")))</f>
        <v>Pending</v>
      </c>
      <c r="J60" s="90" t="str">
        <f t="shared" ca="1" si="5"/>
        <v>—</v>
      </c>
      <c r="K60" s="91"/>
    </row>
    <row r="61" spans="1:11" ht="15" customHeight="1" x14ac:dyDescent="0.25">
      <c r="A61" s="76"/>
      <c r="B61" s="37" t="str">
        <f>IF(A61="","",IFERROR(VLOOKUP(A61,DB_Customers!$A:$D,4,0),"❌ Account Not Found"))</f>
        <v/>
      </c>
      <c r="C61" s="77" t="str">
        <f>IF(A61="","",IFERROR(IF(SUMIF(DB_Savings!$C:$C,A61,DB_Savings!$F:$F)=0,VLOOKUP(A61,DB_Customers!$A:$I,9,0),VLOOKUP(A61,DB_Customers!$A:$N,14,0)),"❌ Acct Not Found"))</f>
        <v/>
      </c>
      <c r="D61" s="78" t="str">
        <f t="shared" ca="1" si="3"/>
        <v/>
      </c>
      <c r="E61" s="79"/>
      <c r="F61" s="80" t="str">
        <f t="shared" si="4"/>
        <v/>
      </c>
      <c r="G61" s="39" t="s">
        <v>141</v>
      </c>
      <c r="H61" s="81"/>
      <c r="I61" s="82" t="str">
        <f>IF(A61="","Pending",IF(H61="","⚠️ Enter Agent Code",IF(IFERROR(VLOOKUP(G61,DB_Agents!$B:$I,8,0),"")=H61,IF(AND(A61&lt;&gt;"",E61&lt;&gt;""),"Saved","Pending"),"🔒 BLOCKED — Wrong Code")))</f>
        <v>Pending</v>
      </c>
      <c r="J61" s="83" t="str">
        <f t="shared" ca="1" si="5"/>
        <v>—</v>
      </c>
      <c r="K61" s="84"/>
    </row>
    <row r="62" spans="1:11" ht="15" customHeight="1" x14ac:dyDescent="0.25">
      <c r="A62" s="85"/>
      <c r="B62" s="41" t="str">
        <f>IF(A62="","",IFERROR(VLOOKUP(A62,DB_Customers!$A:$D,4,0),"❌ Account Not Found"))</f>
        <v/>
      </c>
      <c r="C62" s="86" t="str">
        <f>IF(A62="","",IFERROR(IF(SUMIF(DB_Savings!$C:$C,A62,DB_Savings!$F:$F)=0,VLOOKUP(A62,DB_Customers!$A:$I,9,0),VLOOKUP(A62,DB_Customers!$A:$N,14,0)),"❌ Acct Not Found"))</f>
        <v/>
      </c>
      <c r="D62" s="87" t="str">
        <f t="shared" ca="1" si="3"/>
        <v/>
      </c>
      <c r="E62" s="79"/>
      <c r="F62" s="88" t="str">
        <f t="shared" si="4"/>
        <v/>
      </c>
      <c r="G62" s="43" t="s">
        <v>141</v>
      </c>
      <c r="H62" s="81"/>
      <c r="I62" s="89" t="str">
        <f>IF(A62="","Pending",IF(H62="","⚠️ Enter Agent Code",IF(IFERROR(VLOOKUP(G62,DB_Agents!$B:$I,8,0),"")=H62,IF(AND(A62&lt;&gt;"",E62&lt;&gt;""),"Saved","Pending"),"🔒 BLOCKED — Wrong Code")))</f>
        <v>Pending</v>
      </c>
      <c r="J62" s="90" t="str">
        <f t="shared" ca="1" si="5"/>
        <v>—</v>
      </c>
      <c r="K62" s="91"/>
    </row>
    <row r="63" spans="1:11" ht="15" customHeight="1" x14ac:dyDescent="0.25">
      <c r="A63" s="76"/>
      <c r="B63" s="37" t="str">
        <f>IF(A63="","",IFERROR(VLOOKUP(A63,DB_Customers!$A:$D,4,0),"❌ Account Not Found"))</f>
        <v/>
      </c>
      <c r="C63" s="77" t="str">
        <f>IF(A63="","",IFERROR(IF(SUMIF(DB_Savings!$C:$C,A63,DB_Savings!$F:$F)=0,VLOOKUP(A63,DB_Customers!$A:$I,9,0),VLOOKUP(A63,DB_Customers!$A:$N,14,0)),"❌ Acct Not Found"))</f>
        <v/>
      </c>
      <c r="D63" s="78" t="str">
        <f t="shared" ca="1" si="3"/>
        <v/>
      </c>
      <c r="E63" s="79"/>
      <c r="F63" s="80" t="str">
        <f t="shared" si="4"/>
        <v/>
      </c>
      <c r="G63" s="39" t="s">
        <v>141</v>
      </c>
      <c r="H63" s="81"/>
      <c r="I63" s="82" t="str">
        <f>IF(A63="","Pending",IF(H63="","⚠️ Enter Agent Code",IF(IFERROR(VLOOKUP(G63,DB_Agents!$B:$I,8,0),"")=H63,IF(AND(A63&lt;&gt;"",E63&lt;&gt;""),"Saved","Pending"),"🔒 BLOCKED — Wrong Code")))</f>
        <v>Pending</v>
      </c>
      <c r="J63" s="83" t="str">
        <f t="shared" ca="1" si="5"/>
        <v>—</v>
      </c>
      <c r="K63" s="84"/>
    </row>
    <row r="64" spans="1:11" ht="15" customHeight="1" x14ac:dyDescent="0.25">
      <c r="A64" s="85"/>
      <c r="B64" s="41" t="str">
        <f>IF(A64="","",IFERROR(VLOOKUP(A64,DB_Customers!$A:$D,4,0),"❌ Account Not Found"))</f>
        <v/>
      </c>
      <c r="C64" s="86" t="str">
        <f>IF(A64="","",IFERROR(IF(SUMIF(DB_Savings!$C:$C,A64,DB_Savings!$F:$F)=0,VLOOKUP(A64,DB_Customers!$A:$I,9,0),VLOOKUP(A64,DB_Customers!$A:$N,14,0)),"❌ Acct Not Found"))</f>
        <v/>
      </c>
      <c r="D64" s="87" t="str">
        <f t="shared" ca="1" si="3"/>
        <v/>
      </c>
      <c r="E64" s="79"/>
      <c r="F64" s="88" t="str">
        <f t="shared" si="4"/>
        <v/>
      </c>
      <c r="G64" s="43" t="s">
        <v>141</v>
      </c>
      <c r="H64" s="81"/>
      <c r="I64" s="89" t="str">
        <f>IF(A64="","Pending",IF(H64="","⚠️ Enter Agent Code",IF(IFERROR(VLOOKUP(G64,DB_Agents!$B:$I,8,0),"")=H64,IF(AND(A64&lt;&gt;"",E64&lt;&gt;""),"Saved","Pending"),"🔒 BLOCKED — Wrong Code")))</f>
        <v>Pending</v>
      </c>
      <c r="J64" s="90" t="str">
        <f t="shared" ca="1" si="5"/>
        <v>—</v>
      </c>
      <c r="K64" s="91"/>
    </row>
    <row r="65" spans="1:11" ht="15" customHeight="1" x14ac:dyDescent="0.25">
      <c r="A65" s="76"/>
      <c r="B65" s="37" t="str">
        <f>IF(A65="","",IFERROR(VLOOKUP(A65,DB_Customers!$A:$D,4,0),"❌ Account Not Found"))</f>
        <v/>
      </c>
      <c r="C65" s="77" t="str">
        <f>IF(A65="","",IFERROR(IF(SUMIF(DB_Savings!$C:$C,A65,DB_Savings!$F:$F)=0,VLOOKUP(A65,DB_Customers!$A:$I,9,0),VLOOKUP(A65,DB_Customers!$A:$N,14,0)),"❌ Acct Not Found"))</f>
        <v/>
      </c>
      <c r="D65" s="78" t="str">
        <f t="shared" ca="1" si="3"/>
        <v/>
      </c>
      <c r="E65" s="79"/>
      <c r="F65" s="80" t="str">
        <f t="shared" si="4"/>
        <v/>
      </c>
      <c r="G65" s="39" t="s">
        <v>141</v>
      </c>
      <c r="H65" s="81"/>
      <c r="I65" s="82" t="str">
        <f>IF(A65="","Pending",IF(H65="","⚠️ Enter Agent Code",IF(IFERROR(VLOOKUP(G65,DB_Agents!$B:$I,8,0),"")=H65,IF(AND(A65&lt;&gt;"",E65&lt;&gt;""),"Saved","Pending"),"🔒 BLOCKED — Wrong Code")))</f>
        <v>Pending</v>
      </c>
      <c r="J65" s="83" t="str">
        <f t="shared" ca="1" si="5"/>
        <v>—</v>
      </c>
      <c r="K65" s="84"/>
    </row>
    <row r="66" spans="1:11" ht="15" customHeight="1" x14ac:dyDescent="0.25">
      <c r="A66" s="85"/>
      <c r="B66" s="41" t="str">
        <f>IF(A66="","",IFERROR(VLOOKUP(A66,DB_Customers!$A:$D,4,0),"❌ Account Not Found"))</f>
        <v/>
      </c>
      <c r="C66" s="86" t="str">
        <f>IF(A66="","",IFERROR(IF(SUMIF(DB_Savings!$C:$C,A66,DB_Savings!$F:$F)=0,VLOOKUP(A66,DB_Customers!$A:$I,9,0),VLOOKUP(A66,DB_Customers!$A:$N,14,0)),"❌ Acct Not Found"))</f>
        <v/>
      </c>
      <c r="D66" s="87" t="str">
        <f t="shared" ca="1" si="3"/>
        <v/>
      </c>
      <c r="E66" s="79"/>
      <c r="F66" s="88" t="str">
        <f t="shared" si="4"/>
        <v/>
      </c>
      <c r="G66" s="43" t="s">
        <v>141</v>
      </c>
      <c r="H66" s="81"/>
      <c r="I66" s="89" t="str">
        <f>IF(A66="","Pending",IF(H66="","⚠️ Enter Agent Code",IF(IFERROR(VLOOKUP(G66,DB_Agents!$B:$I,8,0),"")=H66,IF(AND(A66&lt;&gt;"",E66&lt;&gt;""),"Saved","Pending"),"🔒 BLOCKED — Wrong Code")))</f>
        <v>Pending</v>
      </c>
      <c r="J66" s="90" t="str">
        <f t="shared" ca="1" si="5"/>
        <v>—</v>
      </c>
      <c r="K66" s="91"/>
    </row>
    <row r="67" spans="1:11" ht="15" customHeight="1" x14ac:dyDescent="0.25">
      <c r="A67" s="76"/>
      <c r="B67" s="37" t="str">
        <f>IF(A67="","",IFERROR(VLOOKUP(A67,DB_Customers!$A:$D,4,0),"❌ Account Not Found"))</f>
        <v/>
      </c>
      <c r="C67" s="77" t="str">
        <f>IF(A67="","",IFERROR(IF(SUMIF(DB_Savings!$C:$C,A67,DB_Savings!$F:$F)=0,VLOOKUP(A67,DB_Customers!$A:$I,9,0),VLOOKUP(A67,DB_Customers!$A:$N,14,0)),"❌ Acct Not Found"))</f>
        <v/>
      </c>
      <c r="D67" s="78" t="str">
        <f t="shared" ca="1" si="3"/>
        <v/>
      </c>
      <c r="E67" s="79"/>
      <c r="F67" s="80" t="str">
        <f t="shared" si="4"/>
        <v/>
      </c>
      <c r="G67" s="39" t="s">
        <v>141</v>
      </c>
      <c r="H67" s="81"/>
      <c r="I67" s="82" t="str">
        <f>IF(A67="","Pending",IF(H67="","⚠️ Enter Agent Code",IF(IFERROR(VLOOKUP(G67,DB_Agents!$B:$I,8,0),"")=H67,IF(AND(A67&lt;&gt;"",E67&lt;&gt;""),"Saved","Pending"),"🔒 BLOCKED — Wrong Code")))</f>
        <v>Pending</v>
      </c>
      <c r="J67" s="83" t="str">
        <f t="shared" ca="1" si="5"/>
        <v>—</v>
      </c>
      <c r="K67" s="84"/>
    </row>
    <row r="68" spans="1:11" ht="15" customHeight="1" x14ac:dyDescent="0.25">
      <c r="A68" s="85"/>
      <c r="B68" s="41" t="str">
        <f>IF(A68="","",IFERROR(VLOOKUP(A68,DB_Customers!$A:$D,4,0),"❌ Account Not Found"))</f>
        <v/>
      </c>
      <c r="C68" s="86" t="str">
        <f>IF(A68="","",IFERROR(IF(SUMIF(DB_Savings!$C:$C,A68,DB_Savings!$F:$F)=0,VLOOKUP(A68,DB_Customers!$A:$I,9,0),VLOOKUP(A68,DB_Customers!$A:$N,14,0)),"❌ Acct Not Found"))</f>
        <v/>
      </c>
      <c r="D68" s="87" t="str">
        <f t="shared" ca="1" si="3"/>
        <v/>
      </c>
      <c r="E68" s="79"/>
      <c r="F68" s="88" t="str">
        <f t="shared" si="4"/>
        <v/>
      </c>
      <c r="G68" s="43" t="s">
        <v>141</v>
      </c>
      <c r="H68" s="81"/>
      <c r="I68" s="89" t="str">
        <f>IF(A68="","Pending",IF(H68="","⚠️ Enter Agent Code",IF(IFERROR(VLOOKUP(G68,DB_Agents!$B:$I,8,0),"")=H68,IF(AND(A68&lt;&gt;"",E68&lt;&gt;""),"Saved","Pending"),"🔒 BLOCKED — Wrong Code")))</f>
        <v>Pending</v>
      </c>
      <c r="J68" s="90" t="str">
        <f t="shared" ca="1" si="5"/>
        <v>—</v>
      </c>
      <c r="K68" s="91"/>
    </row>
    <row r="69" spans="1:11" ht="15" customHeight="1" x14ac:dyDescent="0.25">
      <c r="A69" s="76"/>
      <c r="B69" s="37" t="str">
        <f>IF(A69="","",IFERROR(VLOOKUP(A69,DB_Customers!$A:$D,4,0),"❌ Account Not Found"))</f>
        <v/>
      </c>
      <c r="C69" s="77" t="str">
        <f>IF(A69="","",IFERROR(IF(SUMIF(DB_Savings!$C:$C,A69,DB_Savings!$F:$F)=0,VLOOKUP(A69,DB_Customers!$A:$I,9,0),VLOOKUP(A69,DB_Customers!$A:$N,14,0)),"❌ Acct Not Found"))</f>
        <v/>
      </c>
      <c r="D69" s="78" t="str">
        <f t="shared" ca="1" si="3"/>
        <v/>
      </c>
      <c r="E69" s="79"/>
      <c r="F69" s="80" t="str">
        <f t="shared" si="4"/>
        <v/>
      </c>
      <c r="G69" s="39" t="s">
        <v>141</v>
      </c>
      <c r="H69" s="81"/>
      <c r="I69" s="82" t="str">
        <f>IF(A69="","Pending",IF(H69="","⚠️ Enter Agent Code",IF(IFERROR(VLOOKUP(G69,DB_Agents!$B:$I,8,0),"")=H69,IF(AND(A69&lt;&gt;"",E69&lt;&gt;""),"Saved","Pending"),"🔒 BLOCKED — Wrong Code")))</f>
        <v>Pending</v>
      </c>
      <c r="J69" s="83" t="str">
        <f t="shared" ca="1" si="5"/>
        <v>—</v>
      </c>
      <c r="K69" s="84"/>
    </row>
    <row r="70" spans="1:11" ht="15" customHeight="1" x14ac:dyDescent="0.25">
      <c r="A70" s="85"/>
      <c r="B70" s="41" t="str">
        <f>IF(A70="","",IFERROR(VLOOKUP(A70,DB_Customers!$A:$D,4,0),"❌ Account Not Found"))</f>
        <v/>
      </c>
      <c r="C70" s="86" t="str">
        <f>IF(A70="","",IFERROR(IF(SUMIF(DB_Savings!$C:$C,A70,DB_Savings!$F:$F)=0,VLOOKUP(A70,DB_Customers!$A:$I,9,0),VLOOKUP(A70,DB_Customers!$A:$N,14,0)),"❌ Acct Not Found"))</f>
        <v/>
      </c>
      <c r="D70" s="87" t="str">
        <f t="shared" ca="1" si="3"/>
        <v/>
      </c>
      <c r="E70" s="79"/>
      <c r="F70" s="88" t="str">
        <f t="shared" si="4"/>
        <v/>
      </c>
      <c r="G70" s="43" t="s">
        <v>141</v>
      </c>
      <c r="H70" s="81"/>
      <c r="I70" s="89" t="str">
        <f>IF(A70="","Pending",IF(H70="","⚠️ Enter Agent Code",IF(IFERROR(VLOOKUP(G70,DB_Agents!$B:$I,8,0),"")=H70,IF(AND(A70&lt;&gt;"",E70&lt;&gt;""),"Saved","Pending"),"🔒 BLOCKED — Wrong Code")))</f>
        <v>Pending</v>
      </c>
      <c r="J70" s="90" t="str">
        <f t="shared" ca="1" si="5"/>
        <v>—</v>
      </c>
      <c r="K70" s="91"/>
    </row>
    <row r="71" spans="1:11" ht="15" customHeight="1" x14ac:dyDescent="0.25">
      <c r="A71" s="76"/>
      <c r="B71" s="37" t="str">
        <f>IF(A71="","",IFERROR(VLOOKUP(A71,DB_Customers!$A:$D,4,0),"❌ Account Not Found"))</f>
        <v/>
      </c>
      <c r="C71" s="77" t="str">
        <f>IF(A71="","",IFERROR(IF(SUMIF(DB_Savings!$C:$C,A71,DB_Savings!$F:$F)=0,VLOOKUP(A71,DB_Customers!$A:$I,9,0),VLOOKUP(A71,DB_Customers!$A:$N,14,0)),"❌ Acct Not Found"))</f>
        <v/>
      </c>
      <c r="D71" s="78" t="str">
        <f t="shared" ca="1" si="3"/>
        <v/>
      </c>
      <c r="E71" s="79"/>
      <c r="F71" s="80" t="str">
        <f t="shared" si="4"/>
        <v/>
      </c>
      <c r="G71" s="39" t="s">
        <v>141</v>
      </c>
      <c r="H71" s="81"/>
      <c r="I71" s="82" t="str">
        <f>IF(A71="","Pending",IF(H71="","⚠️ Enter Agent Code",IF(IFERROR(VLOOKUP(G71,DB_Agents!$B:$I,8,0),"")=H71,IF(AND(A71&lt;&gt;"",E71&lt;&gt;""),"Saved","Pending"),"🔒 BLOCKED — Wrong Code")))</f>
        <v>Pending</v>
      </c>
      <c r="J71" s="83" t="str">
        <f t="shared" ca="1" si="5"/>
        <v>—</v>
      </c>
      <c r="K71" s="84"/>
    </row>
    <row r="72" spans="1:11" ht="15" customHeight="1" x14ac:dyDescent="0.25">
      <c r="A72" s="85"/>
      <c r="B72" s="41" t="str">
        <f>IF(A72="","",IFERROR(VLOOKUP(A72,DB_Customers!$A:$D,4,0),"❌ Account Not Found"))</f>
        <v/>
      </c>
      <c r="C72" s="86" t="str">
        <f>IF(A72="","",IFERROR(IF(SUMIF(DB_Savings!$C:$C,A72,DB_Savings!$F:$F)=0,VLOOKUP(A72,DB_Customers!$A:$I,9,0),VLOOKUP(A72,DB_Customers!$A:$N,14,0)),"❌ Acct Not Found"))</f>
        <v/>
      </c>
      <c r="D72" s="87" t="str">
        <f t="shared" ca="1" si="3"/>
        <v/>
      </c>
      <c r="E72" s="79"/>
      <c r="F72" s="88" t="str">
        <f t="shared" si="4"/>
        <v/>
      </c>
      <c r="G72" s="43" t="s">
        <v>141</v>
      </c>
      <c r="H72" s="81"/>
      <c r="I72" s="89" t="str">
        <f>IF(A72="","Pending",IF(H72="","⚠️ Enter Agent Code",IF(IFERROR(VLOOKUP(G72,DB_Agents!$B:$I,8,0),"")=H72,IF(AND(A72&lt;&gt;"",E72&lt;&gt;""),"Saved","Pending"),"🔒 BLOCKED — Wrong Code")))</f>
        <v>Pending</v>
      </c>
      <c r="J72" s="90" t="str">
        <f t="shared" ca="1" si="5"/>
        <v>—</v>
      </c>
      <c r="K72" s="91"/>
    </row>
    <row r="73" spans="1:11" ht="15" customHeight="1" x14ac:dyDescent="0.25">
      <c r="A73" s="76"/>
      <c r="B73" s="37" t="str">
        <f>IF(A73="","",IFERROR(VLOOKUP(A73,DB_Customers!$A:$D,4,0),"❌ Account Not Found"))</f>
        <v/>
      </c>
      <c r="C73" s="77" t="str">
        <f>IF(A73="","",IFERROR(IF(SUMIF(DB_Savings!$C:$C,A73,DB_Savings!$F:$F)=0,VLOOKUP(A73,DB_Customers!$A:$I,9,0),VLOOKUP(A73,DB_Customers!$A:$N,14,0)),"❌ Acct Not Found"))</f>
        <v/>
      </c>
      <c r="D73" s="78" t="str">
        <f t="shared" ref="D73:D104" ca="1" si="6">IF(A73="","",TODAY())</f>
        <v/>
      </c>
      <c r="E73" s="79"/>
      <c r="F73" s="80" t="str">
        <f t="shared" ref="F73:F104" si="7">IF(OR(A73="",E73=""),"",IF(C73="","",C73+E73))</f>
        <v/>
      </c>
      <c r="G73" s="39" t="s">
        <v>141</v>
      </c>
      <c r="H73" s="81"/>
      <c r="I73" s="82" t="str">
        <f>IF(A73="","Pending",IF(H73="","⚠️ Enter Agent Code",IF(IFERROR(VLOOKUP(G73,DB_Agents!$B:$I,8,0),"")=H73,IF(AND(A73&lt;&gt;"",E73&lt;&gt;""),"Saved","Pending"),"🔒 BLOCKED — Wrong Code")))</f>
        <v>Pending</v>
      </c>
      <c r="J73" s="83" t="str">
        <f t="shared" ref="J73:J104" ca="1" si="8">IF(I73="Saved",TEXT(TODAY(),"YYYY-MM-DD")&amp;" Auto","—")</f>
        <v>—</v>
      </c>
      <c r="K73" s="84"/>
    </row>
    <row r="74" spans="1:11" ht="15" customHeight="1" x14ac:dyDescent="0.25">
      <c r="A74" s="85"/>
      <c r="B74" s="41" t="str">
        <f>IF(A74="","",IFERROR(VLOOKUP(A74,DB_Customers!$A:$D,4,0),"❌ Account Not Found"))</f>
        <v/>
      </c>
      <c r="C74" s="86" t="str">
        <f>IF(A74="","",IFERROR(IF(SUMIF(DB_Savings!$C:$C,A74,DB_Savings!$F:$F)=0,VLOOKUP(A74,DB_Customers!$A:$I,9,0),VLOOKUP(A74,DB_Customers!$A:$N,14,0)),"❌ Acct Not Found"))</f>
        <v/>
      </c>
      <c r="D74" s="87" t="str">
        <f t="shared" ca="1" si="6"/>
        <v/>
      </c>
      <c r="E74" s="79"/>
      <c r="F74" s="88" t="str">
        <f t="shared" si="7"/>
        <v/>
      </c>
      <c r="G74" s="43" t="s">
        <v>141</v>
      </c>
      <c r="H74" s="81"/>
      <c r="I74" s="89" t="str">
        <f>IF(A74="","Pending",IF(H74="","⚠️ Enter Agent Code",IF(IFERROR(VLOOKUP(G74,DB_Agents!$B:$I,8,0),"")=H74,IF(AND(A74&lt;&gt;"",E74&lt;&gt;""),"Saved","Pending"),"🔒 BLOCKED — Wrong Code")))</f>
        <v>Pending</v>
      </c>
      <c r="J74" s="90" t="str">
        <f t="shared" ca="1" si="8"/>
        <v>—</v>
      </c>
      <c r="K74" s="91"/>
    </row>
    <row r="75" spans="1:11" ht="15" customHeight="1" x14ac:dyDescent="0.25">
      <c r="A75" s="76"/>
      <c r="B75" s="37" t="str">
        <f>IF(A75="","",IFERROR(VLOOKUP(A75,DB_Customers!$A:$D,4,0),"❌ Account Not Found"))</f>
        <v/>
      </c>
      <c r="C75" s="77" t="str">
        <f>IF(A75="","",IFERROR(IF(SUMIF(DB_Savings!$C:$C,A75,DB_Savings!$F:$F)=0,VLOOKUP(A75,DB_Customers!$A:$I,9,0),VLOOKUP(A75,DB_Customers!$A:$N,14,0)),"❌ Acct Not Found"))</f>
        <v/>
      </c>
      <c r="D75" s="78" t="str">
        <f t="shared" ca="1" si="6"/>
        <v/>
      </c>
      <c r="E75" s="79"/>
      <c r="F75" s="80" t="str">
        <f t="shared" si="7"/>
        <v/>
      </c>
      <c r="G75" s="39" t="s">
        <v>141</v>
      </c>
      <c r="H75" s="81"/>
      <c r="I75" s="82" t="str">
        <f>IF(A75="","Pending",IF(H75="","⚠️ Enter Agent Code",IF(IFERROR(VLOOKUP(G75,DB_Agents!$B:$I,8,0),"")=H75,IF(AND(A75&lt;&gt;"",E75&lt;&gt;""),"Saved","Pending"),"🔒 BLOCKED — Wrong Code")))</f>
        <v>Pending</v>
      </c>
      <c r="J75" s="83" t="str">
        <f t="shared" ca="1" si="8"/>
        <v>—</v>
      </c>
      <c r="K75" s="84"/>
    </row>
    <row r="76" spans="1:11" ht="15" customHeight="1" x14ac:dyDescent="0.25">
      <c r="A76" s="85"/>
      <c r="B76" s="41" t="str">
        <f>IF(A76="","",IFERROR(VLOOKUP(A76,DB_Customers!$A:$D,4,0),"❌ Account Not Found"))</f>
        <v/>
      </c>
      <c r="C76" s="86" t="str">
        <f>IF(A76="","",IFERROR(IF(SUMIF(DB_Savings!$C:$C,A76,DB_Savings!$F:$F)=0,VLOOKUP(A76,DB_Customers!$A:$I,9,0),VLOOKUP(A76,DB_Customers!$A:$N,14,0)),"❌ Acct Not Found"))</f>
        <v/>
      </c>
      <c r="D76" s="87" t="str">
        <f t="shared" ca="1" si="6"/>
        <v/>
      </c>
      <c r="E76" s="79"/>
      <c r="F76" s="88" t="str">
        <f t="shared" si="7"/>
        <v/>
      </c>
      <c r="G76" s="43" t="s">
        <v>141</v>
      </c>
      <c r="H76" s="81"/>
      <c r="I76" s="89" t="str">
        <f>IF(A76="","Pending",IF(H76="","⚠️ Enter Agent Code",IF(IFERROR(VLOOKUP(G76,DB_Agents!$B:$I,8,0),"")=H76,IF(AND(A76&lt;&gt;"",E76&lt;&gt;""),"Saved","Pending"),"🔒 BLOCKED — Wrong Code")))</f>
        <v>Pending</v>
      </c>
      <c r="J76" s="90" t="str">
        <f t="shared" ca="1" si="8"/>
        <v>—</v>
      </c>
      <c r="K76" s="91"/>
    </row>
    <row r="77" spans="1:11" ht="15" customHeight="1" x14ac:dyDescent="0.25">
      <c r="A77" s="76"/>
      <c r="B77" s="37" t="str">
        <f>IF(A77="","",IFERROR(VLOOKUP(A77,DB_Customers!$A:$D,4,0),"❌ Account Not Found"))</f>
        <v/>
      </c>
      <c r="C77" s="77" t="str">
        <f>IF(A77="","",IFERROR(IF(SUMIF(DB_Savings!$C:$C,A77,DB_Savings!$F:$F)=0,VLOOKUP(A77,DB_Customers!$A:$I,9,0),VLOOKUP(A77,DB_Customers!$A:$N,14,0)),"❌ Acct Not Found"))</f>
        <v/>
      </c>
      <c r="D77" s="78" t="str">
        <f t="shared" ca="1" si="6"/>
        <v/>
      </c>
      <c r="E77" s="79"/>
      <c r="F77" s="80" t="str">
        <f t="shared" si="7"/>
        <v/>
      </c>
      <c r="G77" s="39" t="s">
        <v>141</v>
      </c>
      <c r="H77" s="81"/>
      <c r="I77" s="82" t="str">
        <f>IF(A77="","Pending",IF(H77="","⚠️ Enter Agent Code",IF(IFERROR(VLOOKUP(G77,DB_Agents!$B:$I,8,0),"")=H77,IF(AND(A77&lt;&gt;"",E77&lt;&gt;""),"Saved","Pending"),"🔒 BLOCKED — Wrong Code")))</f>
        <v>Pending</v>
      </c>
      <c r="J77" s="83" t="str">
        <f t="shared" ca="1" si="8"/>
        <v>—</v>
      </c>
      <c r="K77" s="84"/>
    </row>
    <row r="78" spans="1:11" ht="15" customHeight="1" x14ac:dyDescent="0.25">
      <c r="A78" s="85"/>
      <c r="B78" s="41" t="str">
        <f>IF(A78="","",IFERROR(VLOOKUP(A78,DB_Customers!$A:$D,4,0),"❌ Account Not Found"))</f>
        <v/>
      </c>
      <c r="C78" s="86" t="str">
        <f>IF(A78="","",IFERROR(IF(SUMIF(DB_Savings!$C:$C,A78,DB_Savings!$F:$F)=0,VLOOKUP(A78,DB_Customers!$A:$I,9,0),VLOOKUP(A78,DB_Customers!$A:$N,14,0)),"❌ Acct Not Found"))</f>
        <v/>
      </c>
      <c r="D78" s="87" t="str">
        <f t="shared" ca="1" si="6"/>
        <v/>
      </c>
      <c r="E78" s="79"/>
      <c r="F78" s="88" t="str">
        <f t="shared" si="7"/>
        <v/>
      </c>
      <c r="G78" s="43" t="s">
        <v>141</v>
      </c>
      <c r="H78" s="81"/>
      <c r="I78" s="89" t="str">
        <f>IF(A78="","Pending",IF(H78="","⚠️ Enter Agent Code",IF(IFERROR(VLOOKUP(G78,DB_Agents!$B:$I,8,0),"")=H78,IF(AND(A78&lt;&gt;"",E78&lt;&gt;""),"Saved","Pending"),"🔒 BLOCKED — Wrong Code")))</f>
        <v>Pending</v>
      </c>
      <c r="J78" s="90" t="str">
        <f t="shared" ca="1" si="8"/>
        <v>—</v>
      </c>
      <c r="K78" s="91"/>
    </row>
    <row r="79" spans="1:11" ht="15" customHeight="1" x14ac:dyDescent="0.25">
      <c r="A79" s="76"/>
      <c r="B79" s="37" t="str">
        <f>IF(A79="","",IFERROR(VLOOKUP(A79,DB_Customers!$A:$D,4,0),"❌ Account Not Found"))</f>
        <v/>
      </c>
      <c r="C79" s="77" t="str">
        <f>IF(A79="","",IFERROR(IF(SUMIF(DB_Savings!$C:$C,A79,DB_Savings!$F:$F)=0,VLOOKUP(A79,DB_Customers!$A:$I,9,0),VLOOKUP(A79,DB_Customers!$A:$N,14,0)),"❌ Acct Not Found"))</f>
        <v/>
      </c>
      <c r="D79" s="78" t="str">
        <f t="shared" ca="1" si="6"/>
        <v/>
      </c>
      <c r="E79" s="79"/>
      <c r="F79" s="80" t="str">
        <f t="shared" si="7"/>
        <v/>
      </c>
      <c r="G79" s="39" t="s">
        <v>141</v>
      </c>
      <c r="H79" s="81"/>
      <c r="I79" s="82" t="str">
        <f>IF(A79="","Pending",IF(H79="","⚠️ Enter Agent Code",IF(IFERROR(VLOOKUP(G79,DB_Agents!$B:$I,8,0),"")=H79,IF(AND(A79&lt;&gt;"",E79&lt;&gt;""),"Saved","Pending"),"🔒 BLOCKED — Wrong Code")))</f>
        <v>Pending</v>
      </c>
      <c r="J79" s="83" t="str">
        <f t="shared" ca="1" si="8"/>
        <v>—</v>
      </c>
      <c r="K79" s="84"/>
    </row>
    <row r="80" spans="1:11" ht="15" customHeight="1" x14ac:dyDescent="0.25">
      <c r="A80" s="85"/>
      <c r="B80" s="41" t="str">
        <f>IF(A80="","",IFERROR(VLOOKUP(A80,DB_Customers!$A:$D,4,0),"❌ Account Not Found"))</f>
        <v/>
      </c>
      <c r="C80" s="86" t="str">
        <f>IF(A80="","",IFERROR(IF(SUMIF(DB_Savings!$C:$C,A80,DB_Savings!$F:$F)=0,VLOOKUP(A80,DB_Customers!$A:$I,9,0),VLOOKUP(A80,DB_Customers!$A:$N,14,0)),"❌ Acct Not Found"))</f>
        <v/>
      </c>
      <c r="D80" s="87" t="str">
        <f t="shared" ca="1" si="6"/>
        <v/>
      </c>
      <c r="E80" s="79"/>
      <c r="F80" s="88" t="str">
        <f t="shared" si="7"/>
        <v/>
      </c>
      <c r="G80" s="43" t="s">
        <v>141</v>
      </c>
      <c r="H80" s="81"/>
      <c r="I80" s="89" t="str">
        <f>IF(A80="","Pending",IF(H80="","⚠️ Enter Agent Code",IF(IFERROR(VLOOKUP(G80,DB_Agents!$B:$I,8,0),"")=H80,IF(AND(A80&lt;&gt;"",E80&lt;&gt;""),"Saved","Pending"),"🔒 BLOCKED — Wrong Code")))</f>
        <v>Pending</v>
      </c>
      <c r="J80" s="90" t="str">
        <f t="shared" ca="1" si="8"/>
        <v>—</v>
      </c>
      <c r="K80" s="91"/>
    </row>
    <row r="81" spans="1:11" ht="15" customHeight="1" x14ac:dyDescent="0.25">
      <c r="A81" s="76"/>
      <c r="B81" s="37" t="str">
        <f>IF(A81="","",IFERROR(VLOOKUP(A81,DB_Customers!$A:$D,4,0),"❌ Account Not Found"))</f>
        <v/>
      </c>
      <c r="C81" s="77" t="str">
        <f>IF(A81="","",IFERROR(IF(SUMIF(DB_Savings!$C:$C,A81,DB_Savings!$F:$F)=0,VLOOKUP(A81,DB_Customers!$A:$I,9,0),VLOOKUP(A81,DB_Customers!$A:$N,14,0)),"❌ Acct Not Found"))</f>
        <v/>
      </c>
      <c r="D81" s="78" t="str">
        <f t="shared" ca="1" si="6"/>
        <v/>
      </c>
      <c r="E81" s="79"/>
      <c r="F81" s="80" t="str">
        <f t="shared" si="7"/>
        <v/>
      </c>
      <c r="G81" s="39" t="s">
        <v>141</v>
      </c>
      <c r="H81" s="81"/>
      <c r="I81" s="82" t="str">
        <f>IF(A81="","Pending",IF(H81="","⚠️ Enter Agent Code",IF(IFERROR(VLOOKUP(G81,DB_Agents!$B:$I,8,0),"")=H81,IF(AND(A81&lt;&gt;"",E81&lt;&gt;""),"Saved","Pending"),"🔒 BLOCKED — Wrong Code")))</f>
        <v>Pending</v>
      </c>
      <c r="J81" s="83" t="str">
        <f t="shared" ca="1" si="8"/>
        <v>—</v>
      </c>
      <c r="K81" s="84"/>
    </row>
    <row r="82" spans="1:11" ht="15" customHeight="1" x14ac:dyDescent="0.25">
      <c r="A82" s="85"/>
      <c r="B82" s="41" t="str">
        <f>IF(A82="","",IFERROR(VLOOKUP(A82,DB_Customers!$A:$D,4,0),"❌ Account Not Found"))</f>
        <v/>
      </c>
      <c r="C82" s="86" t="str">
        <f>IF(A82="","",IFERROR(IF(SUMIF(DB_Savings!$C:$C,A82,DB_Savings!$F:$F)=0,VLOOKUP(A82,DB_Customers!$A:$I,9,0),VLOOKUP(A82,DB_Customers!$A:$N,14,0)),"❌ Acct Not Found"))</f>
        <v/>
      </c>
      <c r="D82" s="87" t="str">
        <f t="shared" ca="1" si="6"/>
        <v/>
      </c>
      <c r="E82" s="79"/>
      <c r="F82" s="88" t="str">
        <f t="shared" si="7"/>
        <v/>
      </c>
      <c r="G82" s="43" t="s">
        <v>141</v>
      </c>
      <c r="H82" s="81"/>
      <c r="I82" s="89" t="str">
        <f>IF(A82="","Pending",IF(H82="","⚠️ Enter Agent Code",IF(IFERROR(VLOOKUP(G82,DB_Agents!$B:$I,8,0),"")=H82,IF(AND(A82&lt;&gt;"",E82&lt;&gt;""),"Saved","Pending"),"🔒 BLOCKED — Wrong Code")))</f>
        <v>Pending</v>
      </c>
      <c r="J82" s="90" t="str">
        <f t="shared" ca="1" si="8"/>
        <v>—</v>
      </c>
      <c r="K82" s="91"/>
    </row>
    <row r="83" spans="1:11" ht="15" customHeight="1" x14ac:dyDescent="0.25">
      <c r="A83" s="76"/>
      <c r="B83" s="37" t="str">
        <f>IF(A83="","",IFERROR(VLOOKUP(A83,DB_Customers!$A:$D,4,0),"❌ Account Not Found"))</f>
        <v/>
      </c>
      <c r="C83" s="77" t="str">
        <f>IF(A83="","",IFERROR(IF(SUMIF(DB_Savings!$C:$C,A83,DB_Savings!$F:$F)=0,VLOOKUP(A83,DB_Customers!$A:$I,9,0),VLOOKUP(A83,DB_Customers!$A:$N,14,0)),"❌ Acct Not Found"))</f>
        <v/>
      </c>
      <c r="D83" s="78" t="str">
        <f t="shared" ca="1" si="6"/>
        <v/>
      </c>
      <c r="E83" s="79"/>
      <c r="F83" s="80" t="str">
        <f t="shared" si="7"/>
        <v/>
      </c>
      <c r="G83" s="39" t="s">
        <v>141</v>
      </c>
      <c r="H83" s="81"/>
      <c r="I83" s="82" t="str">
        <f>IF(A83="","Pending",IF(H83="","⚠️ Enter Agent Code",IF(IFERROR(VLOOKUP(G83,DB_Agents!$B:$I,8,0),"")=H83,IF(AND(A83&lt;&gt;"",E83&lt;&gt;""),"Saved","Pending"),"🔒 BLOCKED — Wrong Code")))</f>
        <v>Pending</v>
      </c>
      <c r="J83" s="83" t="str">
        <f t="shared" ca="1" si="8"/>
        <v>—</v>
      </c>
      <c r="K83" s="84"/>
    </row>
    <row r="84" spans="1:11" ht="15" customHeight="1" x14ac:dyDescent="0.25">
      <c r="A84" s="85"/>
      <c r="B84" s="41" t="str">
        <f>IF(A84="","",IFERROR(VLOOKUP(A84,DB_Customers!$A:$D,4,0),"❌ Account Not Found"))</f>
        <v/>
      </c>
      <c r="C84" s="86" t="str">
        <f>IF(A84="","",IFERROR(IF(SUMIF(DB_Savings!$C:$C,A84,DB_Savings!$F:$F)=0,VLOOKUP(A84,DB_Customers!$A:$I,9,0),VLOOKUP(A84,DB_Customers!$A:$N,14,0)),"❌ Acct Not Found"))</f>
        <v/>
      </c>
      <c r="D84" s="87" t="str">
        <f t="shared" ca="1" si="6"/>
        <v/>
      </c>
      <c r="E84" s="79"/>
      <c r="F84" s="88" t="str">
        <f t="shared" si="7"/>
        <v/>
      </c>
      <c r="G84" s="43" t="s">
        <v>141</v>
      </c>
      <c r="H84" s="81"/>
      <c r="I84" s="89" t="str">
        <f>IF(A84="","Pending",IF(H84="","⚠️ Enter Agent Code",IF(IFERROR(VLOOKUP(G84,DB_Agents!$B:$I,8,0),"")=H84,IF(AND(A84&lt;&gt;"",E84&lt;&gt;""),"Saved","Pending"),"🔒 BLOCKED — Wrong Code")))</f>
        <v>Pending</v>
      </c>
      <c r="J84" s="90" t="str">
        <f t="shared" ca="1" si="8"/>
        <v>—</v>
      </c>
      <c r="K84" s="91"/>
    </row>
    <row r="85" spans="1:11" ht="15" customHeight="1" x14ac:dyDescent="0.25">
      <c r="A85" s="76"/>
      <c r="B85" s="37" t="str">
        <f>IF(A85="","",IFERROR(VLOOKUP(A85,DB_Customers!$A:$D,4,0),"❌ Account Not Found"))</f>
        <v/>
      </c>
      <c r="C85" s="77" t="str">
        <f>IF(A85="","",IFERROR(IF(SUMIF(DB_Savings!$C:$C,A85,DB_Savings!$F:$F)=0,VLOOKUP(A85,DB_Customers!$A:$I,9,0),VLOOKUP(A85,DB_Customers!$A:$N,14,0)),"❌ Acct Not Found"))</f>
        <v/>
      </c>
      <c r="D85" s="78" t="str">
        <f t="shared" ca="1" si="6"/>
        <v/>
      </c>
      <c r="E85" s="79"/>
      <c r="F85" s="80" t="str">
        <f t="shared" si="7"/>
        <v/>
      </c>
      <c r="G85" s="39" t="s">
        <v>141</v>
      </c>
      <c r="H85" s="81"/>
      <c r="I85" s="82" t="str">
        <f>IF(A85="","Pending",IF(H85="","⚠️ Enter Agent Code",IF(IFERROR(VLOOKUP(G85,DB_Agents!$B:$I,8,0),"")=H85,IF(AND(A85&lt;&gt;"",E85&lt;&gt;""),"Saved","Pending"),"🔒 BLOCKED — Wrong Code")))</f>
        <v>Pending</v>
      </c>
      <c r="J85" s="83" t="str">
        <f t="shared" ca="1" si="8"/>
        <v>—</v>
      </c>
      <c r="K85" s="84"/>
    </row>
    <row r="86" spans="1:11" ht="15" customHeight="1" x14ac:dyDescent="0.25">
      <c r="A86" s="85"/>
      <c r="B86" s="41" t="str">
        <f>IF(A86="","",IFERROR(VLOOKUP(A86,DB_Customers!$A:$D,4,0),"❌ Account Not Found"))</f>
        <v/>
      </c>
      <c r="C86" s="86" t="str">
        <f>IF(A86="","",IFERROR(IF(SUMIF(DB_Savings!$C:$C,A86,DB_Savings!$F:$F)=0,VLOOKUP(A86,DB_Customers!$A:$I,9,0),VLOOKUP(A86,DB_Customers!$A:$N,14,0)),"❌ Acct Not Found"))</f>
        <v/>
      </c>
      <c r="D86" s="87" t="str">
        <f t="shared" ca="1" si="6"/>
        <v/>
      </c>
      <c r="E86" s="79"/>
      <c r="F86" s="88" t="str">
        <f t="shared" si="7"/>
        <v/>
      </c>
      <c r="G86" s="43" t="s">
        <v>141</v>
      </c>
      <c r="H86" s="81"/>
      <c r="I86" s="89" t="str">
        <f>IF(A86="","Pending",IF(H86="","⚠️ Enter Agent Code",IF(IFERROR(VLOOKUP(G86,DB_Agents!$B:$I,8,0),"")=H86,IF(AND(A86&lt;&gt;"",E86&lt;&gt;""),"Saved","Pending"),"🔒 BLOCKED — Wrong Code")))</f>
        <v>Pending</v>
      </c>
      <c r="J86" s="90" t="str">
        <f t="shared" ca="1" si="8"/>
        <v>—</v>
      </c>
      <c r="K86" s="91"/>
    </row>
    <row r="87" spans="1:11" ht="15" customHeight="1" x14ac:dyDescent="0.25">
      <c r="A87" s="76"/>
      <c r="B87" s="37" t="str">
        <f>IF(A87="","",IFERROR(VLOOKUP(A87,DB_Customers!$A:$D,4,0),"❌ Account Not Found"))</f>
        <v/>
      </c>
      <c r="C87" s="77" t="str">
        <f>IF(A87="","",IFERROR(IF(SUMIF(DB_Savings!$C:$C,A87,DB_Savings!$F:$F)=0,VLOOKUP(A87,DB_Customers!$A:$I,9,0),VLOOKUP(A87,DB_Customers!$A:$N,14,0)),"❌ Acct Not Found"))</f>
        <v/>
      </c>
      <c r="D87" s="78" t="str">
        <f t="shared" ca="1" si="6"/>
        <v/>
      </c>
      <c r="E87" s="79"/>
      <c r="F87" s="80" t="str">
        <f t="shared" si="7"/>
        <v/>
      </c>
      <c r="G87" s="39" t="s">
        <v>141</v>
      </c>
      <c r="H87" s="81"/>
      <c r="I87" s="82" t="str">
        <f>IF(A87="","Pending",IF(H87="","⚠️ Enter Agent Code",IF(IFERROR(VLOOKUP(G87,DB_Agents!$B:$I,8,0),"")=H87,IF(AND(A87&lt;&gt;"",E87&lt;&gt;""),"Saved","Pending"),"🔒 BLOCKED — Wrong Code")))</f>
        <v>Pending</v>
      </c>
      <c r="J87" s="83" t="str">
        <f t="shared" ca="1" si="8"/>
        <v>—</v>
      </c>
      <c r="K87" s="84"/>
    </row>
    <row r="88" spans="1:11" ht="15" customHeight="1" x14ac:dyDescent="0.25">
      <c r="A88" s="85"/>
      <c r="B88" s="41" t="str">
        <f>IF(A88="","",IFERROR(VLOOKUP(A88,DB_Customers!$A:$D,4,0),"❌ Account Not Found"))</f>
        <v/>
      </c>
      <c r="C88" s="86" t="str">
        <f>IF(A88="","",IFERROR(IF(SUMIF(DB_Savings!$C:$C,A88,DB_Savings!$F:$F)=0,VLOOKUP(A88,DB_Customers!$A:$I,9,0),VLOOKUP(A88,DB_Customers!$A:$N,14,0)),"❌ Acct Not Found"))</f>
        <v/>
      </c>
      <c r="D88" s="87" t="str">
        <f t="shared" ca="1" si="6"/>
        <v/>
      </c>
      <c r="E88" s="79"/>
      <c r="F88" s="88" t="str">
        <f t="shared" si="7"/>
        <v/>
      </c>
      <c r="G88" s="43" t="s">
        <v>141</v>
      </c>
      <c r="H88" s="81"/>
      <c r="I88" s="89" t="str">
        <f>IF(A88="","Pending",IF(H88="","⚠️ Enter Agent Code",IF(IFERROR(VLOOKUP(G88,DB_Agents!$B:$I,8,0),"")=H88,IF(AND(A88&lt;&gt;"",E88&lt;&gt;""),"Saved","Pending"),"🔒 BLOCKED — Wrong Code")))</f>
        <v>Pending</v>
      </c>
      <c r="J88" s="90" t="str">
        <f t="shared" ca="1" si="8"/>
        <v>—</v>
      </c>
      <c r="K88" s="91"/>
    </row>
    <row r="89" spans="1:11" ht="15" customHeight="1" x14ac:dyDescent="0.25">
      <c r="A89" s="76"/>
      <c r="B89" s="37" t="str">
        <f>IF(A89="","",IFERROR(VLOOKUP(A89,DB_Customers!$A:$D,4,0),"❌ Account Not Found"))</f>
        <v/>
      </c>
      <c r="C89" s="77" t="str">
        <f>IF(A89="","",IFERROR(IF(SUMIF(DB_Savings!$C:$C,A89,DB_Savings!$F:$F)=0,VLOOKUP(A89,DB_Customers!$A:$I,9,0),VLOOKUP(A89,DB_Customers!$A:$N,14,0)),"❌ Acct Not Found"))</f>
        <v/>
      </c>
      <c r="D89" s="78" t="str">
        <f t="shared" ca="1" si="6"/>
        <v/>
      </c>
      <c r="E89" s="79"/>
      <c r="F89" s="80" t="str">
        <f t="shared" si="7"/>
        <v/>
      </c>
      <c r="G89" s="39" t="s">
        <v>141</v>
      </c>
      <c r="H89" s="81"/>
      <c r="I89" s="82" t="str">
        <f>IF(A89="","Pending",IF(H89="","⚠️ Enter Agent Code",IF(IFERROR(VLOOKUP(G89,DB_Agents!$B:$I,8,0),"")=H89,IF(AND(A89&lt;&gt;"",E89&lt;&gt;""),"Saved","Pending"),"🔒 BLOCKED — Wrong Code")))</f>
        <v>Pending</v>
      </c>
      <c r="J89" s="83" t="str">
        <f t="shared" ca="1" si="8"/>
        <v>—</v>
      </c>
      <c r="K89" s="84"/>
    </row>
    <row r="90" spans="1:11" ht="15" customHeight="1" x14ac:dyDescent="0.25">
      <c r="A90" s="85"/>
      <c r="B90" s="41" t="str">
        <f>IF(A90="","",IFERROR(VLOOKUP(A90,DB_Customers!$A:$D,4,0),"❌ Account Not Found"))</f>
        <v/>
      </c>
      <c r="C90" s="86" t="str">
        <f>IF(A90="","",IFERROR(IF(SUMIF(DB_Savings!$C:$C,A90,DB_Savings!$F:$F)=0,VLOOKUP(A90,DB_Customers!$A:$I,9,0),VLOOKUP(A90,DB_Customers!$A:$N,14,0)),"❌ Acct Not Found"))</f>
        <v/>
      </c>
      <c r="D90" s="87" t="str">
        <f t="shared" ca="1" si="6"/>
        <v/>
      </c>
      <c r="E90" s="79"/>
      <c r="F90" s="88" t="str">
        <f t="shared" si="7"/>
        <v/>
      </c>
      <c r="G90" s="43" t="s">
        <v>141</v>
      </c>
      <c r="H90" s="81"/>
      <c r="I90" s="89" t="str">
        <f>IF(A90="","Pending",IF(H90="","⚠️ Enter Agent Code",IF(IFERROR(VLOOKUP(G90,DB_Agents!$B:$I,8,0),"")=H90,IF(AND(A90&lt;&gt;"",E90&lt;&gt;""),"Saved","Pending"),"🔒 BLOCKED — Wrong Code")))</f>
        <v>Pending</v>
      </c>
      <c r="J90" s="90" t="str">
        <f t="shared" ca="1" si="8"/>
        <v>—</v>
      </c>
      <c r="K90" s="91"/>
    </row>
    <row r="91" spans="1:11" ht="15" customHeight="1" x14ac:dyDescent="0.25">
      <c r="A91" s="76"/>
      <c r="B91" s="37" t="str">
        <f>IF(A91="","",IFERROR(VLOOKUP(A91,DB_Customers!$A:$D,4,0),"❌ Account Not Found"))</f>
        <v/>
      </c>
      <c r="C91" s="77" t="str">
        <f>IF(A91="","",IFERROR(IF(SUMIF(DB_Savings!$C:$C,A91,DB_Savings!$F:$F)=0,VLOOKUP(A91,DB_Customers!$A:$I,9,0),VLOOKUP(A91,DB_Customers!$A:$N,14,0)),"❌ Acct Not Found"))</f>
        <v/>
      </c>
      <c r="D91" s="78" t="str">
        <f t="shared" ca="1" si="6"/>
        <v/>
      </c>
      <c r="E91" s="79"/>
      <c r="F91" s="80" t="str">
        <f t="shared" si="7"/>
        <v/>
      </c>
      <c r="G91" s="39" t="s">
        <v>141</v>
      </c>
      <c r="H91" s="81"/>
      <c r="I91" s="82" t="str">
        <f>IF(A91="","Pending",IF(H91="","⚠️ Enter Agent Code",IF(IFERROR(VLOOKUP(G91,DB_Agents!$B:$I,8,0),"")=H91,IF(AND(A91&lt;&gt;"",E91&lt;&gt;""),"Saved","Pending"),"🔒 BLOCKED — Wrong Code")))</f>
        <v>Pending</v>
      </c>
      <c r="J91" s="83" t="str">
        <f t="shared" ca="1" si="8"/>
        <v>—</v>
      </c>
      <c r="K91" s="84"/>
    </row>
    <row r="92" spans="1:11" ht="15" customHeight="1" x14ac:dyDescent="0.25">
      <c r="A92" s="85"/>
      <c r="B92" s="41" t="str">
        <f>IF(A92="","",IFERROR(VLOOKUP(A92,DB_Customers!$A:$D,4,0),"❌ Account Not Found"))</f>
        <v/>
      </c>
      <c r="C92" s="86" t="str">
        <f>IF(A92="","",IFERROR(IF(SUMIF(DB_Savings!$C:$C,A92,DB_Savings!$F:$F)=0,VLOOKUP(A92,DB_Customers!$A:$I,9,0),VLOOKUP(A92,DB_Customers!$A:$N,14,0)),"❌ Acct Not Found"))</f>
        <v/>
      </c>
      <c r="D92" s="87" t="str">
        <f t="shared" ca="1" si="6"/>
        <v/>
      </c>
      <c r="E92" s="79"/>
      <c r="F92" s="88" t="str">
        <f t="shared" si="7"/>
        <v/>
      </c>
      <c r="G92" s="43" t="s">
        <v>141</v>
      </c>
      <c r="H92" s="81"/>
      <c r="I92" s="89" t="str">
        <f>IF(A92="","Pending",IF(H92="","⚠️ Enter Agent Code",IF(IFERROR(VLOOKUP(G92,DB_Agents!$B:$I,8,0),"")=H92,IF(AND(A92&lt;&gt;"",E92&lt;&gt;""),"Saved","Pending"),"🔒 BLOCKED — Wrong Code")))</f>
        <v>Pending</v>
      </c>
      <c r="J92" s="90" t="str">
        <f t="shared" ca="1" si="8"/>
        <v>—</v>
      </c>
      <c r="K92" s="91"/>
    </row>
    <row r="93" spans="1:11" ht="15" customHeight="1" x14ac:dyDescent="0.25">
      <c r="A93" s="76"/>
      <c r="B93" s="37" t="str">
        <f>IF(A93="","",IFERROR(VLOOKUP(A93,DB_Customers!$A:$D,4,0),"❌ Account Not Found"))</f>
        <v/>
      </c>
      <c r="C93" s="77" t="str">
        <f>IF(A93="","",IFERROR(IF(SUMIF(DB_Savings!$C:$C,A93,DB_Savings!$F:$F)=0,VLOOKUP(A93,DB_Customers!$A:$I,9,0),VLOOKUP(A93,DB_Customers!$A:$N,14,0)),"❌ Acct Not Found"))</f>
        <v/>
      </c>
      <c r="D93" s="78" t="str">
        <f t="shared" ca="1" si="6"/>
        <v/>
      </c>
      <c r="E93" s="79"/>
      <c r="F93" s="80" t="str">
        <f t="shared" si="7"/>
        <v/>
      </c>
      <c r="G93" s="39" t="s">
        <v>141</v>
      </c>
      <c r="H93" s="81"/>
      <c r="I93" s="82" t="str">
        <f>IF(A93="","Pending",IF(H93="","⚠️ Enter Agent Code",IF(IFERROR(VLOOKUP(G93,DB_Agents!$B:$I,8,0),"")=H93,IF(AND(A93&lt;&gt;"",E93&lt;&gt;""),"Saved","Pending"),"🔒 BLOCKED — Wrong Code")))</f>
        <v>Pending</v>
      </c>
      <c r="J93" s="83" t="str">
        <f t="shared" ca="1" si="8"/>
        <v>—</v>
      </c>
      <c r="K93" s="84"/>
    </row>
    <row r="94" spans="1:11" ht="15" customHeight="1" x14ac:dyDescent="0.25">
      <c r="A94" s="85"/>
      <c r="B94" s="41" t="str">
        <f>IF(A94="","",IFERROR(VLOOKUP(A94,DB_Customers!$A:$D,4,0),"❌ Account Not Found"))</f>
        <v/>
      </c>
      <c r="C94" s="86" t="str">
        <f>IF(A94="","",IFERROR(IF(SUMIF(DB_Savings!$C:$C,A94,DB_Savings!$F:$F)=0,VLOOKUP(A94,DB_Customers!$A:$I,9,0),VLOOKUP(A94,DB_Customers!$A:$N,14,0)),"❌ Acct Not Found"))</f>
        <v/>
      </c>
      <c r="D94" s="87" t="str">
        <f t="shared" ca="1" si="6"/>
        <v/>
      </c>
      <c r="E94" s="79"/>
      <c r="F94" s="88" t="str">
        <f t="shared" si="7"/>
        <v/>
      </c>
      <c r="G94" s="43" t="s">
        <v>141</v>
      </c>
      <c r="H94" s="81"/>
      <c r="I94" s="89" t="str">
        <f>IF(A94="","Pending",IF(H94="","⚠️ Enter Agent Code",IF(IFERROR(VLOOKUP(G94,DB_Agents!$B:$I,8,0),"")=H94,IF(AND(A94&lt;&gt;"",E94&lt;&gt;""),"Saved","Pending"),"🔒 BLOCKED — Wrong Code")))</f>
        <v>Pending</v>
      </c>
      <c r="J94" s="90" t="str">
        <f t="shared" ca="1" si="8"/>
        <v>—</v>
      </c>
      <c r="K94" s="91"/>
    </row>
    <row r="95" spans="1:11" ht="15" customHeight="1" x14ac:dyDescent="0.25">
      <c r="A95" s="76"/>
      <c r="B95" s="37" t="str">
        <f>IF(A95="","",IFERROR(VLOOKUP(A95,DB_Customers!$A:$D,4,0),"❌ Account Not Found"))</f>
        <v/>
      </c>
      <c r="C95" s="77" t="str">
        <f>IF(A95="","",IFERROR(IF(SUMIF(DB_Savings!$C:$C,A95,DB_Savings!$F:$F)=0,VLOOKUP(A95,DB_Customers!$A:$I,9,0),VLOOKUP(A95,DB_Customers!$A:$N,14,0)),"❌ Acct Not Found"))</f>
        <v/>
      </c>
      <c r="D95" s="78" t="str">
        <f t="shared" ca="1" si="6"/>
        <v/>
      </c>
      <c r="E95" s="79"/>
      <c r="F95" s="80" t="str">
        <f t="shared" si="7"/>
        <v/>
      </c>
      <c r="G95" s="39" t="s">
        <v>141</v>
      </c>
      <c r="H95" s="81"/>
      <c r="I95" s="82" t="str">
        <f>IF(A95="","Pending",IF(H95="","⚠️ Enter Agent Code",IF(IFERROR(VLOOKUP(G95,DB_Agents!$B:$I,8,0),"")=H95,IF(AND(A95&lt;&gt;"",E95&lt;&gt;""),"Saved","Pending"),"🔒 BLOCKED — Wrong Code")))</f>
        <v>Pending</v>
      </c>
      <c r="J95" s="83" t="str">
        <f t="shared" ca="1" si="8"/>
        <v>—</v>
      </c>
      <c r="K95" s="84"/>
    </row>
    <row r="96" spans="1:11" ht="15" customHeight="1" x14ac:dyDescent="0.25">
      <c r="A96" s="85"/>
      <c r="B96" s="41" t="str">
        <f>IF(A96="","",IFERROR(VLOOKUP(A96,DB_Customers!$A:$D,4,0),"❌ Account Not Found"))</f>
        <v/>
      </c>
      <c r="C96" s="86" t="str">
        <f>IF(A96="","",IFERROR(IF(SUMIF(DB_Savings!$C:$C,A96,DB_Savings!$F:$F)=0,VLOOKUP(A96,DB_Customers!$A:$I,9,0),VLOOKUP(A96,DB_Customers!$A:$N,14,0)),"❌ Acct Not Found"))</f>
        <v/>
      </c>
      <c r="D96" s="87" t="str">
        <f t="shared" ca="1" si="6"/>
        <v/>
      </c>
      <c r="E96" s="79"/>
      <c r="F96" s="88" t="str">
        <f t="shared" si="7"/>
        <v/>
      </c>
      <c r="G96" s="43" t="s">
        <v>141</v>
      </c>
      <c r="H96" s="81"/>
      <c r="I96" s="89" t="str">
        <f>IF(A96="","Pending",IF(H96="","⚠️ Enter Agent Code",IF(IFERROR(VLOOKUP(G96,DB_Agents!$B:$I,8,0),"")=H96,IF(AND(A96&lt;&gt;"",E96&lt;&gt;""),"Saved","Pending"),"🔒 BLOCKED — Wrong Code")))</f>
        <v>Pending</v>
      </c>
      <c r="J96" s="90" t="str">
        <f t="shared" ca="1" si="8"/>
        <v>—</v>
      </c>
      <c r="K96" s="91"/>
    </row>
    <row r="97" spans="1:11" ht="15" customHeight="1" x14ac:dyDescent="0.25">
      <c r="A97" s="76"/>
      <c r="B97" s="37" t="str">
        <f>IF(A97="","",IFERROR(VLOOKUP(A97,DB_Customers!$A:$D,4,0),"❌ Account Not Found"))</f>
        <v/>
      </c>
      <c r="C97" s="77" t="str">
        <f>IF(A97="","",IFERROR(IF(SUMIF(DB_Savings!$C:$C,A97,DB_Savings!$F:$F)=0,VLOOKUP(A97,DB_Customers!$A:$I,9,0),VLOOKUP(A97,DB_Customers!$A:$N,14,0)),"❌ Acct Not Found"))</f>
        <v/>
      </c>
      <c r="D97" s="78" t="str">
        <f t="shared" ca="1" si="6"/>
        <v/>
      </c>
      <c r="E97" s="79"/>
      <c r="F97" s="80" t="str">
        <f t="shared" si="7"/>
        <v/>
      </c>
      <c r="G97" s="39" t="s">
        <v>141</v>
      </c>
      <c r="H97" s="81"/>
      <c r="I97" s="82" t="str">
        <f>IF(A97="","Pending",IF(H97="","⚠️ Enter Agent Code",IF(IFERROR(VLOOKUP(G97,DB_Agents!$B:$I,8,0),"")=H97,IF(AND(A97&lt;&gt;"",E97&lt;&gt;""),"Saved","Pending"),"🔒 BLOCKED — Wrong Code")))</f>
        <v>Pending</v>
      </c>
      <c r="J97" s="83" t="str">
        <f t="shared" ca="1" si="8"/>
        <v>—</v>
      </c>
      <c r="K97" s="84"/>
    </row>
    <row r="98" spans="1:11" ht="15" customHeight="1" x14ac:dyDescent="0.25">
      <c r="A98" s="85"/>
      <c r="B98" s="41" t="str">
        <f>IF(A98="","",IFERROR(VLOOKUP(A98,DB_Customers!$A:$D,4,0),"❌ Account Not Found"))</f>
        <v/>
      </c>
      <c r="C98" s="86" t="str">
        <f>IF(A98="","",IFERROR(IF(SUMIF(DB_Savings!$C:$C,A98,DB_Savings!$F:$F)=0,VLOOKUP(A98,DB_Customers!$A:$I,9,0),VLOOKUP(A98,DB_Customers!$A:$N,14,0)),"❌ Acct Not Found"))</f>
        <v/>
      </c>
      <c r="D98" s="87" t="str">
        <f t="shared" ca="1" si="6"/>
        <v/>
      </c>
      <c r="E98" s="79"/>
      <c r="F98" s="88" t="str">
        <f t="shared" si="7"/>
        <v/>
      </c>
      <c r="G98" s="43" t="s">
        <v>141</v>
      </c>
      <c r="H98" s="81"/>
      <c r="I98" s="89" t="str">
        <f>IF(A98="","Pending",IF(H98="","⚠️ Enter Agent Code",IF(IFERROR(VLOOKUP(G98,DB_Agents!$B:$I,8,0),"")=H98,IF(AND(A98&lt;&gt;"",E98&lt;&gt;""),"Saved","Pending"),"🔒 BLOCKED — Wrong Code")))</f>
        <v>Pending</v>
      </c>
      <c r="J98" s="90" t="str">
        <f t="shared" ca="1" si="8"/>
        <v>—</v>
      </c>
      <c r="K98" s="91"/>
    </row>
    <row r="99" spans="1:11" ht="15" customHeight="1" x14ac:dyDescent="0.25">
      <c r="A99" s="76"/>
      <c r="B99" s="37" t="str">
        <f>IF(A99="","",IFERROR(VLOOKUP(A99,DB_Customers!$A:$D,4,0),"❌ Account Not Found"))</f>
        <v/>
      </c>
      <c r="C99" s="77" t="str">
        <f>IF(A99="","",IFERROR(IF(SUMIF(DB_Savings!$C:$C,A99,DB_Savings!$F:$F)=0,VLOOKUP(A99,DB_Customers!$A:$I,9,0),VLOOKUP(A99,DB_Customers!$A:$N,14,0)),"❌ Acct Not Found"))</f>
        <v/>
      </c>
      <c r="D99" s="78" t="str">
        <f t="shared" ca="1" si="6"/>
        <v/>
      </c>
      <c r="E99" s="79"/>
      <c r="F99" s="80" t="str">
        <f t="shared" si="7"/>
        <v/>
      </c>
      <c r="G99" s="39" t="s">
        <v>141</v>
      </c>
      <c r="H99" s="81"/>
      <c r="I99" s="82" t="str">
        <f>IF(A99="","Pending",IF(H99="","⚠️ Enter Agent Code",IF(IFERROR(VLOOKUP(G99,DB_Agents!$B:$I,8,0),"")=H99,IF(AND(A99&lt;&gt;"",E99&lt;&gt;""),"Saved","Pending"),"🔒 BLOCKED — Wrong Code")))</f>
        <v>Pending</v>
      </c>
      <c r="J99" s="83" t="str">
        <f t="shared" ca="1" si="8"/>
        <v>—</v>
      </c>
      <c r="K99" s="84"/>
    </row>
    <row r="100" spans="1:11" ht="15" customHeight="1" x14ac:dyDescent="0.25">
      <c r="A100" s="85"/>
      <c r="B100" s="41" t="str">
        <f>IF(A100="","",IFERROR(VLOOKUP(A100,DB_Customers!$A:$D,4,0),"❌ Account Not Found"))</f>
        <v/>
      </c>
      <c r="C100" s="86" t="str">
        <f>IF(A100="","",IFERROR(IF(SUMIF(DB_Savings!$C:$C,A100,DB_Savings!$F:$F)=0,VLOOKUP(A100,DB_Customers!$A:$I,9,0),VLOOKUP(A100,DB_Customers!$A:$N,14,0)),"❌ Acct Not Found"))</f>
        <v/>
      </c>
      <c r="D100" s="87" t="str">
        <f t="shared" ca="1" si="6"/>
        <v/>
      </c>
      <c r="E100" s="79"/>
      <c r="F100" s="88" t="str">
        <f t="shared" si="7"/>
        <v/>
      </c>
      <c r="G100" s="43" t="s">
        <v>141</v>
      </c>
      <c r="H100" s="81"/>
      <c r="I100" s="89" t="str">
        <f>IF(A100="","Pending",IF(H100="","⚠️ Enter Agent Code",IF(IFERROR(VLOOKUP(G100,DB_Agents!$B:$I,8,0),"")=H100,IF(AND(A100&lt;&gt;"",E100&lt;&gt;""),"Saved","Pending"),"🔒 BLOCKED — Wrong Code")))</f>
        <v>Pending</v>
      </c>
      <c r="J100" s="90" t="str">
        <f t="shared" ca="1" si="8"/>
        <v>—</v>
      </c>
      <c r="K100" s="91"/>
    </row>
    <row r="101" spans="1:11" ht="15" customHeight="1" x14ac:dyDescent="0.25">
      <c r="A101" s="76"/>
      <c r="B101" s="37" t="str">
        <f>IF(A101="","",IFERROR(VLOOKUP(A101,DB_Customers!$A:$D,4,0),"❌ Account Not Found"))</f>
        <v/>
      </c>
      <c r="C101" s="77" t="str">
        <f>IF(A101="","",IFERROR(IF(SUMIF(DB_Savings!$C:$C,A101,DB_Savings!$F:$F)=0,VLOOKUP(A101,DB_Customers!$A:$I,9,0),VLOOKUP(A101,DB_Customers!$A:$N,14,0)),"❌ Acct Not Found"))</f>
        <v/>
      </c>
      <c r="D101" s="78" t="str">
        <f t="shared" ca="1" si="6"/>
        <v/>
      </c>
      <c r="E101" s="79"/>
      <c r="F101" s="80" t="str">
        <f t="shared" si="7"/>
        <v/>
      </c>
      <c r="G101" s="39" t="s">
        <v>141</v>
      </c>
      <c r="H101" s="81"/>
      <c r="I101" s="82" t="str">
        <f>IF(A101="","Pending",IF(H101="","⚠️ Enter Agent Code",IF(IFERROR(VLOOKUP(G101,DB_Agents!$B:$I,8,0),"")=H101,IF(AND(A101&lt;&gt;"",E101&lt;&gt;""),"Saved","Pending"),"🔒 BLOCKED — Wrong Code")))</f>
        <v>Pending</v>
      </c>
      <c r="J101" s="83" t="str">
        <f t="shared" ca="1" si="8"/>
        <v>—</v>
      </c>
      <c r="K101" s="84"/>
    </row>
    <row r="102" spans="1:11" ht="15" customHeight="1" x14ac:dyDescent="0.25">
      <c r="A102" s="85"/>
      <c r="B102" s="41" t="str">
        <f>IF(A102="","",IFERROR(VLOOKUP(A102,DB_Customers!$A:$D,4,0),"❌ Account Not Found"))</f>
        <v/>
      </c>
      <c r="C102" s="86" t="str">
        <f>IF(A102="","",IFERROR(IF(SUMIF(DB_Savings!$C:$C,A102,DB_Savings!$F:$F)=0,VLOOKUP(A102,DB_Customers!$A:$I,9,0),VLOOKUP(A102,DB_Customers!$A:$N,14,0)),"❌ Acct Not Found"))</f>
        <v/>
      </c>
      <c r="D102" s="87" t="str">
        <f t="shared" ca="1" si="6"/>
        <v/>
      </c>
      <c r="E102" s="79"/>
      <c r="F102" s="88" t="str">
        <f t="shared" si="7"/>
        <v/>
      </c>
      <c r="G102" s="43" t="s">
        <v>141</v>
      </c>
      <c r="H102" s="81"/>
      <c r="I102" s="89" t="str">
        <f>IF(A102="","Pending",IF(H102="","⚠️ Enter Agent Code",IF(IFERROR(VLOOKUP(G102,DB_Agents!$B:$I,8,0),"")=H102,IF(AND(A102&lt;&gt;"",E102&lt;&gt;""),"Saved","Pending"),"🔒 BLOCKED — Wrong Code")))</f>
        <v>Pending</v>
      </c>
      <c r="J102" s="90" t="str">
        <f t="shared" ca="1" si="8"/>
        <v>—</v>
      </c>
      <c r="K102" s="91"/>
    </row>
    <row r="103" spans="1:11" ht="15" customHeight="1" x14ac:dyDescent="0.25">
      <c r="A103" s="76"/>
      <c r="B103" s="37" t="str">
        <f>IF(A103="","",IFERROR(VLOOKUP(A103,DB_Customers!$A:$D,4,0),"❌ Account Not Found"))</f>
        <v/>
      </c>
      <c r="C103" s="77" t="str">
        <f>IF(A103="","",IFERROR(IF(SUMIF(DB_Savings!$C:$C,A103,DB_Savings!$F:$F)=0,VLOOKUP(A103,DB_Customers!$A:$I,9,0),VLOOKUP(A103,DB_Customers!$A:$N,14,0)),"❌ Acct Not Found"))</f>
        <v/>
      </c>
      <c r="D103" s="78" t="str">
        <f t="shared" ca="1" si="6"/>
        <v/>
      </c>
      <c r="E103" s="79"/>
      <c r="F103" s="80" t="str">
        <f t="shared" si="7"/>
        <v/>
      </c>
      <c r="G103" s="39" t="s">
        <v>141</v>
      </c>
      <c r="H103" s="81"/>
      <c r="I103" s="82" t="str">
        <f>IF(A103="","Pending",IF(H103="","⚠️ Enter Agent Code",IF(IFERROR(VLOOKUP(G103,DB_Agents!$B:$I,8,0),"")=H103,IF(AND(A103&lt;&gt;"",E103&lt;&gt;""),"Saved","Pending"),"🔒 BLOCKED — Wrong Code")))</f>
        <v>Pending</v>
      </c>
      <c r="J103" s="83" t="str">
        <f t="shared" ca="1" si="8"/>
        <v>—</v>
      </c>
      <c r="K103" s="84"/>
    </row>
    <row r="104" spans="1:11" ht="15" customHeight="1" x14ac:dyDescent="0.25">
      <c r="A104" s="85"/>
      <c r="B104" s="41" t="str">
        <f>IF(A104="","",IFERROR(VLOOKUP(A104,DB_Customers!$A:$D,4,0),"❌ Account Not Found"))</f>
        <v/>
      </c>
      <c r="C104" s="86" t="str">
        <f>IF(A104="","",IFERROR(IF(SUMIF(DB_Savings!$C:$C,A104,DB_Savings!$F:$F)=0,VLOOKUP(A104,DB_Customers!$A:$I,9,0),VLOOKUP(A104,DB_Customers!$A:$N,14,0)),"❌ Acct Not Found"))</f>
        <v/>
      </c>
      <c r="D104" s="87" t="str">
        <f t="shared" ca="1" si="6"/>
        <v/>
      </c>
      <c r="E104" s="79"/>
      <c r="F104" s="88" t="str">
        <f t="shared" si="7"/>
        <v/>
      </c>
      <c r="G104" s="43" t="s">
        <v>141</v>
      </c>
      <c r="H104" s="81"/>
      <c r="I104" s="89" t="str">
        <f>IF(A104="","Pending",IF(H104="","⚠️ Enter Agent Code",IF(IFERROR(VLOOKUP(G104,DB_Agents!$B:$I,8,0),"")=H104,IF(AND(A104&lt;&gt;"",E104&lt;&gt;""),"Saved","Pending"),"🔒 BLOCKED — Wrong Code")))</f>
        <v>Pending</v>
      </c>
      <c r="J104" s="90" t="str">
        <f t="shared" ca="1" si="8"/>
        <v>—</v>
      </c>
      <c r="K104" s="91"/>
    </row>
    <row r="105" spans="1:11" ht="15" customHeight="1" x14ac:dyDescent="0.25">
      <c r="A105" s="76"/>
      <c r="B105" s="37" t="str">
        <f>IF(A105="","",IFERROR(VLOOKUP(A105,DB_Customers!$A:$D,4,0),"❌ Account Not Found"))</f>
        <v/>
      </c>
      <c r="C105" s="77" t="str">
        <f>IF(A105="","",IFERROR(IF(SUMIF(DB_Savings!$C:$C,A105,DB_Savings!$F:$F)=0,VLOOKUP(A105,DB_Customers!$A:$I,9,0),VLOOKUP(A105,DB_Customers!$A:$N,14,0)),"❌ Acct Not Found"))</f>
        <v/>
      </c>
      <c r="D105" s="78" t="str">
        <f t="shared" ref="D105:D136" ca="1" si="9">IF(A105="","",TODAY())</f>
        <v/>
      </c>
      <c r="E105" s="79"/>
      <c r="F105" s="80" t="str">
        <f t="shared" ref="F105:F136" si="10">IF(OR(A105="",E105=""),"",IF(C105="","",C105+E105))</f>
        <v/>
      </c>
      <c r="G105" s="39" t="s">
        <v>141</v>
      </c>
      <c r="H105" s="81"/>
      <c r="I105" s="82" t="str">
        <f>IF(A105="","Pending",IF(H105="","⚠️ Enter Agent Code",IF(IFERROR(VLOOKUP(G105,DB_Agents!$B:$I,8,0),"")=H105,IF(AND(A105&lt;&gt;"",E105&lt;&gt;""),"Saved","Pending"),"🔒 BLOCKED — Wrong Code")))</f>
        <v>Pending</v>
      </c>
      <c r="J105" s="83" t="str">
        <f t="shared" ref="J105:J136" ca="1" si="11">IF(I105="Saved",TEXT(TODAY(),"YYYY-MM-DD")&amp;" Auto","—")</f>
        <v>—</v>
      </c>
      <c r="K105" s="84"/>
    </row>
    <row r="106" spans="1:11" ht="15" customHeight="1" x14ac:dyDescent="0.25">
      <c r="A106" s="85"/>
      <c r="B106" s="41" t="str">
        <f>IF(A106="","",IFERROR(VLOOKUP(A106,DB_Customers!$A:$D,4,0),"❌ Account Not Found"))</f>
        <v/>
      </c>
      <c r="C106" s="86" t="str">
        <f>IF(A106="","",IFERROR(IF(SUMIF(DB_Savings!$C:$C,A106,DB_Savings!$F:$F)=0,VLOOKUP(A106,DB_Customers!$A:$I,9,0),VLOOKUP(A106,DB_Customers!$A:$N,14,0)),"❌ Acct Not Found"))</f>
        <v/>
      </c>
      <c r="D106" s="87" t="str">
        <f t="shared" ca="1" si="9"/>
        <v/>
      </c>
      <c r="E106" s="79"/>
      <c r="F106" s="88" t="str">
        <f t="shared" si="10"/>
        <v/>
      </c>
      <c r="G106" s="43" t="s">
        <v>141</v>
      </c>
      <c r="H106" s="81"/>
      <c r="I106" s="89" t="str">
        <f>IF(A106="","Pending",IF(H106="","⚠️ Enter Agent Code",IF(IFERROR(VLOOKUP(G106,DB_Agents!$B:$I,8,0),"")=H106,IF(AND(A106&lt;&gt;"",E106&lt;&gt;""),"Saved","Pending"),"🔒 BLOCKED — Wrong Code")))</f>
        <v>Pending</v>
      </c>
      <c r="J106" s="90" t="str">
        <f t="shared" ca="1" si="11"/>
        <v>—</v>
      </c>
      <c r="K106" s="91"/>
    </row>
    <row r="107" spans="1:11" ht="15" customHeight="1" x14ac:dyDescent="0.25">
      <c r="A107" s="76"/>
      <c r="B107" s="37" t="str">
        <f>IF(A107="","",IFERROR(VLOOKUP(A107,DB_Customers!$A:$D,4,0),"❌ Account Not Found"))</f>
        <v/>
      </c>
      <c r="C107" s="77" t="str">
        <f>IF(A107="","",IFERROR(IF(SUMIF(DB_Savings!$C:$C,A107,DB_Savings!$F:$F)=0,VLOOKUP(A107,DB_Customers!$A:$I,9,0),VLOOKUP(A107,DB_Customers!$A:$N,14,0)),"❌ Acct Not Found"))</f>
        <v/>
      </c>
      <c r="D107" s="78" t="str">
        <f t="shared" ca="1" si="9"/>
        <v/>
      </c>
      <c r="E107" s="79"/>
      <c r="F107" s="80" t="str">
        <f t="shared" si="10"/>
        <v/>
      </c>
      <c r="G107" s="39" t="s">
        <v>141</v>
      </c>
      <c r="H107" s="81"/>
      <c r="I107" s="82" t="str">
        <f>IF(A107="","Pending",IF(H107="","⚠️ Enter Agent Code",IF(IFERROR(VLOOKUP(G107,DB_Agents!$B:$I,8,0),"")=H107,IF(AND(A107&lt;&gt;"",E107&lt;&gt;""),"Saved","Pending"),"🔒 BLOCKED — Wrong Code")))</f>
        <v>Pending</v>
      </c>
      <c r="J107" s="83" t="str">
        <f t="shared" ca="1" si="11"/>
        <v>—</v>
      </c>
      <c r="K107" s="84"/>
    </row>
    <row r="108" spans="1:11" ht="15" customHeight="1" x14ac:dyDescent="0.25">
      <c r="A108" s="85"/>
      <c r="B108" s="41" t="str">
        <f>IF(A108="","",IFERROR(VLOOKUP(A108,DB_Customers!$A:$D,4,0),"❌ Account Not Found"))</f>
        <v/>
      </c>
      <c r="C108" s="86" t="str">
        <f>IF(A108="","",IFERROR(IF(SUMIF(DB_Savings!$C:$C,A108,DB_Savings!$F:$F)=0,VLOOKUP(A108,DB_Customers!$A:$I,9,0),VLOOKUP(A108,DB_Customers!$A:$N,14,0)),"❌ Acct Not Found"))</f>
        <v/>
      </c>
      <c r="D108" s="87" t="str">
        <f t="shared" ca="1" si="9"/>
        <v/>
      </c>
      <c r="E108" s="79"/>
      <c r="F108" s="88" t="str">
        <f t="shared" si="10"/>
        <v/>
      </c>
      <c r="G108" s="43" t="s">
        <v>141</v>
      </c>
      <c r="H108" s="81"/>
      <c r="I108" s="89" t="str">
        <f>IF(A108="","Pending",IF(H108="","⚠️ Enter Agent Code",IF(IFERROR(VLOOKUP(G108,DB_Agents!$B:$I,8,0),"")=H108,IF(AND(A108&lt;&gt;"",E108&lt;&gt;""),"Saved","Pending"),"🔒 BLOCKED — Wrong Code")))</f>
        <v>Pending</v>
      </c>
      <c r="J108" s="90" t="str">
        <f t="shared" ca="1" si="11"/>
        <v>—</v>
      </c>
      <c r="K108" s="91"/>
    </row>
    <row r="109" spans="1:11" ht="15" customHeight="1" x14ac:dyDescent="0.25">
      <c r="A109" s="76"/>
      <c r="B109" s="37" t="str">
        <f>IF(A109="","",IFERROR(VLOOKUP(A109,DB_Customers!$A:$D,4,0),"❌ Account Not Found"))</f>
        <v/>
      </c>
      <c r="C109" s="77" t="str">
        <f>IF(A109="","",IFERROR(IF(SUMIF(DB_Savings!$C:$C,A109,DB_Savings!$F:$F)=0,VLOOKUP(A109,DB_Customers!$A:$I,9,0),VLOOKUP(A109,DB_Customers!$A:$N,14,0)),"❌ Acct Not Found"))</f>
        <v/>
      </c>
      <c r="D109" s="78" t="str">
        <f t="shared" ca="1" si="9"/>
        <v/>
      </c>
      <c r="E109" s="79"/>
      <c r="F109" s="80" t="str">
        <f t="shared" si="10"/>
        <v/>
      </c>
      <c r="G109" s="39" t="s">
        <v>141</v>
      </c>
      <c r="H109" s="81"/>
      <c r="I109" s="82" t="str">
        <f>IF(A109="","Pending",IF(H109="","⚠️ Enter Agent Code",IF(IFERROR(VLOOKUP(G109,DB_Agents!$B:$I,8,0),"")=H109,IF(AND(A109&lt;&gt;"",E109&lt;&gt;""),"Saved","Pending"),"🔒 BLOCKED — Wrong Code")))</f>
        <v>Pending</v>
      </c>
      <c r="J109" s="83" t="str">
        <f t="shared" ca="1" si="11"/>
        <v>—</v>
      </c>
      <c r="K109" s="84"/>
    </row>
    <row r="110" spans="1:11" ht="15" customHeight="1" x14ac:dyDescent="0.25">
      <c r="A110" s="85"/>
      <c r="B110" s="41" t="str">
        <f>IF(A110="","",IFERROR(VLOOKUP(A110,DB_Customers!$A:$D,4,0),"❌ Account Not Found"))</f>
        <v/>
      </c>
      <c r="C110" s="86" t="str">
        <f>IF(A110="","",IFERROR(IF(SUMIF(DB_Savings!$C:$C,A110,DB_Savings!$F:$F)=0,VLOOKUP(A110,DB_Customers!$A:$I,9,0),VLOOKUP(A110,DB_Customers!$A:$N,14,0)),"❌ Acct Not Found"))</f>
        <v/>
      </c>
      <c r="D110" s="87" t="str">
        <f t="shared" ca="1" si="9"/>
        <v/>
      </c>
      <c r="E110" s="79"/>
      <c r="F110" s="88" t="str">
        <f t="shared" si="10"/>
        <v/>
      </c>
      <c r="G110" s="43" t="s">
        <v>141</v>
      </c>
      <c r="H110" s="81"/>
      <c r="I110" s="89" t="str">
        <f>IF(A110="","Pending",IF(H110="","⚠️ Enter Agent Code",IF(IFERROR(VLOOKUP(G110,DB_Agents!$B:$I,8,0),"")=H110,IF(AND(A110&lt;&gt;"",E110&lt;&gt;""),"Saved","Pending"),"🔒 BLOCKED — Wrong Code")))</f>
        <v>Pending</v>
      </c>
      <c r="J110" s="90" t="str">
        <f t="shared" ca="1" si="11"/>
        <v>—</v>
      </c>
      <c r="K110" s="91"/>
    </row>
    <row r="111" spans="1:11" ht="15" customHeight="1" x14ac:dyDescent="0.25">
      <c r="A111" s="76"/>
      <c r="B111" s="37" t="str">
        <f>IF(A111="","",IFERROR(VLOOKUP(A111,DB_Customers!$A:$D,4,0),"❌ Account Not Found"))</f>
        <v/>
      </c>
      <c r="C111" s="77" t="str">
        <f>IF(A111="","",IFERROR(IF(SUMIF(DB_Savings!$C:$C,A111,DB_Savings!$F:$F)=0,VLOOKUP(A111,DB_Customers!$A:$I,9,0),VLOOKUP(A111,DB_Customers!$A:$N,14,0)),"❌ Acct Not Found"))</f>
        <v/>
      </c>
      <c r="D111" s="78" t="str">
        <f t="shared" ca="1" si="9"/>
        <v/>
      </c>
      <c r="E111" s="79"/>
      <c r="F111" s="80" t="str">
        <f t="shared" si="10"/>
        <v/>
      </c>
      <c r="G111" s="39" t="s">
        <v>141</v>
      </c>
      <c r="H111" s="81"/>
      <c r="I111" s="82" t="str">
        <f>IF(A111="","Pending",IF(H111="","⚠️ Enter Agent Code",IF(IFERROR(VLOOKUP(G111,DB_Agents!$B:$I,8,0),"")=H111,IF(AND(A111&lt;&gt;"",E111&lt;&gt;""),"Saved","Pending"),"🔒 BLOCKED — Wrong Code")))</f>
        <v>Pending</v>
      </c>
      <c r="J111" s="83" t="str">
        <f t="shared" ca="1" si="11"/>
        <v>—</v>
      </c>
      <c r="K111" s="84"/>
    </row>
    <row r="112" spans="1:11" ht="15" customHeight="1" x14ac:dyDescent="0.25">
      <c r="A112" s="85"/>
      <c r="B112" s="41" t="str">
        <f>IF(A112="","",IFERROR(VLOOKUP(A112,DB_Customers!$A:$D,4,0),"❌ Account Not Found"))</f>
        <v/>
      </c>
      <c r="C112" s="86" t="str">
        <f>IF(A112="","",IFERROR(IF(SUMIF(DB_Savings!$C:$C,A112,DB_Savings!$F:$F)=0,VLOOKUP(A112,DB_Customers!$A:$I,9,0),VLOOKUP(A112,DB_Customers!$A:$N,14,0)),"❌ Acct Not Found"))</f>
        <v/>
      </c>
      <c r="D112" s="87" t="str">
        <f t="shared" ca="1" si="9"/>
        <v/>
      </c>
      <c r="E112" s="79"/>
      <c r="F112" s="88" t="str">
        <f t="shared" si="10"/>
        <v/>
      </c>
      <c r="G112" s="43" t="s">
        <v>141</v>
      </c>
      <c r="H112" s="81"/>
      <c r="I112" s="89" t="str">
        <f>IF(A112="","Pending",IF(H112="","⚠️ Enter Agent Code",IF(IFERROR(VLOOKUP(G112,DB_Agents!$B:$I,8,0),"")=H112,IF(AND(A112&lt;&gt;"",E112&lt;&gt;""),"Saved","Pending"),"🔒 BLOCKED — Wrong Code")))</f>
        <v>Pending</v>
      </c>
      <c r="J112" s="90" t="str">
        <f t="shared" ca="1" si="11"/>
        <v>—</v>
      </c>
      <c r="K112" s="91"/>
    </row>
    <row r="113" spans="1:11" ht="15" customHeight="1" x14ac:dyDescent="0.25">
      <c r="A113" s="76"/>
      <c r="B113" s="37" t="str">
        <f>IF(A113="","",IFERROR(VLOOKUP(A113,DB_Customers!$A:$D,4,0),"❌ Account Not Found"))</f>
        <v/>
      </c>
      <c r="C113" s="77" t="str">
        <f>IF(A113="","",IFERROR(IF(SUMIF(DB_Savings!$C:$C,A113,DB_Savings!$F:$F)=0,VLOOKUP(A113,DB_Customers!$A:$I,9,0),VLOOKUP(A113,DB_Customers!$A:$N,14,0)),"❌ Acct Not Found"))</f>
        <v/>
      </c>
      <c r="D113" s="78" t="str">
        <f t="shared" ca="1" si="9"/>
        <v/>
      </c>
      <c r="E113" s="79"/>
      <c r="F113" s="80" t="str">
        <f t="shared" si="10"/>
        <v/>
      </c>
      <c r="G113" s="39" t="s">
        <v>141</v>
      </c>
      <c r="H113" s="81"/>
      <c r="I113" s="82" t="str">
        <f>IF(A113="","Pending",IF(H113="","⚠️ Enter Agent Code",IF(IFERROR(VLOOKUP(G113,DB_Agents!$B:$I,8,0),"")=H113,IF(AND(A113&lt;&gt;"",E113&lt;&gt;""),"Saved","Pending"),"🔒 BLOCKED — Wrong Code")))</f>
        <v>Pending</v>
      </c>
      <c r="J113" s="83" t="str">
        <f t="shared" ca="1" si="11"/>
        <v>—</v>
      </c>
      <c r="K113" s="84"/>
    </row>
    <row r="114" spans="1:11" ht="15" customHeight="1" x14ac:dyDescent="0.25">
      <c r="A114" s="85"/>
      <c r="B114" s="41" t="str">
        <f>IF(A114="","",IFERROR(VLOOKUP(A114,DB_Customers!$A:$D,4,0),"❌ Account Not Found"))</f>
        <v/>
      </c>
      <c r="C114" s="86" t="str">
        <f>IF(A114="","",IFERROR(IF(SUMIF(DB_Savings!$C:$C,A114,DB_Savings!$F:$F)=0,VLOOKUP(A114,DB_Customers!$A:$I,9,0),VLOOKUP(A114,DB_Customers!$A:$N,14,0)),"❌ Acct Not Found"))</f>
        <v/>
      </c>
      <c r="D114" s="87" t="str">
        <f t="shared" ca="1" si="9"/>
        <v/>
      </c>
      <c r="E114" s="79"/>
      <c r="F114" s="88" t="str">
        <f t="shared" si="10"/>
        <v/>
      </c>
      <c r="G114" s="43" t="s">
        <v>141</v>
      </c>
      <c r="H114" s="81"/>
      <c r="I114" s="89" t="str">
        <f>IF(A114="","Pending",IF(H114="","⚠️ Enter Agent Code",IF(IFERROR(VLOOKUP(G114,DB_Agents!$B:$I,8,0),"")=H114,IF(AND(A114&lt;&gt;"",E114&lt;&gt;""),"Saved","Pending"),"🔒 BLOCKED — Wrong Code")))</f>
        <v>Pending</v>
      </c>
      <c r="J114" s="90" t="str">
        <f t="shared" ca="1" si="11"/>
        <v>—</v>
      </c>
      <c r="K114" s="91"/>
    </row>
    <row r="115" spans="1:11" ht="15" customHeight="1" x14ac:dyDescent="0.25">
      <c r="A115" s="76"/>
      <c r="B115" s="37" t="str">
        <f>IF(A115="","",IFERROR(VLOOKUP(A115,DB_Customers!$A:$D,4,0),"❌ Account Not Found"))</f>
        <v/>
      </c>
      <c r="C115" s="77" t="str">
        <f>IF(A115="","",IFERROR(IF(SUMIF(DB_Savings!$C:$C,A115,DB_Savings!$F:$F)=0,VLOOKUP(A115,DB_Customers!$A:$I,9,0),VLOOKUP(A115,DB_Customers!$A:$N,14,0)),"❌ Acct Not Found"))</f>
        <v/>
      </c>
      <c r="D115" s="78" t="str">
        <f t="shared" ca="1" si="9"/>
        <v/>
      </c>
      <c r="E115" s="79"/>
      <c r="F115" s="80" t="str">
        <f t="shared" si="10"/>
        <v/>
      </c>
      <c r="G115" s="39" t="s">
        <v>141</v>
      </c>
      <c r="H115" s="81"/>
      <c r="I115" s="82" t="str">
        <f>IF(A115="","Pending",IF(H115="","⚠️ Enter Agent Code",IF(IFERROR(VLOOKUP(G115,DB_Agents!$B:$I,8,0),"")=H115,IF(AND(A115&lt;&gt;"",E115&lt;&gt;""),"Saved","Pending"),"🔒 BLOCKED — Wrong Code")))</f>
        <v>Pending</v>
      </c>
      <c r="J115" s="83" t="str">
        <f t="shared" ca="1" si="11"/>
        <v>—</v>
      </c>
      <c r="K115" s="84"/>
    </row>
    <row r="116" spans="1:11" ht="15" customHeight="1" x14ac:dyDescent="0.25">
      <c r="A116" s="85"/>
      <c r="B116" s="41" t="str">
        <f>IF(A116="","",IFERROR(VLOOKUP(A116,DB_Customers!$A:$D,4,0),"❌ Account Not Found"))</f>
        <v/>
      </c>
      <c r="C116" s="86" t="str">
        <f>IF(A116="","",IFERROR(IF(SUMIF(DB_Savings!$C:$C,A116,DB_Savings!$F:$F)=0,VLOOKUP(A116,DB_Customers!$A:$I,9,0),VLOOKUP(A116,DB_Customers!$A:$N,14,0)),"❌ Acct Not Found"))</f>
        <v/>
      </c>
      <c r="D116" s="87" t="str">
        <f t="shared" ca="1" si="9"/>
        <v/>
      </c>
      <c r="E116" s="79"/>
      <c r="F116" s="88" t="str">
        <f t="shared" si="10"/>
        <v/>
      </c>
      <c r="G116" s="43" t="s">
        <v>141</v>
      </c>
      <c r="H116" s="81"/>
      <c r="I116" s="89" t="str">
        <f>IF(A116="","Pending",IF(H116="","⚠️ Enter Agent Code",IF(IFERROR(VLOOKUP(G116,DB_Agents!$B:$I,8,0),"")=H116,IF(AND(A116&lt;&gt;"",E116&lt;&gt;""),"Saved","Pending"),"🔒 BLOCKED — Wrong Code")))</f>
        <v>Pending</v>
      </c>
      <c r="J116" s="90" t="str">
        <f t="shared" ca="1" si="11"/>
        <v>—</v>
      </c>
      <c r="K116" s="91"/>
    </row>
    <row r="117" spans="1:11" ht="15" customHeight="1" x14ac:dyDescent="0.25">
      <c r="A117" s="76"/>
      <c r="B117" s="37" t="str">
        <f>IF(A117="","",IFERROR(VLOOKUP(A117,DB_Customers!$A:$D,4,0),"❌ Account Not Found"))</f>
        <v/>
      </c>
      <c r="C117" s="77" t="str">
        <f>IF(A117="","",IFERROR(IF(SUMIF(DB_Savings!$C:$C,A117,DB_Savings!$F:$F)=0,VLOOKUP(A117,DB_Customers!$A:$I,9,0),VLOOKUP(A117,DB_Customers!$A:$N,14,0)),"❌ Acct Not Found"))</f>
        <v/>
      </c>
      <c r="D117" s="78" t="str">
        <f t="shared" ca="1" si="9"/>
        <v/>
      </c>
      <c r="E117" s="79"/>
      <c r="F117" s="80" t="str">
        <f t="shared" si="10"/>
        <v/>
      </c>
      <c r="G117" s="39" t="s">
        <v>141</v>
      </c>
      <c r="H117" s="81"/>
      <c r="I117" s="82" t="str">
        <f>IF(A117="","Pending",IF(H117="","⚠️ Enter Agent Code",IF(IFERROR(VLOOKUP(G117,DB_Agents!$B:$I,8,0),"")=H117,IF(AND(A117&lt;&gt;"",E117&lt;&gt;""),"Saved","Pending"),"🔒 BLOCKED — Wrong Code")))</f>
        <v>Pending</v>
      </c>
      <c r="J117" s="83" t="str">
        <f t="shared" ca="1" si="11"/>
        <v>—</v>
      </c>
      <c r="K117" s="84"/>
    </row>
    <row r="118" spans="1:11" ht="15" customHeight="1" x14ac:dyDescent="0.25">
      <c r="A118" s="85"/>
      <c r="B118" s="41" t="str">
        <f>IF(A118="","",IFERROR(VLOOKUP(A118,DB_Customers!$A:$D,4,0),"❌ Account Not Found"))</f>
        <v/>
      </c>
      <c r="C118" s="86" t="str">
        <f>IF(A118="","",IFERROR(IF(SUMIF(DB_Savings!$C:$C,A118,DB_Savings!$F:$F)=0,VLOOKUP(A118,DB_Customers!$A:$I,9,0),VLOOKUP(A118,DB_Customers!$A:$N,14,0)),"❌ Acct Not Found"))</f>
        <v/>
      </c>
      <c r="D118" s="87" t="str">
        <f t="shared" ca="1" si="9"/>
        <v/>
      </c>
      <c r="E118" s="79"/>
      <c r="F118" s="88" t="str">
        <f t="shared" si="10"/>
        <v/>
      </c>
      <c r="G118" s="43" t="s">
        <v>141</v>
      </c>
      <c r="H118" s="81"/>
      <c r="I118" s="89" t="str">
        <f>IF(A118="","Pending",IF(H118="","⚠️ Enter Agent Code",IF(IFERROR(VLOOKUP(G118,DB_Agents!$B:$I,8,0),"")=H118,IF(AND(A118&lt;&gt;"",E118&lt;&gt;""),"Saved","Pending"),"🔒 BLOCKED — Wrong Code")))</f>
        <v>Pending</v>
      </c>
      <c r="J118" s="90" t="str">
        <f t="shared" ca="1" si="11"/>
        <v>—</v>
      </c>
      <c r="K118" s="91"/>
    </row>
    <row r="119" spans="1:11" ht="15" customHeight="1" x14ac:dyDescent="0.25">
      <c r="A119" s="76"/>
      <c r="B119" s="37" t="str">
        <f>IF(A119="","",IFERROR(VLOOKUP(A119,DB_Customers!$A:$D,4,0),"❌ Account Not Found"))</f>
        <v/>
      </c>
      <c r="C119" s="77" t="str">
        <f>IF(A119="","",IFERROR(IF(SUMIF(DB_Savings!$C:$C,A119,DB_Savings!$F:$F)=0,VLOOKUP(A119,DB_Customers!$A:$I,9,0),VLOOKUP(A119,DB_Customers!$A:$N,14,0)),"❌ Acct Not Found"))</f>
        <v/>
      </c>
      <c r="D119" s="78" t="str">
        <f t="shared" ca="1" si="9"/>
        <v/>
      </c>
      <c r="E119" s="79"/>
      <c r="F119" s="80" t="str">
        <f t="shared" si="10"/>
        <v/>
      </c>
      <c r="G119" s="39" t="s">
        <v>141</v>
      </c>
      <c r="H119" s="81"/>
      <c r="I119" s="82" t="str">
        <f>IF(A119="","Pending",IF(H119="","⚠️ Enter Agent Code",IF(IFERROR(VLOOKUP(G119,DB_Agents!$B:$I,8,0),"")=H119,IF(AND(A119&lt;&gt;"",E119&lt;&gt;""),"Saved","Pending"),"🔒 BLOCKED — Wrong Code")))</f>
        <v>Pending</v>
      </c>
      <c r="J119" s="83" t="str">
        <f t="shared" ca="1" si="11"/>
        <v>—</v>
      </c>
      <c r="K119" s="84"/>
    </row>
    <row r="120" spans="1:11" ht="15" customHeight="1" x14ac:dyDescent="0.25">
      <c r="A120" s="85"/>
      <c r="B120" s="41" t="str">
        <f>IF(A120="","",IFERROR(VLOOKUP(A120,DB_Customers!$A:$D,4,0),"❌ Account Not Found"))</f>
        <v/>
      </c>
      <c r="C120" s="86" t="str">
        <f>IF(A120="","",IFERROR(IF(SUMIF(DB_Savings!$C:$C,A120,DB_Savings!$F:$F)=0,VLOOKUP(A120,DB_Customers!$A:$I,9,0),VLOOKUP(A120,DB_Customers!$A:$N,14,0)),"❌ Acct Not Found"))</f>
        <v/>
      </c>
      <c r="D120" s="87" t="str">
        <f t="shared" ca="1" si="9"/>
        <v/>
      </c>
      <c r="E120" s="79"/>
      <c r="F120" s="88" t="str">
        <f t="shared" si="10"/>
        <v/>
      </c>
      <c r="G120" s="43" t="s">
        <v>141</v>
      </c>
      <c r="H120" s="81"/>
      <c r="I120" s="89" t="str">
        <f>IF(A120="","Pending",IF(H120="","⚠️ Enter Agent Code",IF(IFERROR(VLOOKUP(G120,DB_Agents!$B:$I,8,0),"")=H120,IF(AND(A120&lt;&gt;"",E120&lt;&gt;""),"Saved","Pending"),"🔒 BLOCKED — Wrong Code")))</f>
        <v>Pending</v>
      </c>
      <c r="J120" s="90" t="str">
        <f t="shared" ca="1" si="11"/>
        <v>—</v>
      </c>
      <c r="K120" s="91"/>
    </row>
    <row r="121" spans="1:11" ht="15" customHeight="1" x14ac:dyDescent="0.25">
      <c r="A121" s="76"/>
      <c r="B121" s="37" t="str">
        <f>IF(A121="","",IFERROR(VLOOKUP(A121,DB_Customers!$A:$D,4,0),"❌ Account Not Found"))</f>
        <v/>
      </c>
      <c r="C121" s="77" t="str">
        <f>IF(A121="","",IFERROR(IF(SUMIF(DB_Savings!$C:$C,A121,DB_Savings!$F:$F)=0,VLOOKUP(A121,DB_Customers!$A:$I,9,0),VLOOKUP(A121,DB_Customers!$A:$N,14,0)),"❌ Acct Not Found"))</f>
        <v/>
      </c>
      <c r="D121" s="78" t="str">
        <f t="shared" ca="1" si="9"/>
        <v/>
      </c>
      <c r="E121" s="79"/>
      <c r="F121" s="80" t="str">
        <f t="shared" si="10"/>
        <v/>
      </c>
      <c r="G121" s="39" t="s">
        <v>141</v>
      </c>
      <c r="H121" s="81"/>
      <c r="I121" s="82" t="str">
        <f>IF(A121="","Pending",IF(H121="","⚠️ Enter Agent Code",IF(IFERROR(VLOOKUP(G121,DB_Agents!$B:$I,8,0),"")=H121,IF(AND(A121&lt;&gt;"",E121&lt;&gt;""),"Saved","Pending"),"🔒 BLOCKED — Wrong Code")))</f>
        <v>Pending</v>
      </c>
      <c r="J121" s="83" t="str">
        <f t="shared" ca="1" si="11"/>
        <v>—</v>
      </c>
      <c r="K121" s="84"/>
    </row>
    <row r="122" spans="1:11" ht="15" customHeight="1" x14ac:dyDescent="0.25">
      <c r="A122" s="85"/>
      <c r="B122" s="41" t="str">
        <f>IF(A122="","",IFERROR(VLOOKUP(A122,DB_Customers!$A:$D,4,0),"❌ Account Not Found"))</f>
        <v/>
      </c>
      <c r="C122" s="86" t="str">
        <f>IF(A122="","",IFERROR(IF(SUMIF(DB_Savings!$C:$C,A122,DB_Savings!$F:$F)=0,VLOOKUP(A122,DB_Customers!$A:$I,9,0),VLOOKUP(A122,DB_Customers!$A:$N,14,0)),"❌ Acct Not Found"))</f>
        <v/>
      </c>
      <c r="D122" s="87" t="str">
        <f t="shared" ca="1" si="9"/>
        <v/>
      </c>
      <c r="E122" s="79"/>
      <c r="F122" s="88" t="str">
        <f t="shared" si="10"/>
        <v/>
      </c>
      <c r="G122" s="43" t="s">
        <v>141</v>
      </c>
      <c r="H122" s="81"/>
      <c r="I122" s="89" t="str">
        <f>IF(A122="","Pending",IF(H122="","⚠️ Enter Agent Code",IF(IFERROR(VLOOKUP(G122,DB_Agents!$B:$I,8,0),"")=H122,IF(AND(A122&lt;&gt;"",E122&lt;&gt;""),"Saved","Pending"),"🔒 BLOCKED — Wrong Code")))</f>
        <v>Pending</v>
      </c>
      <c r="J122" s="90" t="str">
        <f t="shared" ca="1" si="11"/>
        <v>—</v>
      </c>
      <c r="K122" s="91"/>
    </row>
    <row r="123" spans="1:11" ht="15" customHeight="1" x14ac:dyDescent="0.25">
      <c r="A123" s="76"/>
      <c r="B123" s="37" t="str">
        <f>IF(A123="","",IFERROR(VLOOKUP(A123,DB_Customers!$A:$D,4,0),"❌ Account Not Found"))</f>
        <v/>
      </c>
      <c r="C123" s="77" t="str">
        <f>IF(A123="","",IFERROR(IF(SUMIF(DB_Savings!$C:$C,A123,DB_Savings!$F:$F)=0,VLOOKUP(A123,DB_Customers!$A:$I,9,0),VLOOKUP(A123,DB_Customers!$A:$N,14,0)),"❌ Acct Not Found"))</f>
        <v/>
      </c>
      <c r="D123" s="78" t="str">
        <f t="shared" ca="1" si="9"/>
        <v/>
      </c>
      <c r="E123" s="79"/>
      <c r="F123" s="80" t="str">
        <f t="shared" si="10"/>
        <v/>
      </c>
      <c r="G123" s="39" t="s">
        <v>141</v>
      </c>
      <c r="H123" s="81"/>
      <c r="I123" s="82" t="str">
        <f>IF(A123="","Pending",IF(H123="","⚠️ Enter Agent Code",IF(IFERROR(VLOOKUP(G123,DB_Agents!$B:$I,8,0),"")=H123,IF(AND(A123&lt;&gt;"",E123&lt;&gt;""),"Saved","Pending"),"🔒 BLOCKED — Wrong Code")))</f>
        <v>Pending</v>
      </c>
      <c r="J123" s="83" t="str">
        <f t="shared" ca="1" si="11"/>
        <v>—</v>
      </c>
      <c r="K123" s="84"/>
    </row>
    <row r="124" spans="1:11" ht="15" customHeight="1" x14ac:dyDescent="0.25">
      <c r="A124" s="85"/>
      <c r="B124" s="41" t="str">
        <f>IF(A124="","",IFERROR(VLOOKUP(A124,DB_Customers!$A:$D,4,0),"❌ Account Not Found"))</f>
        <v/>
      </c>
      <c r="C124" s="86" t="str">
        <f>IF(A124="","",IFERROR(IF(SUMIF(DB_Savings!$C:$C,A124,DB_Savings!$F:$F)=0,VLOOKUP(A124,DB_Customers!$A:$I,9,0),VLOOKUP(A124,DB_Customers!$A:$N,14,0)),"❌ Acct Not Found"))</f>
        <v/>
      </c>
      <c r="D124" s="87" t="str">
        <f t="shared" ca="1" si="9"/>
        <v/>
      </c>
      <c r="E124" s="79"/>
      <c r="F124" s="88" t="str">
        <f t="shared" si="10"/>
        <v/>
      </c>
      <c r="G124" s="43" t="s">
        <v>141</v>
      </c>
      <c r="H124" s="81"/>
      <c r="I124" s="89" t="str">
        <f>IF(A124="","Pending",IF(H124="","⚠️ Enter Agent Code",IF(IFERROR(VLOOKUP(G124,DB_Agents!$B:$I,8,0),"")=H124,IF(AND(A124&lt;&gt;"",E124&lt;&gt;""),"Saved","Pending"),"🔒 BLOCKED — Wrong Code")))</f>
        <v>Pending</v>
      </c>
      <c r="J124" s="90" t="str">
        <f t="shared" ca="1" si="11"/>
        <v>—</v>
      </c>
      <c r="K124" s="91"/>
    </row>
    <row r="125" spans="1:11" ht="15" customHeight="1" x14ac:dyDescent="0.25">
      <c r="A125" s="76"/>
      <c r="B125" s="37" t="str">
        <f>IF(A125="","",IFERROR(VLOOKUP(A125,DB_Customers!$A:$D,4,0),"❌ Account Not Found"))</f>
        <v/>
      </c>
      <c r="C125" s="77" t="str">
        <f>IF(A125="","",IFERROR(IF(SUMIF(DB_Savings!$C:$C,A125,DB_Savings!$F:$F)=0,VLOOKUP(A125,DB_Customers!$A:$I,9,0),VLOOKUP(A125,DB_Customers!$A:$N,14,0)),"❌ Acct Not Found"))</f>
        <v/>
      </c>
      <c r="D125" s="78" t="str">
        <f t="shared" ca="1" si="9"/>
        <v/>
      </c>
      <c r="E125" s="79"/>
      <c r="F125" s="80" t="str">
        <f t="shared" si="10"/>
        <v/>
      </c>
      <c r="G125" s="39" t="s">
        <v>141</v>
      </c>
      <c r="H125" s="81"/>
      <c r="I125" s="82" t="str">
        <f>IF(A125="","Pending",IF(H125="","⚠️ Enter Agent Code",IF(IFERROR(VLOOKUP(G125,DB_Agents!$B:$I,8,0),"")=H125,IF(AND(A125&lt;&gt;"",E125&lt;&gt;""),"Saved","Pending"),"🔒 BLOCKED — Wrong Code")))</f>
        <v>Pending</v>
      </c>
      <c r="J125" s="83" t="str">
        <f t="shared" ca="1" si="11"/>
        <v>—</v>
      </c>
      <c r="K125" s="84"/>
    </row>
    <row r="126" spans="1:11" ht="15" customHeight="1" x14ac:dyDescent="0.25">
      <c r="A126" s="85"/>
      <c r="B126" s="41" t="str">
        <f>IF(A126="","",IFERROR(VLOOKUP(A126,DB_Customers!$A:$D,4,0),"❌ Account Not Found"))</f>
        <v/>
      </c>
      <c r="C126" s="86" t="str">
        <f>IF(A126="","",IFERROR(IF(SUMIF(DB_Savings!$C:$C,A126,DB_Savings!$F:$F)=0,VLOOKUP(A126,DB_Customers!$A:$I,9,0),VLOOKUP(A126,DB_Customers!$A:$N,14,0)),"❌ Acct Not Found"))</f>
        <v/>
      </c>
      <c r="D126" s="87" t="str">
        <f t="shared" ca="1" si="9"/>
        <v/>
      </c>
      <c r="E126" s="79"/>
      <c r="F126" s="88" t="str">
        <f t="shared" si="10"/>
        <v/>
      </c>
      <c r="G126" s="43" t="s">
        <v>141</v>
      </c>
      <c r="H126" s="81"/>
      <c r="I126" s="89" t="str">
        <f>IF(A126="","Pending",IF(H126="","⚠️ Enter Agent Code",IF(IFERROR(VLOOKUP(G126,DB_Agents!$B:$I,8,0),"")=H126,IF(AND(A126&lt;&gt;"",E126&lt;&gt;""),"Saved","Pending"),"🔒 BLOCKED — Wrong Code")))</f>
        <v>Pending</v>
      </c>
      <c r="J126" s="90" t="str">
        <f t="shared" ca="1" si="11"/>
        <v>—</v>
      </c>
      <c r="K126" s="91"/>
    </row>
    <row r="127" spans="1:11" ht="15" customHeight="1" x14ac:dyDescent="0.25">
      <c r="A127" s="76"/>
      <c r="B127" s="37" t="str">
        <f>IF(A127="","",IFERROR(VLOOKUP(A127,DB_Customers!$A:$D,4,0),"❌ Account Not Found"))</f>
        <v/>
      </c>
      <c r="C127" s="77" t="str">
        <f>IF(A127="","",IFERROR(IF(SUMIF(DB_Savings!$C:$C,A127,DB_Savings!$F:$F)=0,VLOOKUP(A127,DB_Customers!$A:$I,9,0),VLOOKUP(A127,DB_Customers!$A:$N,14,0)),"❌ Acct Not Found"))</f>
        <v/>
      </c>
      <c r="D127" s="78" t="str">
        <f t="shared" ca="1" si="9"/>
        <v/>
      </c>
      <c r="E127" s="79"/>
      <c r="F127" s="80" t="str">
        <f t="shared" si="10"/>
        <v/>
      </c>
      <c r="G127" s="39" t="s">
        <v>141</v>
      </c>
      <c r="H127" s="81"/>
      <c r="I127" s="82" t="str">
        <f>IF(A127="","Pending",IF(H127="","⚠️ Enter Agent Code",IF(IFERROR(VLOOKUP(G127,DB_Agents!$B:$I,8,0),"")=H127,IF(AND(A127&lt;&gt;"",E127&lt;&gt;""),"Saved","Pending"),"🔒 BLOCKED — Wrong Code")))</f>
        <v>Pending</v>
      </c>
      <c r="J127" s="83" t="str">
        <f t="shared" ca="1" si="11"/>
        <v>—</v>
      </c>
      <c r="K127" s="84"/>
    </row>
    <row r="128" spans="1:11" ht="15" customHeight="1" x14ac:dyDescent="0.25">
      <c r="A128" s="85"/>
      <c r="B128" s="41" t="str">
        <f>IF(A128="","",IFERROR(VLOOKUP(A128,DB_Customers!$A:$D,4,0),"❌ Account Not Found"))</f>
        <v/>
      </c>
      <c r="C128" s="86" t="str">
        <f>IF(A128="","",IFERROR(IF(SUMIF(DB_Savings!$C:$C,A128,DB_Savings!$F:$F)=0,VLOOKUP(A128,DB_Customers!$A:$I,9,0),VLOOKUP(A128,DB_Customers!$A:$N,14,0)),"❌ Acct Not Found"))</f>
        <v/>
      </c>
      <c r="D128" s="87" t="str">
        <f t="shared" ca="1" si="9"/>
        <v/>
      </c>
      <c r="E128" s="79"/>
      <c r="F128" s="88" t="str">
        <f t="shared" si="10"/>
        <v/>
      </c>
      <c r="G128" s="43" t="s">
        <v>141</v>
      </c>
      <c r="H128" s="81"/>
      <c r="I128" s="89" t="str">
        <f>IF(A128="","Pending",IF(H128="","⚠️ Enter Agent Code",IF(IFERROR(VLOOKUP(G128,DB_Agents!$B:$I,8,0),"")=H128,IF(AND(A128&lt;&gt;"",E128&lt;&gt;""),"Saved","Pending"),"🔒 BLOCKED — Wrong Code")))</f>
        <v>Pending</v>
      </c>
      <c r="J128" s="90" t="str">
        <f t="shared" ca="1" si="11"/>
        <v>—</v>
      </c>
      <c r="K128" s="91"/>
    </row>
    <row r="129" spans="1:11" ht="15" customHeight="1" x14ac:dyDescent="0.25">
      <c r="A129" s="76"/>
      <c r="B129" s="37" t="str">
        <f>IF(A129="","",IFERROR(VLOOKUP(A129,DB_Customers!$A:$D,4,0),"❌ Account Not Found"))</f>
        <v/>
      </c>
      <c r="C129" s="77" t="str">
        <f>IF(A129="","",IFERROR(IF(SUMIF(DB_Savings!$C:$C,A129,DB_Savings!$F:$F)=0,VLOOKUP(A129,DB_Customers!$A:$I,9,0),VLOOKUP(A129,DB_Customers!$A:$N,14,0)),"❌ Acct Not Found"))</f>
        <v/>
      </c>
      <c r="D129" s="78" t="str">
        <f t="shared" ca="1" si="9"/>
        <v/>
      </c>
      <c r="E129" s="79"/>
      <c r="F129" s="80" t="str">
        <f t="shared" si="10"/>
        <v/>
      </c>
      <c r="G129" s="39" t="s">
        <v>141</v>
      </c>
      <c r="H129" s="81"/>
      <c r="I129" s="82" t="str">
        <f>IF(A129="","Pending",IF(H129="","⚠️ Enter Agent Code",IF(IFERROR(VLOOKUP(G129,DB_Agents!$B:$I,8,0),"")=H129,IF(AND(A129&lt;&gt;"",E129&lt;&gt;""),"Saved","Pending"),"🔒 BLOCKED — Wrong Code")))</f>
        <v>Pending</v>
      </c>
      <c r="J129" s="83" t="str">
        <f t="shared" ca="1" si="11"/>
        <v>—</v>
      </c>
      <c r="K129" s="84"/>
    </row>
    <row r="130" spans="1:11" ht="15" customHeight="1" x14ac:dyDescent="0.25">
      <c r="A130" s="85"/>
      <c r="B130" s="41" t="str">
        <f>IF(A130="","",IFERROR(VLOOKUP(A130,DB_Customers!$A:$D,4,0),"❌ Account Not Found"))</f>
        <v/>
      </c>
      <c r="C130" s="86" t="str">
        <f>IF(A130="","",IFERROR(IF(SUMIF(DB_Savings!$C:$C,A130,DB_Savings!$F:$F)=0,VLOOKUP(A130,DB_Customers!$A:$I,9,0),VLOOKUP(A130,DB_Customers!$A:$N,14,0)),"❌ Acct Not Found"))</f>
        <v/>
      </c>
      <c r="D130" s="87" t="str">
        <f t="shared" ca="1" si="9"/>
        <v/>
      </c>
      <c r="E130" s="79"/>
      <c r="F130" s="88" t="str">
        <f t="shared" si="10"/>
        <v/>
      </c>
      <c r="G130" s="43" t="s">
        <v>141</v>
      </c>
      <c r="H130" s="81"/>
      <c r="I130" s="89" t="str">
        <f>IF(A130="","Pending",IF(H130="","⚠️ Enter Agent Code",IF(IFERROR(VLOOKUP(G130,DB_Agents!$B:$I,8,0),"")=H130,IF(AND(A130&lt;&gt;"",E130&lt;&gt;""),"Saved","Pending"),"🔒 BLOCKED — Wrong Code")))</f>
        <v>Pending</v>
      </c>
      <c r="J130" s="90" t="str">
        <f t="shared" ca="1" si="11"/>
        <v>—</v>
      </c>
      <c r="K130" s="91"/>
    </row>
    <row r="131" spans="1:11" ht="15" customHeight="1" x14ac:dyDescent="0.25">
      <c r="A131" s="76"/>
      <c r="B131" s="37" t="str">
        <f>IF(A131="","",IFERROR(VLOOKUP(A131,DB_Customers!$A:$D,4,0),"❌ Account Not Found"))</f>
        <v/>
      </c>
      <c r="C131" s="77" t="str">
        <f>IF(A131="","",IFERROR(IF(SUMIF(DB_Savings!$C:$C,A131,DB_Savings!$F:$F)=0,VLOOKUP(A131,DB_Customers!$A:$I,9,0),VLOOKUP(A131,DB_Customers!$A:$N,14,0)),"❌ Acct Not Found"))</f>
        <v/>
      </c>
      <c r="D131" s="78" t="str">
        <f t="shared" ca="1" si="9"/>
        <v/>
      </c>
      <c r="E131" s="79"/>
      <c r="F131" s="80" t="str">
        <f t="shared" si="10"/>
        <v/>
      </c>
      <c r="G131" s="39" t="s">
        <v>141</v>
      </c>
      <c r="H131" s="81"/>
      <c r="I131" s="82" t="str">
        <f>IF(A131="","Pending",IF(H131="","⚠️ Enter Agent Code",IF(IFERROR(VLOOKUP(G131,DB_Agents!$B:$I,8,0),"")=H131,IF(AND(A131&lt;&gt;"",E131&lt;&gt;""),"Saved","Pending"),"🔒 BLOCKED — Wrong Code")))</f>
        <v>Pending</v>
      </c>
      <c r="J131" s="83" t="str">
        <f t="shared" ca="1" si="11"/>
        <v>—</v>
      </c>
      <c r="K131" s="84"/>
    </row>
    <row r="132" spans="1:11" ht="15" customHeight="1" x14ac:dyDescent="0.25">
      <c r="A132" s="85"/>
      <c r="B132" s="41" t="str">
        <f>IF(A132="","",IFERROR(VLOOKUP(A132,DB_Customers!$A:$D,4,0),"❌ Account Not Found"))</f>
        <v/>
      </c>
      <c r="C132" s="86" t="str">
        <f>IF(A132="","",IFERROR(IF(SUMIF(DB_Savings!$C:$C,A132,DB_Savings!$F:$F)=0,VLOOKUP(A132,DB_Customers!$A:$I,9,0),VLOOKUP(A132,DB_Customers!$A:$N,14,0)),"❌ Acct Not Found"))</f>
        <v/>
      </c>
      <c r="D132" s="87" t="str">
        <f t="shared" ca="1" si="9"/>
        <v/>
      </c>
      <c r="E132" s="79"/>
      <c r="F132" s="88" t="str">
        <f t="shared" si="10"/>
        <v/>
      </c>
      <c r="G132" s="43" t="s">
        <v>141</v>
      </c>
      <c r="H132" s="81"/>
      <c r="I132" s="89" t="str">
        <f>IF(A132="","Pending",IF(H132="","⚠️ Enter Agent Code",IF(IFERROR(VLOOKUP(G132,DB_Agents!$B:$I,8,0),"")=H132,IF(AND(A132&lt;&gt;"",E132&lt;&gt;""),"Saved","Pending"),"🔒 BLOCKED — Wrong Code")))</f>
        <v>Pending</v>
      </c>
      <c r="J132" s="90" t="str">
        <f t="shared" ca="1" si="11"/>
        <v>—</v>
      </c>
      <c r="K132" s="91"/>
    </row>
    <row r="133" spans="1:11" ht="15" customHeight="1" x14ac:dyDescent="0.25">
      <c r="A133" s="76"/>
      <c r="B133" s="37" t="str">
        <f>IF(A133="","",IFERROR(VLOOKUP(A133,DB_Customers!$A:$D,4,0),"❌ Account Not Found"))</f>
        <v/>
      </c>
      <c r="C133" s="77" t="str">
        <f>IF(A133="","",IFERROR(IF(SUMIF(DB_Savings!$C:$C,A133,DB_Savings!$F:$F)=0,VLOOKUP(A133,DB_Customers!$A:$I,9,0),VLOOKUP(A133,DB_Customers!$A:$N,14,0)),"❌ Acct Not Found"))</f>
        <v/>
      </c>
      <c r="D133" s="78" t="str">
        <f t="shared" ca="1" si="9"/>
        <v/>
      </c>
      <c r="E133" s="79"/>
      <c r="F133" s="80" t="str">
        <f t="shared" si="10"/>
        <v/>
      </c>
      <c r="G133" s="39" t="s">
        <v>141</v>
      </c>
      <c r="H133" s="81"/>
      <c r="I133" s="82" t="str">
        <f>IF(A133="","Pending",IF(H133="","⚠️ Enter Agent Code",IF(IFERROR(VLOOKUP(G133,DB_Agents!$B:$I,8,0),"")=H133,IF(AND(A133&lt;&gt;"",E133&lt;&gt;""),"Saved","Pending"),"🔒 BLOCKED — Wrong Code")))</f>
        <v>Pending</v>
      </c>
      <c r="J133" s="83" t="str">
        <f t="shared" ca="1" si="11"/>
        <v>—</v>
      </c>
      <c r="K133" s="84"/>
    </row>
    <row r="134" spans="1:11" ht="15" customHeight="1" x14ac:dyDescent="0.25">
      <c r="A134" s="85"/>
      <c r="B134" s="41" t="str">
        <f>IF(A134="","",IFERROR(VLOOKUP(A134,DB_Customers!$A:$D,4,0),"❌ Account Not Found"))</f>
        <v/>
      </c>
      <c r="C134" s="86" t="str">
        <f>IF(A134="","",IFERROR(IF(SUMIF(DB_Savings!$C:$C,A134,DB_Savings!$F:$F)=0,VLOOKUP(A134,DB_Customers!$A:$I,9,0),VLOOKUP(A134,DB_Customers!$A:$N,14,0)),"❌ Acct Not Found"))</f>
        <v/>
      </c>
      <c r="D134" s="87" t="str">
        <f t="shared" ca="1" si="9"/>
        <v/>
      </c>
      <c r="E134" s="79"/>
      <c r="F134" s="88" t="str">
        <f t="shared" si="10"/>
        <v/>
      </c>
      <c r="G134" s="43" t="s">
        <v>141</v>
      </c>
      <c r="H134" s="81"/>
      <c r="I134" s="89" t="str">
        <f>IF(A134="","Pending",IF(H134="","⚠️ Enter Agent Code",IF(IFERROR(VLOOKUP(G134,DB_Agents!$B:$I,8,0),"")=H134,IF(AND(A134&lt;&gt;"",E134&lt;&gt;""),"Saved","Pending"),"🔒 BLOCKED — Wrong Code")))</f>
        <v>Pending</v>
      </c>
      <c r="J134" s="90" t="str">
        <f t="shared" ca="1" si="11"/>
        <v>—</v>
      </c>
      <c r="K134" s="91"/>
    </row>
    <row r="135" spans="1:11" ht="15" customHeight="1" x14ac:dyDescent="0.25">
      <c r="A135" s="76"/>
      <c r="B135" s="37" t="str">
        <f>IF(A135="","",IFERROR(VLOOKUP(A135,DB_Customers!$A:$D,4,0),"❌ Account Not Found"))</f>
        <v/>
      </c>
      <c r="C135" s="77" t="str">
        <f>IF(A135="","",IFERROR(IF(SUMIF(DB_Savings!$C:$C,A135,DB_Savings!$F:$F)=0,VLOOKUP(A135,DB_Customers!$A:$I,9,0),VLOOKUP(A135,DB_Customers!$A:$N,14,0)),"❌ Acct Not Found"))</f>
        <v/>
      </c>
      <c r="D135" s="78" t="str">
        <f t="shared" ca="1" si="9"/>
        <v/>
      </c>
      <c r="E135" s="79"/>
      <c r="F135" s="80" t="str">
        <f t="shared" si="10"/>
        <v/>
      </c>
      <c r="G135" s="39" t="s">
        <v>141</v>
      </c>
      <c r="H135" s="81"/>
      <c r="I135" s="82" t="str">
        <f>IF(A135="","Pending",IF(H135="","⚠️ Enter Agent Code",IF(IFERROR(VLOOKUP(G135,DB_Agents!$B:$I,8,0),"")=H135,IF(AND(A135&lt;&gt;"",E135&lt;&gt;""),"Saved","Pending"),"🔒 BLOCKED — Wrong Code")))</f>
        <v>Pending</v>
      </c>
      <c r="J135" s="83" t="str">
        <f t="shared" ca="1" si="11"/>
        <v>—</v>
      </c>
      <c r="K135" s="84"/>
    </row>
    <row r="136" spans="1:11" ht="15" customHeight="1" x14ac:dyDescent="0.25">
      <c r="A136" s="85"/>
      <c r="B136" s="41" t="str">
        <f>IF(A136="","",IFERROR(VLOOKUP(A136,DB_Customers!$A:$D,4,0),"❌ Account Not Found"))</f>
        <v/>
      </c>
      <c r="C136" s="86" t="str">
        <f>IF(A136="","",IFERROR(IF(SUMIF(DB_Savings!$C:$C,A136,DB_Savings!$F:$F)=0,VLOOKUP(A136,DB_Customers!$A:$I,9,0),VLOOKUP(A136,DB_Customers!$A:$N,14,0)),"❌ Acct Not Found"))</f>
        <v/>
      </c>
      <c r="D136" s="87" t="str">
        <f t="shared" ca="1" si="9"/>
        <v/>
      </c>
      <c r="E136" s="79"/>
      <c r="F136" s="88" t="str">
        <f t="shared" si="10"/>
        <v/>
      </c>
      <c r="G136" s="43" t="s">
        <v>141</v>
      </c>
      <c r="H136" s="81"/>
      <c r="I136" s="89" t="str">
        <f>IF(A136="","Pending",IF(H136="","⚠️ Enter Agent Code",IF(IFERROR(VLOOKUP(G136,DB_Agents!$B:$I,8,0),"")=H136,IF(AND(A136&lt;&gt;"",E136&lt;&gt;""),"Saved","Pending"),"🔒 BLOCKED — Wrong Code")))</f>
        <v>Pending</v>
      </c>
      <c r="J136" s="90" t="str">
        <f t="shared" ca="1" si="11"/>
        <v>—</v>
      </c>
      <c r="K136" s="91"/>
    </row>
    <row r="137" spans="1:11" ht="15" customHeight="1" x14ac:dyDescent="0.25">
      <c r="A137" s="76"/>
      <c r="B137" s="37" t="str">
        <f>IF(A137="","",IFERROR(VLOOKUP(A137,DB_Customers!$A:$D,4,0),"❌ Account Not Found"))</f>
        <v/>
      </c>
      <c r="C137" s="77" t="str">
        <f>IF(A137="","",IFERROR(IF(SUMIF(DB_Savings!$C:$C,A137,DB_Savings!$F:$F)=0,VLOOKUP(A137,DB_Customers!$A:$I,9,0),VLOOKUP(A137,DB_Customers!$A:$N,14,0)),"❌ Acct Not Found"))</f>
        <v/>
      </c>
      <c r="D137" s="78" t="str">
        <f t="shared" ref="D137:D168" ca="1" si="12">IF(A137="","",TODAY())</f>
        <v/>
      </c>
      <c r="E137" s="79"/>
      <c r="F137" s="80" t="str">
        <f t="shared" ref="F137:F168" si="13">IF(OR(A137="",E137=""),"",IF(C137="","",C137+E137))</f>
        <v/>
      </c>
      <c r="G137" s="39" t="s">
        <v>141</v>
      </c>
      <c r="H137" s="81"/>
      <c r="I137" s="82" t="str">
        <f>IF(A137="","Pending",IF(H137="","⚠️ Enter Agent Code",IF(IFERROR(VLOOKUP(G137,DB_Agents!$B:$I,8,0),"")=H137,IF(AND(A137&lt;&gt;"",E137&lt;&gt;""),"Saved","Pending"),"🔒 BLOCKED — Wrong Code")))</f>
        <v>Pending</v>
      </c>
      <c r="J137" s="83" t="str">
        <f t="shared" ref="J137:J168" ca="1" si="14">IF(I137="Saved",TEXT(TODAY(),"YYYY-MM-DD")&amp;" Auto","—")</f>
        <v>—</v>
      </c>
      <c r="K137" s="84"/>
    </row>
    <row r="138" spans="1:11" ht="15" customHeight="1" x14ac:dyDescent="0.25">
      <c r="A138" s="85"/>
      <c r="B138" s="41" t="str">
        <f>IF(A138="","",IFERROR(VLOOKUP(A138,DB_Customers!$A:$D,4,0),"❌ Account Not Found"))</f>
        <v/>
      </c>
      <c r="C138" s="86" t="str">
        <f>IF(A138="","",IFERROR(IF(SUMIF(DB_Savings!$C:$C,A138,DB_Savings!$F:$F)=0,VLOOKUP(A138,DB_Customers!$A:$I,9,0),VLOOKUP(A138,DB_Customers!$A:$N,14,0)),"❌ Acct Not Found"))</f>
        <v/>
      </c>
      <c r="D138" s="87" t="str">
        <f t="shared" ca="1" si="12"/>
        <v/>
      </c>
      <c r="E138" s="79"/>
      <c r="F138" s="88" t="str">
        <f t="shared" si="13"/>
        <v/>
      </c>
      <c r="G138" s="43" t="s">
        <v>141</v>
      </c>
      <c r="H138" s="81"/>
      <c r="I138" s="89" t="str">
        <f>IF(A138="","Pending",IF(H138="","⚠️ Enter Agent Code",IF(IFERROR(VLOOKUP(G138,DB_Agents!$B:$I,8,0),"")=H138,IF(AND(A138&lt;&gt;"",E138&lt;&gt;""),"Saved","Pending"),"🔒 BLOCKED — Wrong Code")))</f>
        <v>Pending</v>
      </c>
      <c r="J138" s="90" t="str">
        <f t="shared" ca="1" si="14"/>
        <v>—</v>
      </c>
      <c r="K138" s="91"/>
    </row>
    <row r="139" spans="1:11" ht="15" customHeight="1" x14ac:dyDescent="0.25">
      <c r="A139" s="76"/>
      <c r="B139" s="37" t="str">
        <f>IF(A139="","",IFERROR(VLOOKUP(A139,DB_Customers!$A:$D,4,0),"❌ Account Not Found"))</f>
        <v/>
      </c>
      <c r="C139" s="77" t="str">
        <f>IF(A139="","",IFERROR(IF(SUMIF(DB_Savings!$C:$C,A139,DB_Savings!$F:$F)=0,VLOOKUP(A139,DB_Customers!$A:$I,9,0),VLOOKUP(A139,DB_Customers!$A:$N,14,0)),"❌ Acct Not Found"))</f>
        <v/>
      </c>
      <c r="D139" s="78" t="str">
        <f t="shared" ca="1" si="12"/>
        <v/>
      </c>
      <c r="E139" s="79"/>
      <c r="F139" s="80" t="str">
        <f t="shared" si="13"/>
        <v/>
      </c>
      <c r="G139" s="39" t="s">
        <v>141</v>
      </c>
      <c r="H139" s="81"/>
      <c r="I139" s="82" t="str">
        <f>IF(A139="","Pending",IF(H139="","⚠️ Enter Agent Code",IF(IFERROR(VLOOKUP(G139,DB_Agents!$B:$I,8,0),"")=H139,IF(AND(A139&lt;&gt;"",E139&lt;&gt;""),"Saved","Pending"),"🔒 BLOCKED — Wrong Code")))</f>
        <v>Pending</v>
      </c>
      <c r="J139" s="83" t="str">
        <f t="shared" ca="1" si="14"/>
        <v>—</v>
      </c>
      <c r="K139" s="84"/>
    </row>
    <row r="140" spans="1:11" ht="15" customHeight="1" x14ac:dyDescent="0.25">
      <c r="A140" s="85"/>
      <c r="B140" s="41" t="str">
        <f>IF(A140="","",IFERROR(VLOOKUP(A140,DB_Customers!$A:$D,4,0),"❌ Account Not Found"))</f>
        <v/>
      </c>
      <c r="C140" s="86" t="str">
        <f>IF(A140="","",IFERROR(IF(SUMIF(DB_Savings!$C:$C,A140,DB_Savings!$F:$F)=0,VLOOKUP(A140,DB_Customers!$A:$I,9,0),VLOOKUP(A140,DB_Customers!$A:$N,14,0)),"❌ Acct Not Found"))</f>
        <v/>
      </c>
      <c r="D140" s="87" t="str">
        <f t="shared" ca="1" si="12"/>
        <v/>
      </c>
      <c r="E140" s="79"/>
      <c r="F140" s="88" t="str">
        <f t="shared" si="13"/>
        <v/>
      </c>
      <c r="G140" s="43" t="s">
        <v>141</v>
      </c>
      <c r="H140" s="81"/>
      <c r="I140" s="89" t="str">
        <f>IF(A140="","Pending",IF(H140="","⚠️ Enter Agent Code",IF(IFERROR(VLOOKUP(G140,DB_Agents!$B:$I,8,0),"")=H140,IF(AND(A140&lt;&gt;"",E140&lt;&gt;""),"Saved","Pending"),"🔒 BLOCKED — Wrong Code")))</f>
        <v>Pending</v>
      </c>
      <c r="J140" s="90" t="str">
        <f t="shared" ca="1" si="14"/>
        <v>—</v>
      </c>
      <c r="K140" s="91"/>
    </row>
    <row r="141" spans="1:11" ht="15" customHeight="1" x14ac:dyDescent="0.25">
      <c r="A141" s="76"/>
      <c r="B141" s="37" t="str">
        <f>IF(A141="","",IFERROR(VLOOKUP(A141,DB_Customers!$A:$D,4,0),"❌ Account Not Found"))</f>
        <v/>
      </c>
      <c r="C141" s="77" t="str">
        <f>IF(A141="","",IFERROR(IF(SUMIF(DB_Savings!$C:$C,A141,DB_Savings!$F:$F)=0,VLOOKUP(A141,DB_Customers!$A:$I,9,0),VLOOKUP(A141,DB_Customers!$A:$N,14,0)),"❌ Acct Not Found"))</f>
        <v/>
      </c>
      <c r="D141" s="78" t="str">
        <f t="shared" ca="1" si="12"/>
        <v/>
      </c>
      <c r="E141" s="79"/>
      <c r="F141" s="80" t="str">
        <f t="shared" si="13"/>
        <v/>
      </c>
      <c r="G141" s="39" t="s">
        <v>141</v>
      </c>
      <c r="H141" s="81"/>
      <c r="I141" s="82" t="str">
        <f>IF(A141="","Pending",IF(H141="","⚠️ Enter Agent Code",IF(IFERROR(VLOOKUP(G141,DB_Agents!$B:$I,8,0),"")=H141,IF(AND(A141&lt;&gt;"",E141&lt;&gt;""),"Saved","Pending"),"🔒 BLOCKED — Wrong Code")))</f>
        <v>Pending</v>
      </c>
      <c r="J141" s="83" t="str">
        <f t="shared" ca="1" si="14"/>
        <v>—</v>
      </c>
      <c r="K141" s="84"/>
    </row>
    <row r="142" spans="1:11" ht="15" customHeight="1" x14ac:dyDescent="0.25">
      <c r="A142" s="85"/>
      <c r="B142" s="41" t="str">
        <f>IF(A142="","",IFERROR(VLOOKUP(A142,DB_Customers!$A:$D,4,0),"❌ Account Not Found"))</f>
        <v/>
      </c>
      <c r="C142" s="86" t="str">
        <f>IF(A142="","",IFERROR(IF(SUMIF(DB_Savings!$C:$C,A142,DB_Savings!$F:$F)=0,VLOOKUP(A142,DB_Customers!$A:$I,9,0),VLOOKUP(A142,DB_Customers!$A:$N,14,0)),"❌ Acct Not Found"))</f>
        <v/>
      </c>
      <c r="D142" s="87" t="str">
        <f t="shared" ca="1" si="12"/>
        <v/>
      </c>
      <c r="E142" s="79"/>
      <c r="F142" s="88" t="str">
        <f t="shared" si="13"/>
        <v/>
      </c>
      <c r="G142" s="43" t="s">
        <v>141</v>
      </c>
      <c r="H142" s="81"/>
      <c r="I142" s="89" t="str">
        <f>IF(A142="","Pending",IF(H142="","⚠️ Enter Agent Code",IF(IFERROR(VLOOKUP(G142,DB_Agents!$B:$I,8,0),"")=H142,IF(AND(A142&lt;&gt;"",E142&lt;&gt;""),"Saved","Pending"),"🔒 BLOCKED — Wrong Code")))</f>
        <v>Pending</v>
      </c>
      <c r="J142" s="90" t="str">
        <f t="shared" ca="1" si="14"/>
        <v>—</v>
      </c>
      <c r="K142" s="91"/>
    </row>
    <row r="143" spans="1:11" ht="15" customHeight="1" x14ac:dyDescent="0.25">
      <c r="A143" s="76"/>
      <c r="B143" s="37" t="str">
        <f>IF(A143="","",IFERROR(VLOOKUP(A143,DB_Customers!$A:$D,4,0),"❌ Account Not Found"))</f>
        <v/>
      </c>
      <c r="C143" s="77" t="str">
        <f>IF(A143="","",IFERROR(IF(SUMIF(DB_Savings!$C:$C,A143,DB_Savings!$F:$F)=0,VLOOKUP(A143,DB_Customers!$A:$I,9,0),VLOOKUP(A143,DB_Customers!$A:$N,14,0)),"❌ Acct Not Found"))</f>
        <v/>
      </c>
      <c r="D143" s="78" t="str">
        <f t="shared" ca="1" si="12"/>
        <v/>
      </c>
      <c r="E143" s="79"/>
      <c r="F143" s="80" t="str">
        <f t="shared" si="13"/>
        <v/>
      </c>
      <c r="G143" s="39" t="s">
        <v>141</v>
      </c>
      <c r="H143" s="81"/>
      <c r="I143" s="82" t="str">
        <f>IF(A143="","Pending",IF(H143="","⚠️ Enter Agent Code",IF(IFERROR(VLOOKUP(G143,DB_Agents!$B:$I,8,0),"")=H143,IF(AND(A143&lt;&gt;"",E143&lt;&gt;""),"Saved","Pending"),"🔒 BLOCKED — Wrong Code")))</f>
        <v>Pending</v>
      </c>
      <c r="J143" s="83" t="str">
        <f t="shared" ca="1" si="14"/>
        <v>—</v>
      </c>
      <c r="K143" s="84"/>
    </row>
    <row r="144" spans="1:11" ht="15" customHeight="1" x14ac:dyDescent="0.25">
      <c r="A144" s="85"/>
      <c r="B144" s="41" t="str">
        <f>IF(A144="","",IFERROR(VLOOKUP(A144,DB_Customers!$A:$D,4,0),"❌ Account Not Found"))</f>
        <v/>
      </c>
      <c r="C144" s="86" t="str">
        <f>IF(A144="","",IFERROR(IF(SUMIF(DB_Savings!$C:$C,A144,DB_Savings!$F:$F)=0,VLOOKUP(A144,DB_Customers!$A:$I,9,0),VLOOKUP(A144,DB_Customers!$A:$N,14,0)),"❌ Acct Not Found"))</f>
        <v/>
      </c>
      <c r="D144" s="87" t="str">
        <f t="shared" ca="1" si="12"/>
        <v/>
      </c>
      <c r="E144" s="79"/>
      <c r="F144" s="88" t="str">
        <f t="shared" si="13"/>
        <v/>
      </c>
      <c r="G144" s="43" t="s">
        <v>141</v>
      </c>
      <c r="H144" s="81"/>
      <c r="I144" s="89" t="str">
        <f>IF(A144="","Pending",IF(H144="","⚠️ Enter Agent Code",IF(IFERROR(VLOOKUP(G144,DB_Agents!$B:$I,8,0),"")=H144,IF(AND(A144&lt;&gt;"",E144&lt;&gt;""),"Saved","Pending"),"🔒 BLOCKED — Wrong Code")))</f>
        <v>Pending</v>
      </c>
      <c r="J144" s="90" t="str">
        <f t="shared" ca="1" si="14"/>
        <v>—</v>
      </c>
      <c r="K144" s="91"/>
    </row>
    <row r="145" spans="1:11" ht="15" customHeight="1" x14ac:dyDescent="0.25">
      <c r="A145" s="76"/>
      <c r="B145" s="37" t="str">
        <f>IF(A145="","",IFERROR(VLOOKUP(A145,DB_Customers!$A:$D,4,0),"❌ Account Not Found"))</f>
        <v/>
      </c>
      <c r="C145" s="77" t="str">
        <f>IF(A145="","",IFERROR(IF(SUMIF(DB_Savings!$C:$C,A145,DB_Savings!$F:$F)=0,VLOOKUP(A145,DB_Customers!$A:$I,9,0),VLOOKUP(A145,DB_Customers!$A:$N,14,0)),"❌ Acct Not Found"))</f>
        <v/>
      </c>
      <c r="D145" s="78" t="str">
        <f t="shared" ca="1" si="12"/>
        <v/>
      </c>
      <c r="E145" s="79"/>
      <c r="F145" s="80" t="str">
        <f t="shared" si="13"/>
        <v/>
      </c>
      <c r="G145" s="39" t="s">
        <v>141</v>
      </c>
      <c r="H145" s="81"/>
      <c r="I145" s="82" t="str">
        <f>IF(A145="","Pending",IF(H145="","⚠️ Enter Agent Code",IF(IFERROR(VLOOKUP(G145,DB_Agents!$B:$I,8,0),"")=H145,IF(AND(A145&lt;&gt;"",E145&lt;&gt;""),"Saved","Pending"),"🔒 BLOCKED — Wrong Code")))</f>
        <v>Pending</v>
      </c>
      <c r="J145" s="83" t="str">
        <f t="shared" ca="1" si="14"/>
        <v>—</v>
      </c>
      <c r="K145" s="84"/>
    </row>
    <row r="146" spans="1:11" ht="15" customHeight="1" x14ac:dyDescent="0.25">
      <c r="A146" s="85"/>
      <c r="B146" s="41" t="str">
        <f>IF(A146="","",IFERROR(VLOOKUP(A146,DB_Customers!$A:$D,4,0),"❌ Account Not Found"))</f>
        <v/>
      </c>
      <c r="C146" s="86" t="str">
        <f>IF(A146="","",IFERROR(IF(SUMIF(DB_Savings!$C:$C,A146,DB_Savings!$F:$F)=0,VLOOKUP(A146,DB_Customers!$A:$I,9,0),VLOOKUP(A146,DB_Customers!$A:$N,14,0)),"❌ Acct Not Found"))</f>
        <v/>
      </c>
      <c r="D146" s="87" t="str">
        <f t="shared" ca="1" si="12"/>
        <v/>
      </c>
      <c r="E146" s="79"/>
      <c r="F146" s="88" t="str">
        <f t="shared" si="13"/>
        <v/>
      </c>
      <c r="G146" s="43" t="s">
        <v>141</v>
      </c>
      <c r="H146" s="81"/>
      <c r="I146" s="89" t="str">
        <f>IF(A146="","Pending",IF(H146="","⚠️ Enter Agent Code",IF(IFERROR(VLOOKUP(G146,DB_Agents!$B:$I,8,0),"")=H146,IF(AND(A146&lt;&gt;"",E146&lt;&gt;""),"Saved","Pending"),"🔒 BLOCKED — Wrong Code")))</f>
        <v>Pending</v>
      </c>
      <c r="J146" s="90" t="str">
        <f t="shared" ca="1" si="14"/>
        <v>—</v>
      </c>
      <c r="K146" s="91"/>
    </row>
    <row r="147" spans="1:11" ht="15" customHeight="1" x14ac:dyDescent="0.25">
      <c r="A147" s="76"/>
      <c r="B147" s="37" t="str">
        <f>IF(A147="","",IFERROR(VLOOKUP(A147,DB_Customers!$A:$D,4,0),"❌ Account Not Found"))</f>
        <v/>
      </c>
      <c r="C147" s="77" t="str">
        <f>IF(A147="","",IFERROR(IF(SUMIF(DB_Savings!$C:$C,A147,DB_Savings!$F:$F)=0,VLOOKUP(A147,DB_Customers!$A:$I,9,0),VLOOKUP(A147,DB_Customers!$A:$N,14,0)),"❌ Acct Not Found"))</f>
        <v/>
      </c>
      <c r="D147" s="78" t="str">
        <f t="shared" ca="1" si="12"/>
        <v/>
      </c>
      <c r="E147" s="79"/>
      <c r="F147" s="80" t="str">
        <f t="shared" si="13"/>
        <v/>
      </c>
      <c r="G147" s="39" t="s">
        <v>141</v>
      </c>
      <c r="H147" s="81"/>
      <c r="I147" s="82" t="str">
        <f>IF(A147="","Pending",IF(H147="","⚠️ Enter Agent Code",IF(IFERROR(VLOOKUP(G147,DB_Agents!$B:$I,8,0),"")=H147,IF(AND(A147&lt;&gt;"",E147&lt;&gt;""),"Saved","Pending"),"🔒 BLOCKED — Wrong Code")))</f>
        <v>Pending</v>
      </c>
      <c r="J147" s="83" t="str">
        <f t="shared" ca="1" si="14"/>
        <v>—</v>
      </c>
      <c r="K147" s="84"/>
    </row>
    <row r="148" spans="1:11" ht="15" customHeight="1" x14ac:dyDescent="0.25">
      <c r="A148" s="85"/>
      <c r="B148" s="41" t="str">
        <f>IF(A148="","",IFERROR(VLOOKUP(A148,DB_Customers!$A:$D,4,0),"❌ Account Not Found"))</f>
        <v/>
      </c>
      <c r="C148" s="86" t="str">
        <f>IF(A148="","",IFERROR(IF(SUMIF(DB_Savings!$C:$C,A148,DB_Savings!$F:$F)=0,VLOOKUP(A148,DB_Customers!$A:$I,9,0),VLOOKUP(A148,DB_Customers!$A:$N,14,0)),"❌ Acct Not Found"))</f>
        <v/>
      </c>
      <c r="D148" s="87" t="str">
        <f t="shared" ca="1" si="12"/>
        <v/>
      </c>
      <c r="E148" s="79"/>
      <c r="F148" s="88" t="str">
        <f t="shared" si="13"/>
        <v/>
      </c>
      <c r="G148" s="43" t="s">
        <v>141</v>
      </c>
      <c r="H148" s="81"/>
      <c r="I148" s="89" t="str">
        <f>IF(A148="","Pending",IF(H148="","⚠️ Enter Agent Code",IF(IFERROR(VLOOKUP(G148,DB_Agents!$B:$I,8,0),"")=H148,IF(AND(A148&lt;&gt;"",E148&lt;&gt;""),"Saved","Pending"),"🔒 BLOCKED — Wrong Code")))</f>
        <v>Pending</v>
      </c>
      <c r="J148" s="90" t="str">
        <f t="shared" ca="1" si="14"/>
        <v>—</v>
      </c>
      <c r="K148" s="91"/>
    </row>
    <row r="149" spans="1:11" ht="15" customHeight="1" x14ac:dyDescent="0.25">
      <c r="A149" s="76"/>
      <c r="B149" s="37" t="str">
        <f>IF(A149="","",IFERROR(VLOOKUP(A149,DB_Customers!$A:$D,4,0),"❌ Account Not Found"))</f>
        <v/>
      </c>
      <c r="C149" s="77" t="str">
        <f>IF(A149="","",IFERROR(IF(SUMIF(DB_Savings!$C:$C,A149,DB_Savings!$F:$F)=0,VLOOKUP(A149,DB_Customers!$A:$I,9,0),VLOOKUP(A149,DB_Customers!$A:$N,14,0)),"❌ Acct Not Found"))</f>
        <v/>
      </c>
      <c r="D149" s="78" t="str">
        <f t="shared" ca="1" si="12"/>
        <v/>
      </c>
      <c r="E149" s="79"/>
      <c r="F149" s="80" t="str">
        <f t="shared" si="13"/>
        <v/>
      </c>
      <c r="G149" s="39" t="s">
        <v>141</v>
      </c>
      <c r="H149" s="81"/>
      <c r="I149" s="82" t="str">
        <f>IF(A149="","Pending",IF(H149="","⚠️ Enter Agent Code",IF(IFERROR(VLOOKUP(G149,DB_Agents!$B:$I,8,0),"")=H149,IF(AND(A149&lt;&gt;"",E149&lt;&gt;""),"Saved","Pending"),"🔒 BLOCKED — Wrong Code")))</f>
        <v>Pending</v>
      </c>
      <c r="J149" s="83" t="str">
        <f t="shared" ca="1" si="14"/>
        <v>—</v>
      </c>
      <c r="K149" s="84"/>
    </row>
    <row r="150" spans="1:11" ht="15" customHeight="1" x14ac:dyDescent="0.25">
      <c r="A150" s="85"/>
      <c r="B150" s="41" t="str">
        <f>IF(A150="","",IFERROR(VLOOKUP(A150,DB_Customers!$A:$D,4,0),"❌ Account Not Found"))</f>
        <v/>
      </c>
      <c r="C150" s="86" t="str">
        <f>IF(A150="","",IFERROR(IF(SUMIF(DB_Savings!$C:$C,A150,DB_Savings!$F:$F)=0,VLOOKUP(A150,DB_Customers!$A:$I,9,0),VLOOKUP(A150,DB_Customers!$A:$N,14,0)),"❌ Acct Not Found"))</f>
        <v/>
      </c>
      <c r="D150" s="87" t="str">
        <f t="shared" ca="1" si="12"/>
        <v/>
      </c>
      <c r="E150" s="79"/>
      <c r="F150" s="88" t="str">
        <f t="shared" si="13"/>
        <v/>
      </c>
      <c r="G150" s="43" t="s">
        <v>141</v>
      </c>
      <c r="H150" s="81"/>
      <c r="I150" s="89" t="str">
        <f>IF(A150="","Pending",IF(H150="","⚠️ Enter Agent Code",IF(IFERROR(VLOOKUP(G150,DB_Agents!$B:$I,8,0),"")=H150,IF(AND(A150&lt;&gt;"",E150&lt;&gt;""),"Saved","Pending"),"🔒 BLOCKED — Wrong Code")))</f>
        <v>Pending</v>
      </c>
      <c r="J150" s="90" t="str">
        <f t="shared" ca="1" si="14"/>
        <v>—</v>
      </c>
      <c r="K150" s="91"/>
    </row>
    <row r="151" spans="1:11" ht="15" customHeight="1" x14ac:dyDescent="0.25">
      <c r="A151" s="76"/>
      <c r="B151" s="37" t="str">
        <f>IF(A151="","",IFERROR(VLOOKUP(A151,DB_Customers!$A:$D,4,0),"❌ Account Not Found"))</f>
        <v/>
      </c>
      <c r="C151" s="77" t="str">
        <f>IF(A151="","",IFERROR(IF(SUMIF(DB_Savings!$C:$C,A151,DB_Savings!$F:$F)=0,VLOOKUP(A151,DB_Customers!$A:$I,9,0),VLOOKUP(A151,DB_Customers!$A:$N,14,0)),"❌ Acct Not Found"))</f>
        <v/>
      </c>
      <c r="D151" s="78" t="str">
        <f t="shared" ca="1" si="12"/>
        <v/>
      </c>
      <c r="E151" s="79"/>
      <c r="F151" s="80" t="str">
        <f t="shared" si="13"/>
        <v/>
      </c>
      <c r="G151" s="39" t="s">
        <v>141</v>
      </c>
      <c r="H151" s="81"/>
      <c r="I151" s="82" t="str">
        <f>IF(A151="","Pending",IF(H151="","⚠️ Enter Agent Code",IF(IFERROR(VLOOKUP(G151,DB_Agents!$B:$I,8,0),"")=H151,IF(AND(A151&lt;&gt;"",E151&lt;&gt;""),"Saved","Pending"),"🔒 BLOCKED — Wrong Code")))</f>
        <v>Pending</v>
      </c>
      <c r="J151" s="83" t="str">
        <f t="shared" ca="1" si="14"/>
        <v>—</v>
      </c>
      <c r="K151" s="84"/>
    </row>
    <row r="152" spans="1:11" ht="15" customHeight="1" x14ac:dyDescent="0.25">
      <c r="A152" s="85"/>
      <c r="B152" s="41" t="str">
        <f>IF(A152="","",IFERROR(VLOOKUP(A152,DB_Customers!$A:$D,4,0),"❌ Account Not Found"))</f>
        <v/>
      </c>
      <c r="C152" s="86" t="str">
        <f>IF(A152="","",IFERROR(IF(SUMIF(DB_Savings!$C:$C,A152,DB_Savings!$F:$F)=0,VLOOKUP(A152,DB_Customers!$A:$I,9,0),VLOOKUP(A152,DB_Customers!$A:$N,14,0)),"❌ Acct Not Found"))</f>
        <v/>
      </c>
      <c r="D152" s="87" t="str">
        <f t="shared" ca="1" si="12"/>
        <v/>
      </c>
      <c r="E152" s="79"/>
      <c r="F152" s="88" t="str">
        <f t="shared" si="13"/>
        <v/>
      </c>
      <c r="G152" s="43" t="s">
        <v>141</v>
      </c>
      <c r="H152" s="81"/>
      <c r="I152" s="89" t="str">
        <f>IF(A152="","Pending",IF(H152="","⚠️ Enter Agent Code",IF(IFERROR(VLOOKUP(G152,DB_Agents!$B:$I,8,0),"")=H152,IF(AND(A152&lt;&gt;"",E152&lt;&gt;""),"Saved","Pending"),"🔒 BLOCKED — Wrong Code")))</f>
        <v>Pending</v>
      </c>
      <c r="J152" s="90" t="str">
        <f t="shared" ca="1" si="14"/>
        <v>—</v>
      </c>
      <c r="K152" s="91"/>
    </row>
    <row r="153" spans="1:11" ht="15" customHeight="1" x14ac:dyDescent="0.25">
      <c r="A153" s="76"/>
      <c r="B153" s="37" t="str">
        <f>IF(A153="","",IFERROR(VLOOKUP(A153,DB_Customers!$A:$D,4,0),"❌ Account Not Found"))</f>
        <v/>
      </c>
      <c r="C153" s="77" t="str">
        <f>IF(A153="","",IFERROR(IF(SUMIF(DB_Savings!$C:$C,A153,DB_Savings!$F:$F)=0,VLOOKUP(A153,DB_Customers!$A:$I,9,0),VLOOKUP(A153,DB_Customers!$A:$N,14,0)),"❌ Acct Not Found"))</f>
        <v/>
      </c>
      <c r="D153" s="78" t="str">
        <f t="shared" ca="1" si="12"/>
        <v/>
      </c>
      <c r="E153" s="79"/>
      <c r="F153" s="80" t="str">
        <f t="shared" si="13"/>
        <v/>
      </c>
      <c r="G153" s="39" t="s">
        <v>141</v>
      </c>
      <c r="H153" s="81"/>
      <c r="I153" s="82" t="str">
        <f>IF(A153="","Pending",IF(H153="","⚠️ Enter Agent Code",IF(IFERROR(VLOOKUP(G153,DB_Agents!$B:$I,8,0),"")=H153,IF(AND(A153&lt;&gt;"",E153&lt;&gt;""),"Saved","Pending"),"🔒 BLOCKED — Wrong Code")))</f>
        <v>Pending</v>
      </c>
      <c r="J153" s="83" t="str">
        <f t="shared" ca="1" si="14"/>
        <v>—</v>
      </c>
      <c r="K153" s="84"/>
    </row>
    <row r="154" spans="1:11" ht="15" customHeight="1" x14ac:dyDescent="0.25">
      <c r="A154" s="85"/>
      <c r="B154" s="41" t="str">
        <f>IF(A154="","",IFERROR(VLOOKUP(A154,DB_Customers!$A:$D,4,0),"❌ Account Not Found"))</f>
        <v/>
      </c>
      <c r="C154" s="86" t="str">
        <f>IF(A154="","",IFERROR(IF(SUMIF(DB_Savings!$C:$C,A154,DB_Savings!$F:$F)=0,VLOOKUP(A154,DB_Customers!$A:$I,9,0),VLOOKUP(A154,DB_Customers!$A:$N,14,0)),"❌ Acct Not Found"))</f>
        <v/>
      </c>
      <c r="D154" s="87" t="str">
        <f t="shared" ca="1" si="12"/>
        <v/>
      </c>
      <c r="E154" s="79"/>
      <c r="F154" s="88" t="str">
        <f t="shared" si="13"/>
        <v/>
      </c>
      <c r="G154" s="43" t="s">
        <v>141</v>
      </c>
      <c r="H154" s="81"/>
      <c r="I154" s="89" t="str">
        <f>IF(A154="","Pending",IF(H154="","⚠️ Enter Agent Code",IF(IFERROR(VLOOKUP(G154,DB_Agents!$B:$I,8,0),"")=H154,IF(AND(A154&lt;&gt;"",E154&lt;&gt;""),"Saved","Pending"),"🔒 BLOCKED — Wrong Code")))</f>
        <v>Pending</v>
      </c>
      <c r="J154" s="90" t="str">
        <f t="shared" ca="1" si="14"/>
        <v>—</v>
      </c>
      <c r="K154" s="91"/>
    </row>
    <row r="155" spans="1:11" ht="15" customHeight="1" x14ac:dyDescent="0.25">
      <c r="A155" s="76"/>
      <c r="B155" s="37" t="str">
        <f>IF(A155="","",IFERROR(VLOOKUP(A155,DB_Customers!$A:$D,4,0),"❌ Account Not Found"))</f>
        <v/>
      </c>
      <c r="C155" s="77" t="str">
        <f>IF(A155="","",IFERROR(IF(SUMIF(DB_Savings!$C:$C,A155,DB_Savings!$F:$F)=0,VLOOKUP(A155,DB_Customers!$A:$I,9,0),VLOOKUP(A155,DB_Customers!$A:$N,14,0)),"❌ Acct Not Found"))</f>
        <v/>
      </c>
      <c r="D155" s="78" t="str">
        <f t="shared" ca="1" si="12"/>
        <v/>
      </c>
      <c r="E155" s="79"/>
      <c r="F155" s="80" t="str">
        <f t="shared" si="13"/>
        <v/>
      </c>
      <c r="G155" s="39" t="s">
        <v>141</v>
      </c>
      <c r="H155" s="81"/>
      <c r="I155" s="82" t="str">
        <f>IF(A155="","Pending",IF(H155="","⚠️ Enter Agent Code",IF(IFERROR(VLOOKUP(G155,DB_Agents!$B:$I,8,0),"")=H155,IF(AND(A155&lt;&gt;"",E155&lt;&gt;""),"Saved","Pending"),"🔒 BLOCKED — Wrong Code")))</f>
        <v>Pending</v>
      </c>
      <c r="J155" s="83" t="str">
        <f t="shared" ca="1" si="14"/>
        <v>—</v>
      </c>
      <c r="K155" s="84"/>
    </row>
    <row r="156" spans="1:11" ht="15" customHeight="1" x14ac:dyDescent="0.25">
      <c r="A156" s="85"/>
      <c r="B156" s="41" t="str">
        <f>IF(A156="","",IFERROR(VLOOKUP(A156,DB_Customers!$A:$D,4,0),"❌ Account Not Found"))</f>
        <v/>
      </c>
      <c r="C156" s="86" t="str">
        <f>IF(A156="","",IFERROR(IF(SUMIF(DB_Savings!$C:$C,A156,DB_Savings!$F:$F)=0,VLOOKUP(A156,DB_Customers!$A:$I,9,0),VLOOKUP(A156,DB_Customers!$A:$N,14,0)),"❌ Acct Not Found"))</f>
        <v/>
      </c>
      <c r="D156" s="87" t="str">
        <f t="shared" ca="1" si="12"/>
        <v/>
      </c>
      <c r="E156" s="79"/>
      <c r="F156" s="88" t="str">
        <f t="shared" si="13"/>
        <v/>
      </c>
      <c r="G156" s="43" t="s">
        <v>141</v>
      </c>
      <c r="H156" s="81"/>
      <c r="I156" s="89" t="str">
        <f>IF(A156="","Pending",IF(H156="","⚠️ Enter Agent Code",IF(IFERROR(VLOOKUP(G156,DB_Agents!$B:$I,8,0),"")=H156,IF(AND(A156&lt;&gt;"",E156&lt;&gt;""),"Saved","Pending"),"🔒 BLOCKED — Wrong Code")))</f>
        <v>Pending</v>
      </c>
      <c r="J156" s="90" t="str">
        <f t="shared" ca="1" si="14"/>
        <v>—</v>
      </c>
      <c r="K156" s="91"/>
    </row>
    <row r="157" spans="1:11" ht="15" customHeight="1" x14ac:dyDescent="0.25">
      <c r="A157" s="76"/>
      <c r="B157" s="37" t="str">
        <f>IF(A157="","",IFERROR(VLOOKUP(A157,DB_Customers!$A:$D,4,0),"❌ Account Not Found"))</f>
        <v/>
      </c>
      <c r="C157" s="77" t="str">
        <f>IF(A157="","",IFERROR(IF(SUMIF(DB_Savings!$C:$C,A157,DB_Savings!$F:$F)=0,VLOOKUP(A157,DB_Customers!$A:$I,9,0),VLOOKUP(A157,DB_Customers!$A:$N,14,0)),"❌ Acct Not Found"))</f>
        <v/>
      </c>
      <c r="D157" s="78" t="str">
        <f t="shared" ca="1" si="12"/>
        <v/>
      </c>
      <c r="E157" s="79"/>
      <c r="F157" s="80" t="str">
        <f t="shared" si="13"/>
        <v/>
      </c>
      <c r="G157" s="39" t="s">
        <v>141</v>
      </c>
      <c r="H157" s="81"/>
      <c r="I157" s="82" t="str">
        <f>IF(A157="","Pending",IF(H157="","⚠️ Enter Agent Code",IF(IFERROR(VLOOKUP(G157,DB_Agents!$B:$I,8,0),"")=H157,IF(AND(A157&lt;&gt;"",E157&lt;&gt;""),"Saved","Pending"),"🔒 BLOCKED — Wrong Code")))</f>
        <v>Pending</v>
      </c>
      <c r="J157" s="83" t="str">
        <f t="shared" ca="1" si="14"/>
        <v>—</v>
      </c>
      <c r="K157" s="84"/>
    </row>
    <row r="158" spans="1:11" ht="15" customHeight="1" x14ac:dyDescent="0.25">
      <c r="A158" s="85"/>
      <c r="B158" s="41" t="str">
        <f>IF(A158="","",IFERROR(VLOOKUP(A158,DB_Customers!$A:$D,4,0),"❌ Account Not Found"))</f>
        <v/>
      </c>
      <c r="C158" s="86" t="str">
        <f>IF(A158="","",IFERROR(IF(SUMIF(DB_Savings!$C:$C,A158,DB_Savings!$F:$F)=0,VLOOKUP(A158,DB_Customers!$A:$I,9,0),VLOOKUP(A158,DB_Customers!$A:$N,14,0)),"❌ Acct Not Found"))</f>
        <v/>
      </c>
      <c r="D158" s="87" t="str">
        <f t="shared" ca="1" si="12"/>
        <v/>
      </c>
      <c r="E158" s="79"/>
      <c r="F158" s="88" t="str">
        <f t="shared" si="13"/>
        <v/>
      </c>
      <c r="G158" s="43" t="s">
        <v>141</v>
      </c>
      <c r="H158" s="81"/>
      <c r="I158" s="89" t="str">
        <f>IF(A158="","Pending",IF(H158="","⚠️ Enter Agent Code",IF(IFERROR(VLOOKUP(G158,DB_Agents!$B:$I,8,0),"")=H158,IF(AND(A158&lt;&gt;"",E158&lt;&gt;""),"Saved","Pending"),"🔒 BLOCKED — Wrong Code")))</f>
        <v>Pending</v>
      </c>
      <c r="J158" s="90" t="str">
        <f t="shared" ca="1" si="14"/>
        <v>—</v>
      </c>
      <c r="K158" s="91"/>
    </row>
    <row r="159" spans="1:11" ht="15" customHeight="1" x14ac:dyDescent="0.25">
      <c r="A159" s="76"/>
      <c r="B159" s="37" t="str">
        <f>IF(A159="","",IFERROR(VLOOKUP(A159,DB_Customers!$A:$D,4,0),"❌ Account Not Found"))</f>
        <v/>
      </c>
      <c r="C159" s="77" t="str">
        <f>IF(A159="","",IFERROR(IF(SUMIF(DB_Savings!$C:$C,A159,DB_Savings!$F:$F)=0,VLOOKUP(A159,DB_Customers!$A:$I,9,0),VLOOKUP(A159,DB_Customers!$A:$N,14,0)),"❌ Acct Not Found"))</f>
        <v/>
      </c>
      <c r="D159" s="78" t="str">
        <f t="shared" ca="1" si="12"/>
        <v/>
      </c>
      <c r="E159" s="79"/>
      <c r="F159" s="80" t="str">
        <f t="shared" si="13"/>
        <v/>
      </c>
      <c r="G159" s="39" t="s">
        <v>141</v>
      </c>
      <c r="H159" s="81"/>
      <c r="I159" s="82" t="str">
        <f>IF(A159="","Pending",IF(H159="","⚠️ Enter Agent Code",IF(IFERROR(VLOOKUP(G159,DB_Agents!$B:$I,8,0),"")=H159,IF(AND(A159&lt;&gt;"",E159&lt;&gt;""),"Saved","Pending"),"🔒 BLOCKED — Wrong Code")))</f>
        <v>Pending</v>
      </c>
      <c r="J159" s="83" t="str">
        <f t="shared" ca="1" si="14"/>
        <v>—</v>
      </c>
      <c r="K159" s="84"/>
    </row>
    <row r="160" spans="1:11" ht="15" customHeight="1" x14ac:dyDescent="0.25">
      <c r="A160" s="85"/>
      <c r="B160" s="41" t="str">
        <f>IF(A160="","",IFERROR(VLOOKUP(A160,DB_Customers!$A:$D,4,0),"❌ Account Not Found"))</f>
        <v/>
      </c>
      <c r="C160" s="86" t="str">
        <f>IF(A160="","",IFERROR(IF(SUMIF(DB_Savings!$C:$C,A160,DB_Savings!$F:$F)=0,VLOOKUP(A160,DB_Customers!$A:$I,9,0),VLOOKUP(A160,DB_Customers!$A:$N,14,0)),"❌ Acct Not Found"))</f>
        <v/>
      </c>
      <c r="D160" s="87" t="str">
        <f t="shared" ca="1" si="12"/>
        <v/>
      </c>
      <c r="E160" s="79"/>
      <c r="F160" s="88" t="str">
        <f t="shared" si="13"/>
        <v/>
      </c>
      <c r="G160" s="43" t="s">
        <v>141</v>
      </c>
      <c r="H160" s="81"/>
      <c r="I160" s="89" t="str">
        <f>IF(A160="","Pending",IF(H160="","⚠️ Enter Agent Code",IF(IFERROR(VLOOKUP(G160,DB_Agents!$B:$I,8,0),"")=H160,IF(AND(A160&lt;&gt;"",E160&lt;&gt;""),"Saved","Pending"),"🔒 BLOCKED — Wrong Code")))</f>
        <v>Pending</v>
      </c>
      <c r="J160" s="90" t="str">
        <f t="shared" ca="1" si="14"/>
        <v>—</v>
      </c>
      <c r="K160" s="91"/>
    </row>
    <row r="161" spans="1:11" ht="15" customHeight="1" x14ac:dyDescent="0.25">
      <c r="A161" s="76"/>
      <c r="B161" s="37" t="str">
        <f>IF(A161="","",IFERROR(VLOOKUP(A161,DB_Customers!$A:$D,4,0),"❌ Account Not Found"))</f>
        <v/>
      </c>
      <c r="C161" s="77" t="str">
        <f>IF(A161="","",IFERROR(IF(SUMIF(DB_Savings!$C:$C,A161,DB_Savings!$F:$F)=0,VLOOKUP(A161,DB_Customers!$A:$I,9,0),VLOOKUP(A161,DB_Customers!$A:$N,14,0)),"❌ Acct Not Found"))</f>
        <v/>
      </c>
      <c r="D161" s="78" t="str">
        <f t="shared" ca="1" si="12"/>
        <v/>
      </c>
      <c r="E161" s="79"/>
      <c r="F161" s="80" t="str">
        <f t="shared" si="13"/>
        <v/>
      </c>
      <c r="G161" s="39" t="s">
        <v>141</v>
      </c>
      <c r="H161" s="81"/>
      <c r="I161" s="82" t="str">
        <f>IF(A161="","Pending",IF(H161="","⚠️ Enter Agent Code",IF(IFERROR(VLOOKUP(G161,DB_Agents!$B:$I,8,0),"")=H161,IF(AND(A161&lt;&gt;"",E161&lt;&gt;""),"Saved","Pending"),"🔒 BLOCKED — Wrong Code")))</f>
        <v>Pending</v>
      </c>
      <c r="J161" s="83" t="str">
        <f t="shared" ca="1" si="14"/>
        <v>—</v>
      </c>
      <c r="K161" s="84"/>
    </row>
    <row r="162" spans="1:11" ht="15" customHeight="1" x14ac:dyDescent="0.25">
      <c r="A162" s="85"/>
      <c r="B162" s="41" t="str">
        <f>IF(A162="","",IFERROR(VLOOKUP(A162,DB_Customers!$A:$D,4,0),"❌ Account Not Found"))</f>
        <v/>
      </c>
      <c r="C162" s="86" t="str">
        <f>IF(A162="","",IFERROR(IF(SUMIF(DB_Savings!$C:$C,A162,DB_Savings!$F:$F)=0,VLOOKUP(A162,DB_Customers!$A:$I,9,0),VLOOKUP(A162,DB_Customers!$A:$N,14,0)),"❌ Acct Not Found"))</f>
        <v/>
      </c>
      <c r="D162" s="87" t="str">
        <f t="shared" ca="1" si="12"/>
        <v/>
      </c>
      <c r="E162" s="79"/>
      <c r="F162" s="88" t="str">
        <f t="shared" si="13"/>
        <v/>
      </c>
      <c r="G162" s="43" t="s">
        <v>141</v>
      </c>
      <c r="H162" s="81"/>
      <c r="I162" s="89" t="str">
        <f>IF(A162="","Pending",IF(H162="","⚠️ Enter Agent Code",IF(IFERROR(VLOOKUP(G162,DB_Agents!$B:$I,8,0),"")=H162,IF(AND(A162&lt;&gt;"",E162&lt;&gt;""),"Saved","Pending"),"🔒 BLOCKED — Wrong Code")))</f>
        <v>Pending</v>
      </c>
      <c r="J162" s="90" t="str">
        <f t="shared" ca="1" si="14"/>
        <v>—</v>
      </c>
      <c r="K162" s="91"/>
    </row>
    <row r="163" spans="1:11" ht="15" customHeight="1" x14ac:dyDescent="0.25">
      <c r="A163" s="76"/>
      <c r="B163" s="37" t="str">
        <f>IF(A163="","",IFERROR(VLOOKUP(A163,DB_Customers!$A:$D,4,0),"❌ Account Not Found"))</f>
        <v/>
      </c>
      <c r="C163" s="77" t="str">
        <f>IF(A163="","",IFERROR(IF(SUMIF(DB_Savings!$C:$C,A163,DB_Savings!$F:$F)=0,VLOOKUP(A163,DB_Customers!$A:$I,9,0),VLOOKUP(A163,DB_Customers!$A:$N,14,0)),"❌ Acct Not Found"))</f>
        <v/>
      </c>
      <c r="D163" s="78" t="str">
        <f t="shared" ca="1" si="12"/>
        <v/>
      </c>
      <c r="E163" s="79"/>
      <c r="F163" s="80" t="str">
        <f t="shared" si="13"/>
        <v/>
      </c>
      <c r="G163" s="39" t="s">
        <v>141</v>
      </c>
      <c r="H163" s="81"/>
      <c r="I163" s="82" t="str">
        <f>IF(A163="","Pending",IF(H163="","⚠️ Enter Agent Code",IF(IFERROR(VLOOKUP(G163,DB_Agents!$B:$I,8,0),"")=H163,IF(AND(A163&lt;&gt;"",E163&lt;&gt;""),"Saved","Pending"),"🔒 BLOCKED — Wrong Code")))</f>
        <v>Pending</v>
      </c>
      <c r="J163" s="83" t="str">
        <f t="shared" ca="1" si="14"/>
        <v>—</v>
      </c>
      <c r="K163" s="84"/>
    </row>
    <row r="164" spans="1:11" ht="15" customHeight="1" x14ac:dyDescent="0.25">
      <c r="A164" s="85"/>
      <c r="B164" s="41" t="str">
        <f>IF(A164="","",IFERROR(VLOOKUP(A164,DB_Customers!$A:$D,4,0),"❌ Account Not Found"))</f>
        <v/>
      </c>
      <c r="C164" s="86" t="str">
        <f>IF(A164="","",IFERROR(IF(SUMIF(DB_Savings!$C:$C,A164,DB_Savings!$F:$F)=0,VLOOKUP(A164,DB_Customers!$A:$I,9,0),VLOOKUP(A164,DB_Customers!$A:$N,14,0)),"❌ Acct Not Found"))</f>
        <v/>
      </c>
      <c r="D164" s="87" t="str">
        <f t="shared" ca="1" si="12"/>
        <v/>
      </c>
      <c r="E164" s="79"/>
      <c r="F164" s="88" t="str">
        <f t="shared" si="13"/>
        <v/>
      </c>
      <c r="G164" s="43" t="s">
        <v>141</v>
      </c>
      <c r="H164" s="81"/>
      <c r="I164" s="89" t="str">
        <f>IF(A164="","Pending",IF(H164="","⚠️ Enter Agent Code",IF(IFERROR(VLOOKUP(G164,DB_Agents!$B:$I,8,0),"")=H164,IF(AND(A164&lt;&gt;"",E164&lt;&gt;""),"Saved","Pending"),"🔒 BLOCKED — Wrong Code")))</f>
        <v>Pending</v>
      </c>
      <c r="J164" s="90" t="str">
        <f t="shared" ca="1" si="14"/>
        <v>—</v>
      </c>
      <c r="K164" s="91"/>
    </row>
    <row r="165" spans="1:11" ht="15" customHeight="1" x14ac:dyDescent="0.25">
      <c r="A165" s="76"/>
      <c r="B165" s="37" t="str">
        <f>IF(A165="","",IFERROR(VLOOKUP(A165,DB_Customers!$A:$D,4,0),"❌ Account Not Found"))</f>
        <v/>
      </c>
      <c r="C165" s="77" t="str">
        <f>IF(A165="","",IFERROR(IF(SUMIF(DB_Savings!$C:$C,A165,DB_Savings!$F:$F)=0,VLOOKUP(A165,DB_Customers!$A:$I,9,0),VLOOKUP(A165,DB_Customers!$A:$N,14,0)),"❌ Acct Not Found"))</f>
        <v/>
      </c>
      <c r="D165" s="78" t="str">
        <f t="shared" ca="1" si="12"/>
        <v/>
      </c>
      <c r="E165" s="79"/>
      <c r="F165" s="80" t="str">
        <f t="shared" si="13"/>
        <v/>
      </c>
      <c r="G165" s="39" t="s">
        <v>141</v>
      </c>
      <c r="H165" s="81"/>
      <c r="I165" s="82" t="str">
        <f>IF(A165="","Pending",IF(H165="","⚠️ Enter Agent Code",IF(IFERROR(VLOOKUP(G165,DB_Agents!$B:$I,8,0),"")=H165,IF(AND(A165&lt;&gt;"",E165&lt;&gt;""),"Saved","Pending"),"🔒 BLOCKED — Wrong Code")))</f>
        <v>Pending</v>
      </c>
      <c r="J165" s="83" t="str">
        <f t="shared" ca="1" si="14"/>
        <v>—</v>
      </c>
      <c r="K165" s="84"/>
    </row>
    <row r="166" spans="1:11" ht="15" customHeight="1" x14ac:dyDescent="0.25">
      <c r="A166" s="85"/>
      <c r="B166" s="41" t="str">
        <f>IF(A166="","",IFERROR(VLOOKUP(A166,DB_Customers!$A:$D,4,0),"❌ Account Not Found"))</f>
        <v/>
      </c>
      <c r="C166" s="86" t="str">
        <f>IF(A166="","",IFERROR(IF(SUMIF(DB_Savings!$C:$C,A166,DB_Savings!$F:$F)=0,VLOOKUP(A166,DB_Customers!$A:$I,9,0),VLOOKUP(A166,DB_Customers!$A:$N,14,0)),"❌ Acct Not Found"))</f>
        <v/>
      </c>
      <c r="D166" s="87" t="str">
        <f t="shared" ca="1" si="12"/>
        <v/>
      </c>
      <c r="E166" s="79"/>
      <c r="F166" s="88" t="str">
        <f t="shared" si="13"/>
        <v/>
      </c>
      <c r="G166" s="43" t="s">
        <v>141</v>
      </c>
      <c r="H166" s="81"/>
      <c r="I166" s="89" t="str">
        <f>IF(A166="","Pending",IF(H166="","⚠️ Enter Agent Code",IF(IFERROR(VLOOKUP(G166,DB_Agents!$B:$I,8,0),"")=H166,IF(AND(A166&lt;&gt;"",E166&lt;&gt;""),"Saved","Pending"),"🔒 BLOCKED — Wrong Code")))</f>
        <v>Pending</v>
      </c>
      <c r="J166" s="90" t="str">
        <f t="shared" ca="1" si="14"/>
        <v>—</v>
      </c>
      <c r="K166" s="91"/>
    </row>
    <row r="167" spans="1:11" ht="15" customHeight="1" x14ac:dyDescent="0.25">
      <c r="A167" s="76"/>
      <c r="B167" s="37" t="str">
        <f>IF(A167="","",IFERROR(VLOOKUP(A167,DB_Customers!$A:$D,4,0),"❌ Account Not Found"))</f>
        <v/>
      </c>
      <c r="C167" s="77" t="str">
        <f>IF(A167="","",IFERROR(IF(SUMIF(DB_Savings!$C:$C,A167,DB_Savings!$F:$F)=0,VLOOKUP(A167,DB_Customers!$A:$I,9,0),VLOOKUP(A167,DB_Customers!$A:$N,14,0)),"❌ Acct Not Found"))</f>
        <v/>
      </c>
      <c r="D167" s="78" t="str">
        <f t="shared" ca="1" si="12"/>
        <v/>
      </c>
      <c r="E167" s="79"/>
      <c r="F167" s="80" t="str">
        <f t="shared" si="13"/>
        <v/>
      </c>
      <c r="G167" s="39" t="s">
        <v>141</v>
      </c>
      <c r="H167" s="81"/>
      <c r="I167" s="82" t="str">
        <f>IF(A167="","Pending",IF(H167="","⚠️ Enter Agent Code",IF(IFERROR(VLOOKUP(G167,DB_Agents!$B:$I,8,0),"")=H167,IF(AND(A167&lt;&gt;"",E167&lt;&gt;""),"Saved","Pending"),"🔒 BLOCKED — Wrong Code")))</f>
        <v>Pending</v>
      </c>
      <c r="J167" s="83" t="str">
        <f t="shared" ca="1" si="14"/>
        <v>—</v>
      </c>
      <c r="K167" s="84"/>
    </row>
    <row r="168" spans="1:11" ht="15" customHeight="1" x14ac:dyDescent="0.25">
      <c r="A168" s="85"/>
      <c r="B168" s="41" t="str">
        <f>IF(A168="","",IFERROR(VLOOKUP(A168,DB_Customers!$A:$D,4,0),"❌ Account Not Found"))</f>
        <v/>
      </c>
      <c r="C168" s="86" t="str">
        <f>IF(A168="","",IFERROR(IF(SUMIF(DB_Savings!$C:$C,A168,DB_Savings!$F:$F)=0,VLOOKUP(A168,DB_Customers!$A:$I,9,0),VLOOKUP(A168,DB_Customers!$A:$N,14,0)),"❌ Acct Not Found"))</f>
        <v/>
      </c>
      <c r="D168" s="87" t="str">
        <f t="shared" ca="1" si="12"/>
        <v/>
      </c>
      <c r="E168" s="79"/>
      <c r="F168" s="88" t="str">
        <f t="shared" si="13"/>
        <v/>
      </c>
      <c r="G168" s="43" t="s">
        <v>141</v>
      </c>
      <c r="H168" s="81"/>
      <c r="I168" s="89" t="str">
        <f>IF(A168="","Pending",IF(H168="","⚠️ Enter Agent Code",IF(IFERROR(VLOOKUP(G168,DB_Agents!$B:$I,8,0),"")=H168,IF(AND(A168&lt;&gt;"",E168&lt;&gt;""),"Saved","Pending"),"🔒 BLOCKED — Wrong Code")))</f>
        <v>Pending</v>
      </c>
      <c r="J168" s="90" t="str">
        <f t="shared" ca="1" si="14"/>
        <v>—</v>
      </c>
      <c r="K168" s="91"/>
    </row>
    <row r="169" spans="1:11" ht="15" customHeight="1" x14ac:dyDescent="0.25">
      <c r="A169" s="76"/>
      <c r="B169" s="37" t="str">
        <f>IF(A169="","",IFERROR(VLOOKUP(A169,DB_Customers!$A:$D,4,0),"❌ Account Not Found"))</f>
        <v/>
      </c>
      <c r="C169" s="77" t="str">
        <f>IF(A169="","",IFERROR(IF(SUMIF(DB_Savings!$C:$C,A169,DB_Savings!$F:$F)=0,VLOOKUP(A169,DB_Customers!$A:$I,9,0),VLOOKUP(A169,DB_Customers!$A:$N,14,0)),"❌ Acct Not Found"))</f>
        <v/>
      </c>
      <c r="D169" s="78" t="str">
        <f t="shared" ref="D169:D200" ca="1" si="15">IF(A169="","",TODAY())</f>
        <v/>
      </c>
      <c r="E169" s="79"/>
      <c r="F169" s="80" t="str">
        <f t="shared" ref="F169:F200" si="16">IF(OR(A169="",E169=""),"",IF(C169="","",C169+E169))</f>
        <v/>
      </c>
      <c r="G169" s="39" t="s">
        <v>141</v>
      </c>
      <c r="H169" s="81"/>
      <c r="I169" s="82" t="str">
        <f>IF(A169="","Pending",IF(H169="","⚠️ Enter Agent Code",IF(IFERROR(VLOOKUP(G169,DB_Agents!$B:$I,8,0),"")=H169,IF(AND(A169&lt;&gt;"",E169&lt;&gt;""),"Saved","Pending"),"🔒 BLOCKED — Wrong Code")))</f>
        <v>Pending</v>
      </c>
      <c r="J169" s="83" t="str">
        <f t="shared" ref="J169:J200" ca="1" si="17">IF(I169="Saved",TEXT(TODAY(),"YYYY-MM-DD")&amp;" Auto","—")</f>
        <v>—</v>
      </c>
      <c r="K169" s="84"/>
    </row>
    <row r="170" spans="1:11" ht="15" customHeight="1" x14ac:dyDescent="0.25">
      <c r="A170" s="85"/>
      <c r="B170" s="41" t="str">
        <f>IF(A170="","",IFERROR(VLOOKUP(A170,DB_Customers!$A:$D,4,0),"❌ Account Not Found"))</f>
        <v/>
      </c>
      <c r="C170" s="86" t="str">
        <f>IF(A170="","",IFERROR(IF(SUMIF(DB_Savings!$C:$C,A170,DB_Savings!$F:$F)=0,VLOOKUP(A170,DB_Customers!$A:$I,9,0),VLOOKUP(A170,DB_Customers!$A:$N,14,0)),"❌ Acct Not Found"))</f>
        <v/>
      </c>
      <c r="D170" s="87" t="str">
        <f t="shared" ca="1" si="15"/>
        <v/>
      </c>
      <c r="E170" s="79"/>
      <c r="F170" s="88" t="str">
        <f t="shared" si="16"/>
        <v/>
      </c>
      <c r="G170" s="43" t="s">
        <v>141</v>
      </c>
      <c r="H170" s="81"/>
      <c r="I170" s="89" t="str">
        <f>IF(A170="","Pending",IF(H170="","⚠️ Enter Agent Code",IF(IFERROR(VLOOKUP(G170,DB_Agents!$B:$I,8,0),"")=H170,IF(AND(A170&lt;&gt;"",E170&lt;&gt;""),"Saved","Pending"),"🔒 BLOCKED — Wrong Code")))</f>
        <v>Pending</v>
      </c>
      <c r="J170" s="90" t="str">
        <f t="shared" ca="1" si="17"/>
        <v>—</v>
      </c>
      <c r="K170" s="91"/>
    </row>
    <row r="171" spans="1:11" ht="15" customHeight="1" x14ac:dyDescent="0.25">
      <c r="A171" s="76"/>
      <c r="B171" s="37" t="str">
        <f>IF(A171="","",IFERROR(VLOOKUP(A171,DB_Customers!$A:$D,4,0),"❌ Account Not Found"))</f>
        <v/>
      </c>
      <c r="C171" s="77" t="str">
        <f>IF(A171="","",IFERROR(IF(SUMIF(DB_Savings!$C:$C,A171,DB_Savings!$F:$F)=0,VLOOKUP(A171,DB_Customers!$A:$I,9,0),VLOOKUP(A171,DB_Customers!$A:$N,14,0)),"❌ Acct Not Found"))</f>
        <v/>
      </c>
      <c r="D171" s="78" t="str">
        <f t="shared" ca="1" si="15"/>
        <v/>
      </c>
      <c r="E171" s="79"/>
      <c r="F171" s="80" t="str">
        <f t="shared" si="16"/>
        <v/>
      </c>
      <c r="G171" s="39" t="s">
        <v>141</v>
      </c>
      <c r="H171" s="81"/>
      <c r="I171" s="82" t="str">
        <f>IF(A171="","Pending",IF(H171="","⚠️ Enter Agent Code",IF(IFERROR(VLOOKUP(G171,DB_Agents!$B:$I,8,0),"")=H171,IF(AND(A171&lt;&gt;"",E171&lt;&gt;""),"Saved","Pending"),"🔒 BLOCKED — Wrong Code")))</f>
        <v>Pending</v>
      </c>
      <c r="J171" s="83" t="str">
        <f t="shared" ca="1" si="17"/>
        <v>—</v>
      </c>
      <c r="K171" s="84"/>
    </row>
    <row r="172" spans="1:11" ht="15" customHeight="1" x14ac:dyDescent="0.25">
      <c r="A172" s="85"/>
      <c r="B172" s="41" t="str">
        <f>IF(A172="","",IFERROR(VLOOKUP(A172,DB_Customers!$A:$D,4,0),"❌ Account Not Found"))</f>
        <v/>
      </c>
      <c r="C172" s="86" t="str">
        <f>IF(A172="","",IFERROR(IF(SUMIF(DB_Savings!$C:$C,A172,DB_Savings!$F:$F)=0,VLOOKUP(A172,DB_Customers!$A:$I,9,0),VLOOKUP(A172,DB_Customers!$A:$N,14,0)),"❌ Acct Not Found"))</f>
        <v/>
      </c>
      <c r="D172" s="87" t="str">
        <f t="shared" ca="1" si="15"/>
        <v/>
      </c>
      <c r="E172" s="79"/>
      <c r="F172" s="88" t="str">
        <f t="shared" si="16"/>
        <v/>
      </c>
      <c r="G172" s="43" t="s">
        <v>141</v>
      </c>
      <c r="H172" s="81"/>
      <c r="I172" s="89" t="str">
        <f>IF(A172="","Pending",IF(H172="","⚠️ Enter Agent Code",IF(IFERROR(VLOOKUP(G172,DB_Agents!$B:$I,8,0),"")=H172,IF(AND(A172&lt;&gt;"",E172&lt;&gt;""),"Saved","Pending"),"🔒 BLOCKED — Wrong Code")))</f>
        <v>Pending</v>
      </c>
      <c r="J172" s="90" t="str">
        <f t="shared" ca="1" si="17"/>
        <v>—</v>
      </c>
      <c r="K172" s="91"/>
    </row>
    <row r="173" spans="1:11" ht="15" customHeight="1" x14ac:dyDescent="0.25">
      <c r="A173" s="76"/>
      <c r="B173" s="37" t="str">
        <f>IF(A173="","",IFERROR(VLOOKUP(A173,DB_Customers!$A:$D,4,0),"❌ Account Not Found"))</f>
        <v/>
      </c>
      <c r="C173" s="77" t="str">
        <f>IF(A173="","",IFERROR(IF(SUMIF(DB_Savings!$C:$C,A173,DB_Savings!$F:$F)=0,VLOOKUP(A173,DB_Customers!$A:$I,9,0),VLOOKUP(A173,DB_Customers!$A:$N,14,0)),"❌ Acct Not Found"))</f>
        <v/>
      </c>
      <c r="D173" s="78" t="str">
        <f t="shared" ca="1" si="15"/>
        <v/>
      </c>
      <c r="E173" s="79"/>
      <c r="F173" s="80" t="str">
        <f t="shared" si="16"/>
        <v/>
      </c>
      <c r="G173" s="39" t="s">
        <v>141</v>
      </c>
      <c r="H173" s="81"/>
      <c r="I173" s="82" t="str">
        <f>IF(A173="","Pending",IF(H173="","⚠️ Enter Agent Code",IF(IFERROR(VLOOKUP(G173,DB_Agents!$B:$I,8,0),"")=H173,IF(AND(A173&lt;&gt;"",E173&lt;&gt;""),"Saved","Pending"),"🔒 BLOCKED — Wrong Code")))</f>
        <v>Pending</v>
      </c>
      <c r="J173" s="83" t="str">
        <f t="shared" ca="1" si="17"/>
        <v>—</v>
      </c>
      <c r="K173" s="84"/>
    </row>
    <row r="174" spans="1:11" ht="15" customHeight="1" x14ac:dyDescent="0.25">
      <c r="A174" s="85"/>
      <c r="B174" s="41" t="str">
        <f>IF(A174="","",IFERROR(VLOOKUP(A174,DB_Customers!$A:$D,4,0),"❌ Account Not Found"))</f>
        <v/>
      </c>
      <c r="C174" s="86" t="str">
        <f>IF(A174="","",IFERROR(IF(SUMIF(DB_Savings!$C:$C,A174,DB_Savings!$F:$F)=0,VLOOKUP(A174,DB_Customers!$A:$I,9,0),VLOOKUP(A174,DB_Customers!$A:$N,14,0)),"❌ Acct Not Found"))</f>
        <v/>
      </c>
      <c r="D174" s="87" t="str">
        <f t="shared" ca="1" si="15"/>
        <v/>
      </c>
      <c r="E174" s="79"/>
      <c r="F174" s="88" t="str">
        <f t="shared" si="16"/>
        <v/>
      </c>
      <c r="G174" s="43" t="s">
        <v>141</v>
      </c>
      <c r="H174" s="81"/>
      <c r="I174" s="89" t="str">
        <f>IF(A174="","Pending",IF(H174="","⚠️ Enter Agent Code",IF(IFERROR(VLOOKUP(G174,DB_Agents!$B:$I,8,0),"")=H174,IF(AND(A174&lt;&gt;"",E174&lt;&gt;""),"Saved","Pending"),"🔒 BLOCKED — Wrong Code")))</f>
        <v>Pending</v>
      </c>
      <c r="J174" s="90" t="str">
        <f t="shared" ca="1" si="17"/>
        <v>—</v>
      </c>
      <c r="K174" s="91"/>
    </row>
    <row r="175" spans="1:11" ht="15" customHeight="1" x14ac:dyDescent="0.25">
      <c r="A175" s="76"/>
      <c r="B175" s="37" t="str">
        <f>IF(A175="","",IFERROR(VLOOKUP(A175,DB_Customers!$A:$D,4,0),"❌ Account Not Found"))</f>
        <v/>
      </c>
      <c r="C175" s="77" t="str">
        <f>IF(A175="","",IFERROR(IF(SUMIF(DB_Savings!$C:$C,A175,DB_Savings!$F:$F)=0,VLOOKUP(A175,DB_Customers!$A:$I,9,0),VLOOKUP(A175,DB_Customers!$A:$N,14,0)),"❌ Acct Not Found"))</f>
        <v/>
      </c>
      <c r="D175" s="78" t="str">
        <f t="shared" ca="1" si="15"/>
        <v/>
      </c>
      <c r="E175" s="79"/>
      <c r="F175" s="80" t="str">
        <f t="shared" si="16"/>
        <v/>
      </c>
      <c r="G175" s="39" t="s">
        <v>141</v>
      </c>
      <c r="H175" s="81"/>
      <c r="I175" s="82" t="str">
        <f>IF(A175="","Pending",IF(H175="","⚠️ Enter Agent Code",IF(IFERROR(VLOOKUP(G175,DB_Agents!$B:$I,8,0),"")=H175,IF(AND(A175&lt;&gt;"",E175&lt;&gt;""),"Saved","Pending"),"🔒 BLOCKED — Wrong Code")))</f>
        <v>Pending</v>
      </c>
      <c r="J175" s="83" t="str">
        <f t="shared" ca="1" si="17"/>
        <v>—</v>
      </c>
      <c r="K175" s="84"/>
    </row>
    <row r="176" spans="1:11" ht="15" customHeight="1" x14ac:dyDescent="0.25">
      <c r="A176" s="85"/>
      <c r="B176" s="41" t="str">
        <f>IF(A176="","",IFERROR(VLOOKUP(A176,DB_Customers!$A:$D,4,0),"❌ Account Not Found"))</f>
        <v/>
      </c>
      <c r="C176" s="86" t="str">
        <f>IF(A176="","",IFERROR(IF(SUMIF(DB_Savings!$C:$C,A176,DB_Savings!$F:$F)=0,VLOOKUP(A176,DB_Customers!$A:$I,9,0),VLOOKUP(A176,DB_Customers!$A:$N,14,0)),"❌ Acct Not Found"))</f>
        <v/>
      </c>
      <c r="D176" s="87" t="str">
        <f t="shared" ca="1" si="15"/>
        <v/>
      </c>
      <c r="E176" s="79"/>
      <c r="F176" s="88" t="str">
        <f t="shared" si="16"/>
        <v/>
      </c>
      <c r="G176" s="43" t="s">
        <v>141</v>
      </c>
      <c r="H176" s="81"/>
      <c r="I176" s="89" t="str">
        <f>IF(A176="","Pending",IF(H176="","⚠️ Enter Agent Code",IF(IFERROR(VLOOKUP(G176,DB_Agents!$B:$I,8,0),"")=H176,IF(AND(A176&lt;&gt;"",E176&lt;&gt;""),"Saved","Pending"),"🔒 BLOCKED — Wrong Code")))</f>
        <v>Pending</v>
      </c>
      <c r="J176" s="90" t="str">
        <f t="shared" ca="1" si="17"/>
        <v>—</v>
      </c>
      <c r="K176" s="91"/>
    </row>
    <row r="177" spans="1:11" ht="15" customHeight="1" x14ac:dyDescent="0.25">
      <c r="A177" s="76"/>
      <c r="B177" s="37" t="str">
        <f>IF(A177="","",IFERROR(VLOOKUP(A177,DB_Customers!$A:$D,4,0),"❌ Account Not Found"))</f>
        <v/>
      </c>
      <c r="C177" s="77" t="str">
        <f>IF(A177="","",IFERROR(IF(SUMIF(DB_Savings!$C:$C,A177,DB_Savings!$F:$F)=0,VLOOKUP(A177,DB_Customers!$A:$I,9,0),VLOOKUP(A177,DB_Customers!$A:$N,14,0)),"❌ Acct Not Found"))</f>
        <v/>
      </c>
      <c r="D177" s="78" t="str">
        <f t="shared" ca="1" si="15"/>
        <v/>
      </c>
      <c r="E177" s="79"/>
      <c r="F177" s="80" t="str">
        <f t="shared" si="16"/>
        <v/>
      </c>
      <c r="G177" s="39" t="s">
        <v>141</v>
      </c>
      <c r="H177" s="81"/>
      <c r="I177" s="82" t="str">
        <f>IF(A177="","Pending",IF(H177="","⚠️ Enter Agent Code",IF(IFERROR(VLOOKUP(G177,DB_Agents!$B:$I,8,0),"")=H177,IF(AND(A177&lt;&gt;"",E177&lt;&gt;""),"Saved","Pending"),"🔒 BLOCKED — Wrong Code")))</f>
        <v>Pending</v>
      </c>
      <c r="J177" s="83" t="str">
        <f t="shared" ca="1" si="17"/>
        <v>—</v>
      </c>
      <c r="K177" s="84"/>
    </row>
    <row r="178" spans="1:11" ht="15" customHeight="1" x14ac:dyDescent="0.25">
      <c r="A178" s="85"/>
      <c r="B178" s="41" t="str">
        <f>IF(A178="","",IFERROR(VLOOKUP(A178,DB_Customers!$A:$D,4,0),"❌ Account Not Found"))</f>
        <v/>
      </c>
      <c r="C178" s="86" t="str">
        <f>IF(A178="","",IFERROR(IF(SUMIF(DB_Savings!$C:$C,A178,DB_Savings!$F:$F)=0,VLOOKUP(A178,DB_Customers!$A:$I,9,0),VLOOKUP(A178,DB_Customers!$A:$N,14,0)),"❌ Acct Not Found"))</f>
        <v/>
      </c>
      <c r="D178" s="87" t="str">
        <f t="shared" ca="1" si="15"/>
        <v/>
      </c>
      <c r="E178" s="79"/>
      <c r="F178" s="88" t="str">
        <f t="shared" si="16"/>
        <v/>
      </c>
      <c r="G178" s="43" t="s">
        <v>141</v>
      </c>
      <c r="H178" s="81"/>
      <c r="I178" s="89" t="str">
        <f>IF(A178="","Pending",IF(H178="","⚠️ Enter Agent Code",IF(IFERROR(VLOOKUP(G178,DB_Agents!$B:$I,8,0),"")=H178,IF(AND(A178&lt;&gt;"",E178&lt;&gt;""),"Saved","Pending"),"🔒 BLOCKED — Wrong Code")))</f>
        <v>Pending</v>
      </c>
      <c r="J178" s="90" t="str">
        <f t="shared" ca="1" si="17"/>
        <v>—</v>
      </c>
      <c r="K178" s="91"/>
    </row>
    <row r="179" spans="1:11" ht="15" customHeight="1" x14ac:dyDescent="0.25">
      <c r="A179" s="76"/>
      <c r="B179" s="37" t="str">
        <f>IF(A179="","",IFERROR(VLOOKUP(A179,DB_Customers!$A:$D,4,0),"❌ Account Not Found"))</f>
        <v/>
      </c>
      <c r="C179" s="77" t="str">
        <f>IF(A179="","",IFERROR(IF(SUMIF(DB_Savings!$C:$C,A179,DB_Savings!$F:$F)=0,VLOOKUP(A179,DB_Customers!$A:$I,9,0),VLOOKUP(A179,DB_Customers!$A:$N,14,0)),"❌ Acct Not Found"))</f>
        <v/>
      </c>
      <c r="D179" s="78" t="str">
        <f t="shared" ca="1" si="15"/>
        <v/>
      </c>
      <c r="E179" s="79"/>
      <c r="F179" s="80" t="str">
        <f t="shared" si="16"/>
        <v/>
      </c>
      <c r="G179" s="39" t="s">
        <v>141</v>
      </c>
      <c r="H179" s="81"/>
      <c r="I179" s="82" t="str">
        <f>IF(A179="","Pending",IF(H179="","⚠️ Enter Agent Code",IF(IFERROR(VLOOKUP(G179,DB_Agents!$B:$I,8,0),"")=H179,IF(AND(A179&lt;&gt;"",E179&lt;&gt;""),"Saved","Pending"),"🔒 BLOCKED — Wrong Code")))</f>
        <v>Pending</v>
      </c>
      <c r="J179" s="83" t="str">
        <f t="shared" ca="1" si="17"/>
        <v>—</v>
      </c>
      <c r="K179" s="84"/>
    </row>
    <row r="180" spans="1:11" ht="15" customHeight="1" x14ac:dyDescent="0.25">
      <c r="A180" s="85"/>
      <c r="B180" s="41" t="str">
        <f>IF(A180="","",IFERROR(VLOOKUP(A180,DB_Customers!$A:$D,4,0),"❌ Account Not Found"))</f>
        <v/>
      </c>
      <c r="C180" s="86" t="str">
        <f>IF(A180="","",IFERROR(IF(SUMIF(DB_Savings!$C:$C,A180,DB_Savings!$F:$F)=0,VLOOKUP(A180,DB_Customers!$A:$I,9,0),VLOOKUP(A180,DB_Customers!$A:$N,14,0)),"❌ Acct Not Found"))</f>
        <v/>
      </c>
      <c r="D180" s="87" t="str">
        <f t="shared" ca="1" si="15"/>
        <v/>
      </c>
      <c r="E180" s="79"/>
      <c r="F180" s="88" t="str">
        <f t="shared" si="16"/>
        <v/>
      </c>
      <c r="G180" s="43" t="s">
        <v>141</v>
      </c>
      <c r="H180" s="81"/>
      <c r="I180" s="89" t="str">
        <f>IF(A180="","Pending",IF(H180="","⚠️ Enter Agent Code",IF(IFERROR(VLOOKUP(G180,DB_Agents!$B:$I,8,0),"")=H180,IF(AND(A180&lt;&gt;"",E180&lt;&gt;""),"Saved","Pending"),"🔒 BLOCKED — Wrong Code")))</f>
        <v>Pending</v>
      </c>
      <c r="J180" s="90" t="str">
        <f t="shared" ca="1" si="17"/>
        <v>—</v>
      </c>
      <c r="K180" s="91"/>
    </row>
    <row r="181" spans="1:11" ht="15" customHeight="1" x14ac:dyDescent="0.25">
      <c r="A181" s="76"/>
      <c r="B181" s="37" t="str">
        <f>IF(A181="","",IFERROR(VLOOKUP(A181,DB_Customers!$A:$D,4,0),"❌ Account Not Found"))</f>
        <v/>
      </c>
      <c r="C181" s="77" t="str">
        <f>IF(A181="","",IFERROR(IF(SUMIF(DB_Savings!$C:$C,A181,DB_Savings!$F:$F)=0,VLOOKUP(A181,DB_Customers!$A:$I,9,0),VLOOKUP(A181,DB_Customers!$A:$N,14,0)),"❌ Acct Not Found"))</f>
        <v/>
      </c>
      <c r="D181" s="78" t="str">
        <f t="shared" ca="1" si="15"/>
        <v/>
      </c>
      <c r="E181" s="79"/>
      <c r="F181" s="80" t="str">
        <f t="shared" si="16"/>
        <v/>
      </c>
      <c r="G181" s="39" t="s">
        <v>141</v>
      </c>
      <c r="H181" s="81"/>
      <c r="I181" s="82" t="str">
        <f>IF(A181="","Pending",IF(H181="","⚠️ Enter Agent Code",IF(IFERROR(VLOOKUP(G181,DB_Agents!$B:$I,8,0),"")=H181,IF(AND(A181&lt;&gt;"",E181&lt;&gt;""),"Saved","Pending"),"🔒 BLOCKED — Wrong Code")))</f>
        <v>Pending</v>
      </c>
      <c r="J181" s="83" t="str">
        <f t="shared" ca="1" si="17"/>
        <v>—</v>
      </c>
      <c r="K181" s="84"/>
    </row>
    <row r="182" spans="1:11" ht="15" customHeight="1" x14ac:dyDescent="0.25">
      <c r="A182" s="85"/>
      <c r="B182" s="41" t="str">
        <f>IF(A182="","",IFERROR(VLOOKUP(A182,DB_Customers!$A:$D,4,0),"❌ Account Not Found"))</f>
        <v/>
      </c>
      <c r="C182" s="86" t="str">
        <f>IF(A182="","",IFERROR(IF(SUMIF(DB_Savings!$C:$C,A182,DB_Savings!$F:$F)=0,VLOOKUP(A182,DB_Customers!$A:$I,9,0),VLOOKUP(A182,DB_Customers!$A:$N,14,0)),"❌ Acct Not Found"))</f>
        <v/>
      </c>
      <c r="D182" s="87" t="str">
        <f t="shared" ca="1" si="15"/>
        <v/>
      </c>
      <c r="E182" s="79"/>
      <c r="F182" s="88" t="str">
        <f t="shared" si="16"/>
        <v/>
      </c>
      <c r="G182" s="43" t="s">
        <v>141</v>
      </c>
      <c r="H182" s="81"/>
      <c r="I182" s="89" t="str">
        <f>IF(A182="","Pending",IF(H182="","⚠️ Enter Agent Code",IF(IFERROR(VLOOKUP(G182,DB_Agents!$B:$I,8,0),"")=H182,IF(AND(A182&lt;&gt;"",E182&lt;&gt;""),"Saved","Pending"),"🔒 BLOCKED — Wrong Code")))</f>
        <v>Pending</v>
      </c>
      <c r="J182" s="90" t="str">
        <f t="shared" ca="1" si="17"/>
        <v>—</v>
      </c>
      <c r="K182" s="91"/>
    </row>
    <row r="183" spans="1:11" ht="15" customHeight="1" x14ac:dyDescent="0.25">
      <c r="A183" s="76"/>
      <c r="B183" s="37" t="str">
        <f>IF(A183="","",IFERROR(VLOOKUP(A183,DB_Customers!$A:$D,4,0),"❌ Account Not Found"))</f>
        <v/>
      </c>
      <c r="C183" s="77" t="str">
        <f>IF(A183="","",IFERROR(IF(SUMIF(DB_Savings!$C:$C,A183,DB_Savings!$F:$F)=0,VLOOKUP(A183,DB_Customers!$A:$I,9,0),VLOOKUP(A183,DB_Customers!$A:$N,14,0)),"❌ Acct Not Found"))</f>
        <v/>
      </c>
      <c r="D183" s="78" t="str">
        <f t="shared" ca="1" si="15"/>
        <v/>
      </c>
      <c r="E183" s="79"/>
      <c r="F183" s="80" t="str">
        <f t="shared" si="16"/>
        <v/>
      </c>
      <c r="G183" s="39" t="s">
        <v>141</v>
      </c>
      <c r="H183" s="81"/>
      <c r="I183" s="82" t="str">
        <f>IF(A183="","Pending",IF(H183="","⚠️ Enter Agent Code",IF(IFERROR(VLOOKUP(G183,DB_Agents!$B:$I,8,0),"")=H183,IF(AND(A183&lt;&gt;"",E183&lt;&gt;""),"Saved","Pending"),"🔒 BLOCKED — Wrong Code")))</f>
        <v>Pending</v>
      </c>
      <c r="J183" s="83" t="str">
        <f t="shared" ca="1" si="17"/>
        <v>—</v>
      </c>
      <c r="K183" s="84"/>
    </row>
    <row r="184" spans="1:11" ht="15" customHeight="1" x14ac:dyDescent="0.25">
      <c r="A184" s="85"/>
      <c r="B184" s="41" t="str">
        <f>IF(A184="","",IFERROR(VLOOKUP(A184,DB_Customers!$A:$D,4,0),"❌ Account Not Found"))</f>
        <v/>
      </c>
      <c r="C184" s="86" t="str">
        <f>IF(A184="","",IFERROR(IF(SUMIF(DB_Savings!$C:$C,A184,DB_Savings!$F:$F)=0,VLOOKUP(A184,DB_Customers!$A:$I,9,0),VLOOKUP(A184,DB_Customers!$A:$N,14,0)),"❌ Acct Not Found"))</f>
        <v/>
      </c>
      <c r="D184" s="87" t="str">
        <f t="shared" ca="1" si="15"/>
        <v/>
      </c>
      <c r="E184" s="79"/>
      <c r="F184" s="88" t="str">
        <f t="shared" si="16"/>
        <v/>
      </c>
      <c r="G184" s="43" t="s">
        <v>141</v>
      </c>
      <c r="H184" s="81"/>
      <c r="I184" s="89" t="str">
        <f>IF(A184="","Pending",IF(H184="","⚠️ Enter Agent Code",IF(IFERROR(VLOOKUP(G184,DB_Agents!$B:$I,8,0),"")=H184,IF(AND(A184&lt;&gt;"",E184&lt;&gt;""),"Saved","Pending"),"🔒 BLOCKED — Wrong Code")))</f>
        <v>Pending</v>
      </c>
      <c r="J184" s="90" t="str">
        <f t="shared" ca="1" si="17"/>
        <v>—</v>
      </c>
      <c r="K184" s="91"/>
    </row>
    <row r="185" spans="1:11" ht="15" customHeight="1" x14ac:dyDescent="0.25">
      <c r="A185" s="76"/>
      <c r="B185" s="37" t="str">
        <f>IF(A185="","",IFERROR(VLOOKUP(A185,DB_Customers!$A:$D,4,0),"❌ Account Not Found"))</f>
        <v/>
      </c>
      <c r="C185" s="77" t="str">
        <f>IF(A185="","",IFERROR(IF(SUMIF(DB_Savings!$C:$C,A185,DB_Savings!$F:$F)=0,VLOOKUP(A185,DB_Customers!$A:$I,9,0),VLOOKUP(A185,DB_Customers!$A:$N,14,0)),"❌ Acct Not Found"))</f>
        <v/>
      </c>
      <c r="D185" s="78" t="str">
        <f t="shared" ca="1" si="15"/>
        <v/>
      </c>
      <c r="E185" s="79"/>
      <c r="F185" s="80" t="str">
        <f t="shared" si="16"/>
        <v/>
      </c>
      <c r="G185" s="39" t="s">
        <v>141</v>
      </c>
      <c r="H185" s="81"/>
      <c r="I185" s="82" t="str">
        <f>IF(A185="","Pending",IF(H185="","⚠️ Enter Agent Code",IF(IFERROR(VLOOKUP(G185,DB_Agents!$B:$I,8,0),"")=H185,IF(AND(A185&lt;&gt;"",E185&lt;&gt;""),"Saved","Pending"),"🔒 BLOCKED — Wrong Code")))</f>
        <v>Pending</v>
      </c>
      <c r="J185" s="83" t="str">
        <f t="shared" ca="1" si="17"/>
        <v>—</v>
      </c>
      <c r="K185" s="84"/>
    </row>
    <row r="186" spans="1:11" ht="15" customHeight="1" x14ac:dyDescent="0.25">
      <c r="A186" s="85"/>
      <c r="B186" s="41" t="str">
        <f>IF(A186="","",IFERROR(VLOOKUP(A186,DB_Customers!$A:$D,4,0),"❌ Account Not Found"))</f>
        <v/>
      </c>
      <c r="C186" s="86" t="str">
        <f>IF(A186="","",IFERROR(IF(SUMIF(DB_Savings!$C:$C,A186,DB_Savings!$F:$F)=0,VLOOKUP(A186,DB_Customers!$A:$I,9,0),VLOOKUP(A186,DB_Customers!$A:$N,14,0)),"❌ Acct Not Found"))</f>
        <v/>
      </c>
      <c r="D186" s="87" t="str">
        <f t="shared" ca="1" si="15"/>
        <v/>
      </c>
      <c r="E186" s="79"/>
      <c r="F186" s="88" t="str">
        <f t="shared" si="16"/>
        <v/>
      </c>
      <c r="G186" s="43" t="s">
        <v>141</v>
      </c>
      <c r="H186" s="81"/>
      <c r="I186" s="89" t="str">
        <f>IF(A186="","Pending",IF(H186="","⚠️ Enter Agent Code",IF(IFERROR(VLOOKUP(G186,DB_Agents!$B:$I,8,0),"")=H186,IF(AND(A186&lt;&gt;"",E186&lt;&gt;""),"Saved","Pending"),"🔒 BLOCKED — Wrong Code")))</f>
        <v>Pending</v>
      </c>
      <c r="J186" s="90" t="str">
        <f t="shared" ca="1" si="17"/>
        <v>—</v>
      </c>
      <c r="K186" s="91"/>
    </row>
    <row r="187" spans="1:11" ht="15" customHeight="1" x14ac:dyDescent="0.25">
      <c r="A187" s="76"/>
      <c r="B187" s="37" t="str">
        <f>IF(A187="","",IFERROR(VLOOKUP(A187,DB_Customers!$A:$D,4,0),"❌ Account Not Found"))</f>
        <v/>
      </c>
      <c r="C187" s="77" t="str">
        <f>IF(A187="","",IFERROR(IF(SUMIF(DB_Savings!$C:$C,A187,DB_Savings!$F:$F)=0,VLOOKUP(A187,DB_Customers!$A:$I,9,0),VLOOKUP(A187,DB_Customers!$A:$N,14,0)),"❌ Acct Not Found"))</f>
        <v/>
      </c>
      <c r="D187" s="78" t="str">
        <f t="shared" ca="1" si="15"/>
        <v/>
      </c>
      <c r="E187" s="79"/>
      <c r="F187" s="80" t="str">
        <f t="shared" si="16"/>
        <v/>
      </c>
      <c r="G187" s="39" t="s">
        <v>141</v>
      </c>
      <c r="H187" s="81"/>
      <c r="I187" s="82" t="str">
        <f>IF(A187="","Pending",IF(H187="","⚠️ Enter Agent Code",IF(IFERROR(VLOOKUP(G187,DB_Agents!$B:$I,8,0),"")=H187,IF(AND(A187&lt;&gt;"",E187&lt;&gt;""),"Saved","Pending"),"🔒 BLOCKED — Wrong Code")))</f>
        <v>Pending</v>
      </c>
      <c r="J187" s="83" t="str">
        <f t="shared" ca="1" si="17"/>
        <v>—</v>
      </c>
      <c r="K187" s="84"/>
    </row>
    <row r="188" spans="1:11" ht="15" customHeight="1" x14ac:dyDescent="0.25">
      <c r="A188" s="85"/>
      <c r="B188" s="41" t="str">
        <f>IF(A188="","",IFERROR(VLOOKUP(A188,DB_Customers!$A:$D,4,0),"❌ Account Not Found"))</f>
        <v/>
      </c>
      <c r="C188" s="86" t="str">
        <f>IF(A188="","",IFERROR(IF(SUMIF(DB_Savings!$C:$C,A188,DB_Savings!$F:$F)=0,VLOOKUP(A188,DB_Customers!$A:$I,9,0),VLOOKUP(A188,DB_Customers!$A:$N,14,0)),"❌ Acct Not Found"))</f>
        <v/>
      </c>
      <c r="D188" s="87" t="str">
        <f t="shared" ca="1" si="15"/>
        <v/>
      </c>
      <c r="E188" s="79"/>
      <c r="F188" s="88" t="str">
        <f t="shared" si="16"/>
        <v/>
      </c>
      <c r="G188" s="43" t="s">
        <v>141</v>
      </c>
      <c r="H188" s="81"/>
      <c r="I188" s="89" t="str">
        <f>IF(A188="","Pending",IF(H188="","⚠️ Enter Agent Code",IF(IFERROR(VLOOKUP(G188,DB_Agents!$B:$I,8,0),"")=H188,IF(AND(A188&lt;&gt;"",E188&lt;&gt;""),"Saved","Pending"),"🔒 BLOCKED — Wrong Code")))</f>
        <v>Pending</v>
      </c>
      <c r="J188" s="90" t="str">
        <f t="shared" ca="1" si="17"/>
        <v>—</v>
      </c>
      <c r="K188" s="91"/>
    </row>
    <row r="189" spans="1:11" ht="15" customHeight="1" x14ac:dyDescent="0.25">
      <c r="A189" s="76"/>
      <c r="B189" s="37" t="str">
        <f>IF(A189="","",IFERROR(VLOOKUP(A189,DB_Customers!$A:$D,4,0),"❌ Account Not Found"))</f>
        <v/>
      </c>
      <c r="C189" s="77" t="str">
        <f>IF(A189="","",IFERROR(IF(SUMIF(DB_Savings!$C:$C,A189,DB_Savings!$F:$F)=0,VLOOKUP(A189,DB_Customers!$A:$I,9,0),VLOOKUP(A189,DB_Customers!$A:$N,14,0)),"❌ Acct Not Found"))</f>
        <v/>
      </c>
      <c r="D189" s="78" t="str">
        <f t="shared" ca="1" si="15"/>
        <v/>
      </c>
      <c r="E189" s="79"/>
      <c r="F189" s="80" t="str">
        <f t="shared" si="16"/>
        <v/>
      </c>
      <c r="G189" s="39" t="s">
        <v>141</v>
      </c>
      <c r="H189" s="81"/>
      <c r="I189" s="82" t="str">
        <f>IF(A189="","Pending",IF(H189="","⚠️ Enter Agent Code",IF(IFERROR(VLOOKUP(G189,DB_Agents!$B:$I,8,0),"")=H189,IF(AND(A189&lt;&gt;"",E189&lt;&gt;""),"Saved","Pending"),"🔒 BLOCKED — Wrong Code")))</f>
        <v>Pending</v>
      </c>
      <c r="J189" s="83" t="str">
        <f t="shared" ca="1" si="17"/>
        <v>—</v>
      </c>
      <c r="K189" s="84"/>
    </row>
    <row r="190" spans="1:11" ht="15" customHeight="1" x14ac:dyDescent="0.25">
      <c r="A190" s="85"/>
      <c r="B190" s="41" t="str">
        <f>IF(A190="","",IFERROR(VLOOKUP(A190,DB_Customers!$A:$D,4,0),"❌ Account Not Found"))</f>
        <v/>
      </c>
      <c r="C190" s="86" t="str">
        <f>IF(A190="","",IFERROR(IF(SUMIF(DB_Savings!$C:$C,A190,DB_Savings!$F:$F)=0,VLOOKUP(A190,DB_Customers!$A:$I,9,0),VLOOKUP(A190,DB_Customers!$A:$N,14,0)),"❌ Acct Not Found"))</f>
        <v/>
      </c>
      <c r="D190" s="87" t="str">
        <f t="shared" ca="1" si="15"/>
        <v/>
      </c>
      <c r="E190" s="79"/>
      <c r="F190" s="88" t="str">
        <f t="shared" si="16"/>
        <v/>
      </c>
      <c r="G190" s="43" t="s">
        <v>141</v>
      </c>
      <c r="H190" s="81"/>
      <c r="I190" s="89" t="str">
        <f>IF(A190="","Pending",IF(H190="","⚠️ Enter Agent Code",IF(IFERROR(VLOOKUP(G190,DB_Agents!$B:$I,8,0),"")=H190,IF(AND(A190&lt;&gt;"",E190&lt;&gt;""),"Saved","Pending"),"🔒 BLOCKED — Wrong Code")))</f>
        <v>Pending</v>
      </c>
      <c r="J190" s="90" t="str">
        <f t="shared" ca="1" si="17"/>
        <v>—</v>
      </c>
      <c r="K190" s="91"/>
    </row>
    <row r="191" spans="1:11" ht="15" customHeight="1" x14ac:dyDescent="0.25">
      <c r="A191" s="76"/>
      <c r="B191" s="37" t="str">
        <f>IF(A191="","",IFERROR(VLOOKUP(A191,DB_Customers!$A:$D,4,0),"❌ Account Not Found"))</f>
        <v/>
      </c>
      <c r="C191" s="77" t="str">
        <f>IF(A191="","",IFERROR(IF(SUMIF(DB_Savings!$C:$C,A191,DB_Savings!$F:$F)=0,VLOOKUP(A191,DB_Customers!$A:$I,9,0),VLOOKUP(A191,DB_Customers!$A:$N,14,0)),"❌ Acct Not Found"))</f>
        <v/>
      </c>
      <c r="D191" s="78" t="str">
        <f t="shared" ca="1" si="15"/>
        <v/>
      </c>
      <c r="E191" s="79"/>
      <c r="F191" s="80" t="str">
        <f t="shared" si="16"/>
        <v/>
      </c>
      <c r="G191" s="39" t="s">
        <v>141</v>
      </c>
      <c r="H191" s="81"/>
      <c r="I191" s="82" t="str">
        <f>IF(A191="","Pending",IF(H191="","⚠️ Enter Agent Code",IF(IFERROR(VLOOKUP(G191,DB_Agents!$B:$I,8,0),"")=H191,IF(AND(A191&lt;&gt;"",E191&lt;&gt;""),"Saved","Pending"),"🔒 BLOCKED — Wrong Code")))</f>
        <v>Pending</v>
      </c>
      <c r="J191" s="83" t="str">
        <f t="shared" ca="1" si="17"/>
        <v>—</v>
      </c>
      <c r="K191" s="84"/>
    </row>
    <row r="192" spans="1:11" ht="15" customHeight="1" x14ac:dyDescent="0.25">
      <c r="A192" s="85"/>
      <c r="B192" s="41" t="str">
        <f>IF(A192="","",IFERROR(VLOOKUP(A192,DB_Customers!$A:$D,4,0),"❌ Account Not Found"))</f>
        <v/>
      </c>
      <c r="C192" s="86" t="str">
        <f>IF(A192="","",IFERROR(IF(SUMIF(DB_Savings!$C:$C,A192,DB_Savings!$F:$F)=0,VLOOKUP(A192,DB_Customers!$A:$I,9,0),VLOOKUP(A192,DB_Customers!$A:$N,14,0)),"❌ Acct Not Found"))</f>
        <v/>
      </c>
      <c r="D192" s="87" t="str">
        <f t="shared" ca="1" si="15"/>
        <v/>
      </c>
      <c r="E192" s="79"/>
      <c r="F192" s="88" t="str">
        <f t="shared" si="16"/>
        <v/>
      </c>
      <c r="G192" s="43" t="s">
        <v>141</v>
      </c>
      <c r="H192" s="81"/>
      <c r="I192" s="89" t="str">
        <f>IF(A192="","Pending",IF(H192="","⚠️ Enter Agent Code",IF(IFERROR(VLOOKUP(G192,DB_Agents!$B:$I,8,0),"")=H192,IF(AND(A192&lt;&gt;"",E192&lt;&gt;""),"Saved","Pending"),"🔒 BLOCKED — Wrong Code")))</f>
        <v>Pending</v>
      </c>
      <c r="J192" s="90" t="str">
        <f t="shared" ca="1" si="17"/>
        <v>—</v>
      </c>
      <c r="K192" s="91"/>
    </row>
    <row r="193" spans="1:11" ht="15" customHeight="1" x14ac:dyDescent="0.25">
      <c r="A193" s="76"/>
      <c r="B193" s="37" t="str">
        <f>IF(A193="","",IFERROR(VLOOKUP(A193,DB_Customers!$A:$D,4,0),"❌ Account Not Found"))</f>
        <v/>
      </c>
      <c r="C193" s="77" t="str">
        <f>IF(A193="","",IFERROR(IF(SUMIF(DB_Savings!$C:$C,A193,DB_Savings!$F:$F)=0,VLOOKUP(A193,DB_Customers!$A:$I,9,0),VLOOKUP(A193,DB_Customers!$A:$N,14,0)),"❌ Acct Not Found"))</f>
        <v/>
      </c>
      <c r="D193" s="78" t="str">
        <f t="shared" ca="1" si="15"/>
        <v/>
      </c>
      <c r="E193" s="79"/>
      <c r="F193" s="80" t="str">
        <f t="shared" si="16"/>
        <v/>
      </c>
      <c r="G193" s="39" t="s">
        <v>141</v>
      </c>
      <c r="H193" s="81"/>
      <c r="I193" s="82" t="str">
        <f>IF(A193="","Pending",IF(H193="","⚠️ Enter Agent Code",IF(IFERROR(VLOOKUP(G193,DB_Agents!$B:$I,8,0),"")=H193,IF(AND(A193&lt;&gt;"",E193&lt;&gt;""),"Saved","Pending"),"🔒 BLOCKED — Wrong Code")))</f>
        <v>Pending</v>
      </c>
      <c r="J193" s="83" t="str">
        <f t="shared" ca="1" si="17"/>
        <v>—</v>
      </c>
      <c r="K193" s="84"/>
    </row>
    <row r="194" spans="1:11" ht="15" customHeight="1" x14ac:dyDescent="0.25">
      <c r="A194" s="85"/>
      <c r="B194" s="41" t="str">
        <f>IF(A194="","",IFERROR(VLOOKUP(A194,DB_Customers!$A:$D,4,0),"❌ Account Not Found"))</f>
        <v/>
      </c>
      <c r="C194" s="86" t="str">
        <f>IF(A194="","",IFERROR(IF(SUMIF(DB_Savings!$C:$C,A194,DB_Savings!$F:$F)=0,VLOOKUP(A194,DB_Customers!$A:$I,9,0),VLOOKUP(A194,DB_Customers!$A:$N,14,0)),"❌ Acct Not Found"))</f>
        <v/>
      </c>
      <c r="D194" s="87" t="str">
        <f t="shared" ca="1" si="15"/>
        <v/>
      </c>
      <c r="E194" s="79"/>
      <c r="F194" s="88" t="str">
        <f t="shared" si="16"/>
        <v/>
      </c>
      <c r="G194" s="43" t="s">
        <v>141</v>
      </c>
      <c r="H194" s="81"/>
      <c r="I194" s="89" t="str">
        <f>IF(A194="","Pending",IF(H194="","⚠️ Enter Agent Code",IF(IFERROR(VLOOKUP(G194,DB_Agents!$B:$I,8,0),"")=H194,IF(AND(A194&lt;&gt;"",E194&lt;&gt;""),"Saved","Pending"),"🔒 BLOCKED — Wrong Code")))</f>
        <v>Pending</v>
      </c>
      <c r="J194" s="90" t="str">
        <f t="shared" ca="1" si="17"/>
        <v>—</v>
      </c>
      <c r="K194" s="91"/>
    </row>
    <row r="195" spans="1:11" ht="15" customHeight="1" x14ac:dyDescent="0.25">
      <c r="A195" s="76"/>
      <c r="B195" s="37" t="str">
        <f>IF(A195="","",IFERROR(VLOOKUP(A195,DB_Customers!$A:$D,4,0),"❌ Account Not Found"))</f>
        <v/>
      </c>
      <c r="C195" s="77" t="str">
        <f>IF(A195="","",IFERROR(IF(SUMIF(DB_Savings!$C:$C,A195,DB_Savings!$F:$F)=0,VLOOKUP(A195,DB_Customers!$A:$I,9,0),VLOOKUP(A195,DB_Customers!$A:$N,14,0)),"❌ Acct Not Found"))</f>
        <v/>
      </c>
      <c r="D195" s="78" t="str">
        <f t="shared" ca="1" si="15"/>
        <v/>
      </c>
      <c r="E195" s="79"/>
      <c r="F195" s="80" t="str">
        <f t="shared" si="16"/>
        <v/>
      </c>
      <c r="G195" s="39" t="s">
        <v>141</v>
      </c>
      <c r="H195" s="81"/>
      <c r="I195" s="82" t="str">
        <f>IF(A195="","Pending",IF(H195="","⚠️ Enter Agent Code",IF(IFERROR(VLOOKUP(G195,DB_Agents!$B:$I,8,0),"")=H195,IF(AND(A195&lt;&gt;"",E195&lt;&gt;""),"Saved","Pending"),"🔒 BLOCKED — Wrong Code")))</f>
        <v>Pending</v>
      </c>
      <c r="J195" s="83" t="str">
        <f t="shared" ca="1" si="17"/>
        <v>—</v>
      </c>
      <c r="K195" s="84"/>
    </row>
    <row r="196" spans="1:11" ht="15" customHeight="1" x14ac:dyDescent="0.25">
      <c r="A196" s="85"/>
      <c r="B196" s="41" t="str">
        <f>IF(A196="","",IFERROR(VLOOKUP(A196,DB_Customers!$A:$D,4,0),"❌ Account Not Found"))</f>
        <v/>
      </c>
      <c r="C196" s="86" t="str">
        <f>IF(A196="","",IFERROR(IF(SUMIF(DB_Savings!$C:$C,A196,DB_Savings!$F:$F)=0,VLOOKUP(A196,DB_Customers!$A:$I,9,0),VLOOKUP(A196,DB_Customers!$A:$N,14,0)),"❌ Acct Not Found"))</f>
        <v/>
      </c>
      <c r="D196" s="87" t="str">
        <f t="shared" ca="1" si="15"/>
        <v/>
      </c>
      <c r="E196" s="79"/>
      <c r="F196" s="88" t="str">
        <f t="shared" si="16"/>
        <v/>
      </c>
      <c r="G196" s="43" t="s">
        <v>141</v>
      </c>
      <c r="H196" s="81"/>
      <c r="I196" s="89" t="str">
        <f>IF(A196="","Pending",IF(H196="","⚠️ Enter Agent Code",IF(IFERROR(VLOOKUP(G196,DB_Agents!$B:$I,8,0),"")=H196,IF(AND(A196&lt;&gt;"",E196&lt;&gt;""),"Saved","Pending"),"🔒 BLOCKED — Wrong Code")))</f>
        <v>Pending</v>
      </c>
      <c r="J196" s="90" t="str">
        <f t="shared" ca="1" si="17"/>
        <v>—</v>
      </c>
      <c r="K196" s="91"/>
    </row>
    <row r="197" spans="1:11" ht="15" customHeight="1" x14ac:dyDescent="0.25">
      <c r="A197" s="76"/>
      <c r="B197" s="37" t="str">
        <f>IF(A197="","",IFERROR(VLOOKUP(A197,DB_Customers!$A:$D,4,0),"❌ Account Not Found"))</f>
        <v/>
      </c>
      <c r="C197" s="77" t="str">
        <f>IF(A197="","",IFERROR(IF(SUMIF(DB_Savings!$C:$C,A197,DB_Savings!$F:$F)=0,VLOOKUP(A197,DB_Customers!$A:$I,9,0),VLOOKUP(A197,DB_Customers!$A:$N,14,0)),"❌ Acct Not Found"))</f>
        <v/>
      </c>
      <c r="D197" s="78" t="str">
        <f t="shared" ca="1" si="15"/>
        <v/>
      </c>
      <c r="E197" s="79"/>
      <c r="F197" s="80" t="str">
        <f t="shared" si="16"/>
        <v/>
      </c>
      <c r="G197" s="39" t="s">
        <v>141</v>
      </c>
      <c r="H197" s="81"/>
      <c r="I197" s="82" t="str">
        <f>IF(A197="","Pending",IF(H197="","⚠️ Enter Agent Code",IF(IFERROR(VLOOKUP(G197,DB_Agents!$B:$I,8,0),"")=H197,IF(AND(A197&lt;&gt;"",E197&lt;&gt;""),"Saved","Pending"),"🔒 BLOCKED — Wrong Code")))</f>
        <v>Pending</v>
      </c>
      <c r="J197" s="83" t="str">
        <f t="shared" ca="1" si="17"/>
        <v>—</v>
      </c>
      <c r="K197" s="84"/>
    </row>
    <row r="198" spans="1:11" ht="15" customHeight="1" x14ac:dyDescent="0.25">
      <c r="A198" s="85"/>
      <c r="B198" s="41" t="str">
        <f>IF(A198="","",IFERROR(VLOOKUP(A198,DB_Customers!$A:$D,4,0),"❌ Account Not Found"))</f>
        <v/>
      </c>
      <c r="C198" s="86" t="str">
        <f>IF(A198="","",IFERROR(IF(SUMIF(DB_Savings!$C:$C,A198,DB_Savings!$F:$F)=0,VLOOKUP(A198,DB_Customers!$A:$I,9,0),VLOOKUP(A198,DB_Customers!$A:$N,14,0)),"❌ Acct Not Found"))</f>
        <v/>
      </c>
      <c r="D198" s="87" t="str">
        <f t="shared" ca="1" si="15"/>
        <v/>
      </c>
      <c r="E198" s="79"/>
      <c r="F198" s="88" t="str">
        <f t="shared" si="16"/>
        <v/>
      </c>
      <c r="G198" s="43" t="s">
        <v>141</v>
      </c>
      <c r="H198" s="81"/>
      <c r="I198" s="89" t="str">
        <f>IF(A198="","Pending",IF(H198="","⚠️ Enter Agent Code",IF(IFERROR(VLOOKUP(G198,DB_Agents!$B:$I,8,0),"")=H198,IF(AND(A198&lt;&gt;"",E198&lt;&gt;""),"Saved","Pending"),"🔒 BLOCKED — Wrong Code")))</f>
        <v>Pending</v>
      </c>
      <c r="J198" s="90" t="str">
        <f t="shared" ca="1" si="17"/>
        <v>—</v>
      </c>
      <c r="K198" s="91"/>
    </row>
    <row r="199" spans="1:11" ht="15" customHeight="1" x14ac:dyDescent="0.25">
      <c r="A199" s="76"/>
      <c r="B199" s="37" t="str">
        <f>IF(A199="","",IFERROR(VLOOKUP(A199,DB_Customers!$A:$D,4,0),"❌ Account Not Found"))</f>
        <v/>
      </c>
      <c r="C199" s="77" t="str">
        <f>IF(A199="","",IFERROR(IF(SUMIF(DB_Savings!$C:$C,A199,DB_Savings!$F:$F)=0,VLOOKUP(A199,DB_Customers!$A:$I,9,0),VLOOKUP(A199,DB_Customers!$A:$N,14,0)),"❌ Acct Not Found"))</f>
        <v/>
      </c>
      <c r="D199" s="78" t="str">
        <f t="shared" ca="1" si="15"/>
        <v/>
      </c>
      <c r="E199" s="79"/>
      <c r="F199" s="80" t="str">
        <f t="shared" si="16"/>
        <v/>
      </c>
      <c r="G199" s="39" t="s">
        <v>141</v>
      </c>
      <c r="H199" s="81"/>
      <c r="I199" s="82" t="str">
        <f>IF(A199="","Pending",IF(H199="","⚠️ Enter Agent Code",IF(IFERROR(VLOOKUP(G199,DB_Agents!$B:$I,8,0),"")=H199,IF(AND(A199&lt;&gt;"",E199&lt;&gt;""),"Saved","Pending"),"🔒 BLOCKED — Wrong Code")))</f>
        <v>Pending</v>
      </c>
      <c r="J199" s="83" t="str">
        <f t="shared" ca="1" si="17"/>
        <v>—</v>
      </c>
      <c r="K199" s="84"/>
    </row>
    <row r="200" spans="1:11" ht="15" customHeight="1" x14ac:dyDescent="0.25">
      <c r="A200" s="85"/>
      <c r="B200" s="41" t="str">
        <f>IF(A200="","",IFERROR(VLOOKUP(A200,DB_Customers!$A:$D,4,0),"❌ Account Not Found"))</f>
        <v/>
      </c>
      <c r="C200" s="86" t="str">
        <f>IF(A200="","",IFERROR(IF(SUMIF(DB_Savings!$C:$C,A200,DB_Savings!$F:$F)=0,VLOOKUP(A200,DB_Customers!$A:$I,9,0),VLOOKUP(A200,DB_Customers!$A:$N,14,0)),"❌ Acct Not Found"))</f>
        <v/>
      </c>
      <c r="D200" s="87" t="str">
        <f t="shared" ca="1" si="15"/>
        <v/>
      </c>
      <c r="E200" s="79"/>
      <c r="F200" s="88" t="str">
        <f t="shared" si="16"/>
        <v/>
      </c>
      <c r="G200" s="43" t="s">
        <v>141</v>
      </c>
      <c r="H200" s="81"/>
      <c r="I200" s="89" t="str">
        <f>IF(A200="","Pending",IF(H200="","⚠️ Enter Agent Code",IF(IFERROR(VLOOKUP(G200,DB_Agents!$B:$I,8,0),"")=H200,IF(AND(A200&lt;&gt;"",E200&lt;&gt;""),"Saved","Pending"),"🔒 BLOCKED — Wrong Code")))</f>
        <v>Pending</v>
      </c>
      <c r="J200" s="90" t="str">
        <f t="shared" ca="1" si="17"/>
        <v>—</v>
      </c>
      <c r="K200" s="91"/>
    </row>
    <row r="201" spans="1:11" ht="15" customHeight="1" x14ac:dyDescent="0.25">
      <c r="A201" s="76"/>
      <c r="B201" s="37" t="str">
        <f>IF(A201="","",IFERROR(VLOOKUP(A201,DB_Customers!$A:$D,4,0),"❌ Account Not Found"))</f>
        <v/>
      </c>
      <c r="C201" s="77" t="str">
        <f>IF(A201="","",IFERROR(IF(SUMIF(DB_Savings!$C:$C,A201,DB_Savings!$F:$F)=0,VLOOKUP(A201,DB_Customers!$A:$I,9,0),VLOOKUP(A201,DB_Customers!$A:$N,14,0)),"❌ Acct Not Found"))</f>
        <v/>
      </c>
      <c r="D201" s="78" t="str">
        <f t="shared" ref="D201:D208" ca="1" si="18">IF(A201="","",TODAY())</f>
        <v/>
      </c>
      <c r="E201" s="79"/>
      <c r="F201" s="80" t="str">
        <f t="shared" ref="F201:F208" si="19">IF(OR(A201="",E201=""),"",IF(C201="","",C201+E201))</f>
        <v/>
      </c>
      <c r="G201" s="39" t="s">
        <v>141</v>
      </c>
      <c r="H201" s="81"/>
      <c r="I201" s="82" t="str">
        <f>IF(A201="","Pending",IF(H201="","⚠️ Enter Agent Code",IF(IFERROR(VLOOKUP(G201,DB_Agents!$B:$I,8,0),"")=H201,IF(AND(A201&lt;&gt;"",E201&lt;&gt;""),"Saved","Pending"),"🔒 BLOCKED — Wrong Code")))</f>
        <v>Pending</v>
      </c>
      <c r="J201" s="83" t="str">
        <f t="shared" ref="J201:J208" ca="1" si="20">IF(I201="Saved",TEXT(TODAY(),"YYYY-MM-DD")&amp;" Auto","—")</f>
        <v>—</v>
      </c>
      <c r="K201" s="84"/>
    </row>
    <row r="202" spans="1:11" ht="15" customHeight="1" x14ac:dyDescent="0.25">
      <c r="A202" s="85"/>
      <c r="B202" s="41" t="str">
        <f>IF(A202="","",IFERROR(VLOOKUP(A202,DB_Customers!$A:$D,4,0),"❌ Account Not Found"))</f>
        <v/>
      </c>
      <c r="C202" s="86" t="str">
        <f>IF(A202="","",IFERROR(IF(SUMIF(DB_Savings!$C:$C,A202,DB_Savings!$F:$F)=0,VLOOKUP(A202,DB_Customers!$A:$I,9,0),VLOOKUP(A202,DB_Customers!$A:$N,14,0)),"❌ Acct Not Found"))</f>
        <v/>
      </c>
      <c r="D202" s="87" t="str">
        <f t="shared" ca="1" si="18"/>
        <v/>
      </c>
      <c r="E202" s="79"/>
      <c r="F202" s="88" t="str">
        <f t="shared" si="19"/>
        <v/>
      </c>
      <c r="G202" s="43" t="s">
        <v>141</v>
      </c>
      <c r="H202" s="81"/>
      <c r="I202" s="89" t="str">
        <f>IF(A202="","Pending",IF(H202="","⚠️ Enter Agent Code",IF(IFERROR(VLOOKUP(G202,DB_Agents!$B:$I,8,0),"")=H202,IF(AND(A202&lt;&gt;"",E202&lt;&gt;""),"Saved","Pending"),"🔒 BLOCKED — Wrong Code")))</f>
        <v>Pending</v>
      </c>
      <c r="J202" s="90" t="str">
        <f t="shared" ca="1" si="20"/>
        <v>—</v>
      </c>
      <c r="K202" s="91"/>
    </row>
    <row r="203" spans="1:11" ht="15" customHeight="1" x14ac:dyDescent="0.25">
      <c r="A203" s="76"/>
      <c r="B203" s="37" t="str">
        <f>IF(A203="","",IFERROR(VLOOKUP(A203,DB_Customers!$A:$D,4,0),"❌ Account Not Found"))</f>
        <v/>
      </c>
      <c r="C203" s="77" t="str">
        <f>IF(A203="","",IFERROR(IF(SUMIF(DB_Savings!$C:$C,A203,DB_Savings!$F:$F)=0,VLOOKUP(A203,DB_Customers!$A:$I,9,0),VLOOKUP(A203,DB_Customers!$A:$N,14,0)),"❌ Acct Not Found"))</f>
        <v/>
      </c>
      <c r="D203" s="78" t="str">
        <f t="shared" ca="1" si="18"/>
        <v/>
      </c>
      <c r="E203" s="79"/>
      <c r="F203" s="80" t="str">
        <f t="shared" si="19"/>
        <v/>
      </c>
      <c r="G203" s="39" t="s">
        <v>141</v>
      </c>
      <c r="H203" s="81"/>
      <c r="I203" s="82" t="str">
        <f>IF(A203="","Pending",IF(H203="","⚠️ Enter Agent Code",IF(IFERROR(VLOOKUP(G203,DB_Agents!$B:$I,8,0),"")=H203,IF(AND(A203&lt;&gt;"",E203&lt;&gt;""),"Saved","Pending"),"🔒 BLOCKED — Wrong Code")))</f>
        <v>Pending</v>
      </c>
      <c r="J203" s="83" t="str">
        <f t="shared" ca="1" si="20"/>
        <v>—</v>
      </c>
      <c r="K203" s="84"/>
    </row>
    <row r="204" spans="1:11" ht="15" customHeight="1" x14ac:dyDescent="0.25">
      <c r="A204" s="85"/>
      <c r="B204" s="41" t="str">
        <f>IF(A204="","",IFERROR(VLOOKUP(A204,DB_Customers!$A:$D,4,0),"❌ Account Not Found"))</f>
        <v/>
      </c>
      <c r="C204" s="86" t="str">
        <f>IF(A204="","",IFERROR(IF(SUMIF(DB_Savings!$C:$C,A204,DB_Savings!$F:$F)=0,VLOOKUP(A204,DB_Customers!$A:$I,9,0),VLOOKUP(A204,DB_Customers!$A:$N,14,0)),"❌ Acct Not Found"))</f>
        <v/>
      </c>
      <c r="D204" s="87" t="str">
        <f t="shared" ca="1" si="18"/>
        <v/>
      </c>
      <c r="E204" s="79"/>
      <c r="F204" s="88" t="str">
        <f t="shared" si="19"/>
        <v/>
      </c>
      <c r="G204" s="43" t="s">
        <v>141</v>
      </c>
      <c r="H204" s="81"/>
      <c r="I204" s="89" t="str">
        <f>IF(A204="","Pending",IF(H204="","⚠️ Enter Agent Code",IF(IFERROR(VLOOKUP(G204,DB_Agents!$B:$I,8,0),"")=H204,IF(AND(A204&lt;&gt;"",E204&lt;&gt;""),"Saved","Pending"),"🔒 BLOCKED — Wrong Code")))</f>
        <v>Pending</v>
      </c>
      <c r="J204" s="90" t="str">
        <f t="shared" ca="1" si="20"/>
        <v>—</v>
      </c>
      <c r="K204" s="91"/>
    </row>
    <row r="205" spans="1:11" ht="15" customHeight="1" x14ac:dyDescent="0.25">
      <c r="A205" s="76"/>
      <c r="B205" s="37" t="str">
        <f>IF(A205="","",IFERROR(VLOOKUP(A205,DB_Customers!$A:$D,4,0),"❌ Account Not Found"))</f>
        <v/>
      </c>
      <c r="C205" s="77" t="str">
        <f>IF(A205="","",IFERROR(IF(SUMIF(DB_Savings!$C:$C,A205,DB_Savings!$F:$F)=0,VLOOKUP(A205,DB_Customers!$A:$I,9,0),VLOOKUP(A205,DB_Customers!$A:$N,14,0)),"❌ Acct Not Found"))</f>
        <v/>
      </c>
      <c r="D205" s="78" t="str">
        <f t="shared" ca="1" si="18"/>
        <v/>
      </c>
      <c r="E205" s="79"/>
      <c r="F205" s="80" t="str">
        <f t="shared" si="19"/>
        <v/>
      </c>
      <c r="G205" s="39" t="s">
        <v>141</v>
      </c>
      <c r="H205" s="81"/>
      <c r="I205" s="82" t="str">
        <f>IF(A205="","Pending",IF(H205="","⚠️ Enter Agent Code",IF(IFERROR(VLOOKUP(G205,DB_Agents!$B:$I,8,0),"")=H205,IF(AND(A205&lt;&gt;"",E205&lt;&gt;""),"Saved","Pending"),"🔒 BLOCKED — Wrong Code")))</f>
        <v>Pending</v>
      </c>
      <c r="J205" s="83" t="str">
        <f t="shared" ca="1" si="20"/>
        <v>—</v>
      </c>
      <c r="K205" s="84"/>
    </row>
    <row r="206" spans="1:11" ht="15" customHeight="1" x14ac:dyDescent="0.25">
      <c r="A206" s="85"/>
      <c r="B206" s="41" t="str">
        <f>IF(A206="","",IFERROR(VLOOKUP(A206,DB_Customers!$A:$D,4,0),"❌ Account Not Found"))</f>
        <v/>
      </c>
      <c r="C206" s="86" t="str">
        <f>IF(A206="","",IFERROR(IF(SUMIF(DB_Savings!$C:$C,A206,DB_Savings!$F:$F)=0,VLOOKUP(A206,DB_Customers!$A:$I,9,0),VLOOKUP(A206,DB_Customers!$A:$N,14,0)),"❌ Acct Not Found"))</f>
        <v/>
      </c>
      <c r="D206" s="87" t="str">
        <f t="shared" ca="1" si="18"/>
        <v/>
      </c>
      <c r="E206" s="79"/>
      <c r="F206" s="88" t="str">
        <f t="shared" si="19"/>
        <v/>
      </c>
      <c r="G206" s="43" t="s">
        <v>141</v>
      </c>
      <c r="H206" s="81"/>
      <c r="I206" s="89" t="str">
        <f>IF(A206="","Pending",IF(H206="","⚠️ Enter Agent Code",IF(IFERROR(VLOOKUP(G206,DB_Agents!$B:$I,8,0),"")=H206,IF(AND(A206&lt;&gt;"",E206&lt;&gt;""),"Saved","Pending"),"🔒 BLOCKED — Wrong Code")))</f>
        <v>Pending</v>
      </c>
      <c r="J206" s="90" t="str">
        <f t="shared" ca="1" si="20"/>
        <v>—</v>
      </c>
      <c r="K206" s="91"/>
    </row>
    <row r="207" spans="1:11" ht="15" customHeight="1" x14ac:dyDescent="0.25">
      <c r="A207" s="76"/>
      <c r="B207" s="37" t="str">
        <f>IF(A207="","",IFERROR(VLOOKUP(A207,DB_Customers!$A:$D,4,0),"❌ Account Not Found"))</f>
        <v/>
      </c>
      <c r="C207" s="77" t="str">
        <f>IF(A207="","",IFERROR(IF(SUMIF(DB_Savings!$C:$C,A207,DB_Savings!$F:$F)=0,VLOOKUP(A207,DB_Customers!$A:$I,9,0),VLOOKUP(A207,DB_Customers!$A:$N,14,0)),"❌ Acct Not Found"))</f>
        <v/>
      </c>
      <c r="D207" s="78" t="str">
        <f t="shared" ca="1" si="18"/>
        <v/>
      </c>
      <c r="E207" s="79"/>
      <c r="F207" s="80" t="str">
        <f t="shared" si="19"/>
        <v/>
      </c>
      <c r="G207" s="39" t="s">
        <v>141</v>
      </c>
      <c r="H207" s="81"/>
      <c r="I207" s="82" t="str">
        <f>IF(A207="","Pending",IF(H207="","⚠️ Enter Agent Code",IF(IFERROR(VLOOKUP(G207,DB_Agents!$B:$I,8,0),"")=H207,IF(AND(A207&lt;&gt;"",E207&lt;&gt;""),"Saved","Pending"),"🔒 BLOCKED — Wrong Code")))</f>
        <v>Pending</v>
      </c>
      <c r="J207" s="83" t="str">
        <f t="shared" ca="1" si="20"/>
        <v>—</v>
      </c>
      <c r="K207" s="84"/>
    </row>
    <row r="208" spans="1:11" ht="15" customHeight="1" x14ac:dyDescent="0.25">
      <c r="A208" s="85"/>
      <c r="B208" s="41" t="str">
        <f>IF(A208="","",IFERROR(VLOOKUP(A208,DB_Customers!$A:$D,4,0),"❌ Account Not Found"))</f>
        <v/>
      </c>
      <c r="C208" s="86" t="str">
        <f>IF(A208="","",IFERROR(IF(SUMIF(DB_Savings!$C:$C,A208,DB_Savings!$F:$F)=0,VLOOKUP(A208,DB_Customers!$A:$I,9,0),VLOOKUP(A208,DB_Customers!$A:$N,14,0)),"❌ Acct Not Found"))</f>
        <v/>
      </c>
      <c r="D208" s="87" t="str">
        <f t="shared" ca="1" si="18"/>
        <v/>
      </c>
      <c r="E208" s="79"/>
      <c r="F208" s="88" t="str">
        <f t="shared" si="19"/>
        <v/>
      </c>
      <c r="G208" s="43" t="s">
        <v>141</v>
      </c>
      <c r="H208" s="81"/>
      <c r="I208" s="89" t="str">
        <f>IF(A208="","Pending",IF(H208="","⚠️ Enter Agent Code",IF(IFERROR(VLOOKUP(G208,DB_Agents!$B:$I,8,0),"")=H208,IF(AND(A208&lt;&gt;"",E208&lt;&gt;""),"Saved","Pending"),"🔒 BLOCKED — Wrong Code")))</f>
        <v>Pending</v>
      </c>
      <c r="J208" s="90" t="str">
        <f t="shared" ca="1" si="20"/>
        <v>—</v>
      </c>
      <c r="K208" s="91"/>
    </row>
  </sheetData>
  <mergeCells count="12">
    <mergeCell ref="A2:L2"/>
    <mergeCell ref="A7:L7"/>
    <mergeCell ref="A1:L1"/>
    <mergeCell ref="A5:L5"/>
    <mergeCell ref="D4:F4"/>
    <mergeCell ref="G4:I4"/>
    <mergeCell ref="A3:C3"/>
    <mergeCell ref="J4:L4"/>
    <mergeCell ref="D3:F3"/>
    <mergeCell ref="G3:I3"/>
    <mergeCell ref="A4:C4"/>
    <mergeCell ref="J3:L3"/>
  </mergeCells>
  <conditionalFormatting sqref="H9:H208">
    <cfRule type="cellIs" dxfId="22" priority="2" operator="equal">
      <formula>"Saved"</formula>
    </cfRule>
    <cfRule type="cellIs" dxfId="21" priority="3" operator="equal">
      <formula>"Pending"</formula>
    </cfRule>
  </conditionalFormatting>
  <conditionalFormatting sqref="A9:J208">
    <cfRule type="expression" dxfId="20" priority="4">
      <formula>$H9="Saved"</formula>
    </cfRule>
  </conditionalFormatting>
  <dataValidations count="2">
    <dataValidation type="decimal" operator="greaterThan" showErrorMessage="1" error="Must be &gt; 0" sqref="E9:E208" xr:uid="{00000000-0002-0000-2100-000000000000}">
      <formula1>0</formula1>
      <formula2>0</formula2>
    </dataValidation>
    <dataValidation type="list" sqref="G9:G208" xr:uid="{00000000-0002-0000-21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67" t="s">
        <v>380</v>
      </c>
      <c r="B1" s="265"/>
      <c r="C1" s="265"/>
      <c r="D1" s="265"/>
      <c r="E1" s="265"/>
      <c r="F1" s="265"/>
      <c r="G1" s="265"/>
      <c r="H1" s="265"/>
      <c r="I1" s="265"/>
      <c r="J1" s="265"/>
      <c r="K1" s="265"/>
      <c r="L1" s="265"/>
      <c r="M1" s="265"/>
    </row>
    <row r="2" spans="1:13" ht="19.5" customHeight="1" x14ac:dyDescent="0.25">
      <c r="A2" s="366" t="s">
        <v>381</v>
      </c>
      <c r="B2" s="265"/>
      <c r="C2" s="265"/>
      <c r="D2" s="265"/>
      <c r="E2" s="265"/>
      <c r="F2" s="265"/>
      <c r="G2" s="265"/>
      <c r="H2" s="265"/>
      <c r="I2" s="265"/>
      <c r="J2" s="265"/>
      <c r="K2" s="265"/>
      <c r="L2" s="265"/>
      <c r="M2" s="265"/>
    </row>
    <row r="3" spans="1:13" ht="18" customHeight="1" x14ac:dyDescent="0.25">
      <c r="A3" s="328" t="s">
        <v>324</v>
      </c>
      <c r="B3" s="265"/>
      <c r="C3" s="265"/>
      <c r="D3" s="323" t="s">
        <v>325</v>
      </c>
      <c r="E3" s="265"/>
      <c r="F3" s="265"/>
      <c r="G3" s="35" t="s">
        <v>326</v>
      </c>
      <c r="K3" s="66" t="s">
        <v>313</v>
      </c>
    </row>
    <row r="4" spans="1:13" ht="27.75" customHeight="1" x14ac:dyDescent="0.25">
      <c r="A4" s="365">
        <f ca="1">SUMIFS(DB_Withdrawals!$G:$G,DB_Withdrawals!$J:$J,"Agent 09",DB_Withdrawals!$F:$F,TODAY())</f>
        <v>0</v>
      </c>
      <c r="B4" s="265"/>
      <c r="C4" s="265"/>
      <c r="D4" s="369">
        <f ca="1">COUNTIFS(DB_Withdrawals!$J:$J,"Agent 09",DB_Withdrawals!$K:$K,"Successful",DB_Withdrawals!$F:$F,TODAY())</f>
        <v>0</v>
      </c>
      <c r="E4" s="265"/>
      <c r="F4" s="265"/>
      <c r="G4" s="92">
        <f ca="1">COUNTIFS(DB_Withdrawals!$J:$J,"Agent 09",DB_Withdrawals!$K:$K,"Unsuccessful",DB_Withdrawals!$F:$F,TODAY())</f>
        <v>0</v>
      </c>
      <c r="K4" s="74" t="str">
        <f ca="1">TEXT(TODAY(),"DD MMM YYYY")</f>
        <v>24 Apr 2026</v>
      </c>
    </row>
    <row r="5" spans="1:13" ht="19.5" customHeight="1" x14ac:dyDescent="0.25">
      <c r="A5" s="368" t="s">
        <v>327</v>
      </c>
      <c r="B5" s="265"/>
      <c r="C5" s="265"/>
      <c r="D5" s="265"/>
      <c r="E5" s="265"/>
      <c r="F5" s="265"/>
      <c r="G5" s="265"/>
      <c r="H5" s="265"/>
      <c r="I5" s="265"/>
      <c r="J5" s="265"/>
      <c r="K5" s="265"/>
      <c r="L5" s="265"/>
      <c r="M5" s="265"/>
    </row>
    <row r="6" spans="1:13" ht="7.5" customHeight="1" x14ac:dyDescent="0.25"/>
    <row r="7" spans="1:13" ht="19.5" customHeight="1" x14ac:dyDescent="0.25">
      <c r="A7" s="364" t="s">
        <v>328</v>
      </c>
      <c r="B7" s="265"/>
      <c r="C7" s="265"/>
      <c r="D7" s="265"/>
      <c r="E7" s="265"/>
      <c r="F7" s="265"/>
      <c r="G7" s="265"/>
      <c r="H7" s="265"/>
      <c r="I7" s="265"/>
      <c r="J7" s="265"/>
      <c r="K7" s="265"/>
      <c r="L7" s="265"/>
      <c r="M7" s="265"/>
    </row>
    <row r="8" spans="1:13" ht="19.5" customHeight="1" x14ac:dyDescent="0.25">
      <c r="A8" s="93" t="s">
        <v>315</v>
      </c>
      <c r="B8" s="93" t="s">
        <v>77</v>
      </c>
      <c r="C8" s="93" t="s">
        <v>329</v>
      </c>
      <c r="D8" s="93" t="s">
        <v>78</v>
      </c>
      <c r="E8" s="93" t="s">
        <v>330</v>
      </c>
      <c r="F8" s="93" t="s">
        <v>331</v>
      </c>
      <c r="G8" s="93" t="s">
        <v>318</v>
      </c>
      <c r="H8" s="93" t="s">
        <v>14</v>
      </c>
      <c r="I8" s="75" t="s">
        <v>319</v>
      </c>
      <c r="J8" s="93" t="s">
        <v>13</v>
      </c>
      <c r="K8" s="93" t="s">
        <v>320</v>
      </c>
      <c r="L8" s="93" t="s">
        <v>321</v>
      </c>
    </row>
    <row r="9" spans="1:13" ht="15" customHeight="1" x14ac:dyDescent="0.25">
      <c r="A9" s="76"/>
      <c r="B9" s="37" t="str">
        <f>IF(A9="","",IFERROR(VLOOKUP(A9,DB_Customers!$A:$D,4,0),"❌ Account Not Found"))</f>
        <v/>
      </c>
      <c r="C9" s="77" t="str">
        <f>IF(A9="","",IFERROR(VLOOKUP(A9,DB_Customers!$A:$N,14,0),"❌ Acct Not Found"))</f>
        <v/>
      </c>
      <c r="D9" s="78" t="str">
        <f t="shared" ref="D9:D40" ca="1" si="0">IF(A9="","",TODAY())</f>
        <v/>
      </c>
      <c r="E9" s="94"/>
      <c r="F9" s="37"/>
      <c r="G9" s="95" t="str">
        <f t="shared" ref="G9:G40" si="1">IF(OR(A9="",E9=""),"",IF(C9="","",C9-E9))</f>
        <v/>
      </c>
      <c r="H9" s="39" t="s">
        <v>141</v>
      </c>
      <c r="I9" s="81"/>
      <c r="J9" s="82" t="str">
        <f>IF(AND(A9&lt;&gt;"",E9&lt;&gt;""),IF(I9="","⚠️ Enter Code",IF(IFERROR(VLOOKUP(H9,DB_Agents!$B:$I,8,0),"")=I9,IF(C9&gt;=E9,"Successful","Unsuccessful"),"🔒 BLOCKED — Wrong Code")),"Pending")</f>
        <v>Pending</v>
      </c>
      <c r="K9" s="83" t="str">
        <f t="shared" ref="K9:K40" ca="1" si="2">IF(J9="Successful",TEXT(TODAY(),"YYYY-MM-DD")&amp;" Auto","—")</f>
        <v>—</v>
      </c>
      <c r="L9" s="84"/>
    </row>
    <row r="10" spans="1:13" ht="15" customHeight="1" x14ac:dyDescent="0.25">
      <c r="A10" s="85"/>
      <c r="B10" s="41" t="str">
        <f>IF(A10="","",IFERROR(VLOOKUP(A10,DB_Customers!$A:$D,4,0),"❌ Account Not Found"))</f>
        <v/>
      </c>
      <c r="C10" s="86" t="str">
        <f>IF(A10="","",IFERROR(VLOOKUP(A10,DB_Customers!$A:$N,14,0),"❌ Acct Not Found"))</f>
        <v/>
      </c>
      <c r="D10" s="87" t="str">
        <f t="shared" ca="1" si="0"/>
        <v/>
      </c>
      <c r="E10" s="94"/>
      <c r="F10" s="41"/>
      <c r="G10" s="96" t="str">
        <f t="shared" si="1"/>
        <v/>
      </c>
      <c r="H10" s="43" t="s">
        <v>141</v>
      </c>
      <c r="I10" s="81"/>
      <c r="J10" s="89" t="str">
        <f>IF(AND(A10&lt;&gt;"",E10&lt;&gt;""),IF(I10="","⚠️ Enter Code",IF(IFERROR(VLOOKUP(H10,DB_Agents!$B:$I,8,0),"")=I10,IF(C10&gt;=E10,"Successful","Unsuccessful"),"🔒 BLOCKED — Wrong Code")),"Pending")</f>
        <v>Pending</v>
      </c>
      <c r="K10" s="90" t="str">
        <f t="shared" ca="1" si="2"/>
        <v>—</v>
      </c>
      <c r="L10" s="91"/>
    </row>
    <row r="11" spans="1:13" ht="15" customHeight="1" x14ac:dyDescent="0.25">
      <c r="A11" s="76"/>
      <c r="B11" s="37" t="str">
        <f>IF(A11="","",IFERROR(VLOOKUP(A11,DB_Customers!$A:$D,4,0),"❌ Account Not Found"))</f>
        <v/>
      </c>
      <c r="C11" s="77" t="str">
        <f>IF(A11="","",IFERROR(VLOOKUP(A11,DB_Customers!$A:$N,14,0),"❌ Acct Not Found"))</f>
        <v/>
      </c>
      <c r="D11" s="78" t="str">
        <f t="shared" ca="1" si="0"/>
        <v/>
      </c>
      <c r="E11" s="94"/>
      <c r="F11" s="37"/>
      <c r="G11" s="95" t="str">
        <f t="shared" si="1"/>
        <v/>
      </c>
      <c r="H11" s="39" t="s">
        <v>141</v>
      </c>
      <c r="I11" s="81"/>
      <c r="J11" s="82" t="str">
        <f>IF(AND(A11&lt;&gt;"",E11&lt;&gt;""),IF(I11="","⚠️ Enter Code",IF(IFERROR(VLOOKUP(H11,DB_Agents!$B:$I,8,0),"")=I11,IF(C11&gt;=E11,"Successful","Unsuccessful"),"🔒 BLOCKED — Wrong Code")),"Pending")</f>
        <v>Pending</v>
      </c>
      <c r="K11" s="83" t="str">
        <f t="shared" ca="1" si="2"/>
        <v>—</v>
      </c>
      <c r="L11" s="84"/>
    </row>
    <row r="12" spans="1:13" ht="15" customHeight="1" x14ac:dyDescent="0.25">
      <c r="A12" s="85"/>
      <c r="B12" s="41" t="str">
        <f>IF(A12="","",IFERROR(VLOOKUP(A12,DB_Customers!$A:$D,4,0),"❌ Account Not Found"))</f>
        <v/>
      </c>
      <c r="C12" s="86" t="str">
        <f>IF(A12="","",IFERROR(VLOOKUP(A12,DB_Customers!$A:$N,14,0),"❌ Acct Not Found"))</f>
        <v/>
      </c>
      <c r="D12" s="87" t="str">
        <f t="shared" ca="1" si="0"/>
        <v/>
      </c>
      <c r="E12" s="94"/>
      <c r="F12" s="41"/>
      <c r="G12" s="96" t="str">
        <f t="shared" si="1"/>
        <v/>
      </c>
      <c r="H12" s="43" t="s">
        <v>141</v>
      </c>
      <c r="I12" s="81"/>
      <c r="J12" s="89" t="str">
        <f>IF(AND(A12&lt;&gt;"",E12&lt;&gt;""),IF(I12="","⚠️ Enter Code",IF(IFERROR(VLOOKUP(H12,DB_Agents!$B:$I,8,0),"")=I12,IF(C12&gt;=E12,"Successful","Unsuccessful"),"🔒 BLOCKED — Wrong Code")),"Pending")</f>
        <v>Pending</v>
      </c>
      <c r="K12" s="90" t="str">
        <f t="shared" ca="1" si="2"/>
        <v>—</v>
      </c>
      <c r="L12" s="91"/>
    </row>
    <row r="13" spans="1:13" ht="15" customHeight="1" x14ac:dyDescent="0.25">
      <c r="A13" s="76"/>
      <c r="B13" s="37" t="str">
        <f>IF(A13="","",IFERROR(VLOOKUP(A13,DB_Customers!$A:$D,4,0),"❌ Account Not Found"))</f>
        <v/>
      </c>
      <c r="C13" s="77" t="str">
        <f>IF(A13="","",IFERROR(VLOOKUP(A13,DB_Customers!$A:$N,14,0),"❌ Acct Not Found"))</f>
        <v/>
      </c>
      <c r="D13" s="78" t="str">
        <f t="shared" ca="1" si="0"/>
        <v/>
      </c>
      <c r="E13" s="94"/>
      <c r="F13" s="37"/>
      <c r="G13" s="95" t="str">
        <f t="shared" si="1"/>
        <v/>
      </c>
      <c r="H13" s="39" t="s">
        <v>141</v>
      </c>
      <c r="I13" s="81"/>
      <c r="J13" s="82" t="str">
        <f>IF(AND(A13&lt;&gt;"",E13&lt;&gt;""),IF(I13="","⚠️ Enter Code",IF(IFERROR(VLOOKUP(H13,DB_Agents!$B:$I,8,0),"")=I13,IF(C13&gt;=E13,"Successful","Unsuccessful"),"🔒 BLOCKED — Wrong Code")),"Pending")</f>
        <v>Pending</v>
      </c>
      <c r="K13" s="83" t="str">
        <f t="shared" ca="1" si="2"/>
        <v>—</v>
      </c>
      <c r="L13" s="84"/>
    </row>
    <row r="14" spans="1:13" ht="15" customHeight="1" x14ac:dyDescent="0.25">
      <c r="A14" s="85"/>
      <c r="B14" s="41" t="str">
        <f>IF(A14="","",IFERROR(VLOOKUP(A14,DB_Customers!$A:$D,4,0),"❌ Account Not Found"))</f>
        <v/>
      </c>
      <c r="C14" s="86" t="str">
        <f>IF(A14="","",IFERROR(VLOOKUP(A14,DB_Customers!$A:$N,14,0),"❌ Acct Not Found"))</f>
        <v/>
      </c>
      <c r="D14" s="87" t="str">
        <f t="shared" ca="1" si="0"/>
        <v/>
      </c>
      <c r="E14" s="94"/>
      <c r="F14" s="41"/>
      <c r="G14" s="96" t="str">
        <f t="shared" si="1"/>
        <v/>
      </c>
      <c r="H14" s="43" t="s">
        <v>141</v>
      </c>
      <c r="I14" s="81"/>
      <c r="J14" s="89" t="str">
        <f>IF(AND(A14&lt;&gt;"",E14&lt;&gt;""),IF(I14="","⚠️ Enter Code",IF(IFERROR(VLOOKUP(H14,DB_Agents!$B:$I,8,0),"")=I14,IF(C14&gt;=E14,"Successful","Unsuccessful"),"🔒 BLOCKED — Wrong Code")),"Pending")</f>
        <v>Pending</v>
      </c>
      <c r="K14" s="90" t="str">
        <f t="shared" ca="1" si="2"/>
        <v>—</v>
      </c>
      <c r="L14" s="91"/>
    </row>
    <row r="15" spans="1:13" ht="15" customHeight="1" x14ac:dyDescent="0.25">
      <c r="A15" s="76"/>
      <c r="B15" s="37" t="str">
        <f>IF(A15="","",IFERROR(VLOOKUP(A15,DB_Customers!$A:$D,4,0),"❌ Account Not Found"))</f>
        <v/>
      </c>
      <c r="C15" s="77" t="str">
        <f>IF(A15="","",IFERROR(VLOOKUP(A15,DB_Customers!$A:$N,14,0),"❌ Acct Not Found"))</f>
        <v/>
      </c>
      <c r="D15" s="78" t="str">
        <f t="shared" ca="1" si="0"/>
        <v/>
      </c>
      <c r="E15" s="94"/>
      <c r="F15" s="37"/>
      <c r="G15" s="95" t="str">
        <f t="shared" si="1"/>
        <v/>
      </c>
      <c r="H15" s="39" t="s">
        <v>141</v>
      </c>
      <c r="I15" s="81"/>
      <c r="J15" s="82" t="str">
        <f>IF(AND(A15&lt;&gt;"",E15&lt;&gt;""),IF(I15="","⚠️ Enter Code",IF(IFERROR(VLOOKUP(H15,DB_Agents!$B:$I,8,0),"")=I15,IF(C15&gt;=E15,"Successful","Unsuccessful"),"🔒 BLOCKED — Wrong Code")),"Pending")</f>
        <v>Pending</v>
      </c>
      <c r="K15" s="83" t="str">
        <f t="shared" ca="1" si="2"/>
        <v>—</v>
      </c>
      <c r="L15" s="84"/>
    </row>
    <row r="16" spans="1:13" ht="15" customHeight="1" x14ac:dyDescent="0.25">
      <c r="A16" s="85"/>
      <c r="B16" s="41" t="str">
        <f>IF(A16="","",IFERROR(VLOOKUP(A16,DB_Customers!$A:$D,4,0),"❌ Account Not Found"))</f>
        <v/>
      </c>
      <c r="C16" s="86" t="str">
        <f>IF(A16="","",IFERROR(VLOOKUP(A16,DB_Customers!$A:$N,14,0),"❌ Acct Not Found"))</f>
        <v/>
      </c>
      <c r="D16" s="87" t="str">
        <f t="shared" ca="1" si="0"/>
        <v/>
      </c>
      <c r="E16" s="94"/>
      <c r="F16" s="41"/>
      <c r="G16" s="96" t="str">
        <f t="shared" si="1"/>
        <v/>
      </c>
      <c r="H16" s="43" t="s">
        <v>141</v>
      </c>
      <c r="I16" s="81"/>
      <c r="J16" s="89" t="str">
        <f>IF(AND(A16&lt;&gt;"",E16&lt;&gt;""),IF(I16="","⚠️ Enter Code",IF(IFERROR(VLOOKUP(H16,DB_Agents!$B:$I,8,0),"")=I16,IF(C16&gt;=E16,"Successful","Unsuccessful"),"🔒 BLOCKED — Wrong Code")),"Pending")</f>
        <v>Pending</v>
      </c>
      <c r="K16" s="90" t="str">
        <f t="shared" ca="1" si="2"/>
        <v>—</v>
      </c>
      <c r="L16" s="91"/>
    </row>
    <row r="17" spans="1:12" ht="15" customHeight="1" x14ac:dyDescent="0.25">
      <c r="A17" s="76"/>
      <c r="B17" s="37" t="str">
        <f>IF(A17="","",IFERROR(VLOOKUP(A17,DB_Customers!$A:$D,4,0),"❌ Account Not Found"))</f>
        <v/>
      </c>
      <c r="C17" s="77" t="str">
        <f>IF(A17="","",IFERROR(VLOOKUP(A17,DB_Customers!$A:$N,14,0),"❌ Acct Not Found"))</f>
        <v/>
      </c>
      <c r="D17" s="78" t="str">
        <f t="shared" ca="1" si="0"/>
        <v/>
      </c>
      <c r="E17" s="94"/>
      <c r="F17" s="37"/>
      <c r="G17" s="95" t="str">
        <f t="shared" si="1"/>
        <v/>
      </c>
      <c r="H17" s="39" t="s">
        <v>141</v>
      </c>
      <c r="I17" s="81"/>
      <c r="J17" s="82" t="str">
        <f>IF(AND(A17&lt;&gt;"",E17&lt;&gt;""),IF(I17="","⚠️ Enter Code",IF(IFERROR(VLOOKUP(H17,DB_Agents!$B:$I,8,0),"")=I17,IF(C17&gt;=E17,"Successful","Unsuccessful"),"🔒 BLOCKED — Wrong Code")),"Pending")</f>
        <v>Pending</v>
      </c>
      <c r="K17" s="83" t="str">
        <f t="shared" ca="1" si="2"/>
        <v>—</v>
      </c>
      <c r="L17" s="84"/>
    </row>
    <row r="18" spans="1:12" ht="15" customHeight="1" x14ac:dyDescent="0.25">
      <c r="A18" s="85"/>
      <c r="B18" s="41" t="str">
        <f>IF(A18="","",IFERROR(VLOOKUP(A18,DB_Customers!$A:$D,4,0),"❌ Account Not Found"))</f>
        <v/>
      </c>
      <c r="C18" s="86" t="str">
        <f>IF(A18="","",IFERROR(VLOOKUP(A18,DB_Customers!$A:$N,14,0),"❌ Acct Not Found"))</f>
        <v/>
      </c>
      <c r="D18" s="87" t="str">
        <f t="shared" ca="1" si="0"/>
        <v/>
      </c>
      <c r="E18" s="94"/>
      <c r="F18" s="41"/>
      <c r="G18" s="96" t="str">
        <f t="shared" si="1"/>
        <v/>
      </c>
      <c r="H18" s="43" t="s">
        <v>141</v>
      </c>
      <c r="I18" s="81"/>
      <c r="J18" s="89" t="str">
        <f>IF(AND(A18&lt;&gt;"",E18&lt;&gt;""),IF(I18="","⚠️ Enter Code",IF(IFERROR(VLOOKUP(H18,DB_Agents!$B:$I,8,0),"")=I18,IF(C18&gt;=E18,"Successful","Unsuccessful"),"🔒 BLOCKED — Wrong Code")),"Pending")</f>
        <v>Pending</v>
      </c>
      <c r="K18" s="90" t="str">
        <f t="shared" ca="1" si="2"/>
        <v>—</v>
      </c>
      <c r="L18" s="91"/>
    </row>
    <row r="19" spans="1:12" ht="15" customHeight="1" x14ac:dyDescent="0.25">
      <c r="A19" s="76"/>
      <c r="B19" s="37" t="str">
        <f>IF(A19="","",IFERROR(VLOOKUP(A19,DB_Customers!$A:$D,4,0),"❌ Account Not Found"))</f>
        <v/>
      </c>
      <c r="C19" s="77" t="str">
        <f>IF(A19="","",IFERROR(VLOOKUP(A19,DB_Customers!$A:$N,14,0),"❌ Acct Not Found"))</f>
        <v/>
      </c>
      <c r="D19" s="78" t="str">
        <f t="shared" ca="1" si="0"/>
        <v/>
      </c>
      <c r="E19" s="94"/>
      <c r="F19" s="37"/>
      <c r="G19" s="95" t="str">
        <f t="shared" si="1"/>
        <v/>
      </c>
      <c r="H19" s="39" t="s">
        <v>141</v>
      </c>
      <c r="I19" s="81"/>
      <c r="J19" s="82" t="str">
        <f>IF(AND(A19&lt;&gt;"",E19&lt;&gt;""),IF(I19="","⚠️ Enter Code",IF(IFERROR(VLOOKUP(H19,DB_Agents!$B:$I,8,0),"")=I19,IF(C19&gt;=E19,"Successful","Unsuccessful"),"🔒 BLOCKED — Wrong Code")),"Pending")</f>
        <v>Pending</v>
      </c>
      <c r="K19" s="83" t="str">
        <f t="shared" ca="1" si="2"/>
        <v>—</v>
      </c>
      <c r="L19" s="84"/>
    </row>
    <row r="20" spans="1:12" ht="15" customHeight="1" x14ac:dyDescent="0.25">
      <c r="A20" s="85"/>
      <c r="B20" s="41" t="str">
        <f>IF(A20="","",IFERROR(VLOOKUP(A20,DB_Customers!$A:$D,4,0),"❌ Account Not Found"))</f>
        <v/>
      </c>
      <c r="C20" s="86" t="str">
        <f>IF(A20="","",IFERROR(VLOOKUP(A20,DB_Customers!$A:$N,14,0),"❌ Acct Not Found"))</f>
        <v/>
      </c>
      <c r="D20" s="87" t="str">
        <f t="shared" ca="1" si="0"/>
        <v/>
      </c>
      <c r="E20" s="94"/>
      <c r="F20" s="41"/>
      <c r="G20" s="96" t="str">
        <f t="shared" si="1"/>
        <v/>
      </c>
      <c r="H20" s="43" t="s">
        <v>141</v>
      </c>
      <c r="I20" s="81"/>
      <c r="J20" s="89" t="str">
        <f>IF(AND(A20&lt;&gt;"",E20&lt;&gt;""),IF(I20="","⚠️ Enter Code",IF(IFERROR(VLOOKUP(H20,DB_Agents!$B:$I,8,0),"")=I20,IF(C20&gt;=E20,"Successful","Unsuccessful"),"🔒 BLOCKED — Wrong Code")),"Pending")</f>
        <v>Pending</v>
      </c>
      <c r="K20" s="90" t="str">
        <f t="shared" ca="1" si="2"/>
        <v>—</v>
      </c>
      <c r="L20" s="91"/>
    </row>
    <row r="21" spans="1:12" ht="15" customHeight="1" x14ac:dyDescent="0.25">
      <c r="A21" s="76"/>
      <c r="B21" s="37" t="str">
        <f>IF(A21="","",IFERROR(VLOOKUP(A21,DB_Customers!$A:$D,4,0),"❌ Account Not Found"))</f>
        <v/>
      </c>
      <c r="C21" s="77" t="str">
        <f>IF(A21="","",IFERROR(VLOOKUP(A21,DB_Customers!$A:$N,14,0),"❌ Acct Not Found"))</f>
        <v/>
      </c>
      <c r="D21" s="78" t="str">
        <f t="shared" ca="1" si="0"/>
        <v/>
      </c>
      <c r="E21" s="94"/>
      <c r="F21" s="37"/>
      <c r="G21" s="95" t="str">
        <f t="shared" si="1"/>
        <v/>
      </c>
      <c r="H21" s="39" t="s">
        <v>141</v>
      </c>
      <c r="I21" s="81"/>
      <c r="J21" s="82" t="str">
        <f>IF(AND(A21&lt;&gt;"",E21&lt;&gt;""),IF(I21="","⚠️ Enter Code",IF(IFERROR(VLOOKUP(H21,DB_Agents!$B:$I,8,0),"")=I21,IF(C21&gt;=E21,"Successful","Unsuccessful"),"🔒 BLOCKED — Wrong Code")),"Pending")</f>
        <v>Pending</v>
      </c>
      <c r="K21" s="83" t="str">
        <f t="shared" ca="1" si="2"/>
        <v>—</v>
      </c>
      <c r="L21" s="84"/>
    </row>
    <row r="22" spans="1:12" ht="15" customHeight="1" x14ac:dyDescent="0.25">
      <c r="A22" s="85"/>
      <c r="B22" s="41" t="str">
        <f>IF(A22="","",IFERROR(VLOOKUP(A22,DB_Customers!$A:$D,4,0),"❌ Account Not Found"))</f>
        <v/>
      </c>
      <c r="C22" s="86" t="str">
        <f>IF(A22="","",IFERROR(VLOOKUP(A22,DB_Customers!$A:$N,14,0),"❌ Acct Not Found"))</f>
        <v/>
      </c>
      <c r="D22" s="87" t="str">
        <f t="shared" ca="1" si="0"/>
        <v/>
      </c>
      <c r="E22" s="94"/>
      <c r="F22" s="41"/>
      <c r="G22" s="96" t="str">
        <f t="shared" si="1"/>
        <v/>
      </c>
      <c r="H22" s="43" t="s">
        <v>141</v>
      </c>
      <c r="I22" s="81"/>
      <c r="J22" s="89" t="str">
        <f>IF(AND(A22&lt;&gt;"",E22&lt;&gt;""),IF(I22="","⚠️ Enter Code",IF(IFERROR(VLOOKUP(H22,DB_Agents!$B:$I,8,0),"")=I22,IF(C22&gt;=E22,"Successful","Unsuccessful"),"🔒 BLOCKED — Wrong Code")),"Pending")</f>
        <v>Pending</v>
      </c>
      <c r="K22" s="90" t="str">
        <f t="shared" ca="1" si="2"/>
        <v>—</v>
      </c>
      <c r="L22" s="91"/>
    </row>
    <row r="23" spans="1:12" ht="15" customHeight="1" x14ac:dyDescent="0.25">
      <c r="A23" s="76"/>
      <c r="B23" s="37" t="str">
        <f>IF(A23="","",IFERROR(VLOOKUP(A23,DB_Customers!$A:$D,4,0),"❌ Account Not Found"))</f>
        <v/>
      </c>
      <c r="C23" s="77" t="str">
        <f>IF(A23="","",IFERROR(VLOOKUP(A23,DB_Customers!$A:$N,14,0),"❌ Acct Not Found"))</f>
        <v/>
      </c>
      <c r="D23" s="78" t="str">
        <f t="shared" ca="1" si="0"/>
        <v/>
      </c>
      <c r="E23" s="94"/>
      <c r="F23" s="37"/>
      <c r="G23" s="95" t="str">
        <f t="shared" si="1"/>
        <v/>
      </c>
      <c r="H23" s="39" t="s">
        <v>141</v>
      </c>
      <c r="I23" s="81"/>
      <c r="J23" s="82" t="str">
        <f>IF(AND(A23&lt;&gt;"",E23&lt;&gt;""),IF(I23="","⚠️ Enter Code",IF(IFERROR(VLOOKUP(H23,DB_Agents!$B:$I,8,0),"")=I23,IF(C23&gt;=E23,"Successful","Unsuccessful"),"🔒 BLOCKED — Wrong Code")),"Pending")</f>
        <v>Pending</v>
      </c>
      <c r="K23" s="83" t="str">
        <f t="shared" ca="1" si="2"/>
        <v>—</v>
      </c>
      <c r="L23" s="84"/>
    </row>
    <row r="24" spans="1:12" ht="15" customHeight="1" x14ac:dyDescent="0.25">
      <c r="A24" s="85"/>
      <c r="B24" s="41" t="str">
        <f>IF(A24="","",IFERROR(VLOOKUP(A24,DB_Customers!$A:$D,4,0),"❌ Account Not Found"))</f>
        <v/>
      </c>
      <c r="C24" s="86" t="str">
        <f>IF(A24="","",IFERROR(VLOOKUP(A24,DB_Customers!$A:$N,14,0),"❌ Acct Not Found"))</f>
        <v/>
      </c>
      <c r="D24" s="87" t="str">
        <f t="shared" ca="1" si="0"/>
        <v/>
      </c>
      <c r="E24" s="94"/>
      <c r="F24" s="41"/>
      <c r="G24" s="96" t="str">
        <f t="shared" si="1"/>
        <v/>
      </c>
      <c r="H24" s="43" t="s">
        <v>141</v>
      </c>
      <c r="I24" s="81"/>
      <c r="J24" s="89" t="str">
        <f>IF(AND(A24&lt;&gt;"",E24&lt;&gt;""),IF(I24="","⚠️ Enter Code",IF(IFERROR(VLOOKUP(H24,DB_Agents!$B:$I,8,0),"")=I24,IF(C24&gt;=E24,"Successful","Unsuccessful"),"🔒 BLOCKED — Wrong Code")),"Pending")</f>
        <v>Pending</v>
      </c>
      <c r="K24" s="90" t="str">
        <f t="shared" ca="1" si="2"/>
        <v>—</v>
      </c>
      <c r="L24" s="91"/>
    </row>
    <row r="25" spans="1:12" ht="15" customHeight="1" x14ac:dyDescent="0.25">
      <c r="A25" s="76"/>
      <c r="B25" s="37" t="str">
        <f>IF(A25="","",IFERROR(VLOOKUP(A25,DB_Customers!$A:$D,4,0),"❌ Account Not Found"))</f>
        <v/>
      </c>
      <c r="C25" s="77" t="str">
        <f>IF(A25="","",IFERROR(VLOOKUP(A25,DB_Customers!$A:$N,14,0),"❌ Acct Not Found"))</f>
        <v/>
      </c>
      <c r="D25" s="78" t="str">
        <f t="shared" ca="1" si="0"/>
        <v/>
      </c>
      <c r="E25" s="94"/>
      <c r="F25" s="37"/>
      <c r="G25" s="95" t="str">
        <f t="shared" si="1"/>
        <v/>
      </c>
      <c r="H25" s="39" t="s">
        <v>141</v>
      </c>
      <c r="I25" s="81"/>
      <c r="J25" s="82" t="str">
        <f>IF(AND(A25&lt;&gt;"",E25&lt;&gt;""),IF(I25="","⚠️ Enter Code",IF(IFERROR(VLOOKUP(H25,DB_Agents!$B:$I,8,0),"")=I25,IF(C25&gt;=E25,"Successful","Unsuccessful"),"🔒 BLOCKED — Wrong Code")),"Pending")</f>
        <v>Pending</v>
      </c>
      <c r="K25" s="83" t="str">
        <f t="shared" ca="1" si="2"/>
        <v>—</v>
      </c>
      <c r="L25" s="84"/>
    </row>
    <row r="26" spans="1:12" ht="15" customHeight="1" x14ac:dyDescent="0.25">
      <c r="A26" s="85"/>
      <c r="B26" s="41" t="str">
        <f>IF(A26="","",IFERROR(VLOOKUP(A26,DB_Customers!$A:$D,4,0),"❌ Account Not Found"))</f>
        <v/>
      </c>
      <c r="C26" s="86" t="str">
        <f>IF(A26="","",IFERROR(VLOOKUP(A26,DB_Customers!$A:$N,14,0),"❌ Acct Not Found"))</f>
        <v/>
      </c>
      <c r="D26" s="87" t="str">
        <f t="shared" ca="1" si="0"/>
        <v/>
      </c>
      <c r="E26" s="94"/>
      <c r="F26" s="41"/>
      <c r="G26" s="96" t="str">
        <f t="shared" si="1"/>
        <v/>
      </c>
      <c r="H26" s="43" t="s">
        <v>141</v>
      </c>
      <c r="I26" s="81"/>
      <c r="J26" s="89" t="str">
        <f>IF(AND(A26&lt;&gt;"",E26&lt;&gt;""),IF(I26="","⚠️ Enter Code",IF(IFERROR(VLOOKUP(H26,DB_Agents!$B:$I,8,0),"")=I26,IF(C26&gt;=E26,"Successful","Unsuccessful"),"🔒 BLOCKED — Wrong Code")),"Pending")</f>
        <v>Pending</v>
      </c>
      <c r="K26" s="90" t="str">
        <f t="shared" ca="1" si="2"/>
        <v>—</v>
      </c>
      <c r="L26" s="91"/>
    </row>
    <row r="27" spans="1:12" ht="15" customHeight="1" x14ac:dyDescent="0.25">
      <c r="A27" s="76"/>
      <c r="B27" s="37" t="str">
        <f>IF(A27="","",IFERROR(VLOOKUP(A27,DB_Customers!$A:$D,4,0),"❌ Account Not Found"))</f>
        <v/>
      </c>
      <c r="C27" s="77" t="str">
        <f>IF(A27="","",IFERROR(VLOOKUP(A27,DB_Customers!$A:$N,14,0),"❌ Acct Not Found"))</f>
        <v/>
      </c>
      <c r="D27" s="78" t="str">
        <f t="shared" ca="1" si="0"/>
        <v/>
      </c>
      <c r="E27" s="94"/>
      <c r="F27" s="37"/>
      <c r="G27" s="95" t="str">
        <f t="shared" si="1"/>
        <v/>
      </c>
      <c r="H27" s="39" t="s">
        <v>141</v>
      </c>
      <c r="I27" s="81"/>
      <c r="J27" s="82" t="str">
        <f>IF(AND(A27&lt;&gt;"",E27&lt;&gt;""),IF(I27="","⚠️ Enter Code",IF(IFERROR(VLOOKUP(H27,DB_Agents!$B:$I,8,0),"")=I27,IF(C27&gt;=E27,"Successful","Unsuccessful"),"🔒 BLOCKED — Wrong Code")),"Pending")</f>
        <v>Pending</v>
      </c>
      <c r="K27" s="83" t="str">
        <f t="shared" ca="1" si="2"/>
        <v>—</v>
      </c>
      <c r="L27" s="84"/>
    </row>
    <row r="28" spans="1:12" ht="15" customHeight="1" x14ac:dyDescent="0.25">
      <c r="A28" s="85"/>
      <c r="B28" s="41" t="str">
        <f>IF(A28="","",IFERROR(VLOOKUP(A28,DB_Customers!$A:$D,4,0),"❌ Account Not Found"))</f>
        <v/>
      </c>
      <c r="C28" s="86" t="str">
        <f>IF(A28="","",IFERROR(VLOOKUP(A28,DB_Customers!$A:$N,14,0),"❌ Acct Not Found"))</f>
        <v/>
      </c>
      <c r="D28" s="87" t="str">
        <f t="shared" ca="1" si="0"/>
        <v/>
      </c>
      <c r="E28" s="94"/>
      <c r="F28" s="41"/>
      <c r="G28" s="96" t="str">
        <f t="shared" si="1"/>
        <v/>
      </c>
      <c r="H28" s="43" t="s">
        <v>141</v>
      </c>
      <c r="I28" s="81"/>
      <c r="J28" s="89" t="str">
        <f>IF(AND(A28&lt;&gt;"",E28&lt;&gt;""),IF(I28="","⚠️ Enter Code",IF(IFERROR(VLOOKUP(H28,DB_Agents!$B:$I,8,0),"")=I28,IF(C28&gt;=E28,"Successful","Unsuccessful"),"🔒 BLOCKED — Wrong Code")),"Pending")</f>
        <v>Pending</v>
      </c>
      <c r="K28" s="90" t="str">
        <f t="shared" ca="1" si="2"/>
        <v>—</v>
      </c>
      <c r="L28" s="91"/>
    </row>
    <row r="29" spans="1:12" ht="15" customHeight="1" x14ac:dyDescent="0.25">
      <c r="A29" s="76"/>
      <c r="B29" s="37" t="str">
        <f>IF(A29="","",IFERROR(VLOOKUP(A29,DB_Customers!$A:$D,4,0),"❌ Account Not Found"))</f>
        <v/>
      </c>
      <c r="C29" s="77" t="str">
        <f>IF(A29="","",IFERROR(VLOOKUP(A29,DB_Customers!$A:$N,14,0),"❌ Acct Not Found"))</f>
        <v/>
      </c>
      <c r="D29" s="78" t="str">
        <f t="shared" ca="1" si="0"/>
        <v/>
      </c>
      <c r="E29" s="94"/>
      <c r="F29" s="37"/>
      <c r="G29" s="95" t="str">
        <f t="shared" si="1"/>
        <v/>
      </c>
      <c r="H29" s="39" t="s">
        <v>141</v>
      </c>
      <c r="I29" s="81"/>
      <c r="J29" s="82" t="str">
        <f>IF(AND(A29&lt;&gt;"",E29&lt;&gt;""),IF(I29="","⚠️ Enter Code",IF(IFERROR(VLOOKUP(H29,DB_Agents!$B:$I,8,0),"")=I29,IF(C29&gt;=E29,"Successful","Unsuccessful"),"🔒 BLOCKED — Wrong Code")),"Pending")</f>
        <v>Pending</v>
      </c>
      <c r="K29" s="83" t="str">
        <f t="shared" ca="1" si="2"/>
        <v>—</v>
      </c>
      <c r="L29" s="84"/>
    </row>
    <row r="30" spans="1:12" ht="15" customHeight="1" x14ac:dyDescent="0.25">
      <c r="A30" s="85"/>
      <c r="B30" s="41" t="str">
        <f>IF(A30="","",IFERROR(VLOOKUP(A30,DB_Customers!$A:$D,4,0),"❌ Account Not Found"))</f>
        <v/>
      </c>
      <c r="C30" s="86" t="str">
        <f>IF(A30="","",IFERROR(VLOOKUP(A30,DB_Customers!$A:$N,14,0),"❌ Acct Not Found"))</f>
        <v/>
      </c>
      <c r="D30" s="87" t="str">
        <f t="shared" ca="1" si="0"/>
        <v/>
      </c>
      <c r="E30" s="94"/>
      <c r="F30" s="41"/>
      <c r="G30" s="96" t="str">
        <f t="shared" si="1"/>
        <v/>
      </c>
      <c r="H30" s="43" t="s">
        <v>141</v>
      </c>
      <c r="I30" s="81"/>
      <c r="J30" s="89" t="str">
        <f>IF(AND(A30&lt;&gt;"",E30&lt;&gt;""),IF(I30="","⚠️ Enter Code",IF(IFERROR(VLOOKUP(H30,DB_Agents!$B:$I,8,0),"")=I30,IF(C30&gt;=E30,"Successful","Unsuccessful"),"🔒 BLOCKED — Wrong Code")),"Pending")</f>
        <v>Pending</v>
      </c>
      <c r="K30" s="90" t="str">
        <f t="shared" ca="1" si="2"/>
        <v>—</v>
      </c>
      <c r="L30" s="91"/>
    </row>
    <row r="31" spans="1:12" ht="15" customHeight="1" x14ac:dyDescent="0.25">
      <c r="A31" s="76"/>
      <c r="B31" s="37" t="str">
        <f>IF(A31="","",IFERROR(VLOOKUP(A31,DB_Customers!$A:$D,4,0),"❌ Account Not Found"))</f>
        <v/>
      </c>
      <c r="C31" s="77" t="str">
        <f>IF(A31="","",IFERROR(VLOOKUP(A31,DB_Customers!$A:$N,14,0),"❌ Acct Not Found"))</f>
        <v/>
      </c>
      <c r="D31" s="78" t="str">
        <f t="shared" ca="1" si="0"/>
        <v/>
      </c>
      <c r="E31" s="94"/>
      <c r="F31" s="37"/>
      <c r="G31" s="95" t="str">
        <f t="shared" si="1"/>
        <v/>
      </c>
      <c r="H31" s="39" t="s">
        <v>141</v>
      </c>
      <c r="I31" s="81"/>
      <c r="J31" s="82" t="str">
        <f>IF(AND(A31&lt;&gt;"",E31&lt;&gt;""),IF(I31="","⚠️ Enter Code",IF(IFERROR(VLOOKUP(H31,DB_Agents!$B:$I,8,0),"")=I31,IF(C31&gt;=E31,"Successful","Unsuccessful"),"🔒 BLOCKED — Wrong Code")),"Pending")</f>
        <v>Pending</v>
      </c>
      <c r="K31" s="83" t="str">
        <f t="shared" ca="1" si="2"/>
        <v>—</v>
      </c>
      <c r="L31" s="84"/>
    </row>
    <row r="32" spans="1:12" ht="15" customHeight="1" x14ac:dyDescent="0.25">
      <c r="A32" s="85"/>
      <c r="B32" s="41" t="str">
        <f>IF(A32="","",IFERROR(VLOOKUP(A32,DB_Customers!$A:$D,4,0),"❌ Account Not Found"))</f>
        <v/>
      </c>
      <c r="C32" s="86" t="str">
        <f>IF(A32="","",IFERROR(VLOOKUP(A32,DB_Customers!$A:$N,14,0),"❌ Acct Not Found"))</f>
        <v/>
      </c>
      <c r="D32" s="87" t="str">
        <f t="shared" ca="1" si="0"/>
        <v/>
      </c>
      <c r="E32" s="94"/>
      <c r="F32" s="41"/>
      <c r="G32" s="96" t="str">
        <f t="shared" si="1"/>
        <v/>
      </c>
      <c r="H32" s="43" t="s">
        <v>141</v>
      </c>
      <c r="I32" s="81"/>
      <c r="J32" s="89" t="str">
        <f>IF(AND(A32&lt;&gt;"",E32&lt;&gt;""),IF(I32="","⚠️ Enter Code",IF(IFERROR(VLOOKUP(H32,DB_Agents!$B:$I,8,0),"")=I32,IF(C32&gt;=E32,"Successful","Unsuccessful"),"🔒 BLOCKED — Wrong Code")),"Pending")</f>
        <v>Pending</v>
      </c>
      <c r="K32" s="90" t="str">
        <f t="shared" ca="1" si="2"/>
        <v>—</v>
      </c>
      <c r="L32" s="91"/>
    </row>
    <row r="33" spans="1:12" ht="15" customHeight="1" x14ac:dyDescent="0.25">
      <c r="A33" s="76"/>
      <c r="B33" s="37" t="str">
        <f>IF(A33="","",IFERROR(VLOOKUP(A33,DB_Customers!$A:$D,4,0),"❌ Account Not Found"))</f>
        <v/>
      </c>
      <c r="C33" s="77" t="str">
        <f>IF(A33="","",IFERROR(VLOOKUP(A33,DB_Customers!$A:$N,14,0),"❌ Acct Not Found"))</f>
        <v/>
      </c>
      <c r="D33" s="78" t="str">
        <f t="shared" ca="1" si="0"/>
        <v/>
      </c>
      <c r="E33" s="94"/>
      <c r="F33" s="37"/>
      <c r="G33" s="95" t="str">
        <f t="shared" si="1"/>
        <v/>
      </c>
      <c r="H33" s="39" t="s">
        <v>141</v>
      </c>
      <c r="I33" s="81"/>
      <c r="J33" s="82" t="str">
        <f>IF(AND(A33&lt;&gt;"",E33&lt;&gt;""),IF(I33="","⚠️ Enter Code",IF(IFERROR(VLOOKUP(H33,DB_Agents!$B:$I,8,0),"")=I33,IF(C33&gt;=E33,"Successful","Unsuccessful"),"🔒 BLOCKED — Wrong Code")),"Pending")</f>
        <v>Pending</v>
      </c>
      <c r="K33" s="83" t="str">
        <f t="shared" ca="1" si="2"/>
        <v>—</v>
      </c>
      <c r="L33" s="84"/>
    </row>
    <row r="34" spans="1:12" ht="15" customHeight="1" x14ac:dyDescent="0.25">
      <c r="A34" s="85"/>
      <c r="B34" s="41" t="str">
        <f>IF(A34="","",IFERROR(VLOOKUP(A34,DB_Customers!$A:$D,4,0),"❌ Account Not Found"))</f>
        <v/>
      </c>
      <c r="C34" s="86" t="str">
        <f>IF(A34="","",IFERROR(VLOOKUP(A34,DB_Customers!$A:$N,14,0),"❌ Acct Not Found"))</f>
        <v/>
      </c>
      <c r="D34" s="87" t="str">
        <f t="shared" ca="1" si="0"/>
        <v/>
      </c>
      <c r="E34" s="94"/>
      <c r="F34" s="41"/>
      <c r="G34" s="96" t="str">
        <f t="shared" si="1"/>
        <v/>
      </c>
      <c r="H34" s="43" t="s">
        <v>141</v>
      </c>
      <c r="I34" s="81"/>
      <c r="J34" s="89" t="str">
        <f>IF(AND(A34&lt;&gt;"",E34&lt;&gt;""),IF(I34="","⚠️ Enter Code",IF(IFERROR(VLOOKUP(H34,DB_Agents!$B:$I,8,0),"")=I34,IF(C34&gt;=E34,"Successful","Unsuccessful"),"🔒 BLOCKED — Wrong Code")),"Pending")</f>
        <v>Pending</v>
      </c>
      <c r="K34" s="90" t="str">
        <f t="shared" ca="1" si="2"/>
        <v>—</v>
      </c>
      <c r="L34" s="91"/>
    </row>
    <row r="35" spans="1:12" ht="15" customHeight="1" x14ac:dyDescent="0.25">
      <c r="A35" s="76"/>
      <c r="B35" s="37" t="str">
        <f>IF(A35="","",IFERROR(VLOOKUP(A35,DB_Customers!$A:$D,4,0),"❌ Account Not Found"))</f>
        <v/>
      </c>
      <c r="C35" s="77" t="str">
        <f>IF(A35="","",IFERROR(VLOOKUP(A35,DB_Customers!$A:$N,14,0),"❌ Acct Not Found"))</f>
        <v/>
      </c>
      <c r="D35" s="78" t="str">
        <f t="shared" ca="1" si="0"/>
        <v/>
      </c>
      <c r="E35" s="94"/>
      <c r="F35" s="37"/>
      <c r="G35" s="95" t="str">
        <f t="shared" si="1"/>
        <v/>
      </c>
      <c r="H35" s="39" t="s">
        <v>141</v>
      </c>
      <c r="I35" s="81"/>
      <c r="J35" s="82" t="str">
        <f>IF(AND(A35&lt;&gt;"",E35&lt;&gt;""),IF(I35="","⚠️ Enter Code",IF(IFERROR(VLOOKUP(H35,DB_Agents!$B:$I,8,0),"")=I35,IF(C35&gt;=E35,"Successful","Unsuccessful"),"🔒 BLOCKED — Wrong Code")),"Pending")</f>
        <v>Pending</v>
      </c>
      <c r="K35" s="83" t="str">
        <f t="shared" ca="1" si="2"/>
        <v>—</v>
      </c>
      <c r="L35" s="84"/>
    </row>
    <row r="36" spans="1:12" ht="15" customHeight="1" x14ac:dyDescent="0.25">
      <c r="A36" s="85"/>
      <c r="B36" s="41" t="str">
        <f>IF(A36="","",IFERROR(VLOOKUP(A36,DB_Customers!$A:$D,4,0),"❌ Account Not Found"))</f>
        <v/>
      </c>
      <c r="C36" s="86" t="str">
        <f>IF(A36="","",IFERROR(VLOOKUP(A36,DB_Customers!$A:$N,14,0),"❌ Acct Not Found"))</f>
        <v/>
      </c>
      <c r="D36" s="87" t="str">
        <f t="shared" ca="1" si="0"/>
        <v/>
      </c>
      <c r="E36" s="94"/>
      <c r="F36" s="41"/>
      <c r="G36" s="96" t="str">
        <f t="shared" si="1"/>
        <v/>
      </c>
      <c r="H36" s="43" t="s">
        <v>141</v>
      </c>
      <c r="I36" s="81"/>
      <c r="J36" s="89" t="str">
        <f>IF(AND(A36&lt;&gt;"",E36&lt;&gt;""),IF(I36="","⚠️ Enter Code",IF(IFERROR(VLOOKUP(H36,DB_Agents!$B:$I,8,0),"")=I36,IF(C36&gt;=E36,"Successful","Unsuccessful"),"🔒 BLOCKED — Wrong Code")),"Pending")</f>
        <v>Pending</v>
      </c>
      <c r="K36" s="90" t="str">
        <f t="shared" ca="1" si="2"/>
        <v>—</v>
      </c>
      <c r="L36" s="91"/>
    </row>
    <row r="37" spans="1:12" ht="15" customHeight="1" x14ac:dyDescent="0.25">
      <c r="A37" s="76"/>
      <c r="B37" s="37" t="str">
        <f>IF(A37="","",IFERROR(VLOOKUP(A37,DB_Customers!$A:$D,4,0),"❌ Account Not Found"))</f>
        <v/>
      </c>
      <c r="C37" s="77" t="str">
        <f>IF(A37="","",IFERROR(VLOOKUP(A37,DB_Customers!$A:$N,14,0),"❌ Acct Not Found"))</f>
        <v/>
      </c>
      <c r="D37" s="78" t="str">
        <f t="shared" ca="1" si="0"/>
        <v/>
      </c>
      <c r="E37" s="94"/>
      <c r="F37" s="37"/>
      <c r="G37" s="95" t="str">
        <f t="shared" si="1"/>
        <v/>
      </c>
      <c r="H37" s="39" t="s">
        <v>141</v>
      </c>
      <c r="I37" s="81"/>
      <c r="J37" s="82" t="str">
        <f>IF(AND(A37&lt;&gt;"",E37&lt;&gt;""),IF(I37="","⚠️ Enter Code",IF(IFERROR(VLOOKUP(H37,DB_Agents!$B:$I,8,0),"")=I37,IF(C37&gt;=E37,"Successful","Unsuccessful"),"🔒 BLOCKED — Wrong Code")),"Pending")</f>
        <v>Pending</v>
      </c>
      <c r="K37" s="83" t="str">
        <f t="shared" ca="1" si="2"/>
        <v>—</v>
      </c>
      <c r="L37" s="84"/>
    </row>
    <row r="38" spans="1:12" ht="15" customHeight="1" x14ac:dyDescent="0.25">
      <c r="A38" s="85"/>
      <c r="B38" s="41" t="str">
        <f>IF(A38="","",IFERROR(VLOOKUP(A38,DB_Customers!$A:$D,4,0),"❌ Account Not Found"))</f>
        <v/>
      </c>
      <c r="C38" s="86" t="str">
        <f>IF(A38="","",IFERROR(VLOOKUP(A38,DB_Customers!$A:$N,14,0),"❌ Acct Not Found"))</f>
        <v/>
      </c>
      <c r="D38" s="87" t="str">
        <f t="shared" ca="1" si="0"/>
        <v/>
      </c>
      <c r="E38" s="94"/>
      <c r="F38" s="41"/>
      <c r="G38" s="96" t="str">
        <f t="shared" si="1"/>
        <v/>
      </c>
      <c r="H38" s="43" t="s">
        <v>141</v>
      </c>
      <c r="I38" s="81"/>
      <c r="J38" s="89" t="str">
        <f>IF(AND(A38&lt;&gt;"",E38&lt;&gt;""),IF(I38="","⚠️ Enter Code",IF(IFERROR(VLOOKUP(H38,DB_Agents!$B:$I,8,0),"")=I38,IF(C38&gt;=E38,"Successful","Unsuccessful"),"🔒 BLOCKED — Wrong Code")),"Pending")</f>
        <v>Pending</v>
      </c>
      <c r="K38" s="90" t="str">
        <f t="shared" ca="1" si="2"/>
        <v>—</v>
      </c>
      <c r="L38" s="91"/>
    </row>
    <row r="39" spans="1:12" ht="15" customHeight="1" x14ac:dyDescent="0.25">
      <c r="A39" s="76"/>
      <c r="B39" s="37" t="str">
        <f>IF(A39="","",IFERROR(VLOOKUP(A39,DB_Customers!$A:$D,4,0),"❌ Account Not Found"))</f>
        <v/>
      </c>
      <c r="C39" s="77" t="str">
        <f>IF(A39="","",IFERROR(VLOOKUP(A39,DB_Customers!$A:$N,14,0),"❌ Acct Not Found"))</f>
        <v/>
      </c>
      <c r="D39" s="78" t="str">
        <f t="shared" ca="1" si="0"/>
        <v/>
      </c>
      <c r="E39" s="94"/>
      <c r="F39" s="37"/>
      <c r="G39" s="95" t="str">
        <f t="shared" si="1"/>
        <v/>
      </c>
      <c r="H39" s="39" t="s">
        <v>141</v>
      </c>
      <c r="I39" s="81"/>
      <c r="J39" s="82" t="str">
        <f>IF(AND(A39&lt;&gt;"",E39&lt;&gt;""),IF(I39="","⚠️ Enter Code",IF(IFERROR(VLOOKUP(H39,DB_Agents!$B:$I,8,0),"")=I39,IF(C39&gt;=E39,"Successful","Unsuccessful"),"🔒 BLOCKED — Wrong Code")),"Pending")</f>
        <v>Pending</v>
      </c>
      <c r="K39" s="83" t="str">
        <f t="shared" ca="1" si="2"/>
        <v>—</v>
      </c>
      <c r="L39" s="84"/>
    </row>
    <row r="40" spans="1:12" ht="15" customHeight="1" x14ac:dyDescent="0.25">
      <c r="A40" s="85"/>
      <c r="B40" s="41" t="str">
        <f>IF(A40="","",IFERROR(VLOOKUP(A40,DB_Customers!$A:$D,4,0),"❌ Account Not Found"))</f>
        <v/>
      </c>
      <c r="C40" s="86" t="str">
        <f>IF(A40="","",IFERROR(VLOOKUP(A40,DB_Customers!$A:$N,14,0),"❌ Acct Not Found"))</f>
        <v/>
      </c>
      <c r="D40" s="87" t="str">
        <f t="shared" ca="1" si="0"/>
        <v/>
      </c>
      <c r="E40" s="94"/>
      <c r="F40" s="41"/>
      <c r="G40" s="96" t="str">
        <f t="shared" si="1"/>
        <v/>
      </c>
      <c r="H40" s="43" t="s">
        <v>141</v>
      </c>
      <c r="I40" s="81"/>
      <c r="J40" s="89" t="str">
        <f>IF(AND(A40&lt;&gt;"",E40&lt;&gt;""),IF(I40="","⚠️ Enter Code",IF(IFERROR(VLOOKUP(H40,DB_Agents!$B:$I,8,0),"")=I40,IF(C40&gt;=E40,"Successful","Unsuccessful"),"🔒 BLOCKED — Wrong Code")),"Pending")</f>
        <v>Pending</v>
      </c>
      <c r="K40" s="90" t="str">
        <f t="shared" ca="1" si="2"/>
        <v>—</v>
      </c>
      <c r="L40" s="91"/>
    </row>
    <row r="41" spans="1:12" ht="15" customHeight="1" x14ac:dyDescent="0.25">
      <c r="A41" s="76"/>
      <c r="B41" s="37" t="str">
        <f>IF(A41="","",IFERROR(VLOOKUP(A41,DB_Customers!$A:$D,4,0),"❌ Account Not Found"))</f>
        <v/>
      </c>
      <c r="C41" s="77" t="str">
        <f>IF(A41="","",IFERROR(VLOOKUP(A41,DB_Customers!$A:$N,14,0),"❌ Acct Not Found"))</f>
        <v/>
      </c>
      <c r="D41" s="78" t="str">
        <f t="shared" ref="D41:D72" ca="1" si="3">IF(A41="","",TODAY())</f>
        <v/>
      </c>
      <c r="E41" s="94"/>
      <c r="F41" s="37"/>
      <c r="G41" s="95" t="str">
        <f t="shared" ref="G41:G72" si="4">IF(OR(A41="",E41=""),"",IF(C41="","",C41-E41))</f>
        <v/>
      </c>
      <c r="H41" s="39" t="s">
        <v>141</v>
      </c>
      <c r="I41" s="81"/>
      <c r="J41" s="82" t="str">
        <f>IF(AND(A41&lt;&gt;"",E41&lt;&gt;""),IF(I41="","⚠️ Enter Code",IF(IFERROR(VLOOKUP(H41,DB_Agents!$B:$I,8,0),"")=I41,IF(C41&gt;=E41,"Successful","Unsuccessful"),"🔒 BLOCKED — Wrong Code")),"Pending")</f>
        <v>Pending</v>
      </c>
      <c r="K41" s="83" t="str">
        <f t="shared" ref="K41:K72" ca="1" si="5">IF(J41="Successful",TEXT(TODAY(),"YYYY-MM-DD")&amp;" Auto","—")</f>
        <v>—</v>
      </c>
      <c r="L41" s="84"/>
    </row>
    <row r="42" spans="1:12" ht="15" customHeight="1" x14ac:dyDescent="0.25">
      <c r="A42" s="85"/>
      <c r="B42" s="41" t="str">
        <f>IF(A42="","",IFERROR(VLOOKUP(A42,DB_Customers!$A:$D,4,0),"❌ Account Not Found"))</f>
        <v/>
      </c>
      <c r="C42" s="86" t="str">
        <f>IF(A42="","",IFERROR(VLOOKUP(A42,DB_Customers!$A:$N,14,0),"❌ Acct Not Found"))</f>
        <v/>
      </c>
      <c r="D42" s="87" t="str">
        <f t="shared" ca="1" si="3"/>
        <v/>
      </c>
      <c r="E42" s="94"/>
      <c r="F42" s="41"/>
      <c r="G42" s="96" t="str">
        <f t="shared" si="4"/>
        <v/>
      </c>
      <c r="H42" s="43" t="s">
        <v>141</v>
      </c>
      <c r="I42" s="81"/>
      <c r="J42" s="89" t="str">
        <f>IF(AND(A42&lt;&gt;"",E42&lt;&gt;""),IF(I42="","⚠️ Enter Code",IF(IFERROR(VLOOKUP(H42,DB_Agents!$B:$I,8,0),"")=I42,IF(C42&gt;=E42,"Successful","Unsuccessful"),"🔒 BLOCKED — Wrong Code")),"Pending")</f>
        <v>Pending</v>
      </c>
      <c r="K42" s="90" t="str">
        <f t="shared" ca="1" si="5"/>
        <v>—</v>
      </c>
      <c r="L42" s="91"/>
    </row>
    <row r="43" spans="1:12" ht="15" customHeight="1" x14ac:dyDescent="0.25">
      <c r="A43" s="76"/>
      <c r="B43" s="37" t="str">
        <f>IF(A43="","",IFERROR(VLOOKUP(A43,DB_Customers!$A:$D,4,0),"❌ Account Not Found"))</f>
        <v/>
      </c>
      <c r="C43" s="77" t="str">
        <f>IF(A43="","",IFERROR(VLOOKUP(A43,DB_Customers!$A:$N,14,0),"❌ Acct Not Found"))</f>
        <v/>
      </c>
      <c r="D43" s="78" t="str">
        <f t="shared" ca="1" si="3"/>
        <v/>
      </c>
      <c r="E43" s="94"/>
      <c r="F43" s="37"/>
      <c r="G43" s="95" t="str">
        <f t="shared" si="4"/>
        <v/>
      </c>
      <c r="H43" s="39" t="s">
        <v>141</v>
      </c>
      <c r="I43" s="81"/>
      <c r="J43" s="82" t="str">
        <f>IF(AND(A43&lt;&gt;"",E43&lt;&gt;""),IF(I43="","⚠️ Enter Code",IF(IFERROR(VLOOKUP(H43,DB_Agents!$B:$I,8,0),"")=I43,IF(C43&gt;=E43,"Successful","Unsuccessful"),"🔒 BLOCKED — Wrong Code")),"Pending")</f>
        <v>Pending</v>
      </c>
      <c r="K43" s="83" t="str">
        <f t="shared" ca="1" si="5"/>
        <v>—</v>
      </c>
      <c r="L43" s="84"/>
    </row>
    <row r="44" spans="1:12" ht="15" customHeight="1" x14ac:dyDescent="0.25">
      <c r="A44" s="85"/>
      <c r="B44" s="41" t="str">
        <f>IF(A44="","",IFERROR(VLOOKUP(A44,DB_Customers!$A:$D,4,0),"❌ Account Not Found"))</f>
        <v/>
      </c>
      <c r="C44" s="86" t="str">
        <f>IF(A44="","",IFERROR(VLOOKUP(A44,DB_Customers!$A:$N,14,0),"❌ Acct Not Found"))</f>
        <v/>
      </c>
      <c r="D44" s="87" t="str">
        <f t="shared" ca="1" si="3"/>
        <v/>
      </c>
      <c r="E44" s="94"/>
      <c r="F44" s="41"/>
      <c r="G44" s="96" t="str">
        <f t="shared" si="4"/>
        <v/>
      </c>
      <c r="H44" s="43" t="s">
        <v>141</v>
      </c>
      <c r="I44" s="81"/>
      <c r="J44" s="89" t="str">
        <f>IF(AND(A44&lt;&gt;"",E44&lt;&gt;""),IF(I44="","⚠️ Enter Code",IF(IFERROR(VLOOKUP(H44,DB_Agents!$B:$I,8,0),"")=I44,IF(C44&gt;=E44,"Successful","Unsuccessful"),"🔒 BLOCKED — Wrong Code")),"Pending")</f>
        <v>Pending</v>
      </c>
      <c r="K44" s="90" t="str">
        <f t="shared" ca="1" si="5"/>
        <v>—</v>
      </c>
      <c r="L44" s="91"/>
    </row>
    <row r="45" spans="1:12" ht="15" customHeight="1" x14ac:dyDescent="0.25">
      <c r="A45" s="76"/>
      <c r="B45" s="37" t="str">
        <f>IF(A45="","",IFERROR(VLOOKUP(A45,DB_Customers!$A:$D,4,0),"❌ Account Not Found"))</f>
        <v/>
      </c>
      <c r="C45" s="77" t="str">
        <f>IF(A45="","",IFERROR(VLOOKUP(A45,DB_Customers!$A:$N,14,0),"❌ Acct Not Found"))</f>
        <v/>
      </c>
      <c r="D45" s="78" t="str">
        <f t="shared" ca="1" si="3"/>
        <v/>
      </c>
      <c r="E45" s="94"/>
      <c r="F45" s="37"/>
      <c r="G45" s="95" t="str">
        <f t="shared" si="4"/>
        <v/>
      </c>
      <c r="H45" s="39" t="s">
        <v>141</v>
      </c>
      <c r="I45" s="81"/>
      <c r="J45" s="82" t="str">
        <f>IF(AND(A45&lt;&gt;"",E45&lt;&gt;""),IF(I45="","⚠️ Enter Code",IF(IFERROR(VLOOKUP(H45,DB_Agents!$B:$I,8,0),"")=I45,IF(C45&gt;=E45,"Successful","Unsuccessful"),"🔒 BLOCKED — Wrong Code")),"Pending")</f>
        <v>Pending</v>
      </c>
      <c r="K45" s="83" t="str">
        <f t="shared" ca="1" si="5"/>
        <v>—</v>
      </c>
      <c r="L45" s="84"/>
    </row>
    <row r="46" spans="1:12" ht="15" customHeight="1" x14ac:dyDescent="0.25">
      <c r="A46" s="85"/>
      <c r="B46" s="41" t="str">
        <f>IF(A46="","",IFERROR(VLOOKUP(A46,DB_Customers!$A:$D,4,0),"❌ Account Not Found"))</f>
        <v/>
      </c>
      <c r="C46" s="86" t="str">
        <f>IF(A46="","",IFERROR(VLOOKUP(A46,DB_Customers!$A:$N,14,0),"❌ Acct Not Found"))</f>
        <v/>
      </c>
      <c r="D46" s="87" t="str">
        <f t="shared" ca="1" si="3"/>
        <v/>
      </c>
      <c r="E46" s="94"/>
      <c r="F46" s="41"/>
      <c r="G46" s="96" t="str">
        <f t="shared" si="4"/>
        <v/>
      </c>
      <c r="H46" s="43" t="s">
        <v>141</v>
      </c>
      <c r="I46" s="81"/>
      <c r="J46" s="89" t="str">
        <f>IF(AND(A46&lt;&gt;"",E46&lt;&gt;""),IF(I46="","⚠️ Enter Code",IF(IFERROR(VLOOKUP(H46,DB_Agents!$B:$I,8,0),"")=I46,IF(C46&gt;=E46,"Successful","Unsuccessful"),"🔒 BLOCKED — Wrong Code")),"Pending")</f>
        <v>Pending</v>
      </c>
      <c r="K46" s="90" t="str">
        <f t="shared" ca="1" si="5"/>
        <v>—</v>
      </c>
      <c r="L46" s="91"/>
    </row>
    <row r="47" spans="1:12" ht="15" customHeight="1" x14ac:dyDescent="0.25">
      <c r="A47" s="76"/>
      <c r="B47" s="37" t="str">
        <f>IF(A47="","",IFERROR(VLOOKUP(A47,DB_Customers!$A:$D,4,0),"❌ Account Not Found"))</f>
        <v/>
      </c>
      <c r="C47" s="77" t="str">
        <f>IF(A47="","",IFERROR(VLOOKUP(A47,DB_Customers!$A:$N,14,0),"❌ Acct Not Found"))</f>
        <v/>
      </c>
      <c r="D47" s="78" t="str">
        <f t="shared" ca="1" si="3"/>
        <v/>
      </c>
      <c r="E47" s="94"/>
      <c r="F47" s="37"/>
      <c r="G47" s="95" t="str">
        <f t="shared" si="4"/>
        <v/>
      </c>
      <c r="H47" s="39" t="s">
        <v>141</v>
      </c>
      <c r="I47" s="81"/>
      <c r="J47" s="82" t="str">
        <f>IF(AND(A47&lt;&gt;"",E47&lt;&gt;""),IF(I47="","⚠️ Enter Code",IF(IFERROR(VLOOKUP(H47,DB_Agents!$B:$I,8,0),"")=I47,IF(C47&gt;=E47,"Successful","Unsuccessful"),"🔒 BLOCKED — Wrong Code")),"Pending")</f>
        <v>Pending</v>
      </c>
      <c r="K47" s="83" t="str">
        <f t="shared" ca="1" si="5"/>
        <v>—</v>
      </c>
      <c r="L47" s="84"/>
    </row>
    <row r="48" spans="1:12" ht="15" customHeight="1" x14ac:dyDescent="0.25">
      <c r="A48" s="85"/>
      <c r="B48" s="41" t="str">
        <f>IF(A48="","",IFERROR(VLOOKUP(A48,DB_Customers!$A:$D,4,0),"❌ Account Not Found"))</f>
        <v/>
      </c>
      <c r="C48" s="86" t="str">
        <f>IF(A48="","",IFERROR(VLOOKUP(A48,DB_Customers!$A:$N,14,0),"❌ Acct Not Found"))</f>
        <v/>
      </c>
      <c r="D48" s="87" t="str">
        <f t="shared" ca="1" si="3"/>
        <v/>
      </c>
      <c r="E48" s="94"/>
      <c r="F48" s="41"/>
      <c r="G48" s="96" t="str">
        <f t="shared" si="4"/>
        <v/>
      </c>
      <c r="H48" s="43" t="s">
        <v>141</v>
      </c>
      <c r="I48" s="81"/>
      <c r="J48" s="89" t="str">
        <f>IF(AND(A48&lt;&gt;"",E48&lt;&gt;""),IF(I48="","⚠️ Enter Code",IF(IFERROR(VLOOKUP(H48,DB_Agents!$B:$I,8,0),"")=I48,IF(C48&gt;=E48,"Successful","Unsuccessful"),"🔒 BLOCKED — Wrong Code")),"Pending")</f>
        <v>Pending</v>
      </c>
      <c r="K48" s="90" t="str">
        <f t="shared" ca="1" si="5"/>
        <v>—</v>
      </c>
      <c r="L48" s="91"/>
    </row>
    <row r="49" spans="1:12" ht="15" customHeight="1" x14ac:dyDescent="0.25">
      <c r="A49" s="76"/>
      <c r="B49" s="37" t="str">
        <f>IF(A49="","",IFERROR(VLOOKUP(A49,DB_Customers!$A:$D,4,0),"❌ Account Not Found"))</f>
        <v/>
      </c>
      <c r="C49" s="77" t="str">
        <f>IF(A49="","",IFERROR(VLOOKUP(A49,DB_Customers!$A:$N,14,0),"❌ Acct Not Found"))</f>
        <v/>
      </c>
      <c r="D49" s="78" t="str">
        <f t="shared" ca="1" si="3"/>
        <v/>
      </c>
      <c r="E49" s="94"/>
      <c r="F49" s="37"/>
      <c r="G49" s="95" t="str">
        <f t="shared" si="4"/>
        <v/>
      </c>
      <c r="H49" s="39" t="s">
        <v>141</v>
      </c>
      <c r="I49" s="81"/>
      <c r="J49" s="82" t="str">
        <f>IF(AND(A49&lt;&gt;"",E49&lt;&gt;""),IF(I49="","⚠️ Enter Code",IF(IFERROR(VLOOKUP(H49,DB_Agents!$B:$I,8,0),"")=I49,IF(C49&gt;=E49,"Successful","Unsuccessful"),"🔒 BLOCKED — Wrong Code")),"Pending")</f>
        <v>Pending</v>
      </c>
      <c r="K49" s="83" t="str">
        <f t="shared" ca="1" si="5"/>
        <v>—</v>
      </c>
      <c r="L49" s="84"/>
    </row>
    <row r="50" spans="1:12" ht="15" customHeight="1" x14ac:dyDescent="0.25">
      <c r="A50" s="85"/>
      <c r="B50" s="41" t="str">
        <f>IF(A50="","",IFERROR(VLOOKUP(A50,DB_Customers!$A:$D,4,0),"❌ Account Not Found"))</f>
        <v/>
      </c>
      <c r="C50" s="86" t="str">
        <f>IF(A50="","",IFERROR(VLOOKUP(A50,DB_Customers!$A:$N,14,0),"❌ Acct Not Found"))</f>
        <v/>
      </c>
      <c r="D50" s="87" t="str">
        <f t="shared" ca="1" si="3"/>
        <v/>
      </c>
      <c r="E50" s="94"/>
      <c r="F50" s="41"/>
      <c r="G50" s="96" t="str">
        <f t="shared" si="4"/>
        <v/>
      </c>
      <c r="H50" s="43" t="s">
        <v>141</v>
      </c>
      <c r="I50" s="81"/>
      <c r="J50" s="89" t="str">
        <f>IF(AND(A50&lt;&gt;"",E50&lt;&gt;""),IF(I50="","⚠️ Enter Code",IF(IFERROR(VLOOKUP(H50,DB_Agents!$B:$I,8,0),"")=I50,IF(C50&gt;=E50,"Successful","Unsuccessful"),"🔒 BLOCKED — Wrong Code")),"Pending")</f>
        <v>Pending</v>
      </c>
      <c r="K50" s="90" t="str">
        <f t="shared" ca="1" si="5"/>
        <v>—</v>
      </c>
      <c r="L50" s="91"/>
    </row>
    <row r="51" spans="1:12" ht="15" customHeight="1" x14ac:dyDescent="0.25">
      <c r="A51" s="76"/>
      <c r="B51" s="37" t="str">
        <f>IF(A51="","",IFERROR(VLOOKUP(A51,DB_Customers!$A:$D,4,0),"❌ Account Not Found"))</f>
        <v/>
      </c>
      <c r="C51" s="77" t="str">
        <f>IF(A51="","",IFERROR(VLOOKUP(A51,DB_Customers!$A:$N,14,0),"❌ Acct Not Found"))</f>
        <v/>
      </c>
      <c r="D51" s="78" t="str">
        <f t="shared" ca="1" si="3"/>
        <v/>
      </c>
      <c r="E51" s="94"/>
      <c r="F51" s="37"/>
      <c r="G51" s="95" t="str">
        <f t="shared" si="4"/>
        <v/>
      </c>
      <c r="H51" s="39" t="s">
        <v>141</v>
      </c>
      <c r="I51" s="81"/>
      <c r="J51" s="82" t="str">
        <f>IF(AND(A51&lt;&gt;"",E51&lt;&gt;""),IF(I51="","⚠️ Enter Code",IF(IFERROR(VLOOKUP(H51,DB_Agents!$B:$I,8,0),"")=I51,IF(C51&gt;=E51,"Successful","Unsuccessful"),"🔒 BLOCKED — Wrong Code")),"Pending")</f>
        <v>Pending</v>
      </c>
      <c r="K51" s="83" t="str">
        <f t="shared" ca="1" si="5"/>
        <v>—</v>
      </c>
      <c r="L51" s="84"/>
    </row>
    <row r="52" spans="1:12" ht="15" customHeight="1" x14ac:dyDescent="0.25">
      <c r="A52" s="85"/>
      <c r="B52" s="41" t="str">
        <f>IF(A52="","",IFERROR(VLOOKUP(A52,DB_Customers!$A:$D,4,0),"❌ Account Not Found"))</f>
        <v/>
      </c>
      <c r="C52" s="86" t="str">
        <f>IF(A52="","",IFERROR(VLOOKUP(A52,DB_Customers!$A:$N,14,0),"❌ Acct Not Found"))</f>
        <v/>
      </c>
      <c r="D52" s="87" t="str">
        <f t="shared" ca="1" si="3"/>
        <v/>
      </c>
      <c r="E52" s="94"/>
      <c r="F52" s="41"/>
      <c r="G52" s="96" t="str">
        <f t="shared" si="4"/>
        <v/>
      </c>
      <c r="H52" s="43" t="s">
        <v>141</v>
      </c>
      <c r="I52" s="81"/>
      <c r="J52" s="89" t="str">
        <f>IF(AND(A52&lt;&gt;"",E52&lt;&gt;""),IF(I52="","⚠️ Enter Code",IF(IFERROR(VLOOKUP(H52,DB_Agents!$B:$I,8,0),"")=I52,IF(C52&gt;=E52,"Successful","Unsuccessful"),"🔒 BLOCKED — Wrong Code")),"Pending")</f>
        <v>Pending</v>
      </c>
      <c r="K52" s="90" t="str">
        <f t="shared" ca="1" si="5"/>
        <v>—</v>
      </c>
      <c r="L52" s="91"/>
    </row>
    <row r="53" spans="1:12" ht="15" customHeight="1" x14ac:dyDescent="0.25">
      <c r="A53" s="76"/>
      <c r="B53" s="37" t="str">
        <f>IF(A53="","",IFERROR(VLOOKUP(A53,DB_Customers!$A:$D,4,0),"❌ Account Not Found"))</f>
        <v/>
      </c>
      <c r="C53" s="77" t="str">
        <f>IF(A53="","",IFERROR(VLOOKUP(A53,DB_Customers!$A:$N,14,0),"❌ Acct Not Found"))</f>
        <v/>
      </c>
      <c r="D53" s="78" t="str">
        <f t="shared" ca="1" si="3"/>
        <v/>
      </c>
      <c r="E53" s="94"/>
      <c r="F53" s="37"/>
      <c r="G53" s="95" t="str">
        <f t="shared" si="4"/>
        <v/>
      </c>
      <c r="H53" s="39" t="s">
        <v>141</v>
      </c>
      <c r="I53" s="81"/>
      <c r="J53" s="82" t="str">
        <f>IF(AND(A53&lt;&gt;"",E53&lt;&gt;""),IF(I53="","⚠️ Enter Code",IF(IFERROR(VLOOKUP(H53,DB_Agents!$B:$I,8,0),"")=I53,IF(C53&gt;=E53,"Successful","Unsuccessful"),"🔒 BLOCKED — Wrong Code")),"Pending")</f>
        <v>Pending</v>
      </c>
      <c r="K53" s="83" t="str">
        <f t="shared" ca="1" si="5"/>
        <v>—</v>
      </c>
      <c r="L53" s="84"/>
    </row>
    <row r="54" spans="1:12" ht="15" customHeight="1" x14ac:dyDescent="0.25">
      <c r="A54" s="85"/>
      <c r="B54" s="41" t="str">
        <f>IF(A54="","",IFERROR(VLOOKUP(A54,DB_Customers!$A:$D,4,0),"❌ Account Not Found"))</f>
        <v/>
      </c>
      <c r="C54" s="86" t="str">
        <f>IF(A54="","",IFERROR(VLOOKUP(A54,DB_Customers!$A:$N,14,0),"❌ Acct Not Found"))</f>
        <v/>
      </c>
      <c r="D54" s="87" t="str">
        <f t="shared" ca="1" si="3"/>
        <v/>
      </c>
      <c r="E54" s="94"/>
      <c r="F54" s="41"/>
      <c r="G54" s="96" t="str">
        <f t="shared" si="4"/>
        <v/>
      </c>
      <c r="H54" s="43" t="s">
        <v>141</v>
      </c>
      <c r="I54" s="81"/>
      <c r="J54" s="89" t="str">
        <f>IF(AND(A54&lt;&gt;"",E54&lt;&gt;""),IF(I54="","⚠️ Enter Code",IF(IFERROR(VLOOKUP(H54,DB_Agents!$B:$I,8,0),"")=I54,IF(C54&gt;=E54,"Successful","Unsuccessful"),"🔒 BLOCKED — Wrong Code")),"Pending")</f>
        <v>Pending</v>
      </c>
      <c r="K54" s="90" t="str">
        <f t="shared" ca="1" si="5"/>
        <v>—</v>
      </c>
      <c r="L54" s="91"/>
    </row>
    <row r="55" spans="1:12" ht="15" customHeight="1" x14ac:dyDescent="0.25">
      <c r="A55" s="76"/>
      <c r="B55" s="37" t="str">
        <f>IF(A55="","",IFERROR(VLOOKUP(A55,DB_Customers!$A:$D,4,0),"❌ Account Not Found"))</f>
        <v/>
      </c>
      <c r="C55" s="77" t="str">
        <f>IF(A55="","",IFERROR(VLOOKUP(A55,DB_Customers!$A:$N,14,0),"❌ Acct Not Found"))</f>
        <v/>
      </c>
      <c r="D55" s="78" t="str">
        <f t="shared" ca="1" si="3"/>
        <v/>
      </c>
      <c r="E55" s="94"/>
      <c r="F55" s="37"/>
      <c r="G55" s="95" t="str">
        <f t="shared" si="4"/>
        <v/>
      </c>
      <c r="H55" s="39" t="s">
        <v>141</v>
      </c>
      <c r="I55" s="81"/>
      <c r="J55" s="82" t="str">
        <f>IF(AND(A55&lt;&gt;"",E55&lt;&gt;""),IF(I55="","⚠️ Enter Code",IF(IFERROR(VLOOKUP(H55,DB_Agents!$B:$I,8,0),"")=I55,IF(C55&gt;=E55,"Successful","Unsuccessful"),"🔒 BLOCKED — Wrong Code")),"Pending")</f>
        <v>Pending</v>
      </c>
      <c r="K55" s="83" t="str">
        <f t="shared" ca="1" si="5"/>
        <v>—</v>
      </c>
      <c r="L55" s="84"/>
    </row>
    <row r="56" spans="1:12" ht="15" customHeight="1" x14ac:dyDescent="0.25">
      <c r="A56" s="85"/>
      <c r="B56" s="41" t="str">
        <f>IF(A56="","",IFERROR(VLOOKUP(A56,DB_Customers!$A:$D,4,0),"❌ Account Not Found"))</f>
        <v/>
      </c>
      <c r="C56" s="86" t="str">
        <f>IF(A56="","",IFERROR(VLOOKUP(A56,DB_Customers!$A:$N,14,0),"❌ Acct Not Found"))</f>
        <v/>
      </c>
      <c r="D56" s="87" t="str">
        <f t="shared" ca="1" si="3"/>
        <v/>
      </c>
      <c r="E56" s="94"/>
      <c r="F56" s="41"/>
      <c r="G56" s="96" t="str">
        <f t="shared" si="4"/>
        <v/>
      </c>
      <c r="H56" s="43" t="s">
        <v>141</v>
      </c>
      <c r="I56" s="81"/>
      <c r="J56" s="89" t="str">
        <f>IF(AND(A56&lt;&gt;"",E56&lt;&gt;""),IF(I56="","⚠️ Enter Code",IF(IFERROR(VLOOKUP(H56,DB_Agents!$B:$I,8,0),"")=I56,IF(C56&gt;=E56,"Successful","Unsuccessful"),"🔒 BLOCKED — Wrong Code")),"Pending")</f>
        <v>Pending</v>
      </c>
      <c r="K56" s="90" t="str">
        <f t="shared" ca="1" si="5"/>
        <v>—</v>
      </c>
      <c r="L56" s="91"/>
    </row>
    <row r="57" spans="1:12" ht="15" customHeight="1" x14ac:dyDescent="0.25">
      <c r="A57" s="76"/>
      <c r="B57" s="37" t="str">
        <f>IF(A57="","",IFERROR(VLOOKUP(A57,DB_Customers!$A:$D,4,0),"❌ Account Not Found"))</f>
        <v/>
      </c>
      <c r="C57" s="77" t="str">
        <f>IF(A57="","",IFERROR(VLOOKUP(A57,DB_Customers!$A:$N,14,0),"❌ Acct Not Found"))</f>
        <v/>
      </c>
      <c r="D57" s="78" t="str">
        <f t="shared" ca="1" si="3"/>
        <v/>
      </c>
      <c r="E57" s="94"/>
      <c r="F57" s="37"/>
      <c r="G57" s="95" t="str">
        <f t="shared" si="4"/>
        <v/>
      </c>
      <c r="H57" s="39" t="s">
        <v>141</v>
      </c>
      <c r="I57" s="81"/>
      <c r="J57" s="82" t="str">
        <f>IF(AND(A57&lt;&gt;"",E57&lt;&gt;""),IF(I57="","⚠️ Enter Code",IF(IFERROR(VLOOKUP(H57,DB_Agents!$B:$I,8,0),"")=I57,IF(C57&gt;=E57,"Successful","Unsuccessful"),"🔒 BLOCKED — Wrong Code")),"Pending")</f>
        <v>Pending</v>
      </c>
      <c r="K57" s="83" t="str">
        <f t="shared" ca="1" si="5"/>
        <v>—</v>
      </c>
      <c r="L57" s="84"/>
    </row>
    <row r="58" spans="1:12" ht="15" customHeight="1" x14ac:dyDescent="0.25">
      <c r="A58" s="85"/>
      <c r="B58" s="41" t="str">
        <f>IF(A58="","",IFERROR(VLOOKUP(A58,DB_Customers!$A:$D,4,0),"❌ Account Not Found"))</f>
        <v/>
      </c>
      <c r="C58" s="86" t="str">
        <f>IF(A58="","",IFERROR(VLOOKUP(A58,DB_Customers!$A:$N,14,0),"❌ Acct Not Found"))</f>
        <v/>
      </c>
      <c r="D58" s="87" t="str">
        <f t="shared" ca="1" si="3"/>
        <v/>
      </c>
      <c r="E58" s="94"/>
      <c r="F58" s="41"/>
      <c r="G58" s="96" t="str">
        <f t="shared" si="4"/>
        <v/>
      </c>
      <c r="H58" s="43" t="s">
        <v>141</v>
      </c>
      <c r="I58" s="81"/>
      <c r="J58" s="89" t="str">
        <f>IF(AND(A58&lt;&gt;"",E58&lt;&gt;""),IF(I58="","⚠️ Enter Code",IF(IFERROR(VLOOKUP(H58,DB_Agents!$B:$I,8,0),"")=I58,IF(C58&gt;=E58,"Successful","Unsuccessful"),"🔒 BLOCKED — Wrong Code")),"Pending")</f>
        <v>Pending</v>
      </c>
      <c r="K58" s="90" t="str">
        <f t="shared" ca="1" si="5"/>
        <v>—</v>
      </c>
      <c r="L58" s="91"/>
    </row>
    <row r="59" spans="1:12" ht="15" customHeight="1" x14ac:dyDescent="0.25">
      <c r="A59" s="76"/>
      <c r="B59" s="37" t="str">
        <f>IF(A59="","",IFERROR(VLOOKUP(A59,DB_Customers!$A:$D,4,0),"❌ Account Not Found"))</f>
        <v/>
      </c>
      <c r="C59" s="77" t="str">
        <f>IF(A59="","",IFERROR(VLOOKUP(A59,DB_Customers!$A:$N,14,0),"❌ Acct Not Found"))</f>
        <v/>
      </c>
      <c r="D59" s="78" t="str">
        <f t="shared" ca="1" si="3"/>
        <v/>
      </c>
      <c r="E59" s="94"/>
      <c r="F59" s="37"/>
      <c r="G59" s="95" t="str">
        <f t="shared" si="4"/>
        <v/>
      </c>
      <c r="H59" s="39" t="s">
        <v>141</v>
      </c>
      <c r="I59" s="81"/>
      <c r="J59" s="82" t="str">
        <f>IF(AND(A59&lt;&gt;"",E59&lt;&gt;""),IF(I59="","⚠️ Enter Code",IF(IFERROR(VLOOKUP(H59,DB_Agents!$B:$I,8,0),"")=I59,IF(C59&gt;=E59,"Successful","Unsuccessful"),"🔒 BLOCKED — Wrong Code")),"Pending")</f>
        <v>Pending</v>
      </c>
      <c r="K59" s="83" t="str">
        <f t="shared" ca="1" si="5"/>
        <v>—</v>
      </c>
      <c r="L59" s="84"/>
    </row>
    <row r="60" spans="1:12" ht="15" customHeight="1" x14ac:dyDescent="0.25">
      <c r="A60" s="85"/>
      <c r="B60" s="41" t="str">
        <f>IF(A60="","",IFERROR(VLOOKUP(A60,DB_Customers!$A:$D,4,0),"❌ Account Not Found"))</f>
        <v/>
      </c>
      <c r="C60" s="86" t="str">
        <f>IF(A60="","",IFERROR(VLOOKUP(A60,DB_Customers!$A:$N,14,0),"❌ Acct Not Found"))</f>
        <v/>
      </c>
      <c r="D60" s="87" t="str">
        <f t="shared" ca="1" si="3"/>
        <v/>
      </c>
      <c r="E60" s="94"/>
      <c r="F60" s="41"/>
      <c r="G60" s="96" t="str">
        <f t="shared" si="4"/>
        <v/>
      </c>
      <c r="H60" s="43" t="s">
        <v>141</v>
      </c>
      <c r="I60" s="81"/>
      <c r="J60" s="89" t="str">
        <f>IF(AND(A60&lt;&gt;"",E60&lt;&gt;""),IF(I60="","⚠️ Enter Code",IF(IFERROR(VLOOKUP(H60,DB_Agents!$B:$I,8,0),"")=I60,IF(C60&gt;=E60,"Successful","Unsuccessful"),"🔒 BLOCKED — Wrong Code")),"Pending")</f>
        <v>Pending</v>
      </c>
      <c r="K60" s="90" t="str">
        <f t="shared" ca="1" si="5"/>
        <v>—</v>
      </c>
      <c r="L60" s="91"/>
    </row>
    <row r="61" spans="1:12" ht="15" customHeight="1" x14ac:dyDescent="0.25">
      <c r="A61" s="76"/>
      <c r="B61" s="37" t="str">
        <f>IF(A61="","",IFERROR(VLOOKUP(A61,DB_Customers!$A:$D,4,0),"❌ Account Not Found"))</f>
        <v/>
      </c>
      <c r="C61" s="77" t="str">
        <f>IF(A61="","",IFERROR(VLOOKUP(A61,DB_Customers!$A:$N,14,0),"❌ Acct Not Found"))</f>
        <v/>
      </c>
      <c r="D61" s="78" t="str">
        <f t="shared" ca="1" si="3"/>
        <v/>
      </c>
      <c r="E61" s="94"/>
      <c r="F61" s="37"/>
      <c r="G61" s="95" t="str">
        <f t="shared" si="4"/>
        <v/>
      </c>
      <c r="H61" s="39" t="s">
        <v>141</v>
      </c>
      <c r="I61" s="81"/>
      <c r="J61" s="82" t="str">
        <f>IF(AND(A61&lt;&gt;"",E61&lt;&gt;""),IF(I61="","⚠️ Enter Code",IF(IFERROR(VLOOKUP(H61,DB_Agents!$B:$I,8,0),"")=I61,IF(C61&gt;=E61,"Successful","Unsuccessful"),"🔒 BLOCKED — Wrong Code")),"Pending")</f>
        <v>Pending</v>
      </c>
      <c r="K61" s="83" t="str">
        <f t="shared" ca="1" si="5"/>
        <v>—</v>
      </c>
      <c r="L61" s="84"/>
    </row>
    <row r="62" spans="1:12" ht="15" customHeight="1" x14ac:dyDescent="0.25">
      <c r="A62" s="85"/>
      <c r="B62" s="41" t="str">
        <f>IF(A62="","",IFERROR(VLOOKUP(A62,DB_Customers!$A:$D,4,0),"❌ Account Not Found"))</f>
        <v/>
      </c>
      <c r="C62" s="86" t="str">
        <f>IF(A62="","",IFERROR(VLOOKUP(A62,DB_Customers!$A:$N,14,0),"❌ Acct Not Found"))</f>
        <v/>
      </c>
      <c r="D62" s="87" t="str">
        <f t="shared" ca="1" si="3"/>
        <v/>
      </c>
      <c r="E62" s="94"/>
      <c r="F62" s="41"/>
      <c r="G62" s="96" t="str">
        <f t="shared" si="4"/>
        <v/>
      </c>
      <c r="H62" s="43" t="s">
        <v>141</v>
      </c>
      <c r="I62" s="81"/>
      <c r="J62" s="89" t="str">
        <f>IF(AND(A62&lt;&gt;"",E62&lt;&gt;""),IF(I62="","⚠️ Enter Code",IF(IFERROR(VLOOKUP(H62,DB_Agents!$B:$I,8,0),"")=I62,IF(C62&gt;=E62,"Successful","Unsuccessful"),"🔒 BLOCKED — Wrong Code")),"Pending")</f>
        <v>Pending</v>
      </c>
      <c r="K62" s="90" t="str">
        <f t="shared" ca="1" si="5"/>
        <v>—</v>
      </c>
      <c r="L62" s="91"/>
    </row>
    <row r="63" spans="1:12" ht="15" customHeight="1" x14ac:dyDescent="0.25">
      <c r="A63" s="76"/>
      <c r="B63" s="37" t="str">
        <f>IF(A63="","",IFERROR(VLOOKUP(A63,DB_Customers!$A:$D,4,0),"❌ Account Not Found"))</f>
        <v/>
      </c>
      <c r="C63" s="77" t="str">
        <f>IF(A63="","",IFERROR(VLOOKUP(A63,DB_Customers!$A:$N,14,0),"❌ Acct Not Found"))</f>
        <v/>
      </c>
      <c r="D63" s="78" t="str">
        <f t="shared" ca="1" si="3"/>
        <v/>
      </c>
      <c r="E63" s="94"/>
      <c r="F63" s="37"/>
      <c r="G63" s="95" t="str">
        <f t="shared" si="4"/>
        <v/>
      </c>
      <c r="H63" s="39" t="s">
        <v>141</v>
      </c>
      <c r="I63" s="81"/>
      <c r="J63" s="82" t="str">
        <f>IF(AND(A63&lt;&gt;"",E63&lt;&gt;""),IF(I63="","⚠️ Enter Code",IF(IFERROR(VLOOKUP(H63,DB_Agents!$B:$I,8,0),"")=I63,IF(C63&gt;=E63,"Successful","Unsuccessful"),"🔒 BLOCKED — Wrong Code")),"Pending")</f>
        <v>Pending</v>
      </c>
      <c r="K63" s="83" t="str">
        <f t="shared" ca="1" si="5"/>
        <v>—</v>
      </c>
      <c r="L63" s="84"/>
    </row>
    <row r="64" spans="1:12" ht="15" customHeight="1" x14ac:dyDescent="0.25">
      <c r="A64" s="85"/>
      <c r="B64" s="41" t="str">
        <f>IF(A64="","",IFERROR(VLOOKUP(A64,DB_Customers!$A:$D,4,0),"❌ Account Not Found"))</f>
        <v/>
      </c>
      <c r="C64" s="86" t="str">
        <f>IF(A64="","",IFERROR(VLOOKUP(A64,DB_Customers!$A:$N,14,0),"❌ Acct Not Found"))</f>
        <v/>
      </c>
      <c r="D64" s="87" t="str">
        <f t="shared" ca="1" si="3"/>
        <v/>
      </c>
      <c r="E64" s="94"/>
      <c r="F64" s="41"/>
      <c r="G64" s="96" t="str">
        <f t="shared" si="4"/>
        <v/>
      </c>
      <c r="H64" s="43" t="s">
        <v>141</v>
      </c>
      <c r="I64" s="81"/>
      <c r="J64" s="89" t="str">
        <f>IF(AND(A64&lt;&gt;"",E64&lt;&gt;""),IF(I64="","⚠️ Enter Code",IF(IFERROR(VLOOKUP(H64,DB_Agents!$B:$I,8,0),"")=I64,IF(C64&gt;=E64,"Successful","Unsuccessful"),"🔒 BLOCKED — Wrong Code")),"Pending")</f>
        <v>Pending</v>
      </c>
      <c r="K64" s="90" t="str">
        <f t="shared" ca="1" si="5"/>
        <v>—</v>
      </c>
      <c r="L64" s="91"/>
    </row>
    <row r="65" spans="1:12" ht="15" customHeight="1" x14ac:dyDescent="0.25">
      <c r="A65" s="76"/>
      <c r="B65" s="37" t="str">
        <f>IF(A65="","",IFERROR(VLOOKUP(A65,DB_Customers!$A:$D,4,0),"❌ Account Not Found"))</f>
        <v/>
      </c>
      <c r="C65" s="77" t="str">
        <f>IF(A65="","",IFERROR(VLOOKUP(A65,DB_Customers!$A:$N,14,0),"❌ Acct Not Found"))</f>
        <v/>
      </c>
      <c r="D65" s="78" t="str">
        <f t="shared" ca="1" si="3"/>
        <v/>
      </c>
      <c r="E65" s="94"/>
      <c r="F65" s="37"/>
      <c r="G65" s="95" t="str">
        <f t="shared" si="4"/>
        <v/>
      </c>
      <c r="H65" s="39" t="s">
        <v>141</v>
      </c>
      <c r="I65" s="81"/>
      <c r="J65" s="82" t="str">
        <f>IF(AND(A65&lt;&gt;"",E65&lt;&gt;""),IF(I65="","⚠️ Enter Code",IF(IFERROR(VLOOKUP(H65,DB_Agents!$B:$I,8,0),"")=I65,IF(C65&gt;=E65,"Successful","Unsuccessful"),"🔒 BLOCKED — Wrong Code")),"Pending")</f>
        <v>Pending</v>
      </c>
      <c r="K65" s="83" t="str">
        <f t="shared" ca="1" si="5"/>
        <v>—</v>
      </c>
      <c r="L65" s="84"/>
    </row>
    <row r="66" spans="1:12" ht="15" customHeight="1" x14ac:dyDescent="0.25">
      <c r="A66" s="85"/>
      <c r="B66" s="41" t="str">
        <f>IF(A66="","",IFERROR(VLOOKUP(A66,DB_Customers!$A:$D,4,0),"❌ Account Not Found"))</f>
        <v/>
      </c>
      <c r="C66" s="86" t="str">
        <f>IF(A66="","",IFERROR(VLOOKUP(A66,DB_Customers!$A:$N,14,0),"❌ Acct Not Found"))</f>
        <v/>
      </c>
      <c r="D66" s="87" t="str">
        <f t="shared" ca="1" si="3"/>
        <v/>
      </c>
      <c r="E66" s="94"/>
      <c r="F66" s="41"/>
      <c r="G66" s="96" t="str">
        <f t="shared" si="4"/>
        <v/>
      </c>
      <c r="H66" s="43" t="s">
        <v>141</v>
      </c>
      <c r="I66" s="81"/>
      <c r="J66" s="89" t="str">
        <f>IF(AND(A66&lt;&gt;"",E66&lt;&gt;""),IF(I66="","⚠️ Enter Code",IF(IFERROR(VLOOKUP(H66,DB_Agents!$B:$I,8,0),"")=I66,IF(C66&gt;=E66,"Successful","Unsuccessful"),"🔒 BLOCKED — Wrong Code")),"Pending")</f>
        <v>Pending</v>
      </c>
      <c r="K66" s="90" t="str">
        <f t="shared" ca="1" si="5"/>
        <v>—</v>
      </c>
      <c r="L66" s="91"/>
    </row>
    <row r="67" spans="1:12" ht="15" customHeight="1" x14ac:dyDescent="0.25">
      <c r="A67" s="76"/>
      <c r="B67" s="37" t="str">
        <f>IF(A67="","",IFERROR(VLOOKUP(A67,DB_Customers!$A:$D,4,0),"❌ Account Not Found"))</f>
        <v/>
      </c>
      <c r="C67" s="77" t="str">
        <f>IF(A67="","",IFERROR(VLOOKUP(A67,DB_Customers!$A:$N,14,0),"❌ Acct Not Found"))</f>
        <v/>
      </c>
      <c r="D67" s="78" t="str">
        <f t="shared" ca="1" si="3"/>
        <v/>
      </c>
      <c r="E67" s="94"/>
      <c r="F67" s="37"/>
      <c r="G67" s="95" t="str">
        <f t="shared" si="4"/>
        <v/>
      </c>
      <c r="H67" s="39" t="s">
        <v>141</v>
      </c>
      <c r="I67" s="81"/>
      <c r="J67" s="82" t="str">
        <f>IF(AND(A67&lt;&gt;"",E67&lt;&gt;""),IF(I67="","⚠️ Enter Code",IF(IFERROR(VLOOKUP(H67,DB_Agents!$B:$I,8,0),"")=I67,IF(C67&gt;=E67,"Successful","Unsuccessful"),"🔒 BLOCKED — Wrong Code")),"Pending")</f>
        <v>Pending</v>
      </c>
      <c r="K67" s="83" t="str">
        <f t="shared" ca="1" si="5"/>
        <v>—</v>
      </c>
      <c r="L67" s="84"/>
    </row>
    <row r="68" spans="1:12" ht="15" customHeight="1" x14ac:dyDescent="0.25">
      <c r="A68" s="85"/>
      <c r="B68" s="41" t="str">
        <f>IF(A68="","",IFERROR(VLOOKUP(A68,DB_Customers!$A:$D,4,0),"❌ Account Not Found"))</f>
        <v/>
      </c>
      <c r="C68" s="86" t="str">
        <f>IF(A68="","",IFERROR(VLOOKUP(A68,DB_Customers!$A:$N,14,0),"❌ Acct Not Found"))</f>
        <v/>
      </c>
      <c r="D68" s="87" t="str">
        <f t="shared" ca="1" si="3"/>
        <v/>
      </c>
      <c r="E68" s="94"/>
      <c r="F68" s="41"/>
      <c r="G68" s="96" t="str">
        <f t="shared" si="4"/>
        <v/>
      </c>
      <c r="H68" s="43" t="s">
        <v>141</v>
      </c>
      <c r="I68" s="81"/>
      <c r="J68" s="89" t="str">
        <f>IF(AND(A68&lt;&gt;"",E68&lt;&gt;""),IF(I68="","⚠️ Enter Code",IF(IFERROR(VLOOKUP(H68,DB_Agents!$B:$I,8,0),"")=I68,IF(C68&gt;=E68,"Successful","Unsuccessful"),"🔒 BLOCKED — Wrong Code")),"Pending")</f>
        <v>Pending</v>
      </c>
      <c r="K68" s="90" t="str">
        <f t="shared" ca="1" si="5"/>
        <v>—</v>
      </c>
      <c r="L68" s="91"/>
    </row>
    <row r="69" spans="1:12" ht="15" customHeight="1" x14ac:dyDescent="0.25">
      <c r="A69" s="76"/>
      <c r="B69" s="37" t="str">
        <f>IF(A69="","",IFERROR(VLOOKUP(A69,DB_Customers!$A:$D,4,0),"❌ Account Not Found"))</f>
        <v/>
      </c>
      <c r="C69" s="77" t="str">
        <f>IF(A69="","",IFERROR(VLOOKUP(A69,DB_Customers!$A:$N,14,0),"❌ Acct Not Found"))</f>
        <v/>
      </c>
      <c r="D69" s="78" t="str">
        <f t="shared" ca="1" si="3"/>
        <v/>
      </c>
      <c r="E69" s="94"/>
      <c r="F69" s="37"/>
      <c r="G69" s="95" t="str">
        <f t="shared" si="4"/>
        <v/>
      </c>
      <c r="H69" s="39" t="s">
        <v>141</v>
      </c>
      <c r="I69" s="81"/>
      <c r="J69" s="82" t="str">
        <f>IF(AND(A69&lt;&gt;"",E69&lt;&gt;""),IF(I69="","⚠️ Enter Code",IF(IFERROR(VLOOKUP(H69,DB_Agents!$B:$I,8,0),"")=I69,IF(C69&gt;=E69,"Successful","Unsuccessful"),"🔒 BLOCKED — Wrong Code")),"Pending")</f>
        <v>Pending</v>
      </c>
      <c r="K69" s="83" t="str">
        <f t="shared" ca="1" si="5"/>
        <v>—</v>
      </c>
      <c r="L69" s="84"/>
    </row>
    <row r="70" spans="1:12" ht="15" customHeight="1" x14ac:dyDescent="0.25">
      <c r="A70" s="85"/>
      <c r="B70" s="41" t="str">
        <f>IF(A70="","",IFERROR(VLOOKUP(A70,DB_Customers!$A:$D,4,0),"❌ Account Not Found"))</f>
        <v/>
      </c>
      <c r="C70" s="86" t="str">
        <f>IF(A70="","",IFERROR(VLOOKUP(A70,DB_Customers!$A:$N,14,0),"❌ Acct Not Found"))</f>
        <v/>
      </c>
      <c r="D70" s="87" t="str">
        <f t="shared" ca="1" si="3"/>
        <v/>
      </c>
      <c r="E70" s="94"/>
      <c r="F70" s="41"/>
      <c r="G70" s="96" t="str">
        <f t="shared" si="4"/>
        <v/>
      </c>
      <c r="H70" s="43" t="s">
        <v>141</v>
      </c>
      <c r="I70" s="81"/>
      <c r="J70" s="89" t="str">
        <f>IF(AND(A70&lt;&gt;"",E70&lt;&gt;""),IF(I70="","⚠️ Enter Code",IF(IFERROR(VLOOKUP(H70,DB_Agents!$B:$I,8,0),"")=I70,IF(C70&gt;=E70,"Successful","Unsuccessful"),"🔒 BLOCKED — Wrong Code")),"Pending")</f>
        <v>Pending</v>
      </c>
      <c r="K70" s="90" t="str">
        <f t="shared" ca="1" si="5"/>
        <v>—</v>
      </c>
      <c r="L70" s="91"/>
    </row>
    <row r="71" spans="1:12" ht="15" customHeight="1" x14ac:dyDescent="0.25">
      <c r="A71" s="76"/>
      <c r="B71" s="37" t="str">
        <f>IF(A71="","",IFERROR(VLOOKUP(A71,DB_Customers!$A:$D,4,0),"❌ Account Not Found"))</f>
        <v/>
      </c>
      <c r="C71" s="77" t="str">
        <f>IF(A71="","",IFERROR(VLOOKUP(A71,DB_Customers!$A:$N,14,0),"❌ Acct Not Found"))</f>
        <v/>
      </c>
      <c r="D71" s="78" t="str">
        <f t="shared" ca="1" si="3"/>
        <v/>
      </c>
      <c r="E71" s="94"/>
      <c r="F71" s="37"/>
      <c r="G71" s="95" t="str">
        <f t="shared" si="4"/>
        <v/>
      </c>
      <c r="H71" s="39" t="s">
        <v>141</v>
      </c>
      <c r="I71" s="81"/>
      <c r="J71" s="82" t="str">
        <f>IF(AND(A71&lt;&gt;"",E71&lt;&gt;""),IF(I71="","⚠️ Enter Code",IF(IFERROR(VLOOKUP(H71,DB_Agents!$B:$I,8,0),"")=I71,IF(C71&gt;=E71,"Successful","Unsuccessful"),"🔒 BLOCKED — Wrong Code")),"Pending")</f>
        <v>Pending</v>
      </c>
      <c r="K71" s="83" t="str">
        <f t="shared" ca="1" si="5"/>
        <v>—</v>
      </c>
      <c r="L71" s="84"/>
    </row>
    <row r="72" spans="1:12" ht="15" customHeight="1" x14ac:dyDescent="0.25">
      <c r="A72" s="85"/>
      <c r="B72" s="41" t="str">
        <f>IF(A72="","",IFERROR(VLOOKUP(A72,DB_Customers!$A:$D,4,0),"❌ Account Not Found"))</f>
        <v/>
      </c>
      <c r="C72" s="86" t="str">
        <f>IF(A72="","",IFERROR(VLOOKUP(A72,DB_Customers!$A:$N,14,0),"❌ Acct Not Found"))</f>
        <v/>
      </c>
      <c r="D72" s="87" t="str">
        <f t="shared" ca="1" si="3"/>
        <v/>
      </c>
      <c r="E72" s="94"/>
      <c r="F72" s="41"/>
      <c r="G72" s="96" t="str">
        <f t="shared" si="4"/>
        <v/>
      </c>
      <c r="H72" s="43" t="s">
        <v>141</v>
      </c>
      <c r="I72" s="81"/>
      <c r="J72" s="89" t="str">
        <f>IF(AND(A72&lt;&gt;"",E72&lt;&gt;""),IF(I72="","⚠️ Enter Code",IF(IFERROR(VLOOKUP(H72,DB_Agents!$B:$I,8,0),"")=I72,IF(C72&gt;=E72,"Successful","Unsuccessful"),"🔒 BLOCKED — Wrong Code")),"Pending")</f>
        <v>Pending</v>
      </c>
      <c r="K72" s="90" t="str">
        <f t="shared" ca="1" si="5"/>
        <v>—</v>
      </c>
      <c r="L72" s="91"/>
    </row>
    <row r="73" spans="1:12" ht="15" customHeight="1" x14ac:dyDescent="0.25">
      <c r="A73" s="76"/>
      <c r="B73" s="37" t="str">
        <f>IF(A73="","",IFERROR(VLOOKUP(A73,DB_Customers!$A:$D,4,0),"❌ Account Not Found"))</f>
        <v/>
      </c>
      <c r="C73" s="77" t="str">
        <f>IF(A73="","",IFERROR(VLOOKUP(A73,DB_Customers!$A:$N,14,0),"❌ Acct Not Found"))</f>
        <v/>
      </c>
      <c r="D73" s="78" t="str">
        <f t="shared" ref="D73:D104" ca="1" si="6">IF(A73="","",TODAY())</f>
        <v/>
      </c>
      <c r="E73" s="94"/>
      <c r="F73" s="37"/>
      <c r="G73" s="95" t="str">
        <f t="shared" ref="G73:G104" si="7">IF(OR(A73="",E73=""),"",IF(C73="","",C73-E73))</f>
        <v/>
      </c>
      <c r="H73" s="39" t="s">
        <v>141</v>
      </c>
      <c r="I73" s="81"/>
      <c r="J73" s="82" t="str">
        <f>IF(AND(A73&lt;&gt;"",E73&lt;&gt;""),IF(I73="","⚠️ Enter Code",IF(IFERROR(VLOOKUP(H73,DB_Agents!$B:$I,8,0),"")=I73,IF(C73&gt;=E73,"Successful","Unsuccessful"),"🔒 BLOCKED — Wrong Code")),"Pending")</f>
        <v>Pending</v>
      </c>
      <c r="K73" s="83" t="str">
        <f t="shared" ref="K73:K104" ca="1" si="8">IF(J73="Successful",TEXT(TODAY(),"YYYY-MM-DD")&amp;" Auto","—")</f>
        <v>—</v>
      </c>
      <c r="L73" s="84"/>
    </row>
    <row r="74" spans="1:12" ht="15" customHeight="1" x14ac:dyDescent="0.25">
      <c r="A74" s="85"/>
      <c r="B74" s="41" t="str">
        <f>IF(A74="","",IFERROR(VLOOKUP(A74,DB_Customers!$A:$D,4,0),"❌ Account Not Found"))</f>
        <v/>
      </c>
      <c r="C74" s="86" t="str">
        <f>IF(A74="","",IFERROR(VLOOKUP(A74,DB_Customers!$A:$N,14,0),"❌ Acct Not Found"))</f>
        <v/>
      </c>
      <c r="D74" s="87" t="str">
        <f t="shared" ca="1" si="6"/>
        <v/>
      </c>
      <c r="E74" s="94"/>
      <c r="F74" s="41"/>
      <c r="G74" s="96" t="str">
        <f t="shared" si="7"/>
        <v/>
      </c>
      <c r="H74" s="43" t="s">
        <v>141</v>
      </c>
      <c r="I74" s="81"/>
      <c r="J74" s="89" t="str">
        <f>IF(AND(A74&lt;&gt;"",E74&lt;&gt;""),IF(I74="","⚠️ Enter Code",IF(IFERROR(VLOOKUP(H74,DB_Agents!$B:$I,8,0),"")=I74,IF(C74&gt;=E74,"Successful","Unsuccessful"),"🔒 BLOCKED — Wrong Code")),"Pending")</f>
        <v>Pending</v>
      </c>
      <c r="K74" s="90" t="str">
        <f t="shared" ca="1" si="8"/>
        <v>—</v>
      </c>
      <c r="L74" s="91"/>
    </row>
    <row r="75" spans="1:12" ht="15" customHeight="1" x14ac:dyDescent="0.25">
      <c r="A75" s="76"/>
      <c r="B75" s="37" t="str">
        <f>IF(A75="","",IFERROR(VLOOKUP(A75,DB_Customers!$A:$D,4,0),"❌ Account Not Found"))</f>
        <v/>
      </c>
      <c r="C75" s="77" t="str">
        <f>IF(A75="","",IFERROR(VLOOKUP(A75,DB_Customers!$A:$N,14,0),"❌ Acct Not Found"))</f>
        <v/>
      </c>
      <c r="D75" s="78" t="str">
        <f t="shared" ca="1" si="6"/>
        <v/>
      </c>
      <c r="E75" s="94"/>
      <c r="F75" s="37"/>
      <c r="G75" s="95" t="str">
        <f t="shared" si="7"/>
        <v/>
      </c>
      <c r="H75" s="39" t="s">
        <v>141</v>
      </c>
      <c r="I75" s="81"/>
      <c r="J75" s="82" t="str">
        <f>IF(AND(A75&lt;&gt;"",E75&lt;&gt;""),IF(I75="","⚠️ Enter Code",IF(IFERROR(VLOOKUP(H75,DB_Agents!$B:$I,8,0),"")=I75,IF(C75&gt;=E75,"Successful","Unsuccessful"),"🔒 BLOCKED — Wrong Code")),"Pending")</f>
        <v>Pending</v>
      </c>
      <c r="K75" s="83" t="str">
        <f t="shared" ca="1" si="8"/>
        <v>—</v>
      </c>
      <c r="L75" s="84"/>
    </row>
    <row r="76" spans="1:12" ht="15" customHeight="1" x14ac:dyDescent="0.25">
      <c r="A76" s="85"/>
      <c r="B76" s="41" t="str">
        <f>IF(A76="","",IFERROR(VLOOKUP(A76,DB_Customers!$A:$D,4,0),"❌ Account Not Found"))</f>
        <v/>
      </c>
      <c r="C76" s="86" t="str">
        <f>IF(A76="","",IFERROR(VLOOKUP(A76,DB_Customers!$A:$N,14,0),"❌ Acct Not Found"))</f>
        <v/>
      </c>
      <c r="D76" s="87" t="str">
        <f t="shared" ca="1" si="6"/>
        <v/>
      </c>
      <c r="E76" s="94"/>
      <c r="F76" s="41"/>
      <c r="G76" s="96" t="str">
        <f t="shared" si="7"/>
        <v/>
      </c>
      <c r="H76" s="43" t="s">
        <v>141</v>
      </c>
      <c r="I76" s="81"/>
      <c r="J76" s="89" t="str">
        <f>IF(AND(A76&lt;&gt;"",E76&lt;&gt;""),IF(I76="","⚠️ Enter Code",IF(IFERROR(VLOOKUP(H76,DB_Agents!$B:$I,8,0),"")=I76,IF(C76&gt;=E76,"Successful","Unsuccessful"),"🔒 BLOCKED — Wrong Code")),"Pending")</f>
        <v>Pending</v>
      </c>
      <c r="K76" s="90" t="str">
        <f t="shared" ca="1" si="8"/>
        <v>—</v>
      </c>
      <c r="L76" s="91"/>
    </row>
    <row r="77" spans="1:12" ht="15" customHeight="1" x14ac:dyDescent="0.25">
      <c r="A77" s="76"/>
      <c r="B77" s="37" t="str">
        <f>IF(A77="","",IFERROR(VLOOKUP(A77,DB_Customers!$A:$D,4,0),"❌ Account Not Found"))</f>
        <v/>
      </c>
      <c r="C77" s="77" t="str">
        <f>IF(A77="","",IFERROR(VLOOKUP(A77,DB_Customers!$A:$N,14,0),"❌ Acct Not Found"))</f>
        <v/>
      </c>
      <c r="D77" s="78" t="str">
        <f t="shared" ca="1" si="6"/>
        <v/>
      </c>
      <c r="E77" s="94"/>
      <c r="F77" s="37"/>
      <c r="G77" s="95" t="str">
        <f t="shared" si="7"/>
        <v/>
      </c>
      <c r="H77" s="39" t="s">
        <v>141</v>
      </c>
      <c r="I77" s="81"/>
      <c r="J77" s="82" t="str">
        <f>IF(AND(A77&lt;&gt;"",E77&lt;&gt;""),IF(I77="","⚠️ Enter Code",IF(IFERROR(VLOOKUP(H77,DB_Agents!$B:$I,8,0),"")=I77,IF(C77&gt;=E77,"Successful","Unsuccessful"),"🔒 BLOCKED — Wrong Code")),"Pending")</f>
        <v>Pending</v>
      </c>
      <c r="K77" s="83" t="str">
        <f t="shared" ca="1" si="8"/>
        <v>—</v>
      </c>
      <c r="L77" s="84"/>
    </row>
    <row r="78" spans="1:12" ht="15" customHeight="1" x14ac:dyDescent="0.25">
      <c r="A78" s="85"/>
      <c r="B78" s="41" t="str">
        <f>IF(A78="","",IFERROR(VLOOKUP(A78,DB_Customers!$A:$D,4,0),"❌ Account Not Found"))</f>
        <v/>
      </c>
      <c r="C78" s="86" t="str">
        <f>IF(A78="","",IFERROR(VLOOKUP(A78,DB_Customers!$A:$N,14,0),"❌ Acct Not Found"))</f>
        <v/>
      </c>
      <c r="D78" s="87" t="str">
        <f t="shared" ca="1" si="6"/>
        <v/>
      </c>
      <c r="E78" s="94"/>
      <c r="F78" s="41"/>
      <c r="G78" s="96" t="str">
        <f t="shared" si="7"/>
        <v/>
      </c>
      <c r="H78" s="43" t="s">
        <v>141</v>
      </c>
      <c r="I78" s="81"/>
      <c r="J78" s="89" t="str">
        <f>IF(AND(A78&lt;&gt;"",E78&lt;&gt;""),IF(I78="","⚠️ Enter Code",IF(IFERROR(VLOOKUP(H78,DB_Agents!$B:$I,8,0),"")=I78,IF(C78&gt;=E78,"Successful","Unsuccessful"),"🔒 BLOCKED — Wrong Code")),"Pending")</f>
        <v>Pending</v>
      </c>
      <c r="K78" s="90" t="str">
        <f t="shared" ca="1" si="8"/>
        <v>—</v>
      </c>
      <c r="L78" s="91"/>
    </row>
    <row r="79" spans="1:12" ht="15" customHeight="1" x14ac:dyDescent="0.25">
      <c r="A79" s="76"/>
      <c r="B79" s="37" t="str">
        <f>IF(A79="","",IFERROR(VLOOKUP(A79,DB_Customers!$A:$D,4,0),"❌ Account Not Found"))</f>
        <v/>
      </c>
      <c r="C79" s="77" t="str">
        <f>IF(A79="","",IFERROR(VLOOKUP(A79,DB_Customers!$A:$N,14,0),"❌ Acct Not Found"))</f>
        <v/>
      </c>
      <c r="D79" s="78" t="str">
        <f t="shared" ca="1" si="6"/>
        <v/>
      </c>
      <c r="E79" s="94"/>
      <c r="F79" s="37"/>
      <c r="G79" s="95" t="str">
        <f t="shared" si="7"/>
        <v/>
      </c>
      <c r="H79" s="39" t="s">
        <v>141</v>
      </c>
      <c r="I79" s="81"/>
      <c r="J79" s="82" t="str">
        <f>IF(AND(A79&lt;&gt;"",E79&lt;&gt;""),IF(I79="","⚠️ Enter Code",IF(IFERROR(VLOOKUP(H79,DB_Agents!$B:$I,8,0),"")=I79,IF(C79&gt;=E79,"Successful","Unsuccessful"),"🔒 BLOCKED — Wrong Code")),"Pending")</f>
        <v>Pending</v>
      </c>
      <c r="K79" s="83" t="str">
        <f t="shared" ca="1" si="8"/>
        <v>—</v>
      </c>
      <c r="L79" s="84"/>
    </row>
    <row r="80" spans="1:12" ht="15" customHeight="1" x14ac:dyDescent="0.25">
      <c r="A80" s="85"/>
      <c r="B80" s="41" t="str">
        <f>IF(A80="","",IFERROR(VLOOKUP(A80,DB_Customers!$A:$D,4,0),"❌ Account Not Found"))</f>
        <v/>
      </c>
      <c r="C80" s="86" t="str">
        <f>IF(A80="","",IFERROR(VLOOKUP(A80,DB_Customers!$A:$N,14,0),"❌ Acct Not Found"))</f>
        <v/>
      </c>
      <c r="D80" s="87" t="str">
        <f t="shared" ca="1" si="6"/>
        <v/>
      </c>
      <c r="E80" s="94"/>
      <c r="F80" s="41"/>
      <c r="G80" s="96" t="str">
        <f t="shared" si="7"/>
        <v/>
      </c>
      <c r="H80" s="43" t="s">
        <v>141</v>
      </c>
      <c r="I80" s="81"/>
      <c r="J80" s="89" t="str">
        <f>IF(AND(A80&lt;&gt;"",E80&lt;&gt;""),IF(I80="","⚠️ Enter Code",IF(IFERROR(VLOOKUP(H80,DB_Agents!$B:$I,8,0),"")=I80,IF(C80&gt;=E80,"Successful","Unsuccessful"),"🔒 BLOCKED — Wrong Code")),"Pending")</f>
        <v>Pending</v>
      </c>
      <c r="K80" s="90" t="str">
        <f t="shared" ca="1" si="8"/>
        <v>—</v>
      </c>
      <c r="L80" s="91"/>
    </row>
    <row r="81" spans="1:12" ht="15" customHeight="1" x14ac:dyDescent="0.25">
      <c r="A81" s="76"/>
      <c r="B81" s="37" t="str">
        <f>IF(A81="","",IFERROR(VLOOKUP(A81,DB_Customers!$A:$D,4,0),"❌ Account Not Found"))</f>
        <v/>
      </c>
      <c r="C81" s="77" t="str">
        <f>IF(A81="","",IFERROR(VLOOKUP(A81,DB_Customers!$A:$N,14,0),"❌ Acct Not Found"))</f>
        <v/>
      </c>
      <c r="D81" s="78" t="str">
        <f t="shared" ca="1" si="6"/>
        <v/>
      </c>
      <c r="E81" s="94"/>
      <c r="F81" s="37"/>
      <c r="G81" s="95" t="str">
        <f t="shared" si="7"/>
        <v/>
      </c>
      <c r="H81" s="39" t="s">
        <v>141</v>
      </c>
      <c r="I81" s="81"/>
      <c r="J81" s="82" t="str">
        <f>IF(AND(A81&lt;&gt;"",E81&lt;&gt;""),IF(I81="","⚠️ Enter Code",IF(IFERROR(VLOOKUP(H81,DB_Agents!$B:$I,8,0),"")=I81,IF(C81&gt;=E81,"Successful","Unsuccessful"),"🔒 BLOCKED — Wrong Code")),"Pending")</f>
        <v>Pending</v>
      </c>
      <c r="K81" s="83" t="str">
        <f t="shared" ca="1" si="8"/>
        <v>—</v>
      </c>
      <c r="L81" s="84"/>
    </row>
    <row r="82" spans="1:12" ht="15" customHeight="1" x14ac:dyDescent="0.25">
      <c r="A82" s="85"/>
      <c r="B82" s="41" t="str">
        <f>IF(A82="","",IFERROR(VLOOKUP(A82,DB_Customers!$A:$D,4,0),"❌ Account Not Found"))</f>
        <v/>
      </c>
      <c r="C82" s="86" t="str">
        <f>IF(A82="","",IFERROR(VLOOKUP(A82,DB_Customers!$A:$N,14,0),"❌ Acct Not Found"))</f>
        <v/>
      </c>
      <c r="D82" s="87" t="str">
        <f t="shared" ca="1" si="6"/>
        <v/>
      </c>
      <c r="E82" s="94"/>
      <c r="F82" s="41"/>
      <c r="G82" s="96" t="str">
        <f t="shared" si="7"/>
        <v/>
      </c>
      <c r="H82" s="43" t="s">
        <v>141</v>
      </c>
      <c r="I82" s="81"/>
      <c r="J82" s="89" t="str">
        <f>IF(AND(A82&lt;&gt;"",E82&lt;&gt;""),IF(I82="","⚠️ Enter Code",IF(IFERROR(VLOOKUP(H82,DB_Agents!$B:$I,8,0),"")=I82,IF(C82&gt;=E82,"Successful","Unsuccessful"),"🔒 BLOCKED — Wrong Code")),"Pending")</f>
        <v>Pending</v>
      </c>
      <c r="K82" s="90" t="str">
        <f t="shared" ca="1" si="8"/>
        <v>—</v>
      </c>
      <c r="L82" s="91"/>
    </row>
    <row r="83" spans="1:12" ht="15" customHeight="1" x14ac:dyDescent="0.25">
      <c r="A83" s="76"/>
      <c r="B83" s="37" t="str">
        <f>IF(A83="","",IFERROR(VLOOKUP(A83,DB_Customers!$A:$D,4,0),"❌ Account Not Found"))</f>
        <v/>
      </c>
      <c r="C83" s="77" t="str">
        <f>IF(A83="","",IFERROR(VLOOKUP(A83,DB_Customers!$A:$N,14,0),"❌ Acct Not Found"))</f>
        <v/>
      </c>
      <c r="D83" s="78" t="str">
        <f t="shared" ca="1" si="6"/>
        <v/>
      </c>
      <c r="E83" s="94"/>
      <c r="F83" s="37"/>
      <c r="G83" s="95" t="str">
        <f t="shared" si="7"/>
        <v/>
      </c>
      <c r="H83" s="39" t="s">
        <v>141</v>
      </c>
      <c r="I83" s="81"/>
      <c r="J83" s="82" t="str">
        <f>IF(AND(A83&lt;&gt;"",E83&lt;&gt;""),IF(I83="","⚠️ Enter Code",IF(IFERROR(VLOOKUP(H83,DB_Agents!$B:$I,8,0),"")=I83,IF(C83&gt;=E83,"Successful","Unsuccessful"),"🔒 BLOCKED — Wrong Code")),"Pending")</f>
        <v>Pending</v>
      </c>
      <c r="K83" s="83" t="str">
        <f t="shared" ca="1" si="8"/>
        <v>—</v>
      </c>
      <c r="L83" s="84"/>
    </row>
    <row r="84" spans="1:12" ht="15" customHeight="1" x14ac:dyDescent="0.25">
      <c r="A84" s="85"/>
      <c r="B84" s="41" t="str">
        <f>IF(A84="","",IFERROR(VLOOKUP(A84,DB_Customers!$A:$D,4,0),"❌ Account Not Found"))</f>
        <v/>
      </c>
      <c r="C84" s="86" t="str">
        <f>IF(A84="","",IFERROR(VLOOKUP(A84,DB_Customers!$A:$N,14,0),"❌ Acct Not Found"))</f>
        <v/>
      </c>
      <c r="D84" s="87" t="str">
        <f t="shared" ca="1" si="6"/>
        <v/>
      </c>
      <c r="E84" s="94"/>
      <c r="F84" s="41"/>
      <c r="G84" s="96" t="str">
        <f t="shared" si="7"/>
        <v/>
      </c>
      <c r="H84" s="43" t="s">
        <v>141</v>
      </c>
      <c r="I84" s="81"/>
      <c r="J84" s="89" t="str">
        <f>IF(AND(A84&lt;&gt;"",E84&lt;&gt;""),IF(I84="","⚠️ Enter Code",IF(IFERROR(VLOOKUP(H84,DB_Agents!$B:$I,8,0),"")=I84,IF(C84&gt;=E84,"Successful","Unsuccessful"),"🔒 BLOCKED — Wrong Code")),"Pending")</f>
        <v>Pending</v>
      </c>
      <c r="K84" s="90" t="str">
        <f t="shared" ca="1" si="8"/>
        <v>—</v>
      </c>
      <c r="L84" s="91"/>
    </row>
    <row r="85" spans="1:12" ht="15" customHeight="1" x14ac:dyDescent="0.25">
      <c r="A85" s="76"/>
      <c r="B85" s="37" t="str">
        <f>IF(A85="","",IFERROR(VLOOKUP(A85,DB_Customers!$A:$D,4,0),"❌ Account Not Found"))</f>
        <v/>
      </c>
      <c r="C85" s="77" t="str">
        <f>IF(A85="","",IFERROR(VLOOKUP(A85,DB_Customers!$A:$N,14,0),"❌ Acct Not Found"))</f>
        <v/>
      </c>
      <c r="D85" s="78" t="str">
        <f t="shared" ca="1" si="6"/>
        <v/>
      </c>
      <c r="E85" s="94"/>
      <c r="F85" s="37"/>
      <c r="G85" s="95" t="str">
        <f t="shared" si="7"/>
        <v/>
      </c>
      <c r="H85" s="39" t="s">
        <v>141</v>
      </c>
      <c r="I85" s="81"/>
      <c r="J85" s="82" t="str">
        <f>IF(AND(A85&lt;&gt;"",E85&lt;&gt;""),IF(I85="","⚠️ Enter Code",IF(IFERROR(VLOOKUP(H85,DB_Agents!$B:$I,8,0),"")=I85,IF(C85&gt;=E85,"Successful","Unsuccessful"),"🔒 BLOCKED — Wrong Code")),"Pending")</f>
        <v>Pending</v>
      </c>
      <c r="K85" s="83" t="str">
        <f t="shared" ca="1" si="8"/>
        <v>—</v>
      </c>
      <c r="L85" s="84"/>
    </row>
    <row r="86" spans="1:12" ht="15" customHeight="1" x14ac:dyDescent="0.25">
      <c r="A86" s="85"/>
      <c r="B86" s="41" t="str">
        <f>IF(A86="","",IFERROR(VLOOKUP(A86,DB_Customers!$A:$D,4,0),"❌ Account Not Found"))</f>
        <v/>
      </c>
      <c r="C86" s="86" t="str">
        <f>IF(A86="","",IFERROR(VLOOKUP(A86,DB_Customers!$A:$N,14,0),"❌ Acct Not Found"))</f>
        <v/>
      </c>
      <c r="D86" s="87" t="str">
        <f t="shared" ca="1" si="6"/>
        <v/>
      </c>
      <c r="E86" s="94"/>
      <c r="F86" s="41"/>
      <c r="G86" s="96" t="str">
        <f t="shared" si="7"/>
        <v/>
      </c>
      <c r="H86" s="43" t="s">
        <v>141</v>
      </c>
      <c r="I86" s="81"/>
      <c r="J86" s="89" t="str">
        <f>IF(AND(A86&lt;&gt;"",E86&lt;&gt;""),IF(I86="","⚠️ Enter Code",IF(IFERROR(VLOOKUP(H86,DB_Agents!$B:$I,8,0),"")=I86,IF(C86&gt;=E86,"Successful","Unsuccessful"),"🔒 BLOCKED — Wrong Code")),"Pending")</f>
        <v>Pending</v>
      </c>
      <c r="K86" s="90" t="str">
        <f t="shared" ca="1" si="8"/>
        <v>—</v>
      </c>
      <c r="L86" s="91"/>
    </row>
    <row r="87" spans="1:12" ht="15" customHeight="1" x14ac:dyDescent="0.25">
      <c r="A87" s="76"/>
      <c r="B87" s="37" t="str">
        <f>IF(A87="","",IFERROR(VLOOKUP(A87,DB_Customers!$A:$D,4,0),"❌ Account Not Found"))</f>
        <v/>
      </c>
      <c r="C87" s="77" t="str">
        <f>IF(A87="","",IFERROR(VLOOKUP(A87,DB_Customers!$A:$N,14,0),"❌ Acct Not Found"))</f>
        <v/>
      </c>
      <c r="D87" s="78" t="str">
        <f t="shared" ca="1" si="6"/>
        <v/>
      </c>
      <c r="E87" s="94"/>
      <c r="F87" s="37"/>
      <c r="G87" s="95" t="str">
        <f t="shared" si="7"/>
        <v/>
      </c>
      <c r="H87" s="39" t="s">
        <v>141</v>
      </c>
      <c r="I87" s="81"/>
      <c r="J87" s="82" t="str">
        <f>IF(AND(A87&lt;&gt;"",E87&lt;&gt;""),IF(I87="","⚠️ Enter Code",IF(IFERROR(VLOOKUP(H87,DB_Agents!$B:$I,8,0),"")=I87,IF(C87&gt;=E87,"Successful","Unsuccessful"),"🔒 BLOCKED — Wrong Code")),"Pending")</f>
        <v>Pending</v>
      </c>
      <c r="K87" s="83" t="str">
        <f t="shared" ca="1" si="8"/>
        <v>—</v>
      </c>
      <c r="L87" s="84"/>
    </row>
    <row r="88" spans="1:12" ht="15" customHeight="1" x14ac:dyDescent="0.25">
      <c r="A88" s="85"/>
      <c r="B88" s="41" t="str">
        <f>IF(A88="","",IFERROR(VLOOKUP(A88,DB_Customers!$A:$D,4,0),"❌ Account Not Found"))</f>
        <v/>
      </c>
      <c r="C88" s="86" t="str">
        <f>IF(A88="","",IFERROR(VLOOKUP(A88,DB_Customers!$A:$N,14,0),"❌ Acct Not Found"))</f>
        <v/>
      </c>
      <c r="D88" s="87" t="str">
        <f t="shared" ca="1" si="6"/>
        <v/>
      </c>
      <c r="E88" s="94"/>
      <c r="F88" s="41"/>
      <c r="G88" s="96" t="str">
        <f t="shared" si="7"/>
        <v/>
      </c>
      <c r="H88" s="43" t="s">
        <v>141</v>
      </c>
      <c r="I88" s="81"/>
      <c r="J88" s="89" t="str">
        <f>IF(AND(A88&lt;&gt;"",E88&lt;&gt;""),IF(I88="","⚠️ Enter Code",IF(IFERROR(VLOOKUP(H88,DB_Agents!$B:$I,8,0),"")=I88,IF(C88&gt;=E88,"Successful","Unsuccessful"),"🔒 BLOCKED — Wrong Code")),"Pending")</f>
        <v>Pending</v>
      </c>
      <c r="K88" s="90" t="str">
        <f t="shared" ca="1" si="8"/>
        <v>—</v>
      </c>
      <c r="L88" s="91"/>
    </row>
    <row r="89" spans="1:12" ht="15" customHeight="1" x14ac:dyDescent="0.25">
      <c r="A89" s="76"/>
      <c r="B89" s="37" t="str">
        <f>IF(A89="","",IFERROR(VLOOKUP(A89,DB_Customers!$A:$D,4,0),"❌ Account Not Found"))</f>
        <v/>
      </c>
      <c r="C89" s="77" t="str">
        <f>IF(A89="","",IFERROR(VLOOKUP(A89,DB_Customers!$A:$N,14,0),"❌ Acct Not Found"))</f>
        <v/>
      </c>
      <c r="D89" s="78" t="str">
        <f t="shared" ca="1" si="6"/>
        <v/>
      </c>
      <c r="E89" s="94"/>
      <c r="F89" s="37"/>
      <c r="G89" s="95" t="str">
        <f t="shared" si="7"/>
        <v/>
      </c>
      <c r="H89" s="39" t="s">
        <v>141</v>
      </c>
      <c r="I89" s="81"/>
      <c r="J89" s="82" t="str">
        <f>IF(AND(A89&lt;&gt;"",E89&lt;&gt;""),IF(I89="","⚠️ Enter Code",IF(IFERROR(VLOOKUP(H89,DB_Agents!$B:$I,8,0),"")=I89,IF(C89&gt;=E89,"Successful","Unsuccessful"),"🔒 BLOCKED — Wrong Code")),"Pending")</f>
        <v>Pending</v>
      </c>
      <c r="K89" s="83" t="str">
        <f t="shared" ca="1" si="8"/>
        <v>—</v>
      </c>
      <c r="L89" s="84"/>
    </row>
    <row r="90" spans="1:12" ht="15" customHeight="1" x14ac:dyDescent="0.25">
      <c r="A90" s="85"/>
      <c r="B90" s="41" t="str">
        <f>IF(A90="","",IFERROR(VLOOKUP(A90,DB_Customers!$A:$D,4,0),"❌ Account Not Found"))</f>
        <v/>
      </c>
      <c r="C90" s="86" t="str">
        <f>IF(A90="","",IFERROR(VLOOKUP(A90,DB_Customers!$A:$N,14,0),"❌ Acct Not Found"))</f>
        <v/>
      </c>
      <c r="D90" s="87" t="str">
        <f t="shared" ca="1" si="6"/>
        <v/>
      </c>
      <c r="E90" s="94"/>
      <c r="F90" s="41"/>
      <c r="G90" s="96" t="str">
        <f t="shared" si="7"/>
        <v/>
      </c>
      <c r="H90" s="43" t="s">
        <v>141</v>
      </c>
      <c r="I90" s="81"/>
      <c r="J90" s="89" t="str">
        <f>IF(AND(A90&lt;&gt;"",E90&lt;&gt;""),IF(I90="","⚠️ Enter Code",IF(IFERROR(VLOOKUP(H90,DB_Agents!$B:$I,8,0),"")=I90,IF(C90&gt;=E90,"Successful","Unsuccessful"),"🔒 BLOCKED — Wrong Code")),"Pending")</f>
        <v>Pending</v>
      </c>
      <c r="K90" s="90" t="str">
        <f t="shared" ca="1" si="8"/>
        <v>—</v>
      </c>
      <c r="L90" s="91"/>
    </row>
    <row r="91" spans="1:12" ht="15" customHeight="1" x14ac:dyDescent="0.25">
      <c r="A91" s="76"/>
      <c r="B91" s="37" t="str">
        <f>IF(A91="","",IFERROR(VLOOKUP(A91,DB_Customers!$A:$D,4,0),"❌ Account Not Found"))</f>
        <v/>
      </c>
      <c r="C91" s="77" t="str">
        <f>IF(A91="","",IFERROR(VLOOKUP(A91,DB_Customers!$A:$N,14,0),"❌ Acct Not Found"))</f>
        <v/>
      </c>
      <c r="D91" s="78" t="str">
        <f t="shared" ca="1" si="6"/>
        <v/>
      </c>
      <c r="E91" s="94"/>
      <c r="F91" s="37"/>
      <c r="G91" s="95" t="str">
        <f t="shared" si="7"/>
        <v/>
      </c>
      <c r="H91" s="39" t="s">
        <v>141</v>
      </c>
      <c r="I91" s="81"/>
      <c r="J91" s="82" t="str">
        <f>IF(AND(A91&lt;&gt;"",E91&lt;&gt;""),IF(I91="","⚠️ Enter Code",IF(IFERROR(VLOOKUP(H91,DB_Agents!$B:$I,8,0),"")=I91,IF(C91&gt;=E91,"Successful","Unsuccessful"),"🔒 BLOCKED — Wrong Code")),"Pending")</f>
        <v>Pending</v>
      </c>
      <c r="K91" s="83" t="str">
        <f t="shared" ca="1" si="8"/>
        <v>—</v>
      </c>
      <c r="L91" s="84"/>
    </row>
    <row r="92" spans="1:12" ht="15" customHeight="1" x14ac:dyDescent="0.25">
      <c r="A92" s="85"/>
      <c r="B92" s="41" t="str">
        <f>IF(A92="","",IFERROR(VLOOKUP(A92,DB_Customers!$A:$D,4,0),"❌ Account Not Found"))</f>
        <v/>
      </c>
      <c r="C92" s="86" t="str">
        <f>IF(A92="","",IFERROR(VLOOKUP(A92,DB_Customers!$A:$N,14,0),"❌ Acct Not Found"))</f>
        <v/>
      </c>
      <c r="D92" s="87" t="str">
        <f t="shared" ca="1" si="6"/>
        <v/>
      </c>
      <c r="E92" s="94"/>
      <c r="F92" s="41"/>
      <c r="G92" s="96" t="str">
        <f t="shared" si="7"/>
        <v/>
      </c>
      <c r="H92" s="43" t="s">
        <v>141</v>
      </c>
      <c r="I92" s="81"/>
      <c r="J92" s="89" t="str">
        <f>IF(AND(A92&lt;&gt;"",E92&lt;&gt;""),IF(I92="","⚠️ Enter Code",IF(IFERROR(VLOOKUP(H92,DB_Agents!$B:$I,8,0),"")=I92,IF(C92&gt;=E92,"Successful","Unsuccessful"),"🔒 BLOCKED — Wrong Code")),"Pending")</f>
        <v>Pending</v>
      </c>
      <c r="K92" s="90" t="str">
        <f t="shared" ca="1" si="8"/>
        <v>—</v>
      </c>
      <c r="L92" s="91"/>
    </row>
    <row r="93" spans="1:12" ht="15" customHeight="1" x14ac:dyDescent="0.25">
      <c r="A93" s="76"/>
      <c r="B93" s="37" t="str">
        <f>IF(A93="","",IFERROR(VLOOKUP(A93,DB_Customers!$A:$D,4,0),"❌ Account Not Found"))</f>
        <v/>
      </c>
      <c r="C93" s="77" t="str">
        <f>IF(A93="","",IFERROR(VLOOKUP(A93,DB_Customers!$A:$N,14,0),"❌ Acct Not Found"))</f>
        <v/>
      </c>
      <c r="D93" s="78" t="str">
        <f t="shared" ca="1" si="6"/>
        <v/>
      </c>
      <c r="E93" s="94"/>
      <c r="F93" s="37"/>
      <c r="G93" s="95" t="str">
        <f t="shared" si="7"/>
        <v/>
      </c>
      <c r="H93" s="39" t="s">
        <v>141</v>
      </c>
      <c r="I93" s="81"/>
      <c r="J93" s="82" t="str">
        <f>IF(AND(A93&lt;&gt;"",E93&lt;&gt;""),IF(I93="","⚠️ Enter Code",IF(IFERROR(VLOOKUP(H93,DB_Agents!$B:$I,8,0),"")=I93,IF(C93&gt;=E93,"Successful","Unsuccessful"),"🔒 BLOCKED — Wrong Code")),"Pending")</f>
        <v>Pending</v>
      </c>
      <c r="K93" s="83" t="str">
        <f t="shared" ca="1" si="8"/>
        <v>—</v>
      </c>
      <c r="L93" s="84"/>
    </row>
    <row r="94" spans="1:12" ht="15" customHeight="1" x14ac:dyDescent="0.25">
      <c r="A94" s="85"/>
      <c r="B94" s="41" t="str">
        <f>IF(A94="","",IFERROR(VLOOKUP(A94,DB_Customers!$A:$D,4,0),"❌ Account Not Found"))</f>
        <v/>
      </c>
      <c r="C94" s="86" t="str">
        <f>IF(A94="","",IFERROR(VLOOKUP(A94,DB_Customers!$A:$N,14,0),"❌ Acct Not Found"))</f>
        <v/>
      </c>
      <c r="D94" s="87" t="str">
        <f t="shared" ca="1" si="6"/>
        <v/>
      </c>
      <c r="E94" s="94"/>
      <c r="F94" s="41"/>
      <c r="G94" s="96" t="str">
        <f t="shared" si="7"/>
        <v/>
      </c>
      <c r="H94" s="43" t="s">
        <v>141</v>
      </c>
      <c r="I94" s="81"/>
      <c r="J94" s="89" t="str">
        <f>IF(AND(A94&lt;&gt;"",E94&lt;&gt;""),IF(I94="","⚠️ Enter Code",IF(IFERROR(VLOOKUP(H94,DB_Agents!$B:$I,8,0),"")=I94,IF(C94&gt;=E94,"Successful","Unsuccessful"),"🔒 BLOCKED — Wrong Code")),"Pending")</f>
        <v>Pending</v>
      </c>
      <c r="K94" s="90" t="str">
        <f t="shared" ca="1" si="8"/>
        <v>—</v>
      </c>
      <c r="L94" s="91"/>
    </row>
    <row r="95" spans="1:12" ht="15" customHeight="1" x14ac:dyDescent="0.25">
      <c r="A95" s="76"/>
      <c r="B95" s="37" t="str">
        <f>IF(A95="","",IFERROR(VLOOKUP(A95,DB_Customers!$A:$D,4,0),"❌ Account Not Found"))</f>
        <v/>
      </c>
      <c r="C95" s="77" t="str">
        <f>IF(A95="","",IFERROR(VLOOKUP(A95,DB_Customers!$A:$N,14,0),"❌ Acct Not Found"))</f>
        <v/>
      </c>
      <c r="D95" s="78" t="str">
        <f t="shared" ca="1" si="6"/>
        <v/>
      </c>
      <c r="E95" s="94"/>
      <c r="F95" s="37"/>
      <c r="G95" s="95" t="str">
        <f t="shared" si="7"/>
        <v/>
      </c>
      <c r="H95" s="39" t="s">
        <v>141</v>
      </c>
      <c r="I95" s="81"/>
      <c r="J95" s="82" t="str">
        <f>IF(AND(A95&lt;&gt;"",E95&lt;&gt;""),IF(I95="","⚠️ Enter Code",IF(IFERROR(VLOOKUP(H95,DB_Agents!$B:$I,8,0),"")=I95,IF(C95&gt;=E95,"Successful","Unsuccessful"),"🔒 BLOCKED — Wrong Code")),"Pending")</f>
        <v>Pending</v>
      </c>
      <c r="K95" s="83" t="str">
        <f t="shared" ca="1" si="8"/>
        <v>—</v>
      </c>
      <c r="L95" s="84"/>
    </row>
    <row r="96" spans="1:12" ht="15" customHeight="1" x14ac:dyDescent="0.25">
      <c r="A96" s="85"/>
      <c r="B96" s="41" t="str">
        <f>IF(A96="","",IFERROR(VLOOKUP(A96,DB_Customers!$A:$D,4,0),"❌ Account Not Found"))</f>
        <v/>
      </c>
      <c r="C96" s="86" t="str">
        <f>IF(A96="","",IFERROR(VLOOKUP(A96,DB_Customers!$A:$N,14,0),"❌ Acct Not Found"))</f>
        <v/>
      </c>
      <c r="D96" s="87" t="str">
        <f t="shared" ca="1" si="6"/>
        <v/>
      </c>
      <c r="E96" s="94"/>
      <c r="F96" s="41"/>
      <c r="G96" s="96" t="str">
        <f t="shared" si="7"/>
        <v/>
      </c>
      <c r="H96" s="43" t="s">
        <v>141</v>
      </c>
      <c r="I96" s="81"/>
      <c r="J96" s="89" t="str">
        <f>IF(AND(A96&lt;&gt;"",E96&lt;&gt;""),IF(I96="","⚠️ Enter Code",IF(IFERROR(VLOOKUP(H96,DB_Agents!$B:$I,8,0),"")=I96,IF(C96&gt;=E96,"Successful","Unsuccessful"),"🔒 BLOCKED — Wrong Code")),"Pending")</f>
        <v>Pending</v>
      </c>
      <c r="K96" s="90" t="str">
        <f t="shared" ca="1" si="8"/>
        <v>—</v>
      </c>
      <c r="L96" s="91"/>
    </row>
    <row r="97" spans="1:12" ht="15" customHeight="1" x14ac:dyDescent="0.25">
      <c r="A97" s="76"/>
      <c r="B97" s="37" t="str">
        <f>IF(A97="","",IFERROR(VLOOKUP(A97,DB_Customers!$A:$D,4,0),"❌ Account Not Found"))</f>
        <v/>
      </c>
      <c r="C97" s="77" t="str">
        <f>IF(A97="","",IFERROR(VLOOKUP(A97,DB_Customers!$A:$N,14,0),"❌ Acct Not Found"))</f>
        <v/>
      </c>
      <c r="D97" s="78" t="str">
        <f t="shared" ca="1" si="6"/>
        <v/>
      </c>
      <c r="E97" s="94"/>
      <c r="F97" s="37"/>
      <c r="G97" s="95" t="str">
        <f t="shared" si="7"/>
        <v/>
      </c>
      <c r="H97" s="39" t="s">
        <v>141</v>
      </c>
      <c r="I97" s="81"/>
      <c r="J97" s="82" t="str">
        <f>IF(AND(A97&lt;&gt;"",E97&lt;&gt;""),IF(I97="","⚠️ Enter Code",IF(IFERROR(VLOOKUP(H97,DB_Agents!$B:$I,8,0),"")=I97,IF(C97&gt;=E97,"Successful","Unsuccessful"),"🔒 BLOCKED — Wrong Code")),"Pending")</f>
        <v>Pending</v>
      </c>
      <c r="K97" s="83" t="str">
        <f t="shared" ca="1" si="8"/>
        <v>—</v>
      </c>
      <c r="L97" s="84"/>
    </row>
    <row r="98" spans="1:12" ht="15" customHeight="1" x14ac:dyDescent="0.25">
      <c r="A98" s="85"/>
      <c r="B98" s="41" t="str">
        <f>IF(A98="","",IFERROR(VLOOKUP(A98,DB_Customers!$A:$D,4,0),"❌ Account Not Found"))</f>
        <v/>
      </c>
      <c r="C98" s="86" t="str">
        <f>IF(A98="","",IFERROR(VLOOKUP(A98,DB_Customers!$A:$N,14,0),"❌ Acct Not Found"))</f>
        <v/>
      </c>
      <c r="D98" s="87" t="str">
        <f t="shared" ca="1" si="6"/>
        <v/>
      </c>
      <c r="E98" s="94"/>
      <c r="F98" s="41"/>
      <c r="G98" s="96" t="str">
        <f t="shared" si="7"/>
        <v/>
      </c>
      <c r="H98" s="43" t="s">
        <v>141</v>
      </c>
      <c r="I98" s="81"/>
      <c r="J98" s="89" t="str">
        <f>IF(AND(A98&lt;&gt;"",E98&lt;&gt;""),IF(I98="","⚠️ Enter Code",IF(IFERROR(VLOOKUP(H98,DB_Agents!$B:$I,8,0),"")=I98,IF(C98&gt;=E98,"Successful","Unsuccessful"),"🔒 BLOCKED — Wrong Code")),"Pending")</f>
        <v>Pending</v>
      </c>
      <c r="K98" s="90" t="str">
        <f t="shared" ca="1" si="8"/>
        <v>—</v>
      </c>
      <c r="L98" s="91"/>
    </row>
    <row r="99" spans="1:12" ht="15" customHeight="1" x14ac:dyDescent="0.25">
      <c r="A99" s="76"/>
      <c r="B99" s="37" t="str">
        <f>IF(A99="","",IFERROR(VLOOKUP(A99,DB_Customers!$A:$D,4,0),"❌ Account Not Found"))</f>
        <v/>
      </c>
      <c r="C99" s="77" t="str">
        <f>IF(A99="","",IFERROR(VLOOKUP(A99,DB_Customers!$A:$N,14,0),"❌ Acct Not Found"))</f>
        <v/>
      </c>
      <c r="D99" s="78" t="str">
        <f t="shared" ca="1" si="6"/>
        <v/>
      </c>
      <c r="E99" s="94"/>
      <c r="F99" s="37"/>
      <c r="G99" s="95" t="str">
        <f t="shared" si="7"/>
        <v/>
      </c>
      <c r="H99" s="39" t="s">
        <v>141</v>
      </c>
      <c r="I99" s="81"/>
      <c r="J99" s="82" t="str">
        <f>IF(AND(A99&lt;&gt;"",E99&lt;&gt;""),IF(I99="","⚠️ Enter Code",IF(IFERROR(VLOOKUP(H99,DB_Agents!$B:$I,8,0),"")=I99,IF(C99&gt;=E99,"Successful","Unsuccessful"),"🔒 BLOCKED — Wrong Code")),"Pending")</f>
        <v>Pending</v>
      </c>
      <c r="K99" s="83" t="str">
        <f t="shared" ca="1" si="8"/>
        <v>—</v>
      </c>
      <c r="L99" s="84"/>
    </row>
    <row r="100" spans="1:12" ht="15" customHeight="1" x14ac:dyDescent="0.25">
      <c r="A100" s="85"/>
      <c r="B100" s="41" t="str">
        <f>IF(A100="","",IFERROR(VLOOKUP(A100,DB_Customers!$A:$D,4,0),"❌ Account Not Found"))</f>
        <v/>
      </c>
      <c r="C100" s="86" t="str">
        <f>IF(A100="","",IFERROR(VLOOKUP(A100,DB_Customers!$A:$N,14,0),"❌ Acct Not Found"))</f>
        <v/>
      </c>
      <c r="D100" s="87" t="str">
        <f t="shared" ca="1" si="6"/>
        <v/>
      </c>
      <c r="E100" s="94"/>
      <c r="F100" s="41"/>
      <c r="G100" s="96" t="str">
        <f t="shared" si="7"/>
        <v/>
      </c>
      <c r="H100" s="43" t="s">
        <v>141</v>
      </c>
      <c r="I100" s="81"/>
      <c r="J100" s="89" t="str">
        <f>IF(AND(A100&lt;&gt;"",E100&lt;&gt;""),IF(I100="","⚠️ Enter Code",IF(IFERROR(VLOOKUP(H100,DB_Agents!$B:$I,8,0),"")=I100,IF(C100&gt;=E100,"Successful","Unsuccessful"),"🔒 BLOCKED — Wrong Code")),"Pending")</f>
        <v>Pending</v>
      </c>
      <c r="K100" s="90" t="str">
        <f t="shared" ca="1" si="8"/>
        <v>—</v>
      </c>
      <c r="L100" s="91"/>
    </row>
    <row r="101" spans="1:12" ht="15" customHeight="1" x14ac:dyDescent="0.25">
      <c r="A101" s="76"/>
      <c r="B101" s="37" t="str">
        <f>IF(A101="","",IFERROR(VLOOKUP(A101,DB_Customers!$A:$D,4,0),"❌ Account Not Found"))</f>
        <v/>
      </c>
      <c r="C101" s="77" t="str">
        <f>IF(A101="","",IFERROR(VLOOKUP(A101,DB_Customers!$A:$N,14,0),"❌ Acct Not Found"))</f>
        <v/>
      </c>
      <c r="D101" s="78" t="str">
        <f t="shared" ca="1" si="6"/>
        <v/>
      </c>
      <c r="E101" s="94"/>
      <c r="F101" s="37"/>
      <c r="G101" s="95" t="str">
        <f t="shared" si="7"/>
        <v/>
      </c>
      <c r="H101" s="39" t="s">
        <v>141</v>
      </c>
      <c r="I101" s="81"/>
      <c r="J101" s="82" t="str">
        <f>IF(AND(A101&lt;&gt;"",E101&lt;&gt;""),IF(I101="","⚠️ Enter Code",IF(IFERROR(VLOOKUP(H101,DB_Agents!$B:$I,8,0),"")=I101,IF(C101&gt;=E101,"Successful","Unsuccessful"),"🔒 BLOCKED — Wrong Code")),"Pending")</f>
        <v>Pending</v>
      </c>
      <c r="K101" s="83" t="str">
        <f t="shared" ca="1" si="8"/>
        <v>—</v>
      </c>
      <c r="L101" s="84"/>
    </row>
    <row r="102" spans="1:12" ht="15" customHeight="1" x14ac:dyDescent="0.25">
      <c r="A102" s="85"/>
      <c r="B102" s="41" t="str">
        <f>IF(A102="","",IFERROR(VLOOKUP(A102,DB_Customers!$A:$D,4,0),"❌ Account Not Found"))</f>
        <v/>
      </c>
      <c r="C102" s="86" t="str">
        <f>IF(A102="","",IFERROR(VLOOKUP(A102,DB_Customers!$A:$N,14,0),"❌ Acct Not Found"))</f>
        <v/>
      </c>
      <c r="D102" s="87" t="str">
        <f t="shared" ca="1" si="6"/>
        <v/>
      </c>
      <c r="E102" s="94"/>
      <c r="F102" s="41"/>
      <c r="G102" s="96" t="str">
        <f t="shared" si="7"/>
        <v/>
      </c>
      <c r="H102" s="43" t="s">
        <v>141</v>
      </c>
      <c r="I102" s="81"/>
      <c r="J102" s="89" t="str">
        <f>IF(AND(A102&lt;&gt;"",E102&lt;&gt;""),IF(I102="","⚠️ Enter Code",IF(IFERROR(VLOOKUP(H102,DB_Agents!$B:$I,8,0),"")=I102,IF(C102&gt;=E102,"Successful","Unsuccessful"),"🔒 BLOCKED — Wrong Code")),"Pending")</f>
        <v>Pending</v>
      </c>
      <c r="K102" s="90" t="str">
        <f t="shared" ca="1" si="8"/>
        <v>—</v>
      </c>
      <c r="L102" s="91"/>
    </row>
    <row r="103" spans="1:12" ht="15" customHeight="1" x14ac:dyDescent="0.25">
      <c r="A103" s="76"/>
      <c r="B103" s="37" t="str">
        <f>IF(A103="","",IFERROR(VLOOKUP(A103,DB_Customers!$A:$D,4,0),"❌ Account Not Found"))</f>
        <v/>
      </c>
      <c r="C103" s="77" t="str">
        <f>IF(A103="","",IFERROR(VLOOKUP(A103,DB_Customers!$A:$N,14,0),"❌ Acct Not Found"))</f>
        <v/>
      </c>
      <c r="D103" s="78" t="str">
        <f t="shared" ca="1" si="6"/>
        <v/>
      </c>
      <c r="E103" s="94"/>
      <c r="F103" s="37"/>
      <c r="G103" s="95" t="str">
        <f t="shared" si="7"/>
        <v/>
      </c>
      <c r="H103" s="39" t="s">
        <v>141</v>
      </c>
      <c r="I103" s="81"/>
      <c r="J103" s="82" t="str">
        <f>IF(AND(A103&lt;&gt;"",E103&lt;&gt;""),IF(I103="","⚠️ Enter Code",IF(IFERROR(VLOOKUP(H103,DB_Agents!$B:$I,8,0),"")=I103,IF(C103&gt;=E103,"Successful","Unsuccessful"),"🔒 BLOCKED — Wrong Code")),"Pending")</f>
        <v>Pending</v>
      </c>
      <c r="K103" s="83" t="str">
        <f t="shared" ca="1" si="8"/>
        <v>—</v>
      </c>
      <c r="L103" s="84"/>
    </row>
    <row r="104" spans="1:12" ht="15" customHeight="1" x14ac:dyDescent="0.25">
      <c r="A104" s="85"/>
      <c r="B104" s="41" t="str">
        <f>IF(A104="","",IFERROR(VLOOKUP(A104,DB_Customers!$A:$D,4,0),"❌ Account Not Found"))</f>
        <v/>
      </c>
      <c r="C104" s="86" t="str">
        <f>IF(A104="","",IFERROR(VLOOKUP(A104,DB_Customers!$A:$N,14,0),"❌ Acct Not Found"))</f>
        <v/>
      </c>
      <c r="D104" s="87" t="str">
        <f t="shared" ca="1" si="6"/>
        <v/>
      </c>
      <c r="E104" s="94"/>
      <c r="F104" s="41"/>
      <c r="G104" s="96" t="str">
        <f t="shared" si="7"/>
        <v/>
      </c>
      <c r="H104" s="43" t="s">
        <v>141</v>
      </c>
      <c r="I104" s="81"/>
      <c r="J104" s="89" t="str">
        <f>IF(AND(A104&lt;&gt;"",E104&lt;&gt;""),IF(I104="","⚠️ Enter Code",IF(IFERROR(VLOOKUP(H104,DB_Agents!$B:$I,8,0),"")=I104,IF(C104&gt;=E104,"Successful","Unsuccessful"),"🔒 BLOCKED — Wrong Code")),"Pending")</f>
        <v>Pending</v>
      </c>
      <c r="K104" s="90" t="str">
        <f t="shared" ca="1" si="8"/>
        <v>—</v>
      </c>
      <c r="L104" s="91"/>
    </row>
    <row r="105" spans="1:12" ht="15" customHeight="1" x14ac:dyDescent="0.25">
      <c r="A105" s="76"/>
      <c r="B105" s="37" t="str">
        <f>IF(A105="","",IFERROR(VLOOKUP(A105,DB_Customers!$A:$D,4,0),"❌ Account Not Found"))</f>
        <v/>
      </c>
      <c r="C105" s="77" t="str">
        <f>IF(A105="","",IFERROR(VLOOKUP(A105,DB_Customers!$A:$N,14,0),"❌ Acct Not Found"))</f>
        <v/>
      </c>
      <c r="D105" s="78" t="str">
        <f t="shared" ref="D105:D136" ca="1" si="9">IF(A105="","",TODAY())</f>
        <v/>
      </c>
      <c r="E105" s="94"/>
      <c r="F105" s="37"/>
      <c r="G105" s="95" t="str">
        <f t="shared" ref="G105:G136" si="10">IF(OR(A105="",E105=""),"",IF(C105="","",C105-E105))</f>
        <v/>
      </c>
      <c r="H105" s="39" t="s">
        <v>141</v>
      </c>
      <c r="I105" s="81"/>
      <c r="J105" s="82" t="str">
        <f>IF(AND(A105&lt;&gt;"",E105&lt;&gt;""),IF(I105="","⚠️ Enter Code",IF(IFERROR(VLOOKUP(H105,DB_Agents!$B:$I,8,0),"")=I105,IF(C105&gt;=E105,"Successful","Unsuccessful"),"🔒 BLOCKED — Wrong Code")),"Pending")</f>
        <v>Pending</v>
      </c>
      <c r="K105" s="83" t="str">
        <f t="shared" ref="K105:K136" ca="1" si="11">IF(J105="Successful",TEXT(TODAY(),"YYYY-MM-DD")&amp;" Auto","—")</f>
        <v>—</v>
      </c>
      <c r="L105" s="84"/>
    </row>
    <row r="106" spans="1:12" ht="15" customHeight="1" x14ac:dyDescent="0.25">
      <c r="A106" s="85"/>
      <c r="B106" s="41" t="str">
        <f>IF(A106="","",IFERROR(VLOOKUP(A106,DB_Customers!$A:$D,4,0),"❌ Account Not Found"))</f>
        <v/>
      </c>
      <c r="C106" s="86" t="str">
        <f>IF(A106="","",IFERROR(VLOOKUP(A106,DB_Customers!$A:$N,14,0),"❌ Acct Not Found"))</f>
        <v/>
      </c>
      <c r="D106" s="87" t="str">
        <f t="shared" ca="1" si="9"/>
        <v/>
      </c>
      <c r="E106" s="94"/>
      <c r="F106" s="41"/>
      <c r="G106" s="96" t="str">
        <f t="shared" si="10"/>
        <v/>
      </c>
      <c r="H106" s="43" t="s">
        <v>141</v>
      </c>
      <c r="I106" s="81"/>
      <c r="J106" s="89" t="str">
        <f>IF(AND(A106&lt;&gt;"",E106&lt;&gt;""),IF(I106="","⚠️ Enter Code",IF(IFERROR(VLOOKUP(H106,DB_Agents!$B:$I,8,0),"")=I106,IF(C106&gt;=E106,"Successful","Unsuccessful"),"🔒 BLOCKED — Wrong Code")),"Pending")</f>
        <v>Pending</v>
      </c>
      <c r="K106" s="90" t="str">
        <f t="shared" ca="1" si="11"/>
        <v>—</v>
      </c>
      <c r="L106" s="91"/>
    </row>
    <row r="107" spans="1:12" ht="15" customHeight="1" x14ac:dyDescent="0.25">
      <c r="A107" s="76"/>
      <c r="B107" s="37" t="str">
        <f>IF(A107="","",IFERROR(VLOOKUP(A107,DB_Customers!$A:$D,4,0),"❌ Account Not Found"))</f>
        <v/>
      </c>
      <c r="C107" s="77" t="str">
        <f>IF(A107="","",IFERROR(VLOOKUP(A107,DB_Customers!$A:$N,14,0),"❌ Acct Not Found"))</f>
        <v/>
      </c>
      <c r="D107" s="78" t="str">
        <f t="shared" ca="1" si="9"/>
        <v/>
      </c>
      <c r="E107" s="94"/>
      <c r="F107" s="37"/>
      <c r="G107" s="95" t="str">
        <f t="shared" si="10"/>
        <v/>
      </c>
      <c r="H107" s="39" t="s">
        <v>141</v>
      </c>
      <c r="I107" s="81"/>
      <c r="J107" s="82" t="str">
        <f>IF(AND(A107&lt;&gt;"",E107&lt;&gt;""),IF(I107="","⚠️ Enter Code",IF(IFERROR(VLOOKUP(H107,DB_Agents!$B:$I,8,0),"")=I107,IF(C107&gt;=E107,"Successful","Unsuccessful"),"🔒 BLOCKED — Wrong Code")),"Pending")</f>
        <v>Pending</v>
      </c>
      <c r="K107" s="83" t="str">
        <f t="shared" ca="1" si="11"/>
        <v>—</v>
      </c>
      <c r="L107" s="84"/>
    </row>
    <row r="108" spans="1:12" ht="15" customHeight="1" x14ac:dyDescent="0.25">
      <c r="A108" s="85"/>
      <c r="B108" s="41" t="str">
        <f>IF(A108="","",IFERROR(VLOOKUP(A108,DB_Customers!$A:$D,4,0),"❌ Account Not Found"))</f>
        <v/>
      </c>
      <c r="C108" s="86" t="str">
        <f>IF(A108="","",IFERROR(VLOOKUP(A108,DB_Customers!$A:$N,14,0),"❌ Acct Not Found"))</f>
        <v/>
      </c>
      <c r="D108" s="87" t="str">
        <f t="shared" ca="1" si="9"/>
        <v/>
      </c>
      <c r="E108" s="94"/>
      <c r="F108" s="41"/>
      <c r="G108" s="96" t="str">
        <f t="shared" si="10"/>
        <v/>
      </c>
      <c r="H108" s="43" t="s">
        <v>141</v>
      </c>
      <c r="I108" s="81"/>
      <c r="J108" s="89" t="str">
        <f>IF(AND(A108&lt;&gt;"",E108&lt;&gt;""),IF(I108="","⚠️ Enter Code",IF(IFERROR(VLOOKUP(H108,DB_Agents!$B:$I,8,0),"")=I108,IF(C108&gt;=E108,"Successful","Unsuccessful"),"🔒 BLOCKED — Wrong Code")),"Pending")</f>
        <v>Pending</v>
      </c>
      <c r="K108" s="90" t="str">
        <f t="shared" ca="1" si="11"/>
        <v>—</v>
      </c>
      <c r="L108" s="91"/>
    </row>
    <row r="109" spans="1:12" ht="15" customHeight="1" x14ac:dyDescent="0.25">
      <c r="A109" s="76"/>
      <c r="B109" s="37" t="str">
        <f>IF(A109="","",IFERROR(VLOOKUP(A109,DB_Customers!$A:$D,4,0),"❌ Account Not Found"))</f>
        <v/>
      </c>
      <c r="C109" s="77" t="str">
        <f>IF(A109="","",IFERROR(VLOOKUP(A109,DB_Customers!$A:$N,14,0),"❌ Acct Not Found"))</f>
        <v/>
      </c>
      <c r="D109" s="78" t="str">
        <f t="shared" ca="1" si="9"/>
        <v/>
      </c>
      <c r="E109" s="94"/>
      <c r="F109" s="37"/>
      <c r="G109" s="95" t="str">
        <f t="shared" si="10"/>
        <v/>
      </c>
      <c r="H109" s="39" t="s">
        <v>141</v>
      </c>
      <c r="I109" s="81"/>
      <c r="J109" s="82" t="str">
        <f>IF(AND(A109&lt;&gt;"",E109&lt;&gt;""),IF(I109="","⚠️ Enter Code",IF(IFERROR(VLOOKUP(H109,DB_Agents!$B:$I,8,0),"")=I109,IF(C109&gt;=E109,"Successful","Unsuccessful"),"🔒 BLOCKED — Wrong Code")),"Pending")</f>
        <v>Pending</v>
      </c>
      <c r="K109" s="83" t="str">
        <f t="shared" ca="1" si="11"/>
        <v>—</v>
      </c>
      <c r="L109" s="84"/>
    </row>
    <row r="110" spans="1:12" ht="15" customHeight="1" x14ac:dyDescent="0.25">
      <c r="A110" s="85"/>
      <c r="B110" s="41" t="str">
        <f>IF(A110="","",IFERROR(VLOOKUP(A110,DB_Customers!$A:$D,4,0),"❌ Account Not Found"))</f>
        <v/>
      </c>
      <c r="C110" s="86" t="str">
        <f>IF(A110="","",IFERROR(VLOOKUP(A110,DB_Customers!$A:$N,14,0),"❌ Acct Not Found"))</f>
        <v/>
      </c>
      <c r="D110" s="87" t="str">
        <f t="shared" ca="1" si="9"/>
        <v/>
      </c>
      <c r="E110" s="94"/>
      <c r="F110" s="41"/>
      <c r="G110" s="96" t="str">
        <f t="shared" si="10"/>
        <v/>
      </c>
      <c r="H110" s="43" t="s">
        <v>141</v>
      </c>
      <c r="I110" s="81"/>
      <c r="J110" s="89" t="str">
        <f>IF(AND(A110&lt;&gt;"",E110&lt;&gt;""),IF(I110="","⚠️ Enter Code",IF(IFERROR(VLOOKUP(H110,DB_Agents!$B:$I,8,0),"")=I110,IF(C110&gt;=E110,"Successful","Unsuccessful"),"🔒 BLOCKED — Wrong Code")),"Pending")</f>
        <v>Pending</v>
      </c>
      <c r="K110" s="90" t="str">
        <f t="shared" ca="1" si="11"/>
        <v>—</v>
      </c>
      <c r="L110" s="91"/>
    </row>
    <row r="111" spans="1:12" ht="15" customHeight="1" x14ac:dyDescent="0.25">
      <c r="A111" s="76"/>
      <c r="B111" s="37" t="str">
        <f>IF(A111="","",IFERROR(VLOOKUP(A111,DB_Customers!$A:$D,4,0),"❌ Account Not Found"))</f>
        <v/>
      </c>
      <c r="C111" s="77" t="str">
        <f>IF(A111="","",IFERROR(VLOOKUP(A111,DB_Customers!$A:$N,14,0),"❌ Acct Not Found"))</f>
        <v/>
      </c>
      <c r="D111" s="78" t="str">
        <f t="shared" ca="1" si="9"/>
        <v/>
      </c>
      <c r="E111" s="94"/>
      <c r="F111" s="37"/>
      <c r="G111" s="95" t="str">
        <f t="shared" si="10"/>
        <v/>
      </c>
      <c r="H111" s="39" t="s">
        <v>141</v>
      </c>
      <c r="I111" s="81"/>
      <c r="J111" s="82" t="str">
        <f>IF(AND(A111&lt;&gt;"",E111&lt;&gt;""),IF(I111="","⚠️ Enter Code",IF(IFERROR(VLOOKUP(H111,DB_Agents!$B:$I,8,0),"")=I111,IF(C111&gt;=E111,"Successful","Unsuccessful"),"🔒 BLOCKED — Wrong Code")),"Pending")</f>
        <v>Pending</v>
      </c>
      <c r="K111" s="83" t="str">
        <f t="shared" ca="1" si="11"/>
        <v>—</v>
      </c>
      <c r="L111" s="84"/>
    </row>
    <row r="112" spans="1:12" ht="15" customHeight="1" x14ac:dyDescent="0.25">
      <c r="A112" s="85"/>
      <c r="B112" s="41" t="str">
        <f>IF(A112="","",IFERROR(VLOOKUP(A112,DB_Customers!$A:$D,4,0),"❌ Account Not Found"))</f>
        <v/>
      </c>
      <c r="C112" s="86" t="str">
        <f>IF(A112="","",IFERROR(VLOOKUP(A112,DB_Customers!$A:$N,14,0),"❌ Acct Not Found"))</f>
        <v/>
      </c>
      <c r="D112" s="87" t="str">
        <f t="shared" ca="1" si="9"/>
        <v/>
      </c>
      <c r="E112" s="94"/>
      <c r="F112" s="41"/>
      <c r="G112" s="96" t="str">
        <f t="shared" si="10"/>
        <v/>
      </c>
      <c r="H112" s="43" t="s">
        <v>141</v>
      </c>
      <c r="I112" s="81"/>
      <c r="J112" s="89" t="str">
        <f>IF(AND(A112&lt;&gt;"",E112&lt;&gt;""),IF(I112="","⚠️ Enter Code",IF(IFERROR(VLOOKUP(H112,DB_Agents!$B:$I,8,0),"")=I112,IF(C112&gt;=E112,"Successful","Unsuccessful"),"🔒 BLOCKED — Wrong Code")),"Pending")</f>
        <v>Pending</v>
      </c>
      <c r="K112" s="90" t="str">
        <f t="shared" ca="1" si="11"/>
        <v>—</v>
      </c>
      <c r="L112" s="91"/>
    </row>
    <row r="113" spans="1:12" ht="15" customHeight="1" x14ac:dyDescent="0.25">
      <c r="A113" s="76"/>
      <c r="B113" s="37" t="str">
        <f>IF(A113="","",IFERROR(VLOOKUP(A113,DB_Customers!$A:$D,4,0),"❌ Account Not Found"))</f>
        <v/>
      </c>
      <c r="C113" s="77" t="str">
        <f>IF(A113="","",IFERROR(VLOOKUP(A113,DB_Customers!$A:$N,14,0),"❌ Acct Not Found"))</f>
        <v/>
      </c>
      <c r="D113" s="78" t="str">
        <f t="shared" ca="1" si="9"/>
        <v/>
      </c>
      <c r="E113" s="94"/>
      <c r="F113" s="37"/>
      <c r="G113" s="95" t="str">
        <f t="shared" si="10"/>
        <v/>
      </c>
      <c r="H113" s="39" t="s">
        <v>141</v>
      </c>
      <c r="I113" s="81"/>
      <c r="J113" s="82" t="str">
        <f>IF(AND(A113&lt;&gt;"",E113&lt;&gt;""),IF(I113="","⚠️ Enter Code",IF(IFERROR(VLOOKUP(H113,DB_Agents!$B:$I,8,0),"")=I113,IF(C113&gt;=E113,"Successful","Unsuccessful"),"🔒 BLOCKED — Wrong Code")),"Pending")</f>
        <v>Pending</v>
      </c>
      <c r="K113" s="83" t="str">
        <f t="shared" ca="1" si="11"/>
        <v>—</v>
      </c>
      <c r="L113" s="84"/>
    </row>
    <row r="114" spans="1:12" ht="15" customHeight="1" x14ac:dyDescent="0.25">
      <c r="A114" s="85"/>
      <c r="B114" s="41" t="str">
        <f>IF(A114="","",IFERROR(VLOOKUP(A114,DB_Customers!$A:$D,4,0),"❌ Account Not Found"))</f>
        <v/>
      </c>
      <c r="C114" s="86" t="str">
        <f>IF(A114="","",IFERROR(VLOOKUP(A114,DB_Customers!$A:$N,14,0),"❌ Acct Not Found"))</f>
        <v/>
      </c>
      <c r="D114" s="87" t="str">
        <f t="shared" ca="1" si="9"/>
        <v/>
      </c>
      <c r="E114" s="94"/>
      <c r="F114" s="41"/>
      <c r="G114" s="96" t="str">
        <f t="shared" si="10"/>
        <v/>
      </c>
      <c r="H114" s="43" t="s">
        <v>141</v>
      </c>
      <c r="I114" s="81"/>
      <c r="J114" s="89" t="str">
        <f>IF(AND(A114&lt;&gt;"",E114&lt;&gt;""),IF(I114="","⚠️ Enter Code",IF(IFERROR(VLOOKUP(H114,DB_Agents!$B:$I,8,0),"")=I114,IF(C114&gt;=E114,"Successful","Unsuccessful"),"🔒 BLOCKED — Wrong Code")),"Pending")</f>
        <v>Pending</v>
      </c>
      <c r="K114" s="90" t="str">
        <f t="shared" ca="1" si="11"/>
        <v>—</v>
      </c>
      <c r="L114" s="91"/>
    </row>
    <row r="115" spans="1:12" ht="15" customHeight="1" x14ac:dyDescent="0.25">
      <c r="A115" s="76"/>
      <c r="B115" s="37" t="str">
        <f>IF(A115="","",IFERROR(VLOOKUP(A115,DB_Customers!$A:$D,4,0),"❌ Account Not Found"))</f>
        <v/>
      </c>
      <c r="C115" s="77" t="str">
        <f>IF(A115="","",IFERROR(VLOOKUP(A115,DB_Customers!$A:$N,14,0),"❌ Acct Not Found"))</f>
        <v/>
      </c>
      <c r="D115" s="78" t="str">
        <f t="shared" ca="1" si="9"/>
        <v/>
      </c>
      <c r="E115" s="94"/>
      <c r="F115" s="37"/>
      <c r="G115" s="95" t="str">
        <f t="shared" si="10"/>
        <v/>
      </c>
      <c r="H115" s="39" t="s">
        <v>141</v>
      </c>
      <c r="I115" s="81"/>
      <c r="J115" s="82" t="str">
        <f>IF(AND(A115&lt;&gt;"",E115&lt;&gt;""),IF(I115="","⚠️ Enter Code",IF(IFERROR(VLOOKUP(H115,DB_Agents!$B:$I,8,0),"")=I115,IF(C115&gt;=E115,"Successful","Unsuccessful"),"🔒 BLOCKED — Wrong Code")),"Pending")</f>
        <v>Pending</v>
      </c>
      <c r="K115" s="83" t="str">
        <f t="shared" ca="1" si="11"/>
        <v>—</v>
      </c>
      <c r="L115" s="84"/>
    </row>
    <row r="116" spans="1:12" ht="15" customHeight="1" x14ac:dyDescent="0.25">
      <c r="A116" s="85"/>
      <c r="B116" s="41" t="str">
        <f>IF(A116="","",IFERROR(VLOOKUP(A116,DB_Customers!$A:$D,4,0),"❌ Account Not Found"))</f>
        <v/>
      </c>
      <c r="C116" s="86" t="str">
        <f>IF(A116="","",IFERROR(VLOOKUP(A116,DB_Customers!$A:$N,14,0),"❌ Acct Not Found"))</f>
        <v/>
      </c>
      <c r="D116" s="87" t="str">
        <f t="shared" ca="1" si="9"/>
        <v/>
      </c>
      <c r="E116" s="94"/>
      <c r="F116" s="41"/>
      <c r="G116" s="96" t="str">
        <f t="shared" si="10"/>
        <v/>
      </c>
      <c r="H116" s="43" t="s">
        <v>141</v>
      </c>
      <c r="I116" s="81"/>
      <c r="J116" s="89" t="str">
        <f>IF(AND(A116&lt;&gt;"",E116&lt;&gt;""),IF(I116="","⚠️ Enter Code",IF(IFERROR(VLOOKUP(H116,DB_Agents!$B:$I,8,0),"")=I116,IF(C116&gt;=E116,"Successful","Unsuccessful"),"🔒 BLOCKED — Wrong Code")),"Pending")</f>
        <v>Pending</v>
      </c>
      <c r="K116" s="90" t="str">
        <f t="shared" ca="1" si="11"/>
        <v>—</v>
      </c>
      <c r="L116" s="91"/>
    </row>
    <row r="117" spans="1:12" ht="15" customHeight="1" x14ac:dyDescent="0.25">
      <c r="A117" s="76"/>
      <c r="B117" s="37" t="str">
        <f>IF(A117="","",IFERROR(VLOOKUP(A117,DB_Customers!$A:$D,4,0),"❌ Account Not Found"))</f>
        <v/>
      </c>
      <c r="C117" s="77" t="str">
        <f>IF(A117="","",IFERROR(VLOOKUP(A117,DB_Customers!$A:$N,14,0),"❌ Acct Not Found"))</f>
        <v/>
      </c>
      <c r="D117" s="78" t="str">
        <f t="shared" ca="1" si="9"/>
        <v/>
      </c>
      <c r="E117" s="94"/>
      <c r="F117" s="37"/>
      <c r="G117" s="95" t="str">
        <f t="shared" si="10"/>
        <v/>
      </c>
      <c r="H117" s="39" t="s">
        <v>141</v>
      </c>
      <c r="I117" s="81"/>
      <c r="J117" s="82" t="str">
        <f>IF(AND(A117&lt;&gt;"",E117&lt;&gt;""),IF(I117="","⚠️ Enter Code",IF(IFERROR(VLOOKUP(H117,DB_Agents!$B:$I,8,0),"")=I117,IF(C117&gt;=E117,"Successful","Unsuccessful"),"🔒 BLOCKED — Wrong Code")),"Pending")</f>
        <v>Pending</v>
      </c>
      <c r="K117" s="83" t="str">
        <f t="shared" ca="1" si="11"/>
        <v>—</v>
      </c>
      <c r="L117" s="84"/>
    </row>
    <row r="118" spans="1:12" ht="15" customHeight="1" x14ac:dyDescent="0.25">
      <c r="A118" s="85"/>
      <c r="B118" s="41" t="str">
        <f>IF(A118="","",IFERROR(VLOOKUP(A118,DB_Customers!$A:$D,4,0),"❌ Account Not Found"))</f>
        <v/>
      </c>
      <c r="C118" s="86" t="str">
        <f>IF(A118="","",IFERROR(VLOOKUP(A118,DB_Customers!$A:$N,14,0),"❌ Acct Not Found"))</f>
        <v/>
      </c>
      <c r="D118" s="87" t="str">
        <f t="shared" ca="1" si="9"/>
        <v/>
      </c>
      <c r="E118" s="94"/>
      <c r="F118" s="41"/>
      <c r="G118" s="96" t="str">
        <f t="shared" si="10"/>
        <v/>
      </c>
      <c r="H118" s="43" t="s">
        <v>141</v>
      </c>
      <c r="I118" s="81"/>
      <c r="J118" s="89" t="str">
        <f>IF(AND(A118&lt;&gt;"",E118&lt;&gt;""),IF(I118="","⚠️ Enter Code",IF(IFERROR(VLOOKUP(H118,DB_Agents!$B:$I,8,0),"")=I118,IF(C118&gt;=E118,"Successful","Unsuccessful"),"🔒 BLOCKED — Wrong Code")),"Pending")</f>
        <v>Pending</v>
      </c>
      <c r="K118" s="90" t="str">
        <f t="shared" ca="1" si="11"/>
        <v>—</v>
      </c>
      <c r="L118" s="91"/>
    </row>
    <row r="119" spans="1:12" ht="15" customHeight="1" x14ac:dyDescent="0.25">
      <c r="A119" s="76"/>
      <c r="B119" s="37" t="str">
        <f>IF(A119="","",IFERROR(VLOOKUP(A119,DB_Customers!$A:$D,4,0),"❌ Account Not Found"))</f>
        <v/>
      </c>
      <c r="C119" s="77" t="str">
        <f>IF(A119="","",IFERROR(VLOOKUP(A119,DB_Customers!$A:$N,14,0),"❌ Acct Not Found"))</f>
        <v/>
      </c>
      <c r="D119" s="78" t="str">
        <f t="shared" ca="1" si="9"/>
        <v/>
      </c>
      <c r="E119" s="94"/>
      <c r="F119" s="37"/>
      <c r="G119" s="95" t="str">
        <f t="shared" si="10"/>
        <v/>
      </c>
      <c r="H119" s="39" t="s">
        <v>141</v>
      </c>
      <c r="I119" s="81"/>
      <c r="J119" s="82" t="str">
        <f>IF(AND(A119&lt;&gt;"",E119&lt;&gt;""),IF(I119="","⚠️ Enter Code",IF(IFERROR(VLOOKUP(H119,DB_Agents!$B:$I,8,0),"")=I119,IF(C119&gt;=E119,"Successful","Unsuccessful"),"🔒 BLOCKED — Wrong Code")),"Pending")</f>
        <v>Pending</v>
      </c>
      <c r="K119" s="83" t="str">
        <f t="shared" ca="1" si="11"/>
        <v>—</v>
      </c>
      <c r="L119" s="84"/>
    </row>
    <row r="120" spans="1:12" ht="15" customHeight="1" x14ac:dyDescent="0.25">
      <c r="A120" s="85"/>
      <c r="B120" s="41" t="str">
        <f>IF(A120="","",IFERROR(VLOOKUP(A120,DB_Customers!$A:$D,4,0),"❌ Account Not Found"))</f>
        <v/>
      </c>
      <c r="C120" s="86" t="str">
        <f>IF(A120="","",IFERROR(VLOOKUP(A120,DB_Customers!$A:$N,14,0),"❌ Acct Not Found"))</f>
        <v/>
      </c>
      <c r="D120" s="87" t="str">
        <f t="shared" ca="1" si="9"/>
        <v/>
      </c>
      <c r="E120" s="94"/>
      <c r="F120" s="41"/>
      <c r="G120" s="96" t="str">
        <f t="shared" si="10"/>
        <v/>
      </c>
      <c r="H120" s="43" t="s">
        <v>141</v>
      </c>
      <c r="I120" s="81"/>
      <c r="J120" s="89" t="str">
        <f>IF(AND(A120&lt;&gt;"",E120&lt;&gt;""),IF(I120="","⚠️ Enter Code",IF(IFERROR(VLOOKUP(H120,DB_Agents!$B:$I,8,0),"")=I120,IF(C120&gt;=E120,"Successful","Unsuccessful"),"🔒 BLOCKED — Wrong Code")),"Pending")</f>
        <v>Pending</v>
      </c>
      <c r="K120" s="90" t="str">
        <f t="shared" ca="1" si="11"/>
        <v>—</v>
      </c>
      <c r="L120" s="91"/>
    </row>
    <row r="121" spans="1:12" ht="15" customHeight="1" x14ac:dyDescent="0.25">
      <c r="A121" s="76"/>
      <c r="B121" s="37" t="str">
        <f>IF(A121="","",IFERROR(VLOOKUP(A121,DB_Customers!$A:$D,4,0),"❌ Account Not Found"))</f>
        <v/>
      </c>
      <c r="C121" s="77" t="str">
        <f>IF(A121="","",IFERROR(VLOOKUP(A121,DB_Customers!$A:$N,14,0),"❌ Acct Not Found"))</f>
        <v/>
      </c>
      <c r="D121" s="78" t="str">
        <f t="shared" ca="1" si="9"/>
        <v/>
      </c>
      <c r="E121" s="94"/>
      <c r="F121" s="37"/>
      <c r="G121" s="95" t="str">
        <f t="shared" si="10"/>
        <v/>
      </c>
      <c r="H121" s="39" t="s">
        <v>141</v>
      </c>
      <c r="I121" s="81"/>
      <c r="J121" s="82" t="str">
        <f>IF(AND(A121&lt;&gt;"",E121&lt;&gt;""),IF(I121="","⚠️ Enter Code",IF(IFERROR(VLOOKUP(H121,DB_Agents!$B:$I,8,0),"")=I121,IF(C121&gt;=E121,"Successful","Unsuccessful"),"🔒 BLOCKED — Wrong Code")),"Pending")</f>
        <v>Pending</v>
      </c>
      <c r="K121" s="83" t="str">
        <f t="shared" ca="1" si="11"/>
        <v>—</v>
      </c>
      <c r="L121" s="84"/>
    </row>
    <row r="122" spans="1:12" ht="15" customHeight="1" x14ac:dyDescent="0.25">
      <c r="A122" s="85"/>
      <c r="B122" s="41" t="str">
        <f>IF(A122="","",IFERROR(VLOOKUP(A122,DB_Customers!$A:$D,4,0),"❌ Account Not Found"))</f>
        <v/>
      </c>
      <c r="C122" s="86" t="str">
        <f>IF(A122="","",IFERROR(VLOOKUP(A122,DB_Customers!$A:$N,14,0),"❌ Acct Not Found"))</f>
        <v/>
      </c>
      <c r="D122" s="87" t="str">
        <f t="shared" ca="1" si="9"/>
        <v/>
      </c>
      <c r="E122" s="94"/>
      <c r="F122" s="41"/>
      <c r="G122" s="96" t="str">
        <f t="shared" si="10"/>
        <v/>
      </c>
      <c r="H122" s="43" t="s">
        <v>141</v>
      </c>
      <c r="I122" s="81"/>
      <c r="J122" s="89" t="str">
        <f>IF(AND(A122&lt;&gt;"",E122&lt;&gt;""),IF(I122="","⚠️ Enter Code",IF(IFERROR(VLOOKUP(H122,DB_Agents!$B:$I,8,0),"")=I122,IF(C122&gt;=E122,"Successful","Unsuccessful"),"🔒 BLOCKED — Wrong Code")),"Pending")</f>
        <v>Pending</v>
      </c>
      <c r="K122" s="90" t="str">
        <f t="shared" ca="1" si="11"/>
        <v>—</v>
      </c>
      <c r="L122" s="91"/>
    </row>
    <row r="123" spans="1:12" ht="15" customHeight="1" x14ac:dyDescent="0.25">
      <c r="A123" s="76"/>
      <c r="B123" s="37" t="str">
        <f>IF(A123="","",IFERROR(VLOOKUP(A123,DB_Customers!$A:$D,4,0),"❌ Account Not Found"))</f>
        <v/>
      </c>
      <c r="C123" s="77" t="str">
        <f>IF(A123="","",IFERROR(VLOOKUP(A123,DB_Customers!$A:$N,14,0),"❌ Acct Not Found"))</f>
        <v/>
      </c>
      <c r="D123" s="78" t="str">
        <f t="shared" ca="1" si="9"/>
        <v/>
      </c>
      <c r="E123" s="94"/>
      <c r="F123" s="37"/>
      <c r="G123" s="95" t="str">
        <f t="shared" si="10"/>
        <v/>
      </c>
      <c r="H123" s="39" t="s">
        <v>141</v>
      </c>
      <c r="I123" s="81"/>
      <c r="J123" s="82" t="str">
        <f>IF(AND(A123&lt;&gt;"",E123&lt;&gt;""),IF(I123="","⚠️ Enter Code",IF(IFERROR(VLOOKUP(H123,DB_Agents!$B:$I,8,0),"")=I123,IF(C123&gt;=E123,"Successful","Unsuccessful"),"🔒 BLOCKED — Wrong Code")),"Pending")</f>
        <v>Pending</v>
      </c>
      <c r="K123" s="83" t="str">
        <f t="shared" ca="1" si="11"/>
        <v>—</v>
      </c>
      <c r="L123" s="84"/>
    </row>
    <row r="124" spans="1:12" ht="15" customHeight="1" x14ac:dyDescent="0.25">
      <c r="A124" s="85"/>
      <c r="B124" s="41" t="str">
        <f>IF(A124="","",IFERROR(VLOOKUP(A124,DB_Customers!$A:$D,4,0),"❌ Account Not Found"))</f>
        <v/>
      </c>
      <c r="C124" s="86" t="str">
        <f>IF(A124="","",IFERROR(VLOOKUP(A124,DB_Customers!$A:$N,14,0),"❌ Acct Not Found"))</f>
        <v/>
      </c>
      <c r="D124" s="87" t="str">
        <f t="shared" ca="1" si="9"/>
        <v/>
      </c>
      <c r="E124" s="94"/>
      <c r="F124" s="41"/>
      <c r="G124" s="96" t="str">
        <f t="shared" si="10"/>
        <v/>
      </c>
      <c r="H124" s="43" t="s">
        <v>141</v>
      </c>
      <c r="I124" s="81"/>
      <c r="J124" s="89" t="str">
        <f>IF(AND(A124&lt;&gt;"",E124&lt;&gt;""),IF(I124="","⚠️ Enter Code",IF(IFERROR(VLOOKUP(H124,DB_Agents!$B:$I,8,0),"")=I124,IF(C124&gt;=E124,"Successful","Unsuccessful"),"🔒 BLOCKED — Wrong Code")),"Pending")</f>
        <v>Pending</v>
      </c>
      <c r="K124" s="90" t="str">
        <f t="shared" ca="1" si="11"/>
        <v>—</v>
      </c>
      <c r="L124" s="91"/>
    </row>
    <row r="125" spans="1:12" ht="15" customHeight="1" x14ac:dyDescent="0.25">
      <c r="A125" s="76"/>
      <c r="B125" s="37" t="str">
        <f>IF(A125="","",IFERROR(VLOOKUP(A125,DB_Customers!$A:$D,4,0),"❌ Account Not Found"))</f>
        <v/>
      </c>
      <c r="C125" s="77" t="str">
        <f>IF(A125="","",IFERROR(VLOOKUP(A125,DB_Customers!$A:$N,14,0),"❌ Acct Not Found"))</f>
        <v/>
      </c>
      <c r="D125" s="78" t="str">
        <f t="shared" ca="1" si="9"/>
        <v/>
      </c>
      <c r="E125" s="94"/>
      <c r="F125" s="37"/>
      <c r="G125" s="95" t="str">
        <f t="shared" si="10"/>
        <v/>
      </c>
      <c r="H125" s="39" t="s">
        <v>141</v>
      </c>
      <c r="I125" s="81"/>
      <c r="J125" s="82" t="str">
        <f>IF(AND(A125&lt;&gt;"",E125&lt;&gt;""),IF(I125="","⚠️ Enter Code",IF(IFERROR(VLOOKUP(H125,DB_Agents!$B:$I,8,0),"")=I125,IF(C125&gt;=E125,"Successful","Unsuccessful"),"🔒 BLOCKED — Wrong Code")),"Pending")</f>
        <v>Pending</v>
      </c>
      <c r="K125" s="83" t="str">
        <f t="shared" ca="1" si="11"/>
        <v>—</v>
      </c>
      <c r="L125" s="84"/>
    </row>
    <row r="126" spans="1:12" ht="15" customHeight="1" x14ac:dyDescent="0.25">
      <c r="A126" s="85"/>
      <c r="B126" s="41" t="str">
        <f>IF(A126="","",IFERROR(VLOOKUP(A126,DB_Customers!$A:$D,4,0),"❌ Account Not Found"))</f>
        <v/>
      </c>
      <c r="C126" s="86" t="str">
        <f>IF(A126="","",IFERROR(VLOOKUP(A126,DB_Customers!$A:$N,14,0),"❌ Acct Not Found"))</f>
        <v/>
      </c>
      <c r="D126" s="87" t="str">
        <f t="shared" ca="1" si="9"/>
        <v/>
      </c>
      <c r="E126" s="94"/>
      <c r="F126" s="41"/>
      <c r="G126" s="96" t="str">
        <f t="shared" si="10"/>
        <v/>
      </c>
      <c r="H126" s="43" t="s">
        <v>141</v>
      </c>
      <c r="I126" s="81"/>
      <c r="J126" s="89" t="str">
        <f>IF(AND(A126&lt;&gt;"",E126&lt;&gt;""),IF(I126="","⚠️ Enter Code",IF(IFERROR(VLOOKUP(H126,DB_Agents!$B:$I,8,0),"")=I126,IF(C126&gt;=E126,"Successful","Unsuccessful"),"🔒 BLOCKED — Wrong Code")),"Pending")</f>
        <v>Pending</v>
      </c>
      <c r="K126" s="90" t="str">
        <f t="shared" ca="1" si="11"/>
        <v>—</v>
      </c>
      <c r="L126" s="91"/>
    </row>
    <row r="127" spans="1:12" ht="15" customHeight="1" x14ac:dyDescent="0.25">
      <c r="A127" s="76"/>
      <c r="B127" s="37" t="str">
        <f>IF(A127="","",IFERROR(VLOOKUP(A127,DB_Customers!$A:$D,4,0),"❌ Account Not Found"))</f>
        <v/>
      </c>
      <c r="C127" s="77" t="str">
        <f>IF(A127="","",IFERROR(VLOOKUP(A127,DB_Customers!$A:$N,14,0),"❌ Acct Not Found"))</f>
        <v/>
      </c>
      <c r="D127" s="78" t="str">
        <f t="shared" ca="1" si="9"/>
        <v/>
      </c>
      <c r="E127" s="94"/>
      <c r="F127" s="37"/>
      <c r="G127" s="95" t="str">
        <f t="shared" si="10"/>
        <v/>
      </c>
      <c r="H127" s="39" t="s">
        <v>141</v>
      </c>
      <c r="I127" s="81"/>
      <c r="J127" s="82" t="str">
        <f>IF(AND(A127&lt;&gt;"",E127&lt;&gt;""),IF(I127="","⚠️ Enter Code",IF(IFERROR(VLOOKUP(H127,DB_Agents!$B:$I,8,0),"")=I127,IF(C127&gt;=E127,"Successful","Unsuccessful"),"🔒 BLOCKED — Wrong Code")),"Pending")</f>
        <v>Pending</v>
      </c>
      <c r="K127" s="83" t="str">
        <f t="shared" ca="1" si="11"/>
        <v>—</v>
      </c>
      <c r="L127" s="84"/>
    </row>
    <row r="128" spans="1:12" ht="15" customHeight="1" x14ac:dyDescent="0.25">
      <c r="A128" s="85"/>
      <c r="B128" s="41" t="str">
        <f>IF(A128="","",IFERROR(VLOOKUP(A128,DB_Customers!$A:$D,4,0),"❌ Account Not Found"))</f>
        <v/>
      </c>
      <c r="C128" s="86" t="str">
        <f>IF(A128="","",IFERROR(VLOOKUP(A128,DB_Customers!$A:$N,14,0),"❌ Acct Not Found"))</f>
        <v/>
      </c>
      <c r="D128" s="87" t="str">
        <f t="shared" ca="1" si="9"/>
        <v/>
      </c>
      <c r="E128" s="94"/>
      <c r="F128" s="41"/>
      <c r="G128" s="96" t="str">
        <f t="shared" si="10"/>
        <v/>
      </c>
      <c r="H128" s="43" t="s">
        <v>141</v>
      </c>
      <c r="I128" s="81"/>
      <c r="J128" s="89" t="str">
        <f>IF(AND(A128&lt;&gt;"",E128&lt;&gt;""),IF(I128="","⚠️ Enter Code",IF(IFERROR(VLOOKUP(H128,DB_Agents!$B:$I,8,0),"")=I128,IF(C128&gt;=E128,"Successful","Unsuccessful"),"🔒 BLOCKED — Wrong Code")),"Pending")</f>
        <v>Pending</v>
      </c>
      <c r="K128" s="90" t="str">
        <f t="shared" ca="1" si="11"/>
        <v>—</v>
      </c>
      <c r="L128" s="91"/>
    </row>
    <row r="129" spans="1:12" ht="15" customHeight="1" x14ac:dyDescent="0.25">
      <c r="A129" s="76"/>
      <c r="B129" s="37" t="str">
        <f>IF(A129="","",IFERROR(VLOOKUP(A129,DB_Customers!$A:$D,4,0),"❌ Account Not Found"))</f>
        <v/>
      </c>
      <c r="C129" s="77" t="str">
        <f>IF(A129="","",IFERROR(VLOOKUP(A129,DB_Customers!$A:$N,14,0),"❌ Acct Not Found"))</f>
        <v/>
      </c>
      <c r="D129" s="78" t="str">
        <f t="shared" ca="1" si="9"/>
        <v/>
      </c>
      <c r="E129" s="94"/>
      <c r="F129" s="37"/>
      <c r="G129" s="95" t="str">
        <f t="shared" si="10"/>
        <v/>
      </c>
      <c r="H129" s="39" t="s">
        <v>141</v>
      </c>
      <c r="I129" s="81"/>
      <c r="J129" s="82" t="str">
        <f>IF(AND(A129&lt;&gt;"",E129&lt;&gt;""),IF(I129="","⚠️ Enter Code",IF(IFERROR(VLOOKUP(H129,DB_Agents!$B:$I,8,0),"")=I129,IF(C129&gt;=E129,"Successful","Unsuccessful"),"🔒 BLOCKED — Wrong Code")),"Pending")</f>
        <v>Pending</v>
      </c>
      <c r="K129" s="83" t="str">
        <f t="shared" ca="1" si="11"/>
        <v>—</v>
      </c>
      <c r="L129" s="84"/>
    </row>
    <row r="130" spans="1:12" ht="15" customHeight="1" x14ac:dyDescent="0.25">
      <c r="A130" s="85"/>
      <c r="B130" s="41" t="str">
        <f>IF(A130="","",IFERROR(VLOOKUP(A130,DB_Customers!$A:$D,4,0),"❌ Account Not Found"))</f>
        <v/>
      </c>
      <c r="C130" s="86" t="str">
        <f>IF(A130="","",IFERROR(VLOOKUP(A130,DB_Customers!$A:$N,14,0),"❌ Acct Not Found"))</f>
        <v/>
      </c>
      <c r="D130" s="87" t="str">
        <f t="shared" ca="1" si="9"/>
        <v/>
      </c>
      <c r="E130" s="94"/>
      <c r="F130" s="41"/>
      <c r="G130" s="96" t="str">
        <f t="shared" si="10"/>
        <v/>
      </c>
      <c r="H130" s="43" t="s">
        <v>141</v>
      </c>
      <c r="I130" s="81"/>
      <c r="J130" s="89" t="str">
        <f>IF(AND(A130&lt;&gt;"",E130&lt;&gt;""),IF(I130="","⚠️ Enter Code",IF(IFERROR(VLOOKUP(H130,DB_Agents!$B:$I,8,0),"")=I130,IF(C130&gt;=E130,"Successful","Unsuccessful"),"🔒 BLOCKED — Wrong Code")),"Pending")</f>
        <v>Pending</v>
      </c>
      <c r="K130" s="90" t="str">
        <f t="shared" ca="1" si="11"/>
        <v>—</v>
      </c>
      <c r="L130" s="91"/>
    </row>
    <row r="131" spans="1:12" ht="15" customHeight="1" x14ac:dyDescent="0.25">
      <c r="A131" s="76"/>
      <c r="B131" s="37" t="str">
        <f>IF(A131="","",IFERROR(VLOOKUP(A131,DB_Customers!$A:$D,4,0),"❌ Account Not Found"))</f>
        <v/>
      </c>
      <c r="C131" s="77" t="str">
        <f>IF(A131="","",IFERROR(VLOOKUP(A131,DB_Customers!$A:$N,14,0),"❌ Acct Not Found"))</f>
        <v/>
      </c>
      <c r="D131" s="78" t="str">
        <f t="shared" ca="1" si="9"/>
        <v/>
      </c>
      <c r="E131" s="94"/>
      <c r="F131" s="37"/>
      <c r="G131" s="95" t="str">
        <f t="shared" si="10"/>
        <v/>
      </c>
      <c r="H131" s="39" t="s">
        <v>141</v>
      </c>
      <c r="I131" s="81"/>
      <c r="J131" s="82" t="str">
        <f>IF(AND(A131&lt;&gt;"",E131&lt;&gt;""),IF(I131="","⚠️ Enter Code",IF(IFERROR(VLOOKUP(H131,DB_Agents!$B:$I,8,0),"")=I131,IF(C131&gt;=E131,"Successful","Unsuccessful"),"🔒 BLOCKED — Wrong Code")),"Pending")</f>
        <v>Pending</v>
      </c>
      <c r="K131" s="83" t="str">
        <f t="shared" ca="1" si="11"/>
        <v>—</v>
      </c>
      <c r="L131" s="84"/>
    </row>
    <row r="132" spans="1:12" ht="15" customHeight="1" x14ac:dyDescent="0.25">
      <c r="A132" s="85"/>
      <c r="B132" s="41" t="str">
        <f>IF(A132="","",IFERROR(VLOOKUP(A132,DB_Customers!$A:$D,4,0),"❌ Account Not Found"))</f>
        <v/>
      </c>
      <c r="C132" s="86" t="str">
        <f>IF(A132="","",IFERROR(VLOOKUP(A132,DB_Customers!$A:$N,14,0),"❌ Acct Not Found"))</f>
        <v/>
      </c>
      <c r="D132" s="87" t="str">
        <f t="shared" ca="1" si="9"/>
        <v/>
      </c>
      <c r="E132" s="94"/>
      <c r="F132" s="41"/>
      <c r="G132" s="96" t="str">
        <f t="shared" si="10"/>
        <v/>
      </c>
      <c r="H132" s="43" t="s">
        <v>141</v>
      </c>
      <c r="I132" s="81"/>
      <c r="J132" s="89" t="str">
        <f>IF(AND(A132&lt;&gt;"",E132&lt;&gt;""),IF(I132="","⚠️ Enter Code",IF(IFERROR(VLOOKUP(H132,DB_Agents!$B:$I,8,0),"")=I132,IF(C132&gt;=E132,"Successful","Unsuccessful"),"🔒 BLOCKED — Wrong Code")),"Pending")</f>
        <v>Pending</v>
      </c>
      <c r="K132" s="90" t="str">
        <f t="shared" ca="1" si="11"/>
        <v>—</v>
      </c>
      <c r="L132" s="91"/>
    </row>
    <row r="133" spans="1:12" ht="15" customHeight="1" x14ac:dyDescent="0.25">
      <c r="A133" s="76"/>
      <c r="B133" s="37" t="str">
        <f>IF(A133="","",IFERROR(VLOOKUP(A133,DB_Customers!$A:$D,4,0),"❌ Account Not Found"))</f>
        <v/>
      </c>
      <c r="C133" s="77" t="str">
        <f>IF(A133="","",IFERROR(VLOOKUP(A133,DB_Customers!$A:$N,14,0),"❌ Acct Not Found"))</f>
        <v/>
      </c>
      <c r="D133" s="78" t="str">
        <f t="shared" ca="1" si="9"/>
        <v/>
      </c>
      <c r="E133" s="94"/>
      <c r="F133" s="37"/>
      <c r="G133" s="95" t="str">
        <f t="shared" si="10"/>
        <v/>
      </c>
      <c r="H133" s="39" t="s">
        <v>141</v>
      </c>
      <c r="I133" s="81"/>
      <c r="J133" s="82" t="str">
        <f>IF(AND(A133&lt;&gt;"",E133&lt;&gt;""),IF(I133="","⚠️ Enter Code",IF(IFERROR(VLOOKUP(H133,DB_Agents!$B:$I,8,0),"")=I133,IF(C133&gt;=E133,"Successful","Unsuccessful"),"🔒 BLOCKED — Wrong Code")),"Pending")</f>
        <v>Pending</v>
      </c>
      <c r="K133" s="83" t="str">
        <f t="shared" ca="1" si="11"/>
        <v>—</v>
      </c>
      <c r="L133" s="84"/>
    </row>
    <row r="134" spans="1:12" ht="15" customHeight="1" x14ac:dyDescent="0.25">
      <c r="A134" s="85"/>
      <c r="B134" s="41" t="str">
        <f>IF(A134="","",IFERROR(VLOOKUP(A134,DB_Customers!$A:$D,4,0),"❌ Account Not Found"))</f>
        <v/>
      </c>
      <c r="C134" s="86" t="str">
        <f>IF(A134="","",IFERROR(VLOOKUP(A134,DB_Customers!$A:$N,14,0),"❌ Acct Not Found"))</f>
        <v/>
      </c>
      <c r="D134" s="87" t="str">
        <f t="shared" ca="1" si="9"/>
        <v/>
      </c>
      <c r="E134" s="94"/>
      <c r="F134" s="41"/>
      <c r="G134" s="96" t="str">
        <f t="shared" si="10"/>
        <v/>
      </c>
      <c r="H134" s="43" t="s">
        <v>141</v>
      </c>
      <c r="I134" s="81"/>
      <c r="J134" s="89" t="str">
        <f>IF(AND(A134&lt;&gt;"",E134&lt;&gt;""),IF(I134="","⚠️ Enter Code",IF(IFERROR(VLOOKUP(H134,DB_Agents!$B:$I,8,0),"")=I134,IF(C134&gt;=E134,"Successful","Unsuccessful"),"🔒 BLOCKED — Wrong Code")),"Pending")</f>
        <v>Pending</v>
      </c>
      <c r="K134" s="90" t="str">
        <f t="shared" ca="1" si="11"/>
        <v>—</v>
      </c>
      <c r="L134" s="91"/>
    </row>
    <row r="135" spans="1:12" ht="15" customHeight="1" x14ac:dyDescent="0.25">
      <c r="A135" s="76"/>
      <c r="B135" s="37" t="str">
        <f>IF(A135="","",IFERROR(VLOOKUP(A135,DB_Customers!$A:$D,4,0),"❌ Account Not Found"))</f>
        <v/>
      </c>
      <c r="C135" s="77" t="str">
        <f>IF(A135="","",IFERROR(VLOOKUP(A135,DB_Customers!$A:$N,14,0),"❌ Acct Not Found"))</f>
        <v/>
      </c>
      <c r="D135" s="78" t="str">
        <f t="shared" ca="1" si="9"/>
        <v/>
      </c>
      <c r="E135" s="94"/>
      <c r="F135" s="37"/>
      <c r="G135" s="95" t="str">
        <f t="shared" si="10"/>
        <v/>
      </c>
      <c r="H135" s="39" t="s">
        <v>141</v>
      </c>
      <c r="I135" s="81"/>
      <c r="J135" s="82" t="str">
        <f>IF(AND(A135&lt;&gt;"",E135&lt;&gt;""),IF(I135="","⚠️ Enter Code",IF(IFERROR(VLOOKUP(H135,DB_Agents!$B:$I,8,0),"")=I135,IF(C135&gt;=E135,"Successful","Unsuccessful"),"🔒 BLOCKED — Wrong Code")),"Pending")</f>
        <v>Pending</v>
      </c>
      <c r="K135" s="83" t="str">
        <f t="shared" ca="1" si="11"/>
        <v>—</v>
      </c>
      <c r="L135" s="84"/>
    </row>
    <row r="136" spans="1:12" ht="15" customHeight="1" x14ac:dyDescent="0.25">
      <c r="A136" s="85"/>
      <c r="B136" s="41" t="str">
        <f>IF(A136="","",IFERROR(VLOOKUP(A136,DB_Customers!$A:$D,4,0),"❌ Account Not Found"))</f>
        <v/>
      </c>
      <c r="C136" s="86" t="str">
        <f>IF(A136="","",IFERROR(VLOOKUP(A136,DB_Customers!$A:$N,14,0),"❌ Acct Not Found"))</f>
        <v/>
      </c>
      <c r="D136" s="87" t="str">
        <f t="shared" ca="1" si="9"/>
        <v/>
      </c>
      <c r="E136" s="94"/>
      <c r="F136" s="41"/>
      <c r="G136" s="96" t="str">
        <f t="shared" si="10"/>
        <v/>
      </c>
      <c r="H136" s="43" t="s">
        <v>141</v>
      </c>
      <c r="I136" s="81"/>
      <c r="J136" s="89" t="str">
        <f>IF(AND(A136&lt;&gt;"",E136&lt;&gt;""),IF(I136="","⚠️ Enter Code",IF(IFERROR(VLOOKUP(H136,DB_Agents!$B:$I,8,0),"")=I136,IF(C136&gt;=E136,"Successful","Unsuccessful"),"🔒 BLOCKED — Wrong Code")),"Pending")</f>
        <v>Pending</v>
      </c>
      <c r="K136" s="90" t="str">
        <f t="shared" ca="1" si="11"/>
        <v>—</v>
      </c>
      <c r="L136" s="91"/>
    </row>
    <row r="137" spans="1:12" ht="15" customHeight="1" x14ac:dyDescent="0.25">
      <c r="A137" s="76"/>
      <c r="B137" s="37" t="str">
        <f>IF(A137="","",IFERROR(VLOOKUP(A137,DB_Customers!$A:$D,4,0),"❌ Account Not Found"))</f>
        <v/>
      </c>
      <c r="C137" s="77" t="str">
        <f>IF(A137="","",IFERROR(VLOOKUP(A137,DB_Customers!$A:$N,14,0),"❌ Acct Not Found"))</f>
        <v/>
      </c>
      <c r="D137" s="78" t="str">
        <f t="shared" ref="D137:D168" ca="1" si="12">IF(A137="","",TODAY())</f>
        <v/>
      </c>
      <c r="E137" s="94"/>
      <c r="F137" s="37"/>
      <c r="G137" s="95" t="str">
        <f t="shared" ref="G137:G168" si="13">IF(OR(A137="",E137=""),"",IF(C137="","",C137-E137))</f>
        <v/>
      </c>
      <c r="H137" s="39" t="s">
        <v>141</v>
      </c>
      <c r="I137" s="81"/>
      <c r="J137" s="82" t="str">
        <f>IF(AND(A137&lt;&gt;"",E137&lt;&gt;""),IF(I137="","⚠️ Enter Code",IF(IFERROR(VLOOKUP(H137,DB_Agents!$B:$I,8,0),"")=I137,IF(C137&gt;=E137,"Successful","Unsuccessful"),"🔒 BLOCKED — Wrong Code")),"Pending")</f>
        <v>Pending</v>
      </c>
      <c r="K137" s="83" t="str">
        <f t="shared" ref="K137:K168" ca="1" si="14">IF(J137="Successful",TEXT(TODAY(),"YYYY-MM-DD")&amp;" Auto","—")</f>
        <v>—</v>
      </c>
      <c r="L137" s="84"/>
    </row>
    <row r="138" spans="1:12" ht="15" customHeight="1" x14ac:dyDescent="0.25">
      <c r="A138" s="85"/>
      <c r="B138" s="41" t="str">
        <f>IF(A138="","",IFERROR(VLOOKUP(A138,DB_Customers!$A:$D,4,0),"❌ Account Not Found"))</f>
        <v/>
      </c>
      <c r="C138" s="86" t="str">
        <f>IF(A138="","",IFERROR(VLOOKUP(A138,DB_Customers!$A:$N,14,0),"❌ Acct Not Found"))</f>
        <v/>
      </c>
      <c r="D138" s="87" t="str">
        <f t="shared" ca="1" si="12"/>
        <v/>
      </c>
      <c r="E138" s="94"/>
      <c r="F138" s="41"/>
      <c r="G138" s="96" t="str">
        <f t="shared" si="13"/>
        <v/>
      </c>
      <c r="H138" s="43" t="s">
        <v>141</v>
      </c>
      <c r="I138" s="81"/>
      <c r="J138" s="89" t="str">
        <f>IF(AND(A138&lt;&gt;"",E138&lt;&gt;""),IF(I138="","⚠️ Enter Code",IF(IFERROR(VLOOKUP(H138,DB_Agents!$B:$I,8,0),"")=I138,IF(C138&gt;=E138,"Successful","Unsuccessful"),"🔒 BLOCKED — Wrong Code")),"Pending")</f>
        <v>Pending</v>
      </c>
      <c r="K138" s="90" t="str">
        <f t="shared" ca="1" si="14"/>
        <v>—</v>
      </c>
      <c r="L138" s="91"/>
    </row>
    <row r="139" spans="1:12" ht="15" customHeight="1" x14ac:dyDescent="0.25">
      <c r="A139" s="76"/>
      <c r="B139" s="37" t="str">
        <f>IF(A139="","",IFERROR(VLOOKUP(A139,DB_Customers!$A:$D,4,0),"❌ Account Not Found"))</f>
        <v/>
      </c>
      <c r="C139" s="77" t="str">
        <f>IF(A139="","",IFERROR(VLOOKUP(A139,DB_Customers!$A:$N,14,0),"❌ Acct Not Found"))</f>
        <v/>
      </c>
      <c r="D139" s="78" t="str">
        <f t="shared" ca="1" si="12"/>
        <v/>
      </c>
      <c r="E139" s="94"/>
      <c r="F139" s="37"/>
      <c r="G139" s="95" t="str">
        <f t="shared" si="13"/>
        <v/>
      </c>
      <c r="H139" s="39" t="s">
        <v>141</v>
      </c>
      <c r="I139" s="81"/>
      <c r="J139" s="82" t="str">
        <f>IF(AND(A139&lt;&gt;"",E139&lt;&gt;""),IF(I139="","⚠️ Enter Code",IF(IFERROR(VLOOKUP(H139,DB_Agents!$B:$I,8,0),"")=I139,IF(C139&gt;=E139,"Successful","Unsuccessful"),"🔒 BLOCKED — Wrong Code")),"Pending")</f>
        <v>Pending</v>
      </c>
      <c r="K139" s="83" t="str">
        <f t="shared" ca="1" si="14"/>
        <v>—</v>
      </c>
      <c r="L139" s="84"/>
    </row>
    <row r="140" spans="1:12" ht="15" customHeight="1" x14ac:dyDescent="0.25">
      <c r="A140" s="85"/>
      <c r="B140" s="41" t="str">
        <f>IF(A140="","",IFERROR(VLOOKUP(A140,DB_Customers!$A:$D,4,0),"❌ Account Not Found"))</f>
        <v/>
      </c>
      <c r="C140" s="86" t="str">
        <f>IF(A140="","",IFERROR(VLOOKUP(A140,DB_Customers!$A:$N,14,0),"❌ Acct Not Found"))</f>
        <v/>
      </c>
      <c r="D140" s="87" t="str">
        <f t="shared" ca="1" si="12"/>
        <v/>
      </c>
      <c r="E140" s="94"/>
      <c r="F140" s="41"/>
      <c r="G140" s="96" t="str">
        <f t="shared" si="13"/>
        <v/>
      </c>
      <c r="H140" s="43" t="s">
        <v>141</v>
      </c>
      <c r="I140" s="81"/>
      <c r="J140" s="89" t="str">
        <f>IF(AND(A140&lt;&gt;"",E140&lt;&gt;""),IF(I140="","⚠️ Enter Code",IF(IFERROR(VLOOKUP(H140,DB_Agents!$B:$I,8,0),"")=I140,IF(C140&gt;=E140,"Successful","Unsuccessful"),"🔒 BLOCKED — Wrong Code")),"Pending")</f>
        <v>Pending</v>
      </c>
      <c r="K140" s="90" t="str">
        <f t="shared" ca="1" si="14"/>
        <v>—</v>
      </c>
      <c r="L140" s="91"/>
    </row>
    <row r="141" spans="1:12" ht="15" customHeight="1" x14ac:dyDescent="0.25">
      <c r="A141" s="76"/>
      <c r="B141" s="37" t="str">
        <f>IF(A141="","",IFERROR(VLOOKUP(A141,DB_Customers!$A:$D,4,0),"❌ Account Not Found"))</f>
        <v/>
      </c>
      <c r="C141" s="77" t="str">
        <f>IF(A141="","",IFERROR(VLOOKUP(A141,DB_Customers!$A:$N,14,0),"❌ Acct Not Found"))</f>
        <v/>
      </c>
      <c r="D141" s="78" t="str">
        <f t="shared" ca="1" si="12"/>
        <v/>
      </c>
      <c r="E141" s="94"/>
      <c r="F141" s="37"/>
      <c r="G141" s="95" t="str">
        <f t="shared" si="13"/>
        <v/>
      </c>
      <c r="H141" s="39" t="s">
        <v>141</v>
      </c>
      <c r="I141" s="81"/>
      <c r="J141" s="82" t="str">
        <f>IF(AND(A141&lt;&gt;"",E141&lt;&gt;""),IF(I141="","⚠️ Enter Code",IF(IFERROR(VLOOKUP(H141,DB_Agents!$B:$I,8,0),"")=I141,IF(C141&gt;=E141,"Successful","Unsuccessful"),"🔒 BLOCKED — Wrong Code")),"Pending")</f>
        <v>Pending</v>
      </c>
      <c r="K141" s="83" t="str">
        <f t="shared" ca="1" si="14"/>
        <v>—</v>
      </c>
      <c r="L141" s="84"/>
    </row>
    <row r="142" spans="1:12" ht="15" customHeight="1" x14ac:dyDescent="0.25">
      <c r="A142" s="85"/>
      <c r="B142" s="41" t="str">
        <f>IF(A142="","",IFERROR(VLOOKUP(A142,DB_Customers!$A:$D,4,0),"❌ Account Not Found"))</f>
        <v/>
      </c>
      <c r="C142" s="86" t="str">
        <f>IF(A142="","",IFERROR(VLOOKUP(A142,DB_Customers!$A:$N,14,0),"❌ Acct Not Found"))</f>
        <v/>
      </c>
      <c r="D142" s="87" t="str">
        <f t="shared" ca="1" si="12"/>
        <v/>
      </c>
      <c r="E142" s="94"/>
      <c r="F142" s="41"/>
      <c r="G142" s="96" t="str">
        <f t="shared" si="13"/>
        <v/>
      </c>
      <c r="H142" s="43" t="s">
        <v>141</v>
      </c>
      <c r="I142" s="81"/>
      <c r="J142" s="89" t="str">
        <f>IF(AND(A142&lt;&gt;"",E142&lt;&gt;""),IF(I142="","⚠️ Enter Code",IF(IFERROR(VLOOKUP(H142,DB_Agents!$B:$I,8,0),"")=I142,IF(C142&gt;=E142,"Successful","Unsuccessful"),"🔒 BLOCKED — Wrong Code")),"Pending")</f>
        <v>Pending</v>
      </c>
      <c r="K142" s="90" t="str">
        <f t="shared" ca="1" si="14"/>
        <v>—</v>
      </c>
      <c r="L142" s="91"/>
    </row>
    <row r="143" spans="1:12" ht="15" customHeight="1" x14ac:dyDescent="0.25">
      <c r="A143" s="76"/>
      <c r="B143" s="37" t="str">
        <f>IF(A143="","",IFERROR(VLOOKUP(A143,DB_Customers!$A:$D,4,0),"❌ Account Not Found"))</f>
        <v/>
      </c>
      <c r="C143" s="77" t="str">
        <f>IF(A143="","",IFERROR(VLOOKUP(A143,DB_Customers!$A:$N,14,0),"❌ Acct Not Found"))</f>
        <v/>
      </c>
      <c r="D143" s="78" t="str">
        <f t="shared" ca="1" si="12"/>
        <v/>
      </c>
      <c r="E143" s="94"/>
      <c r="F143" s="37"/>
      <c r="G143" s="95" t="str">
        <f t="shared" si="13"/>
        <v/>
      </c>
      <c r="H143" s="39" t="s">
        <v>141</v>
      </c>
      <c r="I143" s="81"/>
      <c r="J143" s="82" t="str">
        <f>IF(AND(A143&lt;&gt;"",E143&lt;&gt;""),IF(I143="","⚠️ Enter Code",IF(IFERROR(VLOOKUP(H143,DB_Agents!$B:$I,8,0),"")=I143,IF(C143&gt;=E143,"Successful","Unsuccessful"),"🔒 BLOCKED — Wrong Code")),"Pending")</f>
        <v>Pending</v>
      </c>
      <c r="K143" s="83" t="str">
        <f t="shared" ca="1" si="14"/>
        <v>—</v>
      </c>
      <c r="L143" s="84"/>
    </row>
    <row r="144" spans="1:12" ht="15" customHeight="1" x14ac:dyDescent="0.25">
      <c r="A144" s="85"/>
      <c r="B144" s="41" t="str">
        <f>IF(A144="","",IFERROR(VLOOKUP(A144,DB_Customers!$A:$D,4,0),"❌ Account Not Found"))</f>
        <v/>
      </c>
      <c r="C144" s="86" t="str">
        <f>IF(A144="","",IFERROR(VLOOKUP(A144,DB_Customers!$A:$N,14,0),"❌ Acct Not Found"))</f>
        <v/>
      </c>
      <c r="D144" s="87" t="str">
        <f t="shared" ca="1" si="12"/>
        <v/>
      </c>
      <c r="E144" s="94"/>
      <c r="F144" s="41"/>
      <c r="G144" s="96" t="str">
        <f t="shared" si="13"/>
        <v/>
      </c>
      <c r="H144" s="43" t="s">
        <v>141</v>
      </c>
      <c r="I144" s="81"/>
      <c r="J144" s="89" t="str">
        <f>IF(AND(A144&lt;&gt;"",E144&lt;&gt;""),IF(I144="","⚠️ Enter Code",IF(IFERROR(VLOOKUP(H144,DB_Agents!$B:$I,8,0),"")=I144,IF(C144&gt;=E144,"Successful","Unsuccessful"),"🔒 BLOCKED — Wrong Code")),"Pending")</f>
        <v>Pending</v>
      </c>
      <c r="K144" s="90" t="str">
        <f t="shared" ca="1" si="14"/>
        <v>—</v>
      </c>
      <c r="L144" s="91"/>
    </row>
    <row r="145" spans="1:12" ht="15" customHeight="1" x14ac:dyDescent="0.25">
      <c r="A145" s="76"/>
      <c r="B145" s="37" t="str">
        <f>IF(A145="","",IFERROR(VLOOKUP(A145,DB_Customers!$A:$D,4,0),"❌ Account Not Found"))</f>
        <v/>
      </c>
      <c r="C145" s="77" t="str">
        <f>IF(A145="","",IFERROR(VLOOKUP(A145,DB_Customers!$A:$N,14,0),"❌ Acct Not Found"))</f>
        <v/>
      </c>
      <c r="D145" s="78" t="str">
        <f t="shared" ca="1" si="12"/>
        <v/>
      </c>
      <c r="E145" s="94"/>
      <c r="F145" s="37"/>
      <c r="G145" s="95" t="str">
        <f t="shared" si="13"/>
        <v/>
      </c>
      <c r="H145" s="39" t="s">
        <v>141</v>
      </c>
      <c r="I145" s="81"/>
      <c r="J145" s="82" t="str">
        <f>IF(AND(A145&lt;&gt;"",E145&lt;&gt;""),IF(I145="","⚠️ Enter Code",IF(IFERROR(VLOOKUP(H145,DB_Agents!$B:$I,8,0),"")=I145,IF(C145&gt;=E145,"Successful","Unsuccessful"),"🔒 BLOCKED — Wrong Code")),"Pending")</f>
        <v>Pending</v>
      </c>
      <c r="K145" s="83" t="str">
        <f t="shared" ca="1" si="14"/>
        <v>—</v>
      </c>
      <c r="L145" s="84"/>
    </row>
    <row r="146" spans="1:12" ht="15" customHeight="1" x14ac:dyDescent="0.25">
      <c r="A146" s="85"/>
      <c r="B146" s="41" t="str">
        <f>IF(A146="","",IFERROR(VLOOKUP(A146,DB_Customers!$A:$D,4,0),"❌ Account Not Found"))</f>
        <v/>
      </c>
      <c r="C146" s="86" t="str">
        <f>IF(A146="","",IFERROR(VLOOKUP(A146,DB_Customers!$A:$N,14,0),"❌ Acct Not Found"))</f>
        <v/>
      </c>
      <c r="D146" s="87" t="str">
        <f t="shared" ca="1" si="12"/>
        <v/>
      </c>
      <c r="E146" s="94"/>
      <c r="F146" s="41"/>
      <c r="G146" s="96" t="str">
        <f t="shared" si="13"/>
        <v/>
      </c>
      <c r="H146" s="43" t="s">
        <v>141</v>
      </c>
      <c r="I146" s="81"/>
      <c r="J146" s="89" t="str">
        <f>IF(AND(A146&lt;&gt;"",E146&lt;&gt;""),IF(I146="","⚠️ Enter Code",IF(IFERROR(VLOOKUP(H146,DB_Agents!$B:$I,8,0),"")=I146,IF(C146&gt;=E146,"Successful","Unsuccessful"),"🔒 BLOCKED — Wrong Code")),"Pending")</f>
        <v>Pending</v>
      </c>
      <c r="K146" s="90" t="str">
        <f t="shared" ca="1" si="14"/>
        <v>—</v>
      </c>
      <c r="L146" s="91"/>
    </row>
    <row r="147" spans="1:12" ht="15" customHeight="1" x14ac:dyDescent="0.25">
      <c r="A147" s="76"/>
      <c r="B147" s="37" t="str">
        <f>IF(A147="","",IFERROR(VLOOKUP(A147,DB_Customers!$A:$D,4,0),"❌ Account Not Found"))</f>
        <v/>
      </c>
      <c r="C147" s="77" t="str">
        <f>IF(A147="","",IFERROR(VLOOKUP(A147,DB_Customers!$A:$N,14,0),"❌ Acct Not Found"))</f>
        <v/>
      </c>
      <c r="D147" s="78" t="str">
        <f t="shared" ca="1" si="12"/>
        <v/>
      </c>
      <c r="E147" s="94"/>
      <c r="F147" s="37"/>
      <c r="G147" s="95" t="str">
        <f t="shared" si="13"/>
        <v/>
      </c>
      <c r="H147" s="39" t="s">
        <v>141</v>
      </c>
      <c r="I147" s="81"/>
      <c r="J147" s="82" t="str">
        <f>IF(AND(A147&lt;&gt;"",E147&lt;&gt;""),IF(I147="","⚠️ Enter Code",IF(IFERROR(VLOOKUP(H147,DB_Agents!$B:$I,8,0),"")=I147,IF(C147&gt;=E147,"Successful","Unsuccessful"),"🔒 BLOCKED — Wrong Code")),"Pending")</f>
        <v>Pending</v>
      </c>
      <c r="K147" s="83" t="str">
        <f t="shared" ca="1" si="14"/>
        <v>—</v>
      </c>
      <c r="L147" s="84"/>
    </row>
    <row r="148" spans="1:12" ht="15" customHeight="1" x14ac:dyDescent="0.25">
      <c r="A148" s="85"/>
      <c r="B148" s="41" t="str">
        <f>IF(A148="","",IFERROR(VLOOKUP(A148,DB_Customers!$A:$D,4,0),"❌ Account Not Found"))</f>
        <v/>
      </c>
      <c r="C148" s="86" t="str">
        <f>IF(A148="","",IFERROR(VLOOKUP(A148,DB_Customers!$A:$N,14,0),"❌ Acct Not Found"))</f>
        <v/>
      </c>
      <c r="D148" s="87" t="str">
        <f t="shared" ca="1" si="12"/>
        <v/>
      </c>
      <c r="E148" s="94"/>
      <c r="F148" s="41"/>
      <c r="G148" s="96" t="str">
        <f t="shared" si="13"/>
        <v/>
      </c>
      <c r="H148" s="43" t="s">
        <v>141</v>
      </c>
      <c r="I148" s="81"/>
      <c r="J148" s="89" t="str">
        <f>IF(AND(A148&lt;&gt;"",E148&lt;&gt;""),IF(I148="","⚠️ Enter Code",IF(IFERROR(VLOOKUP(H148,DB_Agents!$B:$I,8,0),"")=I148,IF(C148&gt;=E148,"Successful","Unsuccessful"),"🔒 BLOCKED — Wrong Code")),"Pending")</f>
        <v>Pending</v>
      </c>
      <c r="K148" s="90" t="str">
        <f t="shared" ca="1" si="14"/>
        <v>—</v>
      </c>
      <c r="L148" s="91"/>
    </row>
    <row r="149" spans="1:12" ht="15" customHeight="1" x14ac:dyDescent="0.25">
      <c r="A149" s="76"/>
      <c r="B149" s="37" t="str">
        <f>IF(A149="","",IFERROR(VLOOKUP(A149,DB_Customers!$A:$D,4,0),"❌ Account Not Found"))</f>
        <v/>
      </c>
      <c r="C149" s="77" t="str">
        <f>IF(A149="","",IFERROR(VLOOKUP(A149,DB_Customers!$A:$N,14,0),"❌ Acct Not Found"))</f>
        <v/>
      </c>
      <c r="D149" s="78" t="str">
        <f t="shared" ca="1" si="12"/>
        <v/>
      </c>
      <c r="E149" s="94"/>
      <c r="F149" s="37"/>
      <c r="G149" s="95" t="str">
        <f t="shared" si="13"/>
        <v/>
      </c>
      <c r="H149" s="39" t="s">
        <v>141</v>
      </c>
      <c r="I149" s="81"/>
      <c r="J149" s="82" t="str">
        <f>IF(AND(A149&lt;&gt;"",E149&lt;&gt;""),IF(I149="","⚠️ Enter Code",IF(IFERROR(VLOOKUP(H149,DB_Agents!$B:$I,8,0),"")=I149,IF(C149&gt;=E149,"Successful","Unsuccessful"),"🔒 BLOCKED — Wrong Code")),"Pending")</f>
        <v>Pending</v>
      </c>
      <c r="K149" s="83" t="str">
        <f t="shared" ca="1" si="14"/>
        <v>—</v>
      </c>
      <c r="L149" s="84"/>
    </row>
    <row r="150" spans="1:12" ht="15" customHeight="1" x14ac:dyDescent="0.25">
      <c r="A150" s="85"/>
      <c r="B150" s="41" t="str">
        <f>IF(A150="","",IFERROR(VLOOKUP(A150,DB_Customers!$A:$D,4,0),"❌ Account Not Found"))</f>
        <v/>
      </c>
      <c r="C150" s="86" t="str">
        <f>IF(A150="","",IFERROR(VLOOKUP(A150,DB_Customers!$A:$N,14,0),"❌ Acct Not Found"))</f>
        <v/>
      </c>
      <c r="D150" s="87" t="str">
        <f t="shared" ca="1" si="12"/>
        <v/>
      </c>
      <c r="E150" s="94"/>
      <c r="F150" s="41"/>
      <c r="G150" s="96" t="str">
        <f t="shared" si="13"/>
        <v/>
      </c>
      <c r="H150" s="43" t="s">
        <v>141</v>
      </c>
      <c r="I150" s="81"/>
      <c r="J150" s="89" t="str">
        <f>IF(AND(A150&lt;&gt;"",E150&lt;&gt;""),IF(I150="","⚠️ Enter Code",IF(IFERROR(VLOOKUP(H150,DB_Agents!$B:$I,8,0),"")=I150,IF(C150&gt;=E150,"Successful","Unsuccessful"),"🔒 BLOCKED — Wrong Code")),"Pending")</f>
        <v>Pending</v>
      </c>
      <c r="K150" s="90" t="str">
        <f t="shared" ca="1" si="14"/>
        <v>—</v>
      </c>
      <c r="L150" s="91"/>
    </row>
    <row r="151" spans="1:12" ht="15" customHeight="1" x14ac:dyDescent="0.25">
      <c r="A151" s="76"/>
      <c r="B151" s="37" t="str">
        <f>IF(A151="","",IFERROR(VLOOKUP(A151,DB_Customers!$A:$D,4,0),"❌ Account Not Found"))</f>
        <v/>
      </c>
      <c r="C151" s="77" t="str">
        <f>IF(A151="","",IFERROR(VLOOKUP(A151,DB_Customers!$A:$N,14,0),"❌ Acct Not Found"))</f>
        <v/>
      </c>
      <c r="D151" s="78" t="str">
        <f t="shared" ca="1" si="12"/>
        <v/>
      </c>
      <c r="E151" s="94"/>
      <c r="F151" s="37"/>
      <c r="G151" s="95" t="str">
        <f t="shared" si="13"/>
        <v/>
      </c>
      <c r="H151" s="39" t="s">
        <v>141</v>
      </c>
      <c r="I151" s="81"/>
      <c r="J151" s="82" t="str">
        <f>IF(AND(A151&lt;&gt;"",E151&lt;&gt;""),IF(I151="","⚠️ Enter Code",IF(IFERROR(VLOOKUP(H151,DB_Agents!$B:$I,8,0),"")=I151,IF(C151&gt;=E151,"Successful","Unsuccessful"),"🔒 BLOCKED — Wrong Code")),"Pending")</f>
        <v>Pending</v>
      </c>
      <c r="K151" s="83" t="str">
        <f t="shared" ca="1" si="14"/>
        <v>—</v>
      </c>
      <c r="L151" s="84"/>
    </row>
    <row r="152" spans="1:12" ht="15" customHeight="1" x14ac:dyDescent="0.25">
      <c r="A152" s="85"/>
      <c r="B152" s="41" t="str">
        <f>IF(A152="","",IFERROR(VLOOKUP(A152,DB_Customers!$A:$D,4,0),"❌ Account Not Found"))</f>
        <v/>
      </c>
      <c r="C152" s="86" t="str">
        <f>IF(A152="","",IFERROR(VLOOKUP(A152,DB_Customers!$A:$N,14,0),"❌ Acct Not Found"))</f>
        <v/>
      </c>
      <c r="D152" s="87" t="str">
        <f t="shared" ca="1" si="12"/>
        <v/>
      </c>
      <c r="E152" s="94"/>
      <c r="F152" s="41"/>
      <c r="G152" s="96" t="str">
        <f t="shared" si="13"/>
        <v/>
      </c>
      <c r="H152" s="43" t="s">
        <v>141</v>
      </c>
      <c r="I152" s="81"/>
      <c r="J152" s="89" t="str">
        <f>IF(AND(A152&lt;&gt;"",E152&lt;&gt;""),IF(I152="","⚠️ Enter Code",IF(IFERROR(VLOOKUP(H152,DB_Agents!$B:$I,8,0),"")=I152,IF(C152&gt;=E152,"Successful","Unsuccessful"),"🔒 BLOCKED — Wrong Code")),"Pending")</f>
        <v>Pending</v>
      </c>
      <c r="K152" s="90" t="str">
        <f t="shared" ca="1" si="14"/>
        <v>—</v>
      </c>
      <c r="L152" s="91"/>
    </row>
    <row r="153" spans="1:12" ht="15" customHeight="1" x14ac:dyDescent="0.25">
      <c r="A153" s="76"/>
      <c r="B153" s="37" t="str">
        <f>IF(A153="","",IFERROR(VLOOKUP(A153,DB_Customers!$A:$D,4,0),"❌ Account Not Found"))</f>
        <v/>
      </c>
      <c r="C153" s="77" t="str">
        <f>IF(A153="","",IFERROR(VLOOKUP(A153,DB_Customers!$A:$N,14,0),"❌ Acct Not Found"))</f>
        <v/>
      </c>
      <c r="D153" s="78" t="str">
        <f t="shared" ca="1" si="12"/>
        <v/>
      </c>
      <c r="E153" s="94"/>
      <c r="F153" s="37"/>
      <c r="G153" s="95" t="str">
        <f t="shared" si="13"/>
        <v/>
      </c>
      <c r="H153" s="39" t="s">
        <v>141</v>
      </c>
      <c r="I153" s="81"/>
      <c r="J153" s="82" t="str">
        <f>IF(AND(A153&lt;&gt;"",E153&lt;&gt;""),IF(I153="","⚠️ Enter Code",IF(IFERROR(VLOOKUP(H153,DB_Agents!$B:$I,8,0),"")=I153,IF(C153&gt;=E153,"Successful","Unsuccessful"),"🔒 BLOCKED — Wrong Code")),"Pending")</f>
        <v>Pending</v>
      </c>
      <c r="K153" s="83" t="str">
        <f t="shared" ca="1" si="14"/>
        <v>—</v>
      </c>
      <c r="L153" s="84"/>
    </row>
    <row r="154" spans="1:12" ht="15" customHeight="1" x14ac:dyDescent="0.25">
      <c r="A154" s="85"/>
      <c r="B154" s="41" t="str">
        <f>IF(A154="","",IFERROR(VLOOKUP(A154,DB_Customers!$A:$D,4,0),"❌ Account Not Found"))</f>
        <v/>
      </c>
      <c r="C154" s="86" t="str">
        <f>IF(A154="","",IFERROR(VLOOKUP(A154,DB_Customers!$A:$N,14,0),"❌ Acct Not Found"))</f>
        <v/>
      </c>
      <c r="D154" s="87" t="str">
        <f t="shared" ca="1" si="12"/>
        <v/>
      </c>
      <c r="E154" s="94"/>
      <c r="F154" s="41"/>
      <c r="G154" s="96" t="str">
        <f t="shared" si="13"/>
        <v/>
      </c>
      <c r="H154" s="43" t="s">
        <v>141</v>
      </c>
      <c r="I154" s="81"/>
      <c r="J154" s="89" t="str">
        <f>IF(AND(A154&lt;&gt;"",E154&lt;&gt;""),IF(I154="","⚠️ Enter Code",IF(IFERROR(VLOOKUP(H154,DB_Agents!$B:$I,8,0),"")=I154,IF(C154&gt;=E154,"Successful","Unsuccessful"),"🔒 BLOCKED — Wrong Code")),"Pending")</f>
        <v>Pending</v>
      </c>
      <c r="K154" s="90" t="str">
        <f t="shared" ca="1" si="14"/>
        <v>—</v>
      </c>
      <c r="L154" s="91"/>
    </row>
    <row r="155" spans="1:12" ht="15" customHeight="1" x14ac:dyDescent="0.25">
      <c r="A155" s="76"/>
      <c r="B155" s="37" t="str">
        <f>IF(A155="","",IFERROR(VLOOKUP(A155,DB_Customers!$A:$D,4,0),"❌ Account Not Found"))</f>
        <v/>
      </c>
      <c r="C155" s="77" t="str">
        <f>IF(A155="","",IFERROR(VLOOKUP(A155,DB_Customers!$A:$N,14,0),"❌ Acct Not Found"))</f>
        <v/>
      </c>
      <c r="D155" s="78" t="str">
        <f t="shared" ca="1" si="12"/>
        <v/>
      </c>
      <c r="E155" s="94"/>
      <c r="F155" s="37"/>
      <c r="G155" s="95" t="str">
        <f t="shared" si="13"/>
        <v/>
      </c>
      <c r="H155" s="39" t="s">
        <v>141</v>
      </c>
      <c r="I155" s="81"/>
      <c r="J155" s="82" t="str">
        <f>IF(AND(A155&lt;&gt;"",E155&lt;&gt;""),IF(I155="","⚠️ Enter Code",IF(IFERROR(VLOOKUP(H155,DB_Agents!$B:$I,8,0),"")=I155,IF(C155&gt;=E155,"Successful","Unsuccessful"),"🔒 BLOCKED — Wrong Code")),"Pending")</f>
        <v>Pending</v>
      </c>
      <c r="K155" s="83" t="str">
        <f t="shared" ca="1" si="14"/>
        <v>—</v>
      </c>
      <c r="L155" s="84"/>
    </row>
    <row r="156" spans="1:12" ht="15" customHeight="1" x14ac:dyDescent="0.25">
      <c r="A156" s="85"/>
      <c r="B156" s="41" t="str">
        <f>IF(A156="","",IFERROR(VLOOKUP(A156,DB_Customers!$A:$D,4,0),"❌ Account Not Found"))</f>
        <v/>
      </c>
      <c r="C156" s="86" t="str">
        <f>IF(A156="","",IFERROR(VLOOKUP(A156,DB_Customers!$A:$N,14,0),"❌ Acct Not Found"))</f>
        <v/>
      </c>
      <c r="D156" s="87" t="str">
        <f t="shared" ca="1" si="12"/>
        <v/>
      </c>
      <c r="E156" s="94"/>
      <c r="F156" s="41"/>
      <c r="G156" s="96" t="str">
        <f t="shared" si="13"/>
        <v/>
      </c>
      <c r="H156" s="43" t="s">
        <v>141</v>
      </c>
      <c r="I156" s="81"/>
      <c r="J156" s="89" t="str">
        <f>IF(AND(A156&lt;&gt;"",E156&lt;&gt;""),IF(I156="","⚠️ Enter Code",IF(IFERROR(VLOOKUP(H156,DB_Agents!$B:$I,8,0),"")=I156,IF(C156&gt;=E156,"Successful","Unsuccessful"),"🔒 BLOCKED — Wrong Code")),"Pending")</f>
        <v>Pending</v>
      </c>
      <c r="K156" s="90" t="str">
        <f t="shared" ca="1" si="14"/>
        <v>—</v>
      </c>
      <c r="L156" s="91"/>
    </row>
    <row r="157" spans="1:12" ht="15" customHeight="1" x14ac:dyDescent="0.25">
      <c r="A157" s="76"/>
      <c r="B157" s="37" t="str">
        <f>IF(A157="","",IFERROR(VLOOKUP(A157,DB_Customers!$A:$D,4,0),"❌ Account Not Found"))</f>
        <v/>
      </c>
      <c r="C157" s="77" t="str">
        <f>IF(A157="","",IFERROR(VLOOKUP(A157,DB_Customers!$A:$N,14,0),"❌ Acct Not Found"))</f>
        <v/>
      </c>
      <c r="D157" s="78" t="str">
        <f t="shared" ca="1" si="12"/>
        <v/>
      </c>
      <c r="E157" s="94"/>
      <c r="F157" s="37"/>
      <c r="G157" s="95" t="str">
        <f t="shared" si="13"/>
        <v/>
      </c>
      <c r="H157" s="39" t="s">
        <v>141</v>
      </c>
      <c r="I157" s="81"/>
      <c r="J157" s="82" t="str">
        <f>IF(AND(A157&lt;&gt;"",E157&lt;&gt;""),IF(I157="","⚠️ Enter Code",IF(IFERROR(VLOOKUP(H157,DB_Agents!$B:$I,8,0),"")=I157,IF(C157&gt;=E157,"Successful","Unsuccessful"),"🔒 BLOCKED — Wrong Code")),"Pending")</f>
        <v>Pending</v>
      </c>
      <c r="K157" s="83" t="str">
        <f t="shared" ca="1" si="14"/>
        <v>—</v>
      </c>
      <c r="L157" s="84"/>
    </row>
    <row r="158" spans="1:12" ht="15" customHeight="1" x14ac:dyDescent="0.25">
      <c r="A158" s="85"/>
      <c r="B158" s="41" t="str">
        <f>IF(A158="","",IFERROR(VLOOKUP(A158,DB_Customers!$A:$D,4,0),"❌ Account Not Found"))</f>
        <v/>
      </c>
      <c r="C158" s="86" t="str">
        <f>IF(A158="","",IFERROR(VLOOKUP(A158,DB_Customers!$A:$N,14,0),"❌ Acct Not Found"))</f>
        <v/>
      </c>
      <c r="D158" s="87" t="str">
        <f t="shared" ca="1" si="12"/>
        <v/>
      </c>
      <c r="E158" s="94"/>
      <c r="F158" s="41"/>
      <c r="G158" s="96" t="str">
        <f t="shared" si="13"/>
        <v/>
      </c>
      <c r="H158" s="43" t="s">
        <v>141</v>
      </c>
      <c r="I158" s="81"/>
      <c r="J158" s="89" t="str">
        <f>IF(AND(A158&lt;&gt;"",E158&lt;&gt;""),IF(I158="","⚠️ Enter Code",IF(IFERROR(VLOOKUP(H158,DB_Agents!$B:$I,8,0),"")=I158,IF(C158&gt;=E158,"Successful","Unsuccessful"),"🔒 BLOCKED — Wrong Code")),"Pending")</f>
        <v>Pending</v>
      </c>
      <c r="K158" s="90" t="str">
        <f t="shared" ca="1" si="14"/>
        <v>—</v>
      </c>
      <c r="L158" s="91"/>
    </row>
    <row r="159" spans="1:12" ht="15" customHeight="1" x14ac:dyDescent="0.25">
      <c r="A159" s="76"/>
      <c r="B159" s="37" t="str">
        <f>IF(A159="","",IFERROR(VLOOKUP(A159,DB_Customers!$A:$D,4,0),"❌ Account Not Found"))</f>
        <v/>
      </c>
      <c r="C159" s="77" t="str">
        <f>IF(A159="","",IFERROR(VLOOKUP(A159,DB_Customers!$A:$N,14,0),"❌ Acct Not Found"))</f>
        <v/>
      </c>
      <c r="D159" s="78" t="str">
        <f t="shared" ca="1" si="12"/>
        <v/>
      </c>
      <c r="E159" s="94"/>
      <c r="F159" s="37"/>
      <c r="G159" s="95" t="str">
        <f t="shared" si="13"/>
        <v/>
      </c>
      <c r="H159" s="39" t="s">
        <v>141</v>
      </c>
      <c r="I159" s="81"/>
      <c r="J159" s="82" t="str">
        <f>IF(AND(A159&lt;&gt;"",E159&lt;&gt;""),IF(I159="","⚠️ Enter Code",IF(IFERROR(VLOOKUP(H159,DB_Agents!$B:$I,8,0),"")=I159,IF(C159&gt;=E159,"Successful","Unsuccessful"),"🔒 BLOCKED — Wrong Code")),"Pending")</f>
        <v>Pending</v>
      </c>
      <c r="K159" s="83" t="str">
        <f t="shared" ca="1" si="14"/>
        <v>—</v>
      </c>
      <c r="L159" s="84"/>
    </row>
    <row r="160" spans="1:12" ht="15" customHeight="1" x14ac:dyDescent="0.25">
      <c r="A160" s="85"/>
      <c r="B160" s="41" t="str">
        <f>IF(A160="","",IFERROR(VLOOKUP(A160,DB_Customers!$A:$D,4,0),"❌ Account Not Found"))</f>
        <v/>
      </c>
      <c r="C160" s="86" t="str">
        <f>IF(A160="","",IFERROR(VLOOKUP(A160,DB_Customers!$A:$N,14,0),"❌ Acct Not Found"))</f>
        <v/>
      </c>
      <c r="D160" s="87" t="str">
        <f t="shared" ca="1" si="12"/>
        <v/>
      </c>
      <c r="E160" s="94"/>
      <c r="F160" s="41"/>
      <c r="G160" s="96" t="str">
        <f t="shared" si="13"/>
        <v/>
      </c>
      <c r="H160" s="43" t="s">
        <v>141</v>
      </c>
      <c r="I160" s="81"/>
      <c r="J160" s="89" t="str">
        <f>IF(AND(A160&lt;&gt;"",E160&lt;&gt;""),IF(I160="","⚠️ Enter Code",IF(IFERROR(VLOOKUP(H160,DB_Agents!$B:$I,8,0),"")=I160,IF(C160&gt;=E160,"Successful","Unsuccessful"),"🔒 BLOCKED — Wrong Code")),"Pending")</f>
        <v>Pending</v>
      </c>
      <c r="K160" s="90" t="str">
        <f t="shared" ca="1" si="14"/>
        <v>—</v>
      </c>
      <c r="L160" s="91"/>
    </row>
    <row r="161" spans="1:12" ht="15" customHeight="1" x14ac:dyDescent="0.25">
      <c r="A161" s="76"/>
      <c r="B161" s="37" t="str">
        <f>IF(A161="","",IFERROR(VLOOKUP(A161,DB_Customers!$A:$D,4,0),"❌ Account Not Found"))</f>
        <v/>
      </c>
      <c r="C161" s="77" t="str">
        <f>IF(A161="","",IFERROR(VLOOKUP(A161,DB_Customers!$A:$N,14,0),"❌ Acct Not Found"))</f>
        <v/>
      </c>
      <c r="D161" s="78" t="str">
        <f t="shared" ca="1" si="12"/>
        <v/>
      </c>
      <c r="E161" s="94"/>
      <c r="F161" s="37"/>
      <c r="G161" s="95" t="str">
        <f t="shared" si="13"/>
        <v/>
      </c>
      <c r="H161" s="39" t="s">
        <v>141</v>
      </c>
      <c r="I161" s="81"/>
      <c r="J161" s="82" t="str">
        <f>IF(AND(A161&lt;&gt;"",E161&lt;&gt;""),IF(I161="","⚠️ Enter Code",IF(IFERROR(VLOOKUP(H161,DB_Agents!$B:$I,8,0),"")=I161,IF(C161&gt;=E161,"Successful","Unsuccessful"),"🔒 BLOCKED — Wrong Code")),"Pending")</f>
        <v>Pending</v>
      </c>
      <c r="K161" s="83" t="str">
        <f t="shared" ca="1" si="14"/>
        <v>—</v>
      </c>
      <c r="L161" s="84"/>
    </row>
    <row r="162" spans="1:12" ht="15" customHeight="1" x14ac:dyDescent="0.25">
      <c r="A162" s="85"/>
      <c r="B162" s="41" t="str">
        <f>IF(A162="","",IFERROR(VLOOKUP(A162,DB_Customers!$A:$D,4,0),"❌ Account Not Found"))</f>
        <v/>
      </c>
      <c r="C162" s="86" t="str">
        <f>IF(A162="","",IFERROR(VLOOKUP(A162,DB_Customers!$A:$N,14,0),"❌ Acct Not Found"))</f>
        <v/>
      </c>
      <c r="D162" s="87" t="str">
        <f t="shared" ca="1" si="12"/>
        <v/>
      </c>
      <c r="E162" s="94"/>
      <c r="F162" s="41"/>
      <c r="G162" s="96" t="str">
        <f t="shared" si="13"/>
        <v/>
      </c>
      <c r="H162" s="43" t="s">
        <v>141</v>
      </c>
      <c r="I162" s="81"/>
      <c r="J162" s="89" t="str">
        <f>IF(AND(A162&lt;&gt;"",E162&lt;&gt;""),IF(I162="","⚠️ Enter Code",IF(IFERROR(VLOOKUP(H162,DB_Agents!$B:$I,8,0),"")=I162,IF(C162&gt;=E162,"Successful","Unsuccessful"),"🔒 BLOCKED — Wrong Code")),"Pending")</f>
        <v>Pending</v>
      </c>
      <c r="K162" s="90" t="str">
        <f t="shared" ca="1" si="14"/>
        <v>—</v>
      </c>
      <c r="L162" s="91"/>
    </row>
    <row r="163" spans="1:12" ht="15" customHeight="1" x14ac:dyDescent="0.25">
      <c r="A163" s="76"/>
      <c r="B163" s="37" t="str">
        <f>IF(A163="","",IFERROR(VLOOKUP(A163,DB_Customers!$A:$D,4,0),"❌ Account Not Found"))</f>
        <v/>
      </c>
      <c r="C163" s="77" t="str">
        <f>IF(A163="","",IFERROR(VLOOKUP(A163,DB_Customers!$A:$N,14,0),"❌ Acct Not Found"))</f>
        <v/>
      </c>
      <c r="D163" s="78" t="str">
        <f t="shared" ca="1" si="12"/>
        <v/>
      </c>
      <c r="E163" s="94"/>
      <c r="F163" s="37"/>
      <c r="G163" s="95" t="str">
        <f t="shared" si="13"/>
        <v/>
      </c>
      <c r="H163" s="39" t="s">
        <v>141</v>
      </c>
      <c r="I163" s="81"/>
      <c r="J163" s="82" t="str">
        <f>IF(AND(A163&lt;&gt;"",E163&lt;&gt;""),IF(I163="","⚠️ Enter Code",IF(IFERROR(VLOOKUP(H163,DB_Agents!$B:$I,8,0),"")=I163,IF(C163&gt;=E163,"Successful","Unsuccessful"),"🔒 BLOCKED — Wrong Code")),"Pending")</f>
        <v>Pending</v>
      </c>
      <c r="K163" s="83" t="str">
        <f t="shared" ca="1" si="14"/>
        <v>—</v>
      </c>
      <c r="L163" s="84"/>
    </row>
    <row r="164" spans="1:12" ht="15" customHeight="1" x14ac:dyDescent="0.25">
      <c r="A164" s="85"/>
      <c r="B164" s="41" t="str">
        <f>IF(A164="","",IFERROR(VLOOKUP(A164,DB_Customers!$A:$D,4,0),"❌ Account Not Found"))</f>
        <v/>
      </c>
      <c r="C164" s="86" t="str">
        <f>IF(A164="","",IFERROR(VLOOKUP(A164,DB_Customers!$A:$N,14,0),"❌ Acct Not Found"))</f>
        <v/>
      </c>
      <c r="D164" s="87" t="str">
        <f t="shared" ca="1" si="12"/>
        <v/>
      </c>
      <c r="E164" s="94"/>
      <c r="F164" s="41"/>
      <c r="G164" s="96" t="str">
        <f t="shared" si="13"/>
        <v/>
      </c>
      <c r="H164" s="43" t="s">
        <v>141</v>
      </c>
      <c r="I164" s="81"/>
      <c r="J164" s="89" t="str">
        <f>IF(AND(A164&lt;&gt;"",E164&lt;&gt;""),IF(I164="","⚠️ Enter Code",IF(IFERROR(VLOOKUP(H164,DB_Agents!$B:$I,8,0),"")=I164,IF(C164&gt;=E164,"Successful","Unsuccessful"),"🔒 BLOCKED — Wrong Code")),"Pending")</f>
        <v>Pending</v>
      </c>
      <c r="K164" s="90" t="str">
        <f t="shared" ca="1" si="14"/>
        <v>—</v>
      </c>
      <c r="L164" s="91"/>
    </row>
    <row r="165" spans="1:12" ht="15" customHeight="1" x14ac:dyDescent="0.25">
      <c r="A165" s="76"/>
      <c r="B165" s="37" t="str">
        <f>IF(A165="","",IFERROR(VLOOKUP(A165,DB_Customers!$A:$D,4,0),"❌ Account Not Found"))</f>
        <v/>
      </c>
      <c r="C165" s="77" t="str">
        <f>IF(A165="","",IFERROR(VLOOKUP(A165,DB_Customers!$A:$N,14,0),"❌ Acct Not Found"))</f>
        <v/>
      </c>
      <c r="D165" s="78" t="str">
        <f t="shared" ca="1" si="12"/>
        <v/>
      </c>
      <c r="E165" s="94"/>
      <c r="F165" s="37"/>
      <c r="G165" s="95" t="str">
        <f t="shared" si="13"/>
        <v/>
      </c>
      <c r="H165" s="39" t="s">
        <v>141</v>
      </c>
      <c r="I165" s="81"/>
      <c r="J165" s="82" t="str">
        <f>IF(AND(A165&lt;&gt;"",E165&lt;&gt;""),IF(I165="","⚠️ Enter Code",IF(IFERROR(VLOOKUP(H165,DB_Agents!$B:$I,8,0),"")=I165,IF(C165&gt;=E165,"Successful","Unsuccessful"),"🔒 BLOCKED — Wrong Code")),"Pending")</f>
        <v>Pending</v>
      </c>
      <c r="K165" s="83" t="str">
        <f t="shared" ca="1" si="14"/>
        <v>—</v>
      </c>
      <c r="L165" s="84"/>
    </row>
    <row r="166" spans="1:12" ht="15" customHeight="1" x14ac:dyDescent="0.25">
      <c r="A166" s="85"/>
      <c r="B166" s="41" t="str">
        <f>IF(A166="","",IFERROR(VLOOKUP(A166,DB_Customers!$A:$D,4,0),"❌ Account Not Found"))</f>
        <v/>
      </c>
      <c r="C166" s="86" t="str">
        <f>IF(A166="","",IFERROR(VLOOKUP(A166,DB_Customers!$A:$N,14,0),"❌ Acct Not Found"))</f>
        <v/>
      </c>
      <c r="D166" s="87" t="str">
        <f t="shared" ca="1" si="12"/>
        <v/>
      </c>
      <c r="E166" s="94"/>
      <c r="F166" s="41"/>
      <c r="G166" s="96" t="str">
        <f t="shared" si="13"/>
        <v/>
      </c>
      <c r="H166" s="43" t="s">
        <v>141</v>
      </c>
      <c r="I166" s="81"/>
      <c r="J166" s="89" t="str">
        <f>IF(AND(A166&lt;&gt;"",E166&lt;&gt;""),IF(I166="","⚠️ Enter Code",IF(IFERROR(VLOOKUP(H166,DB_Agents!$B:$I,8,0),"")=I166,IF(C166&gt;=E166,"Successful","Unsuccessful"),"🔒 BLOCKED — Wrong Code")),"Pending")</f>
        <v>Pending</v>
      </c>
      <c r="K166" s="90" t="str">
        <f t="shared" ca="1" si="14"/>
        <v>—</v>
      </c>
      <c r="L166" s="91"/>
    </row>
    <row r="167" spans="1:12" ht="15" customHeight="1" x14ac:dyDescent="0.25">
      <c r="A167" s="76"/>
      <c r="B167" s="37" t="str">
        <f>IF(A167="","",IFERROR(VLOOKUP(A167,DB_Customers!$A:$D,4,0),"❌ Account Not Found"))</f>
        <v/>
      </c>
      <c r="C167" s="77" t="str">
        <f>IF(A167="","",IFERROR(VLOOKUP(A167,DB_Customers!$A:$N,14,0),"❌ Acct Not Found"))</f>
        <v/>
      </c>
      <c r="D167" s="78" t="str">
        <f t="shared" ca="1" si="12"/>
        <v/>
      </c>
      <c r="E167" s="94"/>
      <c r="F167" s="37"/>
      <c r="G167" s="95" t="str">
        <f t="shared" si="13"/>
        <v/>
      </c>
      <c r="H167" s="39" t="s">
        <v>141</v>
      </c>
      <c r="I167" s="81"/>
      <c r="J167" s="82" t="str">
        <f>IF(AND(A167&lt;&gt;"",E167&lt;&gt;""),IF(I167="","⚠️ Enter Code",IF(IFERROR(VLOOKUP(H167,DB_Agents!$B:$I,8,0),"")=I167,IF(C167&gt;=E167,"Successful","Unsuccessful"),"🔒 BLOCKED — Wrong Code")),"Pending")</f>
        <v>Pending</v>
      </c>
      <c r="K167" s="83" t="str">
        <f t="shared" ca="1" si="14"/>
        <v>—</v>
      </c>
      <c r="L167" s="84"/>
    </row>
    <row r="168" spans="1:12" ht="15" customHeight="1" x14ac:dyDescent="0.25">
      <c r="A168" s="85"/>
      <c r="B168" s="41" t="str">
        <f>IF(A168="","",IFERROR(VLOOKUP(A168,DB_Customers!$A:$D,4,0),"❌ Account Not Found"))</f>
        <v/>
      </c>
      <c r="C168" s="86" t="str">
        <f>IF(A168="","",IFERROR(VLOOKUP(A168,DB_Customers!$A:$N,14,0),"❌ Acct Not Found"))</f>
        <v/>
      </c>
      <c r="D168" s="87" t="str">
        <f t="shared" ca="1" si="12"/>
        <v/>
      </c>
      <c r="E168" s="94"/>
      <c r="F168" s="41"/>
      <c r="G168" s="96" t="str">
        <f t="shared" si="13"/>
        <v/>
      </c>
      <c r="H168" s="43" t="s">
        <v>141</v>
      </c>
      <c r="I168" s="81"/>
      <c r="J168" s="89" t="str">
        <f>IF(AND(A168&lt;&gt;"",E168&lt;&gt;""),IF(I168="","⚠️ Enter Code",IF(IFERROR(VLOOKUP(H168,DB_Agents!$B:$I,8,0),"")=I168,IF(C168&gt;=E168,"Successful","Unsuccessful"),"🔒 BLOCKED — Wrong Code")),"Pending")</f>
        <v>Pending</v>
      </c>
      <c r="K168" s="90" t="str">
        <f t="shared" ca="1" si="14"/>
        <v>—</v>
      </c>
      <c r="L168" s="91"/>
    </row>
    <row r="169" spans="1:12" ht="15" customHeight="1" x14ac:dyDescent="0.25">
      <c r="A169" s="76"/>
      <c r="B169" s="37" t="str">
        <f>IF(A169="","",IFERROR(VLOOKUP(A169,DB_Customers!$A:$D,4,0),"❌ Account Not Found"))</f>
        <v/>
      </c>
      <c r="C169" s="77" t="str">
        <f>IF(A169="","",IFERROR(VLOOKUP(A169,DB_Customers!$A:$N,14,0),"❌ Acct Not Found"))</f>
        <v/>
      </c>
      <c r="D169" s="78" t="str">
        <f t="shared" ref="D169:D200" ca="1" si="15">IF(A169="","",TODAY())</f>
        <v/>
      </c>
      <c r="E169" s="94"/>
      <c r="F169" s="37"/>
      <c r="G169" s="95" t="str">
        <f t="shared" ref="G169:G200" si="16">IF(OR(A169="",E169=""),"",IF(C169="","",C169-E169))</f>
        <v/>
      </c>
      <c r="H169" s="39" t="s">
        <v>141</v>
      </c>
      <c r="I169" s="81"/>
      <c r="J169" s="82" t="str">
        <f>IF(AND(A169&lt;&gt;"",E169&lt;&gt;""),IF(I169="","⚠️ Enter Code",IF(IFERROR(VLOOKUP(H169,DB_Agents!$B:$I,8,0),"")=I169,IF(C169&gt;=E169,"Successful","Unsuccessful"),"🔒 BLOCKED — Wrong Code")),"Pending")</f>
        <v>Pending</v>
      </c>
      <c r="K169" s="83" t="str">
        <f t="shared" ref="K169:K200" ca="1" si="17">IF(J169="Successful",TEXT(TODAY(),"YYYY-MM-DD")&amp;" Auto","—")</f>
        <v>—</v>
      </c>
      <c r="L169" s="84"/>
    </row>
    <row r="170" spans="1:12" ht="15" customHeight="1" x14ac:dyDescent="0.25">
      <c r="A170" s="85"/>
      <c r="B170" s="41" t="str">
        <f>IF(A170="","",IFERROR(VLOOKUP(A170,DB_Customers!$A:$D,4,0),"❌ Account Not Found"))</f>
        <v/>
      </c>
      <c r="C170" s="86" t="str">
        <f>IF(A170="","",IFERROR(VLOOKUP(A170,DB_Customers!$A:$N,14,0),"❌ Acct Not Found"))</f>
        <v/>
      </c>
      <c r="D170" s="87" t="str">
        <f t="shared" ca="1" si="15"/>
        <v/>
      </c>
      <c r="E170" s="94"/>
      <c r="F170" s="41"/>
      <c r="G170" s="96" t="str">
        <f t="shared" si="16"/>
        <v/>
      </c>
      <c r="H170" s="43" t="s">
        <v>141</v>
      </c>
      <c r="I170" s="81"/>
      <c r="J170" s="89" t="str">
        <f>IF(AND(A170&lt;&gt;"",E170&lt;&gt;""),IF(I170="","⚠️ Enter Code",IF(IFERROR(VLOOKUP(H170,DB_Agents!$B:$I,8,0),"")=I170,IF(C170&gt;=E170,"Successful","Unsuccessful"),"🔒 BLOCKED — Wrong Code")),"Pending")</f>
        <v>Pending</v>
      </c>
      <c r="K170" s="90" t="str">
        <f t="shared" ca="1" si="17"/>
        <v>—</v>
      </c>
      <c r="L170" s="91"/>
    </row>
    <row r="171" spans="1:12" ht="15" customHeight="1" x14ac:dyDescent="0.25">
      <c r="A171" s="76"/>
      <c r="B171" s="37" t="str">
        <f>IF(A171="","",IFERROR(VLOOKUP(A171,DB_Customers!$A:$D,4,0),"❌ Account Not Found"))</f>
        <v/>
      </c>
      <c r="C171" s="77" t="str">
        <f>IF(A171="","",IFERROR(VLOOKUP(A171,DB_Customers!$A:$N,14,0),"❌ Acct Not Found"))</f>
        <v/>
      </c>
      <c r="D171" s="78" t="str">
        <f t="shared" ca="1" si="15"/>
        <v/>
      </c>
      <c r="E171" s="94"/>
      <c r="F171" s="37"/>
      <c r="G171" s="95" t="str">
        <f t="shared" si="16"/>
        <v/>
      </c>
      <c r="H171" s="39" t="s">
        <v>141</v>
      </c>
      <c r="I171" s="81"/>
      <c r="J171" s="82" t="str">
        <f>IF(AND(A171&lt;&gt;"",E171&lt;&gt;""),IF(I171="","⚠️ Enter Code",IF(IFERROR(VLOOKUP(H171,DB_Agents!$B:$I,8,0),"")=I171,IF(C171&gt;=E171,"Successful","Unsuccessful"),"🔒 BLOCKED — Wrong Code")),"Pending")</f>
        <v>Pending</v>
      </c>
      <c r="K171" s="83" t="str">
        <f t="shared" ca="1" si="17"/>
        <v>—</v>
      </c>
      <c r="L171" s="84"/>
    </row>
    <row r="172" spans="1:12" ht="15" customHeight="1" x14ac:dyDescent="0.25">
      <c r="A172" s="85"/>
      <c r="B172" s="41" t="str">
        <f>IF(A172="","",IFERROR(VLOOKUP(A172,DB_Customers!$A:$D,4,0),"❌ Account Not Found"))</f>
        <v/>
      </c>
      <c r="C172" s="86" t="str">
        <f>IF(A172="","",IFERROR(VLOOKUP(A172,DB_Customers!$A:$N,14,0),"❌ Acct Not Found"))</f>
        <v/>
      </c>
      <c r="D172" s="87" t="str">
        <f t="shared" ca="1" si="15"/>
        <v/>
      </c>
      <c r="E172" s="94"/>
      <c r="F172" s="41"/>
      <c r="G172" s="96" t="str">
        <f t="shared" si="16"/>
        <v/>
      </c>
      <c r="H172" s="43" t="s">
        <v>141</v>
      </c>
      <c r="I172" s="81"/>
      <c r="J172" s="89" t="str">
        <f>IF(AND(A172&lt;&gt;"",E172&lt;&gt;""),IF(I172="","⚠️ Enter Code",IF(IFERROR(VLOOKUP(H172,DB_Agents!$B:$I,8,0),"")=I172,IF(C172&gt;=E172,"Successful","Unsuccessful"),"🔒 BLOCKED — Wrong Code")),"Pending")</f>
        <v>Pending</v>
      </c>
      <c r="K172" s="90" t="str">
        <f t="shared" ca="1" si="17"/>
        <v>—</v>
      </c>
      <c r="L172" s="91"/>
    </row>
    <row r="173" spans="1:12" ht="15" customHeight="1" x14ac:dyDescent="0.25">
      <c r="A173" s="76"/>
      <c r="B173" s="37" t="str">
        <f>IF(A173="","",IFERROR(VLOOKUP(A173,DB_Customers!$A:$D,4,0),"❌ Account Not Found"))</f>
        <v/>
      </c>
      <c r="C173" s="77" t="str">
        <f>IF(A173="","",IFERROR(VLOOKUP(A173,DB_Customers!$A:$N,14,0),"❌ Acct Not Found"))</f>
        <v/>
      </c>
      <c r="D173" s="78" t="str">
        <f t="shared" ca="1" si="15"/>
        <v/>
      </c>
      <c r="E173" s="94"/>
      <c r="F173" s="37"/>
      <c r="G173" s="95" t="str">
        <f t="shared" si="16"/>
        <v/>
      </c>
      <c r="H173" s="39" t="s">
        <v>141</v>
      </c>
      <c r="I173" s="81"/>
      <c r="J173" s="82" t="str">
        <f>IF(AND(A173&lt;&gt;"",E173&lt;&gt;""),IF(I173="","⚠️ Enter Code",IF(IFERROR(VLOOKUP(H173,DB_Agents!$B:$I,8,0),"")=I173,IF(C173&gt;=E173,"Successful","Unsuccessful"),"🔒 BLOCKED — Wrong Code")),"Pending")</f>
        <v>Pending</v>
      </c>
      <c r="K173" s="83" t="str">
        <f t="shared" ca="1" si="17"/>
        <v>—</v>
      </c>
      <c r="L173" s="84"/>
    </row>
    <row r="174" spans="1:12" ht="15" customHeight="1" x14ac:dyDescent="0.25">
      <c r="A174" s="85"/>
      <c r="B174" s="41" t="str">
        <f>IF(A174="","",IFERROR(VLOOKUP(A174,DB_Customers!$A:$D,4,0),"❌ Account Not Found"))</f>
        <v/>
      </c>
      <c r="C174" s="86" t="str">
        <f>IF(A174="","",IFERROR(VLOOKUP(A174,DB_Customers!$A:$N,14,0),"❌ Acct Not Found"))</f>
        <v/>
      </c>
      <c r="D174" s="87" t="str">
        <f t="shared" ca="1" si="15"/>
        <v/>
      </c>
      <c r="E174" s="94"/>
      <c r="F174" s="41"/>
      <c r="G174" s="96" t="str">
        <f t="shared" si="16"/>
        <v/>
      </c>
      <c r="H174" s="43" t="s">
        <v>141</v>
      </c>
      <c r="I174" s="81"/>
      <c r="J174" s="89" t="str">
        <f>IF(AND(A174&lt;&gt;"",E174&lt;&gt;""),IF(I174="","⚠️ Enter Code",IF(IFERROR(VLOOKUP(H174,DB_Agents!$B:$I,8,0),"")=I174,IF(C174&gt;=E174,"Successful","Unsuccessful"),"🔒 BLOCKED — Wrong Code")),"Pending")</f>
        <v>Pending</v>
      </c>
      <c r="K174" s="90" t="str">
        <f t="shared" ca="1" si="17"/>
        <v>—</v>
      </c>
      <c r="L174" s="91"/>
    </row>
    <row r="175" spans="1:12" ht="15" customHeight="1" x14ac:dyDescent="0.25">
      <c r="A175" s="76"/>
      <c r="B175" s="37" t="str">
        <f>IF(A175="","",IFERROR(VLOOKUP(A175,DB_Customers!$A:$D,4,0),"❌ Account Not Found"))</f>
        <v/>
      </c>
      <c r="C175" s="77" t="str">
        <f>IF(A175="","",IFERROR(VLOOKUP(A175,DB_Customers!$A:$N,14,0),"❌ Acct Not Found"))</f>
        <v/>
      </c>
      <c r="D175" s="78" t="str">
        <f t="shared" ca="1" si="15"/>
        <v/>
      </c>
      <c r="E175" s="94"/>
      <c r="F175" s="37"/>
      <c r="G175" s="95" t="str">
        <f t="shared" si="16"/>
        <v/>
      </c>
      <c r="H175" s="39" t="s">
        <v>141</v>
      </c>
      <c r="I175" s="81"/>
      <c r="J175" s="82" t="str">
        <f>IF(AND(A175&lt;&gt;"",E175&lt;&gt;""),IF(I175="","⚠️ Enter Code",IF(IFERROR(VLOOKUP(H175,DB_Agents!$B:$I,8,0),"")=I175,IF(C175&gt;=E175,"Successful","Unsuccessful"),"🔒 BLOCKED — Wrong Code")),"Pending")</f>
        <v>Pending</v>
      </c>
      <c r="K175" s="83" t="str">
        <f t="shared" ca="1" si="17"/>
        <v>—</v>
      </c>
      <c r="L175" s="84"/>
    </row>
    <row r="176" spans="1:12" ht="15" customHeight="1" x14ac:dyDescent="0.25">
      <c r="A176" s="85"/>
      <c r="B176" s="41" t="str">
        <f>IF(A176="","",IFERROR(VLOOKUP(A176,DB_Customers!$A:$D,4,0),"❌ Account Not Found"))</f>
        <v/>
      </c>
      <c r="C176" s="86" t="str">
        <f>IF(A176="","",IFERROR(VLOOKUP(A176,DB_Customers!$A:$N,14,0),"❌ Acct Not Found"))</f>
        <v/>
      </c>
      <c r="D176" s="87" t="str">
        <f t="shared" ca="1" si="15"/>
        <v/>
      </c>
      <c r="E176" s="94"/>
      <c r="F176" s="41"/>
      <c r="G176" s="96" t="str">
        <f t="shared" si="16"/>
        <v/>
      </c>
      <c r="H176" s="43" t="s">
        <v>141</v>
      </c>
      <c r="I176" s="81"/>
      <c r="J176" s="89" t="str">
        <f>IF(AND(A176&lt;&gt;"",E176&lt;&gt;""),IF(I176="","⚠️ Enter Code",IF(IFERROR(VLOOKUP(H176,DB_Agents!$B:$I,8,0),"")=I176,IF(C176&gt;=E176,"Successful","Unsuccessful"),"🔒 BLOCKED — Wrong Code")),"Pending")</f>
        <v>Pending</v>
      </c>
      <c r="K176" s="90" t="str">
        <f t="shared" ca="1" si="17"/>
        <v>—</v>
      </c>
      <c r="L176" s="91"/>
    </row>
    <row r="177" spans="1:12" ht="15" customHeight="1" x14ac:dyDescent="0.25">
      <c r="A177" s="76"/>
      <c r="B177" s="37" t="str">
        <f>IF(A177="","",IFERROR(VLOOKUP(A177,DB_Customers!$A:$D,4,0),"❌ Account Not Found"))</f>
        <v/>
      </c>
      <c r="C177" s="77" t="str">
        <f>IF(A177="","",IFERROR(VLOOKUP(A177,DB_Customers!$A:$N,14,0),"❌ Acct Not Found"))</f>
        <v/>
      </c>
      <c r="D177" s="78" t="str">
        <f t="shared" ca="1" si="15"/>
        <v/>
      </c>
      <c r="E177" s="94"/>
      <c r="F177" s="37"/>
      <c r="G177" s="95" t="str">
        <f t="shared" si="16"/>
        <v/>
      </c>
      <c r="H177" s="39" t="s">
        <v>141</v>
      </c>
      <c r="I177" s="81"/>
      <c r="J177" s="82" t="str">
        <f>IF(AND(A177&lt;&gt;"",E177&lt;&gt;""),IF(I177="","⚠️ Enter Code",IF(IFERROR(VLOOKUP(H177,DB_Agents!$B:$I,8,0),"")=I177,IF(C177&gt;=E177,"Successful","Unsuccessful"),"🔒 BLOCKED — Wrong Code")),"Pending")</f>
        <v>Pending</v>
      </c>
      <c r="K177" s="83" t="str">
        <f t="shared" ca="1" si="17"/>
        <v>—</v>
      </c>
      <c r="L177" s="84"/>
    </row>
    <row r="178" spans="1:12" ht="15" customHeight="1" x14ac:dyDescent="0.25">
      <c r="A178" s="85"/>
      <c r="B178" s="41" t="str">
        <f>IF(A178="","",IFERROR(VLOOKUP(A178,DB_Customers!$A:$D,4,0),"❌ Account Not Found"))</f>
        <v/>
      </c>
      <c r="C178" s="86" t="str">
        <f>IF(A178="","",IFERROR(VLOOKUP(A178,DB_Customers!$A:$N,14,0),"❌ Acct Not Found"))</f>
        <v/>
      </c>
      <c r="D178" s="87" t="str">
        <f t="shared" ca="1" si="15"/>
        <v/>
      </c>
      <c r="E178" s="94"/>
      <c r="F178" s="41"/>
      <c r="G178" s="96" t="str">
        <f t="shared" si="16"/>
        <v/>
      </c>
      <c r="H178" s="43" t="s">
        <v>141</v>
      </c>
      <c r="I178" s="81"/>
      <c r="J178" s="89" t="str">
        <f>IF(AND(A178&lt;&gt;"",E178&lt;&gt;""),IF(I178="","⚠️ Enter Code",IF(IFERROR(VLOOKUP(H178,DB_Agents!$B:$I,8,0),"")=I178,IF(C178&gt;=E178,"Successful","Unsuccessful"),"🔒 BLOCKED — Wrong Code")),"Pending")</f>
        <v>Pending</v>
      </c>
      <c r="K178" s="90" t="str">
        <f t="shared" ca="1" si="17"/>
        <v>—</v>
      </c>
      <c r="L178" s="91"/>
    </row>
    <row r="179" spans="1:12" ht="15" customHeight="1" x14ac:dyDescent="0.25">
      <c r="A179" s="76"/>
      <c r="B179" s="37" t="str">
        <f>IF(A179="","",IFERROR(VLOOKUP(A179,DB_Customers!$A:$D,4,0),"❌ Account Not Found"))</f>
        <v/>
      </c>
      <c r="C179" s="77" t="str">
        <f>IF(A179="","",IFERROR(VLOOKUP(A179,DB_Customers!$A:$N,14,0),"❌ Acct Not Found"))</f>
        <v/>
      </c>
      <c r="D179" s="78" t="str">
        <f t="shared" ca="1" si="15"/>
        <v/>
      </c>
      <c r="E179" s="94"/>
      <c r="F179" s="37"/>
      <c r="G179" s="95" t="str">
        <f t="shared" si="16"/>
        <v/>
      </c>
      <c r="H179" s="39" t="s">
        <v>141</v>
      </c>
      <c r="I179" s="81"/>
      <c r="J179" s="82" t="str">
        <f>IF(AND(A179&lt;&gt;"",E179&lt;&gt;""),IF(I179="","⚠️ Enter Code",IF(IFERROR(VLOOKUP(H179,DB_Agents!$B:$I,8,0),"")=I179,IF(C179&gt;=E179,"Successful","Unsuccessful"),"🔒 BLOCKED — Wrong Code")),"Pending")</f>
        <v>Pending</v>
      </c>
      <c r="K179" s="83" t="str">
        <f t="shared" ca="1" si="17"/>
        <v>—</v>
      </c>
      <c r="L179" s="84"/>
    </row>
    <row r="180" spans="1:12" ht="15" customHeight="1" x14ac:dyDescent="0.25">
      <c r="A180" s="85"/>
      <c r="B180" s="41" t="str">
        <f>IF(A180="","",IFERROR(VLOOKUP(A180,DB_Customers!$A:$D,4,0),"❌ Account Not Found"))</f>
        <v/>
      </c>
      <c r="C180" s="86" t="str">
        <f>IF(A180="","",IFERROR(VLOOKUP(A180,DB_Customers!$A:$N,14,0),"❌ Acct Not Found"))</f>
        <v/>
      </c>
      <c r="D180" s="87" t="str">
        <f t="shared" ca="1" si="15"/>
        <v/>
      </c>
      <c r="E180" s="94"/>
      <c r="F180" s="41"/>
      <c r="G180" s="96" t="str">
        <f t="shared" si="16"/>
        <v/>
      </c>
      <c r="H180" s="43" t="s">
        <v>141</v>
      </c>
      <c r="I180" s="81"/>
      <c r="J180" s="89" t="str">
        <f>IF(AND(A180&lt;&gt;"",E180&lt;&gt;""),IF(I180="","⚠️ Enter Code",IF(IFERROR(VLOOKUP(H180,DB_Agents!$B:$I,8,0),"")=I180,IF(C180&gt;=E180,"Successful","Unsuccessful"),"🔒 BLOCKED — Wrong Code")),"Pending")</f>
        <v>Pending</v>
      </c>
      <c r="K180" s="90" t="str">
        <f t="shared" ca="1" si="17"/>
        <v>—</v>
      </c>
      <c r="L180" s="91"/>
    </row>
    <row r="181" spans="1:12" ht="15" customHeight="1" x14ac:dyDescent="0.25">
      <c r="A181" s="76"/>
      <c r="B181" s="37" t="str">
        <f>IF(A181="","",IFERROR(VLOOKUP(A181,DB_Customers!$A:$D,4,0),"❌ Account Not Found"))</f>
        <v/>
      </c>
      <c r="C181" s="77" t="str">
        <f>IF(A181="","",IFERROR(VLOOKUP(A181,DB_Customers!$A:$N,14,0),"❌ Acct Not Found"))</f>
        <v/>
      </c>
      <c r="D181" s="78" t="str">
        <f t="shared" ca="1" si="15"/>
        <v/>
      </c>
      <c r="E181" s="94"/>
      <c r="F181" s="37"/>
      <c r="G181" s="95" t="str">
        <f t="shared" si="16"/>
        <v/>
      </c>
      <c r="H181" s="39" t="s">
        <v>141</v>
      </c>
      <c r="I181" s="81"/>
      <c r="J181" s="82" t="str">
        <f>IF(AND(A181&lt;&gt;"",E181&lt;&gt;""),IF(I181="","⚠️ Enter Code",IF(IFERROR(VLOOKUP(H181,DB_Agents!$B:$I,8,0),"")=I181,IF(C181&gt;=E181,"Successful","Unsuccessful"),"🔒 BLOCKED — Wrong Code")),"Pending")</f>
        <v>Pending</v>
      </c>
      <c r="K181" s="83" t="str">
        <f t="shared" ca="1" si="17"/>
        <v>—</v>
      </c>
      <c r="L181" s="84"/>
    </row>
    <row r="182" spans="1:12" ht="15" customHeight="1" x14ac:dyDescent="0.25">
      <c r="A182" s="85"/>
      <c r="B182" s="41" t="str">
        <f>IF(A182="","",IFERROR(VLOOKUP(A182,DB_Customers!$A:$D,4,0),"❌ Account Not Found"))</f>
        <v/>
      </c>
      <c r="C182" s="86" t="str">
        <f>IF(A182="","",IFERROR(VLOOKUP(A182,DB_Customers!$A:$N,14,0),"❌ Acct Not Found"))</f>
        <v/>
      </c>
      <c r="D182" s="87" t="str">
        <f t="shared" ca="1" si="15"/>
        <v/>
      </c>
      <c r="E182" s="94"/>
      <c r="F182" s="41"/>
      <c r="G182" s="96" t="str">
        <f t="shared" si="16"/>
        <v/>
      </c>
      <c r="H182" s="43" t="s">
        <v>141</v>
      </c>
      <c r="I182" s="81"/>
      <c r="J182" s="89" t="str">
        <f>IF(AND(A182&lt;&gt;"",E182&lt;&gt;""),IF(I182="","⚠️ Enter Code",IF(IFERROR(VLOOKUP(H182,DB_Agents!$B:$I,8,0),"")=I182,IF(C182&gt;=E182,"Successful","Unsuccessful"),"🔒 BLOCKED — Wrong Code")),"Pending")</f>
        <v>Pending</v>
      </c>
      <c r="K182" s="90" t="str">
        <f t="shared" ca="1" si="17"/>
        <v>—</v>
      </c>
      <c r="L182" s="91"/>
    </row>
    <row r="183" spans="1:12" ht="15" customHeight="1" x14ac:dyDescent="0.25">
      <c r="A183" s="76"/>
      <c r="B183" s="37" t="str">
        <f>IF(A183="","",IFERROR(VLOOKUP(A183,DB_Customers!$A:$D,4,0),"❌ Account Not Found"))</f>
        <v/>
      </c>
      <c r="C183" s="77" t="str">
        <f>IF(A183="","",IFERROR(VLOOKUP(A183,DB_Customers!$A:$N,14,0),"❌ Acct Not Found"))</f>
        <v/>
      </c>
      <c r="D183" s="78" t="str">
        <f t="shared" ca="1" si="15"/>
        <v/>
      </c>
      <c r="E183" s="94"/>
      <c r="F183" s="37"/>
      <c r="G183" s="95" t="str">
        <f t="shared" si="16"/>
        <v/>
      </c>
      <c r="H183" s="39" t="s">
        <v>141</v>
      </c>
      <c r="I183" s="81"/>
      <c r="J183" s="82" t="str">
        <f>IF(AND(A183&lt;&gt;"",E183&lt;&gt;""),IF(I183="","⚠️ Enter Code",IF(IFERROR(VLOOKUP(H183,DB_Agents!$B:$I,8,0),"")=I183,IF(C183&gt;=E183,"Successful","Unsuccessful"),"🔒 BLOCKED — Wrong Code")),"Pending")</f>
        <v>Pending</v>
      </c>
      <c r="K183" s="83" t="str">
        <f t="shared" ca="1" si="17"/>
        <v>—</v>
      </c>
      <c r="L183" s="84"/>
    </row>
    <row r="184" spans="1:12" ht="15" customHeight="1" x14ac:dyDescent="0.25">
      <c r="A184" s="85"/>
      <c r="B184" s="41" t="str">
        <f>IF(A184="","",IFERROR(VLOOKUP(A184,DB_Customers!$A:$D,4,0),"❌ Account Not Found"))</f>
        <v/>
      </c>
      <c r="C184" s="86" t="str">
        <f>IF(A184="","",IFERROR(VLOOKUP(A184,DB_Customers!$A:$N,14,0),"❌ Acct Not Found"))</f>
        <v/>
      </c>
      <c r="D184" s="87" t="str">
        <f t="shared" ca="1" si="15"/>
        <v/>
      </c>
      <c r="E184" s="94"/>
      <c r="F184" s="41"/>
      <c r="G184" s="96" t="str">
        <f t="shared" si="16"/>
        <v/>
      </c>
      <c r="H184" s="43" t="s">
        <v>141</v>
      </c>
      <c r="I184" s="81"/>
      <c r="J184" s="89" t="str">
        <f>IF(AND(A184&lt;&gt;"",E184&lt;&gt;""),IF(I184="","⚠️ Enter Code",IF(IFERROR(VLOOKUP(H184,DB_Agents!$B:$I,8,0),"")=I184,IF(C184&gt;=E184,"Successful","Unsuccessful"),"🔒 BLOCKED — Wrong Code")),"Pending")</f>
        <v>Pending</v>
      </c>
      <c r="K184" s="90" t="str">
        <f t="shared" ca="1" si="17"/>
        <v>—</v>
      </c>
      <c r="L184" s="91"/>
    </row>
    <row r="185" spans="1:12" ht="15" customHeight="1" x14ac:dyDescent="0.25">
      <c r="A185" s="76"/>
      <c r="B185" s="37" t="str">
        <f>IF(A185="","",IFERROR(VLOOKUP(A185,DB_Customers!$A:$D,4,0),"❌ Account Not Found"))</f>
        <v/>
      </c>
      <c r="C185" s="77" t="str">
        <f>IF(A185="","",IFERROR(VLOOKUP(A185,DB_Customers!$A:$N,14,0),"❌ Acct Not Found"))</f>
        <v/>
      </c>
      <c r="D185" s="78" t="str">
        <f t="shared" ca="1" si="15"/>
        <v/>
      </c>
      <c r="E185" s="94"/>
      <c r="F185" s="37"/>
      <c r="G185" s="95" t="str">
        <f t="shared" si="16"/>
        <v/>
      </c>
      <c r="H185" s="39" t="s">
        <v>141</v>
      </c>
      <c r="I185" s="81"/>
      <c r="J185" s="82" t="str">
        <f>IF(AND(A185&lt;&gt;"",E185&lt;&gt;""),IF(I185="","⚠️ Enter Code",IF(IFERROR(VLOOKUP(H185,DB_Agents!$B:$I,8,0),"")=I185,IF(C185&gt;=E185,"Successful","Unsuccessful"),"🔒 BLOCKED — Wrong Code")),"Pending")</f>
        <v>Pending</v>
      </c>
      <c r="K185" s="83" t="str">
        <f t="shared" ca="1" si="17"/>
        <v>—</v>
      </c>
      <c r="L185" s="84"/>
    </row>
    <row r="186" spans="1:12" ht="15" customHeight="1" x14ac:dyDescent="0.25">
      <c r="A186" s="85"/>
      <c r="B186" s="41" t="str">
        <f>IF(A186="","",IFERROR(VLOOKUP(A186,DB_Customers!$A:$D,4,0),"❌ Account Not Found"))</f>
        <v/>
      </c>
      <c r="C186" s="86" t="str">
        <f>IF(A186="","",IFERROR(VLOOKUP(A186,DB_Customers!$A:$N,14,0),"❌ Acct Not Found"))</f>
        <v/>
      </c>
      <c r="D186" s="87" t="str">
        <f t="shared" ca="1" si="15"/>
        <v/>
      </c>
      <c r="E186" s="94"/>
      <c r="F186" s="41"/>
      <c r="G186" s="96" t="str">
        <f t="shared" si="16"/>
        <v/>
      </c>
      <c r="H186" s="43" t="s">
        <v>141</v>
      </c>
      <c r="I186" s="81"/>
      <c r="J186" s="89" t="str">
        <f>IF(AND(A186&lt;&gt;"",E186&lt;&gt;""),IF(I186="","⚠️ Enter Code",IF(IFERROR(VLOOKUP(H186,DB_Agents!$B:$I,8,0),"")=I186,IF(C186&gt;=E186,"Successful","Unsuccessful"),"🔒 BLOCKED — Wrong Code")),"Pending")</f>
        <v>Pending</v>
      </c>
      <c r="K186" s="90" t="str">
        <f t="shared" ca="1" si="17"/>
        <v>—</v>
      </c>
      <c r="L186" s="91"/>
    </row>
    <row r="187" spans="1:12" ht="15" customHeight="1" x14ac:dyDescent="0.25">
      <c r="A187" s="76"/>
      <c r="B187" s="37" t="str">
        <f>IF(A187="","",IFERROR(VLOOKUP(A187,DB_Customers!$A:$D,4,0),"❌ Account Not Found"))</f>
        <v/>
      </c>
      <c r="C187" s="77" t="str">
        <f>IF(A187="","",IFERROR(VLOOKUP(A187,DB_Customers!$A:$N,14,0),"❌ Acct Not Found"))</f>
        <v/>
      </c>
      <c r="D187" s="78" t="str">
        <f t="shared" ca="1" si="15"/>
        <v/>
      </c>
      <c r="E187" s="94"/>
      <c r="F187" s="37"/>
      <c r="G187" s="95" t="str">
        <f t="shared" si="16"/>
        <v/>
      </c>
      <c r="H187" s="39" t="s">
        <v>141</v>
      </c>
      <c r="I187" s="81"/>
      <c r="J187" s="82" t="str">
        <f>IF(AND(A187&lt;&gt;"",E187&lt;&gt;""),IF(I187="","⚠️ Enter Code",IF(IFERROR(VLOOKUP(H187,DB_Agents!$B:$I,8,0),"")=I187,IF(C187&gt;=E187,"Successful","Unsuccessful"),"🔒 BLOCKED — Wrong Code")),"Pending")</f>
        <v>Pending</v>
      </c>
      <c r="K187" s="83" t="str">
        <f t="shared" ca="1" si="17"/>
        <v>—</v>
      </c>
      <c r="L187" s="84"/>
    </row>
    <row r="188" spans="1:12" ht="15" customHeight="1" x14ac:dyDescent="0.25">
      <c r="A188" s="85"/>
      <c r="B188" s="41" t="str">
        <f>IF(A188="","",IFERROR(VLOOKUP(A188,DB_Customers!$A:$D,4,0),"❌ Account Not Found"))</f>
        <v/>
      </c>
      <c r="C188" s="86" t="str">
        <f>IF(A188="","",IFERROR(VLOOKUP(A188,DB_Customers!$A:$N,14,0),"❌ Acct Not Found"))</f>
        <v/>
      </c>
      <c r="D188" s="87" t="str">
        <f t="shared" ca="1" si="15"/>
        <v/>
      </c>
      <c r="E188" s="94"/>
      <c r="F188" s="41"/>
      <c r="G188" s="96" t="str">
        <f t="shared" si="16"/>
        <v/>
      </c>
      <c r="H188" s="43" t="s">
        <v>141</v>
      </c>
      <c r="I188" s="81"/>
      <c r="J188" s="89" t="str">
        <f>IF(AND(A188&lt;&gt;"",E188&lt;&gt;""),IF(I188="","⚠️ Enter Code",IF(IFERROR(VLOOKUP(H188,DB_Agents!$B:$I,8,0),"")=I188,IF(C188&gt;=E188,"Successful","Unsuccessful"),"🔒 BLOCKED — Wrong Code")),"Pending")</f>
        <v>Pending</v>
      </c>
      <c r="K188" s="90" t="str">
        <f t="shared" ca="1" si="17"/>
        <v>—</v>
      </c>
      <c r="L188" s="91"/>
    </row>
    <row r="189" spans="1:12" ht="15" customHeight="1" x14ac:dyDescent="0.25">
      <c r="A189" s="76"/>
      <c r="B189" s="37" t="str">
        <f>IF(A189="","",IFERROR(VLOOKUP(A189,DB_Customers!$A:$D,4,0),"❌ Account Not Found"))</f>
        <v/>
      </c>
      <c r="C189" s="77" t="str">
        <f>IF(A189="","",IFERROR(VLOOKUP(A189,DB_Customers!$A:$N,14,0),"❌ Acct Not Found"))</f>
        <v/>
      </c>
      <c r="D189" s="78" t="str">
        <f t="shared" ca="1" si="15"/>
        <v/>
      </c>
      <c r="E189" s="94"/>
      <c r="F189" s="37"/>
      <c r="G189" s="95" t="str">
        <f t="shared" si="16"/>
        <v/>
      </c>
      <c r="H189" s="39" t="s">
        <v>141</v>
      </c>
      <c r="I189" s="81"/>
      <c r="J189" s="82" t="str">
        <f>IF(AND(A189&lt;&gt;"",E189&lt;&gt;""),IF(I189="","⚠️ Enter Code",IF(IFERROR(VLOOKUP(H189,DB_Agents!$B:$I,8,0),"")=I189,IF(C189&gt;=E189,"Successful","Unsuccessful"),"🔒 BLOCKED — Wrong Code")),"Pending")</f>
        <v>Pending</v>
      </c>
      <c r="K189" s="83" t="str">
        <f t="shared" ca="1" si="17"/>
        <v>—</v>
      </c>
      <c r="L189" s="84"/>
    </row>
    <row r="190" spans="1:12" ht="15" customHeight="1" x14ac:dyDescent="0.25">
      <c r="A190" s="85"/>
      <c r="B190" s="41" t="str">
        <f>IF(A190="","",IFERROR(VLOOKUP(A190,DB_Customers!$A:$D,4,0),"❌ Account Not Found"))</f>
        <v/>
      </c>
      <c r="C190" s="86" t="str">
        <f>IF(A190="","",IFERROR(VLOOKUP(A190,DB_Customers!$A:$N,14,0),"❌ Acct Not Found"))</f>
        <v/>
      </c>
      <c r="D190" s="87" t="str">
        <f t="shared" ca="1" si="15"/>
        <v/>
      </c>
      <c r="E190" s="94"/>
      <c r="F190" s="41"/>
      <c r="G190" s="96" t="str">
        <f t="shared" si="16"/>
        <v/>
      </c>
      <c r="H190" s="43" t="s">
        <v>141</v>
      </c>
      <c r="I190" s="81"/>
      <c r="J190" s="89" t="str">
        <f>IF(AND(A190&lt;&gt;"",E190&lt;&gt;""),IF(I190="","⚠️ Enter Code",IF(IFERROR(VLOOKUP(H190,DB_Agents!$B:$I,8,0),"")=I190,IF(C190&gt;=E190,"Successful","Unsuccessful"),"🔒 BLOCKED — Wrong Code")),"Pending")</f>
        <v>Pending</v>
      </c>
      <c r="K190" s="90" t="str">
        <f t="shared" ca="1" si="17"/>
        <v>—</v>
      </c>
      <c r="L190" s="91"/>
    </row>
    <row r="191" spans="1:12" ht="15" customHeight="1" x14ac:dyDescent="0.25">
      <c r="A191" s="76"/>
      <c r="B191" s="37" t="str">
        <f>IF(A191="","",IFERROR(VLOOKUP(A191,DB_Customers!$A:$D,4,0),"❌ Account Not Found"))</f>
        <v/>
      </c>
      <c r="C191" s="77" t="str">
        <f>IF(A191="","",IFERROR(VLOOKUP(A191,DB_Customers!$A:$N,14,0),"❌ Acct Not Found"))</f>
        <v/>
      </c>
      <c r="D191" s="78" t="str">
        <f t="shared" ca="1" si="15"/>
        <v/>
      </c>
      <c r="E191" s="94"/>
      <c r="F191" s="37"/>
      <c r="G191" s="95" t="str">
        <f t="shared" si="16"/>
        <v/>
      </c>
      <c r="H191" s="39" t="s">
        <v>141</v>
      </c>
      <c r="I191" s="81"/>
      <c r="J191" s="82" t="str">
        <f>IF(AND(A191&lt;&gt;"",E191&lt;&gt;""),IF(I191="","⚠️ Enter Code",IF(IFERROR(VLOOKUP(H191,DB_Agents!$B:$I,8,0),"")=I191,IF(C191&gt;=E191,"Successful","Unsuccessful"),"🔒 BLOCKED — Wrong Code")),"Pending")</f>
        <v>Pending</v>
      </c>
      <c r="K191" s="83" t="str">
        <f t="shared" ca="1" si="17"/>
        <v>—</v>
      </c>
      <c r="L191" s="84"/>
    </row>
    <row r="192" spans="1:12" ht="15" customHeight="1" x14ac:dyDescent="0.25">
      <c r="A192" s="85"/>
      <c r="B192" s="41" t="str">
        <f>IF(A192="","",IFERROR(VLOOKUP(A192,DB_Customers!$A:$D,4,0),"❌ Account Not Found"))</f>
        <v/>
      </c>
      <c r="C192" s="86" t="str">
        <f>IF(A192="","",IFERROR(VLOOKUP(A192,DB_Customers!$A:$N,14,0),"❌ Acct Not Found"))</f>
        <v/>
      </c>
      <c r="D192" s="87" t="str">
        <f t="shared" ca="1" si="15"/>
        <v/>
      </c>
      <c r="E192" s="94"/>
      <c r="F192" s="41"/>
      <c r="G192" s="96" t="str">
        <f t="shared" si="16"/>
        <v/>
      </c>
      <c r="H192" s="43" t="s">
        <v>141</v>
      </c>
      <c r="I192" s="81"/>
      <c r="J192" s="89" t="str">
        <f>IF(AND(A192&lt;&gt;"",E192&lt;&gt;""),IF(I192="","⚠️ Enter Code",IF(IFERROR(VLOOKUP(H192,DB_Agents!$B:$I,8,0),"")=I192,IF(C192&gt;=E192,"Successful","Unsuccessful"),"🔒 BLOCKED — Wrong Code")),"Pending")</f>
        <v>Pending</v>
      </c>
      <c r="K192" s="90" t="str">
        <f t="shared" ca="1" si="17"/>
        <v>—</v>
      </c>
      <c r="L192" s="91"/>
    </row>
    <row r="193" spans="1:12" ht="15" customHeight="1" x14ac:dyDescent="0.25">
      <c r="A193" s="76"/>
      <c r="B193" s="37" t="str">
        <f>IF(A193="","",IFERROR(VLOOKUP(A193,DB_Customers!$A:$D,4,0),"❌ Account Not Found"))</f>
        <v/>
      </c>
      <c r="C193" s="77" t="str">
        <f>IF(A193="","",IFERROR(VLOOKUP(A193,DB_Customers!$A:$N,14,0),"❌ Acct Not Found"))</f>
        <v/>
      </c>
      <c r="D193" s="78" t="str">
        <f t="shared" ca="1" si="15"/>
        <v/>
      </c>
      <c r="E193" s="94"/>
      <c r="F193" s="37"/>
      <c r="G193" s="95" t="str">
        <f t="shared" si="16"/>
        <v/>
      </c>
      <c r="H193" s="39" t="s">
        <v>141</v>
      </c>
      <c r="I193" s="81"/>
      <c r="J193" s="82" t="str">
        <f>IF(AND(A193&lt;&gt;"",E193&lt;&gt;""),IF(I193="","⚠️ Enter Code",IF(IFERROR(VLOOKUP(H193,DB_Agents!$B:$I,8,0),"")=I193,IF(C193&gt;=E193,"Successful","Unsuccessful"),"🔒 BLOCKED — Wrong Code")),"Pending")</f>
        <v>Pending</v>
      </c>
      <c r="K193" s="83" t="str">
        <f t="shared" ca="1" si="17"/>
        <v>—</v>
      </c>
      <c r="L193" s="84"/>
    </row>
    <row r="194" spans="1:12" ht="15" customHeight="1" x14ac:dyDescent="0.25">
      <c r="A194" s="85"/>
      <c r="B194" s="41" t="str">
        <f>IF(A194="","",IFERROR(VLOOKUP(A194,DB_Customers!$A:$D,4,0),"❌ Account Not Found"))</f>
        <v/>
      </c>
      <c r="C194" s="86" t="str">
        <f>IF(A194="","",IFERROR(VLOOKUP(A194,DB_Customers!$A:$N,14,0),"❌ Acct Not Found"))</f>
        <v/>
      </c>
      <c r="D194" s="87" t="str">
        <f t="shared" ca="1" si="15"/>
        <v/>
      </c>
      <c r="E194" s="94"/>
      <c r="F194" s="41"/>
      <c r="G194" s="96" t="str">
        <f t="shared" si="16"/>
        <v/>
      </c>
      <c r="H194" s="43" t="s">
        <v>141</v>
      </c>
      <c r="I194" s="81"/>
      <c r="J194" s="89" t="str">
        <f>IF(AND(A194&lt;&gt;"",E194&lt;&gt;""),IF(I194="","⚠️ Enter Code",IF(IFERROR(VLOOKUP(H194,DB_Agents!$B:$I,8,0),"")=I194,IF(C194&gt;=E194,"Successful","Unsuccessful"),"🔒 BLOCKED — Wrong Code")),"Pending")</f>
        <v>Pending</v>
      </c>
      <c r="K194" s="90" t="str">
        <f t="shared" ca="1" si="17"/>
        <v>—</v>
      </c>
      <c r="L194" s="91"/>
    </row>
    <row r="195" spans="1:12" ht="15" customHeight="1" x14ac:dyDescent="0.25">
      <c r="A195" s="76"/>
      <c r="B195" s="37" t="str">
        <f>IF(A195="","",IFERROR(VLOOKUP(A195,DB_Customers!$A:$D,4,0),"❌ Account Not Found"))</f>
        <v/>
      </c>
      <c r="C195" s="77" t="str">
        <f>IF(A195="","",IFERROR(VLOOKUP(A195,DB_Customers!$A:$N,14,0),"❌ Acct Not Found"))</f>
        <v/>
      </c>
      <c r="D195" s="78" t="str">
        <f t="shared" ca="1" si="15"/>
        <v/>
      </c>
      <c r="E195" s="94"/>
      <c r="F195" s="37"/>
      <c r="G195" s="95" t="str">
        <f t="shared" si="16"/>
        <v/>
      </c>
      <c r="H195" s="39" t="s">
        <v>141</v>
      </c>
      <c r="I195" s="81"/>
      <c r="J195" s="82" t="str">
        <f>IF(AND(A195&lt;&gt;"",E195&lt;&gt;""),IF(I195="","⚠️ Enter Code",IF(IFERROR(VLOOKUP(H195,DB_Agents!$B:$I,8,0),"")=I195,IF(C195&gt;=E195,"Successful","Unsuccessful"),"🔒 BLOCKED — Wrong Code")),"Pending")</f>
        <v>Pending</v>
      </c>
      <c r="K195" s="83" t="str">
        <f t="shared" ca="1" si="17"/>
        <v>—</v>
      </c>
      <c r="L195" s="84"/>
    </row>
    <row r="196" spans="1:12" ht="15" customHeight="1" x14ac:dyDescent="0.25">
      <c r="A196" s="85"/>
      <c r="B196" s="41" t="str">
        <f>IF(A196="","",IFERROR(VLOOKUP(A196,DB_Customers!$A:$D,4,0),"❌ Account Not Found"))</f>
        <v/>
      </c>
      <c r="C196" s="86" t="str">
        <f>IF(A196="","",IFERROR(VLOOKUP(A196,DB_Customers!$A:$N,14,0),"❌ Acct Not Found"))</f>
        <v/>
      </c>
      <c r="D196" s="87" t="str">
        <f t="shared" ca="1" si="15"/>
        <v/>
      </c>
      <c r="E196" s="94"/>
      <c r="F196" s="41"/>
      <c r="G196" s="96" t="str">
        <f t="shared" si="16"/>
        <v/>
      </c>
      <c r="H196" s="43" t="s">
        <v>141</v>
      </c>
      <c r="I196" s="81"/>
      <c r="J196" s="89" t="str">
        <f>IF(AND(A196&lt;&gt;"",E196&lt;&gt;""),IF(I196="","⚠️ Enter Code",IF(IFERROR(VLOOKUP(H196,DB_Agents!$B:$I,8,0),"")=I196,IF(C196&gt;=E196,"Successful","Unsuccessful"),"🔒 BLOCKED — Wrong Code")),"Pending")</f>
        <v>Pending</v>
      </c>
      <c r="K196" s="90" t="str">
        <f t="shared" ca="1" si="17"/>
        <v>—</v>
      </c>
      <c r="L196" s="91"/>
    </row>
    <row r="197" spans="1:12" ht="15" customHeight="1" x14ac:dyDescent="0.25">
      <c r="A197" s="76"/>
      <c r="B197" s="37" t="str">
        <f>IF(A197="","",IFERROR(VLOOKUP(A197,DB_Customers!$A:$D,4,0),"❌ Account Not Found"))</f>
        <v/>
      </c>
      <c r="C197" s="77" t="str">
        <f>IF(A197="","",IFERROR(VLOOKUP(A197,DB_Customers!$A:$N,14,0),"❌ Acct Not Found"))</f>
        <v/>
      </c>
      <c r="D197" s="78" t="str">
        <f t="shared" ca="1" si="15"/>
        <v/>
      </c>
      <c r="E197" s="94"/>
      <c r="F197" s="37"/>
      <c r="G197" s="95" t="str">
        <f t="shared" si="16"/>
        <v/>
      </c>
      <c r="H197" s="39" t="s">
        <v>141</v>
      </c>
      <c r="I197" s="81"/>
      <c r="J197" s="82" t="str">
        <f>IF(AND(A197&lt;&gt;"",E197&lt;&gt;""),IF(I197="","⚠️ Enter Code",IF(IFERROR(VLOOKUP(H197,DB_Agents!$B:$I,8,0),"")=I197,IF(C197&gt;=E197,"Successful","Unsuccessful"),"🔒 BLOCKED — Wrong Code")),"Pending")</f>
        <v>Pending</v>
      </c>
      <c r="K197" s="83" t="str">
        <f t="shared" ca="1" si="17"/>
        <v>—</v>
      </c>
      <c r="L197" s="84"/>
    </row>
    <row r="198" spans="1:12" ht="15" customHeight="1" x14ac:dyDescent="0.25">
      <c r="A198" s="85"/>
      <c r="B198" s="41" t="str">
        <f>IF(A198="","",IFERROR(VLOOKUP(A198,DB_Customers!$A:$D,4,0),"❌ Account Not Found"))</f>
        <v/>
      </c>
      <c r="C198" s="86" t="str">
        <f>IF(A198="","",IFERROR(VLOOKUP(A198,DB_Customers!$A:$N,14,0),"❌ Acct Not Found"))</f>
        <v/>
      </c>
      <c r="D198" s="87" t="str">
        <f t="shared" ca="1" si="15"/>
        <v/>
      </c>
      <c r="E198" s="94"/>
      <c r="F198" s="41"/>
      <c r="G198" s="96" t="str">
        <f t="shared" si="16"/>
        <v/>
      </c>
      <c r="H198" s="43" t="s">
        <v>141</v>
      </c>
      <c r="I198" s="81"/>
      <c r="J198" s="89" t="str">
        <f>IF(AND(A198&lt;&gt;"",E198&lt;&gt;""),IF(I198="","⚠️ Enter Code",IF(IFERROR(VLOOKUP(H198,DB_Agents!$B:$I,8,0),"")=I198,IF(C198&gt;=E198,"Successful","Unsuccessful"),"🔒 BLOCKED — Wrong Code")),"Pending")</f>
        <v>Pending</v>
      </c>
      <c r="K198" s="90" t="str">
        <f t="shared" ca="1" si="17"/>
        <v>—</v>
      </c>
      <c r="L198" s="91"/>
    </row>
    <row r="199" spans="1:12" ht="15" customHeight="1" x14ac:dyDescent="0.25">
      <c r="A199" s="76"/>
      <c r="B199" s="37" t="str">
        <f>IF(A199="","",IFERROR(VLOOKUP(A199,DB_Customers!$A:$D,4,0),"❌ Account Not Found"))</f>
        <v/>
      </c>
      <c r="C199" s="77" t="str">
        <f>IF(A199="","",IFERROR(VLOOKUP(A199,DB_Customers!$A:$N,14,0),"❌ Acct Not Found"))</f>
        <v/>
      </c>
      <c r="D199" s="78" t="str">
        <f t="shared" ca="1" si="15"/>
        <v/>
      </c>
      <c r="E199" s="94"/>
      <c r="F199" s="37"/>
      <c r="G199" s="95" t="str">
        <f t="shared" si="16"/>
        <v/>
      </c>
      <c r="H199" s="39" t="s">
        <v>141</v>
      </c>
      <c r="I199" s="81"/>
      <c r="J199" s="82" t="str">
        <f>IF(AND(A199&lt;&gt;"",E199&lt;&gt;""),IF(I199="","⚠️ Enter Code",IF(IFERROR(VLOOKUP(H199,DB_Agents!$B:$I,8,0),"")=I199,IF(C199&gt;=E199,"Successful","Unsuccessful"),"🔒 BLOCKED — Wrong Code")),"Pending")</f>
        <v>Pending</v>
      </c>
      <c r="K199" s="83" t="str">
        <f t="shared" ca="1" si="17"/>
        <v>—</v>
      </c>
      <c r="L199" s="84"/>
    </row>
    <row r="200" spans="1:12" ht="15" customHeight="1" x14ac:dyDescent="0.25">
      <c r="A200" s="85"/>
      <c r="B200" s="41" t="str">
        <f>IF(A200="","",IFERROR(VLOOKUP(A200,DB_Customers!$A:$D,4,0),"❌ Account Not Found"))</f>
        <v/>
      </c>
      <c r="C200" s="86" t="str">
        <f>IF(A200="","",IFERROR(VLOOKUP(A200,DB_Customers!$A:$N,14,0),"❌ Acct Not Found"))</f>
        <v/>
      </c>
      <c r="D200" s="87" t="str">
        <f t="shared" ca="1" si="15"/>
        <v/>
      </c>
      <c r="E200" s="94"/>
      <c r="F200" s="41"/>
      <c r="G200" s="96" t="str">
        <f t="shared" si="16"/>
        <v/>
      </c>
      <c r="H200" s="43" t="s">
        <v>141</v>
      </c>
      <c r="I200" s="81"/>
      <c r="J200" s="89" t="str">
        <f>IF(AND(A200&lt;&gt;"",E200&lt;&gt;""),IF(I200="","⚠️ Enter Code",IF(IFERROR(VLOOKUP(H200,DB_Agents!$B:$I,8,0),"")=I200,IF(C200&gt;=E200,"Successful","Unsuccessful"),"🔒 BLOCKED — Wrong Code")),"Pending")</f>
        <v>Pending</v>
      </c>
      <c r="K200" s="90" t="str">
        <f t="shared" ca="1" si="17"/>
        <v>—</v>
      </c>
      <c r="L200" s="91"/>
    </row>
    <row r="201" spans="1:12" ht="15" customHeight="1" x14ac:dyDescent="0.25">
      <c r="A201" s="76"/>
      <c r="B201" s="37" t="str">
        <f>IF(A201="","",IFERROR(VLOOKUP(A201,DB_Customers!$A:$D,4,0),"❌ Account Not Found"))</f>
        <v/>
      </c>
      <c r="C201" s="77" t="str">
        <f>IF(A201="","",IFERROR(VLOOKUP(A201,DB_Customers!$A:$N,14,0),"❌ Acct Not Found"))</f>
        <v/>
      </c>
      <c r="D201" s="78" t="str">
        <f t="shared" ref="D201:D208" ca="1" si="18">IF(A201="","",TODAY())</f>
        <v/>
      </c>
      <c r="E201" s="94"/>
      <c r="F201" s="37"/>
      <c r="G201" s="95" t="str">
        <f t="shared" ref="G201:G208" si="19">IF(OR(A201="",E201=""),"",IF(C201="","",C201-E201))</f>
        <v/>
      </c>
      <c r="H201" s="39" t="s">
        <v>141</v>
      </c>
      <c r="I201" s="81"/>
      <c r="J201" s="82" t="str">
        <f>IF(AND(A201&lt;&gt;"",E201&lt;&gt;""),IF(I201="","⚠️ Enter Code",IF(IFERROR(VLOOKUP(H201,DB_Agents!$B:$I,8,0),"")=I201,IF(C201&gt;=E201,"Successful","Unsuccessful"),"🔒 BLOCKED — Wrong Code")),"Pending")</f>
        <v>Pending</v>
      </c>
      <c r="K201" s="83" t="str">
        <f t="shared" ref="K201:K208" ca="1" si="20">IF(J201="Successful",TEXT(TODAY(),"YYYY-MM-DD")&amp;" Auto","—")</f>
        <v>—</v>
      </c>
      <c r="L201" s="84"/>
    </row>
    <row r="202" spans="1:12" ht="15" customHeight="1" x14ac:dyDescent="0.25">
      <c r="A202" s="85"/>
      <c r="B202" s="41" t="str">
        <f>IF(A202="","",IFERROR(VLOOKUP(A202,DB_Customers!$A:$D,4,0),"❌ Account Not Found"))</f>
        <v/>
      </c>
      <c r="C202" s="86" t="str">
        <f>IF(A202="","",IFERROR(VLOOKUP(A202,DB_Customers!$A:$N,14,0),"❌ Acct Not Found"))</f>
        <v/>
      </c>
      <c r="D202" s="87" t="str">
        <f t="shared" ca="1" si="18"/>
        <v/>
      </c>
      <c r="E202" s="94"/>
      <c r="F202" s="41"/>
      <c r="G202" s="96" t="str">
        <f t="shared" si="19"/>
        <v/>
      </c>
      <c r="H202" s="43" t="s">
        <v>141</v>
      </c>
      <c r="I202" s="81"/>
      <c r="J202" s="89" t="str">
        <f>IF(AND(A202&lt;&gt;"",E202&lt;&gt;""),IF(I202="","⚠️ Enter Code",IF(IFERROR(VLOOKUP(H202,DB_Agents!$B:$I,8,0),"")=I202,IF(C202&gt;=E202,"Successful","Unsuccessful"),"🔒 BLOCKED — Wrong Code")),"Pending")</f>
        <v>Pending</v>
      </c>
      <c r="K202" s="90" t="str">
        <f t="shared" ca="1" si="20"/>
        <v>—</v>
      </c>
      <c r="L202" s="91"/>
    </row>
    <row r="203" spans="1:12" ht="15" customHeight="1" x14ac:dyDescent="0.25">
      <c r="A203" s="76"/>
      <c r="B203" s="37" t="str">
        <f>IF(A203="","",IFERROR(VLOOKUP(A203,DB_Customers!$A:$D,4,0),"❌ Account Not Found"))</f>
        <v/>
      </c>
      <c r="C203" s="77" t="str">
        <f>IF(A203="","",IFERROR(VLOOKUP(A203,DB_Customers!$A:$N,14,0),"❌ Acct Not Found"))</f>
        <v/>
      </c>
      <c r="D203" s="78" t="str">
        <f t="shared" ca="1" si="18"/>
        <v/>
      </c>
      <c r="E203" s="94"/>
      <c r="F203" s="37"/>
      <c r="G203" s="95" t="str">
        <f t="shared" si="19"/>
        <v/>
      </c>
      <c r="H203" s="39" t="s">
        <v>141</v>
      </c>
      <c r="I203" s="81"/>
      <c r="J203" s="82" t="str">
        <f>IF(AND(A203&lt;&gt;"",E203&lt;&gt;""),IF(I203="","⚠️ Enter Code",IF(IFERROR(VLOOKUP(H203,DB_Agents!$B:$I,8,0),"")=I203,IF(C203&gt;=E203,"Successful","Unsuccessful"),"🔒 BLOCKED — Wrong Code")),"Pending")</f>
        <v>Pending</v>
      </c>
      <c r="K203" s="83" t="str">
        <f t="shared" ca="1" si="20"/>
        <v>—</v>
      </c>
      <c r="L203" s="84"/>
    </row>
    <row r="204" spans="1:12" ht="15" customHeight="1" x14ac:dyDescent="0.25">
      <c r="A204" s="85"/>
      <c r="B204" s="41" t="str">
        <f>IF(A204="","",IFERROR(VLOOKUP(A204,DB_Customers!$A:$D,4,0),"❌ Account Not Found"))</f>
        <v/>
      </c>
      <c r="C204" s="86" t="str">
        <f>IF(A204="","",IFERROR(VLOOKUP(A204,DB_Customers!$A:$N,14,0),"❌ Acct Not Found"))</f>
        <v/>
      </c>
      <c r="D204" s="87" t="str">
        <f t="shared" ca="1" si="18"/>
        <v/>
      </c>
      <c r="E204" s="94"/>
      <c r="F204" s="41"/>
      <c r="G204" s="96" t="str">
        <f t="shared" si="19"/>
        <v/>
      </c>
      <c r="H204" s="43" t="s">
        <v>141</v>
      </c>
      <c r="I204" s="81"/>
      <c r="J204" s="89" t="str">
        <f>IF(AND(A204&lt;&gt;"",E204&lt;&gt;""),IF(I204="","⚠️ Enter Code",IF(IFERROR(VLOOKUP(H204,DB_Agents!$B:$I,8,0),"")=I204,IF(C204&gt;=E204,"Successful","Unsuccessful"),"🔒 BLOCKED — Wrong Code")),"Pending")</f>
        <v>Pending</v>
      </c>
      <c r="K204" s="90" t="str">
        <f t="shared" ca="1" si="20"/>
        <v>—</v>
      </c>
      <c r="L204" s="91"/>
    </row>
    <row r="205" spans="1:12" ht="15" customHeight="1" x14ac:dyDescent="0.25">
      <c r="A205" s="76"/>
      <c r="B205" s="37" t="str">
        <f>IF(A205="","",IFERROR(VLOOKUP(A205,DB_Customers!$A:$D,4,0),"❌ Account Not Found"))</f>
        <v/>
      </c>
      <c r="C205" s="77" t="str">
        <f>IF(A205="","",IFERROR(VLOOKUP(A205,DB_Customers!$A:$N,14,0),"❌ Acct Not Found"))</f>
        <v/>
      </c>
      <c r="D205" s="78" t="str">
        <f t="shared" ca="1" si="18"/>
        <v/>
      </c>
      <c r="E205" s="94"/>
      <c r="F205" s="37"/>
      <c r="G205" s="95" t="str">
        <f t="shared" si="19"/>
        <v/>
      </c>
      <c r="H205" s="39" t="s">
        <v>141</v>
      </c>
      <c r="I205" s="81"/>
      <c r="J205" s="82" t="str">
        <f>IF(AND(A205&lt;&gt;"",E205&lt;&gt;""),IF(I205="","⚠️ Enter Code",IF(IFERROR(VLOOKUP(H205,DB_Agents!$B:$I,8,0),"")=I205,IF(C205&gt;=E205,"Successful","Unsuccessful"),"🔒 BLOCKED — Wrong Code")),"Pending")</f>
        <v>Pending</v>
      </c>
      <c r="K205" s="83" t="str">
        <f t="shared" ca="1" si="20"/>
        <v>—</v>
      </c>
      <c r="L205" s="84"/>
    </row>
    <row r="206" spans="1:12" ht="15" customHeight="1" x14ac:dyDescent="0.25">
      <c r="A206" s="85"/>
      <c r="B206" s="41" t="str">
        <f>IF(A206="","",IFERROR(VLOOKUP(A206,DB_Customers!$A:$D,4,0),"❌ Account Not Found"))</f>
        <v/>
      </c>
      <c r="C206" s="86" t="str">
        <f>IF(A206="","",IFERROR(VLOOKUP(A206,DB_Customers!$A:$N,14,0),"❌ Acct Not Found"))</f>
        <v/>
      </c>
      <c r="D206" s="87" t="str">
        <f t="shared" ca="1" si="18"/>
        <v/>
      </c>
      <c r="E206" s="94"/>
      <c r="F206" s="41"/>
      <c r="G206" s="96" t="str">
        <f t="shared" si="19"/>
        <v/>
      </c>
      <c r="H206" s="43" t="s">
        <v>141</v>
      </c>
      <c r="I206" s="81"/>
      <c r="J206" s="89" t="str">
        <f>IF(AND(A206&lt;&gt;"",E206&lt;&gt;""),IF(I206="","⚠️ Enter Code",IF(IFERROR(VLOOKUP(H206,DB_Agents!$B:$I,8,0),"")=I206,IF(C206&gt;=E206,"Successful","Unsuccessful"),"🔒 BLOCKED — Wrong Code")),"Pending")</f>
        <v>Pending</v>
      </c>
      <c r="K206" s="90" t="str">
        <f t="shared" ca="1" si="20"/>
        <v>—</v>
      </c>
      <c r="L206" s="91"/>
    </row>
    <row r="207" spans="1:12" ht="15" customHeight="1" x14ac:dyDescent="0.25">
      <c r="A207" s="76"/>
      <c r="B207" s="37" t="str">
        <f>IF(A207="","",IFERROR(VLOOKUP(A207,DB_Customers!$A:$D,4,0),"❌ Account Not Found"))</f>
        <v/>
      </c>
      <c r="C207" s="77" t="str">
        <f>IF(A207="","",IFERROR(VLOOKUP(A207,DB_Customers!$A:$N,14,0),"❌ Acct Not Found"))</f>
        <v/>
      </c>
      <c r="D207" s="78" t="str">
        <f t="shared" ca="1" si="18"/>
        <v/>
      </c>
      <c r="E207" s="94"/>
      <c r="F207" s="37"/>
      <c r="G207" s="95" t="str">
        <f t="shared" si="19"/>
        <v/>
      </c>
      <c r="H207" s="39" t="s">
        <v>141</v>
      </c>
      <c r="I207" s="81"/>
      <c r="J207" s="82" t="str">
        <f>IF(AND(A207&lt;&gt;"",E207&lt;&gt;""),IF(I207="","⚠️ Enter Code",IF(IFERROR(VLOOKUP(H207,DB_Agents!$B:$I,8,0),"")=I207,IF(C207&gt;=E207,"Successful","Unsuccessful"),"🔒 BLOCKED — Wrong Code")),"Pending")</f>
        <v>Pending</v>
      </c>
      <c r="K207" s="83" t="str">
        <f t="shared" ca="1" si="20"/>
        <v>—</v>
      </c>
      <c r="L207" s="84"/>
    </row>
    <row r="208" spans="1:12" ht="15" customHeight="1" x14ac:dyDescent="0.25">
      <c r="A208" s="85"/>
      <c r="B208" s="41" t="str">
        <f>IF(A208="","",IFERROR(VLOOKUP(A208,DB_Customers!$A:$D,4,0),"❌ Account Not Found"))</f>
        <v/>
      </c>
      <c r="C208" s="86" t="str">
        <f>IF(A208="","",IFERROR(VLOOKUP(A208,DB_Customers!$A:$N,14,0),"❌ Acct Not Found"))</f>
        <v/>
      </c>
      <c r="D208" s="87" t="str">
        <f t="shared" ca="1" si="18"/>
        <v/>
      </c>
      <c r="E208" s="94"/>
      <c r="F208" s="41"/>
      <c r="G208" s="96" t="str">
        <f t="shared" si="19"/>
        <v/>
      </c>
      <c r="H208" s="43" t="s">
        <v>141</v>
      </c>
      <c r="I208" s="81"/>
      <c r="J208" s="89" t="str">
        <f>IF(AND(A208&lt;&gt;"",E208&lt;&gt;""),IF(I208="","⚠️ Enter Code",IF(IFERROR(VLOOKUP(H208,DB_Agents!$B:$I,8,0),"")=I208,IF(C208&gt;=E208,"Successful","Unsuccessful"),"🔒 BLOCKED — Wrong Code")),"Pending")</f>
        <v>Pending</v>
      </c>
      <c r="K208" s="90" t="str">
        <f t="shared" ca="1" si="20"/>
        <v>—</v>
      </c>
      <c r="L208" s="91"/>
    </row>
  </sheetData>
  <mergeCells count="8">
    <mergeCell ref="A7:M7"/>
    <mergeCell ref="A4:C4"/>
    <mergeCell ref="A2:M2"/>
    <mergeCell ref="A1:M1"/>
    <mergeCell ref="A5:M5"/>
    <mergeCell ref="D4:F4"/>
    <mergeCell ref="D3:F3"/>
    <mergeCell ref="A3:C3"/>
  </mergeCells>
  <conditionalFormatting sqref="I9:I208">
    <cfRule type="cellIs" dxfId="19" priority="2" operator="equal">
      <formula>"Successful"</formula>
    </cfRule>
    <cfRule type="cellIs" dxfId="18" priority="3" operator="equal">
      <formula>"Unsuccessful"</formula>
    </cfRule>
  </conditionalFormatting>
  <conditionalFormatting sqref="A9:K208">
    <cfRule type="expression" dxfId="17" priority="4">
      <formula>$I9="Unsuccessful"</formula>
    </cfRule>
  </conditionalFormatting>
  <conditionalFormatting sqref="G9:G208">
    <cfRule type="cellIs" dxfId="16" priority="5" operator="lessThan">
      <formula>0</formula>
    </cfRule>
  </conditionalFormatting>
  <dataValidations count="1">
    <dataValidation type="list" sqref="H9:H208" xr:uid="{00000000-0002-0000-22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31.85546875" customWidth="1"/>
    <col min="2" max="2" width="16" customWidth="1"/>
    <col min="3" max="3" width="22" customWidth="1"/>
    <col min="4" max="5" width="13" customWidth="1"/>
    <col min="6" max="6" width="20" customWidth="1"/>
    <col min="7" max="7" width="9" customWidth="1"/>
    <col min="8" max="8" width="8" customWidth="1"/>
    <col min="9" max="10" width="14" customWidth="1"/>
    <col min="11" max="11" width="18" customWidth="1"/>
    <col min="12" max="12" width="10" customWidth="1"/>
    <col min="13" max="13" width="12" customWidth="1"/>
    <col min="14" max="14" width="18" customWidth="1"/>
  </cols>
  <sheetData>
    <row r="1" spans="1:14" ht="31.5" customHeight="1" x14ac:dyDescent="0.25">
      <c r="A1" s="226" t="s">
        <v>382</v>
      </c>
    </row>
    <row r="2" spans="1:14" ht="19.5" customHeight="1" x14ac:dyDescent="0.25">
      <c r="A2" s="201" t="s">
        <v>2</v>
      </c>
    </row>
    <row r="4" spans="1:14" ht="21.75" customHeight="1" x14ac:dyDescent="0.25">
      <c r="A4" s="97" t="s">
        <v>333</v>
      </c>
    </row>
    <row r="5" spans="1:14" ht="19.5" customHeight="1" x14ac:dyDescent="0.25">
      <c r="A5" s="227" t="s">
        <v>334</v>
      </c>
      <c r="B5" s="202"/>
    </row>
    <row r="6" spans="1:14" ht="19.5" customHeight="1" x14ac:dyDescent="0.25">
      <c r="A6" s="227" t="s">
        <v>335</v>
      </c>
      <c r="B6" s="202"/>
    </row>
    <row r="7" spans="1:14" ht="19.5" customHeight="1" x14ac:dyDescent="0.25">
      <c r="A7" s="227" t="s">
        <v>336</v>
      </c>
      <c r="B7" s="228">
        <v>2.5</v>
      </c>
    </row>
    <row r="8" spans="1:14" ht="19.5" customHeight="1" x14ac:dyDescent="0.25">
      <c r="A8" s="99" t="s">
        <v>337</v>
      </c>
      <c r="B8" s="203" t="str">
        <f>IF(B5="","",B5*B7/100*B6)</f>
        <v/>
      </c>
    </row>
    <row r="9" spans="1:14" ht="19.5" customHeight="1" x14ac:dyDescent="0.25">
      <c r="A9" s="99" t="s">
        <v>338</v>
      </c>
      <c r="B9" s="204" t="str">
        <f>IF(B5="","",B5+(B5*B7/100*B6))</f>
        <v/>
      </c>
    </row>
    <row r="10" spans="1:14" ht="19.5" customHeight="1" x14ac:dyDescent="0.25">
      <c r="A10" s="99" t="s">
        <v>339</v>
      </c>
      <c r="B10" s="204" t="str">
        <f>IFERROR(B9/B6,"")</f>
        <v/>
      </c>
    </row>
    <row r="11" spans="1:14" ht="7.5" customHeight="1" x14ac:dyDescent="0.25"/>
    <row r="12" spans="1:14" ht="21.75" customHeight="1" x14ac:dyDescent="0.25">
      <c r="A12" s="205"/>
    </row>
    <row r="13" spans="1:14" ht="27.95" customHeight="1" x14ac:dyDescent="0.25">
      <c r="A13" s="212" t="s">
        <v>82</v>
      </c>
      <c r="B13" s="212" t="s">
        <v>315</v>
      </c>
      <c r="C13" s="212" t="s">
        <v>77</v>
      </c>
      <c r="D13" s="212" t="s">
        <v>84</v>
      </c>
      <c r="E13" s="212" t="s">
        <v>340</v>
      </c>
      <c r="F13" s="212" t="s">
        <v>8</v>
      </c>
      <c r="G13" s="212" t="s">
        <v>9</v>
      </c>
      <c r="H13" s="212" t="s">
        <v>86</v>
      </c>
      <c r="I13" s="212" t="s">
        <v>341</v>
      </c>
      <c r="J13" s="212" t="s">
        <v>342</v>
      </c>
      <c r="K13" s="212" t="s">
        <v>13</v>
      </c>
      <c r="L13" s="212" t="s">
        <v>14</v>
      </c>
      <c r="M13" s="212" t="s">
        <v>319</v>
      </c>
      <c r="N13" s="212" t="s">
        <v>15</v>
      </c>
    </row>
    <row r="14" spans="1:14" ht="18" customHeight="1" x14ac:dyDescent="0.25">
      <c r="A14" s="229" t="str">
        <f t="shared" ref="A14:A45" si="0">IF(B14="","",IF(C14="❌ Account Not Found","INVALID","LN"&amp;TEXT(D14,"YYYYMMDD")&amp;TEXT(ROW()-13,"0000")))</f>
        <v/>
      </c>
      <c r="B14" s="230"/>
      <c r="C14" s="231" t="str">
        <f>IF(B14="","",IFERROR(VLOOKUP(B14,DB_Customers!$A:$D,4,0),"❌ Account Not Found"))</f>
        <v/>
      </c>
      <c r="D14" s="232" t="str">
        <f t="shared" ref="D14:D45" ca="1" si="1">IF(B14="","",TODAY())</f>
        <v/>
      </c>
      <c r="E14" s="233"/>
      <c r="F14" s="231"/>
      <c r="G14" s="234"/>
      <c r="H14" s="235">
        <v>2.5</v>
      </c>
      <c r="I14" s="236" t="str">
        <f t="shared" ref="I14:I45" si="2">IF(E14="","",E14+(E14*H14/100*G14))</f>
        <v/>
      </c>
      <c r="J14" s="237" t="str">
        <f t="shared" ref="J14:J45" si="3">IFERROR(I14/G14,"")</f>
        <v/>
      </c>
      <c r="K14" s="238" t="str">
        <f>IF(B14="","Pending",IF(M14="","⚠️ Enter Code",IF(IFERROR(VLOOKUP(L14,DB_Agents!$B:$I,8,0),"")=M14,"Pending","🔒 BLOCKED — Wrong Code")))</f>
        <v>Pending</v>
      </c>
      <c r="L14" s="239" t="s">
        <v>141</v>
      </c>
      <c r="M14" s="240"/>
      <c r="N14" s="230"/>
    </row>
    <row r="15" spans="1:14" ht="18" customHeight="1" x14ac:dyDescent="0.25">
      <c r="A15" s="241" t="str">
        <f t="shared" si="0"/>
        <v/>
      </c>
      <c r="B15" s="242"/>
      <c r="C15" s="243" t="str">
        <f>IF(B15="","",IFERROR(VLOOKUP(B15,DB_Customers!$A:$D,4,0),"❌ Account Not Found"))</f>
        <v/>
      </c>
      <c r="D15" s="244" t="str">
        <f t="shared" ca="1" si="1"/>
        <v/>
      </c>
      <c r="E15" s="245"/>
      <c r="F15" s="243"/>
      <c r="G15" s="246"/>
      <c r="H15" s="247">
        <v>2.5</v>
      </c>
      <c r="I15" s="248" t="str">
        <f t="shared" si="2"/>
        <v/>
      </c>
      <c r="J15" s="249" t="str">
        <f t="shared" si="3"/>
        <v/>
      </c>
      <c r="K15" s="250" t="str">
        <f>IF(B15="","Pending",IF(M15="","⚠️ Enter Code",IF(IFERROR(VLOOKUP(L15,DB_Agents!$B:$I,8,0),"")=M15,"Pending","🔒 BLOCKED — Wrong Code")))</f>
        <v>Pending</v>
      </c>
      <c r="L15" s="251" t="s">
        <v>141</v>
      </c>
      <c r="M15" s="252"/>
      <c r="N15" s="242"/>
    </row>
    <row r="16" spans="1:14" ht="18" customHeight="1" x14ac:dyDescent="0.25">
      <c r="A16" s="229" t="str">
        <f t="shared" si="0"/>
        <v/>
      </c>
      <c r="B16" s="230"/>
      <c r="C16" s="231" t="str">
        <f>IF(B16="","",IFERROR(VLOOKUP(B16,DB_Customers!$A:$D,4,0),"❌ Account Not Found"))</f>
        <v/>
      </c>
      <c r="D16" s="232" t="str">
        <f t="shared" ca="1" si="1"/>
        <v/>
      </c>
      <c r="E16" s="233"/>
      <c r="F16" s="231"/>
      <c r="G16" s="234"/>
      <c r="H16" s="235">
        <v>2.5</v>
      </c>
      <c r="I16" s="236" t="str">
        <f t="shared" si="2"/>
        <v/>
      </c>
      <c r="J16" s="237" t="str">
        <f t="shared" si="3"/>
        <v/>
      </c>
      <c r="K16" s="238" t="str">
        <f>IF(B16="","Pending",IF(M16="","⚠️ Enter Code",IF(IFERROR(VLOOKUP(L16,DB_Agents!$B:$I,8,0),"")=M16,"Pending","🔒 BLOCKED — Wrong Code")))</f>
        <v>Pending</v>
      </c>
      <c r="L16" s="239" t="s">
        <v>141</v>
      </c>
      <c r="M16" s="240"/>
      <c r="N16" s="230"/>
    </row>
    <row r="17" spans="1:14" ht="18" customHeight="1" x14ac:dyDescent="0.25">
      <c r="A17" s="241" t="str">
        <f t="shared" si="0"/>
        <v/>
      </c>
      <c r="B17" s="242"/>
      <c r="C17" s="243" t="str">
        <f>IF(B17="","",IFERROR(VLOOKUP(B17,DB_Customers!$A:$D,4,0),"❌ Account Not Found"))</f>
        <v/>
      </c>
      <c r="D17" s="244" t="str">
        <f t="shared" ca="1" si="1"/>
        <v/>
      </c>
      <c r="E17" s="245"/>
      <c r="F17" s="243"/>
      <c r="G17" s="246"/>
      <c r="H17" s="247">
        <v>2.5</v>
      </c>
      <c r="I17" s="248" t="str">
        <f t="shared" si="2"/>
        <v/>
      </c>
      <c r="J17" s="249" t="str">
        <f t="shared" si="3"/>
        <v/>
      </c>
      <c r="K17" s="250" t="str">
        <f>IF(B17="","Pending",IF(M17="","⚠️ Enter Code",IF(IFERROR(VLOOKUP(L17,DB_Agents!$B:$I,8,0),"")=M17,"Pending","🔒 BLOCKED — Wrong Code")))</f>
        <v>Pending</v>
      </c>
      <c r="L17" s="251" t="s">
        <v>141</v>
      </c>
      <c r="M17" s="252"/>
      <c r="N17" s="242"/>
    </row>
    <row r="18" spans="1:14" ht="18" customHeight="1" x14ac:dyDescent="0.25">
      <c r="A18" s="229" t="str">
        <f t="shared" si="0"/>
        <v/>
      </c>
      <c r="B18" s="230"/>
      <c r="C18" s="231" t="str">
        <f>IF(B18="","",IFERROR(VLOOKUP(B18,DB_Customers!$A:$D,4,0),"❌ Account Not Found"))</f>
        <v/>
      </c>
      <c r="D18" s="232" t="str">
        <f t="shared" ca="1" si="1"/>
        <v/>
      </c>
      <c r="E18" s="233"/>
      <c r="F18" s="231"/>
      <c r="G18" s="234"/>
      <c r="H18" s="235">
        <v>2.5</v>
      </c>
      <c r="I18" s="236" t="str">
        <f t="shared" si="2"/>
        <v/>
      </c>
      <c r="J18" s="237" t="str">
        <f t="shared" si="3"/>
        <v/>
      </c>
      <c r="K18" s="238" t="str">
        <f>IF(B18="","Pending",IF(M18="","⚠️ Enter Code",IF(IFERROR(VLOOKUP(L18,DB_Agents!$B:$I,8,0),"")=M18,"Pending","🔒 BLOCKED — Wrong Code")))</f>
        <v>Pending</v>
      </c>
      <c r="L18" s="239" t="s">
        <v>141</v>
      </c>
      <c r="M18" s="240"/>
      <c r="N18" s="230"/>
    </row>
    <row r="19" spans="1:14" ht="18" customHeight="1" x14ac:dyDescent="0.25">
      <c r="A19" s="241" t="str">
        <f t="shared" si="0"/>
        <v/>
      </c>
      <c r="B19" s="242"/>
      <c r="C19" s="243" t="str">
        <f>IF(B19="","",IFERROR(VLOOKUP(B19,DB_Customers!$A:$D,4,0),"❌ Account Not Found"))</f>
        <v/>
      </c>
      <c r="D19" s="244" t="str">
        <f t="shared" ca="1" si="1"/>
        <v/>
      </c>
      <c r="E19" s="245"/>
      <c r="F19" s="243"/>
      <c r="G19" s="246"/>
      <c r="H19" s="247">
        <v>2.5</v>
      </c>
      <c r="I19" s="248" t="str">
        <f t="shared" si="2"/>
        <v/>
      </c>
      <c r="J19" s="249" t="str">
        <f t="shared" si="3"/>
        <v/>
      </c>
      <c r="K19" s="250" t="str">
        <f>IF(B19="","Pending",IF(M19="","⚠️ Enter Code",IF(IFERROR(VLOOKUP(L19,DB_Agents!$B:$I,8,0),"")=M19,"Pending","🔒 BLOCKED — Wrong Code")))</f>
        <v>Pending</v>
      </c>
      <c r="L19" s="251" t="s">
        <v>141</v>
      </c>
      <c r="M19" s="252"/>
      <c r="N19" s="242"/>
    </row>
    <row r="20" spans="1:14" ht="18" customHeight="1" x14ac:dyDescent="0.25">
      <c r="A20" s="229" t="str">
        <f t="shared" si="0"/>
        <v/>
      </c>
      <c r="B20" s="230"/>
      <c r="C20" s="231" t="str">
        <f>IF(B20="","",IFERROR(VLOOKUP(B20,DB_Customers!$A:$D,4,0),"❌ Account Not Found"))</f>
        <v/>
      </c>
      <c r="D20" s="232" t="str">
        <f t="shared" ca="1" si="1"/>
        <v/>
      </c>
      <c r="E20" s="233"/>
      <c r="F20" s="231"/>
      <c r="G20" s="234"/>
      <c r="H20" s="235">
        <v>2.5</v>
      </c>
      <c r="I20" s="236" t="str">
        <f t="shared" si="2"/>
        <v/>
      </c>
      <c r="J20" s="237" t="str">
        <f t="shared" si="3"/>
        <v/>
      </c>
      <c r="K20" s="238" t="str">
        <f>IF(B20="","Pending",IF(M20="","⚠️ Enter Code",IF(IFERROR(VLOOKUP(L20,DB_Agents!$B:$I,8,0),"")=M20,"Pending","🔒 BLOCKED — Wrong Code")))</f>
        <v>Pending</v>
      </c>
      <c r="L20" s="239" t="s">
        <v>141</v>
      </c>
      <c r="M20" s="240"/>
      <c r="N20" s="230"/>
    </row>
    <row r="21" spans="1:14" ht="18" customHeight="1" x14ac:dyDescent="0.25">
      <c r="A21" s="241" t="str">
        <f t="shared" si="0"/>
        <v/>
      </c>
      <c r="B21" s="242"/>
      <c r="C21" s="243" t="str">
        <f>IF(B21="","",IFERROR(VLOOKUP(B21,DB_Customers!$A:$D,4,0),"❌ Account Not Found"))</f>
        <v/>
      </c>
      <c r="D21" s="244" t="str">
        <f t="shared" ca="1" si="1"/>
        <v/>
      </c>
      <c r="E21" s="245"/>
      <c r="F21" s="243"/>
      <c r="G21" s="246"/>
      <c r="H21" s="247">
        <v>2.5</v>
      </c>
      <c r="I21" s="248" t="str">
        <f t="shared" si="2"/>
        <v/>
      </c>
      <c r="J21" s="249" t="str">
        <f t="shared" si="3"/>
        <v/>
      </c>
      <c r="K21" s="250" t="str">
        <f>IF(B21="","Pending",IF(M21="","⚠️ Enter Code",IF(IFERROR(VLOOKUP(L21,DB_Agents!$B:$I,8,0),"")=M21,"Pending","🔒 BLOCKED — Wrong Code")))</f>
        <v>Pending</v>
      </c>
      <c r="L21" s="251" t="s">
        <v>141</v>
      </c>
      <c r="M21" s="252"/>
      <c r="N21" s="242"/>
    </row>
    <row r="22" spans="1:14" ht="18" customHeight="1" x14ac:dyDescent="0.25">
      <c r="A22" s="229" t="str">
        <f t="shared" si="0"/>
        <v/>
      </c>
      <c r="B22" s="230"/>
      <c r="C22" s="231" t="str">
        <f>IF(B22="","",IFERROR(VLOOKUP(B22,DB_Customers!$A:$D,4,0),"❌ Account Not Found"))</f>
        <v/>
      </c>
      <c r="D22" s="232" t="str">
        <f t="shared" ca="1" si="1"/>
        <v/>
      </c>
      <c r="E22" s="233"/>
      <c r="F22" s="231"/>
      <c r="G22" s="234"/>
      <c r="H22" s="235">
        <v>2.5</v>
      </c>
      <c r="I22" s="236" t="str">
        <f t="shared" si="2"/>
        <v/>
      </c>
      <c r="J22" s="237" t="str">
        <f t="shared" si="3"/>
        <v/>
      </c>
      <c r="K22" s="238" t="str">
        <f>IF(B22="","Pending",IF(M22="","⚠️ Enter Code",IF(IFERROR(VLOOKUP(L22,DB_Agents!$B:$I,8,0),"")=M22,"Pending","🔒 BLOCKED — Wrong Code")))</f>
        <v>Pending</v>
      </c>
      <c r="L22" s="239" t="s">
        <v>141</v>
      </c>
      <c r="M22" s="240"/>
      <c r="N22" s="230"/>
    </row>
    <row r="23" spans="1:14" ht="18" customHeight="1" x14ac:dyDescent="0.25">
      <c r="A23" s="241" t="str">
        <f t="shared" si="0"/>
        <v/>
      </c>
      <c r="B23" s="242"/>
      <c r="C23" s="243" t="str">
        <f>IF(B23="","",IFERROR(VLOOKUP(B23,DB_Customers!$A:$D,4,0),"❌ Account Not Found"))</f>
        <v/>
      </c>
      <c r="D23" s="244" t="str">
        <f t="shared" ca="1" si="1"/>
        <v/>
      </c>
      <c r="E23" s="245"/>
      <c r="F23" s="243"/>
      <c r="G23" s="246"/>
      <c r="H23" s="247">
        <v>2.5</v>
      </c>
      <c r="I23" s="248" t="str">
        <f t="shared" si="2"/>
        <v/>
      </c>
      <c r="J23" s="249" t="str">
        <f t="shared" si="3"/>
        <v/>
      </c>
      <c r="K23" s="250" t="str">
        <f>IF(B23="","Pending",IF(M23="","⚠️ Enter Code",IF(IFERROR(VLOOKUP(L23,DB_Agents!$B:$I,8,0),"")=M23,"Pending","🔒 BLOCKED — Wrong Code")))</f>
        <v>Pending</v>
      </c>
      <c r="L23" s="251" t="s">
        <v>141</v>
      </c>
      <c r="M23" s="252"/>
      <c r="N23" s="242"/>
    </row>
    <row r="24" spans="1:14" ht="18" customHeight="1" x14ac:dyDescent="0.25">
      <c r="A24" s="229" t="str">
        <f t="shared" si="0"/>
        <v/>
      </c>
      <c r="B24" s="230"/>
      <c r="C24" s="231" t="str">
        <f>IF(B24="","",IFERROR(VLOOKUP(B24,DB_Customers!$A:$D,4,0),"❌ Account Not Found"))</f>
        <v/>
      </c>
      <c r="D24" s="232" t="str">
        <f t="shared" ca="1" si="1"/>
        <v/>
      </c>
      <c r="E24" s="233"/>
      <c r="F24" s="231"/>
      <c r="G24" s="234"/>
      <c r="H24" s="235">
        <v>2.5</v>
      </c>
      <c r="I24" s="236" t="str">
        <f t="shared" si="2"/>
        <v/>
      </c>
      <c r="J24" s="237" t="str">
        <f t="shared" si="3"/>
        <v/>
      </c>
      <c r="K24" s="238" t="str">
        <f>IF(B24="","Pending",IF(M24="","⚠️ Enter Code",IF(IFERROR(VLOOKUP(L24,DB_Agents!$B:$I,8,0),"")=M24,"Pending","🔒 BLOCKED — Wrong Code")))</f>
        <v>Pending</v>
      </c>
      <c r="L24" s="239" t="s">
        <v>141</v>
      </c>
      <c r="M24" s="240"/>
      <c r="N24" s="230"/>
    </row>
    <row r="25" spans="1:14" ht="18" customHeight="1" x14ac:dyDescent="0.25">
      <c r="A25" s="241" t="str">
        <f t="shared" si="0"/>
        <v/>
      </c>
      <c r="B25" s="242"/>
      <c r="C25" s="243" t="str">
        <f>IF(B25="","",IFERROR(VLOOKUP(B25,DB_Customers!$A:$D,4,0),"❌ Account Not Found"))</f>
        <v/>
      </c>
      <c r="D25" s="244" t="str">
        <f t="shared" ca="1" si="1"/>
        <v/>
      </c>
      <c r="E25" s="245"/>
      <c r="F25" s="243"/>
      <c r="G25" s="246"/>
      <c r="H25" s="247">
        <v>2.5</v>
      </c>
      <c r="I25" s="248" t="str">
        <f t="shared" si="2"/>
        <v/>
      </c>
      <c r="J25" s="249" t="str">
        <f t="shared" si="3"/>
        <v/>
      </c>
      <c r="K25" s="250" t="str">
        <f>IF(B25="","Pending",IF(M25="","⚠️ Enter Code",IF(IFERROR(VLOOKUP(L25,DB_Agents!$B:$I,8,0),"")=M25,"Pending","🔒 BLOCKED — Wrong Code")))</f>
        <v>Pending</v>
      </c>
      <c r="L25" s="251" t="s">
        <v>141</v>
      </c>
      <c r="M25" s="252"/>
      <c r="N25" s="242"/>
    </row>
    <row r="26" spans="1:14" ht="18" customHeight="1" x14ac:dyDescent="0.25">
      <c r="A26" s="229" t="str">
        <f t="shared" si="0"/>
        <v/>
      </c>
      <c r="B26" s="230"/>
      <c r="C26" s="231" t="str">
        <f>IF(B26="","",IFERROR(VLOOKUP(B26,DB_Customers!$A:$D,4,0),"❌ Account Not Found"))</f>
        <v/>
      </c>
      <c r="D26" s="232" t="str">
        <f t="shared" ca="1" si="1"/>
        <v/>
      </c>
      <c r="E26" s="233"/>
      <c r="F26" s="231"/>
      <c r="G26" s="234"/>
      <c r="H26" s="235">
        <v>2.5</v>
      </c>
      <c r="I26" s="236" t="str">
        <f t="shared" si="2"/>
        <v/>
      </c>
      <c r="J26" s="237" t="str">
        <f t="shared" si="3"/>
        <v/>
      </c>
      <c r="K26" s="238" t="str">
        <f>IF(B26="","Pending",IF(M26="","⚠️ Enter Code",IF(IFERROR(VLOOKUP(L26,DB_Agents!$B:$I,8,0),"")=M26,"Pending","🔒 BLOCKED — Wrong Code")))</f>
        <v>Pending</v>
      </c>
      <c r="L26" s="239" t="s">
        <v>141</v>
      </c>
      <c r="M26" s="240"/>
      <c r="N26" s="230"/>
    </row>
    <row r="27" spans="1:14" ht="18" customHeight="1" x14ac:dyDescent="0.25">
      <c r="A27" s="241" t="str">
        <f t="shared" si="0"/>
        <v/>
      </c>
      <c r="B27" s="242"/>
      <c r="C27" s="243" t="str">
        <f>IF(B27="","",IFERROR(VLOOKUP(B27,DB_Customers!$A:$D,4,0),"❌ Account Not Found"))</f>
        <v/>
      </c>
      <c r="D27" s="244" t="str">
        <f t="shared" ca="1" si="1"/>
        <v/>
      </c>
      <c r="E27" s="245"/>
      <c r="F27" s="243"/>
      <c r="G27" s="246"/>
      <c r="H27" s="247">
        <v>2.5</v>
      </c>
      <c r="I27" s="248" t="str">
        <f t="shared" si="2"/>
        <v/>
      </c>
      <c r="J27" s="249" t="str">
        <f t="shared" si="3"/>
        <v/>
      </c>
      <c r="K27" s="250" t="str">
        <f>IF(B27="","Pending",IF(M27="","⚠️ Enter Code",IF(IFERROR(VLOOKUP(L27,DB_Agents!$B:$I,8,0),"")=M27,"Pending","🔒 BLOCKED — Wrong Code")))</f>
        <v>Pending</v>
      </c>
      <c r="L27" s="251" t="s">
        <v>141</v>
      </c>
      <c r="M27" s="252"/>
      <c r="N27" s="242"/>
    </row>
    <row r="28" spans="1:14" ht="18" customHeight="1" x14ac:dyDescent="0.25">
      <c r="A28" s="229" t="str">
        <f t="shared" si="0"/>
        <v/>
      </c>
      <c r="B28" s="230"/>
      <c r="C28" s="231" t="str">
        <f>IF(B28="","",IFERROR(VLOOKUP(B28,DB_Customers!$A:$D,4,0),"❌ Account Not Found"))</f>
        <v/>
      </c>
      <c r="D28" s="232" t="str">
        <f t="shared" ca="1" si="1"/>
        <v/>
      </c>
      <c r="E28" s="233"/>
      <c r="F28" s="231"/>
      <c r="G28" s="234"/>
      <c r="H28" s="235">
        <v>2.5</v>
      </c>
      <c r="I28" s="236" t="str">
        <f t="shared" si="2"/>
        <v/>
      </c>
      <c r="J28" s="237" t="str">
        <f t="shared" si="3"/>
        <v/>
      </c>
      <c r="K28" s="238" t="str">
        <f>IF(B28="","Pending",IF(M28="","⚠️ Enter Code",IF(IFERROR(VLOOKUP(L28,DB_Agents!$B:$I,8,0),"")=M28,"Pending","🔒 BLOCKED — Wrong Code")))</f>
        <v>Pending</v>
      </c>
      <c r="L28" s="239" t="s">
        <v>141</v>
      </c>
      <c r="M28" s="240"/>
      <c r="N28" s="230"/>
    </row>
    <row r="29" spans="1:14" ht="18" customHeight="1" x14ac:dyDescent="0.25">
      <c r="A29" s="241" t="str">
        <f t="shared" si="0"/>
        <v/>
      </c>
      <c r="B29" s="242"/>
      <c r="C29" s="243" t="str">
        <f>IF(B29="","",IFERROR(VLOOKUP(B29,DB_Customers!$A:$D,4,0),"❌ Account Not Found"))</f>
        <v/>
      </c>
      <c r="D29" s="244" t="str">
        <f t="shared" ca="1" si="1"/>
        <v/>
      </c>
      <c r="E29" s="245"/>
      <c r="F29" s="243"/>
      <c r="G29" s="246"/>
      <c r="H29" s="247">
        <v>2.5</v>
      </c>
      <c r="I29" s="248" t="str">
        <f t="shared" si="2"/>
        <v/>
      </c>
      <c r="J29" s="249" t="str">
        <f t="shared" si="3"/>
        <v/>
      </c>
      <c r="K29" s="250" t="str">
        <f>IF(B29="","Pending",IF(M29="","⚠️ Enter Code",IF(IFERROR(VLOOKUP(L29,DB_Agents!$B:$I,8,0),"")=M29,"Pending","🔒 BLOCKED — Wrong Code")))</f>
        <v>Pending</v>
      </c>
      <c r="L29" s="251" t="s">
        <v>141</v>
      </c>
      <c r="M29" s="252"/>
      <c r="N29" s="242"/>
    </row>
    <row r="30" spans="1:14" ht="18" customHeight="1" x14ac:dyDescent="0.25">
      <c r="A30" s="229" t="str">
        <f t="shared" si="0"/>
        <v/>
      </c>
      <c r="B30" s="230"/>
      <c r="C30" s="231" t="str">
        <f>IF(B30="","",IFERROR(VLOOKUP(B30,DB_Customers!$A:$D,4,0),"❌ Account Not Found"))</f>
        <v/>
      </c>
      <c r="D30" s="232" t="str">
        <f t="shared" ca="1" si="1"/>
        <v/>
      </c>
      <c r="E30" s="233"/>
      <c r="F30" s="231"/>
      <c r="G30" s="234"/>
      <c r="H30" s="235">
        <v>2.5</v>
      </c>
      <c r="I30" s="236" t="str">
        <f t="shared" si="2"/>
        <v/>
      </c>
      <c r="J30" s="237" t="str">
        <f t="shared" si="3"/>
        <v/>
      </c>
      <c r="K30" s="238" t="str">
        <f>IF(B30="","Pending",IF(M30="","⚠️ Enter Code",IF(IFERROR(VLOOKUP(L30,DB_Agents!$B:$I,8,0),"")=M30,"Pending","🔒 BLOCKED — Wrong Code")))</f>
        <v>Pending</v>
      </c>
      <c r="L30" s="239" t="s">
        <v>141</v>
      </c>
      <c r="M30" s="240"/>
      <c r="N30" s="230"/>
    </row>
    <row r="31" spans="1:14" ht="18" customHeight="1" x14ac:dyDescent="0.25">
      <c r="A31" s="241" t="str">
        <f t="shared" si="0"/>
        <v/>
      </c>
      <c r="B31" s="242"/>
      <c r="C31" s="243" t="str">
        <f>IF(B31="","",IFERROR(VLOOKUP(B31,DB_Customers!$A:$D,4,0),"❌ Account Not Found"))</f>
        <v/>
      </c>
      <c r="D31" s="244" t="str">
        <f t="shared" ca="1" si="1"/>
        <v/>
      </c>
      <c r="E31" s="245"/>
      <c r="F31" s="243"/>
      <c r="G31" s="246"/>
      <c r="H31" s="247">
        <v>2.5</v>
      </c>
      <c r="I31" s="248" t="str">
        <f t="shared" si="2"/>
        <v/>
      </c>
      <c r="J31" s="249" t="str">
        <f t="shared" si="3"/>
        <v/>
      </c>
      <c r="K31" s="250" t="str">
        <f>IF(B31="","Pending",IF(M31="","⚠️ Enter Code",IF(IFERROR(VLOOKUP(L31,DB_Agents!$B:$I,8,0),"")=M31,"Pending","🔒 BLOCKED — Wrong Code")))</f>
        <v>Pending</v>
      </c>
      <c r="L31" s="251" t="s">
        <v>141</v>
      </c>
      <c r="M31" s="252"/>
      <c r="N31" s="242"/>
    </row>
    <row r="32" spans="1:14" ht="18" customHeight="1" x14ac:dyDescent="0.25">
      <c r="A32" s="229" t="str">
        <f t="shared" si="0"/>
        <v/>
      </c>
      <c r="B32" s="230"/>
      <c r="C32" s="231" t="str">
        <f>IF(B32="","",IFERROR(VLOOKUP(B32,DB_Customers!$A:$D,4,0),"❌ Account Not Found"))</f>
        <v/>
      </c>
      <c r="D32" s="232" t="str">
        <f t="shared" ca="1" si="1"/>
        <v/>
      </c>
      <c r="E32" s="233"/>
      <c r="F32" s="231"/>
      <c r="G32" s="234"/>
      <c r="H32" s="235">
        <v>2.5</v>
      </c>
      <c r="I32" s="236" t="str">
        <f t="shared" si="2"/>
        <v/>
      </c>
      <c r="J32" s="237" t="str">
        <f t="shared" si="3"/>
        <v/>
      </c>
      <c r="K32" s="238" t="str">
        <f>IF(B32="","Pending",IF(M32="","⚠️ Enter Code",IF(IFERROR(VLOOKUP(L32,DB_Agents!$B:$I,8,0),"")=M32,"Pending","🔒 BLOCKED — Wrong Code")))</f>
        <v>Pending</v>
      </c>
      <c r="L32" s="239" t="s">
        <v>141</v>
      </c>
      <c r="M32" s="240"/>
      <c r="N32" s="230"/>
    </row>
    <row r="33" spans="1:14" ht="18" customHeight="1" x14ac:dyDescent="0.25">
      <c r="A33" s="241" t="str">
        <f t="shared" si="0"/>
        <v/>
      </c>
      <c r="B33" s="242"/>
      <c r="C33" s="243" t="str">
        <f>IF(B33="","",IFERROR(VLOOKUP(B33,DB_Customers!$A:$D,4,0),"❌ Account Not Found"))</f>
        <v/>
      </c>
      <c r="D33" s="244" t="str">
        <f t="shared" ca="1" si="1"/>
        <v/>
      </c>
      <c r="E33" s="245"/>
      <c r="F33" s="243"/>
      <c r="G33" s="246"/>
      <c r="H33" s="247">
        <v>2.5</v>
      </c>
      <c r="I33" s="248" t="str">
        <f t="shared" si="2"/>
        <v/>
      </c>
      <c r="J33" s="249" t="str">
        <f t="shared" si="3"/>
        <v/>
      </c>
      <c r="K33" s="250" t="str">
        <f>IF(B33="","Pending",IF(M33="","⚠️ Enter Code",IF(IFERROR(VLOOKUP(L33,DB_Agents!$B:$I,8,0),"")=M33,"Pending","🔒 BLOCKED — Wrong Code")))</f>
        <v>Pending</v>
      </c>
      <c r="L33" s="251" t="s">
        <v>141</v>
      </c>
      <c r="M33" s="252"/>
      <c r="N33" s="242"/>
    </row>
    <row r="34" spans="1:14" ht="18" customHeight="1" x14ac:dyDescent="0.25">
      <c r="A34" s="229" t="str">
        <f t="shared" si="0"/>
        <v/>
      </c>
      <c r="B34" s="230"/>
      <c r="C34" s="231" t="str">
        <f>IF(B34="","",IFERROR(VLOOKUP(B34,DB_Customers!$A:$D,4,0),"❌ Account Not Found"))</f>
        <v/>
      </c>
      <c r="D34" s="232" t="str">
        <f t="shared" ca="1" si="1"/>
        <v/>
      </c>
      <c r="E34" s="233"/>
      <c r="F34" s="231"/>
      <c r="G34" s="234"/>
      <c r="H34" s="235">
        <v>2.5</v>
      </c>
      <c r="I34" s="236" t="str">
        <f t="shared" si="2"/>
        <v/>
      </c>
      <c r="J34" s="237" t="str">
        <f t="shared" si="3"/>
        <v/>
      </c>
      <c r="K34" s="238" t="str">
        <f>IF(B34="","Pending",IF(M34="","⚠️ Enter Code",IF(IFERROR(VLOOKUP(L34,DB_Agents!$B:$I,8,0),"")=M34,"Pending","🔒 BLOCKED — Wrong Code")))</f>
        <v>Pending</v>
      </c>
      <c r="L34" s="239" t="s">
        <v>141</v>
      </c>
      <c r="M34" s="240"/>
      <c r="N34" s="230"/>
    </row>
    <row r="35" spans="1:14" ht="18" customHeight="1" x14ac:dyDescent="0.25">
      <c r="A35" s="241" t="str">
        <f t="shared" si="0"/>
        <v/>
      </c>
      <c r="B35" s="242"/>
      <c r="C35" s="243" t="str">
        <f>IF(B35="","",IFERROR(VLOOKUP(B35,DB_Customers!$A:$D,4,0),"❌ Account Not Found"))</f>
        <v/>
      </c>
      <c r="D35" s="244" t="str">
        <f t="shared" ca="1" si="1"/>
        <v/>
      </c>
      <c r="E35" s="245"/>
      <c r="F35" s="243"/>
      <c r="G35" s="246"/>
      <c r="H35" s="247">
        <v>2.5</v>
      </c>
      <c r="I35" s="248" t="str">
        <f t="shared" si="2"/>
        <v/>
      </c>
      <c r="J35" s="249" t="str">
        <f t="shared" si="3"/>
        <v/>
      </c>
      <c r="K35" s="250" t="str">
        <f>IF(B35="","Pending",IF(M35="","⚠️ Enter Code",IF(IFERROR(VLOOKUP(L35,DB_Agents!$B:$I,8,0),"")=M35,"Pending","🔒 BLOCKED — Wrong Code")))</f>
        <v>Pending</v>
      </c>
      <c r="L35" s="251" t="s">
        <v>141</v>
      </c>
      <c r="M35" s="252"/>
      <c r="N35" s="242"/>
    </row>
    <row r="36" spans="1:14" ht="18" customHeight="1" x14ac:dyDescent="0.25">
      <c r="A36" s="229" t="str">
        <f t="shared" si="0"/>
        <v/>
      </c>
      <c r="B36" s="230"/>
      <c r="C36" s="231" t="str">
        <f>IF(B36="","",IFERROR(VLOOKUP(B36,DB_Customers!$A:$D,4,0),"❌ Account Not Found"))</f>
        <v/>
      </c>
      <c r="D36" s="232" t="str">
        <f t="shared" ca="1" si="1"/>
        <v/>
      </c>
      <c r="E36" s="233"/>
      <c r="F36" s="231"/>
      <c r="G36" s="234"/>
      <c r="H36" s="235">
        <v>2.5</v>
      </c>
      <c r="I36" s="236" t="str">
        <f t="shared" si="2"/>
        <v/>
      </c>
      <c r="J36" s="237" t="str">
        <f t="shared" si="3"/>
        <v/>
      </c>
      <c r="K36" s="238" t="str">
        <f>IF(B36="","Pending",IF(M36="","⚠️ Enter Code",IF(IFERROR(VLOOKUP(L36,DB_Agents!$B:$I,8,0),"")=M36,"Pending","🔒 BLOCKED — Wrong Code")))</f>
        <v>Pending</v>
      </c>
      <c r="L36" s="239" t="s">
        <v>141</v>
      </c>
      <c r="M36" s="240"/>
      <c r="N36" s="230"/>
    </row>
    <row r="37" spans="1:14" ht="18" customHeight="1" x14ac:dyDescent="0.25">
      <c r="A37" s="241" t="str">
        <f t="shared" si="0"/>
        <v/>
      </c>
      <c r="B37" s="242"/>
      <c r="C37" s="243" t="str">
        <f>IF(B37="","",IFERROR(VLOOKUP(B37,DB_Customers!$A:$D,4,0),"❌ Account Not Found"))</f>
        <v/>
      </c>
      <c r="D37" s="244" t="str">
        <f t="shared" ca="1" si="1"/>
        <v/>
      </c>
      <c r="E37" s="245"/>
      <c r="F37" s="243"/>
      <c r="G37" s="246"/>
      <c r="H37" s="247">
        <v>2.5</v>
      </c>
      <c r="I37" s="248" t="str">
        <f t="shared" si="2"/>
        <v/>
      </c>
      <c r="J37" s="249" t="str">
        <f t="shared" si="3"/>
        <v/>
      </c>
      <c r="K37" s="250" t="str">
        <f>IF(B37="","Pending",IF(M37="","⚠️ Enter Code",IF(IFERROR(VLOOKUP(L37,DB_Agents!$B:$I,8,0),"")=M37,"Pending","🔒 BLOCKED — Wrong Code")))</f>
        <v>Pending</v>
      </c>
      <c r="L37" s="251" t="s">
        <v>141</v>
      </c>
      <c r="M37" s="252"/>
      <c r="N37" s="242"/>
    </row>
    <row r="38" spans="1:14" ht="18" customHeight="1" x14ac:dyDescent="0.25">
      <c r="A38" s="229" t="str">
        <f t="shared" si="0"/>
        <v/>
      </c>
      <c r="B38" s="230"/>
      <c r="C38" s="231" t="str">
        <f>IF(B38="","",IFERROR(VLOOKUP(B38,DB_Customers!$A:$D,4,0),"❌ Account Not Found"))</f>
        <v/>
      </c>
      <c r="D38" s="232" t="str">
        <f t="shared" ca="1" si="1"/>
        <v/>
      </c>
      <c r="E38" s="233"/>
      <c r="F38" s="231"/>
      <c r="G38" s="234"/>
      <c r="H38" s="235">
        <v>2.5</v>
      </c>
      <c r="I38" s="236" t="str">
        <f t="shared" si="2"/>
        <v/>
      </c>
      <c r="J38" s="237" t="str">
        <f t="shared" si="3"/>
        <v/>
      </c>
      <c r="K38" s="238" t="str">
        <f>IF(B38="","Pending",IF(M38="","⚠️ Enter Code",IF(IFERROR(VLOOKUP(L38,DB_Agents!$B:$I,8,0),"")=M38,"Pending","🔒 BLOCKED — Wrong Code")))</f>
        <v>Pending</v>
      </c>
      <c r="L38" s="239" t="s">
        <v>141</v>
      </c>
      <c r="M38" s="240"/>
      <c r="N38" s="230"/>
    </row>
    <row r="39" spans="1:14" ht="18" customHeight="1" x14ac:dyDescent="0.25">
      <c r="A39" s="241" t="str">
        <f t="shared" si="0"/>
        <v/>
      </c>
      <c r="B39" s="242"/>
      <c r="C39" s="243" t="str">
        <f>IF(B39="","",IFERROR(VLOOKUP(B39,DB_Customers!$A:$D,4,0),"❌ Account Not Found"))</f>
        <v/>
      </c>
      <c r="D39" s="244" t="str">
        <f t="shared" ca="1" si="1"/>
        <v/>
      </c>
      <c r="E39" s="245"/>
      <c r="F39" s="243"/>
      <c r="G39" s="246"/>
      <c r="H39" s="247">
        <v>2.5</v>
      </c>
      <c r="I39" s="248" t="str">
        <f t="shared" si="2"/>
        <v/>
      </c>
      <c r="J39" s="249" t="str">
        <f t="shared" si="3"/>
        <v/>
      </c>
      <c r="K39" s="250" t="str">
        <f>IF(B39="","Pending",IF(M39="","⚠️ Enter Code",IF(IFERROR(VLOOKUP(L39,DB_Agents!$B:$I,8,0),"")=M39,"Pending","🔒 BLOCKED — Wrong Code")))</f>
        <v>Pending</v>
      </c>
      <c r="L39" s="251" t="s">
        <v>141</v>
      </c>
      <c r="M39" s="252"/>
      <c r="N39" s="242"/>
    </row>
    <row r="40" spans="1:14" ht="18" customHeight="1" x14ac:dyDescent="0.25">
      <c r="A40" s="229" t="str">
        <f t="shared" si="0"/>
        <v/>
      </c>
      <c r="B40" s="230"/>
      <c r="C40" s="231" t="str">
        <f>IF(B40="","",IFERROR(VLOOKUP(B40,DB_Customers!$A:$D,4,0),"❌ Account Not Found"))</f>
        <v/>
      </c>
      <c r="D40" s="232" t="str">
        <f t="shared" ca="1" si="1"/>
        <v/>
      </c>
      <c r="E40" s="233"/>
      <c r="F40" s="231"/>
      <c r="G40" s="234"/>
      <c r="H40" s="235">
        <v>2.5</v>
      </c>
      <c r="I40" s="236" t="str">
        <f t="shared" si="2"/>
        <v/>
      </c>
      <c r="J40" s="237" t="str">
        <f t="shared" si="3"/>
        <v/>
      </c>
      <c r="K40" s="238" t="str">
        <f>IF(B40="","Pending",IF(M40="","⚠️ Enter Code",IF(IFERROR(VLOOKUP(L40,DB_Agents!$B:$I,8,0),"")=M40,"Pending","🔒 BLOCKED — Wrong Code")))</f>
        <v>Pending</v>
      </c>
      <c r="L40" s="239" t="s">
        <v>141</v>
      </c>
      <c r="M40" s="240"/>
      <c r="N40" s="230"/>
    </row>
    <row r="41" spans="1:14" ht="18" customHeight="1" x14ac:dyDescent="0.25">
      <c r="A41" s="241" t="str">
        <f t="shared" si="0"/>
        <v/>
      </c>
      <c r="B41" s="242"/>
      <c r="C41" s="243" t="str">
        <f>IF(B41="","",IFERROR(VLOOKUP(B41,DB_Customers!$A:$D,4,0),"❌ Account Not Found"))</f>
        <v/>
      </c>
      <c r="D41" s="244" t="str">
        <f t="shared" ca="1" si="1"/>
        <v/>
      </c>
      <c r="E41" s="245"/>
      <c r="F41" s="243"/>
      <c r="G41" s="246"/>
      <c r="H41" s="247">
        <v>2.5</v>
      </c>
      <c r="I41" s="248" t="str">
        <f t="shared" si="2"/>
        <v/>
      </c>
      <c r="J41" s="249" t="str">
        <f t="shared" si="3"/>
        <v/>
      </c>
      <c r="K41" s="250" t="str">
        <f>IF(B41="","Pending",IF(M41="","⚠️ Enter Code",IF(IFERROR(VLOOKUP(L41,DB_Agents!$B:$I,8,0),"")=M41,"Pending","🔒 BLOCKED — Wrong Code")))</f>
        <v>Pending</v>
      </c>
      <c r="L41" s="251" t="s">
        <v>141</v>
      </c>
      <c r="M41" s="252"/>
      <c r="N41" s="242"/>
    </row>
    <row r="42" spans="1:14" ht="18" customHeight="1" x14ac:dyDescent="0.25">
      <c r="A42" s="229" t="str">
        <f t="shared" si="0"/>
        <v/>
      </c>
      <c r="B42" s="230"/>
      <c r="C42" s="231" t="str">
        <f>IF(B42="","",IFERROR(VLOOKUP(B42,DB_Customers!$A:$D,4,0),"❌ Account Not Found"))</f>
        <v/>
      </c>
      <c r="D42" s="232" t="str">
        <f t="shared" ca="1" si="1"/>
        <v/>
      </c>
      <c r="E42" s="233"/>
      <c r="F42" s="231"/>
      <c r="G42" s="234"/>
      <c r="H42" s="235">
        <v>2.5</v>
      </c>
      <c r="I42" s="236" t="str">
        <f t="shared" si="2"/>
        <v/>
      </c>
      <c r="J42" s="237" t="str">
        <f t="shared" si="3"/>
        <v/>
      </c>
      <c r="K42" s="238" t="str">
        <f>IF(B42="","Pending",IF(M42="","⚠️ Enter Code",IF(IFERROR(VLOOKUP(L42,DB_Agents!$B:$I,8,0),"")=M42,"Pending","🔒 BLOCKED — Wrong Code")))</f>
        <v>Pending</v>
      </c>
      <c r="L42" s="239" t="s">
        <v>141</v>
      </c>
      <c r="M42" s="240"/>
      <c r="N42" s="230"/>
    </row>
    <row r="43" spans="1:14" ht="18" customHeight="1" x14ac:dyDescent="0.25">
      <c r="A43" s="241" t="str">
        <f t="shared" si="0"/>
        <v/>
      </c>
      <c r="B43" s="242"/>
      <c r="C43" s="243" t="str">
        <f>IF(B43="","",IFERROR(VLOOKUP(B43,DB_Customers!$A:$D,4,0),"❌ Account Not Found"))</f>
        <v/>
      </c>
      <c r="D43" s="244" t="str">
        <f t="shared" ca="1" si="1"/>
        <v/>
      </c>
      <c r="E43" s="245"/>
      <c r="F43" s="243"/>
      <c r="G43" s="246"/>
      <c r="H43" s="247">
        <v>2.5</v>
      </c>
      <c r="I43" s="248" t="str">
        <f t="shared" si="2"/>
        <v/>
      </c>
      <c r="J43" s="249" t="str">
        <f t="shared" si="3"/>
        <v/>
      </c>
      <c r="K43" s="250" t="str">
        <f>IF(B43="","Pending",IF(M43="","⚠️ Enter Code",IF(IFERROR(VLOOKUP(L43,DB_Agents!$B:$I,8,0),"")=M43,"Pending","🔒 BLOCKED — Wrong Code")))</f>
        <v>Pending</v>
      </c>
      <c r="L43" s="251" t="s">
        <v>141</v>
      </c>
      <c r="M43" s="252"/>
      <c r="N43" s="242"/>
    </row>
    <row r="44" spans="1:14" ht="18" customHeight="1" x14ac:dyDescent="0.25">
      <c r="A44" s="229" t="str">
        <f t="shared" si="0"/>
        <v/>
      </c>
      <c r="B44" s="230"/>
      <c r="C44" s="231" t="str">
        <f>IF(B44="","",IFERROR(VLOOKUP(B44,DB_Customers!$A:$D,4,0),"❌ Account Not Found"))</f>
        <v/>
      </c>
      <c r="D44" s="232" t="str">
        <f t="shared" ca="1" si="1"/>
        <v/>
      </c>
      <c r="E44" s="233"/>
      <c r="F44" s="231"/>
      <c r="G44" s="234"/>
      <c r="H44" s="235">
        <v>2.5</v>
      </c>
      <c r="I44" s="236" t="str">
        <f t="shared" si="2"/>
        <v/>
      </c>
      <c r="J44" s="237" t="str">
        <f t="shared" si="3"/>
        <v/>
      </c>
      <c r="K44" s="238" t="str">
        <f>IF(B44="","Pending",IF(M44="","⚠️ Enter Code",IF(IFERROR(VLOOKUP(L44,DB_Agents!$B:$I,8,0),"")=M44,"Pending","🔒 BLOCKED — Wrong Code")))</f>
        <v>Pending</v>
      </c>
      <c r="L44" s="239" t="s">
        <v>141</v>
      </c>
      <c r="M44" s="240"/>
      <c r="N44" s="230"/>
    </row>
    <row r="45" spans="1:14" ht="18" customHeight="1" x14ac:dyDescent="0.25">
      <c r="A45" s="241" t="str">
        <f t="shared" si="0"/>
        <v/>
      </c>
      <c r="B45" s="242"/>
      <c r="C45" s="243" t="str">
        <f>IF(B45="","",IFERROR(VLOOKUP(B45,DB_Customers!$A:$D,4,0),"❌ Account Not Found"))</f>
        <v/>
      </c>
      <c r="D45" s="244" t="str">
        <f t="shared" ca="1" si="1"/>
        <v/>
      </c>
      <c r="E45" s="245"/>
      <c r="F45" s="243"/>
      <c r="G45" s="246"/>
      <c r="H45" s="247">
        <v>2.5</v>
      </c>
      <c r="I45" s="248" t="str">
        <f t="shared" si="2"/>
        <v/>
      </c>
      <c r="J45" s="249" t="str">
        <f t="shared" si="3"/>
        <v/>
      </c>
      <c r="K45" s="250" t="str">
        <f>IF(B45="","Pending",IF(M45="","⚠️ Enter Code",IF(IFERROR(VLOOKUP(L45,DB_Agents!$B:$I,8,0),"")=M45,"Pending","🔒 BLOCKED — Wrong Code")))</f>
        <v>Pending</v>
      </c>
      <c r="L45" s="251" t="s">
        <v>141</v>
      </c>
      <c r="M45" s="252"/>
      <c r="N45" s="242"/>
    </row>
    <row r="46" spans="1:14" ht="18" customHeight="1" x14ac:dyDescent="0.25">
      <c r="A46" s="229" t="str">
        <f t="shared" ref="A46:A77" si="4">IF(B46="","",IF(C46="❌ Account Not Found","INVALID","LN"&amp;TEXT(D46,"YYYYMMDD")&amp;TEXT(ROW()-13,"0000")))</f>
        <v/>
      </c>
      <c r="B46" s="230"/>
      <c r="C46" s="231" t="str">
        <f>IF(B46="","",IFERROR(VLOOKUP(B46,DB_Customers!$A:$D,4,0),"❌ Account Not Found"))</f>
        <v/>
      </c>
      <c r="D46" s="232" t="str">
        <f t="shared" ref="D46:D77" ca="1" si="5">IF(B46="","",TODAY())</f>
        <v/>
      </c>
      <c r="E46" s="233"/>
      <c r="F46" s="231"/>
      <c r="G46" s="234"/>
      <c r="H46" s="235">
        <v>2.5</v>
      </c>
      <c r="I46" s="236" t="str">
        <f t="shared" ref="I46:I77" si="6">IF(E46="","",E46+(E46*H46/100*G46))</f>
        <v/>
      </c>
      <c r="J46" s="237" t="str">
        <f t="shared" ref="J46:J77" si="7">IFERROR(I46/G46,"")</f>
        <v/>
      </c>
      <c r="K46" s="238" t="str">
        <f>IF(B46="","Pending",IF(M46="","⚠️ Enter Code",IF(IFERROR(VLOOKUP(L46,DB_Agents!$B:$I,8,0),"")=M46,"Pending","🔒 BLOCKED — Wrong Code")))</f>
        <v>Pending</v>
      </c>
      <c r="L46" s="239" t="s">
        <v>141</v>
      </c>
      <c r="M46" s="240"/>
      <c r="N46" s="230"/>
    </row>
    <row r="47" spans="1:14" ht="18" customHeight="1" x14ac:dyDescent="0.25">
      <c r="A47" s="241" t="str">
        <f t="shared" si="4"/>
        <v/>
      </c>
      <c r="B47" s="242"/>
      <c r="C47" s="243" t="str">
        <f>IF(B47="","",IFERROR(VLOOKUP(B47,DB_Customers!$A:$D,4,0),"❌ Account Not Found"))</f>
        <v/>
      </c>
      <c r="D47" s="244" t="str">
        <f t="shared" ca="1" si="5"/>
        <v/>
      </c>
      <c r="E47" s="245"/>
      <c r="F47" s="243"/>
      <c r="G47" s="246"/>
      <c r="H47" s="247">
        <v>2.5</v>
      </c>
      <c r="I47" s="248" t="str">
        <f t="shared" si="6"/>
        <v/>
      </c>
      <c r="J47" s="249" t="str">
        <f t="shared" si="7"/>
        <v/>
      </c>
      <c r="K47" s="250" t="str">
        <f>IF(B47="","Pending",IF(M47="","⚠️ Enter Code",IF(IFERROR(VLOOKUP(L47,DB_Agents!$B:$I,8,0),"")=M47,"Pending","🔒 BLOCKED — Wrong Code")))</f>
        <v>Pending</v>
      </c>
      <c r="L47" s="251" t="s">
        <v>141</v>
      </c>
      <c r="M47" s="252"/>
      <c r="N47" s="242"/>
    </row>
    <row r="48" spans="1:14" ht="18" customHeight="1" x14ac:dyDescent="0.25">
      <c r="A48" s="229" t="str">
        <f t="shared" si="4"/>
        <v/>
      </c>
      <c r="B48" s="230"/>
      <c r="C48" s="231" t="str">
        <f>IF(B48="","",IFERROR(VLOOKUP(B48,DB_Customers!$A:$D,4,0),"❌ Account Not Found"))</f>
        <v/>
      </c>
      <c r="D48" s="232" t="str">
        <f t="shared" ca="1" si="5"/>
        <v/>
      </c>
      <c r="E48" s="233"/>
      <c r="F48" s="231"/>
      <c r="G48" s="234"/>
      <c r="H48" s="235">
        <v>2.5</v>
      </c>
      <c r="I48" s="236" t="str">
        <f t="shared" si="6"/>
        <v/>
      </c>
      <c r="J48" s="237" t="str">
        <f t="shared" si="7"/>
        <v/>
      </c>
      <c r="K48" s="238" t="str">
        <f>IF(B48="","Pending",IF(M48="","⚠️ Enter Code",IF(IFERROR(VLOOKUP(L48,DB_Agents!$B:$I,8,0),"")=M48,"Pending","🔒 BLOCKED — Wrong Code")))</f>
        <v>Pending</v>
      </c>
      <c r="L48" s="239" t="s">
        <v>141</v>
      </c>
      <c r="M48" s="240"/>
      <c r="N48" s="230"/>
    </row>
    <row r="49" spans="1:14" ht="18" customHeight="1" x14ac:dyDescent="0.25">
      <c r="A49" s="241" t="str">
        <f t="shared" si="4"/>
        <v/>
      </c>
      <c r="B49" s="242"/>
      <c r="C49" s="243" t="str">
        <f>IF(B49="","",IFERROR(VLOOKUP(B49,DB_Customers!$A:$D,4,0),"❌ Account Not Found"))</f>
        <v/>
      </c>
      <c r="D49" s="244" t="str">
        <f t="shared" ca="1" si="5"/>
        <v/>
      </c>
      <c r="E49" s="245"/>
      <c r="F49" s="243"/>
      <c r="G49" s="246"/>
      <c r="H49" s="247">
        <v>2.5</v>
      </c>
      <c r="I49" s="248" t="str">
        <f t="shared" si="6"/>
        <v/>
      </c>
      <c r="J49" s="249" t="str">
        <f t="shared" si="7"/>
        <v/>
      </c>
      <c r="K49" s="250" t="str">
        <f>IF(B49="","Pending",IF(M49="","⚠️ Enter Code",IF(IFERROR(VLOOKUP(L49,DB_Agents!$B:$I,8,0),"")=M49,"Pending","🔒 BLOCKED — Wrong Code")))</f>
        <v>Pending</v>
      </c>
      <c r="L49" s="251" t="s">
        <v>141</v>
      </c>
      <c r="M49" s="252"/>
      <c r="N49" s="242"/>
    </row>
    <row r="50" spans="1:14" ht="18" customHeight="1" x14ac:dyDescent="0.25">
      <c r="A50" s="229" t="str">
        <f t="shared" si="4"/>
        <v/>
      </c>
      <c r="B50" s="230"/>
      <c r="C50" s="231" t="str">
        <f>IF(B50="","",IFERROR(VLOOKUP(B50,DB_Customers!$A:$D,4,0),"❌ Account Not Found"))</f>
        <v/>
      </c>
      <c r="D50" s="232" t="str">
        <f t="shared" ca="1" si="5"/>
        <v/>
      </c>
      <c r="E50" s="233"/>
      <c r="F50" s="231"/>
      <c r="G50" s="234"/>
      <c r="H50" s="235">
        <v>2.5</v>
      </c>
      <c r="I50" s="236" t="str">
        <f t="shared" si="6"/>
        <v/>
      </c>
      <c r="J50" s="237" t="str">
        <f t="shared" si="7"/>
        <v/>
      </c>
      <c r="K50" s="238" t="str">
        <f>IF(B50="","Pending",IF(M50="","⚠️ Enter Code",IF(IFERROR(VLOOKUP(L50,DB_Agents!$B:$I,8,0),"")=M50,"Pending","🔒 BLOCKED — Wrong Code")))</f>
        <v>Pending</v>
      </c>
      <c r="L50" s="239" t="s">
        <v>141</v>
      </c>
      <c r="M50" s="240"/>
      <c r="N50" s="230"/>
    </row>
    <row r="51" spans="1:14" ht="18" customHeight="1" x14ac:dyDescent="0.25">
      <c r="A51" s="241" t="str">
        <f t="shared" si="4"/>
        <v/>
      </c>
      <c r="B51" s="242"/>
      <c r="C51" s="243" t="str">
        <f>IF(B51="","",IFERROR(VLOOKUP(B51,DB_Customers!$A:$D,4,0),"❌ Account Not Found"))</f>
        <v/>
      </c>
      <c r="D51" s="244" t="str">
        <f t="shared" ca="1" si="5"/>
        <v/>
      </c>
      <c r="E51" s="245"/>
      <c r="F51" s="243"/>
      <c r="G51" s="246"/>
      <c r="H51" s="247">
        <v>2.5</v>
      </c>
      <c r="I51" s="248" t="str">
        <f t="shared" si="6"/>
        <v/>
      </c>
      <c r="J51" s="249" t="str">
        <f t="shared" si="7"/>
        <v/>
      </c>
      <c r="K51" s="250" t="str">
        <f>IF(B51="","Pending",IF(M51="","⚠️ Enter Code",IF(IFERROR(VLOOKUP(L51,DB_Agents!$B:$I,8,0),"")=M51,"Pending","🔒 BLOCKED — Wrong Code")))</f>
        <v>Pending</v>
      </c>
      <c r="L51" s="251" t="s">
        <v>141</v>
      </c>
      <c r="M51" s="252"/>
      <c r="N51" s="242"/>
    </row>
    <row r="52" spans="1:14" ht="18" customHeight="1" x14ac:dyDescent="0.25">
      <c r="A52" s="229" t="str">
        <f t="shared" si="4"/>
        <v/>
      </c>
      <c r="B52" s="230"/>
      <c r="C52" s="231" t="str">
        <f>IF(B52="","",IFERROR(VLOOKUP(B52,DB_Customers!$A:$D,4,0),"❌ Account Not Found"))</f>
        <v/>
      </c>
      <c r="D52" s="232" t="str">
        <f t="shared" ca="1" si="5"/>
        <v/>
      </c>
      <c r="E52" s="233"/>
      <c r="F52" s="231"/>
      <c r="G52" s="234"/>
      <c r="H52" s="235">
        <v>2.5</v>
      </c>
      <c r="I52" s="236" t="str">
        <f t="shared" si="6"/>
        <v/>
      </c>
      <c r="J52" s="237" t="str">
        <f t="shared" si="7"/>
        <v/>
      </c>
      <c r="K52" s="238" t="str">
        <f>IF(B52="","Pending",IF(M52="","⚠️ Enter Code",IF(IFERROR(VLOOKUP(L52,DB_Agents!$B:$I,8,0),"")=M52,"Pending","🔒 BLOCKED — Wrong Code")))</f>
        <v>Pending</v>
      </c>
      <c r="L52" s="239" t="s">
        <v>141</v>
      </c>
      <c r="M52" s="240"/>
      <c r="N52" s="230"/>
    </row>
    <row r="53" spans="1:14" ht="18" customHeight="1" x14ac:dyDescent="0.25">
      <c r="A53" s="241" t="str">
        <f t="shared" si="4"/>
        <v/>
      </c>
      <c r="B53" s="242"/>
      <c r="C53" s="243" t="str">
        <f>IF(B53="","",IFERROR(VLOOKUP(B53,DB_Customers!$A:$D,4,0),"❌ Account Not Found"))</f>
        <v/>
      </c>
      <c r="D53" s="244" t="str">
        <f t="shared" ca="1" si="5"/>
        <v/>
      </c>
      <c r="E53" s="245"/>
      <c r="F53" s="243"/>
      <c r="G53" s="246"/>
      <c r="H53" s="247">
        <v>2.5</v>
      </c>
      <c r="I53" s="248" t="str">
        <f t="shared" si="6"/>
        <v/>
      </c>
      <c r="J53" s="249" t="str">
        <f t="shared" si="7"/>
        <v/>
      </c>
      <c r="K53" s="250" t="str">
        <f>IF(B53="","Pending",IF(M53="","⚠️ Enter Code",IF(IFERROR(VLOOKUP(L53,DB_Agents!$B:$I,8,0),"")=M53,"Pending","🔒 BLOCKED — Wrong Code")))</f>
        <v>Pending</v>
      </c>
      <c r="L53" s="251" t="s">
        <v>141</v>
      </c>
      <c r="M53" s="252"/>
      <c r="N53" s="242"/>
    </row>
    <row r="54" spans="1:14" ht="18" customHeight="1" x14ac:dyDescent="0.25">
      <c r="A54" s="229" t="str">
        <f t="shared" si="4"/>
        <v/>
      </c>
      <c r="B54" s="230"/>
      <c r="C54" s="231" t="str">
        <f>IF(B54="","",IFERROR(VLOOKUP(B54,DB_Customers!$A:$D,4,0),"❌ Account Not Found"))</f>
        <v/>
      </c>
      <c r="D54" s="232" t="str">
        <f t="shared" ca="1" si="5"/>
        <v/>
      </c>
      <c r="E54" s="233"/>
      <c r="F54" s="231"/>
      <c r="G54" s="234"/>
      <c r="H54" s="235">
        <v>2.5</v>
      </c>
      <c r="I54" s="236" t="str">
        <f t="shared" si="6"/>
        <v/>
      </c>
      <c r="J54" s="237" t="str">
        <f t="shared" si="7"/>
        <v/>
      </c>
      <c r="K54" s="238" t="str">
        <f>IF(B54="","Pending",IF(M54="","⚠️ Enter Code",IF(IFERROR(VLOOKUP(L54,DB_Agents!$B:$I,8,0),"")=M54,"Pending","🔒 BLOCKED — Wrong Code")))</f>
        <v>Pending</v>
      </c>
      <c r="L54" s="239" t="s">
        <v>141</v>
      </c>
      <c r="M54" s="240"/>
      <c r="N54" s="230"/>
    </row>
    <row r="55" spans="1:14" ht="18" customHeight="1" x14ac:dyDescent="0.25">
      <c r="A55" s="241" t="str">
        <f t="shared" si="4"/>
        <v/>
      </c>
      <c r="B55" s="242"/>
      <c r="C55" s="243" t="str">
        <f>IF(B55="","",IFERROR(VLOOKUP(B55,DB_Customers!$A:$D,4,0),"❌ Account Not Found"))</f>
        <v/>
      </c>
      <c r="D55" s="244" t="str">
        <f t="shared" ca="1" si="5"/>
        <v/>
      </c>
      <c r="E55" s="245"/>
      <c r="F55" s="243"/>
      <c r="G55" s="246"/>
      <c r="H55" s="247">
        <v>2.5</v>
      </c>
      <c r="I55" s="248" t="str">
        <f t="shared" si="6"/>
        <v/>
      </c>
      <c r="J55" s="249" t="str">
        <f t="shared" si="7"/>
        <v/>
      </c>
      <c r="K55" s="250" t="str">
        <f>IF(B55="","Pending",IF(M55="","⚠️ Enter Code",IF(IFERROR(VLOOKUP(L55,DB_Agents!$B:$I,8,0),"")=M55,"Pending","🔒 BLOCKED — Wrong Code")))</f>
        <v>Pending</v>
      </c>
      <c r="L55" s="251" t="s">
        <v>141</v>
      </c>
      <c r="M55" s="252"/>
      <c r="N55" s="242"/>
    </row>
    <row r="56" spans="1:14" ht="18" customHeight="1" x14ac:dyDescent="0.25">
      <c r="A56" s="229" t="str">
        <f t="shared" si="4"/>
        <v/>
      </c>
      <c r="B56" s="230"/>
      <c r="C56" s="231" t="str">
        <f>IF(B56="","",IFERROR(VLOOKUP(B56,DB_Customers!$A:$D,4,0),"❌ Account Not Found"))</f>
        <v/>
      </c>
      <c r="D56" s="232" t="str">
        <f t="shared" ca="1" si="5"/>
        <v/>
      </c>
      <c r="E56" s="233"/>
      <c r="F56" s="231"/>
      <c r="G56" s="234"/>
      <c r="H56" s="235">
        <v>2.5</v>
      </c>
      <c r="I56" s="236" t="str">
        <f t="shared" si="6"/>
        <v/>
      </c>
      <c r="J56" s="237" t="str">
        <f t="shared" si="7"/>
        <v/>
      </c>
      <c r="K56" s="238" t="str">
        <f>IF(B56="","Pending",IF(M56="","⚠️ Enter Code",IF(IFERROR(VLOOKUP(L56,DB_Agents!$B:$I,8,0),"")=M56,"Pending","🔒 BLOCKED — Wrong Code")))</f>
        <v>Pending</v>
      </c>
      <c r="L56" s="239" t="s">
        <v>141</v>
      </c>
      <c r="M56" s="240"/>
      <c r="N56" s="230"/>
    </row>
    <row r="57" spans="1:14" ht="18" customHeight="1" x14ac:dyDescent="0.25">
      <c r="A57" s="241" t="str">
        <f t="shared" si="4"/>
        <v/>
      </c>
      <c r="B57" s="242"/>
      <c r="C57" s="243" t="str">
        <f>IF(B57="","",IFERROR(VLOOKUP(B57,DB_Customers!$A:$D,4,0),"❌ Account Not Found"))</f>
        <v/>
      </c>
      <c r="D57" s="244" t="str">
        <f t="shared" ca="1" si="5"/>
        <v/>
      </c>
      <c r="E57" s="245"/>
      <c r="F57" s="243"/>
      <c r="G57" s="246"/>
      <c r="H57" s="247">
        <v>2.5</v>
      </c>
      <c r="I57" s="248" t="str">
        <f t="shared" si="6"/>
        <v/>
      </c>
      <c r="J57" s="249" t="str">
        <f t="shared" si="7"/>
        <v/>
      </c>
      <c r="K57" s="250" t="str">
        <f>IF(B57="","Pending",IF(M57="","⚠️ Enter Code",IF(IFERROR(VLOOKUP(L57,DB_Agents!$B:$I,8,0),"")=M57,"Pending","🔒 BLOCKED — Wrong Code")))</f>
        <v>Pending</v>
      </c>
      <c r="L57" s="251" t="s">
        <v>141</v>
      </c>
      <c r="M57" s="252"/>
      <c r="N57" s="242"/>
    </row>
    <row r="58" spans="1:14" ht="18" customHeight="1" x14ac:dyDescent="0.25">
      <c r="A58" s="229" t="str">
        <f t="shared" si="4"/>
        <v/>
      </c>
      <c r="B58" s="230"/>
      <c r="C58" s="231" t="str">
        <f>IF(B58="","",IFERROR(VLOOKUP(B58,DB_Customers!$A:$D,4,0),"❌ Account Not Found"))</f>
        <v/>
      </c>
      <c r="D58" s="232" t="str">
        <f t="shared" ca="1" si="5"/>
        <v/>
      </c>
      <c r="E58" s="233"/>
      <c r="F58" s="231"/>
      <c r="G58" s="234"/>
      <c r="H58" s="235">
        <v>2.5</v>
      </c>
      <c r="I58" s="236" t="str">
        <f t="shared" si="6"/>
        <v/>
      </c>
      <c r="J58" s="237" t="str">
        <f t="shared" si="7"/>
        <v/>
      </c>
      <c r="K58" s="238" t="str">
        <f>IF(B58="","Pending",IF(M58="","⚠️ Enter Code",IF(IFERROR(VLOOKUP(L58,DB_Agents!$B:$I,8,0),"")=M58,"Pending","🔒 BLOCKED — Wrong Code")))</f>
        <v>Pending</v>
      </c>
      <c r="L58" s="239" t="s">
        <v>141</v>
      </c>
      <c r="M58" s="240"/>
      <c r="N58" s="230"/>
    </row>
    <row r="59" spans="1:14" ht="18" customHeight="1" x14ac:dyDescent="0.25">
      <c r="A59" s="241" t="str">
        <f t="shared" si="4"/>
        <v/>
      </c>
      <c r="B59" s="242"/>
      <c r="C59" s="243" t="str">
        <f>IF(B59="","",IFERROR(VLOOKUP(B59,DB_Customers!$A:$D,4,0),"❌ Account Not Found"))</f>
        <v/>
      </c>
      <c r="D59" s="244" t="str">
        <f t="shared" ca="1" si="5"/>
        <v/>
      </c>
      <c r="E59" s="245"/>
      <c r="F59" s="243"/>
      <c r="G59" s="246"/>
      <c r="H59" s="247">
        <v>2.5</v>
      </c>
      <c r="I59" s="248" t="str">
        <f t="shared" si="6"/>
        <v/>
      </c>
      <c r="J59" s="249" t="str">
        <f t="shared" si="7"/>
        <v/>
      </c>
      <c r="K59" s="250" t="str">
        <f>IF(B59="","Pending",IF(M59="","⚠️ Enter Code",IF(IFERROR(VLOOKUP(L59,DB_Agents!$B:$I,8,0),"")=M59,"Pending","🔒 BLOCKED — Wrong Code")))</f>
        <v>Pending</v>
      </c>
      <c r="L59" s="251" t="s">
        <v>141</v>
      </c>
      <c r="M59" s="252"/>
      <c r="N59" s="242"/>
    </row>
    <row r="60" spans="1:14" ht="18" customHeight="1" x14ac:dyDescent="0.25">
      <c r="A60" s="229" t="str">
        <f t="shared" si="4"/>
        <v/>
      </c>
      <c r="B60" s="230"/>
      <c r="C60" s="231" t="str">
        <f>IF(B60="","",IFERROR(VLOOKUP(B60,DB_Customers!$A:$D,4,0),"❌ Account Not Found"))</f>
        <v/>
      </c>
      <c r="D60" s="232" t="str">
        <f t="shared" ca="1" si="5"/>
        <v/>
      </c>
      <c r="E60" s="233"/>
      <c r="F60" s="231"/>
      <c r="G60" s="234"/>
      <c r="H60" s="235">
        <v>2.5</v>
      </c>
      <c r="I60" s="236" t="str">
        <f t="shared" si="6"/>
        <v/>
      </c>
      <c r="J60" s="237" t="str">
        <f t="shared" si="7"/>
        <v/>
      </c>
      <c r="K60" s="238" t="str">
        <f>IF(B60="","Pending",IF(M60="","⚠️ Enter Code",IF(IFERROR(VLOOKUP(L60,DB_Agents!$B:$I,8,0),"")=M60,"Pending","🔒 BLOCKED — Wrong Code")))</f>
        <v>Pending</v>
      </c>
      <c r="L60" s="239" t="s">
        <v>141</v>
      </c>
      <c r="M60" s="240"/>
      <c r="N60" s="230"/>
    </row>
    <row r="61" spans="1:14" ht="18" customHeight="1" x14ac:dyDescent="0.25">
      <c r="A61" s="241" t="str">
        <f t="shared" si="4"/>
        <v/>
      </c>
      <c r="B61" s="242"/>
      <c r="C61" s="243" t="str">
        <f>IF(B61="","",IFERROR(VLOOKUP(B61,DB_Customers!$A:$D,4,0),"❌ Account Not Found"))</f>
        <v/>
      </c>
      <c r="D61" s="244" t="str">
        <f t="shared" ca="1" si="5"/>
        <v/>
      </c>
      <c r="E61" s="245"/>
      <c r="F61" s="243"/>
      <c r="G61" s="246"/>
      <c r="H61" s="247">
        <v>2.5</v>
      </c>
      <c r="I61" s="248" t="str">
        <f t="shared" si="6"/>
        <v/>
      </c>
      <c r="J61" s="249" t="str">
        <f t="shared" si="7"/>
        <v/>
      </c>
      <c r="K61" s="250" t="str">
        <f>IF(B61="","Pending",IF(M61="","⚠️ Enter Code",IF(IFERROR(VLOOKUP(L61,DB_Agents!$B:$I,8,0),"")=M61,"Pending","🔒 BLOCKED — Wrong Code")))</f>
        <v>Pending</v>
      </c>
      <c r="L61" s="251" t="s">
        <v>141</v>
      </c>
      <c r="M61" s="252"/>
      <c r="N61" s="242"/>
    </row>
    <row r="62" spans="1:14" ht="18" customHeight="1" x14ac:dyDescent="0.25">
      <c r="A62" s="229" t="str">
        <f t="shared" si="4"/>
        <v/>
      </c>
      <c r="B62" s="230"/>
      <c r="C62" s="231" t="str">
        <f>IF(B62="","",IFERROR(VLOOKUP(B62,DB_Customers!$A:$D,4,0),"❌ Account Not Found"))</f>
        <v/>
      </c>
      <c r="D62" s="232" t="str">
        <f t="shared" ca="1" si="5"/>
        <v/>
      </c>
      <c r="E62" s="233"/>
      <c r="F62" s="231"/>
      <c r="G62" s="234"/>
      <c r="H62" s="235">
        <v>2.5</v>
      </c>
      <c r="I62" s="236" t="str">
        <f t="shared" si="6"/>
        <v/>
      </c>
      <c r="J62" s="237" t="str">
        <f t="shared" si="7"/>
        <v/>
      </c>
      <c r="K62" s="238" t="str">
        <f>IF(B62="","Pending",IF(M62="","⚠️ Enter Code",IF(IFERROR(VLOOKUP(L62,DB_Agents!$B:$I,8,0),"")=M62,"Pending","🔒 BLOCKED — Wrong Code")))</f>
        <v>Pending</v>
      </c>
      <c r="L62" s="239" t="s">
        <v>141</v>
      </c>
      <c r="M62" s="240"/>
      <c r="N62" s="230"/>
    </row>
    <row r="63" spans="1:14" ht="18" customHeight="1" x14ac:dyDescent="0.25">
      <c r="A63" s="241" t="str">
        <f t="shared" si="4"/>
        <v/>
      </c>
      <c r="B63" s="242"/>
      <c r="C63" s="243" t="str">
        <f>IF(B63="","",IFERROR(VLOOKUP(B63,DB_Customers!$A:$D,4,0),"❌ Account Not Found"))</f>
        <v/>
      </c>
      <c r="D63" s="244" t="str">
        <f t="shared" ca="1" si="5"/>
        <v/>
      </c>
      <c r="E63" s="245"/>
      <c r="F63" s="243"/>
      <c r="G63" s="246"/>
      <c r="H63" s="247">
        <v>2.5</v>
      </c>
      <c r="I63" s="248" t="str">
        <f t="shared" si="6"/>
        <v/>
      </c>
      <c r="J63" s="249" t="str">
        <f t="shared" si="7"/>
        <v/>
      </c>
      <c r="K63" s="250" t="str">
        <f>IF(B63="","Pending",IF(M63="","⚠️ Enter Code",IF(IFERROR(VLOOKUP(L63,DB_Agents!$B:$I,8,0),"")=M63,"Pending","🔒 BLOCKED — Wrong Code")))</f>
        <v>Pending</v>
      </c>
      <c r="L63" s="251" t="s">
        <v>141</v>
      </c>
      <c r="M63" s="252"/>
      <c r="N63" s="242"/>
    </row>
    <row r="64" spans="1:14" ht="18" customHeight="1" x14ac:dyDescent="0.25">
      <c r="A64" s="229" t="str">
        <f t="shared" si="4"/>
        <v/>
      </c>
      <c r="B64" s="230"/>
      <c r="C64" s="231" t="str">
        <f>IF(B64="","",IFERROR(VLOOKUP(B64,DB_Customers!$A:$D,4,0),"❌ Account Not Found"))</f>
        <v/>
      </c>
      <c r="D64" s="232" t="str">
        <f t="shared" ca="1" si="5"/>
        <v/>
      </c>
      <c r="E64" s="233"/>
      <c r="F64" s="231"/>
      <c r="G64" s="234"/>
      <c r="H64" s="235">
        <v>2.5</v>
      </c>
      <c r="I64" s="236" t="str">
        <f t="shared" si="6"/>
        <v/>
      </c>
      <c r="J64" s="237" t="str">
        <f t="shared" si="7"/>
        <v/>
      </c>
      <c r="K64" s="238" t="str">
        <f>IF(B64="","Pending",IF(M64="","⚠️ Enter Code",IF(IFERROR(VLOOKUP(L64,DB_Agents!$B:$I,8,0),"")=M64,"Pending","🔒 BLOCKED — Wrong Code")))</f>
        <v>Pending</v>
      </c>
      <c r="L64" s="239" t="s">
        <v>141</v>
      </c>
      <c r="M64" s="240"/>
      <c r="N64" s="230"/>
    </row>
    <row r="65" spans="1:14" ht="18" customHeight="1" x14ac:dyDescent="0.25">
      <c r="A65" s="241" t="str">
        <f t="shared" si="4"/>
        <v/>
      </c>
      <c r="B65" s="242"/>
      <c r="C65" s="243" t="str">
        <f>IF(B65="","",IFERROR(VLOOKUP(B65,DB_Customers!$A:$D,4,0),"❌ Account Not Found"))</f>
        <v/>
      </c>
      <c r="D65" s="244" t="str">
        <f t="shared" ca="1" si="5"/>
        <v/>
      </c>
      <c r="E65" s="245"/>
      <c r="F65" s="243"/>
      <c r="G65" s="246"/>
      <c r="H65" s="247">
        <v>2.5</v>
      </c>
      <c r="I65" s="248" t="str">
        <f t="shared" si="6"/>
        <v/>
      </c>
      <c r="J65" s="249" t="str">
        <f t="shared" si="7"/>
        <v/>
      </c>
      <c r="K65" s="250" t="str">
        <f>IF(B65="","Pending",IF(M65="","⚠️ Enter Code",IF(IFERROR(VLOOKUP(L65,DB_Agents!$B:$I,8,0),"")=M65,"Pending","🔒 BLOCKED — Wrong Code")))</f>
        <v>Pending</v>
      </c>
      <c r="L65" s="251" t="s">
        <v>141</v>
      </c>
      <c r="M65" s="252"/>
      <c r="N65" s="242"/>
    </row>
    <row r="66" spans="1:14" ht="18" customHeight="1" x14ac:dyDescent="0.25">
      <c r="A66" s="229" t="str">
        <f t="shared" si="4"/>
        <v/>
      </c>
      <c r="B66" s="230"/>
      <c r="C66" s="231" t="str">
        <f>IF(B66="","",IFERROR(VLOOKUP(B66,DB_Customers!$A:$D,4,0),"❌ Account Not Found"))</f>
        <v/>
      </c>
      <c r="D66" s="232" t="str">
        <f t="shared" ca="1" si="5"/>
        <v/>
      </c>
      <c r="E66" s="233"/>
      <c r="F66" s="231"/>
      <c r="G66" s="234"/>
      <c r="H66" s="235">
        <v>2.5</v>
      </c>
      <c r="I66" s="236" t="str">
        <f t="shared" si="6"/>
        <v/>
      </c>
      <c r="J66" s="237" t="str">
        <f t="shared" si="7"/>
        <v/>
      </c>
      <c r="K66" s="238" t="str">
        <f>IF(B66="","Pending",IF(M66="","⚠️ Enter Code",IF(IFERROR(VLOOKUP(L66,DB_Agents!$B:$I,8,0),"")=M66,"Pending","🔒 BLOCKED — Wrong Code")))</f>
        <v>Pending</v>
      </c>
      <c r="L66" s="239" t="s">
        <v>141</v>
      </c>
      <c r="M66" s="240"/>
      <c r="N66" s="230"/>
    </row>
    <row r="67" spans="1:14" ht="18" customHeight="1" x14ac:dyDescent="0.25">
      <c r="A67" s="241" t="str">
        <f t="shared" si="4"/>
        <v/>
      </c>
      <c r="B67" s="242"/>
      <c r="C67" s="243" t="str">
        <f>IF(B67="","",IFERROR(VLOOKUP(B67,DB_Customers!$A:$D,4,0),"❌ Account Not Found"))</f>
        <v/>
      </c>
      <c r="D67" s="244" t="str">
        <f t="shared" ca="1" si="5"/>
        <v/>
      </c>
      <c r="E67" s="245"/>
      <c r="F67" s="243"/>
      <c r="G67" s="246"/>
      <c r="H67" s="247">
        <v>2.5</v>
      </c>
      <c r="I67" s="248" t="str">
        <f t="shared" si="6"/>
        <v/>
      </c>
      <c r="J67" s="249" t="str">
        <f t="shared" si="7"/>
        <v/>
      </c>
      <c r="K67" s="250" t="str">
        <f>IF(B67="","Pending",IF(M67="","⚠️ Enter Code",IF(IFERROR(VLOOKUP(L67,DB_Agents!$B:$I,8,0),"")=M67,"Pending","🔒 BLOCKED — Wrong Code")))</f>
        <v>Pending</v>
      </c>
      <c r="L67" s="251" t="s">
        <v>141</v>
      </c>
      <c r="M67" s="252"/>
      <c r="N67" s="242"/>
    </row>
    <row r="68" spans="1:14" ht="18" customHeight="1" x14ac:dyDescent="0.25">
      <c r="A68" s="229" t="str">
        <f t="shared" si="4"/>
        <v/>
      </c>
      <c r="B68" s="230"/>
      <c r="C68" s="231" t="str">
        <f>IF(B68="","",IFERROR(VLOOKUP(B68,DB_Customers!$A:$D,4,0),"❌ Account Not Found"))</f>
        <v/>
      </c>
      <c r="D68" s="232" t="str">
        <f t="shared" ca="1" si="5"/>
        <v/>
      </c>
      <c r="E68" s="233"/>
      <c r="F68" s="231"/>
      <c r="G68" s="234"/>
      <c r="H68" s="235">
        <v>2.5</v>
      </c>
      <c r="I68" s="236" t="str">
        <f t="shared" si="6"/>
        <v/>
      </c>
      <c r="J68" s="237" t="str">
        <f t="shared" si="7"/>
        <v/>
      </c>
      <c r="K68" s="238" t="str">
        <f>IF(B68="","Pending",IF(M68="","⚠️ Enter Code",IF(IFERROR(VLOOKUP(L68,DB_Agents!$B:$I,8,0),"")=M68,"Pending","🔒 BLOCKED — Wrong Code")))</f>
        <v>Pending</v>
      </c>
      <c r="L68" s="239" t="s">
        <v>141</v>
      </c>
      <c r="M68" s="240"/>
      <c r="N68" s="230"/>
    </row>
    <row r="69" spans="1:14" ht="18" customHeight="1" x14ac:dyDescent="0.25">
      <c r="A69" s="241" t="str">
        <f t="shared" si="4"/>
        <v/>
      </c>
      <c r="B69" s="242"/>
      <c r="C69" s="243" t="str">
        <f>IF(B69="","",IFERROR(VLOOKUP(B69,DB_Customers!$A:$D,4,0),"❌ Account Not Found"))</f>
        <v/>
      </c>
      <c r="D69" s="244" t="str">
        <f t="shared" ca="1" si="5"/>
        <v/>
      </c>
      <c r="E69" s="245"/>
      <c r="F69" s="243"/>
      <c r="G69" s="246"/>
      <c r="H69" s="247">
        <v>2.5</v>
      </c>
      <c r="I69" s="248" t="str">
        <f t="shared" si="6"/>
        <v/>
      </c>
      <c r="J69" s="249" t="str">
        <f t="shared" si="7"/>
        <v/>
      </c>
      <c r="K69" s="250" t="str">
        <f>IF(B69="","Pending",IF(M69="","⚠️ Enter Code",IF(IFERROR(VLOOKUP(L69,DB_Agents!$B:$I,8,0),"")=M69,"Pending","🔒 BLOCKED — Wrong Code")))</f>
        <v>Pending</v>
      </c>
      <c r="L69" s="251" t="s">
        <v>141</v>
      </c>
      <c r="M69" s="252"/>
      <c r="N69" s="242"/>
    </row>
    <row r="70" spans="1:14" ht="18" customHeight="1" x14ac:dyDescent="0.25">
      <c r="A70" s="229" t="str">
        <f t="shared" si="4"/>
        <v/>
      </c>
      <c r="B70" s="230"/>
      <c r="C70" s="231" t="str">
        <f>IF(B70="","",IFERROR(VLOOKUP(B70,DB_Customers!$A:$D,4,0),"❌ Account Not Found"))</f>
        <v/>
      </c>
      <c r="D70" s="232" t="str">
        <f t="shared" ca="1" si="5"/>
        <v/>
      </c>
      <c r="E70" s="233"/>
      <c r="F70" s="231"/>
      <c r="G70" s="234"/>
      <c r="H70" s="235">
        <v>2.5</v>
      </c>
      <c r="I70" s="236" t="str">
        <f t="shared" si="6"/>
        <v/>
      </c>
      <c r="J70" s="237" t="str">
        <f t="shared" si="7"/>
        <v/>
      </c>
      <c r="K70" s="238" t="str">
        <f>IF(B70="","Pending",IF(M70="","⚠️ Enter Code",IF(IFERROR(VLOOKUP(L70,DB_Agents!$B:$I,8,0),"")=M70,"Pending","🔒 BLOCKED — Wrong Code")))</f>
        <v>Pending</v>
      </c>
      <c r="L70" s="239" t="s">
        <v>141</v>
      </c>
      <c r="M70" s="240"/>
      <c r="N70" s="230"/>
    </row>
    <row r="71" spans="1:14" ht="18" customHeight="1" x14ac:dyDescent="0.25">
      <c r="A71" s="241" t="str">
        <f t="shared" si="4"/>
        <v/>
      </c>
      <c r="B71" s="242"/>
      <c r="C71" s="243" t="str">
        <f>IF(B71="","",IFERROR(VLOOKUP(B71,DB_Customers!$A:$D,4,0),"❌ Account Not Found"))</f>
        <v/>
      </c>
      <c r="D71" s="244" t="str">
        <f t="shared" ca="1" si="5"/>
        <v/>
      </c>
      <c r="E71" s="245"/>
      <c r="F71" s="243"/>
      <c r="G71" s="246"/>
      <c r="H71" s="247">
        <v>2.5</v>
      </c>
      <c r="I71" s="248" t="str">
        <f t="shared" si="6"/>
        <v/>
      </c>
      <c r="J71" s="249" t="str">
        <f t="shared" si="7"/>
        <v/>
      </c>
      <c r="K71" s="250" t="str">
        <f>IF(B71="","Pending",IF(M71="","⚠️ Enter Code",IF(IFERROR(VLOOKUP(L71,DB_Agents!$B:$I,8,0),"")=M71,"Pending","🔒 BLOCKED — Wrong Code")))</f>
        <v>Pending</v>
      </c>
      <c r="L71" s="251" t="s">
        <v>141</v>
      </c>
      <c r="M71" s="252"/>
      <c r="N71" s="242"/>
    </row>
    <row r="72" spans="1:14" ht="18" customHeight="1" x14ac:dyDescent="0.25">
      <c r="A72" s="229" t="str">
        <f t="shared" si="4"/>
        <v/>
      </c>
      <c r="B72" s="230"/>
      <c r="C72" s="231" t="str">
        <f>IF(B72="","",IFERROR(VLOOKUP(B72,DB_Customers!$A:$D,4,0),"❌ Account Not Found"))</f>
        <v/>
      </c>
      <c r="D72" s="232" t="str">
        <f t="shared" ca="1" si="5"/>
        <v/>
      </c>
      <c r="E72" s="233"/>
      <c r="F72" s="231"/>
      <c r="G72" s="234"/>
      <c r="H72" s="235">
        <v>2.5</v>
      </c>
      <c r="I72" s="236" t="str">
        <f t="shared" si="6"/>
        <v/>
      </c>
      <c r="J72" s="237" t="str">
        <f t="shared" si="7"/>
        <v/>
      </c>
      <c r="K72" s="238" t="str">
        <f>IF(B72="","Pending",IF(M72="","⚠️ Enter Code",IF(IFERROR(VLOOKUP(L72,DB_Agents!$B:$I,8,0),"")=M72,"Pending","🔒 BLOCKED — Wrong Code")))</f>
        <v>Pending</v>
      </c>
      <c r="L72" s="239" t="s">
        <v>141</v>
      </c>
      <c r="M72" s="240"/>
      <c r="N72" s="230"/>
    </row>
    <row r="73" spans="1:14" ht="18" customHeight="1" x14ac:dyDescent="0.25">
      <c r="A73" s="241" t="str">
        <f t="shared" si="4"/>
        <v/>
      </c>
      <c r="B73" s="242"/>
      <c r="C73" s="243" t="str">
        <f>IF(B73="","",IFERROR(VLOOKUP(B73,DB_Customers!$A:$D,4,0),"❌ Account Not Found"))</f>
        <v/>
      </c>
      <c r="D73" s="244" t="str">
        <f t="shared" ca="1" si="5"/>
        <v/>
      </c>
      <c r="E73" s="245"/>
      <c r="F73" s="243"/>
      <c r="G73" s="246"/>
      <c r="H73" s="247">
        <v>2.5</v>
      </c>
      <c r="I73" s="248" t="str">
        <f t="shared" si="6"/>
        <v/>
      </c>
      <c r="J73" s="249" t="str">
        <f t="shared" si="7"/>
        <v/>
      </c>
      <c r="K73" s="250" t="str">
        <f>IF(B73="","Pending",IF(M73="","⚠️ Enter Code",IF(IFERROR(VLOOKUP(L73,DB_Agents!$B:$I,8,0),"")=M73,"Pending","🔒 BLOCKED — Wrong Code")))</f>
        <v>Pending</v>
      </c>
      <c r="L73" s="251" t="s">
        <v>141</v>
      </c>
      <c r="M73" s="252"/>
      <c r="N73" s="242"/>
    </row>
    <row r="74" spans="1:14" ht="18" customHeight="1" x14ac:dyDescent="0.25">
      <c r="A74" s="229" t="str">
        <f t="shared" si="4"/>
        <v/>
      </c>
      <c r="B74" s="230"/>
      <c r="C74" s="231" t="str">
        <f>IF(B74="","",IFERROR(VLOOKUP(B74,DB_Customers!$A:$D,4,0),"❌ Account Not Found"))</f>
        <v/>
      </c>
      <c r="D74" s="232" t="str">
        <f t="shared" ca="1" si="5"/>
        <v/>
      </c>
      <c r="E74" s="233"/>
      <c r="F74" s="231"/>
      <c r="G74" s="234"/>
      <c r="H74" s="235">
        <v>2.5</v>
      </c>
      <c r="I74" s="236" t="str">
        <f t="shared" si="6"/>
        <v/>
      </c>
      <c r="J74" s="237" t="str">
        <f t="shared" si="7"/>
        <v/>
      </c>
      <c r="K74" s="238" t="str">
        <f>IF(B74="","Pending",IF(M74="","⚠️ Enter Code",IF(IFERROR(VLOOKUP(L74,DB_Agents!$B:$I,8,0),"")=M74,"Pending","🔒 BLOCKED — Wrong Code")))</f>
        <v>Pending</v>
      </c>
      <c r="L74" s="239" t="s">
        <v>141</v>
      </c>
      <c r="M74" s="240"/>
      <c r="N74" s="230"/>
    </row>
    <row r="75" spans="1:14" ht="18" customHeight="1" x14ac:dyDescent="0.25">
      <c r="A75" s="241" t="str">
        <f t="shared" si="4"/>
        <v/>
      </c>
      <c r="B75" s="242"/>
      <c r="C75" s="243" t="str">
        <f>IF(B75="","",IFERROR(VLOOKUP(B75,DB_Customers!$A:$D,4,0),"❌ Account Not Found"))</f>
        <v/>
      </c>
      <c r="D75" s="244" t="str">
        <f t="shared" ca="1" si="5"/>
        <v/>
      </c>
      <c r="E75" s="245"/>
      <c r="F75" s="243"/>
      <c r="G75" s="246"/>
      <c r="H75" s="247">
        <v>2.5</v>
      </c>
      <c r="I75" s="248" t="str">
        <f t="shared" si="6"/>
        <v/>
      </c>
      <c r="J75" s="249" t="str">
        <f t="shared" si="7"/>
        <v/>
      </c>
      <c r="K75" s="250" t="str">
        <f>IF(B75="","Pending",IF(M75="","⚠️ Enter Code",IF(IFERROR(VLOOKUP(L75,DB_Agents!$B:$I,8,0),"")=M75,"Pending","🔒 BLOCKED — Wrong Code")))</f>
        <v>Pending</v>
      </c>
      <c r="L75" s="251" t="s">
        <v>141</v>
      </c>
      <c r="M75" s="252"/>
      <c r="N75" s="242"/>
    </row>
    <row r="76" spans="1:14" ht="18" customHeight="1" x14ac:dyDescent="0.25">
      <c r="A76" s="229" t="str">
        <f t="shared" si="4"/>
        <v/>
      </c>
      <c r="B76" s="230"/>
      <c r="C76" s="231" t="str">
        <f>IF(B76="","",IFERROR(VLOOKUP(B76,DB_Customers!$A:$D,4,0),"❌ Account Not Found"))</f>
        <v/>
      </c>
      <c r="D76" s="232" t="str">
        <f t="shared" ca="1" si="5"/>
        <v/>
      </c>
      <c r="E76" s="233"/>
      <c r="F76" s="231"/>
      <c r="G76" s="234"/>
      <c r="H76" s="235">
        <v>2.5</v>
      </c>
      <c r="I76" s="236" t="str">
        <f t="shared" si="6"/>
        <v/>
      </c>
      <c r="J76" s="237" t="str">
        <f t="shared" si="7"/>
        <v/>
      </c>
      <c r="K76" s="238" t="str">
        <f>IF(B76="","Pending",IF(M76="","⚠️ Enter Code",IF(IFERROR(VLOOKUP(L76,DB_Agents!$B:$I,8,0),"")=M76,"Pending","🔒 BLOCKED — Wrong Code")))</f>
        <v>Pending</v>
      </c>
      <c r="L76" s="239" t="s">
        <v>141</v>
      </c>
      <c r="M76" s="240"/>
      <c r="N76" s="230"/>
    </row>
    <row r="77" spans="1:14" ht="18" customHeight="1" x14ac:dyDescent="0.25">
      <c r="A77" s="241" t="str">
        <f t="shared" si="4"/>
        <v/>
      </c>
      <c r="B77" s="242"/>
      <c r="C77" s="243" t="str">
        <f>IF(B77="","",IFERROR(VLOOKUP(B77,DB_Customers!$A:$D,4,0),"❌ Account Not Found"))</f>
        <v/>
      </c>
      <c r="D77" s="244" t="str">
        <f t="shared" ca="1" si="5"/>
        <v/>
      </c>
      <c r="E77" s="245"/>
      <c r="F77" s="243"/>
      <c r="G77" s="246"/>
      <c r="H77" s="247">
        <v>2.5</v>
      </c>
      <c r="I77" s="248" t="str">
        <f t="shared" si="6"/>
        <v/>
      </c>
      <c r="J77" s="249" t="str">
        <f t="shared" si="7"/>
        <v/>
      </c>
      <c r="K77" s="250" t="str">
        <f>IF(B77="","Pending",IF(M77="","⚠️ Enter Code",IF(IFERROR(VLOOKUP(L77,DB_Agents!$B:$I,8,0),"")=M77,"Pending","🔒 BLOCKED — Wrong Code")))</f>
        <v>Pending</v>
      </c>
      <c r="L77" s="251" t="s">
        <v>141</v>
      </c>
      <c r="M77" s="252"/>
      <c r="N77" s="242"/>
    </row>
    <row r="78" spans="1:14" ht="18" customHeight="1" x14ac:dyDescent="0.25">
      <c r="A78" s="229" t="str">
        <f t="shared" ref="A78:A109" si="8">IF(B78="","",IF(C78="❌ Account Not Found","INVALID","LN"&amp;TEXT(D78,"YYYYMMDD")&amp;TEXT(ROW()-13,"0000")))</f>
        <v/>
      </c>
      <c r="B78" s="230"/>
      <c r="C78" s="231" t="str">
        <f>IF(B78="","",IFERROR(VLOOKUP(B78,DB_Customers!$A:$D,4,0),"❌ Account Not Found"))</f>
        <v/>
      </c>
      <c r="D78" s="232" t="str">
        <f t="shared" ref="D78:D109" ca="1" si="9">IF(B78="","",TODAY())</f>
        <v/>
      </c>
      <c r="E78" s="233"/>
      <c r="F78" s="231"/>
      <c r="G78" s="234"/>
      <c r="H78" s="235">
        <v>2.5</v>
      </c>
      <c r="I78" s="236" t="str">
        <f t="shared" ref="I78:I109" si="10">IF(E78="","",E78+(E78*H78/100*G78))</f>
        <v/>
      </c>
      <c r="J78" s="237" t="str">
        <f t="shared" ref="J78:J109" si="11">IFERROR(I78/G78,"")</f>
        <v/>
      </c>
      <c r="K78" s="238" t="str">
        <f>IF(B78="","Pending",IF(M78="","⚠️ Enter Code",IF(IFERROR(VLOOKUP(L78,DB_Agents!$B:$I,8,0),"")=M78,"Pending","🔒 BLOCKED — Wrong Code")))</f>
        <v>Pending</v>
      </c>
      <c r="L78" s="239" t="s">
        <v>141</v>
      </c>
      <c r="M78" s="240"/>
      <c r="N78" s="230"/>
    </row>
    <row r="79" spans="1:14" ht="18" customHeight="1" x14ac:dyDescent="0.25">
      <c r="A79" s="241" t="str">
        <f t="shared" si="8"/>
        <v/>
      </c>
      <c r="B79" s="242"/>
      <c r="C79" s="243" t="str">
        <f>IF(B79="","",IFERROR(VLOOKUP(B79,DB_Customers!$A:$D,4,0),"❌ Account Not Found"))</f>
        <v/>
      </c>
      <c r="D79" s="244" t="str">
        <f t="shared" ca="1" si="9"/>
        <v/>
      </c>
      <c r="E79" s="245"/>
      <c r="F79" s="243"/>
      <c r="G79" s="246"/>
      <c r="H79" s="247">
        <v>2.5</v>
      </c>
      <c r="I79" s="248" t="str">
        <f t="shared" si="10"/>
        <v/>
      </c>
      <c r="J79" s="249" t="str">
        <f t="shared" si="11"/>
        <v/>
      </c>
      <c r="K79" s="250" t="str">
        <f>IF(B79="","Pending",IF(M79="","⚠️ Enter Code",IF(IFERROR(VLOOKUP(L79,DB_Agents!$B:$I,8,0),"")=M79,"Pending","🔒 BLOCKED — Wrong Code")))</f>
        <v>Pending</v>
      </c>
      <c r="L79" s="251" t="s">
        <v>141</v>
      </c>
      <c r="M79" s="252"/>
      <c r="N79" s="242"/>
    </row>
    <row r="80" spans="1:14" ht="18" customHeight="1" x14ac:dyDescent="0.25">
      <c r="A80" s="229" t="str">
        <f t="shared" si="8"/>
        <v/>
      </c>
      <c r="B80" s="230"/>
      <c r="C80" s="231" t="str">
        <f>IF(B80="","",IFERROR(VLOOKUP(B80,DB_Customers!$A:$D,4,0),"❌ Account Not Found"))</f>
        <v/>
      </c>
      <c r="D80" s="232" t="str">
        <f t="shared" ca="1" si="9"/>
        <v/>
      </c>
      <c r="E80" s="233"/>
      <c r="F80" s="231"/>
      <c r="G80" s="234"/>
      <c r="H80" s="235">
        <v>2.5</v>
      </c>
      <c r="I80" s="236" t="str">
        <f t="shared" si="10"/>
        <v/>
      </c>
      <c r="J80" s="237" t="str">
        <f t="shared" si="11"/>
        <v/>
      </c>
      <c r="K80" s="238" t="str">
        <f>IF(B80="","Pending",IF(M80="","⚠️ Enter Code",IF(IFERROR(VLOOKUP(L80,DB_Agents!$B:$I,8,0),"")=M80,"Pending","🔒 BLOCKED — Wrong Code")))</f>
        <v>Pending</v>
      </c>
      <c r="L80" s="239" t="s">
        <v>141</v>
      </c>
      <c r="M80" s="240"/>
      <c r="N80" s="230"/>
    </row>
    <row r="81" spans="1:14" ht="18" customHeight="1" x14ac:dyDescent="0.25">
      <c r="A81" s="241" t="str">
        <f t="shared" si="8"/>
        <v/>
      </c>
      <c r="B81" s="242"/>
      <c r="C81" s="243" t="str">
        <f>IF(B81="","",IFERROR(VLOOKUP(B81,DB_Customers!$A:$D,4,0),"❌ Account Not Found"))</f>
        <v/>
      </c>
      <c r="D81" s="244" t="str">
        <f t="shared" ca="1" si="9"/>
        <v/>
      </c>
      <c r="E81" s="245"/>
      <c r="F81" s="243"/>
      <c r="G81" s="246"/>
      <c r="H81" s="247">
        <v>2.5</v>
      </c>
      <c r="I81" s="248" t="str">
        <f t="shared" si="10"/>
        <v/>
      </c>
      <c r="J81" s="249" t="str">
        <f t="shared" si="11"/>
        <v/>
      </c>
      <c r="K81" s="250" t="str">
        <f>IF(B81="","Pending",IF(M81="","⚠️ Enter Code",IF(IFERROR(VLOOKUP(L81,DB_Agents!$B:$I,8,0),"")=M81,"Pending","🔒 BLOCKED — Wrong Code")))</f>
        <v>Pending</v>
      </c>
      <c r="L81" s="251" t="s">
        <v>141</v>
      </c>
      <c r="M81" s="252"/>
      <c r="N81" s="242"/>
    </row>
    <row r="82" spans="1:14" ht="18" customHeight="1" x14ac:dyDescent="0.25">
      <c r="A82" s="229" t="str">
        <f t="shared" si="8"/>
        <v/>
      </c>
      <c r="B82" s="230"/>
      <c r="C82" s="231" t="str">
        <f>IF(B82="","",IFERROR(VLOOKUP(B82,DB_Customers!$A:$D,4,0),"❌ Account Not Found"))</f>
        <v/>
      </c>
      <c r="D82" s="232" t="str">
        <f t="shared" ca="1" si="9"/>
        <v/>
      </c>
      <c r="E82" s="233"/>
      <c r="F82" s="231"/>
      <c r="G82" s="234"/>
      <c r="H82" s="235">
        <v>2.5</v>
      </c>
      <c r="I82" s="236" t="str">
        <f t="shared" si="10"/>
        <v/>
      </c>
      <c r="J82" s="237" t="str">
        <f t="shared" si="11"/>
        <v/>
      </c>
      <c r="K82" s="238" t="str">
        <f>IF(B82="","Pending",IF(M82="","⚠️ Enter Code",IF(IFERROR(VLOOKUP(L82,DB_Agents!$B:$I,8,0),"")=M82,"Pending","🔒 BLOCKED — Wrong Code")))</f>
        <v>Pending</v>
      </c>
      <c r="L82" s="239" t="s">
        <v>141</v>
      </c>
      <c r="M82" s="240"/>
      <c r="N82" s="230"/>
    </row>
    <row r="83" spans="1:14" ht="18" customHeight="1" x14ac:dyDescent="0.25">
      <c r="A83" s="241" t="str">
        <f t="shared" si="8"/>
        <v/>
      </c>
      <c r="B83" s="242"/>
      <c r="C83" s="243" t="str">
        <f>IF(B83="","",IFERROR(VLOOKUP(B83,DB_Customers!$A:$D,4,0),"❌ Account Not Found"))</f>
        <v/>
      </c>
      <c r="D83" s="244" t="str">
        <f t="shared" ca="1" si="9"/>
        <v/>
      </c>
      <c r="E83" s="245"/>
      <c r="F83" s="243"/>
      <c r="G83" s="246"/>
      <c r="H83" s="247">
        <v>2.5</v>
      </c>
      <c r="I83" s="248" t="str">
        <f t="shared" si="10"/>
        <v/>
      </c>
      <c r="J83" s="249" t="str">
        <f t="shared" si="11"/>
        <v/>
      </c>
      <c r="K83" s="250" t="str">
        <f>IF(B83="","Pending",IF(M83="","⚠️ Enter Code",IF(IFERROR(VLOOKUP(L83,DB_Agents!$B:$I,8,0),"")=M83,"Pending","🔒 BLOCKED — Wrong Code")))</f>
        <v>Pending</v>
      </c>
      <c r="L83" s="251" t="s">
        <v>141</v>
      </c>
      <c r="M83" s="252"/>
      <c r="N83" s="242"/>
    </row>
    <row r="84" spans="1:14" ht="18" customHeight="1" x14ac:dyDescent="0.25">
      <c r="A84" s="229" t="str">
        <f t="shared" si="8"/>
        <v/>
      </c>
      <c r="B84" s="230"/>
      <c r="C84" s="231" t="str">
        <f>IF(B84="","",IFERROR(VLOOKUP(B84,DB_Customers!$A:$D,4,0),"❌ Account Not Found"))</f>
        <v/>
      </c>
      <c r="D84" s="232" t="str">
        <f t="shared" ca="1" si="9"/>
        <v/>
      </c>
      <c r="E84" s="233"/>
      <c r="F84" s="231"/>
      <c r="G84" s="234"/>
      <c r="H84" s="235">
        <v>2.5</v>
      </c>
      <c r="I84" s="236" t="str">
        <f t="shared" si="10"/>
        <v/>
      </c>
      <c r="J84" s="237" t="str">
        <f t="shared" si="11"/>
        <v/>
      </c>
      <c r="K84" s="238" t="str">
        <f>IF(B84="","Pending",IF(M84="","⚠️ Enter Code",IF(IFERROR(VLOOKUP(L84,DB_Agents!$B:$I,8,0),"")=M84,"Pending","🔒 BLOCKED — Wrong Code")))</f>
        <v>Pending</v>
      </c>
      <c r="L84" s="239" t="s">
        <v>141</v>
      </c>
      <c r="M84" s="240"/>
      <c r="N84" s="230"/>
    </row>
    <row r="85" spans="1:14" ht="18" customHeight="1" x14ac:dyDescent="0.25">
      <c r="A85" s="241" t="str">
        <f t="shared" si="8"/>
        <v/>
      </c>
      <c r="B85" s="242"/>
      <c r="C85" s="243" t="str">
        <f>IF(B85="","",IFERROR(VLOOKUP(B85,DB_Customers!$A:$D,4,0),"❌ Account Not Found"))</f>
        <v/>
      </c>
      <c r="D85" s="244" t="str">
        <f t="shared" ca="1" si="9"/>
        <v/>
      </c>
      <c r="E85" s="245"/>
      <c r="F85" s="243"/>
      <c r="G85" s="246"/>
      <c r="H85" s="247">
        <v>2.5</v>
      </c>
      <c r="I85" s="248" t="str">
        <f t="shared" si="10"/>
        <v/>
      </c>
      <c r="J85" s="249" t="str">
        <f t="shared" si="11"/>
        <v/>
      </c>
      <c r="K85" s="250" t="str">
        <f>IF(B85="","Pending",IF(M85="","⚠️ Enter Code",IF(IFERROR(VLOOKUP(L85,DB_Agents!$B:$I,8,0),"")=M85,"Pending","🔒 BLOCKED — Wrong Code")))</f>
        <v>Pending</v>
      </c>
      <c r="L85" s="251" t="s">
        <v>141</v>
      </c>
      <c r="M85" s="252"/>
      <c r="N85" s="242"/>
    </row>
    <row r="86" spans="1:14" ht="18" customHeight="1" x14ac:dyDescent="0.25">
      <c r="A86" s="229" t="str">
        <f t="shared" si="8"/>
        <v/>
      </c>
      <c r="B86" s="230"/>
      <c r="C86" s="231" t="str">
        <f>IF(B86="","",IFERROR(VLOOKUP(B86,DB_Customers!$A:$D,4,0),"❌ Account Not Found"))</f>
        <v/>
      </c>
      <c r="D86" s="232" t="str">
        <f t="shared" ca="1" si="9"/>
        <v/>
      </c>
      <c r="E86" s="233"/>
      <c r="F86" s="231"/>
      <c r="G86" s="234"/>
      <c r="H86" s="235">
        <v>2.5</v>
      </c>
      <c r="I86" s="236" t="str">
        <f t="shared" si="10"/>
        <v/>
      </c>
      <c r="J86" s="237" t="str">
        <f t="shared" si="11"/>
        <v/>
      </c>
      <c r="K86" s="238" t="str">
        <f>IF(B86="","Pending",IF(M86="","⚠️ Enter Code",IF(IFERROR(VLOOKUP(L86,DB_Agents!$B:$I,8,0),"")=M86,"Pending","🔒 BLOCKED — Wrong Code")))</f>
        <v>Pending</v>
      </c>
      <c r="L86" s="239" t="s">
        <v>141</v>
      </c>
      <c r="M86" s="240"/>
      <c r="N86" s="230"/>
    </row>
    <row r="87" spans="1:14" ht="18" customHeight="1" x14ac:dyDescent="0.25">
      <c r="A87" s="241" t="str">
        <f t="shared" si="8"/>
        <v/>
      </c>
      <c r="B87" s="242"/>
      <c r="C87" s="243" t="str">
        <f>IF(B87="","",IFERROR(VLOOKUP(B87,DB_Customers!$A:$D,4,0),"❌ Account Not Found"))</f>
        <v/>
      </c>
      <c r="D87" s="244" t="str">
        <f t="shared" ca="1" si="9"/>
        <v/>
      </c>
      <c r="E87" s="245"/>
      <c r="F87" s="243"/>
      <c r="G87" s="246"/>
      <c r="H87" s="247">
        <v>2.5</v>
      </c>
      <c r="I87" s="248" t="str">
        <f t="shared" si="10"/>
        <v/>
      </c>
      <c r="J87" s="249" t="str">
        <f t="shared" si="11"/>
        <v/>
      </c>
      <c r="K87" s="250" t="str">
        <f>IF(B87="","Pending",IF(M87="","⚠️ Enter Code",IF(IFERROR(VLOOKUP(L87,DB_Agents!$B:$I,8,0),"")=M87,"Pending","🔒 BLOCKED — Wrong Code")))</f>
        <v>Pending</v>
      </c>
      <c r="L87" s="251" t="s">
        <v>141</v>
      </c>
      <c r="M87" s="252"/>
      <c r="N87" s="242"/>
    </row>
    <row r="88" spans="1:14" ht="18" customHeight="1" x14ac:dyDescent="0.25">
      <c r="A88" s="229" t="str">
        <f t="shared" si="8"/>
        <v/>
      </c>
      <c r="B88" s="230"/>
      <c r="C88" s="231" t="str">
        <f>IF(B88="","",IFERROR(VLOOKUP(B88,DB_Customers!$A:$D,4,0),"❌ Account Not Found"))</f>
        <v/>
      </c>
      <c r="D88" s="232" t="str">
        <f t="shared" ca="1" si="9"/>
        <v/>
      </c>
      <c r="E88" s="233"/>
      <c r="F88" s="231"/>
      <c r="G88" s="234"/>
      <c r="H88" s="235">
        <v>2.5</v>
      </c>
      <c r="I88" s="236" t="str">
        <f t="shared" si="10"/>
        <v/>
      </c>
      <c r="J88" s="237" t="str">
        <f t="shared" si="11"/>
        <v/>
      </c>
      <c r="K88" s="238" t="str">
        <f>IF(B88="","Pending",IF(M88="","⚠️ Enter Code",IF(IFERROR(VLOOKUP(L88,DB_Agents!$B:$I,8,0),"")=M88,"Pending","🔒 BLOCKED — Wrong Code")))</f>
        <v>Pending</v>
      </c>
      <c r="L88" s="239" t="s">
        <v>141</v>
      </c>
      <c r="M88" s="240"/>
      <c r="N88" s="230"/>
    </row>
    <row r="89" spans="1:14" ht="18" customHeight="1" x14ac:dyDescent="0.25">
      <c r="A89" s="241" t="str">
        <f t="shared" si="8"/>
        <v/>
      </c>
      <c r="B89" s="242"/>
      <c r="C89" s="243" t="str">
        <f>IF(B89="","",IFERROR(VLOOKUP(B89,DB_Customers!$A:$D,4,0),"❌ Account Not Found"))</f>
        <v/>
      </c>
      <c r="D89" s="244" t="str">
        <f t="shared" ca="1" si="9"/>
        <v/>
      </c>
      <c r="E89" s="245"/>
      <c r="F89" s="243"/>
      <c r="G89" s="246"/>
      <c r="H89" s="247">
        <v>2.5</v>
      </c>
      <c r="I89" s="248" t="str">
        <f t="shared" si="10"/>
        <v/>
      </c>
      <c r="J89" s="249" t="str">
        <f t="shared" si="11"/>
        <v/>
      </c>
      <c r="K89" s="250" t="str">
        <f>IF(B89="","Pending",IF(M89="","⚠️ Enter Code",IF(IFERROR(VLOOKUP(L89,DB_Agents!$B:$I,8,0),"")=M89,"Pending","🔒 BLOCKED — Wrong Code")))</f>
        <v>Pending</v>
      </c>
      <c r="L89" s="251" t="s">
        <v>141</v>
      </c>
      <c r="M89" s="252"/>
      <c r="N89" s="242"/>
    </row>
    <row r="90" spans="1:14" ht="18" customHeight="1" x14ac:dyDescent="0.25">
      <c r="A90" s="229" t="str">
        <f t="shared" si="8"/>
        <v/>
      </c>
      <c r="B90" s="230"/>
      <c r="C90" s="231" t="str">
        <f>IF(B90="","",IFERROR(VLOOKUP(B90,DB_Customers!$A:$D,4,0),"❌ Account Not Found"))</f>
        <v/>
      </c>
      <c r="D90" s="232" t="str">
        <f t="shared" ca="1" si="9"/>
        <v/>
      </c>
      <c r="E90" s="233"/>
      <c r="F90" s="231"/>
      <c r="G90" s="234"/>
      <c r="H90" s="235">
        <v>2.5</v>
      </c>
      <c r="I90" s="236" t="str">
        <f t="shared" si="10"/>
        <v/>
      </c>
      <c r="J90" s="237" t="str">
        <f t="shared" si="11"/>
        <v/>
      </c>
      <c r="K90" s="238" t="str">
        <f>IF(B90="","Pending",IF(M90="","⚠️ Enter Code",IF(IFERROR(VLOOKUP(L90,DB_Agents!$B:$I,8,0),"")=M90,"Pending","🔒 BLOCKED — Wrong Code")))</f>
        <v>Pending</v>
      </c>
      <c r="L90" s="239" t="s">
        <v>141</v>
      </c>
      <c r="M90" s="240"/>
      <c r="N90" s="230"/>
    </row>
    <row r="91" spans="1:14" ht="18" customHeight="1" x14ac:dyDescent="0.25">
      <c r="A91" s="241" t="str">
        <f t="shared" si="8"/>
        <v/>
      </c>
      <c r="B91" s="242"/>
      <c r="C91" s="243" t="str">
        <f>IF(B91="","",IFERROR(VLOOKUP(B91,DB_Customers!$A:$D,4,0),"❌ Account Not Found"))</f>
        <v/>
      </c>
      <c r="D91" s="244" t="str">
        <f t="shared" ca="1" si="9"/>
        <v/>
      </c>
      <c r="E91" s="245"/>
      <c r="F91" s="243"/>
      <c r="G91" s="246"/>
      <c r="H91" s="247">
        <v>2.5</v>
      </c>
      <c r="I91" s="248" t="str">
        <f t="shared" si="10"/>
        <v/>
      </c>
      <c r="J91" s="249" t="str">
        <f t="shared" si="11"/>
        <v/>
      </c>
      <c r="K91" s="250" t="str">
        <f>IF(B91="","Pending",IF(M91="","⚠️ Enter Code",IF(IFERROR(VLOOKUP(L91,DB_Agents!$B:$I,8,0),"")=M91,"Pending","🔒 BLOCKED — Wrong Code")))</f>
        <v>Pending</v>
      </c>
      <c r="L91" s="251" t="s">
        <v>141</v>
      </c>
      <c r="M91" s="252"/>
      <c r="N91" s="242"/>
    </row>
    <row r="92" spans="1:14" ht="18" customHeight="1" x14ac:dyDescent="0.25">
      <c r="A92" s="229" t="str">
        <f t="shared" si="8"/>
        <v/>
      </c>
      <c r="B92" s="230"/>
      <c r="C92" s="231" t="str">
        <f>IF(B92="","",IFERROR(VLOOKUP(B92,DB_Customers!$A:$D,4,0),"❌ Account Not Found"))</f>
        <v/>
      </c>
      <c r="D92" s="232" t="str">
        <f t="shared" ca="1" si="9"/>
        <v/>
      </c>
      <c r="E92" s="233"/>
      <c r="F92" s="231"/>
      <c r="G92" s="234"/>
      <c r="H92" s="235">
        <v>2.5</v>
      </c>
      <c r="I92" s="236" t="str">
        <f t="shared" si="10"/>
        <v/>
      </c>
      <c r="J92" s="237" t="str">
        <f t="shared" si="11"/>
        <v/>
      </c>
      <c r="K92" s="238" t="str">
        <f>IF(B92="","Pending",IF(M92="","⚠️ Enter Code",IF(IFERROR(VLOOKUP(L92,DB_Agents!$B:$I,8,0),"")=M92,"Pending","🔒 BLOCKED — Wrong Code")))</f>
        <v>Pending</v>
      </c>
      <c r="L92" s="239" t="s">
        <v>141</v>
      </c>
      <c r="M92" s="240"/>
      <c r="N92" s="230"/>
    </row>
    <row r="93" spans="1:14" ht="18" customHeight="1" x14ac:dyDescent="0.25">
      <c r="A93" s="241" t="str">
        <f t="shared" si="8"/>
        <v/>
      </c>
      <c r="B93" s="242"/>
      <c r="C93" s="243" t="str">
        <f>IF(B93="","",IFERROR(VLOOKUP(B93,DB_Customers!$A:$D,4,0),"❌ Account Not Found"))</f>
        <v/>
      </c>
      <c r="D93" s="244" t="str">
        <f t="shared" ca="1" si="9"/>
        <v/>
      </c>
      <c r="E93" s="245"/>
      <c r="F93" s="243"/>
      <c r="G93" s="246"/>
      <c r="H93" s="247">
        <v>2.5</v>
      </c>
      <c r="I93" s="248" t="str">
        <f t="shared" si="10"/>
        <v/>
      </c>
      <c r="J93" s="249" t="str">
        <f t="shared" si="11"/>
        <v/>
      </c>
      <c r="K93" s="250" t="str">
        <f>IF(B93="","Pending",IF(M93="","⚠️ Enter Code",IF(IFERROR(VLOOKUP(L93,DB_Agents!$B:$I,8,0),"")=M93,"Pending","🔒 BLOCKED — Wrong Code")))</f>
        <v>Pending</v>
      </c>
      <c r="L93" s="251" t="s">
        <v>141</v>
      </c>
      <c r="M93" s="252"/>
      <c r="N93" s="242"/>
    </row>
    <row r="94" spans="1:14" ht="18" customHeight="1" x14ac:dyDescent="0.25">
      <c r="A94" s="229" t="str">
        <f t="shared" si="8"/>
        <v/>
      </c>
      <c r="B94" s="230"/>
      <c r="C94" s="231" t="str">
        <f>IF(B94="","",IFERROR(VLOOKUP(B94,DB_Customers!$A:$D,4,0),"❌ Account Not Found"))</f>
        <v/>
      </c>
      <c r="D94" s="232" t="str">
        <f t="shared" ca="1" si="9"/>
        <v/>
      </c>
      <c r="E94" s="233"/>
      <c r="F94" s="231"/>
      <c r="G94" s="234"/>
      <c r="H94" s="235">
        <v>2.5</v>
      </c>
      <c r="I94" s="236" t="str">
        <f t="shared" si="10"/>
        <v/>
      </c>
      <c r="J94" s="237" t="str">
        <f t="shared" si="11"/>
        <v/>
      </c>
      <c r="K94" s="238" t="str">
        <f>IF(B94="","Pending",IF(M94="","⚠️ Enter Code",IF(IFERROR(VLOOKUP(L94,DB_Agents!$B:$I,8,0),"")=M94,"Pending","🔒 BLOCKED — Wrong Code")))</f>
        <v>Pending</v>
      </c>
      <c r="L94" s="239" t="s">
        <v>141</v>
      </c>
      <c r="M94" s="240"/>
      <c r="N94" s="230"/>
    </row>
    <row r="95" spans="1:14" ht="18" customHeight="1" x14ac:dyDescent="0.25">
      <c r="A95" s="241" t="str">
        <f t="shared" si="8"/>
        <v/>
      </c>
      <c r="B95" s="242"/>
      <c r="C95" s="243" t="str">
        <f>IF(B95="","",IFERROR(VLOOKUP(B95,DB_Customers!$A:$D,4,0),"❌ Account Not Found"))</f>
        <v/>
      </c>
      <c r="D95" s="244" t="str">
        <f t="shared" ca="1" si="9"/>
        <v/>
      </c>
      <c r="E95" s="245"/>
      <c r="F95" s="243"/>
      <c r="G95" s="246"/>
      <c r="H95" s="247">
        <v>2.5</v>
      </c>
      <c r="I95" s="248" t="str">
        <f t="shared" si="10"/>
        <v/>
      </c>
      <c r="J95" s="249" t="str">
        <f t="shared" si="11"/>
        <v/>
      </c>
      <c r="K95" s="250" t="str">
        <f>IF(B95="","Pending",IF(M95="","⚠️ Enter Code",IF(IFERROR(VLOOKUP(L95,DB_Agents!$B:$I,8,0),"")=M95,"Pending","🔒 BLOCKED — Wrong Code")))</f>
        <v>Pending</v>
      </c>
      <c r="L95" s="251" t="s">
        <v>141</v>
      </c>
      <c r="M95" s="252"/>
      <c r="N95" s="242"/>
    </row>
    <row r="96" spans="1:14" ht="18" customHeight="1" x14ac:dyDescent="0.25">
      <c r="A96" s="229" t="str">
        <f t="shared" si="8"/>
        <v/>
      </c>
      <c r="B96" s="230"/>
      <c r="C96" s="231" t="str">
        <f>IF(B96="","",IFERROR(VLOOKUP(B96,DB_Customers!$A:$D,4,0),"❌ Account Not Found"))</f>
        <v/>
      </c>
      <c r="D96" s="232" t="str">
        <f t="shared" ca="1" si="9"/>
        <v/>
      </c>
      <c r="E96" s="233"/>
      <c r="F96" s="231"/>
      <c r="G96" s="234"/>
      <c r="H96" s="235">
        <v>2.5</v>
      </c>
      <c r="I96" s="236" t="str">
        <f t="shared" si="10"/>
        <v/>
      </c>
      <c r="J96" s="237" t="str">
        <f t="shared" si="11"/>
        <v/>
      </c>
      <c r="K96" s="238" t="str">
        <f>IF(B96="","Pending",IF(M96="","⚠️ Enter Code",IF(IFERROR(VLOOKUP(L96,DB_Agents!$B:$I,8,0),"")=M96,"Pending","🔒 BLOCKED — Wrong Code")))</f>
        <v>Pending</v>
      </c>
      <c r="L96" s="239" t="s">
        <v>141</v>
      </c>
      <c r="M96" s="240"/>
      <c r="N96" s="230"/>
    </row>
    <row r="97" spans="1:14" ht="18" customHeight="1" x14ac:dyDescent="0.25">
      <c r="A97" s="241" t="str">
        <f t="shared" si="8"/>
        <v/>
      </c>
      <c r="B97" s="242"/>
      <c r="C97" s="243" t="str">
        <f>IF(B97="","",IFERROR(VLOOKUP(B97,DB_Customers!$A:$D,4,0),"❌ Account Not Found"))</f>
        <v/>
      </c>
      <c r="D97" s="244" t="str">
        <f t="shared" ca="1" si="9"/>
        <v/>
      </c>
      <c r="E97" s="245"/>
      <c r="F97" s="243"/>
      <c r="G97" s="246"/>
      <c r="H97" s="247">
        <v>2.5</v>
      </c>
      <c r="I97" s="248" t="str">
        <f t="shared" si="10"/>
        <v/>
      </c>
      <c r="J97" s="249" t="str">
        <f t="shared" si="11"/>
        <v/>
      </c>
      <c r="K97" s="250" t="str">
        <f>IF(B97="","Pending",IF(M97="","⚠️ Enter Code",IF(IFERROR(VLOOKUP(L97,DB_Agents!$B:$I,8,0),"")=M97,"Pending","🔒 BLOCKED — Wrong Code")))</f>
        <v>Pending</v>
      </c>
      <c r="L97" s="251" t="s">
        <v>141</v>
      </c>
      <c r="M97" s="252"/>
      <c r="N97" s="242"/>
    </row>
    <row r="98" spans="1:14" ht="18" customHeight="1" x14ac:dyDescent="0.25">
      <c r="A98" s="229" t="str">
        <f t="shared" si="8"/>
        <v/>
      </c>
      <c r="B98" s="230"/>
      <c r="C98" s="231" t="str">
        <f>IF(B98="","",IFERROR(VLOOKUP(B98,DB_Customers!$A:$D,4,0),"❌ Account Not Found"))</f>
        <v/>
      </c>
      <c r="D98" s="232" t="str">
        <f t="shared" ca="1" si="9"/>
        <v/>
      </c>
      <c r="E98" s="233"/>
      <c r="F98" s="231"/>
      <c r="G98" s="234"/>
      <c r="H98" s="235">
        <v>2.5</v>
      </c>
      <c r="I98" s="236" t="str">
        <f t="shared" si="10"/>
        <v/>
      </c>
      <c r="J98" s="237" t="str">
        <f t="shared" si="11"/>
        <v/>
      </c>
      <c r="K98" s="238" t="str">
        <f>IF(B98="","Pending",IF(M98="","⚠️ Enter Code",IF(IFERROR(VLOOKUP(L98,DB_Agents!$B:$I,8,0),"")=M98,"Pending","🔒 BLOCKED — Wrong Code")))</f>
        <v>Pending</v>
      </c>
      <c r="L98" s="239" t="s">
        <v>141</v>
      </c>
      <c r="M98" s="240"/>
      <c r="N98" s="230"/>
    </row>
    <row r="99" spans="1:14" ht="18" customHeight="1" x14ac:dyDescent="0.25">
      <c r="A99" s="241" t="str">
        <f t="shared" si="8"/>
        <v/>
      </c>
      <c r="B99" s="242"/>
      <c r="C99" s="243" t="str">
        <f>IF(B99="","",IFERROR(VLOOKUP(B99,DB_Customers!$A:$D,4,0),"❌ Account Not Found"))</f>
        <v/>
      </c>
      <c r="D99" s="244" t="str">
        <f t="shared" ca="1" si="9"/>
        <v/>
      </c>
      <c r="E99" s="245"/>
      <c r="F99" s="243"/>
      <c r="G99" s="246"/>
      <c r="H99" s="247">
        <v>2.5</v>
      </c>
      <c r="I99" s="248" t="str">
        <f t="shared" si="10"/>
        <v/>
      </c>
      <c r="J99" s="249" t="str">
        <f t="shared" si="11"/>
        <v/>
      </c>
      <c r="K99" s="250" t="str">
        <f>IF(B99="","Pending",IF(M99="","⚠️ Enter Code",IF(IFERROR(VLOOKUP(L99,DB_Agents!$B:$I,8,0),"")=M99,"Pending","🔒 BLOCKED — Wrong Code")))</f>
        <v>Pending</v>
      </c>
      <c r="L99" s="251" t="s">
        <v>141</v>
      </c>
      <c r="M99" s="252"/>
      <c r="N99" s="242"/>
    </row>
    <row r="100" spans="1:14" ht="18" customHeight="1" x14ac:dyDescent="0.25">
      <c r="A100" s="229" t="str">
        <f t="shared" si="8"/>
        <v/>
      </c>
      <c r="B100" s="230"/>
      <c r="C100" s="231" t="str">
        <f>IF(B100="","",IFERROR(VLOOKUP(B100,DB_Customers!$A:$D,4,0),"❌ Account Not Found"))</f>
        <v/>
      </c>
      <c r="D100" s="232" t="str">
        <f t="shared" ca="1" si="9"/>
        <v/>
      </c>
      <c r="E100" s="233"/>
      <c r="F100" s="231"/>
      <c r="G100" s="234"/>
      <c r="H100" s="235">
        <v>2.5</v>
      </c>
      <c r="I100" s="236" t="str">
        <f t="shared" si="10"/>
        <v/>
      </c>
      <c r="J100" s="237" t="str">
        <f t="shared" si="11"/>
        <v/>
      </c>
      <c r="K100" s="238" t="str">
        <f>IF(B100="","Pending",IF(M100="","⚠️ Enter Code",IF(IFERROR(VLOOKUP(L100,DB_Agents!$B:$I,8,0),"")=M100,"Pending","🔒 BLOCKED — Wrong Code")))</f>
        <v>Pending</v>
      </c>
      <c r="L100" s="239" t="s">
        <v>141</v>
      </c>
      <c r="M100" s="240"/>
      <c r="N100" s="230"/>
    </row>
    <row r="101" spans="1:14" ht="18" customHeight="1" x14ac:dyDescent="0.25">
      <c r="A101" s="241" t="str">
        <f t="shared" si="8"/>
        <v/>
      </c>
      <c r="B101" s="242"/>
      <c r="C101" s="243" t="str">
        <f>IF(B101="","",IFERROR(VLOOKUP(B101,DB_Customers!$A:$D,4,0),"❌ Account Not Found"))</f>
        <v/>
      </c>
      <c r="D101" s="244" t="str">
        <f t="shared" ca="1" si="9"/>
        <v/>
      </c>
      <c r="E101" s="245"/>
      <c r="F101" s="243"/>
      <c r="G101" s="246"/>
      <c r="H101" s="247">
        <v>2.5</v>
      </c>
      <c r="I101" s="248" t="str">
        <f t="shared" si="10"/>
        <v/>
      </c>
      <c r="J101" s="249" t="str">
        <f t="shared" si="11"/>
        <v/>
      </c>
      <c r="K101" s="250" t="str">
        <f>IF(B101="","Pending",IF(M101="","⚠️ Enter Code",IF(IFERROR(VLOOKUP(L101,DB_Agents!$B:$I,8,0),"")=M101,"Pending","🔒 BLOCKED — Wrong Code")))</f>
        <v>Pending</v>
      </c>
      <c r="L101" s="251" t="s">
        <v>141</v>
      </c>
      <c r="M101" s="252"/>
      <c r="N101" s="242"/>
    </row>
    <row r="102" spans="1:14" ht="18" customHeight="1" x14ac:dyDescent="0.25">
      <c r="A102" s="229" t="str">
        <f t="shared" si="8"/>
        <v/>
      </c>
      <c r="B102" s="230"/>
      <c r="C102" s="231" t="str">
        <f>IF(B102="","",IFERROR(VLOOKUP(B102,DB_Customers!$A:$D,4,0),"❌ Account Not Found"))</f>
        <v/>
      </c>
      <c r="D102" s="232" t="str">
        <f t="shared" ca="1" si="9"/>
        <v/>
      </c>
      <c r="E102" s="233"/>
      <c r="F102" s="231"/>
      <c r="G102" s="234"/>
      <c r="H102" s="235">
        <v>2.5</v>
      </c>
      <c r="I102" s="236" t="str">
        <f t="shared" si="10"/>
        <v/>
      </c>
      <c r="J102" s="237" t="str">
        <f t="shared" si="11"/>
        <v/>
      </c>
      <c r="K102" s="238" t="str">
        <f>IF(B102="","Pending",IF(M102="","⚠️ Enter Code",IF(IFERROR(VLOOKUP(L102,DB_Agents!$B:$I,8,0),"")=M102,"Pending","🔒 BLOCKED — Wrong Code")))</f>
        <v>Pending</v>
      </c>
      <c r="L102" s="239" t="s">
        <v>141</v>
      </c>
      <c r="M102" s="240"/>
      <c r="N102" s="230"/>
    </row>
    <row r="103" spans="1:14" ht="18" customHeight="1" x14ac:dyDescent="0.25">
      <c r="A103" s="241" t="str">
        <f t="shared" si="8"/>
        <v/>
      </c>
      <c r="B103" s="242"/>
      <c r="C103" s="243" t="str">
        <f>IF(B103="","",IFERROR(VLOOKUP(B103,DB_Customers!$A:$D,4,0),"❌ Account Not Found"))</f>
        <v/>
      </c>
      <c r="D103" s="244" t="str">
        <f t="shared" ca="1" si="9"/>
        <v/>
      </c>
      <c r="E103" s="245"/>
      <c r="F103" s="243"/>
      <c r="G103" s="246"/>
      <c r="H103" s="247">
        <v>2.5</v>
      </c>
      <c r="I103" s="248" t="str">
        <f t="shared" si="10"/>
        <v/>
      </c>
      <c r="J103" s="249" t="str">
        <f t="shared" si="11"/>
        <v/>
      </c>
      <c r="K103" s="250" t="str">
        <f>IF(B103="","Pending",IF(M103="","⚠️ Enter Code",IF(IFERROR(VLOOKUP(L103,DB_Agents!$B:$I,8,0),"")=M103,"Pending","🔒 BLOCKED — Wrong Code")))</f>
        <v>Pending</v>
      </c>
      <c r="L103" s="251" t="s">
        <v>141</v>
      </c>
      <c r="M103" s="252"/>
      <c r="N103" s="242"/>
    </row>
    <row r="104" spans="1:14" ht="18" customHeight="1" x14ac:dyDescent="0.25">
      <c r="A104" s="229" t="str">
        <f t="shared" si="8"/>
        <v/>
      </c>
      <c r="B104" s="230"/>
      <c r="C104" s="231" t="str">
        <f>IF(B104="","",IFERROR(VLOOKUP(B104,DB_Customers!$A:$D,4,0),"❌ Account Not Found"))</f>
        <v/>
      </c>
      <c r="D104" s="232" t="str">
        <f t="shared" ca="1" si="9"/>
        <v/>
      </c>
      <c r="E104" s="233"/>
      <c r="F104" s="231"/>
      <c r="G104" s="234"/>
      <c r="H104" s="235">
        <v>2.5</v>
      </c>
      <c r="I104" s="236" t="str">
        <f t="shared" si="10"/>
        <v/>
      </c>
      <c r="J104" s="237" t="str">
        <f t="shared" si="11"/>
        <v/>
      </c>
      <c r="K104" s="238" t="str">
        <f>IF(B104="","Pending",IF(M104="","⚠️ Enter Code",IF(IFERROR(VLOOKUP(L104,DB_Agents!$B:$I,8,0),"")=M104,"Pending","🔒 BLOCKED — Wrong Code")))</f>
        <v>Pending</v>
      </c>
      <c r="L104" s="239" t="s">
        <v>141</v>
      </c>
      <c r="M104" s="240"/>
      <c r="N104" s="230"/>
    </row>
    <row r="105" spans="1:14" ht="18" customHeight="1" x14ac:dyDescent="0.25">
      <c r="A105" s="241" t="str">
        <f t="shared" si="8"/>
        <v/>
      </c>
      <c r="B105" s="242"/>
      <c r="C105" s="243" t="str">
        <f>IF(B105="","",IFERROR(VLOOKUP(B105,DB_Customers!$A:$D,4,0),"❌ Account Not Found"))</f>
        <v/>
      </c>
      <c r="D105" s="244" t="str">
        <f t="shared" ca="1" si="9"/>
        <v/>
      </c>
      <c r="E105" s="245"/>
      <c r="F105" s="243"/>
      <c r="G105" s="246"/>
      <c r="H105" s="247">
        <v>2.5</v>
      </c>
      <c r="I105" s="248" t="str">
        <f t="shared" si="10"/>
        <v/>
      </c>
      <c r="J105" s="249" t="str">
        <f t="shared" si="11"/>
        <v/>
      </c>
      <c r="K105" s="250" t="str">
        <f>IF(B105="","Pending",IF(M105="","⚠️ Enter Code",IF(IFERROR(VLOOKUP(L105,DB_Agents!$B:$I,8,0),"")=M105,"Pending","🔒 BLOCKED — Wrong Code")))</f>
        <v>Pending</v>
      </c>
      <c r="L105" s="251" t="s">
        <v>141</v>
      </c>
      <c r="M105" s="252"/>
      <c r="N105" s="242"/>
    </row>
    <row r="106" spans="1:14" ht="18" customHeight="1" x14ac:dyDescent="0.25">
      <c r="A106" s="229" t="str">
        <f t="shared" si="8"/>
        <v/>
      </c>
      <c r="B106" s="230"/>
      <c r="C106" s="231" t="str">
        <f>IF(B106="","",IFERROR(VLOOKUP(B106,DB_Customers!$A:$D,4,0),"❌ Account Not Found"))</f>
        <v/>
      </c>
      <c r="D106" s="232" t="str">
        <f t="shared" ca="1" si="9"/>
        <v/>
      </c>
      <c r="E106" s="233"/>
      <c r="F106" s="231"/>
      <c r="G106" s="234"/>
      <c r="H106" s="235">
        <v>2.5</v>
      </c>
      <c r="I106" s="236" t="str">
        <f t="shared" si="10"/>
        <v/>
      </c>
      <c r="J106" s="237" t="str">
        <f t="shared" si="11"/>
        <v/>
      </c>
      <c r="K106" s="238" t="str">
        <f>IF(B106="","Pending",IF(M106="","⚠️ Enter Code",IF(IFERROR(VLOOKUP(L106,DB_Agents!$B:$I,8,0),"")=M106,"Pending","🔒 BLOCKED — Wrong Code")))</f>
        <v>Pending</v>
      </c>
      <c r="L106" s="239" t="s">
        <v>141</v>
      </c>
      <c r="M106" s="240"/>
      <c r="N106" s="230"/>
    </row>
    <row r="107" spans="1:14" ht="18" customHeight="1" x14ac:dyDescent="0.25">
      <c r="A107" s="241" t="str">
        <f t="shared" si="8"/>
        <v/>
      </c>
      <c r="B107" s="242"/>
      <c r="C107" s="243" t="str">
        <f>IF(B107="","",IFERROR(VLOOKUP(B107,DB_Customers!$A:$D,4,0),"❌ Account Not Found"))</f>
        <v/>
      </c>
      <c r="D107" s="244" t="str">
        <f t="shared" ca="1" si="9"/>
        <v/>
      </c>
      <c r="E107" s="245"/>
      <c r="F107" s="243"/>
      <c r="G107" s="246"/>
      <c r="H107" s="247">
        <v>2.5</v>
      </c>
      <c r="I107" s="248" t="str">
        <f t="shared" si="10"/>
        <v/>
      </c>
      <c r="J107" s="249" t="str">
        <f t="shared" si="11"/>
        <v/>
      </c>
      <c r="K107" s="250" t="str">
        <f>IF(B107="","Pending",IF(M107="","⚠️ Enter Code",IF(IFERROR(VLOOKUP(L107,DB_Agents!$B:$I,8,0),"")=M107,"Pending","🔒 BLOCKED — Wrong Code")))</f>
        <v>Pending</v>
      </c>
      <c r="L107" s="251" t="s">
        <v>141</v>
      </c>
      <c r="M107" s="252"/>
      <c r="N107" s="242"/>
    </row>
    <row r="108" spans="1:14" ht="18" customHeight="1" x14ac:dyDescent="0.25">
      <c r="A108" s="229" t="str">
        <f t="shared" si="8"/>
        <v/>
      </c>
      <c r="B108" s="230"/>
      <c r="C108" s="231" t="str">
        <f>IF(B108="","",IFERROR(VLOOKUP(B108,DB_Customers!$A:$D,4,0),"❌ Account Not Found"))</f>
        <v/>
      </c>
      <c r="D108" s="232" t="str">
        <f t="shared" ca="1" si="9"/>
        <v/>
      </c>
      <c r="E108" s="233"/>
      <c r="F108" s="231"/>
      <c r="G108" s="234"/>
      <c r="H108" s="235">
        <v>2.5</v>
      </c>
      <c r="I108" s="236" t="str">
        <f t="shared" si="10"/>
        <v/>
      </c>
      <c r="J108" s="237" t="str">
        <f t="shared" si="11"/>
        <v/>
      </c>
      <c r="K108" s="238" t="str">
        <f>IF(B108="","Pending",IF(M108="","⚠️ Enter Code",IF(IFERROR(VLOOKUP(L108,DB_Agents!$B:$I,8,0),"")=M108,"Pending","🔒 BLOCKED — Wrong Code")))</f>
        <v>Pending</v>
      </c>
      <c r="L108" s="239" t="s">
        <v>141</v>
      </c>
      <c r="M108" s="240"/>
      <c r="N108" s="230"/>
    </row>
    <row r="109" spans="1:14" ht="18" customHeight="1" x14ac:dyDescent="0.25">
      <c r="A109" s="241" t="str">
        <f t="shared" si="8"/>
        <v/>
      </c>
      <c r="B109" s="242"/>
      <c r="C109" s="243" t="str">
        <f>IF(B109="","",IFERROR(VLOOKUP(B109,DB_Customers!$A:$D,4,0),"❌ Account Not Found"))</f>
        <v/>
      </c>
      <c r="D109" s="244" t="str">
        <f t="shared" ca="1" si="9"/>
        <v/>
      </c>
      <c r="E109" s="245"/>
      <c r="F109" s="243"/>
      <c r="G109" s="246"/>
      <c r="H109" s="247">
        <v>2.5</v>
      </c>
      <c r="I109" s="248" t="str">
        <f t="shared" si="10"/>
        <v/>
      </c>
      <c r="J109" s="249" t="str">
        <f t="shared" si="11"/>
        <v/>
      </c>
      <c r="K109" s="250" t="str">
        <f>IF(B109="","Pending",IF(M109="","⚠️ Enter Code",IF(IFERROR(VLOOKUP(L109,DB_Agents!$B:$I,8,0),"")=M109,"Pending","🔒 BLOCKED — Wrong Code")))</f>
        <v>Pending</v>
      </c>
      <c r="L109" s="251" t="s">
        <v>141</v>
      </c>
      <c r="M109" s="252"/>
      <c r="N109" s="242"/>
    </row>
    <row r="110" spans="1:14" ht="18" customHeight="1" x14ac:dyDescent="0.25">
      <c r="A110" s="229" t="str">
        <f t="shared" ref="A110:A141" si="12">IF(B110="","",IF(C110="❌ Account Not Found","INVALID","LN"&amp;TEXT(D110,"YYYYMMDD")&amp;TEXT(ROW()-13,"0000")))</f>
        <v/>
      </c>
      <c r="B110" s="230"/>
      <c r="C110" s="231" t="str">
        <f>IF(B110="","",IFERROR(VLOOKUP(B110,DB_Customers!$A:$D,4,0),"❌ Account Not Found"))</f>
        <v/>
      </c>
      <c r="D110" s="232" t="str">
        <f t="shared" ref="D110:D141" ca="1" si="13">IF(B110="","",TODAY())</f>
        <v/>
      </c>
      <c r="E110" s="233"/>
      <c r="F110" s="231"/>
      <c r="G110" s="234"/>
      <c r="H110" s="235">
        <v>2.5</v>
      </c>
      <c r="I110" s="236" t="str">
        <f t="shared" ref="I110:I141" si="14">IF(E110="","",E110+(E110*H110/100*G110))</f>
        <v/>
      </c>
      <c r="J110" s="237" t="str">
        <f t="shared" ref="J110:J141" si="15">IFERROR(I110/G110,"")</f>
        <v/>
      </c>
      <c r="K110" s="238" t="str">
        <f>IF(B110="","Pending",IF(M110="","⚠️ Enter Code",IF(IFERROR(VLOOKUP(L110,DB_Agents!$B:$I,8,0),"")=M110,"Pending","🔒 BLOCKED — Wrong Code")))</f>
        <v>Pending</v>
      </c>
      <c r="L110" s="239" t="s">
        <v>141</v>
      </c>
      <c r="M110" s="240"/>
      <c r="N110" s="230"/>
    </row>
    <row r="111" spans="1:14" ht="18" customHeight="1" x14ac:dyDescent="0.25">
      <c r="A111" s="241" t="str">
        <f t="shared" si="12"/>
        <v/>
      </c>
      <c r="B111" s="242"/>
      <c r="C111" s="243" t="str">
        <f>IF(B111="","",IFERROR(VLOOKUP(B111,DB_Customers!$A:$D,4,0),"❌ Account Not Found"))</f>
        <v/>
      </c>
      <c r="D111" s="244" t="str">
        <f t="shared" ca="1" si="13"/>
        <v/>
      </c>
      <c r="E111" s="245"/>
      <c r="F111" s="243"/>
      <c r="G111" s="246"/>
      <c r="H111" s="247">
        <v>2.5</v>
      </c>
      <c r="I111" s="248" t="str">
        <f t="shared" si="14"/>
        <v/>
      </c>
      <c r="J111" s="249" t="str">
        <f t="shared" si="15"/>
        <v/>
      </c>
      <c r="K111" s="250" t="str">
        <f>IF(B111="","Pending",IF(M111="","⚠️ Enter Code",IF(IFERROR(VLOOKUP(L111,DB_Agents!$B:$I,8,0),"")=M111,"Pending","🔒 BLOCKED — Wrong Code")))</f>
        <v>Pending</v>
      </c>
      <c r="L111" s="251" t="s">
        <v>141</v>
      </c>
      <c r="M111" s="252"/>
      <c r="N111" s="242"/>
    </row>
    <row r="112" spans="1:14" ht="18" customHeight="1" x14ac:dyDescent="0.25">
      <c r="A112" s="229" t="str">
        <f t="shared" si="12"/>
        <v/>
      </c>
      <c r="B112" s="230"/>
      <c r="C112" s="231" t="str">
        <f>IF(B112="","",IFERROR(VLOOKUP(B112,DB_Customers!$A:$D,4,0),"❌ Account Not Found"))</f>
        <v/>
      </c>
      <c r="D112" s="232" t="str">
        <f t="shared" ca="1" si="13"/>
        <v/>
      </c>
      <c r="E112" s="233"/>
      <c r="F112" s="231"/>
      <c r="G112" s="234"/>
      <c r="H112" s="235">
        <v>2.5</v>
      </c>
      <c r="I112" s="236" t="str">
        <f t="shared" si="14"/>
        <v/>
      </c>
      <c r="J112" s="237" t="str">
        <f t="shared" si="15"/>
        <v/>
      </c>
      <c r="K112" s="238" t="str">
        <f>IF(B112="","Pending",IF(M112="","⚠️ Enter Code",IF(IFERROR(VLOOKUP(L112,DB_Agents!$B:$I,8,0),"")=M112,"Pending","🔒 BLOCKED — Wrong Code")))</f>
        <v>Pending</v>
      </c>
      <c r="L112" s="239" t="s">
        <v>141</v>
      </c>
      <c r="M112" s="240"/>
      <c r="N112" s="230"/>
    </row>
    <row r="113" spans="1:14" ht="18" customHeight="1" x14ac:dyDescent="0.25">
      <c r="A113" s="241" t="str">
        <f t="shared" si="12"/>
        <v/>
      </c>
      <c r="B113" s="242"/>
      <c r="C113" s="243" t="str">
        <f>IF(B113="","",IFERROR(VLOOKUP(B113,DB_Customers!$A:$D,4,0),"❌ Account Not Found"))</f>
        <v/>
      </c>
      <c r="D113" s="244" t="str">
        <f t="shared" ca="1" si="13"/>
        <v/>
      </c>
      <c r="E113" s="245"/>
      <c r="F113" s="243"/>
      <c r="G113" s="246"/>
      <c r="H113" s="247">
        <v>2.5</v>
      </c>
      <c r="I113" s="248" t="str">
        <f t="shared" si="14"/>
        <v/>
      </c>
      <c r="J113" s="249" t="str">
        <f t="shared" si="15"/>
        <v/>
      </c>
      <c r="K113" s="250" t="str">
        <f>IF(B113="","Pending",IF(M113="","⚠️ Enter Code",IF(IFERROR(VLOOKUP(L113,DB_Agents!$B:$I,8,0),"")=M113,"Pending","🔒 BLOCKED — Wrong Code")))</f>
        <v>Pending</v>
      </c>
      <c r="L113" s="251" t="s">
        <v>141</v>
      </c>
      <c r="M113" s="252"/>
      <c r="N113" s="242"/>
    </row>
    <row r="114" spans="1:14" ht="18" customHeight="1" x14ac:dyDescent="0.25">
      <c r="A114" s="253" t="str">
        <f t="shared" si="12"/>
        <v/>
      </c>
      <c r="B114" s="254"/>
      <c r="C114" s="254" t="str">
        <f>IF(B114="","",IFERROR(VLOOKUP(B114,DB_Customers!$A:$D,4,0),"❌ Account Not Found"))</f>
        <v/>
      </c>
      <c r="D114" s="253" t="str">
        <f t="shared" ca="1" si="13"/>
        <v/>
      </c>
      <c r="E114" s="254"/>
      <c r="F114" s="254"/>
      <c r="G114" s="253"/>
      <c r="H114" s="255">
        <v>2.5</v>
      </c>
      <c r="I114" s="253" t="str">
        <f t="shared" si="14"/>
        <v/>
      </c>
      <c r="J114" s="253" t="str">
        <f t="shared" si="15"/>
        <v/>
      </c>
      <c r="K114" s="253" t="str">
        <f>IF(B114="","Pending",IF(M114="","⚠️ Enter Code",IF(IFERROR(VLOOKUP(L114,DB_Agents!$B:$I,8,0),"")=M114,"Pending","🔒 BLOCKED — Wrong Code")))</f>
        <v>Pending</v>
      </c>
      <c r="L114" s="253" t="s">
        <v>141</v>
      </c>
      <c r="M114" s="240"/>
      <c r="N114" s="254"/>
    </row>
    <row r="115" spans="1:14" ht="18" customHeight="1" x14ac:dyDescent="0.25">
      <c r="A115" s="256" t="str">
        <f t="shared" si="12"/>
        <v/>
      </c>
      <c r="B115" s="257"/>
      <c r="C115" s="257" t="str">
        <f>IF(B115="","",IFERROR(VLOOKUP(B115,DB_Customers!$A:$D,4,0),"❌ Account Not Found"))</f>
        <v/>
      </c>
      <c r="D115" s="256" t="str">
        <f t="shared" ca="1" si="13"/>
        <v/>
      </c>
      <c r="E115" s="257"/>
      <c r="F115" s="257"/>
      <c r="G115" s="256"/>
      <c r="H115" s="258">
        <v>2.5</v>
      </c>
      <c r="I115" s="256" t="str">
        <f t="shared" si="14"/>
        <v/>
      </c>
      <c r="J115" s="256" t="str">
        <f t="shared" si="15"/>
        <v/>
      </c>
      <c r="K115" s="256" t="str">
        <f>IF(B115="","Pending",IF(M115="","⚠️ Enter Code",IF(IFERROR(VLOOKUP(L115,DB_Agents!$B:$I,8,0),"")=M115,"Pending","🔒 BLOCKED — Wrong Code")))</f>
        <v>Pending</v>
      </c>
      <c r="L115" s="256" t="s">
        <v>141</v>
      </c>
      <c r="M115" s="252"/>
      <c r="N115" s="257"/>
    </row>
    <row r="116" spans="1:14" ht="18" customHeight="1" x14ac:dyDescent="0.25">
      <c r="A116" s="253" t="str">
        <f t="shared" si="12"/>
        <v/>
      </c>
      <c r="B116" s="254"/>
      <c r="C116" s="254" t="str">
        <f>IF(B116="","",IFERROR(VLOOKUP(B116,DB_Customers!$A:$D,4,0),"❌ Account Not Found"))</f>
        <v/>
      </c>
      <c r="D116" s="253" t="str">
        <f t="shared" ca="1" si="13"/>
        <v/>
      </c>
      <c r="E116" s="254"/>
      <c r="F116" s="254"/>
      <c r="G116" s="253"/>
      <c r="H116" s="255">
        <v>2.5</v>
      </c>
      <c r="I116" s="253" t="str">
        <f t="shared" si="14"/>
        <v/>
      </c>
      <c r="J116" s="253" t="str">
        <f t="shared" si="15"/>
        <v/>
      </c>
      <c r="K116" s="253" t="str">
        <f>IF(B116="","Pending",IF(M116="","⚠️ Enter Code",IF(IFERROR(VLOOKUP(L116,DB_Agents!$B:$I,8,0),"")=M116,"Pending","🔒 BLOCKED — Wrong Code")))</f>
        <v>Pending</v>
      </c>
      <c r="L116" s="253" t="s">
        <v>141</v>
      </c>
      <c r="M116" s="240"/>
      <c r="N116" s="254"/>
    </row>
    <row r="117" spans="1:14" ht="18" customHeight="1" x14ac:dyDescent="0.25">
      <c r="A117" s="256" t="str">
        <f t="shared" si="12"/>
        <v/>
      </c>
      <c r="B117" s="257"/>
      <c r="C117" s="257" t="str">
        <f>IF(B117="","",IFERROR(VLOOKUP(B117,DB_Customers!$A:$D,4,0),"❌ Account Not Found"))</f>
        <v/>
      </c>
      <c r="D117" s="256" t="str">
        <f t="shared" ca="1" si="13"/>
        <v/>
      </c>
      <c r="E117" s="257"/>
      <c r="F117" s="257"/>
      <c r="G117" s="256"/>
      <c r="H117" s="258">
        <v>2.5</v>
      </c>
      <c r="I117" s="256" t="str">
        <f t="shared" si="14"/>
        <v/>
      </c>
      <c r="J117" s="256" t="str">
        <f t="shared" si="15"/>
        <v/>
      </c>
      <c r="K117" s="256" t="str">
        <f>IF(B117="","Pending",IF(M117="","⚠️ Enter Code",IF(IFERROR(VLOOKUP(L117,DB_Agents!$B:$I,8,0),"")=M117,"Pending","🔒 BLOCKED — Wrong Code")))</f>
        <v>Pending</v>
      </c>
      <c r="L117" s="256" t="s">
        <v>141</v>
      </c>
      <c r="M117" s="252"/>
      <c r="N117" s="257"/>
    </row>
    <row r="118" spans="1:14" ht="18" customHeight="1" x14ac:dyDescent="0.25">
      <c r="A118" s="253" t="str">
        <f t="shared" si="12"/>
        <v/>
      </c>
      <c r="B118" s="254"/>
      <c r="C118" s="254" t="str">
        <f>IF(B118="","",IFERROR(VLOOKUP(B118,DB_Customers!$A:$D,4,0),"❌ Account Not Found"))</f>
        <v/>
      </c>
      <c r="D118" s="253" t="str">
        <f t="shared" ca="1" si="13"/>
        <v/>
      </c>
      <c r="E118" s="254"/>
      <c r="F118" s="254"/>
      <c r="G118" s="253"/>
      <c r="H118" s="255">
        <v>2.5</v>
      </c>
      <c r="I118" s="253" t="str">
        <f t="shared" si="14"/>
        <v/>
      </c>
      <c r="J118" s="253" t="str">
        <f t="shared" si="15"/>
        <v/>
      </c>
      <c r="K118" s="253" t="str">
        <f>IF(B118="","Pending",IF(M118="","⚠️ Enter Code",IF(IFERROR(VLOOKUP(L118,DB_Agents!$B:$I,8,0),"")=M118,"Pending","🔒 BLOCKED — Wrong Code")))</f>
        <v>Pending</v>
      </c>
      <c r="L118" s="253" t="s">
        <v>141</v>
      </c>
      <c r="M118" s="240"/>
      <c r="N118" s="254"/>
    </row>
    <row r="119" spans="1:14" ht="18" customHeight="1" x14ac:dyDescent="0.25">
      <c r="A119" s="256" t="str">
        <f t="shared" si="12"/>
        <v/>
      </c>
      <c r="B119" s="257"/>
      <c r="C119" s="257" t="str">
        <f>IF(B119="","",IFERROR(VLOOKUP(B119,DB_Customers!$A:$D,4,0),"❌ Account Not Found"))</f>
        <v/>
      </c>
      <c r="D119" s="256" t="str">
        <f t="shared" ca="1" si="13"/>
        <v/>
      </c>
      <c r="E119" s="257"/>
      <c r="F119" s="257"/>
      <c r="G119" s="256"/>
      <c r="H119" s="258">
        <v>2.5</v>
      </c>
      <c r="I119" s="256" t="str">
        <f t="shared" si="14"/>
        <v/>
      </c>
      <c r="J119" s="256" t="str">
        <f t="shared" si="15"/>
        <v/>
      </c>
      <c r="K119" s="256" t="str">
        <f>IF(B119="","Pending",IF(M119="","⚠️ Enter Code",IF(IFERROR(VLOOKUP(L119,DB_Agents!$B:$I,8,0),"")=M119,"Pending","🔒 BLOCKED — Wrong Code")))</f>
        <v>Pending</v>
      </c>
      <c r="L119" s="256" t="s">
        <v>141</v>
      </c>
      <c r="M119" s="252"/>
      <c r="N119" s="257"/>
    </row>
    <row r="120" spans="1:14" ht="18" customHeight="1" x14ac:dyDescent="0.25">
      <c r="A120" s="253" t="str">
        <f t="shared" si="12"/>
        <v/>
      </c>
      <c r="B120" s="254"/>
      <c r="C120" s="254" t="str">
        <f>IF(B120="","",IFERROR(VLOOKUP(B120,DB_Customers!$A:$D,4,0),"❌ Account Not Found"))</f>
        <v/>
      </c>
      <c r="D120" s="253" t="str">
        <f t="shared" ca="1" si="13"/>
        <v/>
      </c>
      <c r="E120" s="254"/>
      <c r="F120" s="254"/>
      <c r="G120" s="253"/>
      <c r="H120" s="255">
        <v>2.5</v>
      </c>
      <c r="I120" s="253" t="str">
        <f t="shared" si="14"/>
        <v/>
      </c>
      <c r="J120" s="253" t="str">
        <f t="shared" si="15"/>
        <v/>
      </c>
      <c r="K120" s="253" t="str">
        <f>IF(B120="","Pending",IF(M120="","⚠️ Enter Code",IF(IFERROR(VLOOKUP(L120,DB_Agents!$B:$I,8,0),"")=M120,"Pending","🔒 BLOCKED — Wrong Code")))</f>
        <v>Pending</v>
      </c>
      <c r="L120" s="253" t="s">
        <v>141</v>
      </c>
      <c r="M120" s="240"/>
      <c r="N120" s="254"/>
    </row>
    <row r="121" spans="1:14" ht="18" customHeight="1" x14ac:dyDescent="0.25">
      <c r="A121" s="256" t="str">
        <f t="shared" si="12"/>
        <v/>
      </c>
      <c r="B121" s="257"/>
      <c r="C121" s="257" t="str">
        <f>IF(B121="","",IFERROR(VLOOKUP(B121,DB_Customers!$A:$D,4,0),"❌ Account Not Found"))</f>
        <v/>
      </c>
      <c r="D121" s="256" t="str">
        <f t="shared" ca="1" si="13"/>
        <v/>
      </c>
      <c r="E121" s="257"/>
      <c r="F121" s="257"/>
      <c r="G121" s="256"/>
      <c r="H121" s="258">
        <v>2.5</v>
      </c>
      <c r="I121" s="256" t="str">
        <f t="shared" si="14"/>
        <v/>
      </c>
      <c r="J121" s="256" t="str">
        <f t="shared" si="15"/>
        <v/>
      </c>
      <c r="K121" s="256" t="str">
        <f>IF(B121="","Pending",IF(M121="","⚠️ Enter Code",IF(IFERROR(VLOOKUP(L121,DB_Agents!$B:$I,8,0),"")=M121,"Pending","🔒 BLOCKED — Wrong Code")))</f>
        <v>Pending</v>
      </c>
      <c r="L121" s="256" t="s">
        <v>141</v>
      </c>
      <c r="M121" s="252"/>
      <c r="N121" s="257"/>
    </row>
    <row r="122" spans="1:14" ht="18" customHeight="1" x14ac:dyDescent="0.25">
      <c r="A122" s="253" t="str">
        <f t="shared" si="12"/>
        <v/>
      </c>
      <c r="B122" s="254"/>
      <c r="C122" s="254" t="str">
        <f>IF(B122="","",IFERROR(VLOOKUP(B122,DB_Customers!$A:$D,4,0),"❌ Account Not Found"))</f>
        <v/>
      </c>
      <c r="D122" s="253" t="str">
        <f t="shared" ca="1" si="13"/>
        <v/>
      </c>
      <c r="E122" s="254"/>
      <c r="F122" s="254"/>
      <c r="G122" s="253"/>
      <c r="H122" s="255">
        <v>2.5</v>
      </c>
      <c r="I122" s="253" t="str">
        <f t="shared" si="14"/>
        <v/>
      </c>
      <c r="J122" s="253" t="str">
        <f t="shared" si="15"/>
        <v/>
      </c>
      <c r="K122" s="253" t="str">
        <f>IF(B122="","Pending",IF(M122="","⚠️ Enter Code",IF(IFERROR(VLOOKUP(L122,DB_Agents!$B:$I,8,0),"")=M122,"Pending","🔒 BLOCKED — Wrong Code")))</f>
        <v>Pending</v>
      </c>
      <c r="L122" s="253" t="s">
        <v>141</v>
      </c>
      <c r="M122" s="240"/>
      <c r="N122" s="254"/>
    </row>
    <row r="123" spans="1:14" ht="18" customHeight="1" x14ac:dyDescent="0.25">
      <c r="A123" s="256" t="str">
        <f t="shared" si="12"/>
        <v/>
      </c>
      <c r="B123" s="257"/>
      <c r="C123" s="257" t="str">
        <f>IF(B123="","",IFERROR(VLOOKUP(B123,DB_Customers!$A:$D,4,0),"❌ Account Not Found"))</f>
        <v/>
      </c>
      <c r="D123" s="256" t="str">
        <f t="shared" ca="1" si="13"/>
        <v/>
      </c>
      <c r="E123" s="257"/>
      <c r="F123" s="257"/>
      <c r="G123" s="256"/>
      <c r="H123" s="258">
        <v>2.5</v>
      </c>
      <c r="I123" s="256" t="str">
        <f t="shared" si="14"/>
        <v/>
      </c>
      <c r="J123" s="256" t="str">
        <f t="shared" si="15"/>
        <v/>
      </c>
      <c r="K123" s="256" t="str">
        <f>IF(B123="","Pending",IF(M123="","⚠️ Enter Code",IF(IFERROR(VLOOKUP(L123,DB_Agents!$B:$I,8,0),"")=M123,"Pending","🔒 BLOCKED — Wrong Code")))</f>
        <v>Pending</v>
      </c>
      <c r="L123" s="256" t="s">
        <v>141</v>
      </c>
      <c r="M123" s="252"/>
      <c r="N123" s="257"/>
    </row>
    <row r="124" spans="1:14" ht="18" customHeight="1" x14ac:dyDescent="0.25">
      <c r="A124" s="253" t="str">
        <f t="shared" si="12"/>
        <v/>
      </c>
      <c r="B124" s="254"/>
      <c r="C124" s="254" t="str">
        <f>IF(B124="","",IFERROR(VLOOKUP(B124,DB_Customers!$A:$D,4,0),"❌ Account Not Found"))</f>
        <v/>
      </c>
      <c r="D124" s="253" t="str">
        <f t="shared" ca="1" si="13"/>
        <v/>
      </c>
      <c r="E124" s="254"/>
      <c r="F124" s="254"/>
      <c r="G124" s="253"/>
      <c r="H124" s="255">
        <v>2.5</v>
      </c>
      <c r="I124" s="253" t="str">
        <f t="shared" si="14"/>
        <v/>
      </c>
      <c r="J124" s="253" t="str">
        <f t="shared" si="15"/>
        <v/>
      </c>
      <c r="K124" s="253" t="str">
        <f>IF(B124="","Pending",IF(M124="","⚠️ Enter Code",IF(IFERROR(VLOOKUP(L124,DB_Agents!$B:$I,8,0),"")=M124,"Pending","🔒 BLOCKED — Wrong Code")))</f>
        <v>Pending</v>
      </c>
      <c r="L124" s="253" t="s">
        <v>141</v>
      </c>
      <c r="M124" s="240"/>
      <c r="N124" s="254"/>
    </row>
    <row r="125" spans="1:14" ht="18" customHeight="1" x14ac:dyDescent="0.25">
      <c r="A125" s="256" t="str">
        <f t="shared" si="12"/>
        <v/>
      </c>
      <c r="B125" s="257"/>
      <c r="C125" s="257" t="str">
        <f>IF(B125="","",IFERROR(VLOOKUP(B125,DB_Customers!$A:$D,4,0),"❌ Account Not Found"))</f>
        <v/>
      </c>
      <c r="D125" s="256" t="str">
        <f t="shared" ca="1" si="13"/>
        <v/>
      </c>
      <c r="E125" s="257"/>
      <c r="F125" s="257"/>
      <c r="G125" s="256"/>
      <c r="H125" s="258">
        <v>2.5</v>
      </c>
      <c r="I125" s="256" t="str">
        <f t="shared" si="14"/>
        <v/>
      </c>
      <c r="J125" s="256" t="str">
        <f t="shared" si="15"/>
        <v/>
      </c>
      <c r="K125" s="256" t="str">
        <f>IF(B125="","Pending",IF(M125="","⚠️ Enter Code",IF(IFERROR(VLOOKUP(L125,DB_Agents!$B:$I,8,0),"")=M125,"Pending","🔒 BLOCKED — Wrong Code")))</f>
        <v>Pending</v>
      </c>
      <c r="L125" s="256" t="s">
        <v>141</v>
      </c>
      <c r="M125" s="252"/>
      <c r="N125" s="257"/>
    </row>
    <row r="126" spans="1:14" ht="18" customHeight="1" x14ac:dyDescent="0.25">
      <c r="A126" s="253" t="str">
        <f t="shared" si="12"/>
        <v/>
      </c>
      <c r="B126" s="254"/>
      <c r="C126" s="254" t="str">
        <f>IF(B126="","",IFERROR(VLOOKUP(B126,DB_Customers!$A:$D,4,0),"❌ Account Not Found"))</f>
        <v/>
      </c>
      <c r="D126" s="253" t="str">
        <f t="shared" ca="1" si="13"/>
        <v/>
      </c>
      <c r="E126" s="254"/>
      <c r="F126" s="254"/>
      <c r="G126" s="253"/>
      <c r="H126" s="255">
        <v>2.5</v>
      </c>
      <c r="I126" s="253" t="str">
        <f t="shared" si="14"/>
        <v/>
      </c>
      <c r="J126" s="253" t="str">
        <f t="shared" si="15"/>
        <v/>
      </c>
      <c r="K126" s="253" t="str">
        <f>IF(B126="","Pending",IF(M126="","⚠️ Enter Code",IF(IFERROR(VLOOKUP(L126,DB_Agents!$B:$I,8,0),"")=M126,"Pending","🔒 BLOCKED — Wrong Code")))</f>
        <v>Pending</v>
      </c>
      <c r="L126" s="253" t="s">
        <v>141</v>
      </c>
      <c r="M126" s="240"/>
      <c r="N126" s="254"/>
    </row>
    <row r="127" spans="1:14" ht="18" customHeight="1" x14ac:dyDescent="0.25">
      <c r="A127" s="256" t="str">
        <f t="shared" si="12"/>
        <v/>
      </c>
      <c r="B127" s="257"/>
      <c r="C127" s="257" t="str">
        <f>IF(B127="","",IFERROR(VLOOKUP(B127,DB_Customers!$A:$D,4,0),"❌ Account Not Found"))</f>
        <v/>
      </c>
      <c r="D127" s="256" t="str">
        <f t="shared" ca="1" si="13"/>
        <v/>
      </c>
      <c r="E127" s="257"/>
      <c r="F127" s="257"/>
      <c r="G127" s="256"/>
      <c r="H127" s="258">
        <v>2.5</v>
      </c>
      <c r="I127" s="256" t="str">
        <f t="shared" si="14"/>
        <v/>
      </c>
      <c r="J127" s="256" t="str">
        <f t="shared" si="15"/>
        <v/>
      </c>
      <c r="K127" s="256" t="str">
        <f>IF(B127="","Pending",IF(M127="","⚠️ Enter Code",IF(IFERROR(VLOOKUP(L127,DB_Agents!$B:$I,8,0),"")=M127,"Pending","🔒 BLOCKED — Wrong Code")))</f>
        <v>Pending</v>
      </c>
      <c r="L127" s="256" t="s">
        <v>141</v>
      </c>
      <c r="M127" s="252"/>
      <c r="N127" s="257"/>
    </row>
    <row r="128" spans="1:14" ht="18" customHeight="1" x14ac:dyDescent="0.25">
      <c r="A128" s="253" t="str">
        <f t="shared" si="12"/>
        <v/>
      </c>
      <c r="B128" s="254"/>
      <c r="C128" s="254" t="str">
        <f>IF(B128="","",IFERROR(VLOOKUP(B128,DB_Customers!$A:$D,4,0),"❌ Account Not Found"))</f>
        <v/>
      </c>
      <c r="D128" s="253" t="str">
        <f t="shared" ca="1" si="13"/>
        <v/>
      </c>
      <c r="E128" s="254"/>
      <c r="F128" s="254"/>
      <c r="G128" s="253"/>
      <c r="H128" s="255">
        <v>2.5</v>
      </c>
      <c r="I128" s="253" t="str">
        <f t="shared" si="14"/>
        <v/>
      </c>
      <c r="J128" s="253" t="str">
        <f t="shared" si="15"/>
        <v/>
      </c>
      <c r="K128" s="253" t="str">
        <f>IF(B128="","Pending",IF(M128="","⚠️ Enter Code",IF(IFERROR(VLOOKUP(L128,DB_Agents!$B:$I,8,0),"")=M128,"Pending","🔒 BLOCKED — Wrong Code")))</f>
        <v>Pending</v>
      </c>
      <c r="L128" s="253" t="s">
        <v>141</v>
      </c>
      <c r="M128" s="240"/>
      <c r="N128" s="254"/>
    </row>
    <row r="129" spans="1:14" ht="18" customHeight="1" x14ac:dyDescent="0.25">
      <c r="A129" s="256" t="str">
        <f t="shared" si="12"/>
        <v/>
      </c>
      <c r="B129" s="257"/>
      <c r="C129" s="257" t="str">
        <f>IF(B129="","",IFERROR(VLOOKUP(B129,DB_Customers!$A:$D,4,0),"❌ Account Not Found"))</f>
        <v/>
      </c>
      <c r="D129" s="256" t="str">
        <f t="shared" ca="1" si="13"/>
        <v/>
      </c>
      <c r="E129" s="257"/>
      <c r="F129" s="257"/>
      <c r="G129" s="256"/>
      <c r="H129" s="258">
        <v>2.5</v>
      </c>
      <c r="I129" s="256" t="str">
        <f t="shared" si="14"/>
        <v/>
      </c>
      <c r="J129" s="256" t="str">
        <f t="shared" si="15"/>
        <v/>
      </c>
      <c r="K129" s="256" t="str">
        <f>IF(B129="","Pending",IF(M129="","⚠️ Enter Code",IF(IFERROR(VLOOKUP(L129,DB_Agents!$B:$I,8,0),"")=M129,"Pending","🔒 BLOCKED — Wrong Code")))</f>
        <v>Pending</v>
      </c>
      <c r="L129" s="256" t="s">
        <v>141</v>
      </c>
      <c r="M129" s="252"/>
      <c r="N129" s="257"/>
    </row>
    <row r="130" spans="1:14" ht="18" customHeight="1" x14ac:dyDescent="0.25">
      <c r="A130" s="253" t="str">
        <f t="shared" si="12"/>
        <v/>
      </c>
      <c r="B130" s="254"/>
      <c r="C130" s="254" t="str">
        <f>IF(B130="","",IFERROR(VLOOKUP(B130,DB_Customers!$A:$D,4,0),"❌ Account Not Found"))</f>
        <v/>
      </c>
      <c r="D130" s="253" t="str">
        <f t="shared" ca="1" si="13"/>
        <v/>
      </c>
      <c r="E130" s="254"/>
      <c r="F130" s="254"/>
      <c r="G130" s="253"/>
      <c r="H130" s="255">
        <v>2.5</v>
      </c>
      <c r="I130" s="253" t="str">
        <f t="shared" si="14"/>
        <v/>
      </c>
      <c r="J130" s="253" t="str">
        <f t="shared" si="15"/>
        <v/>
      </c>
      <c r="K130" s="253" t="str">
        <f>IF(B130="","Pending",IF(M130="","⚠️ Enter Code",IF(IFERROR(VLOOKUP(L130,DB_Agents!$B:$I,8,0),"")=M130,"Pending","🔒 BLOCKED — Wrong Code")))</f>
        <v>Pending</v>
      </c>
      <c r="L130" s="253" t="s">
        <v>141</v>
      </c>
      <c r="M130" s="240"/>
      <c r="N130" s="254"/>
    </row>
    <row r="131" spans="1:14" ht="18" customHeight="1" x14ac:dyDescent="0.25">
      <c r="A131" s="256" t="str">
        <f t="shared" si="12"/>
        <v/>
      </c>
      <c r="B131" s="257"/>
      <c r="C131" s="257" t="str">
        <f>IF(B131="","",IFERROR(VLOOKUP(B131,DB_Customers!$A:$D,4,0),"❌ Account Not Found"))</f>
        <v/>
      </c>
      <c r="D131" s="256" t="str">
        <f t="shared" ca="1" si="13"/>
        <v/>
      </c>
      <c r="E131" s="257"/>
      <c r="F131" s="257"/>
      <c r="G131" s="256"/>
      <c r="H131" s="258">
        <v>2.5</v>
      </c>
      <c r="I131" s="256" t="str">
        <f t="shared" si="14"/>
        <v/>
      </c>
      <c r="J131" s="256" t="str">
        <f t="shared" si="15"/>
        <v/>
      </c>
      <c r="K131" s="256" t="str">
        <f>IF(B131="","Pending",IF(M131="","⚠️ Enter Code",IF(IFERROR(VLOOKUP(L131,DB_Agents!$B:$I,8,0),"")=M131,"Pending","🔒 BLOCKED — Wrong Code")))</f>
        <v>Pending</v>
      </c>
      <c r="L131" s="256" t="s">
        <v>141</v>
      </c>
      <c r="M131" s="252"/>
      <c r="N131" s="257"/>
    </row>
    <row r="132" spans="1:14" ht="18" customHeight="1" x14ac:dyDescent="0.25">
      <c r="A132" s="253" t="str">
        <f t="shared" si="12"/>
        <v/>
      </c>
      <c r="B132" s="254"/>
      <c r="C132" s="254" t="str">
        <f>IF(B132="","",IFERROR(VLOOKUP(B132,DB_Customers!$A:$D,4,0),"❌ Account Not Found"))</f>
        <v/>
      </c>
      <c r="D132" s="253" t="str">
        <f t="shared" ca="1" si="13"/>
        <v/>
      </c>
      <c r="E132" s="254"/>
      <c r="F132" s="254"/>
      <c r="G132" s="253"/>
      <c r="H132" s="255">
        <v>2.5</v>
      </c>
      <c r="I132" s="253" t="str">
        <f t="shared" si="14"/>
        <v/>
      </c>
      <c r="J132" s="253" t="str">
        <f t="shared" si="15"/>
        <v/>
      </c>
      <c r="K132" s="253" t="str">
        <f>IF(B132="","Pending",IF(M132="","⚠️ Enter Code",IF(IFERROR(VLOOKUP(L132,DB_Agents!$B:$I,8,0),"")=M132,"Pending","🔒 BLOCKED — Wrong Code")))</f>
        <v>Pending</v>
      </c>
      <c r="L132" s="253" t="s">
        <v>141</v>
      </c>
      <c r="M132" s="240"/>
      <c r="N132" s="254"/>
    </row>
    <row r="133" spans="1:14" ht="18" customHeight="1" x14ac:dyDescent="0.25">
      <c r="A133" s="256" t="str">
        <f t="shared" si="12"/>
        <v/>
      </c>
      <c r="B133" s="257"/>
      <c r="C133" s="257" t="str">
        <f>IF(B133="","",IFERROR(VLOOKUP(B133,DB_Customers!$A:$D,4,0),"❌ Account Not Found"))</f>
        <v/>
      </c>
      <c r="D133" s="256" t="str">
        <f t="shared" ca="1" si="13"/>
        <v/>
      </c>
      <c r="E133" s="257"/>
      <c r="F133" s="257"/>
      <c r="G133" s="256"/>
      <c r="H133" s="258">
        <v>2.5</v>
      </c>
      <c r="I133" s="256" t="str">
        <f t="shared" si="14"/>
        <v/>
      </c>
      <c r="J133" s="256" t="str">
        <f t="shared" si="15"/>
        <v/>
      </c>
      <c r="K133" s="256" t="str">
        <f>IF(B133="","Pending",IF(M133="","⚠️ Enter Code",IF(IFERROR(VLOOKUP(L133,DB_Agents!$B:$I,8,0),"")=M133,"Pending","🔒 BLOCKED — Wrong Code")))</f>
        <v>Pending</v>
      </c>
      <c r="L133" s="256" t="s">
        <v>141</v>
      </c>
      <c r="M133" s="252"/>
      <c r="N133" s="257"/>
    </row>
    <row r="134" spans="1:14" ht="18" customHeight="1" x14ac:dyDescent="0.25">
      <c r="A134" s="253" t="str">
        <f t="shared" si="12"/>
        <v/>
      </c>
      <c r="B134" s="254"/>
      <c r="C134" s="254" t="str">
        <f>IF(B134="","",IFERROR(VLOOKUP(B134,DB_Customers!$A:$D,4,0),"❌ Account Not Found"))</f>
        <v/>
      </c>
      <c r="D134" s="253" t="str">
        <f t="shared" ca="1" si="13"/>
        <v/>
      </c>
      <c r="E134" s="254"/>
      <c r="F134" s="254"/>
      <c r="G134" s="253"/>
      <c r="H134" s="255">
        <v>2.5</v>
      </c>
      <c r="I134" s="253" t="str">
        <f t="shared" si="14"/>
        <v/>
      </c>
      <c r="J134" s="253" t="str">
        <f t="shared" si="15"/>
        <v/>
      </c>
      <c r="K134" s="253" t="str">
        <f>IF(B134="","Pending",IF(M134="","⚠️ Enter Code",IF(IFERROR(VLOOKUP(L134,DB_Agents!$B:$I,8,0),"")=M134,"Pending","🔒 BLOCKED — Wrong Code")))</f>
        <v>Pending</v>
      </c>
      <c r="L134" s="253" t="s">
        <v>141</v>
      </c>
      <c r="M134" s="240"/>
      <c r="N134" s="254"/>
    </row>
    <row r="135" spans="1:14" ht="18" customHeight="1" x14ac:dyDescent="0.25">
      <c r="A135" s="256" t="str">
        <f t="shared" si="12"/>
        <v/>
      </c>
      <c r="B135" s="257"/>
      <c r="C135" s="257" t="str">
        <f>IF(B135="","",IFERROR(VLOOKUP(B135,DB_Customers!$A:$D,4,0),"❌ Account Not Found"))</f>
        <v/>
      </c>
      <c r="D135" s="256" t="str">
        <f t="shared" ca="1" si="13"/>
        <v/>
      </c>
      <c r="E135" s="257"/>
      <c r="F135" s="257"/>
      <c r="G135" s="256"/>
      <c r="H135" s="258">
        <v>2.5</v>
      </c>
      <c r="I135" s="256" t="str">
        <f t="shared" si="14"/>
        <v/>
      </c>
      <c r="J135" s="256" t="str">
        <f t="shared" si="15"/>
        <v/>
      </c>
      <c r="K135" s="256" t="str">
        <f>IF(B135="","Pending",IF(M135="","⚠️ Enter Code",IF(IFERROR(VLOOKUP(L135,DB_Agents!$B:$I,8,0),"")=M135,"Pending","🔒 BLOCKED — Wrong Code")))</f>
        <v>Pending</v>
      </c>
      <c r="L135" s="256" t="s">
        <v>141</v>
      </c>
      <c r="M135" s="252"/>
      <c r="N135" s="257"/>
    </row>
    <row r="136" spans="1:14" ht="18" customHeight="1" x14ac:dyDescent="0.25">
      <c r="A136" s="253" t="str">
        <f t="shared" si="12"/>
        <v/>
      </c>
      <c r="B136" s="254"/>
      <c r="C136" s="254" t="str">
        <f>IF(B136="","",IFERROR(VLOOKUP(B136,DB_Customers!$A:$D,4,0),"❌ Account Not Found"))</f>
        <v/>
      </c>
      <c r="D136" s="253" t="str">
        <f t="shared" ca="1" si="13"/>
        <v/>
      </c>
      <c r="E136" s="254"/>
      <c r="F136" s="254"/>
      <c r="G136" s="253"/>
      <c r="H136" s="255">
        <v>2.5</v>
      </c>
      <c r="I136" s="253" t="str">
        <f t="shared" si="14"/>
        <v/>
      </c>
      <c r="J136" s="253" t="str">
        <f t="shared" si="15"/>
        <v/>
      </c>
      <c r="K136" s="253" t="str">
        <f>IF(B136="","Pending",IF(M136="","⚠️ Enter Code",IF(IFERROR(VLOOKUP(L136,DB_Agents!$B:$I,8,0),"")=M136,"Pending","🔒 BLOCKED — Wrong Code")))</f>
        <v>Pending</v>
      </c>
      <c r="L136" s="253" t="s">
        <v>141</v>
      </c>
      <c r="M136" s="240"/>
      <c r="N136" s="254"/>
    </row>
    <row r="137" spans="1:14" ht="18" customHeight="1" x14ac:dyDescent="0.25">
      <c r="A137" s="256" t="str">
        <f t="shared" si="12"/>
        <v/>
      </c>
      <c r="B137" s="257"/>
      <c r="C137" s="257" t="str">
        <f>IF(B137="","",IFERROR(VLOOKUP(B137,DB_Customers!$A:$D,4,0),"❌ Account Not Found"))</f>
        <v/>
      </c>
      <c r="D137" s="256" t="str">
        <f t="shared" ca="1" si="13"/>
        <v/>
      </c>
      <c r="E137" s="257"/>
      <c r="F137" s="257"/>
      <c r="G137" s="256"/>
      <c r="H137" s="258">
        <v>2.5</v>
      </c>
      <c r="I137" s="256" t="str">
        <f t="shared" si="14"/>
        <v/>
      </c>
      <c r="J137" s="256" t="str">
        <f t="shared" si="15"/>
        <v/>
      </c>
      <c r="K137" s="256" t="str">
        <f>IF(B137="","Pending",IF(M137="","⚠️ Enter Code",IF(IFERROR(VLOOKUP(L137,DB_Agents!$B:$I,8,0),"")=M137,"Pending","🔒 BLOCKED — Wrong Code")))</f>
        <v>Pending</v>
      </c>
      <c r="L137" s="256" t="s">
        <v>141</v>
      </c>
      <c r="M137" s="252"/>
      <c r="N137" s="257"/>
    </row>
    <row r="138" spans="1:14" ht="18" customHeight="1" x14ac:dyDescent="0.25">
      <c r="A138" s="253" t="str">
        <f t="shared" si="12"/>
        <v/>
      </c>
      <c r="B138" s="254"/>
      <c r="C138" s="254" t="str">
        <f>IF(B138="","",IFERROR(VLOOKUP(B138,DB_Customers!$A:$D,4,0),"❌ Account Not Found"))</f>
        <v/>
      </c>
      <c r="D138" s="253" t="str">
        <f t="shared" ca="1" si="13"/>
        <v/>
      </c>
      <c r="E138" s="254"/>
      <c r="F138" s="254"/>
      <c r="G138" s="253"/>
      <c r="H138" s="255">
        <v>2.5</v>
      </c>
      <c r="I138" s="253" t="str">
        <f t="shared" si="14"/>
        <v/>
      </c>
      <c r="J138" s="253" t="str">
        <f t="shared" si="15"/>
        <v/>
      </c>
      <c r="K138" s="253" t="str">
        <f>IF(B138="","Pending",IF(M138="","⚠️ Enter Code",IF(IFERROR(VLOOKUP(L138,DB_Agents!$B:$I,8,0),"")=M138,"Pending","🔒 BLOCKED — Wrong Code")))</f>
        <v>Pending</v>
      </c>
      <c r="L138" s="253" t="s">
        <v>141</v>
      </c>
      <c r="M138" s="240"/>
      <c r="N138" s="254"/>
    </row>
    <row r="139" spans="1:14" ht="18" customHeight="1" x14ac:dyDescent="0.25">
      <c r="A139" s="256" t="str">
        <f t="shared" si="12"/>
        <v/>
      </c>
      <c r="B139" s="257"/>
      <c r="C139" s="257" t="str">
        <f>IF(B139="","",IFERROR(VLOOKUP(B139,DB_Customers!$A:$D,4,0),"❌ Account Not Found"))</f>
        <v/>
      </c>
      <c r="D139" s="256" t="str">
        <f t="shared" ca="1" si="13"/>
        <v/>
      </c>
      <c r="E139" s="257"/>
      <c r="F139" s="257"/>
      <c r="G139" s="256"/>
      <c r="H139" s="258">
        <v>2.5</v>
      </c>
      <c r="I139" s="256" t="str">
        <f t="shared" si="14"/>
        <v/>
      </c>
      <c r="J139" s="256" t="str">
        <f t="shared" si="15"/>
        <v/>
      </c>
      <c r="K139" s="256" t="str">
        <f>IF(B139="","Pending",IF(M139="","⚠️ Enter Code",IF(IFERROR(VLOOKUP(L139,DB_Agents!$B:$I,8,0),"")=M139,"Pending","🔒 BLOCKED — Wrong Code")))</f>
        <v>Pending</v>
      </c>
      <c r="L139" s="256" t="s">
        <v>141</v>
      </c>
      <c r="M139" s="252"/>
      <c r="N139" s="257"/>
    </row>
    <row r="140" spans="1:14" ht="18" customHeight="1" x14ac:dyDescent="0.25">
      <c r="A140" s="253" t="str">
        <f t="shared" si="12"/>
        <v/>
      </c>
      <c r="B140" s="254"/>
      <c r="C140" s="254" t="str">
        <f>IF(B140="","",IFERROR(VLOOKUP(B140,DB_Customers!$A:$D,4,0),"❌ Account Not Found"))</f>
        <v/>
      </c>
      <c r="D140" s="253" t="str">
        <f t="shared" ca="1" si="13"/>
        <v/>
      </c>
      <c r="E140" s="254"/>
      <c r="F140" s="254"/>
      <c r="G140" s="253"/>
      <c r="H140" s="255">
        <v>2.5</v>
      </c>
      <c r="I140" s="253" t="str">
        <f t="shared" si="14"/>
        <v/>
      </c>
      <c r="J140" s="253" t="str">
        <f t="shared" si="15"/>
        <v/>
      </c>
      <c r="K140" s="253" t="str">
        <f>IF(B140="","Pending",IF(M140="","⚠️ Enter Code",IF(IFERROR(VLOOKUP(L140,DB_Agents!$B:$I,8,0),"")=M140,"Pending","🔒 BLOCKED — Wrong Code")))</f>
        <v>Pending</v>
      </c>
      <c r="L140" s="253" t="s">
        <v>141</v>
      </c>
      <c r="M140" s="240"/>
      <c r="N140" s="254"/>
    </row>
    <row r="141" spans="1:14" ht="18" customHeight="1" x14ac:dyDescent="0.25">
      <c r="A141" s="256" t="str">
        <f t="shared" si="12"/>
        <v/>
      </c>
      <c r="B141" s="257"/>
      <c r="C141" s="257" t="str">
        <f>IF(B141="","",IFERROR(VLOOKUP(B141,DB_Customers!$A:$D,4,0),"❌ Account Not Found"))</f>
        <v/>
      </c>
      <c r="D141" s="256" t="str">
        <f t="shared" ca="1" si="13"/>
        <v/>
      </c>
      <c r="E141" s="257"/>
      <c r="F141" s="257"/>
      <c r="G141" s="256"/>
      <c r="H141" s="258">
        <v>2.5</v>
      </c>
      <c r="I141" s="256" t="str">
        <f t="shared" si="14"/>
        <v/>
      </c>
      <c r="J141" s="256" t="str">
        <f t="shared" si="15"/>
        <v/>
      </c>
      <c r="K141" s="256" t="str">
        <f>IF(B141="","Pending",IF(M141="","⚠️ Enter Code",IF(IFERROR(VLOOKUP(L141,DB_Agents!$B:$I,8,0),"")=M141,"Pending","🔒 BLOCKED — Wrong Code")))</f>
        <v>Pending</v>
      </c>
      <c r="L141" s="256" t="s">
        <v>141</v>
      </c>
      <c r="M141" s="252"/>
      <c r="N141" s="257"/>
    </row>
    <row r="142" spans="1:14" ht="18" customHeight="1" x14ac:dyDescent="0.25">
      <c r="A142" s="253" t="str">
        <f t="shared" ref="A142:A173" si="16">IF(B142="","",IF(C142="❌ Account Not Found","INVALID","LN"&amp;TEXT(D142,"YYYYMMDD")&amp;TEXT(ROW()-13,"0000")))</f>
        <v/>
      </c>
      <c r="B142" s="254"/>
      <c r="C142" s="254" t="str">
        <f>IF(B142="","",IFERROR(VLOOKUP(B142,DB_Customers!$A:$D,4,0),"❌ Account Not Found"))</f>
        <v/>
      </c>
      <c r="D142" s="253" t="str">
        <f t="shared" ref="D142:D173" ca="1" si="17">IF(B142="","",TODAY())</f>
        <v/>
      </c>
      <c r="E142" s="254"/>
      <c r="F142" s="254"/>
      <c r="G142" s="253"/>
      <c r="H142" s="255">
        <v>2.5</v>
      </c>
      <c r="I142" s="253" t="str">
        <f t="shared" ref="I142:I173" si="18">IF(E142="","",E142+(E142*H142/100*G142))</f>
        <v/>
      </c>
      <c r="J142" s="253" t="str">
        <f t="shared" ref="J142:J173" si="19">IFERROR(I142/G142,"")</f>
        <v/>
      </c>
      <c r="K142" s="253" t="str">
        <f>IF(B142="","Pending",IF(M142="","⚠️ Enter Code",IF(IFERROR(VLOOKUP(L142,DB_Agents!$B:$I,8,0),"")=M142,"Pending","🔒 BLOCKED — Wrong Code")))</f>
        <v>Pending</v>
      </c>
      <c r="L142" s="253" t="s">
        <v>141</v>
      </c>
      <c r="M142" s="240"/>
      <c r="N142" s="254"/>
    </row>
    <row r="143" spans="1:14" ht="18" customHeight="1" x14ac:dyDescent="0.25">
      <c r="A143" s="256" t="str">
        <f t="shared" si="16"/>
        <v/>
      </c>
      <c r="B143" s="257"/>
      <c r="C143" s="257" t="str">
        <f>IF(B143="","",IFERROR(VLOOKUP(B143,DB_Customers!$A:$D,4,0),"❌ Account Not Found"))</f>
        <v/>
      </c>
      <c r="D143" s="256" t="str">
        <f t="shared" ca="1" si="17"/>
        <v/>
      </c>
      <c r="E143" s="257"/>
      <c r="F143" s="257"/>
      <c r="G143" s="256"/>
      <c r="H143" s="258">
        <v>2.5</v>
      </c>
      <c r="I143" s="256" t="str">
        <f t="shared" si="18"/>
        <v/>
      </c>
      <c r="J143" s="256" t="str">
        <f t="shared" si="19"/>
        <v/>
      </c>
      <c r="K143" s="256" t="str">
        <f>IF(B143="","Pending",IF(M143="","⚠️ Enter Code",IF(IFERROR(VLOOKUP(L143,DB_Agents!$B:$I,8,0),"")=M143,"Pending","🔒 BLOCKED — Wrong Code")))</f>
        <v>Pending</v>
      </c>
      <c r="L143" s="256" t="s">
        <v>141</v>
      </c>
      <c r="M143" s="252"/>
      <c r="N143" s="257"/>
    </row>
    <row r="144" spans="1:14" ht="18" customHeight="1" x14ac:dyDescent="0.25">
      <c r="A144" s="253" t="str">
        <f t="shared" si="16"/>
        <v/>
      </c>
      <c r="B144" s="254"/>
      <c r="C144" s="254" t="str">
        <f>IF(B144="","",IFERROR(VLOOKUP(B144,DB_Customers!$A:$D,4,0),"❌ Account Not Found"))</f>
        <v/>
      </c>
      <c r="D144" s="253" t="str">
        <f t="shared" ca="1" si="17"/>
        <v/>
      </c>
      <c r="E144" s="254"/>
      <c r="F144" s="254"/>
      <c r="G144" s="253"/>
      <c r="H144" s="255">
        <v>2.5</v>
      </c>
      <c r="I144" s="253" t="str">
        <f t="shared" si="18"/>
        <v/>
      </c>
      <c r="J144" s="253" t="str">
        <f t="shared" si="19"/>
        <v/>
      </c>
      <c r="K144" s="253" t="str">
        <f>IF(B144="","Pending",IF(M144="","⚠️ Enter Code",IF(IFERROR(VLOOKUP(L144,DB_Agents!$B:$I,8,0),"")=M144,"Pending","🔒 BLOCKED — Wrong Code")))</f>
        <v>Pending</v>
      </c>
      <c r="L144" s="253" t="s">
        <v>141</v>
      </c>
      <c r="M144" s="240"/>
      <c r="N144" s="254"/>
    </row>
    <row r="145" spans="1:14" ht="18" customHeight="1" x14ac:dyDescent="0.25">
      <c r="A145" s="256" t="str">
        <f t="shared" si="16"/>
        <v/>
      </c>
      <c r="B145" s="257"/>
      <c r="C145" s="257" t="str">
        <f>IF(B145="","",IFERROR(VLOOKUP(B145,DB_Customers!$A:$D,4,0),"❌ Account Not Found"))</f>
        <v/>
      </c>
      <c r="D145" s="256" t="str">
        <f t="shared" ca="1" si="17"/>
        <v/>
      </c>
      <c r="E145" s="257"/>
      <c r="F145" s="257"/>
      <c r="G145" s="256"/>
      <c r="H145" s="258">
        <v>2.5</v>
      </c>
      <c r="I145" s="256" t="str">
        <f t="shared" si="18"/>
        <v/>
      </c>
      <c r="J145" s="256" t="str">
        <f t="shared" si="19"/>
        <v/>
      </c>
      <c r="K145" s="256" t="str">
        <f>IF(B145="","Pending",IF(M145="","⚠️ Enter Code",IF(IFERROR(VLOOKUP(L145,DB_Agents!$B:$I,8,0),"")=M145,"Pending","🔒 BLOCKED — Wrong Code")))</f>
        <v>Pending</v>
      </c>
      <c r="L145" s="256" t="s">
        <v>141</v>
      </c>
      <c r="M145" s="252"/>
      <c r="N145" s="257"/>
    </row>
    <row r="146" spans="1:14" ht="18" customHeight="1" x14ac:dyDescent="0.25">
      <c r="A146" s="253" t="str">
        <f t="shared" si="16"/>
        <v/>
      </c>
      <c r="B146" s="254"/>
      <c r="C146" s="254" t="str">
        <f>IF(B146="","",IFERROR(VLOOKUP(B146,DB_Customers!$A:$D,4,0),"❌ Account Not Found"))</f>
        <v/>
      </c>
      <c r="D146" s="253" t="str">
        <f t="shared" ca="1" si="17"/>
        <v/>
      </c>
      <c r="E146" s="254"/>
      <c r="F146" s="254"/>
      <c r="G146" s="253"/>
      <c r="H146" s="255">
        <v>2.5</v>
      </c>
      <c r="I146" s="253" t="str">
        <f t="shared" si="18"/>
        <v/>
      </c>
      <c r="J146" s="253" t="str">
        <f t="shared" si="19"/>
        <v/>
      </c>
      <c r="K146" s="253" t="str">
        <f>IF(B146="","Pending",IF(M146="","⚠️ Enter Code",IF(IFERROR(VLOOKUP(L146,DB_Agents!$B:$I,8,0),"")=M146,"Pending","🔒 BLOCKED — Wrong Code")))</f>
        <v>Pending</v>
      </c>
      <c r="L146" s="253" t="s">
        <v>141</v>
      </c>
      <c r="M146" s="240"/>
      <c r="N146" s="254"/>
    </row>
    <row r="147" spans="1:14" ht="18" customHeight="1" x14ac:dyDescent="0.25">
      <c r="A147" s="256" t="str">
        <f t="shared" si="16"/>
        <v/>
      </c>
      <c r="B147" s="257"/>
      <c r="C147" s="257" t="str">
        <f>IF(B147="","",IFERROR(VLOOKUP(B147,DB_Customers!$A:$D,4,0),"❌ Account Not Found"))</f>
        <v/>
      </c>
      <c r="D147" s="256" t="str">
        <f t="shared" ca="1" si="17"/>
        <v/>
      </c>
      <c r="E147" s="257"/>
      <c r="F147" s="257"/>
      <c r="G147" s="256"/>
      <c r="H147" s="258">
        <v>2.5</v>
      </c>
      <c r="I147" s="256" t="str">
        <f t="shared" si="18"/>
        <v/>
      </c>
      <c r="J147" s="256" t="str">
        <f t="shared" si="19"/>
        <v/>
      </c>
      <c r="K147" s="256" t="str">
        <f>IF(B147="","Pending",IF(M147="","⚠️ Enter Code",IF(IFERROR(VLOOKUP(L147,DB_Agents!$B:$I,8,0),"")=M147,"Pending","🔒 BLOCKED — Wrong Code")))</f>
        <v>Pending</v>
      </c>
      <c r="L147" s="256" t="s">
        <v>141</v>
      </c>
      <c r="M147" s="252"/>
      <c r="N147" s="257"/>
    </row>
    <row r="148" spans="1:14" ht="18" customHeight="1" x14ac:dyDescent="0.25">
      <c r="A148" s="253" t="str">
        <f t="shared" si="16"/>
        <v/>
      </c>
      <c r="B148" s="254"/>
      <c r="C148" s="254" t="str">
        <f>IF(B148="","",IFERROR(VLOOKUP(B148,DB_Customers!$A:$D,4,0),"❌ Account Not Found"))</f>
        <v/>
      </c>
      <c r="D148" s="253" t="str">
        <f t="shared" ca="1" si="17"/>
        <v/>
      </c>
      <c r="E148" s="254"/>
      <c r="F148" s="254"/>
      <c r="G148" s="253"/>
      <c r="H148" s="255">
        <v>2.5</v>
      </c>
      <c r="I148" s="253" t="str">
        <f t="shared" si="18"/>
        <v/>
      </c>
      <c r="J148" s="253" t="str">
        <f t="shared" si="19"/>
        <v/>
      </c>
      <c r="K148" s="253" t="str">
        <f>IF(B148="","Pending",IF(M148="","⚠️ Enter Code",IF(IFERROR(VLOOKUP(L148,DB_Agents!$B:$I,8,0),"")=M148,"Pending","🔒 BLOCKED — Wrong Code")))</f>
        <v>Pending</v>
      </c>
      <c r="L148" s="253" t="s">
        <v>141</v>
      </c>
      <c r="M148" s="240"/>
      <c r="N148" s="254"/>
    </row>
    <row r="149" spans="1:14" ht="18" customHeight="1" x14ac:dyDescent="0.25">
      <c r="A149" s="256" t="str">
        <f t="shared" si="16"/>
        <v/>
      </c>
      <c r="B149" s="257"/>
      <c r="C149" s="257" t="str">
        <f>IF(B149="","",IFERROR(VLOOKUP(B149,DB_Customers!$A:$D,4,0),"❌ Account Not Found"))</f>
        <v/>
      </c>
      <c r="D149" s="256" t="str">
        <f t="shared" ca="1" si="17"/>
        <v/>
      </c>
      <c r="E149" s="257"/>
      <c r="F149" s="257"/>
      <c r="G149" s="256"/>
      <c r="H149" s="258">
        <v>2.5</v>
      </c>
      <c r="I149" s="256" t="str">
        <f t="shared" si="18"/>
        <v/>
      </c>
      <c r="J149" s="256" t="str">
        <f t="shared" si="19"/>
        <v/>
      </c>
      <c r="K149" s="256" t="str">
        <f>IF(B149="","Pending",IF(M149="","⚠️ Enter Code",IF(IFERROR(VLOOKUP(L149,DB_Agents!$B:$I,8,0),"")=M149,"Pending","🔒 BLOCKED — Wrong Code")))</f>
        <v>Pending</v>
      </c>
      <c r="L149" s="256" t="s">
        <v>141</v>
      </c>
      <c r="M149" s="252"/>
      <c r="N149" s="257"/>
    </row>
    <row r="150" spans="1:14" ht="18" customHeight="1" x14ac:dyDescent="0.25">
      <c r="A150" s="253" t="str">
        <f t="shared" si="16"/>
        <v/>
      </c>
      <c r="B150" s="254"/>
      <c r="C150" s="254" t="str">
        <f>IF(B150="","",IFERROR(VLOOKUP(B150,DB_Customers!$A:$D,4,0),"❌ Account Not Found"))</f>
        <v/>
      </c>
      <c r="D150" s="253" t="str">
        <f t="shared" ca="1" si="17"/>
        <v/>
      </c>
      <c r="E150" s="254"/>
      <c r="F150" s="254"/>
      <c r="G150" s="253"/>
      <c r="H150" s="255">
        <v>2.5</v>
      </c>
      <c r="I150" s="253" t="str">
        <f t="shared" si="18"/>
        <v/>
      </c>
      <c r="J150" s="253" t="str">
        <f t="shared" si="19"/>
        <v/>
      </c>
      <c r="K150" s="253" t="str">
        <f>IF(B150="","Pending",IF(M150="","⚠️ Enter Code",IF(IFERROR(VLOOKUP(L150,DB_Agents!$B:$I,8,0),"")=M150,"Pending","🔒 BLOCKED — Wrong Code")))</f>
        <v>Pending</v>
      </c>
      <c r="L150" s="253" t="s">
        <v>141</v>
      </c>
      <c r="M150" s="240"/>
      <c r="N150" s="254"/>
    </row>
    <row r="151" spans="1:14" ht="18" customHeight="1" x14ac:dyDescent="0.25">
      <c r="A151" s="256" t="str">
        <f t="shared" si="16"/>
        <v/>
      </c>
      <c r="B151" s="257"/>
      <c r="C151" s="257" t="str">
        <f>IF(B151="","",IFERROR(VLOOKUP(B151,DB_Customers!$A:$D,4,0),"❌ Account Not Found"))</f>
        <v/>
      </c>
      <c r="D151" s="256" t="str">
        <f t="shared" ca="1" si="17"/>
        <v/>
      </c>
      <c r="E151" s="257"/>
      <c r="F151" s="257"/>
      <c r="G151" s="256"/>
      <c r="H151" s="258">
        <v>2.5</v>
      </c>
      <c r="I151" s="256" t="str">
        <f t="shared" si="18"/>
        <v/>
      </c>
      <c r="J151" s="256" t="str">
        <f t="shared" si="19"/>
        <v/>
      </c>
      <c r="K151" s="256" t="str">
        <f>IF(B151="","Pending",IF(M151="","⚠️ Enter Code",IF(IFERROR(VLOOKUP(L151,DB_Agents!$B:$I,8,0),"")=M151,"Pending","🔒 BLOCKED — Wrong Code")))</f>
        <v>Pending</v>
      </c>
      <c r="L151" s="256" t="s">
        <v>141</v>
      </c>
      <c r="M151" s="252"/>
      <c r="N151" s="257"/>
    </row>
    <row r="152" spans="1:14" ht="18" customHeight="1" x14ac:dyDescent="0.25">
      <c r="A152" s="253" t="str">
        <f t="shared" si="16"/>
        <v/>
      </c>
      <c r="B152" s="254"/>
      <c r="C152" s="254" t="str">
        <f>IF(B152="","",IFERROR(VLOOKUP(B152,DB_Customers!$A:$D,4,0),"❌ Account Not Found"))</f>
        <v/>
      </c>
      <c r="D152" s="253" t="str">
        <f t="shared" ca="1" si="17"/>
        <v/>
      </c>
      <c r="E152" s="254"/>
      <c r="F152" s="254"/>
      <c r="G152" s="253"/>
      <c r="H152" s="255">
        <v>2.5</v>
      </c>
      <c r="I152" s="253" t="str">
        <f t="shared" si="18"/>
        <v/>
      </c>
      <c r="J152" s="253" t="str">
        <f t="shared" si="19"/>
        <v/>
      </c>
      <c r="K152" s="253" t="str">
        <f>IF(B152="","Pending",IF(M152="","⚠️ Enter Code",IF(IFERROR(VLOOKUP(L152,DB_Agents!$B:$I,8,0),"")=M152,"Pending","🔒 BLOCKED — Wrong Code")))</f>
        <v>Pending</v>
      </c>
      <c r="L152" s="253" t="s">
        <v>141</v>
      </c>
      <c r="M152" s="240"/>
      <c r="N152" s="254"/>
    </row>
    <row r="153" spans="1:14" ht="18" customHeight="1" x14ac:dyDescent="0.25">
      <c r="A153" s="256" t="str">
        <f t="shared" si="16"/>
        <v/>
      </c>
      <c r="B153" s="257"/>
      <c r="C153" s="257" t="str">
        <f>IF(B153="","",IFERROR(VLOOKUP(B153,DB_Customers!$A:$D,4,0),"❌ Account Not Found"))</f>
        <v/>
      </c>
      <c r="D153" s="256" t="str">
        <f t="shared" ca="1" si="17"/>
        <v/>
      </c>
      <c r="E153" s="257"/>
      <c r="F153" s="257"/>
      <c r="G153" s="256"/>
      <c r="H153" s="258">
        <v>2.5</v>
      </c>
      <c r="I153" s="256" t="str">
        <f t="shared" si="18"/>
        <v/>
      </c>
      <c r="J153" s="256" t="str">
        <f t="shared" si="19"/>
        <v/>
      </c>
      <c r="K153" s="256" t="str">
        <f>IF(B153="","Pending",IF(M153="","⚠️ Enter Code",IF(IFERROR(VLOOKUP(L153,DB_Agents!$B:$I,8,0),"")=M153,"Pending","🔒 BLOCKED — Wrong Code")))</f>
        <v>Pending</v>
      </c>
      <c r="L153" s="256" t="s">
        <v>141</v>
      </c>
      <c r="M153" s="252"/>
      <c r="N153" s="257"/>
    </row>
    <row r="154" spans="1:14" ht="18" customHeight="1" x14ac:dyDescent="0.25">
      <c r="A154" s="253" t="str">
        <f t="shared" si="16"/>
        <v/>
      </c>
      <c r="B154" s="254"/>
      <c r="C154" s="254" t="str">
        <f>IF(B154="","",IFERROR(VLOOKUP(B154,DB_Customers!$A:$D,4,0),"❌ Account Not Found"))</f>
        <v/>
      </c>
      <c r="D154" s="253" t="str">
        <f t="shared" ca="1" si="17"/>
        <v/>
      </c>
      <c r="E154" s="254"/>
      <c r="F154" s="254"/>
      <c r="G154" s="253"/>
      <c r="H154" s="255">
        <v>2.5</v>
      </c>
      <c r="I154" s="253" t="str">
        <f t="shared" si="18"/>
        <v/>
      </c>
      <c r="J154" s="253" t="str">
        <f t="shared" si="19"/>
        <v/>
      </c>
      <c r="K154" s="253" t="str">
        <f>IF(B154="","Pending",IF(M154="","⚠️ Enter Code",IF(IFERROR(VLOOKUP(L154,DB_Agents!$B:$I,8,0),"")=M154,"Pending","🔒 BLOCKED — Wrong Code")))</f>
        <v>Pending</v>
      </c>
      <c r="L154" s="253" t="s">
        <v>141</v>
      </c>
      <c r="M154" s="240"/>
      <c r="N154" s="254"/>
    </row>
    <row r="155" spans="1:14" ht="18" customHeight="1" x14ac:dyDescent="0.25">
      <c r="A155" s="256" t="str">
        <f t="shared" si="16"/>
        <v/>
      </c>
      <c r="B155" s="257"/>
      <c r="C155" s="257" t="str">
        <f>IF(B155="","",IFERROR(VLOOKUP(B155,DB_Customers!$A:$D,4,0),"❌ Account Not Found"))</f>
        <v/>
      </c>
      <c r="D155" s="256" t="str">
        <f t="shared" ca="1" si="17"/>
        <v/>
      </c>
      <c r="E155" s="257"/>
      <c r="F155" s="257"/>
      <c r="G155" s="256"/>
      <c r="H155" s="258">
        <v>2.5</v>
      </c>
      <c r="I155" s="256" t="str">
        <f t="shared" si="18"/>
        <v/>
      </c>
      <c r="J155" s="256" t="str">
        <f t="shared" si="19"/>
        <v/>
      </c>
      <c r="K155" s="256" t="str">
        <f>IF(B155="","Pending",IF(M155="","⚠️ Enter Code",IF(IFERROR(VLOOKUP(L155,DB_Agents!$B:$I,8,0),"")=M155,"Pending","🔒 BLOCKED — Wrong Code")))</f>
        <v>Pending</v>
      </c>
      <c r="L155" s="256" t="s">
        <v>141</v>
      </c>
      <c r="M155" s="252"/>
      <c r="N155" s="257"/>
    </row>
    <row r="156" spans="1:14" ht="18" customHeight="1" x14ac:dyDescent="0.25">
      <c r="A156" s="253" t="str">
        <f t="shared" si="16"/>
        <v/>
      </c>
      <c r="B156" s="254"/>
      <c r="C156" s="254" t="str">
        <f>IF(B156="","",IFERROR(VLOOKUP(B156,DB_Customers!$A:$D,4,0),"❌ Account Not Found"))</f>
        <v/>
      </c>
      <c r="D156" s="253" t="str">
        <f t="shared" ca="1" si="17"/>
        <v/>
      </c>
      <c r="E156" s="254"/>
      <c r="F156" s="254"/>
      <c r="G156" s="253"/>
      <c r="H156" s="255">
        <v>2.5</v>
      </c>
      <c r="I156" s="253" t="str">
        <f t="shared" si="18"/>
        <v/>
      </c>
      <c r="J156" s="253" t="str">
        <f t="shared" si="19"/>
        <v/>
      </c>
      <c r="K156" s="253" t="str">
        <f>IF(B156="","Pending",IF(M156="","⚠️ Enter Code",IF(IFERROR(VLOOKUP(L156,DB_Agents!$B:$I,8,0),"")=M156,"Pending","🔒 BLOCKED — Wrong Code")))</f>
        <v>Pending</v>
      </c>
      <c r="L156" s="253" t="s">
        <v>141</v>
      </c>
      <c r="M156" s="240"/>
      <c r="N156" s="254"/>
    </row>
    <row r="157" spans="1:14" ht="18" customHeight="1" x14ac:dyDescent="0.25">
      <c r="A157" s="256" t="str">
        <f t="shared" si="16"/>
        <v/>
      </c>
      <c r="B157" s="257"/>
      <c r="C157" s="257" t="str">
        <f>IF(B157="","",IFERROR(VLOOKUP(B157,DB_Customers!$A:$D,4,0),"❌ Account Not Found"))</f>
        <v/>
      </c>
      <c r="D157" s="256" t="str">
        <f t="shared" ca="1" si="17"/>
        <v/>
      </c>
      <c r="E157" s="257"/>
      <c r="F157" s="257"/>
      <c r="G157" s="256"/>
      <c r="H157" s="258">
        <v>2.5</v>
      </c>
      <c r="I157" s="256" t="str">
        <f t="shared" si="18"/>
        <v/>
      </c>
      <c r="J157" s="256" t="str">
        <f t="shared" si="19"/>
        <v/>
      </c>
      <c r="K157" s="256" t="str">
        <f>IF(B157="","Pending",IF(M157="","⚠️ Enter Code",IF(IFERROR(VLOOKUP(L157,DB_Agents!$B:$I,8,0),"")=M157,"Pending","🔒 BLOCKED — Wrong Code")))</f>
        <v>Pending</v>
      </c>
      <c r="L157" s="256" t="s">
        <v>141</v>
      </c>
      <c r="M157" s="252"/>
      <c r="N157" s="257"/>
    </row>
    <row r="158" spans="1:14" ht="18" customHeight="1" x14ac:dyDescent="0.25">
      <c r="A158" s="253" t="str">
        <f t="shared" si="16"/>
        <v/>
      </c>
      <c r="B158" s="254"/>
      <c r="C158" s="254" t="str">
        <f>IF(B158="","",IFERROR(VLOOKUP(B158,DB_Customers!$A:$D,4,0),"❌ Account Not Found"))</f>
        <v/>
      </c>
      <c r="D158" s="253" t="str">
        <f t="shared" ca="1" si="17"/>
        <v/>
      </c>
      <c r="E158" s="254"/>
      <c r="F158" s="254"/>
      <c r="G158" s="253"/>
      <c r="H158" s="255">
        <v>2.5</v>
      </c>
      <c r="I158" s="253" t="str">
        <f t="shared" si="18"/>
        <v/>
      </c>
      <c r="J158" s="253" t="str">
        <f t="shared" si="19"/>
        <v/>
      </c>
      <c r="K158" s="253" t="str">
        <f>IF(B158="","Pending",IF(M158="","⚠️ Enter Code",IF(IFERROR(VLOOKUP(L158,DB_Agents!$B:$I,8,0),"")=M158,"Pending","🔒 BLOCKED — Wrong Code")))</f>
        <v>Pending</v>
      </c>
      <c r="L158" s="253" t="s">
        <v>141</v>
      </c>
      <c r="M158" s="240"/>
      <c r="N158" s="254"/>
    </row>
    <row r="159" spans="1:14" ht="18" customHeight="1" x14ac:dyDescent="0.25">
      <c r="A159" s="256" t="str">
        <f t="shared" si="16"/>
        <v/>
      </c>
      <c r="B159" s="257"/>
      <c r="C159" s="257" t="str">
        <f>IF(B159="","",IFERROR(VLOOKUP(B159,DB_Customers!$A:$D,4,0),"❌ Account Not Found"))</f>
        <v/>
      </c>
      <c r="D159" s="256" t="str">
        <f t="shared" ca="1" si="17"/>
        <v/>
      </c>
      <c r="E159" s="257"/>
      <c r="F159" s="257"/>
      <c r="G159" s="256"/>
      <c r="H159" s="258">
        <v>2.5</v>
      </c>
      <c r="I159" s="256" t="str">
        <f t="shared" si="18"/>
        <v/>
      </c>
      <c r="J159" s="256" t="str">
        <f t="shared" si="19"/>
        <v/>
      </c>
      <c r="K159" s="256" t="str">
        <f>IF(B159="","Pending",IF(M159="","⚠️ Enter Code",IF(IFERROR(VLOOKUP(L159,DB_Agents!$B:$I,8,0),"")=M159,"Pending","🔒 BLOCKED — Wrong Code")))</f>
        <v>Pending</v>
      </c>
      <c r="L159" s="256" t="s">
        <v>141</v>
      </c>
      <c r="M159" s="252"/>
      <c r="N159" s="257"/>
    </row>
    <row r="160" spans="1:14" ht="18" customHeight="1" x14ac:dyDescent="0.25">
      <c r="A160" s="253" t="str">
        <f t="shared" si="16"/>
        <v/>
      </c>
      <c r="B160" s="254"/>
      <c r="C160" s="254" t="str">
        <f>IF(B160="","",IFERROR(VLOOKUP(B160,DB_Customers!$A:$D,4,0),"❌ Account Not Found"))</f>
        <v/>
      </c>
      <c r="D160" s="253" t="str">
        <f t="shared" ca="1" si="17"/>
        <v/>
      </c>
      <c r="E160" s="254"/>
      <c r="F160" s="254"/>
      <c r="G160" s="253"/>
      <c r="H160" s="255">
        <v>2.5</v>
      </c>
      <c r="I160" s="253" t="str">
        <f t="shared" si="18"/>
        <v/>
      </c>
      <c r="J160" s="253" t="str">
        <f t="shared" si="19"/>
        <v/>
      </c>
      <c r="K160" s="253" t="str">
        <f>IF(B160="","Pending",IF(M160="","⚠️ Enter Code",IF(IFERROR(VLOOKUP(L160,DB_Agents!$B:$I,8,0),"")=M160,"Pending","🔒 BLOCKED — Wrong Code")))</f>
        <v>Pending</v>
      </c>
      <c r="L160" s="253" t="s">
        <v>141</v>
      </c>
      <c r="M160" s="240"/>
      <c r="N160" s="254"/>
    </row>
    <row r="161" spans="1:14" ht="18" customHeight="1" x14ac:dyDescent="0.25">
      <c r="A161" s="256" t="str">
        <f t="shared" si="16"/>
        <v/>
      </c>
      <c r="B161" s="257"/>
      <c r="C161" s="257" t="str">
        <f>IF(B161="","",IFERROR(VLOOKUP(B161,DB_Customers!$A:$D,4,0),"❌ Account Not Found"))</f>
        <v/>
      </c>
      <c r="D161" s="256" t="str">
        <f t="shared" ca="1" si="17"/>
        <v/>
      </c>
      <c r="E161" s="257"/>
      <c r="F161" s="257"/>
      <c r="G161" s="256"/>
      <c r="H161" s="258">
        <v>2.5</v>
      </c>
      <c r="I161" s="256" t="str">
        <f t="shared" si="18"/>
        <v/>
      </c>
      <c r="J161" s="256" t="str">
        <f t="shared" si="19"/>
        <v/>
      </c>
      <c r="K161" s="256" t="str">
        <f>IF(B161="","Pending",IF(M161="","⚠️ Enter Code",IF(IFERROR(VLOOKUP(L161,DB_Agents!$B:$I,8,0),"")=M161,"Pending","🔒 BLOCKED — Wrong Code")))</f>
        <v>Pending</v>
      </c>
      <c r="L161" s="256" t="s">
        <v>141</v>
      </c>
      <c r="M161" s="252"/>
      <c r="N161" s="257"/>
    </row>
    <row r="162" spans="1:14" ht="18" customHeight="1" x14ac:dyDescent="0.25">
      <c r="A162" s="253" t="str">
        <f t="shared" si="16"/>
        <v/>
      </c>
      <c r="B162" s="254"/>
      <c r="C162" s="254" t="str">
        <f>IF(B162="","",IFERROR(VLOOKUP(B162,DB_Customers!$A:$D,4,0),"❌ Account Not Found"))</f>
        <v/>
      </c>
      <c r="D162" s="253" t="str">
        <f t="shared" ca="1" si="17"/>
        <v/>
      </c>
      <c r="E162" s="254"/>
      <c r="F162" s="254"/>
      <c r="G162" s="253"/>
      <c r="H162" s="255">
        <v>2.5</v>
      </c>
      <c r="I162" s="253" t="str">
        <f t="shared" si="18"/>
        <v/>
      </c>
      <c r="J162" s="253" t="str">
        <f t="shared" si="19"/>
        <v/>
      </c>
      <c r="K162" s="253" t="str">
        <f>IF(B162="","Pending",IF(M162="","⚠️ Enter Code",IF(IFERROR(VLOOKUP(L162,DB_Agents!$B:$I,8,0),"")=M162,"Pending","🔒 BLOCKED — Wrong Code")))</f>
        <v>Pending</v>
      </c>
      <c r="L162" s="253" t="s">
        <v>141</v>
      </c>
      <c r="M162" s="240"/>
      <c r="N162" s="254"/>
    </row>
    <row r="163" spans="1:14" ht="18" customHeight="1" x14ac:dyDescent="0.25">
      <c r="A163" s="256" t="str">
        <f t="shared" si="16"/>
        <v/>
      </c>
      <c r="B163" s="257"/>
      <c r="C163" s="257" t="str">
        <f>IF(B163="","",IFERROR(VLOOKUP(B163,DB_Customers!$A:$D,4,0),"❌ Account Not Found"))</f>
        <v/>
      </c>
      <c r="D163" s="256" t="str">
        <f t="shared" ca="1" si="17"/>
        <v/>
      </c>
      <c r="E163" s="257"/>
      <c r="F163" s="257"/>
      <c r="G163" s="256"/>
      <c r="H163" s="258">
        <v>2.5</v>
      </c>
      <c r="I163" s="256" t="str">
        <f t="shared" si="18"/>
        <v/>
      </c>
      <c r="J163" s="256" t="str">
        <f t="shared" si="19"/>
        <v/>
      </c>
      <c r="K163" s="256" t="str">
        <f>IF(B163="","Pending",IF(M163="","⚠️ Enter Code",IF(IFERROR(VLOOKUP(L163,DB_Agents!$B:$I,8,0),"")=M163,"Pending","🔒 BLOCKED — Wrong Code")))</f>
        <v>Pending</v>
      </c>
      <c r="L163" s="256" t="s">
        <v>141</v>
      </c>
      <c r="M163" s="252"/>
      <c r="N163" s="257"/>
    </row>
    <row r="164" spans="1:14" ht="18" customHeight="1" x14ac:dyDescent="0.25">
      <c r="A164" s="253" t="str">
        <f t="shared" si="16"/>
        <v/>
      </c>
      <c r="B164" s="254"/>
      <c r="C164" s="254" t="str">
        <f>IF(B164="","",IFERROR(VLOOKUP(B164,DB_Customers!$A:$D,4,0),"❌ Account Not Found"))</f>
        <v/>
      </c>
      <c r="D164" s="253" t="str">
        <f t="shared" ca="1" si="17"/>
        <v/>
      </c>
      <c r="E164" s="254"/>
      <c r="F164" s="254"/>
      <c r="G164" s="253"/>
      <c r="H164" s="255">
        <v>2.5</v>
      </c>
      <c r="I164" s="253" t="str">
        <f t="shared" si="18"/>
        <v/>
      </c>
      <c r="J164" s="253" t="str">
        <f t="shared" si="19"/>
        <v/>
      </c>
      <c r="K164" s="253" t="str">
        <f>IF(B164="","Pending",IF(M164="","⚠️ Enter Code",IF(IFERROR(VLOOKUP(L164,DB_Agents!$B:$I,8,0),"")=M164,"Pending","🔒 BLOCKED — Wrong Code")))</f>
        <v>Pending</v>
      </c>
      <c r="L164" s="253" t="s">
        <v>141</v>
      </c>
      <c r="M164" s="240"/>
      <c r="N164" s="254"/>
    </row>
    <row r="165" spans="1:14" ht="18" customHeight="1" x14ac:dyDescent="0.25">
      <c r="A165" s="256" t="str">
        <f t="shared" si="16"/>
        <v/>
      </c>
      <c r="B165" s="257"/>
      <c r="C165" s="257" t="str">
        <f>IF(B165="","",IFERROR(VLOOKUP(B165,DB_Customers!$A:$D,4,0),"❌ Account Not Found"))</f>
        <v/>
      </c>
      <c r="D165" s="256" t="str">
        <f t="shared" ca="1" si="17"/>
        <v/>
      </c>
      <c r="E165" s="257"/>
      <c r="F165" s="257"/>
      <c r="G165" s="256"/>
      <c r="H165" s="258">
        <v>2.5</v>
      </c>
      <c r="I165" s="256" t="str">
        <f t="shared" si="18"/>
        <v/>
      </c>
      <c r="J165" s="256" t="str">
        <f t="shared" si="19"/>
        <v/>
      </c>
      <c r="K165" s="256" t="str">
        <f>IF(B165="","Pending",IF(M165="","⚠️ Enter Code",IF(IFERROR(VLOOKUP(L165,DB_Agents!$B:$I,8,0),"")=M165,"Pending","🔒 BLOCKED — Wrong Code")))</f>
        <v>Pending</v>
      </c>
      <c r="L165" s="256" t="s">
        <v>141</v>
      </c>
      <c r="M165" s="252"/>
      <c r="N165" s="257"/>
    </row>
    <row r="166" spans="1:14" ht="18" customHeight="1" x14ac:dyDescent="0.25">
      <c r="A166" s="253" t="str">
        <f t="shared" si="16"/>
        <v/>
      </c>
      <c r="B166" s="254"/>
      <c r="C166" s="254" t="str">
        <f>IF(B166="","",IFERROR(VLOOKUP(B166,DB_Customers!$A:$D,4,0),"❌ Account Not Found"))</f>
        <v/>
      </c>
      <c r="D166" s="253" t="str">
        <f t="shared" ca="1" si="17"/>
        <v/>
      </c>
      <c r="E166" s="254"/>
      <c r="F166" s="254"/>
      <c r="G166" s="253"/>
      <c r="H166" s="255">
        <v>2.5</v>
      </c>
      <c r="I166" s="253" t="str">
        <f t="shared" si="18"/>
        <v/>
      </c>
      <c r="J166" s="253" t="str">
        <f t="shared" si="19"/>
        <v/>
      </c>
      <c r="K166" s="253" t="str">
        <f>IF(B166="","Pending",IF(M166="","⚠️ Enter Code",IF(IFERROR(VLOOKUP(L166,DB_Agents!$B:$I,8,0),"")=M166,"Pending","🔒 BLOCKED — Wrong Code")))</f>
        <v>Pending</v>
      </c>
      <c r="L166" s="253" t="s">
        <v>141</v>
      </c>
      <c r="M166" s="240"/>
      <c r="N166" s="254"/>
    </row>
    <row r="167" spans="1:14" ht="18" customHeight="1" x14ac:dyDescent="0.25">
      <c r="A167" s="256" t="str">
        <f t="shared" si="16"/>
        <v/>
      </c>
      <c r="B167" s="257"/>
      <c r="C167" s="257" t="str">
        <f>IF(B167="","",IFERROR(VLOOKUP(B167,DB_Customers!$A:$D,4,0),"❌ Account Not Found"))</f>
        <v/>
      </c>
      <c r="D167" s="256" t="str">
        <f t="shared" ca="1" si="17"/>
        <v/>
      </c>
      <c r="E167" s="257"/>
      <c r="F167" s="257"/>
      <c r="G167" s="256"/>
      <c r="H167" s="258">
        <v>2.5</v>
      </c>
      <c r="I167" s="256" t="str">
        <f t="shared" si="18"/>
        <v/>
      </c>
      <c r="J167" s="256" t="str">
        <f t="shared" si="19"/>
        <v/>
      </c>
      <c r="K167" s="256" t="str">
        <f>IF(B167="","Pending",IF(M167="","⚠️ Enter Code",IF(IFERROR(VLOOKUP(L167,DB_Agents!$B:$I,8,0),"")=M167,"Pending","🔒 BLOCKED — Wrong Code")))</f>
        <v>Pending</v>
      </c>
      <c r="L167" s="256" t="s">
        <v>141</v>
      </c>
      <c r="M167" s="252"/>
      <c r="N167" s="257"/>
    </row>
    <row r="168" spans="1:14" ht="18" customHeight="1" x14ac:dyDescent="0.25">
      <c r="A168" s="253" t="str">
        <f t="shared" si="16"/>
        <v/>
      </c>
      <c r="B168" s="254"/>
      <c r="C168" s="254" t="str">
        <f>IF(B168="","",IFERROR(VLOOKUP(B168,DB_Customers!$A:$D,4,0),"❌ Account Not Found"))</f>
        <v/>
      </c>
      <c r="D168" s="253" t="str">
        <f t="shared" ca="1" si="17"/>
        <v/>
      </c>
      <c r="E168" s="254"/>
      <c r="F168" s="254"/>
      <c r="G168" s="253"/>
      <c r="H168" s="255">
        <v>2.5</v>
      </c>
      <c r="I168" s="253" t="str">
        <f t="shared" si="18"/>
        <v/>
      </c>
      <c r="J168" s="253" t="str">
        <f t="shared" si="19"/>
        <v/>
      </c>
      <c r="K168" s="253" t="str">
        <f>IF(B168="","Pending",IF(M168="","⚠️ Enter Code",IF(IFERROR(VLOOKUP(L168,DB_Agents!$B:$I,8,0),"")=M168,"Pending","🔒 BLOCKED — Wrong Code")))</f>
        <v>Pending</v>
      </c>
      <c r="L168" s="253" t="s">
        <v>141</v>
      </c>
      <c r="M168" s="240"/>
      <c r="N168" s="254"/>
    </row>
    <row r="169" spans="1:14" ht="18" customHeight="1" x14ac:dyDescent="0.25">
      <c r="A169" s="256" t="str">
        <f t="shared" si="16"/>
        <v/>
      </c>
      <c r="B169" s="257"/>
      <c r="C169" s="257" t="str">
        <f>IF(B169="","",IFERROR(VLOOKUP(B169,DB_Customers!$A:$D,4,0),"❌ Account Not Found"))</f>
        <v/>
      </c>
      <c r="D169" s="256" t="str">
        <f t="shared" ca="1" si="17"/>
        <v/>
      </c>
      <c r="E169" s="257"/>
      <c r="F169" s="257"/>
      <c r="G169" s="256"/>
      <c r="H169" s="258">
        <v>2.5</v>
      </c>
      <c r="I169" s="256" t="str">
        <f t="shared" si="18"/>
        <v/>
      </c>
      <c r="J169" s="256" t="str">
        <f t="shared" si="19"/>
        <v/>
      </c>
      <c r="K169" s="256" t="str">
        <f>IF(B169="","Pending",IF(M169="","⚠️ Enter Code",IF(IFERROR(VLOOKUP(L169,DB_Agents!$B:$I,8,0),"")=M169,"Pending","🔒 BLOCKED — Wrong Code")))</f>
        <v>Pending</v>
      </c>
      <c r="L169" s="256" t="s">
        <v>141</v>
      </c>
      <c r="M169" s="252"/>
      <c r="N169" s="257"/>
    </row>
    <row r="170" spans="1:14" ht="18" customHeight="1" x14ac:dyDescent="0.25">
      <c r="A170" s="253" t="str">
        <f t="shared" si="16"/>
        <v/>
      </c>
      <c r="B170" s="254"/>
      <c r="C170" s="254" t="str">
        <f>IF(B170="","",IFERROR(VLOOKUP(B170,DB_Customers!$A:$D,4,0),"❌ Account Not Found"))</f>
        <v/>
      </c>
      <c r="D170" s="253" t="str">
        <f t="shared" ca="1" si="17"/>
        <v/>
      </c>
      <c r="E170" s="254"/>
      <c r="F170" s="254"/>
      <c r="G170" s="253"/>
      <c r="H170" s="255">
        <v>2.5</v>
      </c>
      <c r="I170" s="253" t="str">
        <f t="shared" si="18"/>
        <v/>
      </c>
      <c r="J170" s="253" t="str">
        <f t="shared" si="19"/>
        <v/>
      </c>
      <c r="K170" s="253" t="str">
        <f>IF(B170="","Pending",IF(M170="","⚠️ Enter Code",IF(IFERROR(VLOOKUP(L170,DB_Agents!$B:$I,8,0),"")=M170,"Pending","🔒 BLOCKED — Wrong Code")))</f>
        <v>Pending</v>
      </c>
      <c r="L170" s="253" t="s">
        <v>141</v>
      </c>
      <c r="M170" s="240"/>
      <c r="N170" s="254"/>
    </row>
    <row r="171" spans="1:14" ht="18" customHeight="1" x14ac:dyDescent="0.25">
      <c r="A171" s="256" t="str">
        <f t="shared" si="16"/>
        <v/>
      </c>
      <c r="B171" s="257"/>
      <c r="C171" s="257" t="str">
        <f>IF(B171="","",IFERROR(VLOOKUP(B171,DB_Customers!$A:$D,4,0),"❌ Account Not Found"))</f>
        <v/>
      </c>
      <c r="D171" s="256" t="str">
        <f t="shared" ca="1" si="17"/>
        <v/>
      </c>
      <c r="E171" s="257"/>
      <c r="F171" s="257"/>
      <c r="G171" s="256"/>
      <c r="H171" s="258">
        <v>2.5</v>
      </c>
      <c r="I171" s="256" t="str">
        <f t="shared" si="18"/>
        <v/>
      </c>
      <c r="J171" s="256" t="str">
        <f t="shared" si="19"/>
        <v/>
      </c>
      <c r="K171" s="256" t="str">
        <f>IF(B171="","Pending",IF(M171="","⚠️ Enter Code",IF(IFERROR(VLOOKUP(L171,DB_Agents!$B:$I,8,0),"")=M171,"Pending","🔒 BLOCKED — Wrong Code")))</f>
        <v>Pending</v>
      </c>
      <c r="L171" s="256" t="s">
        <v>141</v>
      </c>
      <c r="M171" s="252"/>
      <c r="N171" s="257"/>
    </row>
    <row r="172" spans="1:14" ht="18" customHeight="1" x14ac:dyDescent="0.25">
      <c r="A172" s="253" t="str">
        <f t="shared" si="16"/>
        <v/>
      </c>
      <c r="B172" s="254"/>
      <c r="C172" s="254" t="str">
        <f>IF(B172="","",IFERROR(VLOOKUP(B172,DB_Customers!$A:$D,4,0),"❌ Account Not Found"))</f>
        <v/>
      </c>
      <c r="D172" s="253" t="str">
        <f t="shared" ca="1" si="17"/>
        <v/>
      </c>
      <c r="E172" s="254"/>
      <c r="F172" s="254"/>
      <c r="G172" s="253"/>
      <c r="H172" s="255">
        <v>2.5</v>
      </c>
      <c r="I172" s="253" t="str">
        <f t="shared" si="18"/>
        <v/>
      </c>
      <c r="J172" s="253" t="str">
        <f t="shared" si="19"/>
        <v/>
      </c>
      <c r="K172" s="253" t="str">
        <f>IF(B172="","Pending",IF(M172="","⚠️ Enter Code",IF(IFERROR(VLOOKUP(L172,DB_Agents!$B:$I,8,0),"")=M172,"Pending","🔒 BLOCKED — Wrong Code")))</f>
        <v>Pending</v>
      </c>
      <c r="L172" s="253" t="s">
        <v>141</v>
      </c>
      <c r="M172" s="240"/>
      <c r="N172" s="254"/>
    </row>
    <row r="173" spans="1:14" ht="18" customHeight="1" x14ac:dyDescent="0.25">
      <c r="A173" s="256" t="str">
        <f t="shared" si="16"/>
        <v/>
      </c>
      <c r="B173" s="257"/>
      <c r="C173" s="257" t="str">
        <f>IF(B173="","",IFERROR(VLOOKUP(B173,DB_Customers!$A:$D,4,0),"❌ Account Not Found"))</f>
        <v/>
      </c>
      <c r="D173" s="256" t="str">
        <f t="shared" ca="1" si="17"/>
        <v/>
      </c>
      <c r="E173" s="257"/>
      <c r="F173" s="257"/>
      <c r="G173" s="256"/>
      <c r="H173" s="258">
        <v>2.5</v>
      </c>
      <c r="I173" s="256" t="str">
        <f t="shared" si="18"/>
        <v/>
      </c>
      <c r="J173" s="256" t="str">
        <f t="shared" si="19"/>
        <v/>
      </c>
      <c r="K173" s="256" t="str">
        <f>IF(B173="","Pending",IF(M173="","⚠️ Enter Code",IF(IFERROR(VLOOKUP(L173,DB_Agents!$B:$I,8,0),"")=M173,"Pending","🔒 BLOCKED — Wrong Code")))</f>
        <v>Pending</v>
      </c>
      <c r="L173" s="256" t="s">
        <v>141</v>
      </c>
      <c r="M173" s="252"/>
      <c r="N173" s="257"/>
    </row>
    <row r="174" spans="1:14" ht="18" customHeight="1" x14ac:dyDescent="0.25">
      <c r="A174" s="253" t="str">
        <f t="shared" ref="A174:A205" si="20">IF(B174="","",IF(C174="❌ Account Not Found","INVALID","LN"&amp;TEXT(D174,"YYYYMMDD")&amp;TEXT(ROW()-13,"0000")))</f>
        <v/>
      </c>
      <c r="B174" s="254"/>
      <c r="C174" s="254" t="str">
        <f>IF(B174="","",IFERROR(VLOOKUP(B174,DB_Customers!$A:$D,4,0),"❌ Account Not Found"))</f>
        <v/>
      </c>
      <c r="D174" s="253" t="str">
        <f t="shared" ref="D174:D205" ca="1" si="21">IF(B174="","",TODAY())</f>
        <v/>
      </c>
      <c r="E174" s="254"/>
      <c r="F174" s="254"/>
      <c r="G174" s="253"/>
      <c r="H174" s="255">
        <v>2.5</v>
      </c>
      <c r="I174" s="253" t="str">
        <f t="shared" ref="I174:I205" si="22">IF(E174="","",E174+(E174*H174/100*G174))</f>
        <v/>
      </c>
      <c r="J174" s="253" t="str">
        <f t="shared" ref="J174:J205" si="23">IFERROR(I174/G174,"")</f>
        <v/>
      </c>
      <c r="K174" s="253" t="str">
        <f>IF(B174="","Pending",IF(M174="","⚠️ Enter Code",IF(IFERROR(VLOOKUP(L174,DB_Agents!$B:$I,8,0),"")=M174,"Pending","🔒 BLOCKED — Wrong Code")))</f>
        <v>Pending</v>
      </c>
      <c r="L174" s="253" t="s">
        <v>141</v>
      </c>
      <c r="M174" s="240"/>
      <c r="N174" s="254"/>
    </row>
    <row r="175" spans="1:14" ht="18" customHeight="1" x14ac:dyDescent="0.25">
      <c r="A175" s="256" t="str">
        <f t="shared" si="20"/>
        <v/>
      </c>
      <c r="B175" s="257"/>
      <c r="C175" s="257" t="str">
        <f>IF(B175="","",IFERROR(VLOOKUP(B175,DB_Customers!$A:$D,4,0),"❌ Account Not Found"))</f>
        <v/>
      </c>
      <c r="D175" s="256" t="str">
        <f t="shared" ca="1" si="21"/>
        <v/>
      </c>
      <c r="E175" s="257"/>
      <c r="F175" s="257"/>
      <c r="G175" s="256"/>
      <c r="H175" s="258">
        <v>2.5</v>
      </c>
      <c r="I175" s="256" t="str">
        <f t="shared" si="22"/>
        <v/>
      </c>
      <c r="J175" s="256" t="str">
        <f t="shared" si="23"/>
        <v/>
      </c>
      <c r="K175" s="256" t="str">
        <f>IF(B175="","Pending",IF(M175="","⚠️ Enter Code",IF(IFERROR(VLOOKUP(L175,DB_Agents!$B:$I,8,0),"")=M175,"Pending","🔒 BLOCKED — Wrong Code")))</f>
        <v>Pending</v>
      </c>
      <c r="L175" s="256" t="s">
        <v>141</v>
      </c>
      <c r="M175" s="252"/>
      <c r="N175" s="257"/>
    </row>
    <row r="176" spans="1:14" ht="18" customHeight="1" x14ac:dyDescent="0.25">
      <c r="A176" s="253" t="str">
        <f t="shared" si="20"/>
        <v/>
      </c>
      <c r="B176" s="254"/>
      <c r="C176" s="254" t="str">
        <f>IF(B176="","",IFERROR(VLOOKUP(B176,DB_Customers!$A:$D,4,0),"❌ Account Not Found"))</f>
        <v/>
      </c>
      <c r="D176" s="253" t="str">
        <f t="shared" ca="1" si="21"/>
        <v/>
      </c>
      <c r="E176" s="254"/>
      <c r="F176" s="254"/>
      <c r="G176" s="253"/>
      <c r="H176" s="255">
        <v>2.5</v>
      </c>
      <c r="I176" s="253" t="str">
        <f t="shared" si="22"/>
        <v/>
      </c>
      <c r="J176" s="253" t="str">
        <f t="shared" si="23"/>
        <v/>
      </c>
      <c r="K176" s="253" t="str">
        <f>IF(B176="","Pending",IF(M176="","⚠️ Enter Code",IF(IFERROR(VLOOKUP(L176,DB_Agents!$B:$I,8,0),"")=M176,"Pending","🔒 BLOCKED — Wrong Code")))</f>
        <v>Pending</v>
      </c>
      <c r="L176" s="253" t="s">
        <v>141</v>
      </c>
      <c r="M176" s="240"/>
      <c r="N176" s="254"/>
    </row>
    <row r="177" spans="1:14" ht="18" customHeight="1" x14ac:dyDescent="0.25">
      <c r="A177" s="256" t="str">
        <f t="shared" si="20"/>
        <v/>
      </c>
      <c r="B177" s="257"/>
      <c r="C177" s="257" t="str">
        <f>IF(B177="","",IFERROR(VLOOKUP(B177,DB_Customers!$A:$D,4,0),"❌ Account Not Found"))</f>
        <v/>
      </c>
      <c r="D177" s="256" t="str">
        <f t="shared" ca="1" si="21"/>
        <v/>
      </c>
      <c r="E177" s="257"/>
      <c r="F177" s="257"/>
      <c r="G177" s="256"/>
      <c r="H177" s="258">
        <v>2.5</v>
      </c>
      <c r="I177" s="256" t="str">
        <f t="shared" si="22"/>
        <v/>
      </c>
      <c r="J177" s="256" t="str">
        <f t="shared" si="23"/>
        <v/>
      </c>
      <c r="K177" s="256" t="str">
        <f>IF(B177="","Pending",IF(M177="","⚠️ Enter Code",IF(IFERROR(VLOOKUP(L177,DB_Agents!$B:$I,8,0),"")=M177,"Pending","🔒 BLOCKED — Wrong Code")))</f>
        <v>Pending</v>
      </c>
      <c r="L177" s="256" t="s">
        <v>141</v>
      </c>
      <c r="M177" s="252"/>
      <c r="N177" s="257"/>
    </row>
    <row r="178" spans="1:14" ht="18" customHeight="1" x14ac:dyDescent="0.25">
      <c r="A178" s="253" t="str">
        <f t="shared" si="20"/>
        <v/>
      </c>
      <c r="B178" s="254"/>
      <c r="C178" s="254" t="str">
        <f>IF(B178="","",IFERROR(VLOOKUP(B178,DB_Customers!$A:$D,4,0),"❌ Account Not Found"))</f>
        <v/>
      </c>
      <c r="D178" s="253" t="str">
        <f t="shared" ca="1" si="21"/>
        <v/>
      </c>
      <c r="E178" s="254"/>
      <c r="F178" s="254"/>
      <c r="G178" s="253"/>
      <c r="H178" s="255">
        <v>2.5</v>
      </c>
      <c r="I178" s="253" t="str">
        <f t="shared" si="22"/>
        <v/>
      </c>
      <c r="J178" s="253" t="str">
        <f t="shared" si="23"/>
        <v/>
      </c>
      <c r="K178" s="253" t="str">
        <f>IF(B178="","Pending",IF(M178="","⚠️ Enter Code",IF(IFERROR(VLOOKUP(L178,DB_Agents!$B:$I,8,0),"")=M178,"Pending","🔒 BLOCKED — Wrong Code")))</f>
        <v>Pending</v>
      </c>
      <c r="L178" s="253" t="s">
        <v>141</v>
      </c>
      <c r="M178" s="240"/>
      <c r="N178" s="254"/>
    </row>
    <row r="179" spans="1:14" ht="18" customHeight="1" x14ac:dyDescent="0.25">
      <c r="A179" s="256" t="str">
        <f t="shared" si="20"/>
        <v/>
      </c>
      <c r="B179" s="257"/>
      <c r="C179" s="257" t="str">
        <f>IF(B179="","",IFERROR(VLOOKUP(B179,DB_Customers!$A:$D,4,0),"❌ Account Not Found"))</f>
        <v/>
      </c>
      <c r="D179" s="256" t="str">
        <f t="shared" ca="1" si="21"/>
        <v/>
      </c>
      <c r="E179" s="257"/>
      <c r="F179" s="257"/>
      <c r="G179" s="256"/>
      <c r="H179" s="258">
        <v>2.5</v>
      </c>
      <c r="I179" s="256" t="str">
        <f t="shared" si="22"/>
        <v/>
      </c>
      <c r="J179" s="256" t="str">
        <f t="shared" si="23"/>
        <v/>
      </c>
      <c r="K179" s="256" t="str">
        <f>IF(B179="","Pending",IF(M179="","⚠️ Enter Code",IF(IFERROR(VLOOKUP(L179,DB_Agents!$B:$I,8,0),"")=M179,"Pending","🔒 BLOCKED — Wrong Code")))</f>
        <v>Pending</v>
      </c>
      <c r="L179" s="256" t="s">
        <v>141</v>
      </c>
      <c r="M179" s="252"/>
      <c r="N179" s="257"/>
    </row>
    <row r="180" spans="1:14" ht="18" customHeight="1" x14ac:dyDescent="0.25">
      <c r="A180" s="253" t="str">
        <f t="shared" si="20"/>
        <v/>
      </c>
      <c r="B180" s="254"/>
      <c r="C180" s="254" t="str">
        <f>IF(B180="","",IFERROR(VLOOKUP(B180,DB_Customers!$A:$D,4,0),"❌ Account Not Found"))</f>
        <v/>
      </c>
      <c r="D180" s="253" t="str">
        <f t="shared" ca="1" si="21"/>
        <v/>
      </c>
      <c r="E180" s="254"/>
      <c r="F180" s="254"/>
      <c r="G180" s="253"/>
      <c r="H180" s="255">
        <v>2.5</v>
      </c>
      <c r="I180" s="253" t="str">
        <f t="shared" si="22"/>
        <v/>
      </c>
      <c r="J180" s="253" t="str">
        <f t="shared" si="23"/>
        <v/>
      </c>
      <c r="K180" s="253" t="str">
        <f>IF(B180="","Pending",IF(M180="","⚠️ Enter Code",IF(IFERROR(VLOOKUP(L180,DB_Agents!$B:$I,8,0),"")=M180,"Pending","🔒 BLOCKED — Wrong Code")))</f>
        <v>Pending</v>
      </c>
      <c r="L180" s="253" t="s">
        <v>141</v>
      </c>
      <c r="M180" s="240"/>
      <c r="N180" s="254"/>
    </row>
    <row r="181" spans="1:14" ht="18" customHeight="1" x14ac:dyDescent="0.25">
      <c r="A181" s="256" t="str">
        <f t="shared" si="20"/>
        <v/>
      </c>
      <c r="B181" s="257"/>
      <c r="C181" s="257" t="str">
        <f>IF(B181="","",IFERROR(VLOOKUP(B181,DB_Customers!$A:$D,4,0),"❌ Account Not Found"))</f>
        <v/>
      </c>
      <c r="D181" s="256" t="str">
        <f t="shared" ca="1" si="21"/>
        <v/>
      </c>
      <c r="E181" s="257"/>
      <c r="F181" s="257"/>
      <c r="G181" s="256"/>
      <c r="H181" s="258">
        <v>2.5</v>
      </c>
      <c r="I181" s="256" t="str">
        <f t="shared" si="22"/>
        <v/>
      </c>
      <c r="J181" s="256" t="str">
        <f t="shared" si="23"/>
        <v/>
      </c>
      <c r="K181" s="256" t="str">
        <f>IF(B181="","Pending",IF(M181="","⚠️ Enter Code",IF(IFERROR(VLOOKUP(L181,DB_Agents!$B:$I,8,0),"")=M181,"Pending","🔒 BLOCKED — Wrong Code")))</f>
        <v>Pending</v>
      </c>
      <c r="L181" s="256" t="s">
        <v>141</v>
      </c>
      <c r="M181" s="252"/>
      <c r="N181" s="257"/>
    </row>
    <row r="182" spans="1:14" ht="18" customHeight="1" x14ac:dyDescent="0.25">
      <c r="A182" s="253" t="str">
        <f t="shared" si="20"/>
        <v/>
      </c>
      <c r="B182" s="254"/>
      <c r="C182" s="254" t="str">
        <f>IF(B182="","",IFERROR(VLOOKUP(B182,DB_Customers!$A:$D,4,0),"❌ Account Not Found"))</f>
        <v/>
      </c>
      <c r="D182" s="253" t="str">
        <f t="shared" ca="1" si="21"/>
        <v/>
      </c>
      <c r="E182" s="254"/>
      <c r="F182" s="254"/>
      <c r="G182" s="253"/>
      <c r="H182" s="255">
        <v>2.5</v>
      </c>
      <c r="I182" s="253" t="str">
        <f t="shared" si="22"/>
        <v/>
      </c>
      <c r="J182" s="253" t="str">
        <f t="shared" si="23"/>
        <v/>
      </c>
      <c r="K182" s="253" t="str">
        <f>IF(B182="","Pending",IF(M182="","⚠️ Enter Code",IF(IFERROR(VLOOKUP(L182,DB_Agents!$B:$I,8,0),"")=M182,"Pending","🔒 BLOCKED — Wrong Code")))</f>
        <v>Pending</v>
      </c>
      <c r="L182" s="253" t="s">
        <v>141</v>
      </c>
      <c r="M182" s="240"/>
      <c r="N182" s="254"/>
    </row>
    <row r="183" spans="1:14" ht="18" customHeight="1" x14ac:dyDescent="0.25">
      <c r="A183" s="256" t="str">
        <f t="shared" si="20"/>
        <v/>
      </c>
      <c r="B183" s="257"/>
      <c r="C183" s="257" t="str">
        <f>IF(B183="","",IFERROR(VLOOKUP(B183,DB_Customers!$A:$D,4,0),"❌ Account Not Found"))</f>
        <v/>
      </c>
      <c r="D183" s="256" t="str">
        <f t="shared" ca="1" si="21"/>
        <v/>
      </c>
      <c r="E183" s="257"/>
      <c r="F183" s="257"/>
      <c r="G183" s="256"/>
      <c r="H183" s="258">
        <v>2.5</v>
      </c>
      <c r="I183" s="256" t="str">
        <f t="shared" si="22"/>
        <v/>
      </c>
      <c r="J183" s="256" t="str">
        <f t="shared" si="23"/>
        <v/>
      </c>
      <c r="K183" s="256" t="str">
        <f>IF(B183="","Pending",IF(M183="","⚠️ Enter Code",IF(IFERROR(VLOOKUP(L183,DB_Agents!$B:$I,8,0),"")=M183,"Pending","🔒 BLOCKED — Wrong Code")))</f>
        <v>Pending</v>
      </c>
      <c r="L183" s="256" t="s">
        <v>141</v>
      </c>
      <c r="M183" s="252"/>
      <c r="N183" s="257"/>
    </row>
    <row r="184" spans="1:14" ht="18" customHeight="1" x14ac:dyDescent="0.25">
      <c r="A184" s="253" t="str">
        <f t="shared" si="20"/>
        <v/>
      </c>
      <c r="B184" s="254"/>
      <c r="C184" s="254" t="str">
        <f>IF(B184="","",IFERROR(VLOOKUP(B184,DB_Customers!$A:$D,4,0),"❌ Account Not Found"))</f>
        <v/>
      </c>
      <c r="D184" s="253" t="str">
        <f t="shared" ca="1" si="21"/>
        <v/>
      </c>
      <c r="E184" s="254"/>
      <c r="F184" s="254"/>
      <c r="G184" s="253"/>
      <c r="H184" s="255">
        <v>2.5</v>
      </c>
      <c r="I184" s="253" t="str">
        <f t="shared" si="22"/>
        <v/>
      </c>
      <c r="J184" s="253" t="str">
        <f t="shared" si="23"/>
        <v/>
      </c>
      <c r="K184" s="253" t="str">
        <f>IF(B184="","Pending",IF(M184="","⚠️ Enter Code",IF(IFERROR(VLOOKUP(L184,DB_Agents!$B:$I,8,0),"")=M184,"Pending","🔒 BLOCKED — Wrong Code")))</f>
        <v>Pending</v>
      </c>
      <c r="L184" s="253" t="s">
        <v>141</v>
      </c>
      <c r="M184" s="240"/>
      <c r="N184" s="254"/>
    </row>
    <row r="185" spans="1:14" ht="18" customHeight="1" x14ac:dyDescent="0.25">
      <c r="A185" s="256" t="str">
        <f t="shared" si="20"/>
        <v/>
      </c>
      <c r="B185" s="257"/>
      <c r="C185" s="257" t="str">
        <f>IF(B185="","",IFERROR(VLOOKUP(B185,DB_Customers!$A:$D,4,0),"❌ Account Not Found"))</f>
        <v/>
      </c>
      <c r="D185" s="256" t="str">
        <f t="shared" ca="1" si="21"/>
        <v/>
      </c>
      <c r="E185" s="257"/>
      <c r="F185" s="257"/>
      <c r="G185" s="256"/>
      <c r="H185" s="258">
        <v>2.5</v>
      </c>
      <c r="I185" s="256" t="str">
        <f t="shared" si="22"/>
        <v/>
      </c>
      <c r="J185" s="256" t="str">
        <f t="shared" si="23"/>
        <v/>
      </c>
      <c r="K185" s="256" t="str">
        <f>IF(B185="","Pending",IF(M185="","⚠️ Enter Code",IF(IFERROR(VLOOKUP(L185,DB_Agents!$B:$I,8,0),"")=M185,"Pending","🔒 BLOCKED — Wrong Code")))</f>
        <v>Pending</v>
      </c>
      <c r="L185" s="256" t="s">
        <v>141</v>
      </c>
      <c r="M185" s="252"/>
      <c r="N185" s="257"/>
    </row>
    <row r="186" spans="1:14" ht="18" customHeight="1" x14ac:dyDescent="0.25">
      <c r="A186" s="253" t="str">
        <f t="shared" si="20"/>
        <v/>
      </c>
      <c r="B186" s="254"/>
      <c r="C186" s="254" t="str">
        <f>IF(B186="","",IFERROR(VLOOKUP(B186,DB_Customers!$A:$D,4,0),"❌ Account Not Found"))</f>
        <v/>
      </c>
      <c r="D186" s="253" t="str">
        <f t="shared" ca="1" si="21"/>
        <v/>
      </c>
      <c r="E186" s="254"/>
      <c r="F186" s="254"/>
      <c r="G186" s="253"/>
      <c r="H186" s="255">
        <v>2.5</v>
      </c>
      <c r="I186" s="253" t="str">
        <f t="shared" si="22"/>
        <v/>
      </c>
      <c r="J186" s="253" t="str">
        <f t="shared" si="23"/>
        <v/>
      </c>
      <c r="K186" s="253" t="str">
        <f>IF(B186="","Pending",IF(M186="","⚠️ Enter Code",IF(IFERROR(VLOOKUP(L186,DB_Agents!$B:$I,8,0),"")=M186,"Pending","🔒 BLOCKED — Wrong Code")))</f>
        <v>Pending</v>
      </c>
      <c r="L186" s="253" t="s">
        <v>141</v>
      </c>
      <c r="M186" s="240"/>
      <c r="N186" s="254"/>
    </row>
    <row r="187" spans="1:14" ht="18" customHeight="1" x14ac:dyDescent="0.25">
      <c r="A187" s="256" t="str">
        <f t="shared" si="20"/>
        <v/>
      </c>
      <c r="B187" s="257"/>
      <c r="C187" s="257" t="str">
        <f>IF(B187="","",IFERROR(VLOOKUP(B187,DB_Customers!$A:$D,4,0),"❌ Account Not Found"))</f>
        <v/>
      </c>
      <c r="D187" s="256" t="str">
        <f t="shared" ca="1" si="21"/>
        <v/>
      </c>
      <c r="E187" s="257"/>
      <c r="F187" s="257"/>
      <c r="G187" s="256"/>
      <c r="H187" s="258">
        <v>2.5</v>
      </c>
      <c r="I187" s="256" t="str">
        <f t="shared" si="22"/>
        <v/>
      </c>
      <c r="J187" s="256" t="str">
        <f t="shared" si="23"/>
        <v/>
      </c>
      <c r="K187" s="256" t="str">
        <f>IF(B187="","Pending",IF(M187="","⚠️ Enter Code",IF(IFERROR(VLOOKUP(L187,DB_Agents!$B:$I,8,0),"")=M187,"Pending","🔒 BLOCKED — Wrong Code")))</f>
        <v>Pending</v>
      </c>
      <c r="L187" s="256" t="s">
        <v>141</v>
      </c>
      <c r="M187" s="252"/>
      <c r="N187" s="257"/>
    </row>
    <row r="188" spans="1:14" ht="18" customHeight="1" x14ac:dyDescent="0.25">
      <c r="A188" s="253" t="str">
        <f t="shared" si="20"/>
        <v/>
      </c>
      <c r="B188" s="254"/>
      <c r="C188" s="254" t="str">
        <f>IF(B188="","",IFERROR(VLOOKUP(B188,DB_Customers!$A:$D,4,0),"❌ Account Not Found"))</f>
        <v/>
      </c>
      <c r="D188" s="253" t="str">
        <f t="shared" ca="1" si="21"/>
        <v/>
      </c>
      <c r="E188" s="254"/>
      <c r="F188" s="254"/>
      <c r="G188" s="253"/>
      <c r="H188" s="255">
        <v>2.5</v>
      </c>
      <c r="I188" s="253" t="str">
        <f t="shared" si="22"/>
        <v/>
      </c>
      <c r="J188" s="253" t="str">
        <f t="shared" si="23"/>
        <v/>
      </c>
      <c r="K188" s="253" t="str">
        <f>IF(B188="","Pending",IF(M188="","⚠️ Enter Code",IF(IFERROR(VLOOKUP(L188,DB_Agents!$B:$I,8,0),"")=M188,"Pending","🔒 BLOCKED — Wrong Code")))</f>
        <v>Pending</v>
      </c>
      <c r="L188" s="253" t="s">
        <v>141</v>
      </c>
      <c r="M188" s="240"/>
      <c r="N188" s="254"/>
    </row>
    <row r="189" spans="1:14" ht="18" customHeight="1" x14ac:dyDescent="0.25">
      <c r="A189" s="256" t="str">
        <f t="shared" si="20"/>
        <v/>
      </c>
      <c r="B189" s="257"/>
      <c r="C189" s="257" t="str">
        <f>IF(B189="","",IFERROR(VLOOKUP(B189,DB_Customers!$A:$D,4,0),"❌ Account Not Found"))</f>
        <v/>
      </c>
      <c r="D189" s="256" t="str">
        <f t="shared" ca="1" si="21"/>
        <v/>
      </c>
      <c r="E189" s="257"/>
      <c r="F189" s="257"/>
      <c r="G189" s="256"/>
      <c r="H189" s="258">
        <v>2.5</v>
      </c>
      <c r="I189" s="256" t="str">
        <f t="shared" si="22"/>
        <v/>
      </c>
      <c r="J189" s="256" t="str">
        <f t="shared" si="23"/>
        <v/>
      </c>
      <c r="K189" s="256" t="str">
        <f>IF(B189="","Pending",IF(M189="","⚠️ Enter Code",IF(IFERROR(VLOOKUP(L189,DB_Agents!$B:$I,8,0),"")=M189,"Pending","🔒 BLOCKED — Wrong Code")))</f>
        <v>Pending</v>
      </c>
      <c r="L189" s="256" t="s">
        <v>141</v>
      </c>
      <c r="M189" s="252"/>
      <c r="N189" s="257"/>
    </row>
    <row r="190" spans="1:14" ht="18" customHeight="1" x14ac:dyDescent="0.25">
      <c r="A190" s="253" t="str">
        <f t="shared" si="20"/>
        <v/>
      </c>
      <c r="B190" s="254"/>
      <c r="C190" s="254" t="str">
        <f>IF(B190="","",IFERROR(VLOOKUP(B190,DB_Customers!$A:$D,4,0),"❌ Account Not Found"))</f>
        <v/>
      </c>
      <c r="D190" s="253" t="str">
        <f t="shared" ca="1" si="21"/>
        <v/>
      </c>
      <c r="E190" s="254"/>
      <c r="F190" s="254"/>
      <c r="G190" s="253"/>
      <c r="H190" s="255">
        <v>2.5</v>
      </c>
      <c r="I190" s="253" t="str">
        <f t="shared" si="22"/>
        <v/>
      </c>
      <c r="J190" s="253" t="str">
        <f t="shared" si="23"/>
        <v/>
      </c>
      <c r="K190" s="253" t="str">
        <f>IF(B190="","Pending",IF(M190="","⚠️ Enter Code",IF(IFERROR(VLOOKUP(L190,DB_Agents!$B:$I,8,0),"")=M190,"Pending","🔒 BLOCKED — Wrong Code")))</f>
        <v>Pending</v>
      </c>
      <c r="L190" s="253" t="s">
        <v>141</v>
      </c>
      <c r="M190" s="240"/>
      <c r="N190" s="254"/>
    </row>
    <row r="191" spans="1:14" ht="18" customHeight="1" x14ac:dyDescent="0.25">
      <c r="A191" s="256" t="str">
        <f t="shared" si="20"/>
        <v/>
      </c>
      <c r="B191" s="257"/>
      <c r="C191" s="257" t="str">
        <f>IF(B191="","",IFERROR(VLOOKUP(B191,DB_Customers!$A:$D,4,0),"❌ Account Not Found"))</f>
        <v/>
      </c>
      <c r="D191" s="256" t="str">
        <f t="shared" ca="1" si="21"/>
        <v/>
      </c>
      <c r="E191" s="257"/>
      <c r="F191" s="257"/>
      <c r="G191" s="256"/>
      <c r="H191" s="258">
        <v>2.5</v>
      </c>
      <c r="I191" s="256" t="str">
        <f t="shared" si="22"/>
        <v/>
      </c>
      <c r="J191" s="256" t="str">
        <f t="shared" si="23"/>
        <v/>
      </c>
      <c r="K191" s="256" t="str">
        <f>IF(B191="","Pending",IF(M191="","⚠️ Enter Code",IF(IFERROR(VLOOKUP(L191,DB_Agents!$B:$I,8,0),"")=M191,"Pending","🔒 BLOCKED — Wrong Code")))</f>
        <v>Pending</v>
      </c>
      <c r="L191" s="256" t="s">
        <v>141</v>
      </c>
      <c r="M191" s="252"/>
      <c r="N191" s="257"/>
    </row>
    <row r="192" spans="1:14" ht="18" customHeight="1" x14ac:dyDescent="0.25">
      <c r="A192" s="253" t="str">
        <f t="shared" si="20"/>
        <v/>
      </c>
      <c r="B192" s="254"/>
      <c r="C192" s="254" t="str">
        <f>IF(B192="","",IFERROR(VLOOKUP(B192,DB_Customers!$A:$D,4,0),"❌ Account Not Found"))</f>
        <v/>
      </c>
      <c r="D192" s="253" t="str">
        <f t="shared" ca="1" si="21"/>
        <v/>
      </c>
      <c r="E192" s="254"/>
      <c r="F192" s="254"/>
      <c r="G192" s="253"/>
      <c r="H192" s="255">
        <v>2.5</v>
      </c>
      <c r="I192" s="253" t="str">
        <f t="shared" si="22"/>
        <v/>
      </c>
      <c r="J192" s="253" t="str">
        <f t="shared" si="23"/>
        <v/>
      </c>
      <c r="K192" s="253" t="str">
        <f>IF(B192="","Pending",IF(M192="","⚠️ Enter Code",IF(IFERROR(VLOOKUP(L192,DB_Agents!$B:$I,8,0),"")=M192,"Pending","🔒 BLOCKED — Wrong Code")))</f>
        <v>Pending</v>
      </c>
      <c r="L192" s="253" t="s">
        <v>141</v>
      </c>
      <c r="M192" s="240"/>
      <c r="N192" s="254"/>
    </row>
    <row r="193" spans="1:14" ht="18" customHeight="1" x14ac:dyDescent="0.25">
      <c r="A193" s="256" t="str">
        <f t="shared" si="20"/>
        <v/>
      </c>
      <c r="B193" s="257"/>
      <c r="C193" s="257" t="str">
        <f>IF(B193="","",IFERROR(VLOOKUP(B193,DB_Customers!$A:$D,4,0),"❌ Account Not Found"))</f>
        <v/>
      </c>
      <c r="D193" s="256" t="str">
        <f t="shared" ca="1" si="21"/>
        <v/>
      </c>
      <c r="E193" s="257"/>
      <c r="F193" s="257"/>
      <c r="G193" s="256"/>
      <c r="H193" s="258">
        <v>2.5</v>
      </c>
      <c r="I193" s="256" t="str">
        <f t="shared" si="22"/>
        <v/>
      </c>
      <c r="J193" s="256" t="str">
        <f t="shared" si="23"/>
        <v/>
      </c>
      <c r="K193" s="256" t="str">
        <f>IF(B193="","Pending",IF(M193="","⚠️ Enter Code",IF(IFERROR(VLOOKUP(L193,DB_Agents!$B:$I,8,0),"")=M193,"Pending","🔒 BLOCKED — Wrong Code")))</f>
        <v>Pending</v>
      </c>
      <c r="L193" s="256" t="s">
        <v>141</v>
      </c>
      <c r="M193" s="252"/>
      <c r="N193" s="257"/>
    </row>
    <row r="194" spans="1:14" ht="18" customHeight="1" x14ac:dyDescent="0.25">
      <c r="A194" s="253" t="str">
        <f t="shared" si="20"/>
        <v/>
      </c>
      <c r="B194" s="254"/>
      <c r="C194" s="254" t="str">
        <f>IF(B194="","",IFERROR(VLOOKUP(B194,DB_Customers!$A:$D,4,0),"❌ Account Not Found"))</f>
        <v/>
      </c>
      <c r="D194" s="253" t="str">
        <f t="shared" ca="1" si="21"/>
        <v/>
      </c>
      <c r="E194" s="254"/>
      <c r="F194" s="254"/>
      <c r="G194" s="253"/>
      <c r="H194" s="255">
        <v>2.5</v>
      </c>
      <c r="I194" s="253" t="str">
        <f t="shared" si="22"/>
        <v/>
      </c>
      <c r="J194" s="253" t="str">
        <f t="shared" si="23"/>
        <v/>
      </c>
      <c r="K194" s="253" t="str">
        <f>IF(B194="","Pending",IF(M194="","⚠️ Enter Code",IF(IFERROR(VLOOKUP(L194,DB_Agents!$B:$I,8,0),"")=M194,"Pending","🔒 BLOCKED — Wrong Code")))</f>
        <v>Pending</v>
      </c>
      <c r="L194" s="253" t="s">
        <v>141</v>
      </c>
      <c r="M194" s="240"/>
      <c r="N194" s="254"/>
    </row>
    <row r="195" spans="1:14" ht="18" customHeight="1" x14ac:dyDescent="0.25">
      <c r="A195" s="256" t="str">
        <f t="shared" si="20"/>
        <v/>
      </c>
      <c r="B195" s="257"/>
      <c r="C195" s="257" t="str">
        <f>IF(B195="","",IFERROR(VLOOKUP(B195,DB_Customers!$A:$D,4,0),"❌ Account Not Found"))</f>
        <v/>
      </c>
      <c r="D195" s="256" t="str">
        <f t="shared" ca="1" si="21"/>
        <v/>
      </c>
      <c r="E195" s="257"/>
      <c r="F195" s="257"/>
      <c r="G195" s="256"/>
      <c r="H195" s="258">
        <v>2.5</v>
      </c>
      <c r="I195" s="256" t="str">
        <f t="shared" si="22"/>
        <v/>
      </c>
      <c r="J195" s="256" t="str">
        <f t="shared" si="23"/>
        <v/>
      </c>
      <c r="K195" s="256" t="str">
        <f>IF(B195="","Pending",IF(M195="","⚠️ Enter Code",IF(IFERROR(VLOOKUP(L195,DB_Agents!$B:$I,8,0),"")=M195,"Pending","🔒 BLOCKED — Wrong Code")))</f>
        <v>Pending</v>
      </c>
      <c r="L195" s="256" t="s">
        <v>141</v>
      </c>
      <c r="M195" s="252"/>
      <c r="N195" s="257"/>
    </row>
    <row r="196" spans="1:14" ht="18" customHeight="1" x14ac:dyDescent="0.25">
      <c r="A196" s="253" t="str">
        <f t="shared" si="20"/>
        <v/>
      </c>
      <c r="B196" s="254"/>
      <c r="C196" s="254" t="str">
        <f>IF(B196="","",IFERROR(VLOOKUP(B196,DB_Customers!$A:$D,4,0),"❌ Account Not Found"))</f>
        <v/>
      </c>
      <c r="D196" s="253" t="str">
        <f t="shared" ca="1" si="21"/>
        <v/>
      </c>
      <c r="E196" s="254"/>
      <c r="F196" s="254"/>
      <c r="G196" s="253"/>
      <c r="H196" s="255">
        <v>2.5</v>
      </c>
      <c r="I196" s="253" t="str">
        <f t="shared" si="22"/>
        <v/>
      </c>
      <c r="J196" s="253" t="str">
        <f t="shared" si="23"/>
        <v/>
      </c>
      <c r="K196" s="253" t="str">
        <f>IF(B196="","Pending",IF(M196="","⚠️ Enter Code",IF(IFERROR(VLOOKUP(L196,DB_Agents!$B:$I,8,0),"")=M196,"Pending","🔒 BLOCKED — Wrong Code")))</f>
        <v>Pending</v>
      </c>
      <c r="L196" s="253" t="s">
        <v>141</v>
      </c>
      <c r="M196" s="240"/>
      <c r="N196" s="254"/>
    </row>
    <row r="197" spans="1:14" ht="18" customHeight="1" x14ac:dyDescent="0.25">
      <c r="A197" s="256" t="str">
        <f t="shared" si="20"/>
        <v/>
      </c>
      <c r="B197" s="257"/>
      <c r="C197" s="257" t="str">
        <f>IF(B197="","",IFERROR(VLOOKUP(B197,DB_Customers!$A:$D,4,0),"❌ Account Not Found"))</f>
        <v/>
      </c>
      <c r="D197" s="256" t="str">
        <f t="shared" ca="1" si="21"/>
        <v/>
      </c>
      <c r="E197" s="257"/>
      <c r="F197" s="257"/>
      <c r="G197" s="256"/>
      <c r="H197" s="258">
        <v>2.5</v>
      </c>
      <c r="I197" s="256" t="str">
        <f t="shared" si="22"/>
        <v/>
      </c>
      <c r="J197" s="256" t="str">
        <f t="shared" si="23"/>
        <v/>
      </c>
      <c r="K197" s="256" t="str">
        <f>IF(B197="","Pending",IF(M197="","⚠️ Enter Code",IF(IFERROR(VLOOKUP(L197,DB_Agents!$B:$I,8,0),"")=M197,"Pending","🔒 BLOCKED — Wrong Code")))</f>
        <v>Pending</v>
      </c>
      <c r="L197" s="256" t="s">
        <v>141</v>
      </c>
      <c r="M197" s="252"/>
      <c r="N197" s="257"/>
    </row>
    <row r="198" spans="1:14" ht="18" customHeight="1" x14ac:dyDescent="0.25">
      <c r="A198" s="253" t="str">
        <f t="shared" si="20"/>
        <v/>
      </c>
      <c r="B198" s="254"/>
      <c r="C198" s="254" t="str">
        <f>IF(B198="","",IFERROR(VLOOKUP(B198,DB_Customers!$A:$D,4,0),"❌ Account Not Found"))</f>
        <v/>
      </c>
      <c r="D198" s="253" t="str">
        <f t="shared" ca="1" si="21"/>
        <v/>
      </c>
      <c r="E198" s="254"/>
      <c r="F198" s="254"/>
      <c r="G198" s="253"/>
      <c r="H198" s="255">
        <v>2.5</v>
      </c>
      <c r="I198" s="253" t="str">
        <f t="shared" si="22"/>
        <v/>
      </c>
      <c r="J198" s="253" t="str">
        <f t="shared" si="23"/>
        <v/>
      </c>
      <c r="K198" s="253" t="str">
        <f>IF(B198="","Pending",IF(M198="","⚠️ Enter Code",IF(IFERROR(VLOOKUP(L198,DB_Agents!$B:$I,8,0),"")=M198,"Pending","🔒 BLOCKED — Wrong Code")))</f>
        <v>Pending</v>
      </c>
      <c r="L198" s="253" t="s">
        <v>141</v>
      </c>
      <c r="M198" s="240"/>
      <c r="N198" s="254"/>
    </row>
    <row r="199" spans="1:14" ht="18" customHeight="1" x14ac:dyDescent="0.25">
      <c r="A199" s="256" t="str">
        <f t="shared" si="20"/>
        <v/>
      </c>
      <c r="B199" s="257"/>
      <c r="C199" s="257" t="str">
        <f>IF(B199="","",IFERROR(VLOOKUP(B199,DB_Customers!$A:$D,4,0),"❌ Account Not Found"))</f>
        <v/>
      </c>
      <c r="D199" s="256" t="str">
        <f t="shared" ca="1" si="21"/>
        <v/>
      </c>
      <c r="E199" s="257"/>
      <c r="F199" s="257"/>
      <c r="G199" s="256"/>
      <c r="H199" s="258">
        <v>2.5</v>
      </c>
      <c r="I199" s="256" t="str">
        <f t="shared" si="22"/>
        <v/>
      </c>
      <c r="J199" s="256" t="str">
        <f t="shared" si="23"/>
        <v/>
      </c>
      <c r="K199" s="256" t="str">
        <f>IF(B199="","Pending",IF(M199="","⚠️ Enter Code",IF(IFERROR(VLOOKUP(L199,DB_Agents!$B:$I,8,0),"")=M199,"Pending","🔒 BLOCKED — Wrong Code")))</f>
        <v>Pending</v>
      </c>
      <c r="L199" s="256" t="s">
        <v>141</v>
      </c>
      <c r="M199" s="252"/>
      <c r="N199" s="257"/>
    </row>
    <row r="200" spans="1:14" ht="18" customHeight="1" x14ac:dyDescent="0.25">
      <c r="A200" s="253" t="str">
        <f t="shared" si="20"/>
        <v/>
      </c>
      <c r="B200" s="254"/>
      <c r="C200" s="254" t="str">
        <f>IF(B200="","",IFERROR(VLOOKUP(B200,DB_Customers!$A:$D,4,0),"❌ Account Not Found"))</f>
        <v/>
      </c>
      <c r="D200" s="253" t="str">
        <f t="shared" ca="1" si="21"/>
        <v/>
      </c>
      <c r="E200" s="254"/>
      <c r="F200" s="254"/>
      <c r="G200" s="253"/>
      <c r="H200" s="255">
        <v>2.5</v>
      </c>
      <c r="I200" s="253" t="str">
        <f t="shared" si="22"/>
        <v/>
      </c>
      <c r="J200" s="253" t="str">
        <f t="shared" si="23"/>
        <v/>
      </c>
      <c r="K200" s="253" t="str">
        <f>IF(B200="","Pending",IF(M200="","⚠️ Enter Code",IF(IFERROR(VLOOKUP(L200,DB_Agents!$B:$I,8,0),"")=M200,"Pending","🔒 BLOCKED — Wrong Code")))</f>
        <v>Pending</v>
      </c>
      <c r="L200" s="253" t="s">
        <v>141</v>
      </c>
      <c r="M200" s="240"/>
      <c r="N200" s="254"/>
    </row>
    <row r="201" spans="1:14" ht="18" customHeight="1" x14ac:dyDescent="0.25">
      <c r="A201" s="256" t="str">
        <f t="shared" si="20"/>
        <v/>
      </c>
      <c r="B201" s="257"/>
      <c r="C201" s="257" t="str">
        <f>IF(B201="","",IFERROR(VLOOKUP(B201,DB_Customers!$A:$D,4,0),"❌ Account Not Found"))</f>
        <v/>
      </c>
      <c r="D201" s="256" t="str">
        <f t="shared" ca="1" si="21"/>
        <v/>
      </c>
      <c r="E201" s="257"/>
      <c r="F201" s="257"/>
      <c r="G201" s="256"/>
      <c r="H201" s="256">
        <v>2.5</v>
      </c>
      <c r="I201" s="256" t="str">
        <f t="shared" si="22"/>
        <v/>
      </c>
      <c r="J201" s="256" t="str">
        <f t="shared" si="23"/>
        <v/>
      </c>
      <c r="K201" s="256" t="str">
        <f>IF(B201="","Pending",IF(M201="","⚠️ Enter Code",IF(IFERROR(VLOOKUP(L201,DB_Agents!$B:$I,8,0),"")=M201,"Pending","🔒 BLOCKED — Wrong Code")))</f>
        <v>Pending</v>
      </c>
      <c r="L201" s="256" t="s">
        <v>141</v>
      </c>
      <c r="M201" s="252"/>
      <c r="N201" s="257"/>
    </row>
    <row r="202" spans="1:14" ht="18" customHeight="1" x14ac:dyDescent="0.25">
      <c r="A202" s="253" t="str">
        <f t="shared" si="20"/>
        <v/>
      </c>
      <c r="B202" s="254"/>
      <c r="C202" s="254" t="str">
        <f>IF(B202="","",IFERROR(VLOOKUP(B202,DB_Customers!$A:$D,4,0),"❌ Account Not Found"))</f>
        <v/>
      </c>
      <c r="D202" s="253" t="str">
        <f t="shared" ca="1" si="21"/>
        <v/>
      </c>
      <c r="E202" s="254"/>
      <c r="F202" s="254"/>
      <c r="G202" s="253"/>
      <c r="H202" s="253">
        <v>2.5</v>
      </c>
      <c r="I202" s="253" t="str">
        <f t="shared" si="22"/>
        <v/>
      </c>
      <c r="J202" s="253" t="str">
        <f t="shared" si="23"/>
        <v/>
      </c>
      <c r="K202" s="253" t="str">
        <f>IF(B202="","Pending",IF(M202="","⚠️ Enter Code",IF(IFERROR(VLOOKUP(L202,DB_Agents!$B:$I,8,0),"")=M202,"Pending","🔒 BLOCKED — Wrong Code")))</f>
        <v>Pending</v>
      </c>
      <c r="L202" s="253" t="s">
        <v>141</v>
      </c>
      <c r="M202" s="240"/>
      <c r="N202" s="254"/>
    </row>
    <row r="203" spans="1:14" ht="18" customHeight="1" x14ac:dyDescent="0.25">
      <c r="A203" s="256" t="str">
        <f t="shared" si="20"/>
        <v/>
      </c>
      <c r="B203" s="257"/>
      <c r="C203" s="257" t="str">
        <f>IF(B203="","",IFERROR(VLOOKUP(B203,DB_Customers!$A:$D,4,0),"❌ Account Not Found"))</f>
        <v/>
      </c>
      <c r="D203" s="256" t="str">
        <f t="shared" ca="1" si="21"/>
        <v/>
      </c>
      <c r="E203" s="257"/>
      <c r="F203" s="257"/>
      <c r="G203" s="256"/>
      <c r="H203" s="256">
        <v>2.5</v>
      </c>
      <c r="I203" s="256" t="str">
        <f t="shared" si="22"/>
        <v/>
      </c>
      <c r="J203" s="256" t="str">
        <f t="shared" si="23"/>
        <v/>
      </c>
      <c r="K203" s="256" t="str">
        <f>IF(B203="","Pending",IF(M203="","⚠️ Enter Code",IF(IFERROR(VLOOKUP(L203,DB_Agents!$B:$I,8,0),"")=M203,"Pending","🔒 BLOCKED — Wrong Code")))</f>
        <v>Pending</v>
      </c>
      <c r="L203" s="256" t="s">
        <v>141</v>
      </c>
      <c r="M203" s="252"/>
      <c r="N203" s="257"/>
    </row>
    <row r="204" spans="1:14" ht="18" customHeight="1" x14ac:dyDescent="0.25">
      <c r="A204" s="253" t="str">
        <f t="shared" si="20"/>
        <v/>
      </c>
      <c r="B204" s="254"/>
      <c r="C204" s="254" t="str">
        <f>IF(B204="","",IFERROR(VLOOKUP(B204,DB_Customers!$A:$D,4,0),"❌ Account Not Found"))</f>
        <v/>
      </c>
      <c r="D204" s="253" t="str">
        <f t="shared" ca="1" si="21"/>
        <v/>
      </c>
      <c r="E204" s="254"/>
      <c r="F204" s="254"/>
      <c r="G204" s="253"/>
      <c r="H204" s="253">
        <v>2.5</v>
      </c>
      <c r="I204" s="253" t="str">
        <f t="shared" si="22"/>
        <v/>
      </c>
      <c r="J204" s="253" t="str">
        <f t="shared" si="23"/>
        <v/>
      </c>
      <c r="K204" s="253" t="str">
        <f>IF(B204="","Pending",IF(M204="","⚠️ Enter Code",IF(IFERROR(VLOOKUP(L204,DB_Agents!$B:$I,8,0),"")=M204,"Pending","🔒 BLOCKED — Wrong Code")))</f>
        <v>Pending</v>
      </c>
      <c r="L204" s="253" t="s">
        <v>141</v>
      </c>
      <c r="M204" s="240"/>
      <c r="N204" s="254"/>
    </row>
    <row r="205" spans="1:14" ht="18" customHeight="1" x14ac:dyDescent="0.25">
      <c r="A205" s="256" t="str">
        <f t="shared" si="20"/>
        <v/>
      </c>
      <c r="B205" s="257"/>
      <c r="C205" s="257" t="str">
        <f>IF(B205="","",IFERROR(VLOOKUP(B205,DB_Customers!$A:$D,4,0),"❌ Account Not Found"))</f>
        <v/>
      </c>
      <c r="D205" s="256" t="str">
        <f t="shared" ca="1" si="21"/>
        <v/>
      </c>
      <c r="E205" s="257"/>
      <c r="F205" s="257"/>
      <c r="G205" s="256"/>
      <c r="H205" s="256">
        <v>2.5</v>
      </c>
      <c r="I205" s="256" t="str">
        <f t="shared" si="22"/>
        <v/>
      </c>
      <c r="J205" s="256" t="str">
        <f t="shared" si="23"/>
        <v/>
      </c>
      <c r="K205" s="256" t="str">
        <f>IF(B205="","Pending",IF(M205="","⚠️ Enter Code",IF(IFERROR(VLOOKUP(L205,DB_Agents!$B:$I,8,0),"")=M205,"Pending","🔒 BLOCKED — Wrong Code")))</f>
        <v>Pending</v>
      </c>
      <c r="L205" s="256" t="s">
        <v>141</v>
      </c>
      <c r="M205" s="252"/>
      <c r="N205" s="257"/>
    </row>
    <row r="206" spans="1:14" ht="18" customHeight="1" x14ac:dyDescent="0.25">
      <c r="A206" s="253" t="str">
        <f t="shared" ref="A206:A213" si="24">IF(B206="","",IF(C206="❌ Account Not Found","INVALID","LN"&amp;TEXT(D206,"YYYYMMDD")&amp;TEXT(ROW()-13,"0000")))</f>
        <v/>
      </c>
      <c r="B206" s="254"/>
      <c r="C206" s="254" t="str">
        <f>IF(B206="","",IFERROR(VLOOKUP(B206,DB_Customers!$A:$D,4,0),"❌ Account Not Found"))</f>
        <v/>
      </c>
      <c r="D206" s="253" t="str">
        <f t="shared" ref="D206:D213" ca="1" si="25">IF(B206="","",TODAY())</f>
        <v/>
      </c>
      <c r="E206" s="254"/>
      <c r="F206" s="254"/>
      <c r="G206" s="253"/>
      <c r="H206" s="253">
        <v>2.5</v>
      </c>
      <c r="I206" s="253" t="str">
        <f t="shared" ref="I206:I213" si="26">IF(E206="","",E206+(E206*H206/100*G206))</f>
        <v/>
      </c>
      <c r="J206" s="253" t="str">
        <f t="shared" ref="J206:J213" si="27">IFERROR(I206/G206,"")</f>
        <v/>
      </c>
      <c r="K206" s="253" t="str">
        <f>IF(B206="","Pending",IF(M206="","⚠️ Enter Code",IF(IFERROR(VLOOKUP(L206,DB_Agents!$B:$I,8,0),"")=M206,"Pending","🔒 BLOCKED — Wrong Code")))</f>
        <v>Pending</v>
      </c>
      <c r="L206" s="253" t="s">
        <v>141</v>
      </c>
      <c r="M206" s="240"/>
      <c r="N206" s="254"/>
    </row>
    <row r="207" spans="1:14" ht="18" customHeight="1" x14ac:dyDescent="0.25">
      <c r="A207" s="256" t="str">
        <f t="shared" si="24"/>
        <v/>
      </c>
      <c r="B207" s="257"/>
      <c r="C207" s="257" t="str">
        <f>IF(B207="","",IFERROR(VLOOKUP(B207,DB_Customers!$A:$D,4,0),"❌ Account Not Found"))</f>
        <v/>
      </c>
      <c r="D207" s="256" t="str">
        <f t="shared" ca="1" si="25"/>
        <v/>
      </c>
      <c r="E207" s="257"/>
      <c r="F207" s="257"/>
      <c r="G207" s="256"/>
      <c r="H207" s="256">
        <v>2.5</v>
      </c>
      <c r="I207" s="256" t="str">
        <f t="shared" si="26"/>
        <v/>
      </c>
      <c r="J207" s="256" t="str">
        <f t="shared" si="27"/>
        <v/>
      </c>
      <c r="K207" s="256" t="str">
        <f>IF(B207="","Pending",IF(M207="","⚠️ Enter Code",IF(IFERROR(VLOOKUP(L207,DB_Agents!$B:$I,8,0),"")=M207,"Pending","🔒 BLOCKED — Wrong Code")))</f>
        <v>Pending</v>
      </c>
      <c r="L207" s="256" t="s">
        <v>141</v>
      </c>
      <c r="M207" s="252"/>
      <c r="N207" s="257"/>
    </row>
    <row r="208" spans="1:14" ht="18" customHeight="1" x14ac:dyDescent="0.25">
      <c r="A208" s="253" t="str">
        <f t="shared" si="24"/>
        <v/>
      </c>
      <c r="B208" s="254"/>
      <c r="C208" s="254" t="str">
        <f>IF(B208="","",IFERROR(VLOOKUP(B208,DB_Customers!$A:$D,4,0),"❌ Account Not Found"))</f>
        <v/>
      </c>
      <c r="D208" s="253" t="str">
        <f t="shared" ca="1" si="25"/>
        <v/>
      </c>
      <c r="E208" s="254"/>
      <c r="F208" s="254"/>
      <c r="G208" s="253"/>
      <c r="H208" s="253">
        <v>2.5</v>
      </c>
      <c r="I208" s="253" t="str">
        <f t="shared" si="26"/>
        <v/>
      </c>
      <c r="J208" s="253" t="str">
        <f t="shared" si="27"/>
        <v/>
      </c>
      <c r="K208" s="253" t="str">
        <f>IF(B208="","Pending",IF(M208="","⚠️ Enter Code",IF(IFERROR(VLOOKUP(L208,DB_Agents!$B:$I,8,0),"")=M208,"Pending","🔒 BLOCKED — Wrong Code")))</f>
        <v>Pending</v>
      </c>
      <c r="L208" s="253" t="s">
        <v>141</v>
      </c>
      <c r="M208" s="240"/>
      <c r="N208" s="254"/>
    </row>
    <row r="209" spans="1:14" ht="18" customHeight="1" x14ac:dyDescent="0.25">
      <c r="A209" s="256" t="str">
        <f t="shared" si="24"/>
        <v/>
      </c>
      <c r="B209" s="257"/>
      <c r="C209" s="257" t="str">
        <f>IF(B209="","",IFERROR(VLOOKUP(B209,DB_Customers!$A:$D,4,0),"❌ Account Not Found"))</f>
        <v/>
      </c>
      <c r="D209" s="256" t="str">
        <f t="shared" ca="1" si="25"/>
        <v/>
      </c>
      <c r="E209" s="257"/>
      <c r="F209" s="257"/>
      <c r="G209" s="256"/>
      <c r="H209" s="256">
        <v>2.5</v>
      </c>
      <c r="I209" s="256" t="str">
        <f t="shared" si="26"/>
        <v/>
      </c>
      <c r="J209" s="256" t="str">
        <f t="shared" si="27"/>
        <v/>
      </c>
      <c r="K209" s="256" t="str">
        <f>IF(B209="","Pending",IF(M209="","⚠️ Enter Code",IF(IFERROR(VLOOKUP(L209,DB_Agents!$B:$I,8,0),"")=M209,"Pending","🔒 BLOCKED — Wrong Code")))</f>
        <v>Pending</v>
      </c>
      <c r="L209" s="256" t="s">
        <v>141</v>
      </c>
      <c r="M209" s="252"/>
      <c r="N209" s="257"/>
    </row>
    <row r="210" spans="1:14" ht="18" customHeight="1" x14ac:dyDescent="0.25">
      <c r="A210" s="253" t="str">
        <f t="shared" si="24"/>
        <v/>
      </c>
      <c r="B210" s="254"/>
      <c r="C210" s="254" t="str">
        <f>IF(B210="","",IFERROR(VLOOKUP(B210,DB_Customers!$A:$D,4,0),"❌ Account Not Found"))</f>
        <v/>
      </c>
      <c r="D210" s="253" t="str">
        <f t="shared" ca="1" si="25"/>
        <v/>
      </c>
      <c r="E210" s="254"/>
      <c r="F210" s="254"/>
      <c r="G210" s="253"/>
      <c r="H210" s="253">
        <v>2.5</v>
      </c>
      <c r="I210" s="253" t="str">
        <f t="shared" si="26"/>
        <v/>
      </c>
      <c r="J210" s="253" t="str">
        <f t="shared" si="27"/>
        <v/>
      </c>
      <c r="K210" s="253" t="str">
        <f>IF(B210="","Pending",IF(M210="","⚠️ Enter Code",IF(IFERROR(VLOOKUP(L210,DB_Agents!$B:$I,8,0),"")=M210,"Pending","🔒 BLOCKED — Wrong Code")))</f>
        <v>Pending</v>
      </c>
      <c r="L210" s="253" t="s">
        <v>141</v>
      </c>
      <c r="M210" s="240"/>
      <c r="N210" s="254"/>
    </row>
    <row r="211" spans="1:14" ht="18" customHeight="1" x14ac:dyDescent="0.25">
      <c r="A211" s="256" t="str">
        <f t="shared" si="24"/>
        <v/>
      </c>
      <c r="B211" s="257"/>
      <c r="C211" s="257" t="str">
        <f>IF(B211="","",IFERROR(VLOOKUP(B211,DB_Customers!$A:$D,4,0),"❌ Account Not Found"))</f>
        <v/>
      </c>
      <c r="D211" s="256" t="str">
        <f t="shared" ca="1" si="25"/>
        <v/>
      </c>
      <c r="E211" s="257"/>
      <c r="F211" s="257"/>
      <c r="G211" s="256"/>
      <c r="H211" s="256">
        <v>2.5</v>
      </c>
      <c r="I211" s="256" t="str">
        <f t="shared" si="26"/>
        <v/>
      </c>
      <c r="J211" s="256" t="str">
        <f t="shared" si="27"/>
        <v/>
      </c>
      <c r="K211" s="256" t="str">
        <f>IF(B211="","Pending",IF(M211="","⚠️ Enter Code",IF(IFERROR(VLOOKUP(L211,DB_Agents!$B:$I,8,0),"")=M211,"Pending","🔒 BLOCKED — Wrong Code")))</f>
        <v>Pending</v>
      </c>
      <c r="L211" s="256" t="s">
        <v>141</v>
      </c>
      <c r="M211" s="252"/>
      <c r="N211" s="257"/>
    </row>
    <row r="212" spans="1:14" ht="18" customHeight="1" x14ac:dyDescent="0.25">
      <c r="A212" s="253" t="str">
        <f t="shared" si="24"/>
        <v/>
      </c>
      <c r="B212" s="254"/>
      <c r="C212" s="254" t="str">
        <f>IF(B212="","",IFERROR(VLOOKUP(B212,DB_Customers!$A:$D,4,0),"❌ Account Not Found"))</f>
        <v/>
      </c>
      <c r="D212" s="253" t="str">
        <f t="shared" ca="1" si="25"/>
        <v/>
      </c>
      <c r="E212" s="254"/>
      <c r="F212" s="254"/>
      <c r="G212" s="253"/>
      <c r="H212" s="253">
        <v>2.5</v>
      </c>
      <c r="I212" s="253" t="str">
        <f t="shared" si="26"/>
        <v/>
      </c>
      <c r="J212" s="253" t="str">
        <f t="shared" si="27"/>
        <v/>
      </c>
      <c r="K212" s="253" t="str">
        <f>IF(B212="","Pending",IF(M212="","⚠️ Enter Code",IF(IFERROR(VLOOKUP(L212,DB_Agents!$B:$I,8,0),"")=M212,"Pending","🔒 BLOCKED — Wrong Code")))</f>
        <v>Pending</v>
      </c>
      <c r="L212" s="253" t="s">
        <v>141</v>
      </c>
      <c r="M212" s="240"/>
      <c r="N212" s="254"/>
    </row>
    <row r="213" spans="1:14" ht="18" customHeight="1" x14ac:dyDescent="0.25">
      <c r="A213" s="256" t="str">
        <f t="shared" si="24"/>
        <v/>
      </c>
      <c r="B213" s="257"/>
      <c r="C213" s="257" t="str">
        <f>IF(B213="","",IFERROR(VLOOKUP(B213,DB_Customers!$A:$D,4,0),"❌ Account Not Found"))</f>
        <v/>
      </c>
      <c r="D213" s="256" t="str">
        <f t="shared" ca="1" si="25"/>
        <v/>
      </c>
      <c r="E213" s="257"/>
      <c r="F213" s="257"/>
      <c r="G213" s="256"/>
      <c r="H213" s="256">
        <v>2.5</v>
      </c>
      <c r="I213" s="256" t="str">
        <f t="shared" si="26"/>
        <v/>
      </c>
      <c r="J213" s="256" t="str">
        <f t="shared" si="27"/>
        <v/>
      </c>
      <c r="K213" s="256" t="str">
        <f>IF(B213="","Pending",IF(M213="","⚠️ Enter Code",IF(IFERROR(VLOOKUP(L213,DB_Agents!$B:$I,8,0),"")=M213,"Pending","🔒 BLOCKED — Wrong Code")))</f>
        <v>Pending</v>
      </c>
      <c r="L213" s="256" t="s">
        <v>141</v>
      </c>
      <c r="M213" s="252"/>
      <c r="N213" s="257"/>
    </row>
  </sheetData>
  <conditionalFormatting sqref="K14:K113">
    <cfRule type="cellIs" dxfId="15" priority="2" operator="equal">
      <formula>"Approved"</formula>
    </cfRule>
    <cfRule type="cellIs" dxfId="14" priority="3" operator="equal">
      <formula>"Pending"</formula>
    </cfRule>
    <cfRule type="cellIs" dxfId="13" priority="4" operator="equal">
      <formula>"Rejected"</formula>
    </cfRule>
  </conditionalFormatting>
  <dataValidations count="2">
    <dataValidation type="whole" showErrorMessage="1" error="Enter 1-36 months" sqref="G14:G113" xr:uid="{00000000-0002-0000-2300-000000000000}">
      <formula1>1</formula1>
      <formula2>36</formula2>
    </dataValidation>
    <dataValidation type="list" sqref="L14:L113" xr:uid="{00000000-0002-0000-23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359" t="s">
        <v>383</v>
      </c>
      <c r="B1" s="265"/>
      <c r="C1" s="265"/>
      <c r="D1" s="265"/>
      <c r="E1" s="265"/>
      <c r="F1" s="265"/>
      <c r="G1" s="265"/>
      <c r="H1" s="265"/>
      <c r="I1" s="265"/>
      <c r="J1" s="265"/>
      <c r="K1" s="265"/>
      <c r="L1" s="265"/>
    </row>
    <row r="2" spans="1:12" ht="19.5" customHeight="1" x14ac:dyDescent="0.25">
      <c r="A2" s="357" t="s">
        <v>384</v>
      </c>
      <c r="B2" s="265"/>
      <c r="C2" s="265"/>
      <c r="D2" s="265"/>
      <c r="E2" s="265"/>
      <c r="F2" s="265"/>
      <c r="G2" s="265"/>
      <c r="H2" s="265"/>
      <c r="I2" s="265"/>
      <c r="J2" s="265"/>
      <c r="K2" s="265"/>
      <c r="L2" s="265"/>
    </row>
    <row r="3" spans="1:12" ht="18" customHeight="1" x14ac:dyDescent="0.25">
      <c r="A3" s="323" t="s">
        <v>311</v>
      </c>
      <c r="B3" s="265"/>
      <c r="C3" s="265"/>
      <c r="D3" s="324" t="s">
        <v>312</v>
      </c>
      <c r="E3" s="265"/>
      <c r="F3" s="265"/>
      <c r="G3" s="351" t="s">
        <v>313</v>
      </c>
      <c r="H3" s="265"/>
      <c r="I3" s="265"/>
      <c r="J3" s="265"/>
      <c r="K3" s="265"/>
      <c r="L3" s="265"/>
    </row>
    <row r="4" spans="1:12" ht="27.75" customHeight="1" x14ac:dyDescent="0.25">
      <c r="A4" s="363">
        <f ca="1">SUMIFS(DB_Savings!$F:$F,DB_Savings!$G:$G,"Agent 10",DB_Savings!$E:$E,TODAY())</f>
        <v>0</v>
      </c>
      <c r="B4" s="265"/>
      <c r="C4" s="265"/>
      <c r="D4" s="361">
        <f ca="1">COUNTIFS(DB_Savings!$G:$G,"Agent 10",DB_Savings!$E:$E,TODAY())</f>
        <v>0</v>
      </c>
      <c r="E4" s="265"/>
      <c r="F4" s="265"/>
      <c r="G4" s="362" t="str">
        <f ca="1">TEXT(TODAY(),"DDDD, DD MMMM YYYY")</f>
        <v>Friday, 24 April 2026</v>
      </c>
      <c r="H4" s="265"/>
      <c r="I4" s="265"/>
      <c r="J4" s="265"/>
      <c r="K4" s="265"/>
      <c r="L4" s="265"/>
    </row>
    <row r="5" spans="1:12" ht="21.75" customHeight="1" x14ac:dyDescent="0.25">
      <c r="A5" s="360" t="str">
        <f ca="1">IF(SUMIFS(DB_Savings!$F:$F,DB_Savings!$G:$G,"Agent 10",DB_Savings!$E:$E,TODAY())&gt;=J4,"✅ DAILY TARGET ACHIEVED! Well done Agent 10!","⏳ Collection in progress — Keep going! Remaining: GHC "&amp;TEXT(J4-SUMIFS(DB_Savings!$F:$F,DB_Savings!$G:$G,"Agent 10",DB_Savings!$E:$E,TODAY()),"#,##0.00"))</f>
        <v>✅ DAILY TARGET ACHIEVED! Well done Agent 10!</v>
      </c>
      <c r="B5" s="265"/>
      <c r="C5" s="265"/>
      <c r="D5" s="265"/>
      <c r="E5" s="265"/>
      <c r="F5" s="265"/>
      <c r="G5" s="265"/>
      <c r="H5" s="265"/>
      <c r="I5" s="265"/>
      <c r="J5" s="265"/>
      <c r="K5" s="265"/>
      <c r="L5" s="265"/>
    </row>
    <row r="6" spans="1:12" ht="7.5" customHeight="1" x14ac:dyDescent="0.25"/>
    <row r="7" spans="1:12" ht="19.5" customHeight="1" x14ac:dyDescent="0.25">
      <c r="A7" s="358" t="s">
        <v>314</v>
      </c>
      <c r="B7" s="265"/>
      <c r="C7" s="265"/>
      <c r="D7" s="265"/>
      <c r="E7" s="265"/>
      <c r="F7" s="265"/>
      <c r="G7" s="265"/>
      <c r="H7" s="265"/>
      <c r="I7" s="265"/>
      <c r="J7" s="265"/>
      <c r="K7" s="265"/>
      <c r="L7" s="265"/>
    </row>
    <row r="8" spans="1:12" ht="19.5" customHeight="1" x14ac:dyDescent="0.25">
      <c r="A8" s="36" t="s">
        <v>315</v>
      </c>
      <c r="B8" s="36" t="s">
        <v>77</v>
      </c>
      <c r="C8" s="36" t="s">
        <v>316</v>
      </c>
      <c r="D8" s="36" t="s">
        <v>78</v>
      </c>
      <c r="E8" s="36" t="s">
        <v>317</v>
      </c>
      <c r="F8" s="36" t="s">
        <v>318</v>
      </c>
      <c r="G8" s="36" t="s">
        <v>14</v>
      </c>
      <c r="H8" s="75" t="s">
        <v>319</v>
      </c>
      <c r="I8" s="36" t="s">
        <v>13</v>
      </c>
      <c r="J8" s="36" t="s">
        <v>320</v>
      </c>
      <c r="K8" s="36" t="s">
        <v>321</v>
      </c>
    </row>
    <row r="9" spans="1:12" ht="15" customHeight="1" x14ac:dyDescent="0.25">
      <c r="A9" s="76"/>
      <c r="B9" s="37" t="str">
        <f>IF(A9="","",IFERROR(VLOOKUP(A9,DB_Customers!$A:$D,4,0),"❌ Account Not Found"))</f>
        <v/>
      </c>
      <c r="C9" s="77" t="str">
        <f>IF(A9="","",IFERROR(IF(SUMIF(DB_Savings!$C:$C,A9,DB_Savings!$F:$F)=0,VLOOKUP(A9,DB_Customers!$A:$I,9,0),VLOOKUP(A9,DB_Customers!$A:$N,14,0)),"❌ Acct Not Found"))</f>
        <v/>
      </c>
      <c r="D9" s="78" t="str">
        <f t="shared" ref="D9:D40" ca="1" si="0">IF(A9="","",TODAY())</f>
        <v/>
      </c>
      <c r="E9" s="79"/>
      <c r="F9" s="80" t="str">
        <f t="shared" ref="F9:F40" si="1">IF(OR(A9="",E9=""),"",IF(C9="","",C9+E9))</f>
        <v/>
      </c>
      <c r="G9" s="39" t="s">
        <v>142</v>
      </c>
      <c r="H9" s="81"/>
      <c r="I9" s="82" t="str">
        <f>IF(A9="","Pending",IF(H9="","⚠️ Enter Agent Code",IF(IFERROR(VLOOKUP(G9,DB_Agents!$B:$I,8,0),"")=H9,IF(AND(A9&lt;&gt;"",E9&lt;&gt;""),"Saved","Pending"),"🔒 BLOCKED — Wrong Code")))</f>
        <v>Pending</v>
      </c>
      <c r="J9" s="83" t="str">
        <f t="shared" ref="J9:J40" ca="1" si="2">IF(I9="Saved",TEXT(TODAY(),"YYYY-MM-DD")&amp;" Auto","—")</f>
        <v>—</v>
      </c>
      <c r="K9" s="84"/>
    </row>
    <row r="10" spans="1:12" ht="15" customHeight="1" x14ac:dyDescent="0.25">
      <c r="A10" s="85"/>
      <c r="B10" s="41" t="str">
        <f>IF(A10="","",IFERROR(VLOOKUP(A10,DB_Customers!$A:$D,4,0),"❌ Account Not Found"))</f>
        <v/>
      </c>
      <c r="C10" s="86" t="str">
        <f>IF(A10="","",IFERROR(IF(SUMIF(DB_Savings!$C:$C,A10,DB_Savings!$F:$F)=0,VLOOKUP(A10,DB_Customers!$A:$I,9,0),VLOOKUP(A10,DB_Customers!$A:$N,14,0)),"❌ Acct Not Found"))</f>
        <v/>
      </c>
      <c r="D10" s="87" t="str">
        <f t="shared" ca="1" si="0"/>
        <v/>
      </c>
      <c r="E10" s="79"/>
      <c r="F10" s="88" t="str">
        <f t="shared" si="1"/>
        <v/>
      </c>
      <c r="G10" s="43" t="s">
        <v>142</v>
      </c>
      <c r="H10" s="81"/>
      <c r="I10" s="89" t="str">
        <f>IF(A10="","Pending",IF(H10="","⚠️ Enter Agent Code",IF(IFERROR(VLOOKUP(G10,DB_Agents!$B:$I,8,0),"")=H10,IF(AND(A10&lt;&gt;"",E10&lt;&gt;""),"Saved","Pending"),"🔒 BLOCKED — Wrong Code")))</f>
        <v>Pending</v>
      </c>
      <c r="J10" s="90" t="str">
        <f t="shared" ca="1" si="2"/>
        <v>—</v>
      </c>
      <c r="K10" s="91"/>
    </row>
    <row r="11" spans="1:12" ht="15" customHeight="1" x14ac:dyDescent="0.25">
      <c r="A11" s="76"/>
      <c r="B11" s="37" t="str">
        <f>IF(A11="","",IFERROR(VLOOKUP(A11,DB_Customers!$A:$D,4,0),"❌ Account Not Found"))</f>
        <v/>
      </c>
      <c r="C11" s="77" t="str">
        <f>IF(A11="","",IFERROR(IF(SUMIF(DB_Savings!$C:$C,A11,DB_Savings!$F:$F)=0,VLOOKUP(A11,DB_Customers!$A:$I,9,0),VLOOKUP(A11,DB_Customers!$A:$N,14,0)),"❌ Acct Not Found"))</f>
        <v/>
      </c>
      <c r="D11" s="78" t="str">
        <f t="shared" ca="1" si="0"/>
        <v/>
      </c>
      <c r="E11" s="79"/>
      <c r="F11" s="80" t="str">
        <f t="shared" si="1"/>
        <v/>
      </c>
      <c r="G11" s="39" t="s">
        <v>142</v>
      </c>
      <c r="H11" s="81"/>
      <c r="I11" s="82" t="str">
        <f>IF(A11="","Pending",IF(H11="","⚠️ Enter Agent Code",IF(IFERROR(VLOOKUP(G11,DB_Agents!$B:$I,8,0),"")=H11,IF(AND(A11&lt;&gt;"",E11&lt;&gt;""),"Saved","Pending"),"🔒 BLOCKED — Wrong Code")))</f>
        <v>Pending</v>
      </c>
      <c r="J11" s="83" t="str">
        <f t="shared" ca="1" si="2"/>
        <v>—</v>
      </c>
      <c r="K11" s="84"/>
    </row>
    <row r="12" spans="1:12" ht="15" customHeight="1" x14ac:dyDescent="0.25">
      <c r="A12" s="85"/>
      <c r="B12" s="41" t="str">
        <f>IF(A12="","",IFERROR(VLOOKUP(A12,DB_Customers!$A:$D,4,0),"❌ Account Not Found"))</f>
        <v/>
      </c>
      <c r="C12" s="86" t="str">
        <f>IF(A12="","",IFERROR(IF(SUMIF(DB_Savings!$C:$C,A12,DB_Savings!$F:$F)=0,VLOOKUP(A12,DB_Customers!$A:$I,9,0),VLOOKUP(A12,DB_Customers!$A:$N,14,0)),"❌ Acct Not Found"))</f>
        <v/>
      </c>
      <c r="D12" s="87" t="str">
        <f t="shared" ca="1" si="0"/>
        <v/>
      </c>
      <c r="E12" s="79"/>
      <c r="F12" s="88" t="str">
        <f t="shared" si="1"/>
        <v/>
      </c>
      <c r="G12" s="43" t="s">
        <v>142</v>
      </c>
      <c r="H12" s="81"/>
      <c r="I12" s="89" t="str">
        <f>IF(A12="","Pending",IF(H12="","⚠️ Enter Agent Code",IF(IFERROR(VLOOKUP(G12,DB_Agents!$B:$I,8,0),"")=H12,IF(AND(A12&lt;&gt;"",E12&lt;&gt;""),"Saved","Pending"),"🔒 BLOCKED — Wrong Code")))</f>
        <v>Pending</v>
      </c>
      <c r="J12" s="90" t="str">
        <f t="shared" ca="1" si="2"/>
        <v>—</v>
      </c>
      <c r="K12" s="91"/>
    </row>
    <row r="13" spans="1:12" ht="15" customHeight="1" x14ac:dyDescent="0.25">
      <c r="A13" s="76"/>
      <c r="B13" s="37" t="str">
        <f>IF(A13="","",IFERROR(VLOOKUP(A13,DB_Customers!$A:$D,4,0),"❌ Account Not Found"))</f>
        <v/>
      </c>
      <c r="C13" s="77" t="str">
        <f>IF(A13="","",IFERROR(IF(SUMIF(DB_Savings!$C:$C,A13,DB_Savings!$F:$F)=0,VLOOKUP(A13,DB_Customers!$A:$I,9,0),VLOOKUP(A13,DB_Customers!$A:$N,14,0)),"❌ Acct Not Found"))</f>
        <v/>
      </c>
      <c r="D13" s="78" t="str">
        <f t="shared" ca="1" si="0"/>
        <v/>
      </c>
      <c r="E13" s="79"/>
      <c r="F13" s="80" t="str">
        <f t="shared" si="1"/>
        <v/>
      </c>
      <c r="G13" s="39" t="s">
        <v>142</v>
      </c>
      <c r="H13" s="81"/>
      <c r="I13" s="82" t="str">
        <f>IF(A13="","Pending",IF(H13="","⚠️ Enter Agent Code",IF(IFERROR(VLOOKUP(G13,DB_Agents!$B:$I,8,0),"")=H13,IF(AND(A13&lt;&gt;"",E13&lt;&gt;""),"Saved","Pending"),"🔒 BLOCKED — Wrong Code")))</f>
        <v>Pending</v>
      </c>
      <c r="J13" s="83" t="str">
        <f t="shared" ca="1" si="2"/>
        <v>—</v>
      </c>
      <c r="K13" s="84"/>
    </row>
    <row r="14" spans="1:12" ht="15" customHeight="1" x14ac:dyDescent="0.25">
      <c r="A14" s="85"/>
      <c r="B14" s="41" t="str">
        <f>IF(A14="","",IFERROR(VLOOKUP(A14,DB_Customers!$A:$D,4,0),"❌ Account Not Found"))</f>
        <v/>
      </c>
      <c r="C14" s="86" t="str">
        <f>IF(A14="","",IFERROR(IF(SUMIF(DB_Savings!$C:$C,A14,DB_Savings!$F:$F)=0,VLOOKUP(A14,DB_Customers!$A:$I,9,0),VLOOKUP(A14,DB_Customers!$A:$N,14,0)),"❌ Acct Not Found"))</f>
        <v/>
      </c>
      <c r="D14" s="87" t="str">
        <f t="shared" ca="1" si="0"/>
        <v/>
      </c>
      <c r="E14" s="79"/>
      <c r="F14" s="88" t="str">
        <f t="shared" si="1"/>
        <v/>
      </c>
      <c r="G14" s="43" t="s">
        <v>142</v>
      </c>
      <c r="H14" s="81"/>
      <c r="I14" s="89" t="str">
        <f>IF(A14="","Pending",IF(H14="","⚠️ Enter Agent Code",IF(IFERROR(VLOOKUP(G14,DB_Agents!$B:$I,8,0),"")=H14,IF(AND(A14&lt;&gt;"",E14&lt;&gt;""),"Saved","Pending"),"🔒 BLOCKED — Wrong Code")))</f>
        <v>Pending</v>
      </c>
      <c r="J14" s="90" t="str">
        <f t="shared" ca="1" si="2"/>
        <v>—</v>
      </c>
      <c r="K14" s="91"/>
    </row>
    <row r="15" spans="1:12" ht="15" customHeight="1" x14ac:dyDescent="0.25">
      <c r="A15" s="76"/>
      <c r="B15" s="37" t="str">
        <f>IF(A15="","",IFERROR(VLOOKUP(A15,DB_Customers!$A:$D,4,0),"❌ Account Not Found"))</f>
        <v/>
      </c>
      <c r="C15" s="77" t="str">
        <f>IF(A15="","",IFERROR(IF(SUMIF(DB_Savings!$C:$C,A15,DB_Savings!$F:$F)=0,VLOOKUP(A15,DB_Customers!$A:$I,9,0),VLOOKUP(A15,DB_Customers!$A:$N,14,0)),"❌ Acct Not Found"))</f>
        <v/>
      </c>
      <c r="D15" s="78" t="str">
        <f t="shared" ca="1" si="0"/>
        <v/>
      </c>
      <c r="E15" s="79"/>
      <c r="F15" s="80" t="str">
        <f t="shared" si="1"/>
        <v/>
      </c>
      <c r="G15" s="39" t="s">
        <v>142</v>
      </c>
      <c r="H15" s="81"/>
      <c r="I15" s="82" t="str">
        <f>IF(A15="","Pending",IF(H15="","⚠️ Enter Agent Code",IF(IFERROR(VLOOKUP(G15,DB_Agents!$B:$I,8,0),"")=H15,IF(AND(A15&lt;&gt;"",E15&lt;&gt;""),"Saved","Pending"),"🔒 BLOCKED — Wrong Code")))</f>
        <v>Pending</v>
      </c>
      <c r="J15" s="83" t="str">
        <f t="shared" ca="1" si="2"/>
        <v>—</v>
      </c>
      <c r="K15" s="84"/>
    </row>
    <row r="16" spans="1:12" ht="15" customHeight="1" x14ac:dyDescent="0.25">
      <c r="A16" s="85"/>
      <c r="B16" s="41" t="str">
        <f>IF(A16="","",IFERROR(VLOOKUP(A16,DB_Customers!$A:$D,4,0),"❌ Account Not Found"))</f>
        <v/>
      </c>
      <c r="C16" s="86" t="str">
        <f>IF(A16="","",IFERROR(IF(SUMIF(DB_Savings!$C:$C,A16,DB_Savings!$F:$F)=0,VLOOKUP(A16,DB_Customers!$A:$I,9,0),VLOOKUP(A16,DB_Customers!$A:$N,14,0)),"❌ Acct Not Found"))</f>
        <v/>
      </c>
      <c r="D16" s="87" t="str">
        <f t="shared" ca="1" si="0"/>
        <v/>
      </c>
      <c r="E16" s="79"/>
      <c r="F16" s="88" t="str">
        <f t="shared" si="1"/>
        <v/>
      </c>
      <c r="G16" s="43" t="s">
        <v>142</v>
      </c>
      <c r="H16" s="81"/>
      <c r="I16" s="89" t="str">
        <f>IF(A16="","Pending",IF(H16="","⚠️ Enter Agent Code",IF(IFERROR(VLOOKUP(G16,DB_Agents!$B:$I,8,0),"")=H16,IF(AND(A16&lt;&gt;"",E16&lt;&gt;""),"Saved","Pending"),"🔒 BLOCKED — Wrong Code")))</f>
        <v>Pending</v>
      </c>
      <c r="J16" s="90" t="str">
        <f t="shared" ca="1" si="2"/>
        <v>—</v>
      </c>
      <c r="K16" s="91"/>
    </row>
    <row r="17" spans="1:11" ht="15" customHeight="1" x14ac:dyDescent="0.25">
      <c r="A17" s="76"/>
      <c r="B17" s="37" t="str">
        <f>IF(A17="","",IFERROR(VLOOKUP(A17,DB_Customers!$A:$D,4,0),"❌ Account Not Found"))</f>
        <v/>
      </c>
      <c r="C17" s="77" t="str">
        <f>IF(A17="","",IFERROR(IF(SUMIF(DB_Savings!$C:$C,A17,DB_Savings!$F:$F)=0,VLOOKUP(A17,DB_Customers!$A:$I,9,0),VLOOKUP(A17,DB_Customers!$A:$N,14,0)),"❌ Acct Not Found"))</f>
        <v/>
      </c>
      <c r="D17" s="78" t="str">
        <f t="shared" ca="1" si="0"/>
        <v/>
      </c>
      <c r="E17" s="79"/>
      <c r="F17" s="80" t="str">
        <f t="shared" si="1"/>
        <v/>
      </c>
      <c r="G17" s="39" t="s">
        <v>142</v>
      </c>
      <c r="H17" s="81"/>
      <c r="I17" s="82" t="str">
        <f>IF(A17="","Pending",IF(H17="","⚠️ Enter Agent Code",IF(IFERROR(VLOOKUP(G17,DB_Agents!$B:$I,8,0),"")=H17,IF(AND(A17&lt;&gt;"",E17&lt;&gt;""),"Saved","Pending"),"🔒 BLOCKED — Wrong Code")))</f>
        <v>Pending</v>
      </c>
      <c r="J17" s="83" t="str">
        <f t="shared" ca="1" si="2"/>
        <v>—</v>
      </c>
      <c r="K17" s="84"/>
    </row>
    <row r="18" spans="1:11" ht="15" customHeight="1" x14ac:dyDescent="0.25">
      <c r="A18" s="85"/>
      <c r="B18" s="41" t="str">
        <f>IF(A18="","",IFERROR(VLOOKUP(A18,DB_Customers!$A:$D,4,0),"❌ Account Not Found"))</f>
        <v/>
      </c>
      <c r="C18" s="86" t="str">
        <f>IF(A18="","",IFERROR(IF(SUMIF(DB_Savings!$C:$C,A18,DB_Savings!$F:$F)=0,VLOOKUP(A18,DB_Customers!$A:$I,9,0),VLOOKUP(A18,DB_Customers!$A:$N,14,0)),"❌ Acct Not Found"))</f>
        <v/>
      </c>
      <c r="D18" s="87" t="str">
        <f t="shared" ca="1" si="0"/>
        <v/>
      </c>
      <c r="E18" s="79"/>
      <c r="F18" s="88" t="str">
        <f t="shared" si="1"/>
        <v/>
      </c>
      <c r="G18" s="43" t="s">
        <v>142</v>
      </c>
      <c r="H18" s="81"/>
      <c r="I18" s="89" t="str">
        <f>IF(A18="","Pending",IF(H18="","⚠️ Enter Agent Code",IF(IFERROR(VLOOKUP(G18,DB_Agents!$B:$I,8,0),"")=H18,IF(AND(A18&lt;&gt;"",E18&lt;&gt;""),"Saved","Pending"),"🔒 BLOCKED — Wrong Code")))</f>
        <v>Pending</v>
      </c>
      <c r="J18" s="90" t="str">
        <f t="shared" ca="1" si="2"/>
        <v>—</v>
      </c>
      <c r="K18" s="91"/>
    </row>
    <row r="19" spans="1:11" ht="15" customHeight="1" x14ac:dyDescent="0.25">
      <c r="A19" s="76"/>
      <c r="B19" s="37" t="str">
        <f>IF(A19="","",IFERROR(VLOOKUP(A19,DB_Customers!$A:$D,4,0),"❌ Account Not Found"))</f>
        <v/>
      </c>
      <c r="C19" s="77" t="str">
        <f>IF(A19="","",IFERROR(IF(SUMIF(DB_Savings!$C:$C,A19,DB_Savings!$F:$F)=0,VLOOKUP(A19,DB_Customers!$A:$I,9,0),VLOOKUP(A19,DB_Customers!$A:$N,14,0)),"❌ Acct Not Found"))</f>
        <v/>
      </c>
      <c r="D19" s="78" t="str">
        <f t="shared" ca="1" si="0"/>
        <v/>
      </c>
      <c r="E19" s="79"/>
      <c r="F19" s="80" t="str">
        <f t="shared" si="1"/>
        <v/>
      </c>
      <c r="G19" s="39" t="s">
        <v>142</v>
      </c>
      <c r="H19" s="81"/>
      <c r="I19" s="82" t="str">
        <f>IF(A19="","Pending",IF(H19="","⚠️ Enter Agent Code",IF(IFERROR(VLOOKUP(G19,DB_Agents!$B:$I,8,0),"")=H19,IF(AND(A19&lt;&gt;"",E19&lt;&gt;""),"Saved","Pending"),"🔒 BLOCKED — Wrong Code")))</f>
        <v>Pending</v>
      </c>
      <c r="J19" s="83" t="str">
        <f t="shared" ca="1" si="2"/>
        <v>—</v>
      </c>
      <c r="K19" s="84"/>
    </row>
    <row r="20" spans="1:11" ht="15" customHeight="1" x14ac:dyDescent="0.25">
      <c r="A20" s="85"/>
      <c r="B20" s="41" t="str">
        <f>IF(A20="","",IFERROR(VLOOKUP(A20,DB_Customers!$A:$D,4,0),"❌ Account Not Found"))</f>
        <v/>
      </c>
      <c r="C20" s="86" t="str">
        <f>IF(A20="","",IFERROR(IF(SUMIF(DB_Savings!$C:$C,A20,DB_Savings!$F:$F)=0,VLOOKUP(A20,DB_Customers!$A:$I,9,0),VLOOKUP(A20,DB_Customers!$A:$N,14,0)),"❌ Acct Not Found"))</f>
        <v/>
      </c>
      <c r="D20" s="87" t="str">
        <f t="shared" ca="1" si="0"/>
        <v/>
      </c>
      <c r="E20" s="79"/>
      <c r="F20" s="88" t="str">
        <f t="shared" si="1"/>
        <v/>
      </c>
      <c r="G20" s="43" t="s">
        <v>142</v>
      </c>
      <c r="H20" s="81"/>
      <c r="I20" s="89" t="str">
        <f>IF(A20="","Pending",IF(H20="","⚠️ Enter Agent Code",IF(IFERROR(VLOOKUP(G20,DB_Agents!$B:$I,8,0),"")=H20,IF(AND(A20&lt;&gt;"",E20&lt;&gt;""),"Saved","Pending"),"🔒 BLOCKED — Wrong Code")))</f>
        <v>Pending</v>
      </c>
      <c r="J20" s="90" t="str">
        <f t="shared" ca="1" si="2"/>
        <v>—</v>
      </c>
      <c r="K20" s="91"/>
    </row>
    <row r="21" spans="1:11" ht="15" customHeight="1" x14ac:dyDescent="0.25">
      <c r="A21" s="76"/>
      <c r="B21" s="37" t="str">
        <f>IF(A21="","",IFERROR(VLOOKUP(A21,DB_Customers!$A:$D,4,0),"❌ Account Not Found"))</f>
        <v/>
      </c>
      <c r="C21" s="77" t="str">
        <f>IF(A21="","",IFERROR(IF(SUMIF(DB_Savings!$C:$C,A21,DB_Savings!$F:$F)=0,VLOOKUP(A21,DB_Customers!$A:$I,9,0),VLOOKUP(A21,DB_Customers!$A:$N,14,0)),"❌ Acct Not Found"))</f>
        <v/>
      </c>
      <c r="D21" s="78" t="str">
        <f t="shared" ca="1" si="0"/>
        <v/>
      </c>
      <c r="E21" s="79"/>
      <c r="F21" s="80" t="str">
        <f t="shared" si="1"/>
        <v/>
      </c>
      <c r="G21" s="39" t="s">
        <v>142</v>
      </c>
      <c r="H21" s="81"/>
      <c r="I21" s="82" t="str">
        <f>IF(A21="","Pending",IF(H21="","⚠️ Enter Agent Code",IF(IFERROR(VLOOKUP(G21,DB_Agents!$B:$I,8,0),"")=H21,IF(AND(A21&lt;&gt;"",E21&lt;&gt;""),"Saved","Pending"),"🔒 BLOCKED — Wrong Code")))</f>
        <v>Pending</v>
      </c>
      <c r="J21" s="83" t="str">
        <f t="shared" ca="1" si="2"/>
        <v>—</v>
      </c>
      <c r="K21" s="84"/>
    </row>
    <row r="22" spans="1:11" ht="15" customHeight="1" x14ac:dyDescent="0.25">
      <c r="A22" s="85"/>
      <c r="B22" s="41" t="str">
        <f>IF(A22="","",IFERROR(VLOOKUP(A22,DB_Customers!$A:$D,4,0),"❌ Account Not Found"))</f>
        <v/>
      </c>
      <c r="C22" s="86" t="str">
        <f>IF(A22="","",IFERROR(IF(SUMIF(DB_Savings!$C:$C,A22,DB_Savings!$F:$F)=0,VLOOKUP(A22,DB_Customers!$A:$I,9,0),VLOOKUP(A22,DB_Customers!$A:$N,14,0)),"❌ Acct Not Found"))</f>
        <v/>
      </c>
      <c r="D22" s="87" t="str">
        <f t="shared" ca="1" si="0"/>
        <v/>
      </c>
      <c r="E22" s="79"/>
      <c r="F22" s="88" t="str">
        <f t="shared" si="1"/>
        <v/>
      </c>
      <c r="G22" s="43" t="s">
        <v>142</v>
      </c>
      <c r="H22" s="81"/>
      <c r="I22" s="89" t="str">
        <f>IF(A22="","Pending",IF(H22="","⚠️ Enter Agent Code",IF(IFERROR(VLOOKUP(G22,DB_Agents!$B:$I,8,0),"")=H22,IF(AND(A22&lt;&gt;"",E22&lt;&gt;""),"Saved","Pending"),"🔒 BLOCKED — Wrong Code")))</f>
        <v>Pending</v>
      </c>
      <c r="J22" s="90" t="str">
        <f t="shared" ca="1" si="2"/>
        <v>—</v>
      </c>
      <c r="K22" s="91"/>
    </row>
    <row r="23" spans="1:11" ht="15" customHeight="1" x14ac:dyDescent="0.25">
      <c r="A23" s="76"/>
      <c r="B23" s="37" t="str">
        <f>IF(A23="","",IFERROR(VLOOKUP(A23,DB_Customers!$A:$D,4,0),"❌ Account Not Found"))</f>
        <v/>
      </c>
      <c r="C23" s="77" t="str">
        <f>IF(A23="","",IFERROR(IF(SUMIF(DB_Savings!$C:$C,A23,DB_Savings!$F:$F)=0,VLOOKUP(A23,DB_Customers!$A:$I,9,0),VLOOKUP(A23,DB_Customers!$A:$N,14,0)),"❌ Acct Not Found"))</f>
        <v/>
      </c>
      <c r="D23" s="78" t="str">
        <f t="shared" ca="1" si="0"/>
        <v/>
      </c>
      <c r="E23" s="79"/>
      <c r="F23" s="80" t="str">
        <f t="shared" si="1"/>
        <v/>
      </c>
      <c r="G23" s="39" t="s">
        <v>142</v>
      </c>
      <c r="H23" s="81"/>
      <c r="I23" s="82" t="str">
        <f>IF(A23="","Pending",IF(H23="","⚠️ Enter Agent Code",IF(IFERROR(VLOOKUP(G23,DB_Agents!$B:$I,8,0),"")=H23,IF(AND(A23&lt;&gt;"",E23&lt;&gt;""),"Saved","Pending"),"🔒 BLOCKED — Wrong Code")))</f>
        <v>Pending</v>
      </c>
      <c r="J23" s="83" t="str">
        <f t="shared" ca="1" si="2"/>
        <v>—</v>
      </c>
      <c r="K23" s="84"/>
    </row>
    <row r="24" spans="1:11" ht="15" customHeight="1" x14ac:dyDescent="0.25">
      <c r="A24" s="85"/>
      <c r="B24" s="41" t="str">
        <f>IF(A24="","",IFERROR(VLOOKUP(A24,DB_Customers!$A:$D,4,0),"❌ Account Not Found"))</f>
        <v/>
      </c>
      <c r="C24" s="86" t="str">
        <f>IF(A24="","",IFERROR(IF(SUMIF(DB_Savings!$C:$C,A24,DB_Savings!$F:$F)=0,VLOOKUP(A24,DB_Customers!$A:$I,9,0),VLOOKUP(A24,DB_Customers!$A:$N,14,0)),"❌ Acct Not Found"))</f>
        <v/>
      </c>
      <c r="D24" s="87" t="str">
        <f t="shared" ca="1" si="0"/>
        <v/>
      </c>
      <c r="E24" s="79"/>
      <c r="F24" s="88" t="str">
        <f t="shared" si="1"/>
        <v/>
      </c>
      <c r="G24" s="43" t="s">
        <v>142</v>
      </c>
      <c r="H24" s="81"/>
      <c r="I24" s="89" t="str">
        <f>IF(A24="","Pending",IF(H24="","⚠️ Enter Agent Code",IF(IFERROR(VLOOKUP(G24,DB_Agents!$B:$I,8,0),"")=H24,IF(AND(A24&lt;&gt;"",E24&lt;&gt;""),"Saved","Pending"),"🔒 BLOCKED — Wrong Code")))</f>
        <v>Pending</v>
      </c>
      <c r="J24" s="90" t="str">
        <f t="shared" ca="1" si="2"/>
        <v>—</v>
      </c>
      <c r="K24" s="91"/>
    </row>
    <row r="25" spans="1:11" ht="15" customHeight="1" x14ac:dyDescent="0.25">
      <c r="A25" s="76"/>
      <c r="B25" s="37" t="str">
        <f>IF(A25="","",IFERROR(VLOOKUP(A25,DB_Customers!$A:$D,4,0),"❌ Account Not Found"))</f>
        <v/>
      </c>
      <c r="C25" s="77" t="str">
        <f>IF(A25="","",IFERROR(IF(SUMIF(DB_Savings!$C:$C,A25,DB_Savings!$F:$F)=0,VLOOKUP(A25,DB_Customers!$A:$I,9,0),VLOOKUP(A25,DB_Customers!$A:$N,14,0)),"❌ Acct Not Found"))</f>
        <v/>
      </c>
      <c r="D25" s="78" t="str">
        <f t="shared" ca="1" si="0"/>
        <v/>
      </c>
      <c r="E25" s="79"/>
      <c r="F25" s="80" t="str">
        <f t="shared" si="1"/>
        <v/>
      </c>
      <c r="G25" s="39" t="s">
        <v>142</v>
      </c>
      <c r="H25" s="81"/>
      <c r="I25" s="82" t="str">
        <f>IF(A25="","Pending",IF(H25="","⚠️ Enter Agent Code",IF(IFERROR(VLOOKUP(G25,DB_Agents!$B:$I,8,0),"")=H25,IF(AND(A25&lt;&gt;"",E25&lt;&gt;""),"Saved","Pending"),"🔒 BLOCKED — Wrong Code")))</f>
        <v>Pending</v>
      </c>
      <c r="J25" s="83" t="str">
        <f t="shared" ca="1" si="2"/>
        <v>—</v>
      </c>
      <c r="K25" s="84"/>
    </row>
    <row r="26" spans="1:11" ht="15" customHeight="1" x14ac:dyDescent="0.25">
      <c r="A26" s="85"/>
      <c r="B26" s="41" t="str">
        <f>IF(A26="","",IFERROR(VLOOKUP(A26,DB_Customers!$A:$D,4,0),"❌ Account Not Found"))</f>
        <v/>
      </c>
      <c r="C26" s="86" t="str">
        <f>IF(A26="","",IFERROR(IF(SUMIF(DB_Savings!$C:$C,A26,DB_Savings!$F:$F)=0,VLOOKUP(A26,DB_Customers!$A:$I,9,0),VLOOKUP(A26,DB_Customers!$A:$N,14,0)),"❌ Acct Not Found"))</f>
        <v/>
      </c>
      <c r="D26" s="87" t="str">
        <f t="shared" ca="1" si="0"/>
        <v/>
      </c>
      <c r="E26" s="79"/>
      <c r="F26" s="88" t="str">
        <f t="shared" si="1"/>
        <v/>
      </c>
      <c r="G26" s="43" t="s">
        <v>142</v>
      </c>
      <c r="H26" s="81"/>
      <c r="I26" s="89" t="str">
        <f>IF(A26="","Pending",IF(H26="","⚠️ Enter Agent Code",IF(IFERROR(VLOOKUP(G26,DB_Agents!$B:$I,8,0),"")=H26,IF(AND(A26&lt;&gt;"",E26&lt;&gt;""),"Saved","Pending"),"🔒 BLOCKED — Wrong Code")))</f>
        <v>Pending</v>
      </c>
      <c r="J26" s="90" t="str">
        <f t="shared" ca="1" si="2"/>
        <v>—</v>
      </c>
      <c r="K26" s="91"/>
    </row>
    <row r="27" spans="1:11" ht="15" customHeight="1" x14ac:dyDescent="0.25">
      <c r="A27" s="76"/>
      <c r="B27" s="37" t="str">
        <f>IF(A27="","",IFERROR(VLOOKUP(A27,DB_Customers!$A:$D,4,0),"❌ Account Not Found"))</f>
        <v/>
      </c>
      <c r="C27" s="77" t="str">
        <f>IF(A27="","",IFERROR(IF(SUMIF(DB_Savings!$C:$C,A27,DB_Savings!$F:$F)=0,VLOOKUP(A27,DB_Customers!$A:$I,9,0),VLOOKUP(A27,DB_Customers!$A:$N,14,0)),"❌ Acct Not Found"))</f>
        <v/>
      </c>
      <c r="D27" s="78" t="str">
        <f t="shared" ca="1" si="0"/>
        <v/>
      </c>
      <c r="E27" s="79"/>
      <c r="F27" s="80" t="str">
        <f t="shared" si="1"/>
        <v/>
      </c>
      <c r="G27" s="39" t="s">
        <v>142</v>
      </c>
      <c r="H27" s="81"/>
      <c r="I27" s="82" t="str">
        <f>IF(A27="","Pending",IF(H27="","⚠️ Enter Agent Code",IF(IFERROR(VLOOKUP(G27,DB_Agents!$B:$I,8,0),"")=H27,IF(AND(A27&lt;&gt;"",E27&lt;&gt;""),"Saved","Pending"),"🔒 BLOCKED — Wrong Code")))</f>
        <v>Pending</v>
      </c>
      <c r="J27" s="83" t="str">
        <f t="shared" ca="1" si="2"/>
        <v>—</v>
      </c>
      <c r="K27" s="84"/>
    </row>
    <row r="28" spans="1:11" ht="15" customHeight="1" x14ac:dyDescent="0.25">
      <c r="A28" s="85"/>
      <c r="B28" s="41" t="str">
        <f>IF(A28="","",IFERROR(VLOOKUP(A28,DB_Customers!$A:$D,4,0),"❌ Account Not Found"))</f>
        <v/>
      </c>
      <c r="C28" s="86" t="str">
        <f>IF(A28="","",IFERROR(IF(SUMIF(DB_Savings!$C:$C,A28,DB_Savings!$F:$F)=0,VLOOKUP(A28,DB_Customers!$A:$I,9,0),VLOOKUP(A28,DB_Customers!$A:$N,14,0)),"❌ Acct Not Found"))</f>
        <v/>
      </c>
      <c r="D28" s="87" t="str">
        <f t="shared" ca="1" si="0"/>
        <v/>
      </c>
      <c r="E28" s="79"/>
      <c r="F28" s="88" t="str">
        <f t="shared" si="1"/>
        <v/>
      </c>
      <c r="G28" s="43" t="s">
        <v>142</v>
      </c>
      <c r="H28" s="81"/>
      <c r="I28" s="89" t="str">
        <f>IF(A28="","Pending",IF(H28="","⚠️ Enter Agent Code",IF(IFERROR(VLOOKUP(G28,DB_Agents!$B:$I,8,0),"")=H28,IF(AND(A28&lt;&gt;"",E28&lt;&gt;""),"Saved","Pending"),"🔒 BLOCKED — Wrong Code")))</f>
        <v>Pending</v>
      </c>
      <c r="J28" s="90" t="str">
        <f t="shared" ca="1" si="2"/>
        <v>—</v>
      </c>
      <c r="K28" s="91"/>
    </row>
    <row r="29" spans="1:11" ht="15" customHeight="1" x14ac:dyDescent="0.25">
      <c r="A29" s="76"/>
      <c r="B29" s="37" t="str">
        <f>IF(A29="","",IFERROR(VLOOKUP(A29,DB_Customers!$A:$D,4,0),"❌ Account Not Found"))</f>
        <v/>
      </c>
      <c r="C29" s="77" t="str">
        <f>IF(A29="","",IFERROR(IF(SUMIF(DB_Savings!$C:$C,A29,DB_Savings!$F:$F)=0,VLOOKUP(A29,DB_Customers!$A:$I,9,0),VLOOKUP(A29,DB_Customers!$A:$N,14,0)),"❌ Acct Not Found"))</f>
        <v/>
      </c>
      <c r="D29" s="78" t="str">
        <f t="shared" ca="1" si="0"/>
        <v/>
      </c>
      <c r="E29" s="79"/>
      <c r="F29" s="80" t="str">
        <f t="shared" si="1"/>
        <v/>
      </c>
      <c r="G29" s="39" t="s">
        <v>142</v>
      </c>
      <c r="H29" s="81"/>
      <c r="I29" s="82" t="str">
        <f>IF(A29="","Pending",IF(H29="","⚠️ Enter Agent Code",IF(IFERROR(VLOOKUP(G29,DB_Agents!$B:$I,8,0),"")=H29,IF(AND(A29&lt;&gt;"",E29&lt;&gt;""),"Saved","Pending"),"🔒 BLOCKED — Wrong Code")))</f>
        <v>Pending</v>
      </c>
      <c r="J29" s="83" t="str">
        <f t="shared" ca="1" si="2"/>
        <v>—</v>
      </c>
      <c r="K29" s="84"/>
    </row>
    <row r="30" spans="1:11" ht="15" customHeight="1" x14ac:dyDescent="0.25">
      <c r="A30" s="85"/>
      <c r="B30" s="41" t="str">
        <f>IF(A30="","",IFERROR(VLOOKUP(A30,DB_Customers!$A:$D,4,0),"❌ Account Not Found"))</f>
        <v/>
      </c>
      <c r="C30" s="86" t="str">
        <f>IF(A30="","",IFERROR(IF(SUMIF(DB_Savings!$C:$C,A30,DB_Savings!$F:$F)=0,VLOOKUP(A30,DB_Customers!$A:$I,9,0),VLOOKUP(A30,DB_Customers!$A:$N,14,0)),"❌ Acct Not Found"))</f>
        <v/>
      </c>
      <c r="D30" s="87" t="str">
        <f t="shared" ca="1" si="0"/>
        <v/>
      </c>
      <c r="E30" s="79"/>
      <c r="F30" s="88" t="str">
        <f t="shared" si="1"/>
        <v/>
      </c>
      <c r="G30" s="43" t="s">
        <v>142</v>
      </c>
      <c r="H30" s="81"/>
      <c r="I30" s="89" t="str">
        <f>IF(A30="","Pending",IF(H30="","⚠️ Enter Agent Code",IF(IFERROR(VLOOKUP(G30,DB_Agents!$B:$I,8,0),"")=H30,IF(AND(A30&lt;&gt;"",E30&lt;&gt;""),"Saved","Pending"),"🔒 BLOCKED — Wrong Code")))</f>
        <v>Pending</v>
      </c>
      <c r="J30" s="90" t="str">
        <f t="shared" ca="1" si="2"/>
        <v>—</v>
      </c>
      <c r="K30" s="91"/>
    </row>
    <row r="31" spans="1:11" ht="15" customHeight="1" x14ac:dyDescent="0.25">
      <c r="A31" s="76"/>
      <c r="B31" s="37" t="str">
        <f>IF(A31="","",IFERROR(VLOOKUP(A31,DB_Customers!$A:$D,4,0),"❌ Account Not Found"))</f>
        <v/>
      </c>
      <c r="C31" s="77" t="str">
        <f>IF(A31="","",IFERROR(IF(SUMIF(DB_Savings!$C:$C,A31,DB_Savings!$F:$F)=0,VLOOKUP(A31,DB_Customers!$A:$I,9,0),VLOOKUP(A31,DB_Customers!$A:$N,14,0)),"❌ Acct Not Found"))</f>
        <v/>
      </c>
      <c r="D31" s="78" t="str">
        <f t="shared" ca="1" si="0"/>
        <v/>
      </c>
      <c r="E31" s="79"/>
      <c r="F31" s="80" t="str">
        <f t="shared" si="1"/>
        <v/>
      </c>
      <c r="G31" s="39" t="s">
        <v>142</v>
      </c>
      <c r="H31" s="81"/>
      <c r="I31" s="82" t="str">
        <f>IF(A31="","Pending",IF(H31="","⚠️ Enter Agent Code",IF(IFERROR(VLOOKUP(G31,DB_Agents!$B:$I,8,0),"")=H31,IF(AND(A31&lt;&gt;"",E31&lt;&gt;""),"Saved","Pending"),"🔒 BLOCKED — Wrong Code")))</f>
        <v>Pending</v>
      </c>
      <c r="J31" s="83" t="str">
        <f t="shared" ca="1" si="2"/>
        <v>—</v>
      </c>
      <c r="K31" s="84"/>
    </row>
    <row r="32" spans="1:11" ht="15" customHeight="1" x14ac:dyDescent="0.25">
      <c r="A32" s="85"/>
      <c r="B32" s="41" t="str">
        <f>IF(A32="","",IFERROR(VLOOKUP(A32,DB_Customers!$A:$D,4,0),"❌ Account Not Found"))</f>
        <v/>
      </c>
      <c r="C32" s="86" t="str">
        <f>IF(A32="","",IFERROR(IF(SUMIF(DB_Savings!$C:$C,A32,DB_Savings!$F:$F)=0,VLOOKUP(A32,DB_Customers!$A:$I,9,0),VLOOKUP(A32,DB_Customers!$A:$N,14,0)),"❌ Acct Not Found"))</f>
        <v/>
      </c>
      <c r="D32" s="87" t="str">
        <f t="shared" ca="1" si="0"/>
        <v/>
      </c>
      <c r="E32" s="79"/>
      <c r="F32" s="88" t="str">
        <f t="shared" si="1"/>
        <v/>
      </c>
      <c r="G32" s="43" t="s">
        <v>142</v>
      </c>
      <c r="H32" s="81"/>
      <c r="I32" s="89" t="str">
        <f>IF(A32="","Pending",IF(H32="","⚠️ Enter Agent Code",IF(IFERROR(VLOOKUP(G32,DB_Agents!$B:$I,8,0),"")=H32,IF(AND(A32&lt;&gt;"",E32&lt;&gt;""),"Saved","Pending"),"🔒 BLOCKED — Wrong Code")))</f>
        <v>Pending</v>
      </c>
      <c r="J32" s="90" t="str">
        <f t="shared" ca="1" si="2"/>
        <v>—</v>
      </c>
      <c r="K32" s="91"/>
    </row>
    <row r="33" spans="1:11" ht="15" customHeight="1" x14ac:dyDescent="0.25">
      <c r="A33" s="76"/>
      <c r="B33" s="37" t="str">
        <f>IF(A33="","",IFERROR(VLOOKUP(A33,DB_Customers!$A:$D,4,0),"❌ Account Not Found"))</f>
        <v/>
      </c>
      <c r="C33" s="77" t="str">
        <f>IF(A33="","",IFERROR(IF(SUMIF(DB_Savings!$C:$C,A33,DB_Savings!$F:$F)=0,VLOOKUP(A33,DB_Customers!$A:$I,9,0),VLOOKUP(A33,DB_Customers!$A:$N,14,0)),"❌ Acct Not Found"))</f>
        <v/>
      </c>
      <c r="D33" s="78" t="str">
        <f t="shared" ca="1" si="0"/>
        <v/>
      </c>
      <c r="E33" s="79"/>
      <c r="F33" s="80" t="str">
        <f t="shared" si="1"/>
        <v/>
      </c>
      <c r="G33" s="39" t="s">
        <v>142</v>
      </c>
      <c r="H33" s="81"/>
      <c r="I33" s="82" t="str">
        <f>IF(A33="","Pending",IF(H33="","⚠️ Enter Agent Code",IF(IFERROR(VLOOKUP(G33,DB_Agents!$B:$I,8,0),"")=H33,IF(AND(A33&lt;&gt;"",E33&lt;&gt;""),"Saved","Pending"),"🔒 BLOCKED — Wrong Code")))</f>
        <v>Pending</v>
      </c>
      <c r="J33" s="83" t="str">
        <f t="shared" ca="1" si="2"/>
        <v>—</v>
      </c>
      <c r="K33" s="84"/>
    </row>
    <row r="34" spans="1:11" ht="15" customHeight="1" x14ac:dyDescent="0.25">
      <c r="A34" s="85"/>
      <c r="B34" s="41" t="str">
        <f>IF(A34="","",IFERROR(VLOOKUP(A34,DB_Customers!$A:$D,4,0),"❌ Account Not Found"))</f>
        <v/>
      </c>
      <c r="C34" s="86" t="str">
        <f>IF(A34="","",IFERROR(IF(SUMIF(DB_Savings!$C:$C,A34,DB_Savings!$F:$F)=0,VLOOKUP(A34,DB_Customers!$A:$I,9,0),VLOOKUP(A34,DB_Customers!$A:$N,14,0)),"❌ Acct Not Found"))</f>
        <v/>
      </c>
      <c r="D34" s="87" t="str">
        <f t="shared" ca="1" si="0"/>
        <v/>
      </c>
      <c r="E34" s="79"/>
      <c r="F34" s="88" t="str">
        <f t="shared" si="1"/>
        <v/>
      </c>
      <c r="G34" s="43" t="s">
        <v>142</v>
      </c>
      <c r="H34" s="81"/>
      <c r="I34" s="89" t="str">
        <f>IF(A34="","Pending",IF(H34="","⚠️ Enter Agent Code",IF(IFERROR(VLOOKUP(G34,DB_Agents!$B:$I,8,0),"")=H34,IF(AND(A34&lt;&gt;"",E34&lt;&gt;""),"Saved","Pending"),"🔒 BLOCKED — Wrong Code")))</f>
        <v>Pending</v>
      </c>
      <c r="J34" s="90" t="str">
        <f t="shared" ca="1" si="2"/>
        <v>—</v>
      </c>
      <c r="K34" s="91"/>
    </row>
    <row r="35" spans="1:11" ht="15" customHeight="1" x14ac:dyDescent="0.25">
      <c r="A35" s="76"/>
      <c r="B35" s="37" t="str">
        <f>IF(A35="","",IFERROR(VLOOKUP(A35,DB_Customers!$A:$D,4,0),"❌ Account Not Found"))</f>
        <v/>
      </c>
      <c r="C35" s="77" t="str">
        <f>IF(A35="","",IFERROR(IF(SUMIF(DB_Savings!$C:$C,A35,DB_Savings!$F:$F)=0,VLOOKUP(A35,DB_Customers!$A:$I,9,0),VLOOKUP(A35,DB_Customers!$A:$N,14,0)),"❌ Acct Not Found"))</f>
        <v/>
      </c>
      <c r="D35" s="78" t="str">
        <f t="shared" ca="1" si="0"/>
        <v/>
      </c>
      <c r="E35" s="79"/>
      <c r="F35" s="80" t="str">
        <f t="shared" si="1"/>
        <v/>
      </c>
      <c r="G35" s="39" t="s">
        <v>142</v>
      </c>
      <c r="H35" s="81"/>
      <c r="I35" s="82" t="str">
        <f>IF(A35="","Pending",IF(H35="","⚠️ Enter Agent Code",IF(IFERROR(VLOOKUP(G35,DB_Agents!$B:$I,8,0),"")=H35,IF(AND(A35&lt;&gt;"",E35&lt;&gt;""),"Saved","Pending"),"🔒 BLOCKED — Wrong Code")))</f>
        <v>Pending</v>
      </c>
      <c r="J35" s="83" t="str">
        <f t="shared" ca="1" si="2"/>
        <v>—</v>
      </c>
      <c r="K35" s="84"/>
    </row>
    <row r="36" spans="1:11" ht="15" customHeight="1" x14ac:dyDescent="0.25">
      <c r="A36" s="85"/>
      <c r="B36" s="41" t="str">
        <f>IF(A36="","",IFERROR(VLOOKUP(A36,DB_Customers!$A:$D,4,0),"❌ Account Not Found"))</f>
        <v/>
      </c>
      <c r="C36" s="86" t="str">
        <f>IF(A36="","",IFERROR(IF(SUMIF(DB_Savings!$C:$C,A36,DB_Savings!$F:$F)=0,VLOOKUP(A36,DB_Customers!$A:$I,9,0),VLOOKUP(A36,DB_Customers!$A:$N,14,0)),"❌ Acct Not Found"))</f>
        <v/>
      </c>
      <c r="D36" s="87" t="str">
        <f t="shared" ca="1" si="0"/>
        <v/>
      </c>
      <c r="E36" s="79"/>
      <c r="F36" s="88" t="str">
        <f t="shared" si="1"/>
        <v/>
      </c>
      <c r="G36" s="43" t="s">
        <v>142</v>
      </c>
      <c r="H36" s="81"/>
      <c r="I36" s="89" t="str">
        <f>IF(A36="","Pending",IF(H36="","⚠️ Enter Agent Code",IF(IFERROR(VLOOKUP(G36,DB_Agents!$B:$I,8,0),"")=H36,IF(AND(A36&lt;&gt;"",E36&lt;&gt;""),"Saved","Pending"),"🔒 BLOCKED — Wrong Code")))</f>
        <v>Pending</v>
      </c>
      <c r="J36" s="90" t="str">
        <f t="shared" ca="1" si="2"/>
        <v>—</v>
      </c>
      <c r="K36" s="91"/>
    </row>
    <row r="37" spans="1:11" ht="15" customHeight="1" x14ac:dyDescent="0.25">
      <c r="A37" s="76"/>
      <c r="B37" s="37" t="str">
        <f>IF(A37="","",IFERROR(VLOOKUP(A37,DB_Customers!$A:$D,4,0),"❌ Account Not Found"))</f>
        <v/>
      </c>
      <c r="C37" s="77" t="str">
        <f>IF(A37="","",IFERROR(IF(SUMIF(DB_Savings!$C:$C,A37,DB_Savings!$F:$F)=0,VLOOKUP(A37,DB_Customers!$A:$I,9,0),VLOOKUP(A37,DB_Customers!$A:$N,14,0)),"❌ Acct Not Found"))</f>
        <v/>
      </c>
      <c r="D37" s="78" t="str">
        <f t="shared" ca="1" si="0"/>
        <v/>
      </c>
      <c r="E37" s="79"/>
      <c r="F37" s="80" t="str">
        <f t="shared" si="1"/>
        <v/>
      </c>
      <c r="G37" s="39" t="s">
        <v>142</v>
      </c>
      <c r="H37" s="81"/>
      <c r="I37" s="82" t="str">
        <f>IF(A37="","Pending",IF(H37="","⚠️ Enter Agent Code",IF(IFERROR(VLOOKUP(G37,DB_Agents!$B:$I,8,0),"")=H37,IF(AND(A37&lt;&gt;"",E37&lt;&gt;""),"Saved","Pending"),"🔒 BLOCKED — Wrong Code")))</f>
        <v>Pending</v>
      </c>
      <c r="J37" s="83" t="str">
        <f t="shared" ca="1" si="2"/>
        <v>—</v>
      </c>
      <c r="K37" s="84"/>
    </row>
    <row r="38" spans="1:11" ht="15" customHeight="1" x14ac:dyDescent="0.25">
      <c r="A38" s="85"/>
      <c r="B38" s="41" t="str">
        <f>IF(A38="","",IFERROR(VLOOKUP(A38,DB_Customers!$A:$D,4,0),"❌ Account Not Found"))</f>
        <v/>
      </c>
      <c r="C38" s="86" t="str">
        <f>IF(A38="","",IFERROR(IF(SUMIF(DB_Savings!$C:$C,A38,DB_Savings!$F:$F)=0,VLOOKUP(A38,DB_Customers!$A:$I,9,0),VLOOKUP(A38,DB_Customers!$A:$N,14,0)),"❌ Acct Not Found"))</f>
        <v/>
      </c>
      <c r="D38" s="87" t="str">
        <f t="shared" ca="1" si="0"/>
        <v/>
      </c>
      <c r="E38" s="79"/>
      <c r="F38" s="88" t="str">
        <f t="shared" si="1"/>
        <v/>
      </c>
      <c r="G38" s="43" t="s">
        <v>142</v>
      </c>
      <c r="H38" s="81"/>
      <c r="I38" s="89" t="str">
        <f>IF(A38="","Pending",IF(H38="","⚠️ Enter Agent Code",IF(IFERROR(VLOOKUP(G38,DB_Agents!$B:$I,8,0),"")=H38,IF(AND(A38&lt;&gt;"",E38&lt;&gt;""),"Saved","Pending"),"🔒 BLOCKED — Wrong Code")))</f>
        <v>Pending</v>
      </c>
      <c r="J38" s="90" t="str">
        <f t="shared" ca="1" si="2"/>
        <v>—</v>
      </c>
      <c r="K38" s="91"/>
    </row>
    <row r="39" spans="1:11" ht="15" customHeight="1" x14ac:dyDescent="0.25">
      <c r="A39" s="76"/>
      <c r="B39" s="37" t="str">
        <f>IF(A39="","",IFERROR(VLOOKUP(A39,DB_Customers!$A:$D,4,0),"❌ Account Not Found"))</f>
        <v/>
      </c>
      <c r="C39" s="77" t="str">
        <f>IF(A39="","",IFERROR(IF(SUMIF(DB_Savings!$C:$C,A39,DB_Savings!$F:$F)=0,VLOOKUP(A39,DB_Customers!$A:$I,9,0),VLOOKUP(A39,DB_Customers!$A:$N,14,0)),"❌ Acct Not Found"))</f>
        <v/>
      </c>
      <c r="D39" s="78" t="str">
        <f t="shared" ca="1" si="0"/>
        <v/>
      </c>
      <c r="E39" s="79"/>
      <c r="F39" s="80" t="str">
        <f t="shared" si="1"/>
        <v/>
      </c>
      <c r="G39" s="39" t="s">
        <v>142</v>
      </c>
      <c r="H39" s="81"/>
      <c r="I39" s="82" t="str">
        <f>IF(A39="","Pending",IF(H39="","⚠️ Enter Agent Code",IF(IFERROR(VLOOKUP(G39,DB_Agents!$B:$I,8,0),"")=H39,IF(AND(A39&lt;&gt;"",E39&lt;&gt;""),"Saved","Pending"),"🔒 BLOCKED — Wrong Code")))</f>
        <v>Pending</v>
      </c>
      <c r="J39" s="83" t="str">
        <f t="shared" ca="1" si="2"/>
        <v>—</v>
      </c>
      <c r="K39" s="84"/>
    </row>
    <row r="40" spans="1:11" ht="15" customHeight="1" x14ac:dyDescent="0.25">
      <c r="A40" s="85"/>
      <c r="B40" s="41" t="str">
        <f>IF(A40="","",IFERROR(VLOOKUP(A40,DB_Customers!$A:$D,4,0),"❌ Account Not Found"))</f>
        <v/>
      </c>
      <c r="C40" s="86" t="str">
        <f>IF(A40="","",IFERROR(IF(SUMIF(DB_Savings!$C:$C,A40,DB_Savings!$F:$F)=0,VLOOKUP(A40,DB_Customers!$A:$I,9,0),VLOOKUP(A40,DB_Customers!$A:$N,14,0)),"❌ Acct Not Found"))</f>
        <v/>
      </c>
      <c r="D40" s="87" t="str">
        <f t="shared" ca="1" si="0"/>
        <v/>
      </c>
      <c r="E40" s="79"/>
      <c r="F40" s="88" t="str">
        <f t="shared" si="1"/>
        <v/>
      </c>
      <c r="G40" s="43" t="s">
        <v>142</v>
      </c>
      <c r="H40" s="81"/>
      <c r="I40" s="89" t="str">
        <f>IF(A40="","Pending",IF(H40="","⚠️ Enter Agent Code",IF(IFERROR(VLOOKUP(G40,DB_Agents!$B:$I,8,0),"")=H40,IF(AND(A40&lt;&gt;"",E40&lt;&gt;""),"Saved","Pending"),"🔒 BLOCKED — Wrong Code")))</f>
        <v>Pending</v>
      </c>
      <c r="J40" s="90" t="str">
        <f t="shared" ca="1" si="2"/>
        <v>—</v>
      </c>
      <c r="K40" s="91"/>
    </row>
    <row r="41" spans="1:11" ht="15" customHeight="1" x14ac:dyDescent="0.25">
      <c r="A41" s="76"/>
      <c r="B41" s="37" t="str">
        <f>IF(A41="","",IFERROR(VLOOKUP(A41,DB_Customers!$A:$D,4,0),"❌ Account Not Found"))</f>
        <v/>
      </c>
      <c r="C41" s="77" t="str">
        <f>IF(A41="","",IFERROR(IF(SUMIF(DB_Savings!$C:$C,A41,DB_Savings!$F:$F)=0,VLOOKUP(A41,DB_Customers!$A:$I,9,0),VLOOKUP(A41,DB_Customers!$A:$N,14,0)),"❌ Acct Not Found"))</f>
        <v/>
      </c>
      <c r="D41" s="78" t="str">
        <f t="shared" ref="D41:D72" ca="1" si="3">IF(A41="","",TODAY())</f>
        <v/>
      </c>
      <c r="E41" s="79"/>
      <c r="F41" s="80" t="str">
        <f t="shared" ref="F41:F72" si="4">IF(OR(A41="",E41=""),"",IF(C41="","",C41+E41))</f>
        <v/>
      </c>
      <c r="G41" s="39" t="s">
        <v>142</v>
      </c>
      <c r="H41" s="81"/>
      <c r="I41" s="82" t="str">
        <f>IF(A41="","Pending",IF(H41="","⚠️ Enter Agent Code",IF(IFERROR(VLOOKUP(G41,DB_Agents!$B:$I,8,0),"")=H41,IF(AND(A41&lt;&gt;"",E41&lt;&gt;""),"Saved","Pending"),"🔒 BLOCKED — Wrong Code")))</f>
        <v>Pending</v>
      </c>
      <c r="J41" s="83" t="str">
        <f t="shared" ref="J41:J72" ca="1" si="5">IF(I41="Saved",TEXT(TODAY(),"YYYY-MM-DD")&amp;" Auto","—")</f>
        <v>—</v>
      </c>
      <c r="K41" s="84"/>
    </row>
    <row r="42" spans="1:11" ht="15" customHeight="1" x14ac:dyDescent="0.25">
      <c r="A42" s="85"/>
      <c r="B42" s="41" t="str">
        <f>IF(A42="","",IFERROR(VLOOKUP(A42,DB_Customers!$A:$D,4,0),"❌ Account Not Found"))</f>
        <v/>
      </c>
      <c r="C42" s="86" t="str">
        <f>IF(A42="","",IFERROR(IF(SUMIF(DB_Savings!$C:$C,A42,DB_Savings!$F:$F)=0,VLOOKUP(A42,DB_Customers!$A:$I,9,0),VLOOKUP(A42,DB_Customers!$A:$N,14,0)),"❌ Acct Not Found"))</f>
        <v/>
      </c>
      <c r="D42" s="87" t="str">
        <f t="shared" ca="1" si="3"/>
        <v/>
      </c>
      <c r="E42" s="79"/>
      <c r="F42" s="88" t="str">
        <f t="shared" si="4"/>
        <v/>
      </c>
      <c r="G42" s="43" t="s">
        <v>142</v>
      </c>
      <c r="H42" s="81"/>
      <c r="I42" s="89" t="str">
        <f>IF(A42="","Pending",IF(H42="","⚠️ Enter Agent Code",IF(IFERROR(VLOOKUP(G42,DB_Agents!$B:$I,8,0),"")=H42,IF(AND(A42&lt;&gt;"",E42&lt;&gt;""),"Saved","Pending"),"🔒 BLOCKED — Wrong Code")))</f>
        <v>Pending</v>
      </c>
      <c r="J42" s="90" t="str">
        <f t="shared" ca="1" si="5"/>
        <v>—</v>
      </c>
      <c r="K42" s="91"/>
    </row>
    <row r="43" spans="1:11" ht="15" customHeight="1" x14ac:dyDescent="0.25">
      <c r="A43" s="76"/>
      <c r="B43" s="37" t="str">
        <f>IF(A43="","",IFERROR(VLOOKUP(A43,DB_Customers!$A:$D,4,0),"❌ Account Not Found"))</f>
        <v/>
      </c>
      <c r="C43" s="77" t="str">
        <f>IF(A43="","",IFERROR(IF(SUMIF(DB_Savings!$C:$C,A43,DB_Savings!$F:$F)=0,VLOOKUP(A43,DB_Customers!$A:$I,9,0),VLOOKUP(A43,DB_Customers!$A:$N,14,0)),"❌ Acct Not Found"))</f>
        <v/>
      </c>
      <c r="D43" s="78" t="str">
        <f t="shared" ca="1" si="3"/>
        <v/>
      </c>
      <c r="E43" s="79"/>
      <c r="F43" s="80" t="str">
        <f t="shared" si="4"/>
        <v/>
      </c>
      <c r="G43" s="39" t="s">
        <v>142</v>
      </c>
      <c r="H43" s="81"/>
      <c r="I43" s="82" t="str">
        <f>IF(A43="","Pending",IF(H43="","⚠️ Enter Agent Code",IF(IFERROR(VLOOKUP(G43,DB_Agents!$B:$I,8,0),"")=H43,IF(AND(A43&lt;&gt;"",E43&lt;&gt;""),"Saved","Pending"),"🔒 BLOCKED — Wrong Code")))</f>
        <v>Pending</v>
      </c>
      <c r="J43" s="83" t="str">
        <f t="shared" ca="1" si="5"/>
        <v>—</v>
      </c>
      <c r="K43" s="84"/>
    </row>
    <row r="44" spans="1:11" ht="15" customHeight="1" x14ac:dyDescent="0.25">
      <c r="A44" s="85"/>
      <c r="B44" s="41" t="str">
        <f>IF(A44="","",IFERROR(VLOOKUP(A44,DB_Customers!$A:$D,4,0),"❌ Account Not Found"))</f>
        <v/>
      </c>
      <c r="C44" s="86" t="str">
        <f>IF(A44="","",IFERROR(IF(SUMIF(DB_Savings!$C:$C,A44,DB_Savings!$F:$F)=0,VLOOKUP(A44,DB_Customers!$A:$I,9,0),VLOOKUP(A44,DB_Customers!$A:$N,14,0)),"❌ Acct Not Found"))</f>
        <v/>
      </c>
      <c r="D44" s="87" t="str">
        <f t="shared" ca="1" si="3"/>
        <v/>
      </c>
      <c r="E44" s="79"/>
      <c r="F44" s="88" t="str">
        <f t="shared" si="4"/>
        <v/>
      </c>
      <c r="G44" s="43" t="s">
        <v>142</v>
      </c>
      <c r="H44" s="81"/>
      <c r="I44" s="89" t="str">
        <f>IF(A44="","Pending",IF(H44="","⚠️ Enter Agent Code",IF(IFERROR(VLOOKUP(G44,DB_Agents!$B:$I,8,0),"")=H44,IF(AND(A44&lt;&gt;"",E44&lt;&gt;""),"Saved","Pending"),"🔒 BLOCKED — Wrong Code")))</f>
        <v>Pending</v>
      </c>
      <c r="J44" s="90" t="str">
        <f t="shared" ca="1" si="5"/>
        <v>—</v>
      </c>
      <c r="K44" s="91"/>
    </row>
    <row r="45" spans="1:11" ht="15" customHeight="1" x14ac:dyDescent="0.25">
      <c r="A45" s="76"/>
      <c r="B45" s="37" t="str">
        <f>IF(A45="","",IFERROR(VLOOKUP(A45,DB_Customers!$A:$D,4,0),"❌ Account Not Found"))</f>
        <v/>
      </c>
      <c r="C45" s="77" t="str">
        <f>IF(A45="","",IFERROR(IF(SUMIF(DB_Savings!$C:$C,A45,DB_Savings!$F:$F)=0,VLOOKUP(A45,DB_Customers!$A:$I,9,0),VLOOKUP(A45,DB_Customers!$A:$N,14,0)),"❌ Acct Not Found"))</f>
        <v/>
      </c>
      <c r="D45" s="78" t="str">
        <f t="shared" ca="1" si="3"/>
        <v/>
      </c>
      <c r="E45" s="79"/>
      <c r="F45" s="80" t="str">
        <f t="shared" si="4"/>
        <v/>
      </c>
      <c r="G45" s="39" t="s">
        <v>142</v>
      </c>
      <c r="H45" s="81"/>
      <c r="I45" s="82" t="str">
        <f>IF(A45="","Pending",IF(H45="","⚠️ Enter Agent Code",IF(IFERROR(VLOOKUP(G45,DB_Agents!$B:$I,8,0),"")=H45,IF(AND(A45&lt;&gt;"",E45&lt;&gt;""),"Saved","Pending"),"🔒 BLOCKED — Wrong Code")))</f>
        <v>Pending</v>
      </c>
      <c r="J45" s="83" t="str">
        <f t="shared" ca="1" si="5"/>
        <v>—</v>
      </c>
      <c r="K45" s="84"/>
    </row>
    <row r="46" spans="1:11" ht="15" customHeight="1" x14ac:dyDescent="0.25">
      <c r="A46" s="85"/>
      <c r="B46" s="41" t="str">
        <f>IF(A46="","",IFERROR(VLOOKUP(A46,DB_Customers!$A:$D,4,0),"❌ Account Not Found"))</f>
        <v/>
      </c>
      <c r="C46" s="86" t="str">
        <f>IF(A46="","",IFERROR(IF(SUMIF(DB_Savings!$C:$C,A46,DB_Savings!$F:$F)=0,VLOOKUP(A46,DB_Customers!$A:$I,9,0),VLOOKUP(A46,DB_Customers!$A:$N,14,0)),"❌ Acct Not Found"))</f>
        <v/>
      </c>
      <c r="D46" s="87" t="str">
        <f t="shared" ca="1" si="3"/>
        <v/>
      </c>
      <c r="E46" s="79"/>
      <c r="F46" s="88" t="str">
        <f t="shared" si="4"/>
        <v/>
      </c>
      <c r="G46" s="43" t="s">
        <v>142</v>
      </c>
      <c r="H46" s="81"/>
      <c r="I46" s="89" t="str">
        <f>IF(A46="","Pending",IF(H46="","⚠️ Enter Agent Code",IF(IFERROR(VLOOKUP(G46,DB_Agents!$B:$I,8,0),"")=H46,IF(AND(A46&lt;&gt;"",E46&lt;&gt;""),"Saved","Pending"),"🔒 BLOCKED — Wrong Code")))</f>
        <v>Pending</v>
      </c>
      <c r="J46" s="90" t="str">
        <f t="shared" ca="1" si="5"/>
        <v>—</v>
      </c>
      <c r="K46" s="91"/>
    </row>
    <row r="47" spans="1:11" ht="15" customHeight="1" x14ac:dyDescent="0.25">
      <c r="A47" s="76"/>
      <c r="B47" s="37" t="str">
        <f>IF(A47="","",IFERROR(VLOOKUP(A47,DB_Customers!$A:$D,4,0),"❌ Account Not Found"))</f>
        <v/>
      </c>
      <c r="C47" s="77" t="str">
        <f>IF(A47="","",IFERROR(IF(SUMIF(DB_Savings!$C:$C,A47,DB_Savings!$F:$F)=0,VLOOKUP(A47,DB_Customers!$A:$I,9,0),VLOOKUP(A47,DB_Customers!$A:$N,14,0)),"❌ Acct Not Found"))</f>
        <v/>
      </c>
      <c r="D47" s="78" t="str">
        <f t="shared" ca="1" si="3"/>
        <v/>
      </c>
      <c r="E47" s="79"/>
      <c r="F47" s="80" t="str">
        <f t="shared" si="4"/>
        <v/>
      </c>
      <c r="G47" s="39" t="s">
        <v>142</v>
      </c>
      <c r="H47" s="81"/>
      <c r="I47" s="82" t="str">
        <f>IF(A47="","Pending",IF(H47="","⚠️ Enter Agent Code",IF(IFERROR(VLOOKUP(G47,DB_Agents!$B:$I,8,0),"")=H47,IF(AND(A47&lt;&gt;"",E47&lt;&gt;""),"Saved","Pending"),"🔒 BLOCKED — Wrong Code")))</f>
        <v>Pending</v>
      </c>
      <c r="J47" s="83" t="str">
        <f t="shared" ca="1" si="5"/>
        <v>—</v>
      </c>
      <c r="K47" s="84"/>
    </row>
    <row r="48" spans="1:11" ht="15" customHeight="1" x14ac:dyDescent="0.25">
      <c r="A48" s="85"/>
      <c r="B48" s="41" t="str">
        <f>IF(A48="","",IFERROR(VLOOKUP(A48,DB_Customers!$A:$D,4,0),"❌ Account Not Found"))</f>
        <v/>
      </c>
      <c r="C48" s="86" t="str">
        <f>IF(A48="","",IFERROR(IF(SUMIF(DB_Savings!$C:$C,A48,DB_Savings!$F:$F)=0,VLOOKUP(A48,DB_Customers!$A:$I,9,0),VLOOKUP(A48,DB_Customers!$A:$N,14,0)),"❌ Acct Not Found"))</f>
        <v/>
      </c>
      <c r="D48" s="87" t="str">
        <f t="shared" ca="1" si="3"/>
        <v/>
      </c>
      <c r="E48" s="79"/>
      <c r="F48" s="88" t="str">
        <f t="shared" si="4"/>
        <v/>
      </c>
      <c r="G48" s="43" t="s">
        <v>142</v>
      </c>
      <c r="H48" s="81"/>
      <c r="I48" s="89" t="str">
        <f>IF(A48="","Pending",IF(H48="","⚠️ Enter Agent Code",IF(IFERROR(VLOOKUP(G48,DB_Agents!$B:$I,8,0),"")=H48,IF(AND(A48&lt;&gt;"",E48&lt;&gt;""),"Saved","Pending"),"🔒 BLOCKED — Wrong Code")))</f>
        <v>Pending</v>
      </c>
      <c r="J48" s="90" t="str">
        <f t="shared" ca="1" si="5"/>
        <v>—</v>
      </c>
      <c r="K48" s="91"/>
    </row>
    <row r="49" spans="1:11" ht="15" customHeight="1" x14ac:dyDescent="0.25">
      <c r="A49" s="76"/>
      <c r="B49" s="37" t="str">
        <f>IF(A49="","",IFERROR(VLOOKUP(A49,DB_Customers!$A:$D,4,0),"❌ Account Not Found"))</f>
        <v/>
      </c>
      <c r="C49" s="77" t="str">
        <f>IF(A49="","",IFERROR(IF(SUMIF(DB_Savings!$C:$C,A49,DB_Savings!$F:$F)=0,VLOOKUP(A49,DB_Customers!$A:$I,9,0),VLOOKUP(A49,DB_Customers!$A:$N,14,0)),"❌ Acct Not Found"))</f>
        <v/>
      </c>
      <c r="D49" s="78" t="str">
        <f t="shared" ca="1" si="3"/>
        <v/>
      </c>
      <c r="E49" s="79"/>
      <c r="F49" s="80" t="str">
        <f t="shared" si="4"/>
        <v/>
      </c>
      <c r="G49" s="39" t="s">
        <v>142</v>
      </c>
      <c r="H49" s="81"/>
      <c r="I49" s="82" t="str">
        <f>IF(A49="","Pending",IF(H49="","⚠️ Enter Agent Code",IF(IFERROR(VLOOKUP(G49,DB_Agents!$B:$I,8,0),"")=H49,IF(AND(A49&lt;&gt;"",E49&lt;&gt;""),"Saved","Pending"),"🔒 BLOCKED — Wrong Code")))</f>
        <v>Pending</v>
      </c>
      <c r="J49" s="83" t="str">
        <f t="shared" ca="1" si="5"/>
        <v>—</v>
      </c>
      <c r="K49" s="84"/>
    </row>
    <row r="50" spans="1:11" ht="15" customHeight="1" x14ac:dyDescent="0.25">
      <c r="A50" s="85"/>
      <c r="B50" s="41" t="str">
        <f>IF(A50="","",IFERROR(VLOOKUP(A50,DB_Customers!$A:$D,4,0),"❌ Account Not Found"))</f>
        <v/>
      </c>
      <c r="C50" s="86" t="str">
        <f>IF(A50="","",IFERROR(IF(SUMIF(DB_Savings!$C:$C,A50,DB_Savings!$F:$F)=0,VLOOKUP(A50,DB_Customers!$A:$I,9,0),VLOOKUP(A50,DB_Customers!$A:$N,14,0)),"❌ Acct Not Found"))</f>
        <v/>
      </c>
      <c r="D50" s="87" t="str">
        <f t="shared" ca="1" si="3"/>
        <v/>
      </c>
      <c r="E50" s="79"/>
      <c r="F50" s="88" t="str">
        <f t="shared" si="4"/>
        <v/>
      </c>
      <c r="G50" s="43" t="s">
        <v>142</v>
      </c>
      <c r="H50" s="81"/>
      <c r="I50" s="89" t="str">
        <f>IF(A50="","Pending",IF(H50="","⚠️ Enter Agent Code",IF(IFERROR(VLOOKUP(G50,DB_Agents!$B:$I,8,0),"")=H50,IF(AND(A50&lt;&gt;"",E50&lt;&gt;""),"Saved","Pending"),"🔒 BLOCKED — Wrong Code")))</f>
        <v>Pending</v>
      </c>
      <c r="J50" s="90" t="str">
        <f t="shared" ca="1" si="5"/>
        <v>—</v>
      </c>
      <c r="K50" s="91"/>
    </row>
    <row r="51" spans="1:11" ht="15" customHeight="1" x14ac:dyDescent="0.25">
      <c r="A51" s="76"/>
      <c r="B51" s="37" t="str">
        <f>IF(A51="","",IFERROR(VLOOKUP(A51,DB_Customers!$A:$D,4,0),"❌ Account Not Found"))</f>
        <v/>
      </c>
      <c r="C51" s="77" t="str">
        <f>IF(A51="","",IFERROR(IF(SUMIF(DB_Savings!$C:$C,A51,DB_Savings!$F:$F)=0,VLOOKUP(A51,DB_Customers!$A:$I,9,0),VLOOKUP(A51,DB_Customers!$A:$N,14,0)),"❌ Acct Not Found"))</f>
        <v/>
      </c>
      <c r="D51" s="78" t="str">
        <f t="shared" ca="1" si="3"/>
        <v/>
      </c>
      <c r="E51" s="79"/>
      <c r="F51" s="80" t="str">
        <f t="shared" si="4"/>
        <v/>
      </c>
      <c r="G51" s="39" t="s">
        <v>142</v>
      </c>
      <c r="H51" s="81"/>
      <c r="I51" s="82" t="str">
        <f>IF(A51="","Pending",IF(H51="","⚠️ Enter Agent Code",IF(IFERROR(VLOOKUP(G51,DB_Agents!$B:$I,8,0),"")=H51,IF(AND(A51&lt;&gt;"",E51&lt;&gt;""),"Saved","Pending"),"🔒 BLOCKED — Wrong Code")))</f>
        <v>Pending</v>
      </c>
      <c r="J51" s="83" t="str">
        <f t="shared" ca="1" si="5"/>
        <v>—</v>
      </c>
      <c r="K51" s="84"/>
    </row>
    <row r="52" spans="1:11" ht="15" customHeight="1" x14ac:dyDescent="0.25">
      <c r="A52" s="85"/>
      <c r="B52" s="41" t="str">
        <f>IF(A52="","",IFERROR(VLOOKUP(A52,DB_Customers!$A:$D,4,0),"❌ Account Not Found"))</f>
        <v/>
      </c>
      <c r="C52" s="86" t="str">
        <f>IF(A52="","",IFERROR(IF(SUMIF(DB_Savings!$C:$C,A52,DB_Savings!$F:$F)=0,VLOOKUP(A52,DB_Customers!$A:$I,9,0),VLOOKUP(A52,DB_Customers!$A:$N,14,0)),"❌ Acct Not Found"))</f>
        <v/>
      </c>
      <c r="D52" s="87" t="str">
        <f t="shared" ca="1" si="3"/>
        <v/>
      </c>
      <c r="E52" s="79"/>
      <c r="F52" s="88" t="str">
        <f t="shared" si="4"/>
        <v/>
      </c>
      <c r="G52" s="43" t="s">
        <v>142</v>
      </c>
      <c r="H52" s="81"/>
      <c r="I52" s="89" t="str">
        <f>IF(A52="","Pending",IF(H52="","⚠️ Enter Agent Code",IF(IFERROR(VLOOKUP(G52,DB_Agents!$B:$I,8,0),"")=H52,IF(AND(A52&lt;&gt;"",E52&lt;&gt;""),"Saved","Pending"),"🔒 BLOCKED — Wrong Code")))</f>
        <v>Pending</v>
      </c>
      <c r="J52" s="90" t="str">
        <f t="shared" ca="1" si="5"/>
        <v>—</v>
      </c>
      <c r="K52" s="91"/>
    </row>
    <row r="53" spans="1:11" ht="15" customHeight="1" x14ac:dyDescent="0.25">
      <c r="A53" s="76"/>
      <c r="B53" s="37" t="str">
        <f>IF(A53="","",IFERROR(VLOOKUP(A53,DB_Customers!$A:$D,4,0),"❌ Account Not Found"))</f>
        <v/>
      </c>
      <c r="C53" s="77" t="str">
        <f>IF(A53="","",IFERROR(IF(SUMIF(DB_Savings!$C:$C,A53,DB_Savings!$F:$F)=0,VLOOKUP(A53,DB_Customers!$A:$I,9,0),VLOOKUP(A53,DB_Customers!$A:$N,14,0)),"❌ Acct Not Found"))</f>
        <v/>
      </c>
      <c r="D53" s="78" t="str">
        <f t="shared" ca="1" si="3"/>
        <v/>
      </c>
      <c r="E53" s="79"/>
      <c r="F53" s="80" t="str">
        <f t="shared" si="4"/>
        <v/>
      </c>
      <c r="G53" s="39" t="s">
        <v>142</v>
      </c>
      <c r="H53" s="81"/>
      <c r="I53" s="82" t="str">
        <f>IF(A53="","Pending",IF(H53="","⚠️ Enter Agent Code",IF(IFERROR(VLOOKUP(G53,DB_Agents!$B:$I,8,0),"")=H53,IF(AND(A53&lt;&gt;"",E53&lt;&gt;""),"Saved","Pending"),"🔒 BLOCKED — Wrong Code")))</f>
        <v>Pending</v>
      </c>
      <c r="J53" s="83" t="str">
        <f t="shared" ca="1" si="5"/>
        <v>—</v>
      </c>
      <c r="K53" s="84"/>
    </row>
    <row r="54" spans="1:11" ht="15" customHeight="1" x14ac:dyDescent="0.25">
      <c r="A54" s="85"/>
      <c r="B54" s="41" t="str">
        <f>IF(A54="","",IFERROR(VLOOKUP(A54,DB_Customers!$A:$D,4,0),"❌ Account Not Found"))</f>
        <v/>
      </c>
      <c r="C54" s="86" t="str">
        <f>IF(A54="","",IFERROR(IF(SUMIF(DB_Savings!$C:$C,A54,DB_Savings!$F:$F)=0,VLOOKUP(A54,DB_Customers!$A:$I,9,0),VLOOKUP(A54,DB_Customers!$A:$N,14,0)),"❌ Acct Not Found"))</f>
        <v/>
      </c>
      <c r="D54" s="87" t="str">
        <f t="shared" ca="1" si="3"/>
        <v/>
      </c>
      <c r="E54" s="79"/>
      <c r="F54" s="88" t="str">
        <f t="shared" si="4"/>
        <v/>
      </c>
      <c r="G54" s="43" t="s">
        <v>142</v>
      </c>
      <c r="H54" s="81"/>
      <c r="I54" s="89" t="str">
        <f>IF(A54="","Pending",IF(H54="","⚠️ Enter Agent Code",IF(IFERROR(VLOOKUP(G54,DB_Agents!$B:$I,8,0),"")=H54,IF(AND(A54&lt;&gt;"",E54&lt;&gt;""),"Saved","Pending"),"🔒 BLOCKED — Wrong Code")))</f>
        <v>Pending</v>
      </c>
      <c r="J54" s="90" t="str">
        <f t="shared" ca="1" si="5"/>
        <v>—</v>
      </c>
      <c r="K54" s="91"/>
    </row>
    <row r="55" spans="1:11" ht="15" customHeight="1" x14ac:dyDescent="0.25">
      <c r="A55" s="76"/>
      <c r="B55" s="37" t="str">
        <f>IF(A55="","",IFERROR(VLOOKUP(A55,DB_Customers!$A:$D,4,0),"❌ Account Not Found"))</f>
        <v/>
      </c>
      <c r="C55" s="77" t="str">
        <f>IF(A55="","",IFERROR(IF(SUMIF(DB_Savings!$C:$C,A55,DB_Savings!$F:$F)=0,VLOOKUP(A55,DB_Customers!$A:$I,9,0),VLOOKUP(A55,DB_Customers!$A:$N,14,0)),"❌ Acct Not Found"))</f>
        <v/>
      </c>
      <c r="D55" s="78" t="str">
        <f t="shared" ca="1" si="3"/>
        <v/>
      </c>
      <c r="E55" s="79"/>
      <c r="F55" s="80" t="str">
        <f t="shared" si="4"/>
        <v/>
      </c>
      <c r="G55" s="39" t="s">
        <v>142</v>
      </c>
      <c r="H55" s="81"/>
      <c r="I55" s="82" t="str">
        <f>IF(A55="","Pending",IF(H55="","⚠️ Enter Agent Code",IF(IFERROR(VLOOKUP(G55,DB_Agents!$B:$I,8,0),"")=H55,IF(AND(A55&lt;&gt;"",E55&lt;&gt;""),"Saved","Pending"),"🔒 BLOCKED — Wrong Code")))</f>
        <v>Pending</v>
      </c>
      <c r="J55" s="83" t="str">
        <f t="shared" ca="1" si="5"/>
        <v>—</v>
      </c>
      <c r="K55" s="84"/>
    </row>
    <row r="56" spans="1:11" ht="15" customHeight="1" x14ac:dyDescent="0.25">
      <c r="A56" s="85"/>
      <c r="B56" s="41" t="str">
        <f>IF(A56="","",IFERROR(VLOOKUP(A56,DB_Customers!$A:$D,4,0),"❌ Account Not Found"))</f>
        <v/>
      </c>
      <c r="C56" s="86" t="str">
        <f>IF(A56="","",IFERROR(IF(SUMIF(DB_Savings!$C:$C,A56,DB_Savings!$F:$F)=0,VLOOKUP(A56,DB_Customers!$A:$I,9,0),VLOOKUP(A56,DB_Customers!$A:$N,14,0)),"❌ Acct Not Found"))</f>
        <v/>
      </c>
      <c r="D56" s="87" t="str">
        <f t="shared" ca="1" si="3"/>
        <v/>
      </c>
      <c r="E56" s="79"/>
      <c r="F56" s="88" t="str">
        <f t="shared" si="4"/>
        <v/>
      </c>
      <c r="G56" s="43" t="s">
        <v>142</v>
      </c>
      <c r="H56" s="81"/>
      <c r="I56" s="89" t="str">
        <f>IF(A56="","Pending",IF(H56="","⚠️ Enter Agent Code",IF(IFERROR(VLOOKUP(G56,DB_Agents!$B:$I,8,0),"")=H56,IF(AND(A56&lt;&gt;"",E56&lt;&gt;""),"Saved","Pending"),"🔒 BLOCKED — Wrong Code")))</f>
        <v>Pending</v>
      </c>
      <c r="J56" s="90" t="str">
        <f t="shared" ca="1" si="5"/>
        <v>—</v>
      </c>
      <c r="K56" s="91"/>
    </row>
    <row r="57" spans="1:11" ht="15" customHeight="1" x14ac:dyDescent="0.25">
      <c r="A57" s="76"/>
      <c r="B57" s="37" t="str">
        <f>IF(A57="","",IFERROR(VLOOKUP(A57,DB_Customers!$A:$D,4,0),"❌ Account Not Found"))</f>
        <v/>
      </c>
      <c r="C57" s="77" t="str">
        <f>IF(A57="","",IFERROR(IF(SUMIF(DB_Savings!$C:$C,A57,DB_Savings!$F:$F)=0,VLOOKUP(A57,DB_Customers!$A:$I,9,0),VLOOKUP(A57,DB_Customers!$A:$N,14,0)),"❌ Acct Not Found"))</f>
        <v/>
      </c>
      <c r="D57" s="78" t="str">
        <f t="shared" ca="1" si="3"/>
        <v/>
      </c>
      <c r="E57" s="79"/>
      <c r="F57" s="80" t="str">
        <f t="shared" si="4"/>
        <v/>
      </c>
      <c r="G57" s="39" t="s">
        <v>142</v>
      </c>
      <c r="H57" s="81"/>
      <c r="I57" s="82" t="str">
        <f>IF(A57="","Pending",IF(H57="","⚠️ Enter Agent Code",IF(IFERROR(VLOOKUP(G57,DB_Agents!$B:$I,8,0),"")=H57,IF(AND(A57&lt;&gt;"",E57&lt;&gt;""),"Saved","Pending"),"🔒 BLOCKED — Wrong Code")))</f>
        <v>Pending</v>
      </c>
      <c r="J57" s="83" t="str">
        <f t="shared" ca="1" si="5"/>
        <v>—</v>
      </c>
      <c r="K57" s="84"/>
    </row>
    <row r="58" spans="1:11" ht="15" customHeight="1" x14ac:dyDescent="0.25">
      <c r="A58" s="85"/>
      <c r="B58" s="41" t="str">
        <f>IF(A58="","",IFERROR(VLOOKUP(A58,DB_Customers!$A:$D,4,0),"❌ Account Not Found"))</f>
        <v/>
      </c>
      <c r="C58" s="86" t="str">
        <f>IF(A58="","",IFERROR(IF(SUMIF(DB_Savings!$C:$C,A58,DB_Savings!$F:$F)=0,VLOOKUP(A58,DB_Customers!$A:$I,9,0),VLOOKUP(A58,DB_Customers!$A:$N,14,0)),"❌ Acct Not Found"))</f>
        <v/>
      </c>
      <c r="D58" s="87" t="str">
        <f t="shared" ca="1" si="3"/>
        <v/>
      </c>
      <c r="E58" s="79"/>
      <c r="F58" s="88" t="str">
        <f t="shared" si="4"/>
        <v/>
      </c>
      <c r="G58" s="43" t="s">
        <v>142</v>
      </c>
      <c r="H58" s="81"/>
      <c r="I58" s="89" t="str">
        <f>IF(A58="","Pending",IF(H58="","⚠️ Enter Agent Code",IF(IFERROR(VLOOKUP(G58,DB_Agents!$B:$I,8,0),"")=H58,IF(AND(A58&lt;&gt;"",E58&lt;&gt;""),"Saved","Pending"),"🔒 BLOCKED — Wrong Code")))</f>
        <v>Pending</v>
      </c>
      <c r="J58" s="90" t="str">
        <f t="shared" ca="1" si="5"/>
        <v>—</v>
      </c>
      <c r="K58" s="91"/>
    </row>
    <row r="59" spans="1:11" ht="15" customHeight="1" x14ac:dyDescent="0.25">
      <c r="A59" s="76"/>
      <c r="B59" s="37" t="str">
        <f>IF(A59="","",IFERROR(VLOOKUP(A59,DB_Customers!$A:$D,4,0),"❌ Account Not Found"))</f>
        <v/>
      </c>
      <c r="C59" s="77" t="str">
        <f>IF(A59="","",IFERROR(IF(SUMIF(DB_Savings!$C:$C,A59,DB_Savings!$F:$F)=0,VLOOKUP(A59,DB_Customers!$A:$I,9,0),VLOOKUP(A59,DB_Customers!$A:$N,14,0)),"❌ Acct Not Found"))</f>
        <v/>
      </c>
      <c r="D59" s="78" t="str">
        <f t="shared" ca="1" si="3"/>
        <v/>
      </c>
      <c r="E59" s="79"/>
      <c r="F59" s="80" t="str">
        <f t="shared" si="4"/>
        <v/>
      </c>
      <c r="G59" s="39" t="s">
        <v>142</v>
      </c>
      <c r="H59" s="81"/>
      <c r="I59" s="82" t="str">
        <f>IF(A59="","Pending",IF(H59="","⚠️ Enter Agent Code",IF(IFERROR(VLOOKUP(G59,DB_Agents!$B:$I,8,0),"")=H59,IF(AND(A59&lt;&gt;"",E59&lt;&gt;""),"Saved","Pending"),"🔒 BLOCKED — Wrong Code")))</f>
        <v>Pending</v>
      </c>
      <c r="J59" s="83" t="str">
        <f t="shared" ca="1" si="5"/>
        <v>—</v>
      </c>
      <c r="K59" s="84"/>
    </row>
    <row r="60" spans="1:11" ht="15" customHeight="1" x14ac:dyDescent="0.25">
      <c r="A60" s="85"/>
      <c r="B60" s="41" t="str">
        <f>IF(A60="","",IFERROR(VLOOKUP(A60,DB_Customers!$A:$D,4,0),"❌ Account Not Found"))</f>
        <v/>
      </c>
      <c r="C60" s="86" t="str">
        <f>IF(A60="","",IFERROR(IF(SUMIF(DB_Savings!$C:$C,A60,DB_Savings!$F:$F)=0,VLOOKUP(A60,DB_Customers!$A:$I,9,0),VLOOKUP(A60,DB_Customers!$A:$N,14,0)),"❌ Acct Not Found"))</f>
        <v/>
      </c>
      <c r="D60" s="87" t="str">
        <f t="shared" ca="1" si="3"/>
        <v/>
      </c>
      <c r="E60" s="79"/>
      <c r="F60" s="88" t="str">
        <f t="shared" si="4"/>
        <v/>
      </c>
      <c r="G60" s="43" t="s">
        <v>142</v>
      </c>
      <c r="H60" s="81"/>
      <c r="I60" s="89" t="str">
        <f>IF(A60="","Pending",IF(H60="","⚠️ Enter Agent Code",IF(IFERROR(VLOOKUP(G60,DB_Agents!$B:$I,8,0),"")=H60,IF(AND(A60&lt;&gt;"",E60&lt;&gt;""),"Saved","Pending"),"🔒 BLOCKED — Wrong Code")))</f>
        <v>Pending</v>
      </c>
      <c r="J60" s="90" t="str">
        <f t="shared" ca="1" si="5"/>
        <v>—</v>
      </c>
      <c r="K60" s="91"/>
    </row>
    <row r="61" spans="1:11" ht="15" customHeight="1" x14ac:dyDescent="0.25">
      <c r="A61" s="76"/>
      <c r="B61" s="37" t="str">
        <f>IF(A61="","",IFERROR(VLOOKUP(A61,DB_Customers!$A:$D,4,0),"❌ Account Not Found"))</f>
        <v/>
      </c>
      <c r="C61" s="77" t="str">
        <f>IF(A61="","",IFERROR(IF(SUMIF(DB_Savings!$C:$C,A61,DB_Savings!$F:$F)=0,VLOOKUP(A61,DB_Customers!$A:$I,9,0),VLOOKUP(A61,DB_Customers!$A:$N,14,0)),"❌ Acct Not Found"))</f>
        <v/>
      </c>
      <c r="D61" s="78" t="str">
        <f t="shared" ca="1" si="3"/>
        <v/>
      </c>
      <c r="E61" s="79"/>
      <c r="F61" s="80" t="str">
        <f t="shared" si="4"/>
        <v/>
      </c>
      <c r="G61" s="39" t="s">
        <v>142</v>
      </c>
      <c r="H61" s="81"/>
      <c r="I61" s="82" t="str">
        <f>IF(A61="","Pending",IF(H61="","⚠️ Enter Agent Code",IF(IFERROR(VLOOKUP(G61,DB_Agents!$B:$I,8,0),"")=H61,IF(AND(A61&lt;&gt;"",E61&lt;&gt;""),"Saved","Pending"),"🔒 BLOCKED — Wrong Code")))</f>
        <v>Pending</v>
      </c>
      <c r="J61" s="83" t="str">
        <f t="shared" ca="1" si="5"/>
        <v>—</v>
      </c>
      <c r="K61" s="84"/>
    </row>
    <row r="62" spans="1:11" ht="15" customHeight="1" x14ac:dyDescent="0.25">
      <c r="A62" s="85"/>
      <c r="B62" s="41" t="str">
        <f>IF(A62="","",IFERROR(VLOOKUP(A62,DB_Customers!$A:$D,4,0),"❌ Account Not Found"))</f>
        <v/>
      </c>
      <c r="C62" s="86" t="str">
        <f>IF(A62="","",IFERROR(IF(SUMIF(DB_Savings!$C:$C,A62,DB_Savings!$F:$F)=0,VLOOKUP(A62,DB_Customers!$A:$I,9,0),VLOOKUP(A62,DB_Customers!$A:$N,14,0)),"❌ Acct Not Found"))</f>
        <v/>
      </c>
      <c r="D62" s="87" t="str">
        <f t="shared" ca="1" si="3"/>
        <v/>
      </c>
      <c r="E62" s="79"/>
      <c r="F62" s="88" t="str">
        <f t="shared" si="4"/>
        <v/>
      </c>
      <c r="G62" s="43" t="s">
        <v>142</v>
      </c>
      <c r="H62" s="81"/>
      <c r="I62" s="89" t="str">
        <f>IF(A62="","Pending",IF(H62="","⚠️ Enter Agent Code",IF(IFERROR(VLOOKUP(G62,DB_Agents!$B:$I,8,0),"")=H62,IF(AND(A62&lt;&gt;"",E62&lt;&gt;""),"Saved","Pending"),"🔒 BLOCKED — Wrong Code")))</f>
        <v>Pending</v>
      </c>
      <c r="J62" s="90" t="str">
        <f t="shared" ca="1" si="5"/>
        <v>—</v>
      </c>
      <c r="K62" s="91"/>
    </row>
    <row r="63" spans="1:11" ht="15" customHeight="1" x14ac:dyDescent="0.25">
      <c r="A63" s="76"/>
      <c r="B63" s="37" t="str">
        <f>IF(A63="","",IFERROR(VLOOKUP(A63,DB_Customers!$A:$D,4,0),"❌ Account Not Found"))</f>
        <v/>
      </c>
      <c r="C63" s="77" t="str">
        <f>IF(A63="","",IFERROR(IF(SUMIF(DB_Savings!$C:$C,A63,DB_Savings!$F:$F)=0,VLOOKUP(A63,DB_Customers!$A:$I,9,0),VLOOKUP(A63,DB_Customers!$A:$N,14,0)),"❌ Acct Not Found"))</f>
        <v/>
      </c>
      <c r="D63" s="78" t="str">
        <f t="shared" ca="1" si="3"/>
        <v/>
      </c>
      <c r="E63" s="79"/>
      <c r="F63" s="80" t="str">
        <f t="shared" si="4"/>
        <v/>
      </c>
      <c r="G63" s="39" t="s">
        <v>142</v>
      </c>
      <c r="H63" s="81"/>
      <c r="I63" s="82" t="str">
        <f>IF(A63="","Pending",IF(H63="","⚠️ Enter Agent Code",IF(IFERROR(VLOOKUP(G63,DB_Agents!$B:$I,8,0),"")=H63,IF(AND(A63&lt;&gt;"",E63&lt;&gt;""),"Saved","Pending"),"🔒 BLOCKED — Wrong Code")))</f>
        <v>Pending</v>
      </c>
      <c r="J63" s="83" t="str">
        <f t="shared" ca="1" si="5"/>
        <v>—</v>
      </c>
      <c r="K63" s="84"/>
    </row>
    <row r="64" spans="1:11" ht="15" customHeight="1" x14ac:dyDescent="0.25">
      <c r="A64" s="85"/>
      <c r="B64" s="41" t="str">
        <f>IF(A64="","",IFERROR(VLOOKUP(A64,DB_Customers!$A:$D,4,0),"❌ Account Not Found"))</f>
        <v/>
      </c>
      <c r="C64" s="86" t="str">
        <f>IF(A64="","",IFERROR(IF(SUMIF(DB_Savings!$C:$C,A64,DB_Savings!$F:$F)=0,VLOOKUP(A64,DB_Customers!$A:$I,9,0),VLOOKUP(A64,DB_Customers!$A:$N,14,0)),"❌ Acct Not Found"))</f>
        <v/>
      </c>
      <c r="D64" s="87" t="str">
        <f t="shared" ca="1" si="3"/>
        <v/>
      </c>
      <c r="E64" s="79"/>
      <c r="F64" s="88" t="str">
        <f t="shared" si="4"/>
        <v/>
      </c>
      <c r="G64" s="43" t="s">
        <v>142</v>
      </c>
      <c r="H64" s="81"/>
      <c r="I64" s="89" t="str">
        <f>IF(A64="","Pending",IF(H64="","⚠️ Enter Agent Code",IF(IFERROR(VLOOKUP(G64,DB_Agents!$B:$I,8,0),"")=H64,IF(AND(A64&lt;&gt;"",E64&lt;&gt;""),"Saved","Pending"),"🔒 BLOCKED — Wrong Code")))</f>
        <v>Pending</v>
      </c>
      <c r="J64" s="90" t="str">
        <f t="shared" ca="1" si="5"/>
        <v>—</v>
      </c>
      <c r="K64" s="91"/>
    </row>
    <row r="65" spans="1:11" ht="15" customHeight="1" x14ac:dyDescent="0.25">
      <c r="A65" s="76"/>
      <c r="B65" s="37" t="str">
        <f>IF(A65="","",IFERROR(VLOOKUP(A65,DB_Customers!$A:$D,4,0),"❌ Account Not Found"))</f>
        <v/>
      </c>
      <c r="C65" s="77" t="str">
        <f>IF(A65="","",IFERROR(IF(SUMIF(DB_Savings!$C:$C,A65,DB_Savings!$F:$F)=0,VLOOKUP(A65,DB_Customers!$A:$I,9,0),VLOOKUP(A65,DB_Customers!$A:$N,14,0)),"❌ Acct Not Found"))</f>
        <v/>
      </c>
      <c r="D65" s="78" t="str">
        <f t="shared" ca="1" si="3"/>
        <v/>
      </c>
      <c r="E65" s="79"/>
      <c r="F65" s="80" t="str">
        <f t="shared" si="4"/>
        <v/>
      </c>
      <c r="G65" s="39" t="s">
        <v>142</v>
      </c>
      <c r="H65" s="81"/>
      <c r="I65" s="82" t="str">
        <f>IF(A65="","Pending",IF(H65="","⚠️ Enter Agent Code",IF(IFERROR(VLOOKUP(G65,DB_Agents!$B:$I,8,0),"")=H65,IF(AND(A65&lt;&gt;"",E65&lt;&gt;""),"Saved","Pending"),"🔒 BLOCKED — Wrong Code")))</f>
        <v>Pending</v>
      </c>
      <c r="J65" s="83" t="str">
        <f t="shared" ca="1" si="5"/>
        <v>—</v>
      </c>
      <c r="K65" s="84"/>
    </row>
    <row r="66" spans="1:11" ht="15" customHeight="1" x14ac:dyDescent="0.25">
      <c r="A66" s="85"/>
      <c r="B66" s="41" t="str">
        <f>IF(A66="","",IFERROR(VLOOKUP(A66,DB_Customers!$A:$D,4,0),"❌ Account Not Found"))</f>
        <v/>
      </c>
      <c r="C66" s="86" t="str">
        <f>IF(A66="","",IFERROR(IF(SUMIF(DB_Savings!$C:$C,A66,DB_Savings!$F:$F)=0,VLOOKUP(A66,DB_Customers!$A:$I,9,0),VLOOKUP(A66,DB_Customers!$A:$N,14,0)),"❌ Acct Not Found"))</f>
        <v/>
      </c>
      <c r="D66" s="87" t="str">
        <f t="shared" ca="1" si="3"/>
        <v/>
      </c>
      <c r="E66" s="79"/>
      <c r="F66" s="88" t="str">
        <f t="shared" si="4"/>
        <v/>
      </c>
      <c r="G66" s="43" t="s">
        <v>142</v>
      </c>
      <c r="H66" s="81"/>
      <c r="I66" s="89" t="str">
        <f>IF(A66="","Pending",IF(H66="","⚠️ Enter Agent Code",IF(IFERROR(VLOOKUP(G66,DB_Agents!$B:$I,8,0),"")=H66,IF(AND(A66&lt;&gt;"",E66&lt;&gt;""),"Saved","Pending"),"🔒 BLOCKED — Wrong Code")))</f>
        <v>Pending</v>
      </c>
      <c r="J66" s="90" t="str">
        <f t="shared" ca="1" si="5"/>
        <v>—</v>
      </c>
      <c r="K66" s="91"/>
    </row>
    <row r="67" spans="1:11" ht="15" customHeight="1" x14ac:dyDescent="0.25">
      <c r="A67" s="76"/>
      <c r="B67" s="37" t="str">
        <f>IF(A67="","",IFERROR(VLOOKUP(A67,DB_Customers!$A:$D,4,0),"❌ Account Not Found"))</f>
        <v/>
      </c>
      <c r="C67" s="77" t="str">
        <f>IF(A67="","",IFERROR(IF(SUMIF(DB_Savings!$C:$C,A67,DB_Savings!$F:$F)=0,VLOOKUP(A67,DB_Customers!$A:$I,9,0),VLOOKUP(A67,DB_Customers!$A:$N,14,0)),"❌ Acct Not Found"))</f>
        <v/>
      </c>
      <c r="D67" s="78" t="str">
        <f t="shared" ca="1" si="3"/>
        <v/>
      </c>
      <c r="E67" s="79"/>
      <c r="F67" s="80" t="str">
        <f t="shared" si="4"/>
        <v/>
      </c>
      <c r="G67" s="39" t="s">
        <v>142</v>
      </c>
      <c r="H67" s="81"/>
      <c r="I67" s="82" t="str">
        <f>IF(A67="","Pending",IF(H67="","⚠️ Enter Agent Code",IF(IFERROR(VLOOKUP(G67,DB_Agents!$B:$I,8,0),"")=H67,IF(AND(A67&lt;&gt;"",E67&lt;&gt;""),"Saved","Pending"),"🔒 BLOCKED — Wrong Code")))</f>
        <v>Pending</v>
      </c>
      <c r="J67" s="83" t="str">
        <f t="shared" ca="1" si="5"/>
        <v>—</v>
      </c>
      <c r="K67" s="84"/>
    </row>
    <row r="68" spans="1:11" ht="15" customHeight="1" x14ac:dyDescent="0.25">
      <c r="A68" s="85"/>
      <c r="B68" s="41" t="str">
        <f>IF(A68="","",IFERROR(VLOOKUP(A68,DB_Customers!$A:$D,4,0),"❌ Account Not Found"))</f>
        <v/>
      </c>
      <c r="C68" s="86" t="str">
        <f>IF(A68="","",IFERROR(IF(SUMIF(DB_Savings!$C:$C,A68,DB_Savings!$F:$F)=0,VLOOKUP(A68,DB_Customers!$A:$I,9,0),VLOOKUP(A68,DB_Customers!$A:$N,14,0)),"❌ Acct Not Found"))</f>
        <v/>
      </c>
      <c r="D68" s="87" t="str">
        <f t="shared" ca="1" si="3"/>
        <v/>
      </c>
      <c r="E68" s="79"/>
      <c r="F68" s="88" t="str">
        <f t="shared" si="4"/>
        <v/>
      </c>
      <c r="G68" s="43" t="s">
        <v>142</v>
      </c>
      <c r="H68" s="81"/>
      <c r="I68" s="89" t="str">
        <f>IF(A68="","Pending",IF(H68="","⚠️ Enter Agent Code",IF(IFERROR(VLOOKUP(G68,DB_Agents!$B:$I,8,0),"")=H68,IF(AND(A68&lt;&gt;"",E68&lt;&gt;""),"Saved","Pending"),"🔒 BLOCKED — Wrong Code")))</f>
        <v>Pending</v>
      </c>
      <c r="J68" s="90" t="str">
        <f t="shared" ca="1" si="5"/>
        <v>—</v>
      </c>
      <c r="K68" s="91"/>
    </row>
    <row r="69" spans="1:11" ht="15" customHeight="1" x14ac:dyDescent="0.25">
      <c r="A69" s="76"/>
      <c r="B69" s="37" t="str">
        <f>IF(A69="","",IFERROR(VLOOKUP(A69,DB_Customers!$A:$D,4,0),"❌ Account Not Found"))</f>
        <v/>
      </c>
      <c r="C69" s="77" t="str">
        <f>IF(A69="","",IFERROR(IF(SUMIF(DB_Savings!$C:$C,A69,DB_Savings!$F:$F)=0,VLOOKUP(A69,DB_Customers!$A:$I,9,0),VLOOKUP(A69,DB_Customers!$A:$N,14,0)),"❌ Acct Not Found"))</f>
        <v/>
      </c>
      <c r="D69" s="78" t="str">
        <f t="shared" ca="1" si="3"/>
        <v/>
      </c>
      <c r="E69" s="79"/>
      <c r="F69" s="80" t="str">
        <f t="shared" si="4"/>
        <v/>
      </c>
      <c r="G69" s="39" t="s">
        <v>142</v>
      </c>
      <c r="H69" s="81"/>
      <c r="I69" s="82" t="str">
        <f>IF(A69="","Pending",IF(H69="","⚠️ Enter Agent Code",IF(IFERROR(VLOOKUP(G69,DB_Agents!$B:$I,8,0),"")=H69,IF(AND(A69&lt;&gt;"",E69&lt;&gt;""),"Saved","Pending"),"🔒 BLOCKED — Wrong Code")))</f>
        <v>Pending</v>
      </c>
      <c r="J69" s="83" t="str">
        <f t="shared" ca="1" si="5"/>
        <v>—</v>
      </c>
      <c r="K69" s="84"/>
    </row>
    <row r="70" spans="1:11" ht="15" customHeight="1" x14ac:dyDescent="0.25">
      <c r="A70" s="85"/>
      <c r="B70" s="41" t="str">
        <f>IF(A70="","",IFERROR(VLOOKUP(A70,DB_Customers!$A:$D,4,0),"❌ Account Not Found"))</f>
        <v/>
      </c>
      <c r="C70" s="86" t="str">
        <f>IF(A70="","",IFERROR(IF(SUMIF(DB_Savings!$C:$C,A70,DB_Savings!$F:$F)=0,VLOOKUP(A70,DB_Customers!$A:$I,9,0),VLOOKUP(A70,DB_Customers!$A:$N,14,0)),"❌ Acct Not Found"))</f>
        <v/>
      </c>
      <c r="D70" s="87" t="str">
        <f t="shared" ca="1" si="3"/>
        <v/>
      </c>
      <c r="E70" s="79"/>
      <c r="F70" s="88" t="str">
        <f t="shared" si="4"/>
        <v/>
      </c>
      <c r="G70" s="43" t="s">
        <v>142</v>
      </c>
      <c r="H70" s="81"/>
      <c r="I70" s="89" t="str">
        <f>IF(A70="","Pending",IF(H70="","⚠️ Enter Agent Code",IF(IFERROR(VLOOKUP(G70,DB_Agents!$B:$I,8,0),"")=H70,IF(AND(A70&lt;&gt;"",E70&lt;&gt;""),"Saved","Pending"),"🔒 BLOCKED — Wrong Code")))</f>
        <v>Pending</v>
      </c>
      <c r="J70" s="90" t="str">
        <f t="shared" ca="1" si="5"/>
        <v>—</v>
      </c>
      <c r="K70" s="91"/>
    </row>
    <row r="71" spans="1:11" ht="15" customHeight="1" x14ac:dyDescent="0.25">
      <c r="A71" s="76"/>
      <c r="B71" s="37" t="str">
        <f>IF(A71="","",IFERROR(VLOOKUP(A71,DB_Customers!$A:$D,4,0),"❌ Account Not Found"))</f>
        <v/>
      </c>
      <c r="C71" s="77" t="str">
        <f>IF(A71="","",IFERROR(IF(SUMIF(DB_Savings!$C:$C,A71,DB_Savings!$F:$F)=0,VLOOKUP(A71,DB_Customers!$A:$I,9,0),VLOOKUP(A71,DB_Customers!$A:$N,14,0)),"❌ Acct Not Found"))</f>
        <v/>
      </c>
      <c r="D71" s="78" t="str">
        <f t="shared" ca="1" si="3"/>
        <v/>
      </c>
      <c r="E71" s="79"/>
      <c r="F71" s="80" t="str">
        <f t="shared" si="4"/>
        <v/>
      </c>
      <c r="G71" s="39" t="s">
        <v>142</v>
      </c>
      <c r="H71" s="81"/>
      <c r="I71" s="82" t="str">
        <f>IF(A71="","Pending",IF(H71="","⚠️ Enter Agent Code",IF(IFERROR(VLOOKUP(G71,DB_Agents!$B:$I,8,0),"")=H71,IF(AND(A71&lt;&gt;"",E71&lt;&gt;""),"Saved","Pending"),"🔒 BLOCKED — Wrong Code")))</f>
        <v>Pending</v>
      </c>
      <c r="J71" s="83" t="str">
        <f t="shared" ca="1" si="5"/>
        <v>—</v>
      </c>
      <c r="K71" s="84"/>
    </row>
    <row r="72" spans="1:11" ht="15" customHeight="1" x14ac:dyDescent="0.25">
      <c r="A72" s="85"/>
      <c r="B72" s="41" t="str">
        <f>IF(A72="","",IFERROR(VLOOKUP(A72,DB_Customers!$A:$D,4,0),"❌ Account Not Found"))</f>
        <v/>
      </c>
      <c r="C72" s="86" t="str">
        <f>IF(A72="","",IFERROR(IF(SUMIF(DB_Savings!$C:$C,A72,DB_Savings!$F:$F)=0,VLOOKUP(A72,DB_Customers!$A:$I,9,0),VLOOKUP(A72,DB_Customers!$A:$N,14,0)),"❌ Acct Not Found"))</f>
        <v/>
      </c>
      <c r="D72" s="87" t="str">
        <f t="shared" ca="1" si="3"/>
        <v/>
      </c>
      <c r="E72" s="79"/>
      <c r="F72" s="88" t="str">
        <f t="shared" si="4"/>
        <v/>
      </c>
      <c r="G72" s="43" t="s">
        <v>142</v>
      </c>
      <c r="H72" s="81"/>
      <c r="I72" s="89" t="str">
        <f>IF(A72="","Pending",IF(H72="","⚠️ Enter Agent Code",IF(IFERROR(VLOOKUP(G72,DB_Agents!$B:$I,8,0),"")=H72,IF(AND(A72&lt;&gt;"",E72&lt;&gt;""),"Saved","Pending"),"🔒 BLOCKED — Wrong Code")))</f>
        <v>Pending</v>
      </c>
      <c r="J72" s="90" t="str">
        <f t="shared" ca="1" si="5"/>
        <v>—</v>
      </c>
      <c r="K72" s="91"/>
    </row>
    <row r="73" spans="1:11" ht="15" customHeight="1" x14ac:dyDescent="0.25">
      <c r="A73" s="76"/>
      <c r="B73" s="37" t="str">
        <f>IF(A73="","",IFERROR(VLOOKUP(A73,DB_Customers!$A:$D,4,0),"❌ Account Not Found"))</f>
        <v/>
      </c>
      <c r="C73" s="77" t="str">
        <f>IF(A73="","",IFERROR(IF(SUMIF(DB_Savings!$C:$C,A73,DB_Savings!$F:$F)=0,VLOOKUP(A73,DB_Customers!$A:$I,9,0),VLOOKUP(A73,DB_Customers!$A:$N,14,0)),"❌ Acct Not Found"))</f>
        <v/>
      </c>
      <c r="D73" s="78" t="str">
        <f t="shared" ref="D73:D104" ca="1" si="6">IF(A73="","",TODAY())</f>
        <v/>
      </c>
      <c r="E73" s="79"/>
      <c r="F73" s="80" t="str">
        <f t="shared" ref="F73:F104" si="7">IF(OR(A73="",E73=""),"",IF(C73="","",C73+E73))</f>
        <v/>
      </c>
      <c r="G73" s="39" t="s">
        <v>142</v>
      </c>
      <c r="H73" s="81"/>
      <c r="I73" s="82" t="str">
        <f>IF(A73="","Pending",IF(H73="","⚠️ Enter Agent Code",IF(IFERROR(VLOOKUP(G73,DB_Agents!$B:$I,8,0),"")=H73,IF(AND(A73&lt;&gt;"",E73&lt;&gt;""),"Saved","Pending"),"🔒 BLOCKED — Wrong Code")))</f>
        <v>Pending</v>
      </c>
      <c r="J73" s="83" t="str">
        <f t="shared" ref="J73:J104" ca="1" si="8">IF(I73="Saved",TEXT(TODAY(),"YYYY-MM-DD")&amp;" Auto","—")</f>
        <v>—</v>
      </c>
      <c r="K73" s="84"/>
    </row>
    <row r="74" spans="1:11" ht="15" customHeight="1" x14ac:dyDescent="0.25">
      <c r="A74" s="85"/>
      <c r="B74" s="41" t="str">
        <f>IF(A74="","",IFERROR(VLOOKUP(A74,DB_Customers!$A:$D,4,0),"❌ Account Not Found"))</f>
        <v/>
      </c>
      <c r="C74" s="86" t="str">
        <f>IF(A74="","",IFERROR(IF(SUMIF(DB_Savings!$C:$C,A74,DB_Savings!$F:$F)=0,VLOOKUP(A74,DB_Customers!$A:$I,9,0),VLOOKUP(A74,DB_Customers!$A:$N,14,0)),"❌ Acct Not Found"))</f>
        <v/>
      </c>
      <c r="D74" s="87" t="str">
        <f t="shared" ca="1" si="6"/>
        <v/>
      </c>
      <c r="E74" s="79"/>
      <c r="F74" s="88" t="str">
        <f t="shared" si="7"/>
        <v/>
      </c>
      <c r="G74" s="43" t="s">
        <v>142</v>
      </c>
      <c r="H74" s="81"/>
      <c r="I74" s="89" t="str">
        <f>IF(A74="","Pending",IF(H74="","⚠️ Enter Agent Code",IF(IFERROR(VLOOKUP(G74,DB_Agents!$B:$I,8,0),"")=H74,IF(AND(A74&lt;&gt;"",E74&lt;&gt;""),"Saved","Pending"),"🔒 BLOCKED — Wrong Code")))</f>
        <v>Pending</v>
      </c>
      <c r="J74" s="90" t="str">
        <f t="shared" ca="1" si="8"/>
        <v>—</v>
      </c>
      <c r="K74" s="91"/>
    </row>
    <row r="75" spans="1:11" ht="15" customHeight="1" x14ac:dyDescent="0.25">
      <c r="A75" s="76"/>
      <c r="B75" s="37" t="str">
        <f>IF(A75="","",IFERROR(VLOOKUP(A75,DB_Customers!$A:$D,4,0),"❌ Account Not Found"))</f>
        <v/>
      </c>
      <c r="C75" s="77" t="str">
        <f>IF(A75="","",IFERROR(IF(SUMIF(DB_Savings!$C:$C,A75,DB_Savings!$F:$F)=0,VLOOKUP(A75,DB_Customers!$A:$I,9,0),VLOOKUP(A75,DB_Customers!$A:$N,14,0)),"❌ Acct Not Found"))</f>
        <v/>
      </c>
      <c r="D75" s="78" t="str">
        <f t="shared" ca="1" si="6"/>
        <v/>
      </c>
      <c r="E75" s="79"/>
      <c r="F75" s="80" t="str">
        <f t="shared" si="7"/>
        <v/>
      </c>
      <c r="G75" s="39" t="s">
        <v>142</v>
      </c>
      <c r="H75" s="81"/>
      <c r="I75" s="82" t="str">
        <f>IF(A75="","Pending",IF(H75="","⚠️ Enter Agent Code",IF(IFERROR(VLOOKUP(G75,DB_Agents!$B:$I,8,0),"")=H75,IF(AND(A75&lt;&gt;"",E75&lt;&gt;""),"Saved","Pending"),"🔒 BLOCKED — Wrong Code")))</f>
        <v>Pending</v>
      </c>
      <c r="J75" s="83" t="str">
        <f t="shared" ca="1" si="8"/>
        <v>—</v>
      </c>
      <c r="K75" s="84"/>
    </row>
    <row r="76" spans="1:11" ht="15" customHeight="1" x14ac:dyDescent="0.25">
      <c r="A76" s="85"/>
      <c r="B76" s="41" t="str">
        <f>IF(A76="","",IFERROR(VLOOKUP(A76,DB_Customers!$A:$D,4,0),"❌ Account Not Found"))</f>
        <v/>
      </c>
      <c r="C76" s="86" t="str">
        <f>IF(A76="","",IFERROR(IF(SUMIF(DB_Savings!$C:$C,A76,DB_Savings!$F:$F)=0,VLOOKUP(A76,DB_Customers!$A:$I,9,0),VLOOKUP(A76,DB_Customers!$A:$N,14,0)),"❌ Acct Not Found"))</f>
        <v/>
      </c>
      <c r="D76" s="87" t="str">
        <f t="shared" ca="1" si="6"/>
        <v/>
      </c>
      <c r="E76" s="79"/>
      <c r="F76" s="88" t="str">
        <f t="shared" si="7"/>
        <v/>
      </c>
      <c r="G76" s="43" t="s">
        <v>142</v>
      </c>
      <c r="H76" s="81"/>
      <c r="I76" s="89" t="str">
        <f>IF(A76="","Pending",IF(H76="","⚠️ Enter Agent Code",IF(IFERROR(VLOOKUP(G76,DB_Agents!$B:$I,8,0),"")=H76,IF(AND(A76&lt;&gt;"",E76&lt;&gt;""),"Saved","Pending"),"🔒 BLOCKED — Wrong Code")))</f>
        <v>Pending</v>
      </c>
      <c r="J76" s="90" t="str">
        <f t="shared" ca="1" si="8"/>
        <v>—</v>
      </c>
      <c r="K76" s="91"/>
    </row>
    <row r="77" spans="1:11" ht="15" customHeight="1" x14ac:dyDescent="0.25">
      <c r="A77" s="76"/>
      <c r="B77" s="37" t="str">
        <f>IF(A77="","",IFERROR(VLOOKUP(A77,DB_Customers!$A:$D,4,0),"❌ Account Not Found"))</f>
        <v/>
      </c>
      <c r="C77" s="77" t="str">
        <f>IF(A77="","",IFERROR(IF(SUMIF(DB_Savings!$C:$C,A77,DB_Savings!$F:$F)=0,VLOOKUP(A77,DB_Customers!$A:$I,9,0),VLOOKUP(A77,DB_Customers!$A:$N,14,0)),"❌ Acct Not Found"))</f>
        <v/>
      </c>
      <c r="D77" s="78" t="str">
        <f t="shared" ca="1" si="6"/>
        <v/>
      </c>
      <c r="E77" s="79"/>
      <c r="F77" s="80" t="str">
        <f t="shared" si="7"/>
        <v/>
      </c>
      <c r="G77" s="39" t="s">
        <v>142</v>
      </c>
      <c r="H77" s="81"/>
      <c r="I77" s="82" t="str">
        <f>IF(A77="","Pending",IF(H77="","⚠️ Enter Agent Code",IF(IFERROR(VLOOKUP(G77,DB_Agents!$B:$I,8,0),"")=H77,IF(AND(A77&lt;&gt;"",E77&lt;&gt;""),"Saved","Pending"),"🔒 BLOCKED — Wrong Code")))</f>
        <v>Pending</v>
      </c>
      <c r="J77" s="83" t="str">
        <f t="shared" ca="1" si="8"/>
        <v>—</v>
      </c>
      <c r="K77" s="84"/>
    </row>
    <row r="78" spans="1:11" ht="15" customHeight="1" x14ac:dyDescent="0.25">
      <c r="A78" s="85"/>
      <c r="B78" s="41" t="str">
        <f>IF(A78="","",IFERROR(VLOOKUP(A78,DB_Customers!$A:$D,4,0),"❌ Account Not Found"))</f>
        <v/>
      </c>
      <c r="C78" s="86" t="str">
        <f>IF(A78="","",IFERROR(IF(SUMIF(DB_Savings!$C:$C,A78,DB_Savings!$F:$F)=0,VLOOKUP(A78,DB_Customers!$A:$I,9,0),VLOOKUP(A78,DB_Customers!$A:$N,14,0)),"❌ Acct Not Found"))</f>
        <v/>
      </c>
      <c r="D78" s="87" t="str">
        <f t="shared" ca="1" si="6"/>
        <v/>
      </c>
      <c r="E78" s="79"/>
      <c r="F78" s="88" t="str">
        <f t="shared" si="7"/>
        <v/>
      </c>
      <c r="G78" s="43" t="s">
        <v>142</v>
      </c>
      <c r="H78" s="81"/>
      <c r="I78" s="89" t="str">
        <f>IF(A78="","Pending",IF(H78="","⚠️ Enter Agent Code",IF(IFERROR(VLOOKUP(G78,DB_Agents!$B:$I,8,0),"")=H78,IF(AND(A78&lt;&gt;"",E78&lt;&gt;""),"Saved","Pending"),"🔒 BLOCKED — Wrong Code")))</f>
        <v>Pending</v>
      </c>
      <c r="J78" s="90" t="str">
        <f t="shared" ca="1" si="8"/>
        <v>—</v>
      </c>
      <c r="K78" s="91"/>
    </row>
    <row r="79" spans="1:11" ht="15" customHeight="1" x14ac:dyDescent="0.25">
      <c r="A79" s="76"/>
      <c r="B79" s="37" t="str">
        <f>IF(A79="","",IFERROR(VLOOKUP(A79,DB_Customers!$A:$D,4,0),"❌ Account Not Found"))</f>
        <v/>
      </c>
      <c r="C79" s="77" t="str">
        <f>IF(A79="","",IFERROR(IF(SUMIF(DB_Savings!$C:$C,A79,DB_Savings!$F:$F)=0,VLOOKUP(A79,DB_Customers!$A:$I,9,0),VLOOKUP(A79,DB_Customers!$A:$N,14,0)),"❌ Acct Not Found"))</f>
        <v/>
      </c>
      <c r="D79" s="78" t="str">
        <f t="shared" ca="1" si="6"/>
        <v/>
      </c>
      <c r="E79" s="79"/>
      <c r="F79" s="80" t="str">
        <f t="shared" si="7"/>
        <v/>
      </c>
      <c r="G79" s="39" t="s">
        <v>142</v>
      </c>
      <c r="H79" s="81"/>
      <c r="I79" s="82" t="str">
        <f>IF(A79="","Pending",IF(H79="","⚠️ Enter Agent Code",IF(IFERROR(VLOOKUP(G79,DB_Agents!$B:$I,8,0),"")=H79,IF(AND(A79&lt;&gt;"",E79&lt;&gt;""),"Saved","Pending"),"🔒 BLOCKED — Wrong Code")))</f>
        <v>Pending</v>
      </c>
      <c r="J79" s="83" t="str">
        <f t="shared" ca="1" si="8"/>
        <v>—</v>
      </c>
      <c r="K79" s="84"/>
    </row>
    <row r="80" spans="1:11" ht="15" customHeight="1" x14ac:dyDescent="0.25">
      <c r="A80" s="85"/>
      <c r="B80" s="41" t="str">
        <f>IF(A80="","",IFERROR(VLOOKUP(A80,DB_Customers!$A:$D,4,0),"❌ Account Not Found"))</f>
        <v/>
      </c>
      <c r="C80" s="86" t="str">
        <f>IF(A80="","",IFERROR(IF(SUMIF(DB_Savings!$C:$C,A80,DB_Savings!$F:$F)=0,VLOOKUP(A80,DB_Customers!$A:$I,9,0),VLOOKUP(A80,DB_Customers!$A:$N,14,0)),"❌ Acct Not Found"))</f>
        <v/>
      </c>
      <c r="D80" s="87" t="str">
        <f t="shared" ca="1" si="6"/>
        <v/>
      </c>
      <c r="E80" s="79"/>
      <c r="F80" s="88" t="str">
        <f t="shared" si="7"/>
        <v/>
      </c>
      <c r="G80" s="43" t="s">
        <v>142</v>
      </c>
      <c r="H80" s="81"/>
      <c r="I80" s="89" t="str">
        <f>IF(A80="","Pending",IF(H80="","⚠️ Enter Agent Code",IF(IFERROR(VLOOKUP(G80,DB_Agents!$B:$I,8,0),"")=H80,IF(AND(A80&lt;&gt;"",E80&lt;&gt;""),"Saved","Pending"),"🔒 BLOCKED — Wrong Code")))</f>
        <v>Pending</v>
      </c>
      <c r="J80" s="90" t="str">
        <f t="shared" ca="1" si="8"/>
        <v>—</v>
      </c>
      <c r="K80" s="91"/>
    </row>
    <row r="81" spans="1:11" ht="15" customHeight="1" x14ac:dyDescent="0.25">
      <c r="A81" s="76"/>
      <c r="B81" s="37" t="str">
        <f>IF(A81="","",IFERROR(VLOOKUP(A81,DB_Customers!$A:$D,4,0),"❌ Account Not Found"))</f>
        <v/>
      </c>
      <c r="C81" s="77" t="str">
        <f>IF(A81="","",IFERROR(IF(SUMIF(DB_Savings!$C:$C,A81,DB_Savings!$F:$F)=0,VLOOKUP(A81,DB_Customers!$A:$I,9,0),VLOOKUP(A81,DB_Customers!$A:$N,14,0)),"❌ Acct Not Found"))</f>
        <v/>
      </c>
      <c r="D81" s="78" t="str">
        <f t="shared" ca="1" si="6"/>
        <v/>
      </c>
      <c r="E81" s="79"/>
      <c r="F81" s="80" t="str">
        <f t="shared" si="7"/>
        <v/>
      </c>
      <c r="G81" s="39" t="s">
        <v>142</v>
      </c>
      <c r="H81" s="81"/>
      <c r="I81" s="82" t="str">
        <f>IF(A81="","Pending",IF(H81="","⚠️ Enter Agent Code",IF(IFERROR(VLOOKUP(G81,DB_Agents!$B:$I,8,0),"")=H81,IF(AND(A81&lt;&gt;"",E81&lt;&gt;""),"Saved","Pending"),"🔒 BLOCKED — Wrong Code")))</f>
        <v>Pending</v>
      </c>
      <c r="J81" s="83" t="str">
        <f t="shared" ca="1" si="8"/>
        <v>—</v>
      </c>
      <c r="K81" s="84"/>
    </row>
    <row r="82" spans="1:11" ht="15" customHeight="1" x14ac:dyDescent="0.25">
      <c r="A82" s="85"/>
      <c r="B82" s="41" t="str">
        <f>IF(A82="","",IFERROR(VLOOKUP(A82,DB_Customers!$A:$D,4,0),"❌ Account Not Found"))</f>
        <v/>
      </c>
      <c r="C82" s="86" t="str">
        <f>IF(A82="","",IFERROR(IF(SUMIF(DB_Savings!$C:$C,A82,DB_Savings!$F:$F)=0,VLOOKUP(A82,DB_Customers!$A:$I,9,0),VLOOKUP(A82,DB_Customers!$A:$N,14,0)),"❌ Acct Not Found"))</f>
        <v/>
      </c>
      <c r="D82" s="87" t="str">
        <f t="shared" ca="1" si="6"/>
        <v/>
      </c>
      <c r="E82" s="79"/>
      <c r="F82" s="88" t="str">
        <f t="shared" si="7"/>
        <v/>
      </c>
      <c r="G82" s="43" t="s">
        <v>142</v>
      </c>
      <c r="H82" s="81"/>
      <c r="I82" s="89" t="str">
        <f>IF(A82="","Pending",IF(H82="","⚠️ Enter Agent Code",IF(IFERROR(VLOOKUP(G82,DB_Agents!$B:$I,8,0),"")=H82,IF(AND(A82&lt;&gt;"",E82&lt;&gt;""),"Saved","Pending"),"🔒 BLOCKED — Wrong Code")))</f>
        <v>Pending</v>
      </c>
      <c r="J82" s="90" t="str">
        <f t="shared" ca="1" si="8"/>
        <v>—</v>
      </c>
      <c r="K82" s="91"/>
    </row>
    <row r="83" spans="1:11" ht="15" customHeight="1" x14ac:dyDescent="0.25">
      <c r="A83" s="76"/>
      <c r="B83" s="37" t="str">
        <f>IF(A83="","",IFERROR(VLOOKUP(A83,DB_Customers!$A:$D,4,0),"❌ Account Not Found"))</f>
        <v/>
      </c>
      <c r="C83" s="77" t="str">
        <f>IF(A83="","",IFERROR(IF(SUMIF(DB_Savings!$C:$C,A83,DB_Savings!$F:$F)=0,VLOOKUP(A83,DB_Customers!$A:$I,9,0),VLOOKUP(A83,DB_Customers!$A:$N,14,0)),"❌ Acct Not Found"))</f>
        <v/>
      </c>
      <c r="D83" s="78" t="str">
        <f t="shared" ca="1" si="6"/>
        <v/>
      </c>
      <c r="E83" s="79"/>
      <c r="F83" s="80" t="str">
        <f t="shared" si="7"/>
        <v/>
      </c>
      <c r="G83" s="39" t="s">
        <v>142</v>
      </c>
      <c r="H83" s="81"/>
      <c r="I83" s="82" t="str">
        <f>IF(A83="","Pending",IF(H83="","⚠️ Enter Agent Code",IF(IFERROR(VLOOKUP(G83,DB_Agents!$B:$I,8,0),"")=H83,IF(AND(A83&lt;&gt;"",E83&lt;&gt;""),"Saved","Pending"),"🔒 BLOCKED — Wrong Code")))</f>
        <v>Pending</v>
      </c>
      <c r="J83" s="83" t="str">
        <f t="shared" ca="1" si="8"/>
        <v>—</v>
      </c>
      <c r="K83" s="84"/>
    </row>
    <row r="84" spans="1:11" ht="15" customHeight="1" x14ac:dyDescent="0.25">
      <c r="A84" s="85"/>
      <c r="B84" s="41" t="str">
        <f>IF(A84="","",IFERROR(VLOOKUP(A84,DB_Customers!$A:$D,4,0),"❌ Account Not Found"))</f>
        <v/>
      </c>
      <c r="C84" s="86" t="str">
        <f>IF(A84="","",IFERROR(IF(SUMIF(DB_Savings!$C:$C,A84,DB_Savings!$F:$F)=0,VLOOKUP(A84,DB_Customers!$A:$I,9,0),VLOOKUP(A84,DB_Customers!$A:$N,14,0)),"❌ Acct Not Found"))</f>
        <v/>
      </c>
      <c r="D84" s="87" t="str">
        <f t="shared" ca="1" si="6"/>
        <v/>
      </c>
      <c r="E84" s="79"/>
      <c r="F84" s="88" t="str">
        <f t="shared" si="7"/>
        <v/>
      </c>
      <c r="G84" s="43" t="s">
        <v>142</v>
      </c>
      <c r="H84" s="81"/>
      <c r="I84" s="89" t="str">
        <f>IF(A84="","Pending",IF(H84="","⚠️ Enter Agent Code",IF(IFERROR(VLOOKUP(G84,DB_Agents!$B:$I,8,0),"")=H84,IF(AND(A84&lt;&gt;"",E84&lt;&gt;""),"Saved","Pending"),"🔒 BLOCKED — Wrong Code")))</f>
        <v>Pending</v>
      </c>
      <c r="J84" s="90" t="str">
        <f t="shared" ca="1" si="8"/>
        <v>—</v>
      </c>
      <c r="K84" s="91"/>
    </row>
    <row r="85" spans="1:11" ht="15" customHeight="1" x14ac:dyDescent="0.25">
      <c r="A85" s="76"/>
      <c r="B85" s="37" t="str">
        <f>IF(A85="","",IFERROR(VLOOKUP(A85,DB_Customers!$A:$D,4,0),"❌ Account Not Found"))</f>
        <v/>
      </c>
      <c r="C85" s="77" t="str">
        <f>IF(A85="","",IFERROR(IF(SUMIF(DB_Savings!$C:$C,A85,DB_Savings!$F:$F)=0,VLOOKUP(A85,DB_Customers!$A:$I,9,0),VLOOKUP(A85,DB_Customers!$A:$N,14,0)),"❌ Acct Not Found"))</f>
        <v/>
      </c>
      <c r="D85" s="78" t="str">
        <f t="shared" ca="1" si="6"/>
        <v/>
      </c>
      <c r="E85" s="79"/>
      <c r="F85" s="80" t="str">
        <f t="shared" si="7"/>
        <v/>
      </c>
      <c r="G85" s="39" t="s">
        <v>142</v>
      </c>
      <c r="H85" s="81"/>
      <c r="I85" s="82" t="str">
        <f>IF(A85="","Pending",IF(H85="","⚠️ Enter Agent Code",IF(IFERROR(VLOOKUP(G85,DB_Agents!$B:$I,8,0),"")=H85,IF(AND(A85&lt;&gt;"",E85&lt;&gt;""),"Saved","Pending"),"🔒 BLOCKED — Wrong Code")))</f>
        <v>Pending</v>
      </c>
      <c r="J85" s="83" t="str">
        <f t="shared" ca="1" si="8"/>
        <v>—</v>
      </c>
      <c r="K85" s="84"/>
    </row>
    <row r="86" spans="1:11" ht="15" customHeight="1" x14ac:dyDescent="0.25">
      <c r="A86" s="85"/>
      <c r="B86" s="41" t="str">
        <f>IF(A86="","",IFERROR(VLOOKUP(A86,DB_Customers!$A:$D,4,0),"❌ Account Not Found"))</f>
        <v/>
      </c>
      <c r="C86" s="86" t="str">
        <f>IF(A86="","",IFERROR(IF(SUMIF(DB_Savings!$C:$C,A86,DB_Savings!$F:$F)=0,VLOOKUP(A86,DB_Customers!$A:$I,9,0),VLOOKUP(A86,DB_Customers!$A:$N,14,0)),"❌ Acct Not Found"))</f>
        <v/>
      </c>
      <c r="D86" s="87" t="str">
        <f t="shared" ca="1" si="6"/>
        <v/>
      </c>
      <c r="E86" s="79"/>
      <c r="F86" s="88" t="str">
        <f t="shared" si="7"/>
        <v/>
      </c>
      <c r="G86" s="43" t="s">
        <v>142</v>
      </c>
      <c r="H86" s="81"/>
      <c r="I86" s="89" t="str">
        <f>IF(A86="","Pending",IF(H86="","⚠️ Enter Agent Code",IF(IFERROR(VLOOKUP(G86,DB_Agents!$B:$I,8,0),"")=H86,IF(AND(A86&lt;&gt;"",E86&lt;&gt;""),"Saved","Pending"),"🔒 BLOCKED — Wrong Code")))</f>
        <v>Pending</v>
      </c>
      <c r="J86" s="90" t="str">
        <f t="shared" ca="1" si="8"/>
        <v>—</v>
      </c>
      <c r="K86" s="91"/>
    </row>
    <row r="87" spans="1:11" ht="15" customHeight="1" x14ac:dyDescent="0.25">
      <c r="A87" s="76"/>
      <c r="B87" s="37" t="str">
        <f>IF(A87="","",IFERROR(VLOOKUP(A87,DB_Customers!$A:$D,4,0),"❌ Account Not Found"))</f>
        <v/>
      </c>
      <c r="C87" s="77" t="str">
        <f>IF(A87="","",IFERROR(IF(SUMIF(DB_Savings!$C:$C,A87,DB_Savings!$F:$F)=0,VLOOKUP(A87,DB_Customers!$A:$I,9,0),VLOOKUP(A87,DB_Customers!$A:$N,14,0)),"❌ Acct Not Found"))</f>
        <v/>
      </c>
      <c r="D87" s="78" t="str">
        <f t="shared" ca="1" si="6"/>
        <v/>
      </c>
      <c r="E87" s="79"/>
      <c r="F87" s="80" t="str">
        <f t="shared" si="7"/>
        <v/>
      </c>
      <c r="G87" s="39" t="s">
        <v>142</v>
      </c>
      <c r="H87" s="81"/>
      <c r="I87" s="82" t="str">
        <f>IF(A87="","Pending",IF(H87="","⚠️ Enter Agent Code",IF(IFERROR(VLOOKUP(G87,DB_Agents!$B:$I,8,0),"")=H87,IF(AND(A87&lt;&gt;"",E87&lt;&gt;""),"Saved","Pending"),"🔒 BLOCKED — Wrong Code")))</f>
        <v>Pending</v>
      </c>
      <c r="J87" s="83" t="str">
        <f t="shared" ca="1" si="8"/>
        <v>—</v>
      </c>
      <c r="K87" s="84"/>
    </row>
    <row r="88" spans="1:11" ht="15" customHeight="1" x14ac:dyDescent="0.25">
      <c r="A88" s="85"/>
      <c r="B88" s="41" t="str">
        <f>IF(A88="","",IFERROR(VLOOKUP(A88,DB_Customers!$A:$D,4,0),"❌ Account Not Found"))</f>
        <v/>
      </c>
      <c r="C88" s="86" t="str">
        <f>IF(A88="","",IFERROR(IF(SUMIF(DB_Savings!$C:$C,A88,DB_Savings!$F:$F)=0,VLOOKUP(A88,DB_Customers!$A:$I,9,0),VLOOKUP(A88,DB_Customers!$A:$N,14,0)),"❌ Acct Not Found"))</f>
        <v/>
      </c>
      <c r="D88" s="87" t="str">
        <f t="shared" ca="1" si="6"/>
        <v/>
      </c>
      <c r="E88" s="79"/>
      <c r="F88" s="88" t="str">
        <f t="shared" si="7"/>
        <v/>
      </c>
      <c r="G88" s="43" t="s">
        <v>142</v>
      </c>
      <c r="H88" s="81"/>
      <c r="I88" s="89" t="str">
        <f>IF(A88="","Pending",IF(H88="","⚠️ Enter Agent Code",IF(IFERROR(VLOOKUP(G88,DB_Agents!$B:$I,8,0),"")=H88,IF(AND(A88&lt;&gt;"",E88&lt;&gt;""),"Saved","Pending"),"🔒 BLOCKED — Wrong Code")))</f>
        <v>Pending</v>
      </c>
      <c r="J88" s="90" t="str">
        <f t="shared" ca="1" si="8"/>
        <v>—</v>
      </c>
      <c r="K88" s="91"/>
    </row>
    <row r="89" spans="1:11" ht="15" customHeight="1" x14ac:dyDescent="0.25">
      <c r="A89" s="76"/>
      <c r="B89" s="37" t="str">
        <f>IF(A89="","",IFERROR(VLOOKUP(A89,DB_Customers!$A:$D,4,0),"❌ Account Not Found"))</f>
        <v/>
      </c>
      <c r="C89" s="77" t="str">
        <f>IF(A89="","",IFERROR(IF(SUMIF(DB_Savings!$C:$C,A89,DB_Savings!$F:$F)=0,VLOOKUP(A89,DB_Customers!$A:$I,9,0),VLOOKUP(A89,DB_Customers!$A:$N,14,0)),"❌ Acct Not Found"))</f>
        <v/>
      </c>
      <c r="D89" s="78" t="str">
        <f t="shared" ca="1" si="6"/>
        <v/>
      </c>
      <c r="E89" s="79"/>
      <c r="F89" s="80" t="str">
        <f t="shared" si="7"/>
        <v/>
      </c>
      <c r="G89" s="39" t="s">
        <v>142</v>
      </c>
      <c r="H89" s="81"/>
      <c r="I89" s="82" t="str">
        <f>IF(A89="","Pending",IF(H89="","⚠️ Enter Agent Code",IF(IFERROR(VLOOKUP(G89,DB_Agents!$B:$I,8,0),"")=H89,IF(AND(A89&lt;&gt;"",E89&lt;&gt;""),"Saved","Pending"),"🔒 BLOCKED — Wrong Code")))</f>
        <v>Pending</v>
      </c>
      <c r="J89" s="83" t="str">
        <f t="shared" ca="1" si="8"/>
        <v>—</v>
      </c>
      <c r="K89" s="84"/>
    </row>
    <row r="90" spans="1:11" ht="15" customHeight="1" x14ac:dyDescent="0.25">
      <c r="A90" s="85"/>
      <c r="B90" s="41" t="str">
        <f>IF(A90="","",IFERROR(VLOOKUP(A90,DB_Customers!$A:$D,4,0),"❌ Account Not Found"))</f>
        <v/>
      </c>
      <c r="C90" s="86" t="str">
        <f>IF(A90="","",IFERROR(IF(SUMIF(DB_Savings!$C:$C,A90,DB_Savings!$F:$F)=0,VLOOKUP(A90,DB_Customers!$A:$I,9,0),VLOOKUP(A90,DB_Customers!$A:$N,14,0)),"❌ Acct Not Found"))</f>
        <v/>
      </c>
      <c r="D90" s="87" t="str">
        <f t="shared" ca="1" si="6"/>
        <v/>
      </c>
      <c r="E90" s="79"/>
      <c r="F90" s="88" t="str">
        <f t="shared" si="7"/>
        <v/>
      </c>
      <c r="G90" s="43" t="s">
        <v>142</v>
      </c>
      <c r="H90" s="81"/>
      <c r="I90" s="89" t="str">
        <f>IF(A90="","Pending",IF(H90="","⚠️ Enter Agent Code",IF(IFERROR(VLOOKUP(G90,DB_Agents!$B:$I,8,0),"")=H90,IF(AND(A90&lt;&gt;"",E90&lt;&gt;""),"Saved","Pending"),"🔒 BLOCKED — Wrong Code")))</f>
        <v>Pending</v>
      </c>
      <c r="J90" s="90" t="str">
        <f t="shared" ca="1" si="8"/>
        <v>—</v>
      </c>
      <c r="K90" s="91"/>
    </row>
    <row r="91" spans="1:11" ht="15" customHeight="1" x14ac:dyDescent="0.25">
      <c r="A91" s="76"/>
      <c r="B91" s="37" t="str">
        <f>IF(A91="","",IFERROR(VLOOKUP(A91,DB_Customers!$A:$D,4,0),"❌ Account Not Found"))</f>
        <v/>
      </c>
      <c r="C91" s="77" t="str">
        <f>IF(A91="","",IFERROR(IF(SUMIF(DB_Savings!$C:$C,A91,DB_Savings!$F:$F)=0,VLOOKUP(A91,DB_Customers!$A:$I,9,0),VLOOKUP(A91,DB_Customers!$A:$N,14,0)),"❌ Acct Not Found"))</f>
        <v/>
      </c>
      <c r="D91" s="78" t="str">
        <f t="shared" ca="1" si="6"/>
        <v/>
      </c>
      <c r="E91" s="79"/>
      <c r="F91" s="80" t="str">
        <f t="shared" si="7"/>
        <v/>
      </c>
      <c r="G91" s="39" t="s">
        <v>142</v>
      </c>
      <c r="H91" s="81"/>
      <c r="I91" s="82" t="str">
        <f>IF(A91="","Pending",IF(H91="","⚠️ Enter Agent Code",IF(IFERROR(VLOOKUP(G91,DB_Agents!$B:$I,8,0),"")=H91,IF(AND(A91&lt;&gt;"",E91&lt;&gt;""),"Saved","Pending"),"🔒 BLOCKED — Wrong Code")))</f>
        <v>Pending</v>
      </c>
      <c r="J91" s="83" t="str">
        <f t="shared" ca="1" si="8"/>
        <v>—</v>
      </c>
      <c r="K91" s="84"/>
    </row>
    <row r="92" spans="1:11" ht="15" customHeight="1" x14ac:dyDescent="0.25">
      <c r="A92" s="85"/>
      <c r="B92" s="41" t="str">
        <f>IF(A92="","",IFERROR(VLOOKUP(A92,DB_Customers!$A:$D,4,0),"❌ Account Not Found"))</f>
        <v/>
      </c>
      <c r="C92" s="86" t="str">
        <f>IF(A92="","",IFERROR(IF(SUMIF(DB_Savings!$C:$C,A92,DB_Savings!$F:$F)=0,VLOOKUP(A92,DB_Customers!$A:$I,9,0),VLOOKUP(A92,DB_Customers!$A:$N,14,0)),"❌ Acct Not Found"))</f>
        <v/>
      </c>
      <c r="D92" s="87" t="str">
        <f t="shared" ca="1" si="6"/>
        <v/>
      </c>
      <c r="E92" s="79"/>
      <c r="F92" s="88" t="str">
        <f t="shared" si="7"/>
        <v/>
      </c>
      <c r="G92" s="43" t="s">
        <v>142</v>
      </c>
      <c r="H92" s="81"/>
      <c r="I92" s="89" t="str">
        <f>IF(A92="","Pending",IF(H92="","⚠️ Enter Agent Code",IF(IFERROR(VLOOKUP(G92,DB_Agents!$B:$I,8,0),"")=H92,IF(AND(A92&lt;&gt;"",E92&lt;&gt;""),"Saved","Pending"),"🔒 BLOCKED — Wrong Code")))</f>
        <v>Pending</v>
      </c>
      <c r="J92" s="90" t="str">
        <f t="shared" ca="1" si="8"/>
        <v>—</v>
      </c>
      <c r="K92" s="91"/>
    </row>
    <row r="93" spans="1:11" ht="15" customHeight="1" x14ac:dyDescent="0.25">
      <c r="A93" s="76"/>
      <c r="B93" s="37" t="str">
        <f>IF(A93="","",IFERROR(VLOOKUP(A93,DB_Customers!$A:$D,4,0),"❌ Account Not Found"))</f>
        <v/>
      </c>
      <c r="C93" s="77" t="str">
        <f>IF(A93="","",IFERROR(IF(SUMIF(DB_Savings!$C:$C,A93,DB_Savings!$F:$F)=0,VLOOKUP(A93,DB_Customers!$A:$I,9,0),VLOOKUP(A93,DB_Customers!$A:$N,14,0)),"❌ Acct Not Found"))</f>
        <v/>
      </c>
      <c r="D93" s="78" t="str">
        <f t="shared" ca="1" si="6"/>
        <v/>
      </c>
      <c r="E93" s="79"/>
      <c r="F93" s="80" t="str">
        <f t="shared" si="7"/>
        <v/>
      </c>
      <c r="G93" s="39" t="s">
        <v>142</v>
      </c>
      <c r="H93" s="81"/>
      <c r="I93" s="82" t="str">
        <f>IF(A93="","Pending",IF(H93="","⚠️ Enter Agent Code",IF(IFERROR(VLOOKUP(G93,DB_Agents!$B:$I,8,0),"")=H93,IF(AND(A93&lt;&gt;"",E93&lt;&gt;""),"Saved","Pending"),"🔒 BLOCKED — Wrong Code")))</f>
        <v>Pending</v>
      </c>
      <c r="J93" s="83" t="str">
        <f t="shared" ca="1" si="8"/>
        <v>—</v>
      </c>
      <c r="K93" s="84"/>
    </row>
    <row r="94" spans="1:11" ht="15" customHeight="1" x14ac:dyDescent="0.25">
      <c r="A94" s="85"/>
      <c r="B94" s="41" t="str">
        <f>IF(A94="","",IFERROR(VLOOKUP(A94,DB_Customers!$A:$D,4,0),"❌ Account Not Found"))</f>
        <v/>
      </c>
      <c r="C94" s="86" t="str">
        <f>IF(A94="","",IFERROR(IF(SUMIF(DB_Savings!$C:$C,A94,DB_Savings!$F:$F)=0,VLOOKUP(A94,DB_Customers!$A:$I,9,0),VLOOKUP(A94,DB_Customers!$A:$N,14,0)),"❌ Acct Not Found"))</f>
        <v/>
      </c>
      <c r="D94" s="87" t="str">
        <f t="shared" ca="1" si="6"/>
        <v/>
      </c>
      <c r="E94" s="79"/>
      <c r="F94" s="88" t="str">
        <f t="shared" si="7"/>
        <v/>
      </c>
      <c r="G94" s="43" t="s">
        <v>142</v>
      </c>
      <c r="H94" s="81"/>
      <c r="I94" s="89" t="str">
        <f>IF(A94="","Pending",IF(H94="","⚠️ Enter Agent Code",IF(IFERROR(VLOOKUP(G94,DB_Agents!$B:$I,8,0),"")=H94,IF(AND(A94&lt;&gt;"",E94&lt;&gt;""),"Saved","Pending"),"🔒 BLOCKED — Wrong Code")))</f>
        <v>Pending</v>
      </c>
      <c r="J94" s="90" t="str">
        <f t="shared" ca="1" si="8"/>
        <v>—</v>
      </c>
      <c r="K94" s="91"/>
    </row>
    <row r="95" spans="1:11" ht="15" customHeight="1" x14ac:dyDescent="0.25">
      <c r="A95" s="76"/>
      <c r="B95" s="37" t="str">
        <f>IF(A95="","",IFERROR(VLOOKUP(A95,DB_Customers!$A:$D,4,0),"❌ Account Not Found"))</f>
        <v/>
      </c>
      <c r="C95" s="77" t="str">
        <f>IF(A95="","",IFERROR(IF(SUMIF(DB_Savings!$C:$C,A95,DB_Savings!$F:$F)=0,VLOOKUP(A95,DB_Customers!$A:$I,9,0),VLOOKUP(A95,DB_Customers!$A:$N,14,0)),"❌ Acct Not Found"))</f>
        <v/>
      </c>
      <c r="D95" s="78" t="str">
        <f t="shared" ca="1" si="6"/>
        <v/>
      </c>
      <c r="E95" s="79"/>
      <c r="F95" s="80" t="str">
        <f t="shared" si="7"/>
        <v/>
      </c>
      <c r="G95" s="39" t="s">
        <v>142</v>
      </c>
      <c r="H95" s="81"/>
      <c r="I95" s="82" t="str">
        <f>IF(A95="","Pending",IF(H95="","⚠️ Enter Agent Code",IF(IFERROR(VLOOKUP(G95,DB_Agents!$B:$I,8,0),"")=H95,IF(AND(A95&lt;&gt;"",E95&lt;&gt;""),"Saved","Pending"),"🔒 BLOCKED — Wrong Code")))</f>
        <v>Pending</v>
      </c>
      <c r="J95" s="83" t="str">
        <f t="shared" ca="1" si="8"/>
        <v>—</v>
      </c>
      <c r="K95" s="84"/>
    </row>
    <row r="96" spans="1:11" ht="15" customHeight="1" x14ac:dyDescent="0.25">
      <c r="A96" s="85"/>
      <c r="B96" s="41" t="str">
        <f>IF(A96="","",IFERROR(VLOOKUP(A96,DB_Customers!$A:$D,4,0),"❌ Account Not Found"))</f>
        <v/>
      </c>
      <c r="C96" s="86" t="str">
        <f>IF(A96="","",IFERROR(IF(SUMIF(DB_Savings!$C:$C,A96,DB_Savings!$F:$F)=0,VLOOKUP(A96,DB_Customers!$A:$I,9,0),VLOOKUP(A96,DB_Customers!$A:$N,14,0)),"❌ Acct Not Found"))</f>
        <v/>
      </c>
      <c r="D96" s="87" t="str">
        <f t="shared" ca="1" si="6"/>
        <v/>
      </c>
      <c r="E96" s="79"/>
      <c r="F96" s="88" t="str">
        <f t="shared" si="7"/>
        <v/>
      </c>
      <c r="G96" s="43" t="s">
        <v>142</v>
      </c>
      <c r="H96" s="81"/>
      <c r="I96" s="89" t="str">
        <f>IF(A96="","Pending",IF(H96="","⚠️ Enter Agent Code",IF(IFERROR(VLOOKUP(G96,DB_Agents!$B:$I,8,0),"")=H96,IF(AND(A96&lt;&gt;"",E96&lt;&gt;""),"Saved","Pending"),"🔒 BLOCKED — Wrong Code")))</f>
        <v>Pending</v>
      </c>
      <c r="J96" s="90" t="str">
        <f t="shared" ca="1" si="8"/>
        <v>—</v>
      </c>
      <c r="K96" s="91"/>
    </row>
    <row r="97" spans="1:11" ht="15" customHeight="1" x14ac:dyDescent="0.25">
      <c r="A97" s="76"/>
      <c r="B97" s="37" t="str">
        <f>IF(A97="","",IFERROR(VLOOKUP(A97,DB_Customers!$A:$D,4,0),"❌ Account Not Found"))</f>
        <v/>
      </c>
      <c r="C97" s="77" t="str">
        <f>IF(A97="","",IFERROR(IF(SUMIF(DB_Savings!$C:$C,A97,DB_Savings!$F:$F)=0,VLOOKUP(A97,DB_Customers!$A:$I,9,0),VLOOKUP(A97,DB_Customers!$A:$N,14,0)),"❌ Acct Not Found"))</f>
        <v/>
      </c>
      <c r="D97" s="78" t="str">
        <f t="shared" ca="1" si="6"/>
        <v/>
      </c>
      <c r="E97" s="79"/>
      <c r="F97" s="80" t="str">
        <f t="shared" si="7"/>
        <v/>
      </c>
      <c r="G97" s="39" t="s">
        <v>142</v>
      </c>
      <c r="H97" s="81"/>
      <c r="I97" s="82" t="str">
        <f>IF(A97="","Pending",IF(H97="","⚠️ Enter Agent Code",IF(IFERROR(VLOOKUP(G97,DB_Agents!$B:$I,8,0),"")=H97,IF(AND(A97&lt;&gt;"",E97&lt;&gt;""),"Saved","Pending"),"🔒 BLOCKED — Wrong Code")))</f>
        <v>Pending</v>
      </c>
      <c r="J97" s="83" t="str">
        <f t="shared" ca="1" si="8"/>
        <v>—</v>
      </c>
      <c r="K97" s="84"/>
    </row>
    <row r="98" spans="1:11" ht="15" customHeight="1" x14ac:dyDescent="0.25">
      <c r="A98" s="85"/>
      <c r="B98" s="41" t="str">
        <f>IF(A98="","",IFERROR(VLOOKUP(A98,DB_Customers!$A:$D,4,0),"❌ Account Not Found"))</f>
        <v/>
      </c>
      <c r="C98" s="86" t="str">
        <f>IF(A98="","",IFERROR(IF(SUMIF(DB_Savings!$C:$C,A98,DB_Savings!$F:$F)=0,VLOOKUP(A98,DB_Customers!$A:$I,9,0),VLOOKUP(A98,DB_Customers!$A:$N,14,0)),"❌ Acct Not Found"))</f>
        <v/>
      </c>
      <c r="D98" s="87" t="str">
        <f t="shared" ca="1" si="6"/>
        <v/>
      </c>
      <c r="E98" s="79"/>
      <c r="F98" s="88" t="str">
        <f t="shared" si="7"/>
        <v/>
      </c>
      <c r="G98" s="43" t="s">
        <v>142</v>
      </c>
      <c r="H98" s="81"/>
      <c r="I98" s="89" t="str">
        <f>IF(A98="","Pending",IF(H98="","⚠️ Enter Agent Code",IF(IFERROR(VLOOKUP(G98,DB_Agents!$B:$I,8,0),"")=H98,IF(AND(A98&lt;&gt;"",E98&lt;&gt;""),"Saved","Pending"),"🔒 BLOCKED — Wrong Code")))</f>
        <v>Pending</v>
      </c>
      <c r="J98" s="90" t="str">
        <f t="shared" ca="1" si="8"/>
        <v>—</v>
      </c>
      <c r="K98" s="91"/>
    </row>
    <row r="99" spans="1:11" ht="15" customHeight="1" x14ac:dyDescent="0.25">
      <c r="A99" s="76"/>
      <c r="B99" s="37" t="str">
        <f>IF(A99="","",IFERROR(VLOOKUP(A99,DB_Customers!$A:$D,4,0),"❌ Account Not Found"))</f>
        <v/>
      </c>
      <c r="C99" s="77" t="str">
        <f>IF(A99="","",IFERROR(IF(SUMIF(DB_Savings!$C:$C,A99,DB_Savings!$F:$F)=0,VLOOKUP(A99,DB_Customers!$A:$I,9,0),VLOOKUP(A99,DB_Customers!$A:$N,14,0)),"❌ Acct Not Found"))</f>
        <v/>
      </c>
      <c r="D99" s="78" t="str">
        <f t="shared" ca="1" si="6"/>
        <v/>
      </c>
      <c r="E99" s="79"/>
      <c r="F99" s="80" t="str">
        <f t="shared" si="7"/>
        <v/>
      </c>
      <c r="G99" s="39" t="s">
        <v>142</v>
      </c>
      <c r="H99" s="81"/>
      <c r="I99" s="82" t="str">
        <f>IF(A99="","Pending",IF(H99="","⚠️ Enter Agent Code",IF(IFERROR(VLOOKUP(G99,DB_Agents!$B:$I,8,0),"")=H99,IF(AND(A99&lt;&gt;"",E99&lt;&gt;""),"Saved","Pending"),"🔒 BLOCKED — Wrong Code")))</f>
        <v>Pending</v>
      </c>
      <c r="J99" s="83" t="str">
        <f t="shared" ca="1" si="8"/>
        <v>—</v>
      </c>
      <c r="K99" s="84"/>
    </row>
    <row r="100" spans="1:11" ht="15" customHeight="1" x14ac:dyDescent="0.25">
      <c r="A100" s="85"/>
      <c r="B100" s="41" t="str">
        <f>IF(A100="","",IFERROR(VLOOKUP(A100,DB_Customers!$A:$D,4,0),"❌ Account Not Found"))</f>
        <v/>
      </c>
      <c r="C100" s="86" t="str">
        <f>IF(A100="","",IFERROR(IF(SUMIF(DB_Savings!$C:$C,A100,DB_Savings!$F:$F)=0,VLOOKUP(A100,DB_Customers!$A:$I,9,0),VLOOKUP(A100,DB_Customers!$A:$N,14,0)),"❌ Acct Not Found"))</f>
        <v/>
      </c>
      <c r="D100" s="87" t="str">
        <f t="shared" ca="1" si="6"/>
        <v/>
      </c>
      <c r="E100" s="79"/>
      <c r="F100" s="88" t="str">
        <f t="shared" si="7"/>
        <v/>
      </c>
      <c r="G100" s="43" t="s">
        <v>142</v>
      </c>
      <c r="H100" s="81"/>
      <c r="I100" s="89" t="str">
        <f>IF(A100="","Pending",IF(H100="","⚠️ Enter Agent Code",IF(IFERROR(VLOOKUP(G100,DB_Agents!$B:$I,8,0),"")=H100,IF(AND(A100&lt;&gt;"",E100&lt;&gt;""),"Saved","Pending"),"🔒 BLOCKED — Wrong Code")))</f>
        <v>Pending</v>
      </c>
      <c r="J100" s="90" t="str">
        <f t="shared" ca="1" si="8"/>
        <v>—</v>
      </c>
      <c r="K100" s="91"/>
    </row>
    <row r="101" spans="1:11" ht="15" customHeight="1" x14ac:dyDescent="0.25">
      <c r="A101" s="76"/>
      <c r="B101" s="37" t="str">
        <f>IF(A101="","",IFERROR(VLOOKUP(A101,DB_Customers!$A:$D,4,0),"❌ Account Not Found"))</f>
        <v/>
      </c>
      <c r="C101" s="77" t="str">
        <f>IF(A101="","",IFERROR(IF(SUMIF(DB_Savings!$C:$C,A101,DB_Savings!$F:$F)=0,VLOOKUP(A101,DB_Customers!$A:$I,9,0),VLOOKUP(A101,DB_Customers!$A:$N,14,0)),"❌ Acct Not Found"))</f>
        <v/>
      </c>
      <c r="D101" s="78" t="str">
        <f t="shared" ca="1" si="6"/>
        <v/>
      </c>
      <c r="E101" s="79"/>
      <c r="F101" s="80" t="str">
        <f t="shared" si="7"/>
        <v/>
      </c>
      <c r="G101" s="39" t="s">
        <v>142</v>
      </c>
      <c r="H101" s="81"/>
      <c r="I101" s="82" t="str">
        <f>IF(A101="","Pending",IF(H101="","⚠️ Enter Agent Code",IF(IFERROR(VLOOKUP(G101,DB_Agents!$B:$I,8,0),"")=H101,IF(AND(A101&lt;&gt;"",E101&lt;&gt;""),"Saved","Pending"),"🔒 BLOCKED — Wrong Code")))</f>
        <v>Pending</v>
      </c>
      <c r="J101" s="83" t="str">
        <f t="shared" ca="1" si="8"/>
        <v>—</v>
      </c>
      <c r="K101" s="84"/>
    </row>
    <row r="102" spans="1:11" ht="15" customHeight="1" x14ac:dyDescent="0.25">
      <c r="A102" s="85"/>
      <c r="B102" s="41" t="str">
        <f>IF(A102="","",IFERROR(VLOOKUP(A102,DB_Customers!$A:$D,4,0),"❌ Account Not Found"))</f>
        <v/>
      </c>
      <c r="C102" s="86" t="str">
        <f>IF(A102="","",IFERROR(IF(SUMIF(DB_Savings!$C:$C,A102,DB_Savings!$F:$F)=0,VLOOKUP(A102,DB_Customers!$A:$I,9,0),VLOOKUP(A102,DB_Customers!$A:$N,14,0)),"❌ Acct Not Found"))</f>
        <v/>
      </c>
      <c r="D102" s="87" t="str">
        <f t="shared" ca="1" si="6"/>
        <v/>
      </c>
      <c r="E102" s="79"/>
      <c r="F102" s="88" t="str">
        <f t="shared" si="7"/>
        <v/>
      </c>
      <c r="G102" s="43" t="s">
        <v>142</v>
      </c>
      <c r="H102" s="81"/>
      <c r="I102" s="89" t="str">
        <f>IF(A102="","Pending",IF(H102="","⚠️ Enter Agent Code",IF(IFERROR(VLOOKUP(G102,DB_Agents!$B:$I,8,0),"")=H102,IF(AND(A102&lt;&gt;"",E102&lt;&gt;""),"Saved","Pending"),"🔒 BLOCKED — Wrong Code")))</f>
        <v>Pending</v>
      </c>
      <c r="J102" s="90" t="str">
        <f t="shared" ca="1" si="8"/>
        <v>—</v>
      </c>
      <c r="K102" s="91"/>
    </row>
    <row r="103" spans="1:11" ht="15" customHeight="1" x14ac:dyDescent="0.25">
      <c r="A103" s="76"/>
      <c r="B103" s="37" t="str">
        <f>IF(A103="","",IFERROR(VLOOKUP(A103,DB_Customers!$A:$D,4,0),"❌ Account Not Found"))</f>
        <v/>
      </c>
      <c r="C103" s="77" t="str">
        <f>IF(A103="","",IFERROR(IF(SUMIF(DB_Savings!$C:$C,A103,DB_Savings!$F:$F)=0,VLOOKUP(A103,DB_Customers!$A:$I,9,0),VLOOKUP(A103,DB_Customers!$A:$N,14,0)),"❌ Acct Not Found"))</f>
        <v/>
      </c>
      <c r="D103" s="78" t="str">
        <f t="shared" ca="1" si="6"/>
        <v/>
      </c>
      <c r="E103" s="79"/>
      <c r="F103" s="80" t="str">
        <f t="shared" si="7"/>
        <v/>
      </c>
      <c r="G103" s="39" t="s">
        <v>142</v>
      </c>
      <c r="H103" s="81"/>
      <c r="I103" s="82" t="str">
        <f>IF(A103="","Pending",IF(H103="","⚠️ Enter Agent Code",IF(IFERROR(VLOOKUP(G103,DB_Agents!$B:$I,8,0),"")=H103,IF(AND(A103&lt;&gt;"",E103&lt;&gt;""),"Saved","Pending"),"🔒 BLOCKED — Wrong Code")))</f>
        <v>Pending</v>
      </c>
      <c r="J103" s="83" t="str">
        <f t="shared" ca="1" si="8"/>
        <v>—</v>
      </c>
      <c r="K103" s="84"/>
    </row>
    <row r="104" spans="1:11" ht="15" customHeight="1" x14ac:dyDescent="0.25">
      <c r="A104" s="85"/>
      <c r="B104" s="41" t="str">
        <f>IF(A104="","",IFERROR(VLOOKUP(A104,DB_Customers!$A:$D,4,0),"❌ Account Not Found"))</f>
        <v/>
      </c>
      <c r="C104" s="86" t="str">
        <f>IF(A104="","",IFERROR(IF(SUMIF(DB_Savings!$C:$C,A104,DB_Savings!$F:$F)=0,VLOOKUP(A104,DB_Customers!$A:$I,9,0),VLOOKUP(A104,DB_Customers!$A:$N,14,0)),"❌ Acct Not Found"))</f>
        <v/>
      </c>
      <c r="D104" s="87" t="str">
        <f t="shared" ca="1" si="6"/>
        <v/>
      </c>
      <c r="E104" s="79"/>
      <c r="F104" s="88" t="str">
        <f t="shared" si="7"/>
        <v/>
      </c>
      <c r="G104" s="43" t="s">
        <v>142</v>
      </c>
      <c r="H104" s="81"/>
      <c r="I104" s="89" t="str">
        <f>IF(A104="","Pending",IF(H104="","⚠️ Enter Agent Code",IF(IFERROR(VLOOKUP(G104,DB_Agents!$B:$I,8,0),"")=H104,IF(AND(A104&lt;&gt;"",E104&lt;&gt;""),"Saved","Pending"),"🔒 BLOCKED — Wrong Code")))</f>
        <v>Pending</v>
      </c>
      <c r="J104" s="90" t="str">
        <f t="shared" ca="1" si="8"/>
        <v>—</v>
      </c>
      <c r="K104" s="91"/>
    </row>
    <row r="105" spans="1:11" ht="15" customHeight="1" x14ac:dyDescent="0.25">
      <c r="A105" s="76"/>
      <c r="B105" s="37" t="str">
        <f>IF(A105="","",IFERROR(VLOOKUP(A105,DB_Customers!$A:$D,4,0),"❌ Account Not Found"))</f>
        <v/>
      </c>
      <c r="C105" s="77" t="str">
        <f>IF(A105="","",IFERROR(IF(SUMIF(DB_Savings!$C:$C,A105,DB_Savings!$F:$F)=0,VLOOKUP(A105,DB_Customers!$A:$I,9,0),VLOOKUP(A105,DB_Customers!$A:$N,14,0)),"❌ Acct Not Found"))</f>
        <v/>
      </c>
      <c r="D105" s="78" t="str">
        <f t="shared" ref="D105:D136" ca="1" si="9">IF(A105="","",TODAY())</f>
        <v/>
      </c>
      <c r="E105" s="79"/>
      <c r="F105" s="80" t="str">
        <f t="shared" ref="F105:F136" si="10">IF(OR(A105="",E105=""),"",IF(C105="","",C105+E105))</f>
        <v/>
      </c>
      <c r="G105" s="39" t="s">
        <v>142</v>
      </c>
      <c r="H105" s="81"/>
      <c r="I105" s="82" t="str">
        <f>IF(A105="","Pending",IF(H105="","⚠️ Enter Agent Code",IF(IFERROR(VLOOKUP(G105,DB_Agents!$B:$I,8,0),"")=H105,IF(AND(A105&lt;&gt;"",E105&lt;&gt;""),"Saved","Pending"),"🔒 BLOCKED — Wrong Code")))</f>
        <v>Pending</v>
      </c>
      <c r="J105" s="83" t="str">
        <f t="shared" ref="J105:J136" ca="1" si="11">IF(I105="Saved",TEXT(TODAY(),"YYYY-MM-DD")&amp;" Auto","—")</f>
        <v>—</v>
      </c>
      <c r="K105" s="84"/>
    </row>
    <row r="106" spans="1:11" ht="15" customHeight="1" x14ac:dyDescent="0.25">
      <c r="A106" s="85"/>
      <c r="B106" s="41" t="str">
        <f>IF(A106="","",IFERROR(VLOOKUP(A106,DB_Customers!$A:$D,4,0),"❌ Account Not Found"))</f>
        <v/>
      </c>
      <c r="C106" s="86" t="str">
        <f>IF(A106="","",IFERROR(IF(SUMIF(DB_Savings!$C:$C,A106,DB_Savings!$F:$F)=0,VLOOKUP(A106,DB_Customers!$A:$I,9,0),VLOOKUP(A106,DB_Customers!$A:$N,14,0)),"❌ Acct Not Found"))</f>
        <v/>
      </c>
      <c r="D106" s="87" t="str">
        <f t="shared" ca="1" si="9"/>
        <v/>
      </c>
      <c r="E106" s="79"/>
      <c r="F106" s="88" t="str">
        <f t="shared" si="10"/>
        <v/>
      </c>
      <c r="G106" s="43" t="s">
        <v>142</v>
      </c>
      <c r="H106" s="81"/>
      <c r="I106" s="89" t="str">
        <f>IF(A106="","Pending",IF(H106="","⚠️ Enter Agent Code",IF(IFERROR(VLOOKUP(G106,DB_Agents!$B:$I,8,0),"")=H106,IF(AND(A106&lt;&gt;"",E106&lt;&gt;""),"Saved","Pending"),"🔒 BLOCKED — Wrong Code")))</f>
        <v>Pending</v>
      </c>
      <c r="J106" s="90" t="str">
        <f t="shared" ca="1" si="11"/>
        <v>—</v>
      </c>
      <c r="K106" s="91"/>
    </row>
    <row r="107" spans="1:11" ht="15" customHeight="1" x14ac:dyDescent="0.25">
      <c r="A107" s="76"/>
      <c r="B107" s="37" t="str">
        <f>IF(A107="","",IFERROR(VLOOKUP(A107,DB_Customers!$A:$D,4,0),"❌ Account Not Found"))</f>
        <v/>
      </c>
      <c r="C107" s="77" t="str">
        <f>IF(A107="","",IFERROR(IF(SUMIF(DB_Savings!$C:$C,A107,DB_Savings!$F:$F)=0,VLOOKUP(A107,DB_Customers!$A:$I,9,0),VLOOKUP(A107,DB_Customers!$A:$N,14,0)),"❌ Acct Not Found"))</f>
        <v/>
      </c>
      <c r="D107" s="78" t="str">
        <f t="shared" ca="1" si="9"/>
        <v/>
      </c>
      <c r="E107" s="79"/>
      <c r="F107" s="80" t="str">
        <f t="shared" si="10"/>
        <v/>
      </c>
      <c r="G107" s="39" t="s">
        <v>142</v>
      </c>
      <c r="H107" s="81"/>
      <c r="I107" s="82" t="str">
        <f>IF(A107="","Pending",IF(H107="","⚠️ Enter Agent Code",IF(IFERROR(VLOOKUP(G107,DB_Agents!$B:$I,8,0),"")=H107,IF(AND(A107&lt;&gt;"",E107&lt;&gt;""),"Saved","Pending"),"🔒 BLOCKED — Wrong Code")))</f>
        <v>Pending</v>
      </c>
      <c r="J107" s="83" t="str">
        <f t="shared" ca="1" si="11"/>
        <v>—</v>
      </c>
      <c r="K107" s="84"/>
    </row>
    <row r="108" spans="1:11" ht="15" customHeight="1" x14ac:dyDescent="0.25">
      <c r="A108" s="85"/>
      <c r="B108" s="41" t="str">
        <f>IF(A108="","",IFERROR(VLOOKUP(A108,DB_Customers!$A:$D,4,0),"❌ Account Not Found"))</f>
        <v/>
      </c>
      <c r="C108" s="86" t="str">
        <f>IF(A108="","",IFERROR(IF(SUMIF(DB_Savings!$C:$C,A108,DB_Savings!$F:$F)=0,VLOOKUP(A108,DB_Customers!$A:$I,9,0),VLOOKUP(A108,DB_Customers!$A:$N,14,0)),"❌ Acct Not Found"))</f>
        <v/>
      </c>
      <c r="D108" s="87" t="str">
        <f t="shared" ca="1" si="9"/>
        <v/>
      </c>
      <c r="E108" s="79"/>
      <c r="F108" s="88" t="str">
        <f t="shared" si="10"/>
        <v/>
      </c>
      <c r="G108" s="43" t="s">
        <v>142</v>
      </c>
      <c r="H108" s="81"/>
      <c r="I108" s="89" t="str">
        <f>IF(A108="","Pending",IF(H108="","⚠️ Enter Agent Code",IF(IFERROR(VLOOKUP(G108,DB_Agents!$B:$I,8,0),"")=H108,IF(AND(A108&lt;&gt;"",E108&lt;&gt;""),"Saved","Pending"),"🔒 BLOCKED — Wrong Code")))</f>
        <v>Pending</v>
      </c>
      <c r="J108" s="90" t="str">
        <f t="shared" ca="1" si="11"/>
        <v>—</v>
      </c>
      <c r="K108" s="91"/>
    </row>
    <row r="109" spans="1:11" ht="15" customHeight="1" x14ac:dyDescent="0.25">
      <c r="A109" s="76"/>
      <c r="B109" s="37" t="str">
        <f>IF(A109="","",IFERROR(VLOOKUP(A109,DB_Customers!$A:$D,4,0),"❌ Account Not Found"))</f>
        <v/>
      </c>
      <c r="C109" s="77" t="str">
        <f>IF(A109="","",IFERROR(IF(SUMIF(DB_Savings!$C:$C,A109,DB_Savings!$F:$F)=0,VLOOKUP(A109,DB_Customers!$A:$I,9,0),VLOOKUP(A109,DB_Customers!$A:$N,14,0)),"❌ Acct Not Found"))</f>
        <v/>
      </c>
      <c r="D109" s="78" t="str">
        <f t="shared" ca="1" si="9"/>
        <v/>
      </c>
      <c r="E109" s="79"/>
      <c r="F109" s="80" t="str">
        <f t="shared" si="10"/>
        <v/>
      </c>
      <c r="G109" s="39" t="s">
        <v>142</v>
      </c>
      <c r="H109" s="81"/>
      <c r="I109" s="82" t="str">
        <f>IF(A109="","Pending",IF(H109="","⚠️ Enter Agent Code",IF(IFERROR(VLOOKUP(G109,DB_Agents!$B:$I,8,0),"")=H109,IF(AND(A109&lt;&gt;"",E109&lt;&gt;""),"Saved","Pending"),"🔒 BLOCKED — Wrong Code")))</f>
        <v>Pending</v>
      </c>
      <c r="J109" s="83" t="str">
        <f t="shared" ca="1" si="11"/>
        <v>—</v>
      </c>
      <c r="K109" s="84"/>
    </row>
    <row r="110" spans="1:11" ht="15" customHeight="1" x14ac:dyDescent="0.25">
      <c r="A110" s="85"/>
      <c r="B110" s="41" t="str">
        <f>IF(A110="","",IFERROR(VLOOKUP(A110,DB_Customers!$A:$D,4,0),"❌ Account Not Found"))</f>
        <v/>
      </c>
      <c r="C110" s="86" t="str">
        <f>IF(A110="","",IFERROR(IF(SUMIF(DB_Savings!$C:$C,A110,DB_Savings!$F:$F)=0,VLOOKUP(A110,DB_Customers!$A:$I,9,0),VLOOKUP(A110,DB_Customers!$A:$N,14,0)),"❌ Acct Not Found"))</f>
        <v/>
      </c>
      <c r="D110" s="87" t="str">
        <f t="shared" ca="1" si="9"/>
        <v/>
      </c>
      <c r="E110" s="79"/>
      <c r="F110" s="88" t="str">
        <f t="shared" si="10"/>
        <v/>
      </c>
      <c r="G110" s="43" t="s">
        <v>142</v>
      </c>
      <c r="H110" s="81"/>
      <c r="I110" s="89" t="str">
        <f>IF(A110="","Pending",IF(H110="","⚠️ Enter Agent Code",IF(IFERROR(VLOOKUP(G110,DB_Agents!$B:$I,8,0),"")=H110,IF(AND(A110&lt;&gt;"",E110&lt;&gt;""),"Saved","Pending"),"🔒 BLOCKED — Wrong Code")))</f>
        <v>Pending</v>
      </c>
      <c r="J110" s="90" t="str">
        <f t="shared" ca="1" si="11"/>
        <v>—</v>
      </c>
      <c r="K110" s="91"/>
    </row>
    <row r="111" spans="1:11" ht="15" customHeight="1" x14ac:dyDescent="0.25">
      <c r="A111" s="76"/>
      <c r="B111" s="37" t="str">
        <f>IF(A111="","",IFERROR(VLOOKUP(A111,DB_Customers!$A:$D,4,0),"❌ Account Not Found"))</f>
        <v/>
      </c>
      <c r="C111" s="77" t="str">
        <f>IF(A111="","",IFERROR(IF(SUMIF(DB_Savings!$C:$C,A111,DB_Savings!$F:$F)=0,VLOOKUP(A111,DB_Customers!$A:$I,9,0),VLOOKUP(A111,DB_Customers!$A:$N,14,0)),"❌ Acct Not Found"))</f>
        <v/>
      </c>
      <c r="D111" s="78" t="str">
        <f t="shared" ca="1" si="9"/>
        <v/>
      </c>
      <c r="E111" s="79"/>
      <c r="F111" s="80" t="str">
        <f t="shared" si="10"/>
        <v/>
      </c>
      <c r="G111" s="39" t="s">
        <v>142</v>
      </c>
      <c r="H111" s="81"/>
      <c r="I111" s="82" t="str">
        <f>IF(A111="","Pending",IF(H111="","⚠️ Enter Agent Code",IF(IFERROR(VLOOKUP(G111,DB_Agents!$B:$I,8,0),"")=H111,IF(AND(A111&lt;&gt;"",E111&lt;&gt;""),"Saved","Pending"),"🔒 BLOCKED — Wrong Code")))</f>
        <v>Pending</v>
      </c>
      <c r="J111" s="83" t="str">
        <f t="shared" ca="1" si="11"/>
        <v>—</v>
      </c>
      <c r="K111" s="84"/>
    </row>
    <row r="112" spans="1:11" ht="15" customHeight="1" x14ac:dyDescent="0.25">
      <c r="A112" s="85"/>
      <c r="B112" s="41" t="str">
        <f>IF(A112="","",IFERROR(VLOOKUP(A112,DB_Customers!$A:$D,4,0),"❌ Account Not Found"))</f>
        <v/>
      </c>
      <c r="C112" s="86" t="str">
        <f>IF(A112="","",IFERROR(IF(SUMIF(DB_Savings!$C:$C,A112,DB_Savings!$F:$F)=0,VLOOKUP(A112,DB_Customers!$A:$I,9,0),VLOOKUP(A112,DB_Customers!$A:$N,14,0)),"❌ Acct Not Found"))</f>
        <v/>
      </c>
      <c r="D112" s="87" t="str">
        <f t="shared" ca="1" si="9"/>
        <v/>
      </c>
      <c r="E112" s="79"/>
      <c r="F112" s="88" t="str">
        <f t="shared" si="10"/>
        <v/>
      </c>
      <c r="G112" s="43" t="s">
        <v>142</v>
      </c>
      <c r="H112" s="81"/>
      <c r="I112" s="89" t="str">
        <f>IF(A112="","Pending",IF(H112="","⚠️ Enter Agent Code",IF(IFERROR(VLOOKUP(G112,DB_Agents!$B:$I,8,0),"")=H112,IF(AND(A112&lt;&gt;"",E112&lt;&gt;""),"Saved","Pending"),"🔒 BLOCKED — Wrong Code")))</f>
        <v>Pending</v>
      </c>
      <c r="J112" s="90" t="str">
        <f t="shared" ca="1" si="11"/>
        <v>—</v>
      </c>
      <c r="K112" s="91"/>
    </row>
    <row r="113" spans="1:11" ht="15" customHeight="1" x14ac:dyDescent="0.25">
      <c r="A113" s="76"/>
      <c r="B113" s="37" t="str">
        <f>IF(A113="","",IFERROR(VLOOKUP(A113,DB_Customers!$A:$D,4,0),"❌ Account Not Found"))</f>
        <v/>
      </c>
      <c r="C113" s="77" t="str">
        <f>IF(A113="","",IFERROR(IF(SUMIF(DB_Savings!$C:$C,A113,DB_Savings!$F:$F)=0,VLOOKUP(A113,DB_Customers!$A:$I,9,0),VLOOKUP(A113,DB_Customers!$A:$N,14,0)),"❌ Acct Not Found"))</f>
        <v/>
      </c>
      <c r="D113" s="78" t="str">
        <f t="shared" ca="1" si="9"/>
        <v/>
      </c>
      <c r="E113" s="79"/>
      <c r="F113" s="80" t="str">
        <f t="shared" si="10"/>
        <v/>
      </c>
      <c r="G113" s="39" t="s">
        <v>142</v>
      </c>
      <c r="H113" s="81"/>
      <c r="I113" s="82" t="str">
        <f>IF(A113="","Pending",IF(H113="","⚠️ Enter Agent Code",IF(IFERROR(VLOOKUP(G113,DB_Agents!$B:$I,8,0),"")=H113,IF(AND(A113&lt;&gt;"",E113&lt;&gt;""),"Saved","Pending"),"🔒 BLOCKED — Wrong Code")))</f>
        <v>Pending</v>
      </c>
      <c r="J113" s="83" t="str">
        <f t="shared" ca="1" si="11"/>
        <v>—</v>
      </c>
      <c r="K113" s="84"/>
    </row>
    <row r="114" spans="1:11" ht="15" customHeight="1" x14ac:dyDescent="0.25">
      <c r="A114" s="85"/>
      <c r="B114" s="41" t="str">
        <f>IF(A114="","",IFERROR(VLOOKUP(A114,DB_Customers!$A:$D,4,0),"❌ Account Not Found"))</f>
        <v/>
      </c>
      <c r="C114" s="86" t="str">
        <f>IF(A114="","",IFERROR(IF(SUMIF(DB_Savings!$C:$C,A114,DB_Savings!$F:$F)=0,VLOOKUP(A114,DB_Customers!$A:$I,9,0),VLOOKUP(A114,DB_Customers!$A:$N,14,0)),"❌ Acct Not Found"))</f>
        <v/>
      </c>
      <c r="D114" s="87" t="str">
        <f t="shared" ca="1" si="9"/>
        <v/>
      </c>
      <c r="E114" s="79"/>
      <c r="F114" s="88" t="str">
        <f t="shared" si="10"/>
        <v/>
      </c>
      <c r="G114" s="43" t="s">
        <v>142</v>
      </c>
      <c r="H114" s="81"/>
      <c r="I114" s="89" t="str">
        <f>IF(A114="","Pending",IF(H114="","⚠️ Enter Agent Code",IF(IFERROR(VLOOKUP(G114,DB_Agents!$B:$I,8,0),"")=H114,IF(AND(A114&lt;&gt;"",E114&lt;&gt;""),"Saved","Pending"),"🔒 BLOCKED — Wrong Code")))</f>
        <v>Pending</v>
      </c>
      <c r="J114" s="90" t="str">
        <f t="shared" ca="1" si="11"/>
        <v>—</v>
      </c>
      <c r="K114" s="91"/>
    </row>
    <row r="115" spans="1:11" ht="15" customHeight="1" x14ac:dyDescent="0.25">
      <c r="A115" s="76"/>
      <c r="B115" s="37" t="str">
        <f>IF(A115="","",IFERROR(VLOOKUP(A115,DB_Customers!$A:$D,4,0),"❌ Account Not Found"))</f>
        <v/>
      </c>
      <c r="C115" s="77" t="str">
        <f>IF(A115="","",IFERROR(IF(SUMIF(DB_Savings!$C:$C,A115,DB_Savings!$F:$F)=0,VLOOKUP(A115,DB_Customers!$A:$I,9,0),VLOOKUP(A115,DB_Customers!$A:$N,14,0)),"❌ Acct Not Found"))</f>
        <v/>
      </c>
      <c r="D115" s="78" t="str">
        <f t="shared" ca="1" si="9"/>
        <v/>
      </c>
      <c r="E115" s="79"/>
      <c r="F115" s="80" t="str">
        <f t="shared" si="10"/>
        <v/>
      </c>
      <c r="G115" s="39" t="s">
        <v>142</v>
      </c>
      <c r="H115" s="81"/>
      <c r="I115" s="82" t="str">
        <f>IF(A115="","Pending",IF(H115="","⚠️ Enter Agent Code",IF(IFERROR(VLOOKUP(G115,DB_Agents!$B:$I,8,0),"")=H115,IF(AND(A115&lt;&gt;"",E115&lt;&gt;""),"Saved","Pending"),"🔒 BLOCKED — Wrong Code")))</f>
        <v>Pending</v>
      </c>
      <c r="J115" s="83" t="str">
        <f t="shared" ca="1" si="11"/>
        <v>—</v>
      </c>
      <c r="K115" s="84"/>
    </row>
    <row r="116" spans="1:11" ht="15" customHeight="1" x14ac:dyDescent="0.25">
      <c r="A116" s="85"/>
      <c r="B116" s="41" t="str">
        <f>IF(A116="","",IFERROR(VLOOKUP(A116,DB_Customers!$A:$D,4,0),"❌ Account Not Found"))</f>
        <v/>
      </c>
      <c r="C116" s="86" t="str">
        <f>IF(A116="","",IFERROR(IF(SUMIF(DB_Savings!$C:$C,A116,DB_Savings!$F:$F)=0,VLOOKUP(A116,DB_Customers!$A:$I,9,0),VLOOKUP(A116,DB_Customers!$A:$N,14,0)),"❌ Acct Not Found"))</f>
        <v/>
      </c>
      <c r="D116" s="87" t="str">
        <f t="shared" ca="1" si="9"/>
        <v/>
      </c>
      <c r="E116" s="79"/>
      <c r="F116" s="88" t="str">
        <f t="shared" si="10"/>
        <v/>
      </c>
      <c r="G116" s="43" t="s">
        <v>142</v>
      </c>
      <c r="H116" s="81"/>
      <c r="I116" s="89" t="str">
        <f>IF(A116="","Pending",IF(H116="","⚠️ Enter Agent Code",IF(IFERROR(VLOOKUP(G116,DB_Agents!$B:$I,8,0),"")=H116,IF(AND(A116&lt;&gt;"",E116&lt;&gt;""),"Saved","Pending"),"🔒 BLOCKED — Wrong Code")))</f>
        <v>Pending</v>
      </c>
      <c r="J116" s="90" t="str">
        <f t="shared" ca="1" si="11"/>
        <v>—</v>
      </c>
      <c r="K116" s="91"/>
    </row>
    <row r="117" spans="1:11" ht="15" customHeight="1" x14ac:dyDescent="0.25">
      <c r="A117" s="76"/>
      <c r="B117" s="37" t="str">
        <f>IF(A117="","",IFERROR(VLOOKUP(A117,DB_Customers!$A:$D,4,0),"❌ Account Not Found"))</f>
        <v/>
      </c>
      <c r="C117" s="77" t="str">
        <f>IF(A117="","",IFERROR(IF(SUMIF(DB_Savings!$C:$C,A117,DB_Savings!$F:$F)=0,VLOOKUP(A117,DB_Customers!$A:$I,9,0),VLOOKUP(A117,DB_Customers!$A:$N,14,0)),"❌ Acct Not Found"))</f>
        <v/>
      </c>
      <c r="D117" s="78" t="str">
        <f t="shared" ca="1" si="9"/>
        <v/>
      </c>
      <c r="E117" s="79"/>
      <c r="F117" s="80" t="str">
        <f t="shared" si="10"/>
        <v/>
      </c>
      <c r="G117" s="39" t="s">
        <v>142</v>
      </c>
      <c r="H117" s="81"/>
      <c r="I117" s="82" t="str">
        <f>IF(A117="","Pending",IF(H117="","⚠️ Enter Agent Code",IF(IFERROR(VLOOKUP(G117,DB_Agents!$B:$I,8,0),"")=H117,IF(AND(A117&lt;&gt;"",E117&lt;&gt;""),"Saved","Pending"),"🔒 BLOCKED — Wrong Code")))</f>
        <v>Pending</v>
      </c>
      <c r="J117" s="83" t="str">
        <f t="shared" ca="1" si="11"/>
        <v>—</v>
      </c>
      <c r="K117" s="84"/>
    </row>
    <row r="118" spans="1:11" ht="15" customHeight="1" x14ac:dyDescent="0.25">
      <c r="A118" s="85"/>
      <c r="B118" s="41" t="str">
        <f>IF(A118="","",IFERROR(VLOOKUP(A118,DB_Customers!$A:$D,4,0),"❌ Account Not Found"))</f>
        <v/>
      </c>
      <c r="C118" s="86" t="str">
        <f>IF(A118="","",IFERROR(IF(SUMIF(DB_Savings!$C:$C,A118,DB_Savings!$F:$F)=0,VLOOKUP(A118,DB_Customers!$A:$I,9,0),VLOOKUP(A118,DB_Customers!$A:$N,14,0)),"❌ Acct Not Found"))</f>
        <v/>
      </c>
      <c r="D118" s="87" t="str">
        <f t="shared" ca="1" si="9"/>
        <v/>
      </c>
      <c r="E118" s="79"/>
      <c r="F118" s="88" t="str">
        <f t="shared" si="10"/>
        <v/>
      </c>
      <c r="G118" s="43" t="s">
        <v>142</v>
      </c>
      <c r="H118" s="81"/>
      <c r="I118" s="89" t="str">
        <f>IF(A118="","Pending",IF(H118="","⚠️ Enter Agent Code",IF(IFERROR(VLOOKUP(G118,DB_Agents!$B:$I,8,0),"")=H118,IF(AND(A118&lt;&gt;"",E118&lt;&gt;""),"Saved","Pending"),"🔒 BLOCKED — Wrong Code")))</f>
        <v>Pending</v>
      </c>
      <c r="J118" s="90" t="str">
        <f t="shared" ca="1" si="11"/>
        <v>—</v>
      </c>
      <c r="K118" s="91"/>
    </row>
    <row r="119" spans="1:11" ht="15" customHeight="1" x14ac:dyDescent="0.25">
      <c r="A119" s="76"/>
      <c r="B119" s="37" t="str">
        <f>IF(A119="","",IFERROR(VLOOKUP(A119,DB_Customers!$A:$D,4,0),"❌ Account Not Found"))</f>
        <v/>
      </c>
      <c r="C119" s="77" t="str">
        <f>IF(A119="","",IFERROR(IF(SUMIF(DB_Savings!$C:$C,A119,DB_Savings!$F:$F)=0,VLOOKUP(A119,DB_Customers!$A:$I,9,0),VLOOKUP(A119,DB_Customers!$A:$N,14,0)),"❌ Acct Not Found"))</f>
        <v/>
      </c>
      <c r="D119" s="78" t="str">
        <f t="shared" ca="1" si="9"/>
        <v/>
      </c>
      <c r="E119" s="79"/>
      <c r="F119" s="80" t="str">
        <f t="shared" si="10"/>
        <v/>
      </c>
      <c r="G119" s="39" t="s">
        <v>142</v>
      </c>
      <c r="H119" s="81"/>
      <c r="I119" s="82" t="str">
        <f>IF(A119="","Pending",IF(H119="","⚠️ Enter Agent Code",IF(IFERROR(VLOOKUP(G119,DB_Agents!$B:$I,8,0),"")=H119,IF(AND(A119&lt;&gt;"",E119&lt;&gt;""),"Saved","Pending"),"🔒 BLOCKED — Wrong Code")))</f>
        <v>Pending</v>
      </c>
      <c r="J119" s="83" t="str">
        <f t="shared" ca="1" si="11"/>
        <v>—</v>
      </c>
      <c r="K119" s="84"/>
    </row>
    <row r="120" spans="1:11" ht="15" customHeight="1" x14ac:dyDescent="0.25">
      <c r="A120" s="85"/>
      <c r="B120" s="41" t="str">
        <f>IF(A120="","",IFERROR(VLOOKUP(A120,DB_Customers!$A:$D,4,0),"❌ Account Not Found"))</f>
        <v/>
      </c>
      <c r="C120" s="86" t="str">
        <f>IF(A120="","",IFERROR(IF(SUMIF(DB_Savings!$C:$C,A120,DB_Savings!$F:$F)=0,VLOOKUP(A120,DB_Customers!$A:$I,9,0),VLOOKUP(A120,DB_Customers!$A:$N,14,0)),"❌ Acct Not Found"))</f>
        <v/>
      </c>
      <c r="D120" s="87" t="str">
        <f t="shared" ca="1" si="9"/>
        <v/>
      </c>
      <c r="E120" s="79"/>
      <c r="F120" s="88" t="str">
        <f t="shared" si="10"/>
        <v/>
      </c>
      <c r="G120" s="43" t="s">
        <v>142</v>
      </c>
      <c r="H120" s="81"/>
      <c r="I120" s="89" t="str">
        <f>IF(A120="","Pending",IF(H120="","⚠️ Enter Agent Code",IF(IFERROR(VLOOKUP(G120,DB_Agents!$B:$I,8,0),"")=H120,IF(AND(A120&lt;&gt;"",E120&lt;&gt;""),"Saved","Pending"),"🔒 BLOCKED — Wrong Code")))</f>
        <v>Pending</v>
      </c>
      <c r="J120" s="90" t="str">
        <f t="shared" ca="1" si="11"/>
        <v>—</v>
      </c>
      <c r="K120" s="91"/>
    </row>
    <row r="121" spans="1:11" ht="15" customHeight="1" x14ac:dyDescent="0.25">
      <c r="A121" s="76"/>
      <c r="B121" s="37" t="str">
        <f>IF(A121="","",IFERROR(VLOOKUP(A121,DB_Customers!$A:$D,4,0),"❌ Account Not Found"))</f>
        <v/>
      </c>
      <c r="C121" s="77" t="str">
        <f>IF(A121="","",IFERROR(IF(SUMIF(DB_Savings!$C:$C,A121,DB_Savings!$F:$F)=0,VLOOKUP(A121,DB_Customers!$A:$I,9,0),VLOOKUP(A121,DB_Customers!$A:$N,14,0)),"❌ Acct Not Found"))</f>
        <v/>
      </c>
      <c r="D121" s="78" t="str">
        <f t="shared" ca="1" si="9"/>
        <v/>
      </c>
      <c r="E121" s="79"/>
      <c r="F121" s="80" t="str">
        <f t="shared" si="10"/>
        <v/>
      </c>
      <c r="G121" s="39" t="s">
        <v>142</v>
      </c>
      <c r="H121" s="81"/>
      <c r="I121" s="82" t="str">
        <f>IF(A121="","Pending",IF(H121="","⚠️ Enter Agent Code",IF(IFERROR(VLOOKUP(G121,DB_Agents!$B:$I,8,0),"")=H121,IF(AND(A121&lt;&gt;"",E121&lt;&gt;""),"Saved","Pending"),"🔒 BLOCKED — Wrong Code")))</f>
        <v>Pending</v>
      </c>
      <c r="J121" s="83" t="str">
        <f t="shared" ca="1" si="11"/>
        <v>—</v>
      </c>
      <c r="K121" s="84"/>
    </row>
    <row r="122" spans="1:11" ht="15" customHeight="1" x14ac:dyDescent="0.25">
      <c r="A122" s="85"/>
      <c r="B122" s="41" t="str">
        <f>IF(A122="","",IFERROR(VLOOKUP(A122,DB_Customers!$A:$D,4,0),"❌ Account Not Found"))</f>
        <v/>
      </c>
      <c r="C122" s="86" t="str">
        <f>IF(A122="","",IFERROR(IF(SUMIF(DB_Savings!$C:$C,A122,DB_Savings!$F:$F)=0,VLOOKUP(A122,DB_Customers!$A:$I,9,0),VLOOKUP(A122,DB_Customers!$A:$N,14,0)),"❌ Acct Not Found"))</f>
        <v/>
      </c>
      <c r="D122" s="87" t="str">
        <f t="shared" ca="1" si="9"/>
        <v/>
      </c>
      <c r="E122" s="79"/>
      <c r="F122" s="88" t="str">
        <f t="shared" si="10"/>
        <v/>
      </c>
      <c r="G122" s="43" t="s">
        <v>142</v>
      </c>
      <c r="H122" s="81"/>
      <c r="I122" s="89" t="str">
        <f>IF(A122="","Pending",IF(H122="","⚠️ Enter Agent Code",IF(IFERROR(VLOOKUP(G122,DB_Agents!$B:$I,8,0),"")=H122,IF(AND(A122&lt;&gt;"",E122&lt;&gt;""),"Saved","Pending"),"🔒 BLOCKED — Wrong Code")))</f>
        <v>Pending</v>
      </c>
      <c r="J122" s="90" t="str">
        <f t="shared" ca="1" si="11"/>
        <v>—</v>
      </c>
      <c r="K122" s="91"/>
    </row>
    <row r="123" spans="1:11" ht="15" customHeight="1" x14ac:dyDescent="0.25">
      <c r="A123" s="76"/>
      <c r="B123" s="37" t="str">
        <f>IF(A123="","",IFERROR(VLOOKUP(A123,DB_Customers!$A:$D,4,0),"❌ Account Not Found"))</f>
        <v/>
      </c>
      <c r="C123" s="77" t="str">
        <f>IF(A123="","",IFERROR(IF(SUMIF(DB_Savings!$C:$C,A123,DB_Savings!$F:$F)=0,VLOOKUP(A123,DB_Customers!$A:$I,9,0),VLOOKUP(A123,DB_Customers!$A:$N,14,0)),"❌ Acct Not Found"))</f>
        <v/>
      </c>
      <c r="D123" s="78" t="str">
        <f t="shared" ca="1" si="9"/>
        <v/>
      </c>
      <c r="E123" s="79"/>
      <c r="F123" s="80" t="str">
        <f t="shared" si="10"/>
        <v/>
      </c>
      <c r="G123" s="39" t="s">
        <v>142</v>
      </c>
      <c r="H123" s="81"/>
      <c r="I123" s="82" t="str">
        <f>IF(A123="","Pending",IF(H123="","⚠️ Enter Agent Code",IF(IFERROR(VLOOKUP(G123,DB_Agents!$B:$I,8,0),"")=H123,IF(AND(A123&lt;&gt;"",E123&lt;&gt;""),"Saved","Pending"),"🔒 BLOCKED — Wrong Code")))</f>
        <v>Pending</v>
      </c>
      <c r="J123" s="83" t="str">
        <f t="shared" ca="1" si="11"/>
        <v>—</v>
      </c>
      <c r="K123" s="84"/>
    </row>
    <row r="124" spans="1:11" ht="15" customHeight="1" x14ac:dyDescent="0.25">
      <c r="A124" s="85"/>
      <c r="B124" s="41" t="str">
        <f>IF(A124="","",IFERROR(VLOOKUP(A124,DB_Customers!$A:$D,4,0),"❌ Account Not Found"))</f>
        <v/>
      </c>
      <c r="C124" s="86" t="str">
        <f>IF(A124="","",IFERROR(IF(SUMIF(DB_Savings!$C:$C,A124,DB_Savings!$F:$F)=0,VLOOKUP(A124,DB_Customers!$A:$I,9,0),VLOOKUP(A124,DB_Customers!$A:$N,14,0)),"❌ Acct Not Found"))</f>
        <v/>
      </c>
      <c r="D124" s="87" t="str">
        <f t="shared" ca="1" si="9"/>
        <v/>
      </c>
      <c r="E124" s="79"/>
      <c r="F124" s="88" t="str">
        <f t="shared" si="10"/>
        <v/>
      </c>
      <c r="G124" s="43" t="s">
        <v>142</v>
      </c>
      <c r="H124" s="81"/>
      <c r="I124" s="89" t="str">
        <f>IF(A124="","Pending",IF(H124="","⚠️ Enter Agent Code",IF(IFERROR(VLOOKUP(G124,DB_Agents!$B:$I,8,0),"")=H124,IF(AND(A124&lt;&gt;"",E124&lt;&gt;""),"Saved","Pending"),"🔒 BLOCKED — Wrong Code")))</f>
        <v>Pending</v>
      </c>
      <c r="J124" s="90" t="str">
        <f t="shared" ca="1" si="11"/>
        <v>—</v>
      </c>
      <c r="K124" s="91"/>
    </row>
    <row r="125" spans="1:11" ht="15" customHeight="1" x14ac:dyDescent="0.25">
      <c r="A125" s="76"/>
      <c r="B125" s="37" t="str">
        <f>IF(A125="","",IFERROR(VLOOKUP(A125,DB_Customers!$A:$D,4,0),"❌ Account Not Found"))</f>
        <v/>
      </c>
      <c r="C125" s="77" t="str">
        <f>IF(A125="","",IFERROR(IF(SUMIF(DB_Savings!$C:$C,A125,DB_Savings!$F:$F)=0,VLOOKUP(A125,DB_Customers!$A:$I,9,0),VLOOKUP(A125,DB_Customers!$A:$N,14,0)),"❌ Acct Not Found"))</f>
        <v/>
      </c>
      <c r="D125" s="78" t="str">
        <f t="shared" ca="1" si="9"/>
        <v/>
      </c>
      <c r="E125" s="79"/>
      <c r="F125" s="80" t="str">
        <f t="shared" si="10"/>
        <v/>
      </c>
      <c r="G125" s="39" t="s">
        <v>142</v>
      </c>
      <c r="H125" s="81"/>
      <c r="I125" s="82" t="str">
        <f>IF(A125="","Pending",IF(H125="","⚠️ Enter Agent Code",IF(IFERROR(VLOOKUP(G125,DB_Agents!$B:$I,8,0),"")=H125,IF(AND(A125&lt;&gt;"",E125&lt;&gt;""),"Saved","Pending"),"🔒 BLOCKED — Wrong Code")))</f>
        <v>Pending</v>
      </c>
      <c r="J125" s="83" t="str">
        <f t="shared" ca="1" si="11"/>
        <v>—</v>
      </c>
      <c r="K125" s="84"/>
    </row>
    <row r="126" spans="1:11" ht="15" customHeight="1" x14ac:dyDescent="0.25">
      <c r="A126" s="85"/>
      <c r="B126" s="41" t="str">
        <f>IF(A126="","",IFERROR(VLOOKUP(A126,DB_Customers!$A:$D,4,0),"❌ Account Not Found"))</f>
        <v/>
      </c>
      <c r="C126" s="86" t="str">
        <f>IF(A126="","",IFERROR(IF(SUMIF(DB_Savings!$C:$C,A126,DB_Savings!$F:$F)=0,VLOOKUP(A126,DB_Customers!$A:$I,9,0),VLOOKUP(A126,DB_Customers!$A:$N,14,0)),"❌ Acct Not Found"))</f>
        <v/>
      </c>
      <c r="D126" s="87" t="str">
        <f t="shared" ca="1" si="9"/>
        <v/>
      </c>
      <c r="E126" s="79"/>
      <c r="F126" s="88" t="str">
        <f t="shared" si="10"/>
        <v/>
      </c>
      <c r="G126" s="43" t="s">
        <v>142</v>
      </c>
      <c r="H126" s="81"/>
      <c r="I126" s="89" t="str">
        <f>IF(A126="","Pending",IF(H126="","⚠️ Enter Agent Code",IF(IFERROR(VLOOKUP(G126,DB_Agents!$B:$I,8,0),"")=H126,IF(AND(A126&lt;&gt;"",E126&lt;&gt;""),"Saved","Pending"),"🔒 BLOCKED — Wrong Code")))</f>
        <v>Pending</v>
      </c>
      <c r="J126" s="90" t="str">
        <f t="shared" ca="1" si="11"/>
        <v>—</v>
      </c>
      <c r="K126" s="91"/>
    </row>
    <row r="127" spans="1:11" ht="15" customHeight="1" x14ac:dyDescent="0.25">
      <c r="A127" s="76"/>
      <c r="B127" s="37" t="str">
        <f>IF(A127="","",IFERROR(VLOOKUP(A127,DB_Customers!$A:$D,4,0),"❌ Account Not Found"))</f>
        <v/>
      </c>
      <c r="C127" s="77" t="str">
        <f>IF(A127="","",IFERROR(IF(SUMIF(DB_Savings!$C:$C,A127,DB_Savings!$F:$F)=0,VLOOKUP(A127,DB_Customers!$A:$I,9,0),VLOOKUP(A127,DB_Customers!$A:$N,14,0)),"❌ Acct Not Found"))</f>
        <v/>
      </c>
      <c r="D127" s="78" t="str">
        <f t="shared" ca="1" si="9"/>
        <v/>
      </c>
      <c r="E127" s="79"/>
      <c r="F127" s="80" t="str">
        <f t="shared" si="10"/>
        <v/>
      </c>
      <c r="G127" s="39" t="s">
        <v>142</v>
      </c>
      <c r="H127" s="81"/>
      <c r="I127" s="82" t="str">
        <f>IF(A127="","Pending",IF(H127="","⚠️ Enter Agent Code",IF(IFERROR(VLOOKUP(G127,DB_Agents!$B:$I,8,0),"")=H127,IF(AND(A127&lt;&gt;"",E127&lt;&gt;""),"Saved","Pending"),"🔒 BLOCKED — Wrong Code")))</f>
        <v>Pending</v>
      </c>
      <c r="J127" s="83" t="str">
        <f t="shared" ca="1" si="11"/>
        <v>—</v>
      </c>
      <c r="K127" s="84"/>
    </row>
    <row r="128" spans="1:11" ht="15" customHeight="1" x14ac:dyDescent="0.25">
      <c r="A128" s="85"/>
      <c r="B128" s="41" t="str">
        <f>IF(A128="","",IFERROR(VLOOKUP(A128,DB_Customers!$A:$D,4,0),"❌ Account Not Found"))</f>
        <v/>
      </c>
      <c r="C128" s="86" t="str">
        <f>IF(A128="","",IFERROR(IF(SUMIF(DB_Savings!$C:$C,A128,DB_Savings!$F:$F)=0,VLOOKUP(A128,DB_Customers!$A:$I,9,0),VLOOKUP(A128,DB_Customers!$A:$N,14,0)),"❌ Acct Not Found"))</f>
        <v/>
      </c>
      <c r="D128" s="87" t="str">
        <f t="shared" ca="1" si="9"/>
        <v/>
      </c>
      <c r="E128" s="79"/>
      <c r="F128" s="88" t="str">
        <f t="shared" si="10"/>
        <v/>
      </c>
      <c r="G128" s="43" t="s">
        <v>142</v>
      </c>
      <c r="H128" s="81"/>
      <c r="I128" s="89" t="str">
        <f>IF(A128="","Pending",IF(H128="","⚠️ Enter Agent Code",IF(IFERROR(VLOOKUP(G128,DB_Agents!$B:$I,8,0),"")=H128,IF(AND(A128&lt;&gt;"",E128&lt;&gt;""),"Saved","Pending"),"🔒 BLOCKED — Wrong Code")))</f>
        <v>Pending</v>
      </c>
      <c r="J128" s="90" t="str">
        <f t="shared" ca="1" si="11"/>
        <v>—</v>
      </c>
      <c r="K128" s="91"/>
    </row>
    <row r="129" spans="1:11" ht="15" customHeight="1" x14ac:dyDescent="0.25">
      <c r="A129" s="76"/>
      <c r="B129" s="37" t="str">
        <f>IF(A129="","",IFERROR(VLOOKUP(A129,DB_Customers!$A:$D,4,0),"❌ Account Not Found"))</f>
        <v/>
      </c>
      <c r="C129" s="77" t="str">
        <f>IF(A129="","",IFERROR(IF(SUMIF(DB_Savings!$C:$C,A129,DB_Savings!$F:$F)=0,VLOOKUP(A129,DB_Customers!$A:$I,9,0),VLOOKUP(A129,DB_Customers!$A:$N,14,0)),"❌ Acct Not Found"))</f>
        <v/>
      </c>
      <c r="D129" s="78" t="str">
        <f t="shared" ca="1" si="9"/>
        <v/>
      </c>
      <c r="E129" s="79"/>
      <c r="F129" s="80" t="str">
        <f t="shared" si="10"/>
        <v/>
      </c>
      <c r="G129" s="39" t="s">
        <v>142</v>
      </c>
      <c r="H129" s="81"/>
      <c r="I129" s="82" t="str">
        <f>IF(A129="","Pending",IF(H129="","⚠️ Enter Agent Code",IF(IFERROR(VLOOKUP(G129,DB_Agents!$B:$I,8,0),"")=H129,IF(AND(A129&lt;&gt;"",E129&lt;&gt;""),"Saved","Pending"),"🔒 BLOCKED — Wrong Code")))</f>
        <v>Pending</v>
      </c>
      <c r="J129" s="83" t="str">
        <f t="shared" ca="1" si="11"/>
        <v>—</v>
      </c>
      <c r="K129" s="84"/>
    </row>
    <row r="130" spans="1:11" ht="15" customHeight="1" x14ac:dyDescent="0.25">
      <c r="A130" s="85"/>
      <c r="B130" s="41" t="str">
        <f>IF(A130="","",IFERROR(VLOOKUP(A130,DB_Customers!$A:$D,4,0),"❌ Account Not Found"))</f>
        <v/>
      </c>
      <c r="C130" s="86" t="str">
        <f>IF(A130="","",IFERROR(IF(SUMIF(DB_Savings!$C:$C,A130,DB_Savings!$F:$F)=0,VLOOKUP(A130,DB_Customers!$A:$I,9,0),VLOOKUP(A130,DB_Customers!$A:$N,14,0)),"❌ Acct Not Found"))</f>
        <v/>
      </c>
      <c r="D130" s="87" t="str">
        <f t="shared" ca="1" si="9"/>
        <v/>
      </c>
      <c r="E130" s="79"/>
      <c r="F130" s="88" t="str">
        <f t="shared" si="10"/>
        <v/>
      </c>
      <c r="G130" s="43" t="s">
        <v>142</v>
      </c>
      <c r="H130" s="81"/>
      <c r="I130" s="89" t="str">
        <f>IF(A130="","Pending",IF(H130="","⚠️ Enter Agent Code",IF(IFERROR(VLOOKUP(G130,DB_Agents!$B:$I,8,0),"")=H130,IF(AND(A130&lt;&gt;"",E130&lt;&gt;""),"Saved","Pending"),"🔒 BLOCKED — Wrong Code")))</f>
        <v>Pending</v>
      </c>
      <c r="J130" s="90" t="str">
        <f t="shared" ca="1" si="11"/>
        <v>—</v>
      </c>
      <c r="K130" s="91"/>
    </row>
    <row r="131" spans="1:11" ht="15" customHeight="1" x14ac:dyDescent="0.25">
      <c r="A131" s="76"/>
      <c r="B131" s="37" t="str">
        <f>IF(A131="","",IFERROR(VLOOKUP(A131,DB_Customers!$A:$D,4,0),"❌ Account Not Found"))</f>
        <v/>
      </c>
      <c r="C131" s="77" t="str">
        <f>IF(A131="","",IFERROR(IF(SUMIF(DB_Savings!$C:$C,A131,DB_Savings!$F:$F)=0,VLOOKUP(A131,DB_Customers!$A:$I,9,0),VLOOKUP(A131,DB_Customers!$A:$N,14,0)),"❌ Acct Not Found"))</f>
        <v/>
      </c>
      <c r="D131" s="78" t="str">
        <f t="shared" ca="1" si="9"/>
        <v/>
      </c>
      <c r="E131" s="79"/>
      <c r="F131" s="80" t="str">
        <f t="shared" si="10"/>
        <v/>
      </c>
      <c r="G131" s="39" t="s">
        <v>142</v>
      </c>
      <c r="H131" s="81"/>
      <c r="I131" s="82" t="str">
        <f>IF(A131="","Pending",IF(H131="","⚠️ Enter Agent Code",IF(IFERROR(VLOOKUP(G131,DB_Agents!$B:$I,8,0),"")=H131,IF(AND(A131&lt;&gt;"",E131&lt;&gt;""),"Saved","Pending"),"🔒 BLOCKED — Wrong Code")))</f>
        <v>Pending</v>
      </c>
      <c r="J131" s="83" t="str">
        <f t="shared" ca="1" si="11"/>
        <v>—</v>
      </c>
      <c r="K131" s="84"/>
    </row>
    <row r="132" spans="1:11" ht="15" customHeight="1" x14ac:dyDescent="0.25">
      <c r="A132" s="85"/>
      <c r="B132" s="41" t="str">
        <f>IF(A132="","",IFERROR(VLOOKUP(A132,DB_Customers!$A:$D,4,0),"❌ Account Not Found"))</f>
        <v/>
      </c>
      <c r="C132" s="86" t="str">
        <f>IF(A132="","",IFERROR(IF(SUMIF(DB_Savings!$C:$C,A132,DB_Savings!$F:$F)=0,VLOOKUP(A132,DB_Customers!$A:$I,9,0),VLOOKUP(A132,DB_Customers!$A:$N,14,0)),"❌ Acct Not Found"))</f>
        <v/>
      </c>
      <c r="D132" s="87" t="str">
        <f t="shared" ca="1" si="9"/>
        <v/>
      </c>
      <c r="E132" s="79"/>
      <c r="F132" s="88" t="str">
        <f t="shared" si="10"/>
        <v/>
      </c>
      <c r="G132" s="43" t="s">
        <v>142</v>
      </c>
      <c r="H132" s="81"/>
      <c r="I132" s="89" t="str">
        <f>IF(A132="","Pending",IF(H132="","⚠️ Enter Agent Code",IF(IFERROR(VLOOKUP(G132,DB_Agents!$B:$I,8,0),"")=H132,IF(AND(A132&lt;&gt;"",E132&lt;&gt;""),"Saved","Pending"),"🔒 BLOCKED — Wrong Code")))</f>
        <v>Pending</v>
      </c>
      <c r="J132" s="90" t="str">
        <f t="shared" ca="1" si="11"/>
        <v>—</v>
      </c>
      <c r="K132" s="91"/>
    </row>
    <row r="133" spans="1:11" ht="15" customHeight="1" x14ac:dyDescent="0.25">
      <c r="A133" s="76"/>
      <c r="B133" s="37" t="str">
        <f>IF(A133="","",IFERROR(VLOOKUP(A133,DB_Customers!$A:$D,4,0),"❌ Account Not Found"))</f>
        <v/>
      </c>
      <c r="C133" s="77" t="str">
        <f>IF(A133="","",IFERROR(IF(SUMIF(DB_Savings!$C:$C,A133,DB_Savings!$F:$F)=0,VLOOKUP(A133,DB_Customers!$A:$I,9,0),VLOOKUP(A133,DB_Customers!$A:$N,14,0)),"❌ Acct Not Found"))</f>
        <v/>
      </c>
      <c r="D133" s="78" t="str">
        <f t="shared" ca="1" si="9"/>
        <v/>
      </c>
      <c r="E133" s="79"/>
      <c r="F133" s="80" t="str">
        <f t="shared" si="10"/>
        <v/>
      </c>
      <c r="G133" s="39" t="s">
        <v>142</v>
      </c>
      <c r="H133" s="81"/>
      <c r="I133" s="82" t="str">
        <f>IF(A133="","Pending",IF(H133="","⚠️ Enter Agent Code",IF(IFERROR(VLOOKUP(G133,DB_Agents!$B:$I,8,0),"")=H133,IF(AND(A133&lt;&gt;"",E133&lt;&gt;""),"Saved","Pending"),"🔒 BLOCKED — Wrong Code")))</f>
        <v>Pending</v>
      </c>
      <c r="J133" s="83" t="str">
        <f t="shared" ca="1" si="11"/>
        <v>—</v>
      </c>
      <c r="K133" s="84"/>
    </row>
    <row r="134" spans="1:11" ht="15" customHeight="1" x14ac:dyDescent="0.25">
      <c r="A134" s="85"/>
      <c r="B134" s="41" t="str">
        <f>IF(A134="","",IFERROR(VLOOKUP(A134,DB_Customers!$A:$D,4,0),"❌ Account Not Found"))</f>
        <v/>
      </c>
      <c r="C134" s="86" t="str">
        <f>IF(A134="","",IFERROR(IF(SUMIF(DB_Savings!$C:$C,A134,DB_Savings!$F:$F)=0,VLOOKUP(A134,DB_Customers!$A:$I,9,0),VLOOKUP(A134,DB_Customers!$A:$N,14,0)),"❌ Acct Not Found"))</f>
        <v/>
      </c>
      <c r="D134" s="87" t="str">
        <f t="shared" ca="1" si="9"/>
        <v/>
      </c>
      <c r="E134" s="79"/>
      <c r="F134" s="88" t="str">
        <f t="shared" si="10"/>
        <v/>
      </c>
      <c r="G134" s="43" t="s">
        <v>142</v>
      </c>
      <c r="H134" s="81"/>
      <c r="I134" s="89" t="str">
        <f>IF(A134="","Pending",IF(H134="","⚠️ Enter Agent Code",IF(IFERROR(VLOOKUP(G134,DB_Agents!$B:$I,8,0),"")=H134,IF(AND(A134&lt;&gt;"",E134&lt;&gt;""),"Saved","Pending"),"🔒 BLOCKED — Wrong Code")))</f>
        <v>Pending</v>
      </c>
      <c r="J134" s="90" t="str">
        <f t="shared" ca="1" si="11"/>
        <v>—</v>
      </c>
      <c r="K134" s="91"/>
    </row>
    <row r="135" spans="1:11" ht="15" customHeight="1" x14ac:dyDescent="0.25">
      <c r="A135" s="76"/>
      <c r="B135" s="37" t="str">
        <f>IF(A135="","",IFERROR(VLOOKUP(A135,DB_Customers!$A:$D,4,0),"❌ Account Not Found"))</f>
        <v/>
      </c>
      <c r="C135" s="77" t="str">
        <f>IF(A135="","",IFERROR(IF(SUMIF(DB_Savings!$C:$C,A135,DB_Savings!$F:$F)=0,VLOOKUP(A135,DB_Customers!$A:$I,9,0),VLOOKUP(A135,DB_Customers!$A:$N,14,0)),"❌ Acct Not Found"))</f>
        <v/>
      </c>
      <c r="D135" s="78" t="str">
        <f t="shared" ca="1" si="9"/>
        <v/>
      </c>
      <c r="E135" s="79"/>
      <c r="F135" s="80" t="str">
        <f t="shared" si="10"/>
        <v/>
      </c>
      <c r="G135" s="39" t="s">
        <v>142</v>
      </c>
      <c r="H135" s="81"/>
      <c r="I135" s="82" t="str">
        <f>IF(A135="","Pending",IF(H135="","⚠️ Enter Agent Code",IF(IFERROR(VLOOKUP(G135,DB_Agents!$B:$I,8,0),"")=H135,IF(AND(A135&lt;&gt;"",E135&lt;&gt;""),"Saved","Pending"),"🔒 BLOCKED — Wrong Code")))</f>
        <v>Pending</v>
      </c>
      <c r="J135" s="83" t="str">
        <f t="shared" ca="1" si="11"/>
        <v>—</v>
      </c>
      <c r="K135" s="84"/>
    </row>
    <row r="136" spans="1:11" ht="15" customHeight="1" x14ac:dyDescent="0.25">
      <c r="A136" s="85"/>
      <c r="B136" s="41" t="str">
        <f>IF(A136="","",IFERROR(VLOOKUP(A136,DB_Customers!$A:$D,4,0),"❌ Account Not Found"))</f>
        <v/>
      </c>
      <c r="C136" s="86" t="str">
        <f>IF(A136="","",IFERROR(IF(SUMIF(DB_Savings!$C:$C,A136,DB_Savings!$F:$F)=0,VLOOKUP(A136,DB_Customers!$A:$I,9,0),VLOOKUP(A136,DB_Customers!$A:$N,14,0)),"❌ Acct Not Found"))</f>
        <v/>
      </c>
      <c r="D136" s="87" t="str">
        <f t="shared" ca="1" si="9"/>
        <v/>
      </c>
      <c r="E136" s="79"/>
      <c r="F136" s="88" t="str">
        <f t="shared" si="10"/>
        <v/>
      </c>
      <c r="G136" s="43" t="s">
        <v>142</v>
      </c>
      <c r="H136" s="81"/>
      <c r="I136" s="89" t="str">
        <f>IF(A136="","Pending",IF(H136="","⚠️ Enter Agent Code",IF(IFERROR(VLOOKUP(G136,DB_Agents!$B:$I,8,0),"")=H136,IF(AND(A136&lt;&gt;"",E136&lt;&gt;""),"Saved","Pending"),"🔒 BLOCKED — Wrong Code")))</f>
        <v>Pending</v>
      </c>
      <c r="J136" s="90" t="str">
        <f t="shared" ca="1" si="11"/>
        <v>—</v>
      </c>
      <c r="K136" s="91"/>
    </row>
    <row r="137" spans="1:11" ht="15" customHeight="1" x14ac:dyDescent="0.25">
      <c r="A137" s="76"/>
      <c r="B137" s="37" t="str">
        <f>IF(A137="","",IFERROR(VLOOKUP(A137,DB_Customers!$A:$D,4,0),"❌ Account Not Found"))</f>
        <v/>
      </c>
      <c r="C137" s="77" t="str">
        <f>IF(A137="","",IFERROR(IF(SUMIF(DB_Savings!$C:$C,A137,DB_Savings!$F:$F)=0,VLOOKUP(A137,DB_Customers!$A:$I,9,0),VLOOKUP(A137,DB_Customers!$A:$N,14,0)),"❌ Acct Not Found"))</f>
        <v/>
      </c>
      <c r="D137" s="78" t="str">
        <f t="shared" ref="D137:D168" ca="1" si="12">IF(A137="","",TODAY())</f>
        <v/>
      </c>
      <c r="E137" s="79"/>
      <c r="F137" s="80" t="str">
        <f t="shared" ref="F137:F168" si="13">IF(OR(A137="",E137=""),"",IF(C137="","",C137+E137))</f>
        <v/>
      </c>
      <c r="G137" s="39" t="s">
        <v>142</v>
      </c>
      <c r="H137" s="81"/>
      <c r="I137" s="82" t="str">
        <f>IF(A137="","Pending",IF(H137="","⚠️ Enter Agent Code",IF(IFERROR(VLOOKUP(G137,DB_Agents!$B:$I,8,0),"")=H137,IF(AND(A137&lt;&gt;"",E137&lt;&gt;""),"Saved","Pending"),"🔒 BLOCKED — Wrong Code")))</f>
        <v>Pending</v>
      </c>
      <c r="J137" s="83" t="str">
        <f t="shared" ref="J137:J168" ca="1" si="14">IF(I137="Saved",TEXT(TODAY(),"YYYY-MM-DD")&amp;" Auto","—")</f>
        <v>—</v>
      </c>
      <c r="K137" s="84"/>
    </row>
    <row r="138" spans="1:11" ht="15" customHeight="1" x14ac:dyDescent="0.25">
      <c r="A138" s="85"/>
      <c r="B138" s="41" t="str">
        <f>IF(A138="","",IFERROR(VLOOKUP(A138,DB_Customers!$A:$D,4,0),"❌ Account Not Found"))</f>
        <v/>
      </c>
      <c r="C138" s="86" t="str">
        <f>IF(A138="","",IFERROR(IF(SUMIF(DB_Savings!$C:$C,A138,DB_Savings!$F:$F)=0,VLOOKUP(A138,DB_Customers!$A:$I,9,0),VLOOKUP(A138,DB_Customers!$A:$N,14,0)),"❌ Acct Not Found"))</f>
        <v/>
      </c>
      <c r="D138" s="87" t="str">
        <f t="shared" ca="1" si="12"/>
        <v/>
      </c>
      <c r="E138" s="79"/>
      <c r="F138" s="88" t="str">
        <f t="shared" si="13"/>
        <v/>
      </c>
      <c r="G138" s="43" t="s">
        <v>142</v>
      </c>
      <c r="H138" s="81"/>
      <c r="I138" s="89" t="str">
        <f>IF(A138="","Pending",IF(H138="","⚠️ Enter Agent Code",IF(IFERROR(VLOOKUP(G138,DB_Agents!$B:$I,8,0),"")=H138,IF(AND(A138&lt;&gt;"",E138&lt;&gt;""),"Saved","Pending"),"🔒 BLOCKED — Wrong Code")))</f>
        <v>Pending</v>
      </c>
      <c r="J138" s="90" t="str">
        <f t="shared" ca="1" si="14"/>
        <v>—</v>
      </c>
      <c r="K138" s="91"/>
    </row>
    <row r="139" spans="1:11" ht="15" customHeight="1" x14ac:dyDescent="0.25">
      <c r="A139" s="76"/>
      <c r="B139" s="37" t="str">
        <f>IF(A139="","",IFERROR(VLOOKUP(A139,DB_Customers!$A:$D,4,0),"❌ Account Not Found"))</f>
        <v/>
      </c>
      <c r="C139" s="77" t="str">
        <f>IF(A139="","",IFERROR(IF(SUMIF(DB_Savings!$C:$C,A139,DB_Savings!$F:$F)=0,VLOOKUP(A139,DB_Customers!$A:$I,9,0),VLOOKUP(A139,DB_Customers!$A:$N,14,0)),"❌ Acct Not Found"))</f>
        <v/>
      </c>
      <c r="D139" s="78" t="str">
        <f t="shared" ca="1" si="12"/>
        <v/>
      </c>
      <c r="E139" s="79"/>
      <c r="F139" s="80" t="str">
        <f t="shared" si="13"/>
        <v/>
      </c>
      <c r="G139" s="39" t="s">
        <v>142</v>
      </c>
      <c r="H139" s="81"/>
      <c r="I139" s="82" t="str">
        <f>IF(A139="","Pending",IF(H139="","⚠️ Enter Agent Code",IF(IFERROR(VLOOKUP(G139,DB_Agents!$B:$I,8,0),"")=H139,IF(AND(A139&lt;&gt;"",E139&lt;&gt;""),"Saved","Pending"),"🔒 BLOCKED — Wrong Code")))</f>
        <v>Pending</v>
      </c>
      <c r="J139" s="83" t="str">
        <f t="shared" ca="1" si="14"/>
        <v>—</v>
      </c>
      <c r="K139" s="84"/>
    </row>
    <row r="140" spans="1:11" ht="15" customHeight="1" x14ac:dyDescent="0.25">
      <c r="A140" s="85"/>
      <c r="B140" s="41" t="str">
        <f>IF(A140="","",IFERROR(VLOOKUP(A140,DB_Customers!$A:$D,4,0),"❌ Account Not Found"))</f>
        <v/>
      </c>
      <c r="C140" s="86" t="str">
        <f>IF(A140="","",IFERROR(IF(SUMIF(DB_Savings!$C:$C,A140,DB_Savings!$F:$F)=0,VLOOKUP(A140,DB_Customers!$A:$I,9,0),VLOOKUP(A140,DB_Customers!$A:$N,14,0)),"❌ Acct Not Found"))</f>
        <v/>
      </c>
      <c r="D140" s="87" t="str">
        <f t="shared" ca="1" si="12"/>
        <v/>
      </c>
      <c r="E140" s="79"/>
      <c r="F140" s="88" t="str">
        <f t="shared" si="13"/>
        <v/>
      </c>
      <c r="G140" s="43" t="s">
        <v>142</v>
      </c>
      <c r="H140" s="81"/>
      <c r="I140" s="89" t="str">
        <f>IF(A140="","Pending",IF(H140="","⚠️ Enter Agent Code",IF(IFERROR(VLOOKUP(G140,DB_Agents!$B:$I,8,0),"")=H140,IF(AND(A140&lt;&gt;"",E140&lt;&gt;""),"Saved","Pending"),"🔒 BLOCKED — Wrong Code")))</f>
        <v>Pending</v>
      </c>
      <c r="J140" s="90" t="str">
        <f t="shared" ca="1" si="14"/>
        <v>—</v>
      </c>
      <c r="K140" s="91"/>
    </row>
    <row r="141" spans="1:11" ht="15" customHeight="1" x14ac:dyDescent="0.25">
      <c r="A141" s="76"/>
      <c r="B141" s="37" t="str">
        <f>IF(A141="","",IFERROR(VLOOKUP(A141,DB_Customers!$A:$D,4,0),"❌ Account Not Found"))</f>
        <v/>
      </c>
      <c r="C141" s="77" t="str">
        <f>IF(A141="","",IFERROR(IF(SUMIF(DB_Savings!$C:$C,A141,DB_Savings!$F:$F)=0,VLOOKUP(A141,DB_Customers!$A:$I,9,0),VLOOKUP(A141,DB_Customers!$A:$N,14,0)),"❌ Acct Not Found"))</f>
        <v/>
      </c>
      <c r="D141" s="78" t="str">
        <f t="shared" ca="1" si="12"/>
        <v/>
      </c>
      <c r="E141" s="79"/>
      <c r="F141" s="80" t="str">
        <f t="shared" si="13"/>
        <v/>
      </c>
      <c r="G141" s="39" t="s">
        <v>142</v>
      </c>
      <c r="H141" s="81"/>
      <c r="I141" s="82" t="str">
        <f>IF(A141="","Pending",IF(H141="","⚠️ Enter Agent Code",IF(IFERROR(VLOOKUP(G141,DB_Agents!$B:$I,8,0),"")=H141,IF(AND(A141&lt;&gt;"",E141&lt;&gt;""),"Saved","Pending"),"🔒 BLOCKED — Wrong Code")))</f>
        <v>Pending</v>
      </c>
      <c r="J141" s="83" t="str">
        <f t="shared" ca="1" si="14"/>
        <v>—</v>
      </c>
      <c r="K141" s="84"/>
    </row>
    <row r="142" spans="1:11" ht="15" customHeight="1" x14ac:dyDescent="0.25">
      <c r="A142" s="85"/>
      <c r="B142" s="41" t="str">
        <f>IF(A142="","",IFERROR(VLOOKUP(A142,DB_Customers!$A:$D,4,0),"❌ Account Not Found"))</f>
        <v/>
      </c>
      <c r="C142" s="86" t="str">
        <f>IF(A142="","",IFERROR(IF(SUMIF(DB_Savings!$C:$C,A142,DB_Savings!$F:$F)=0,VLOOKUP(A142,DB_Customers!$A:$I,9,0),VLOOKUP(A142,DB_Customers!$A:$N,14,0)),"❌ Acct Not Found"))</f>
        <v/>
      </c>
      <c r="D142" s="87" t="str">
        <f t="shared" ca="1" si="12"/>
        <v/>
      </c>
      <c r="E142" s="79"/>
      <c r="F142" s="88" t="str">
        <f t="shared" si="13"/>
        <v/>
      </c>
      <c r="G142" s="43" t="s">
        <v>142</v>
      </c>
      <c r="H142" s="81"/>
      <c r="I142" s="89" t="str">
        <f>IF(A142="","Pending",IF(H142="","⚠️ Enter Agent Code",IF(IFERROR(VLOOKUP(G142,DB_Agents!$B:$I,8,0),"")=H142,IF(AND(A142&lt;&gt;"",E142&lt;&gt;""),"Saved","Pending"),"🔒 BLOCKED — Wrong Code")))</f>
        <v>Pending</v>
      </c>
      <c r="J142" s="90" t="str">
        <f t="shared" ca="1" si="14"/>
        <v>—</v>
      </c>
      <c r="K142" s="91"/>
    </row>
    <row r="143" spans="1:11" ht="15" customHeight="1" x14ac:dyDescent="0.25">
      <c r="A143" s="76"/>
      <c r="B143" s="37" t="str">
        <f>IF(A143="","",IFERROR(VLOOKUP(A143,DB_Customers!$A:$D,4,0),"❌ Account Not Found"))</f>
        <v/>
      </c>
      <c r="C143" s="77" t="str">
        <f>IF(A143="","",IFERROR(IF(SUMIF(DB_Savings!$C:$C,A143,DB_Savings!$F:$F)=0,VLOOKUP(A143,DB_Customers!$A:$I,9,0),VLOOKUP(A143,DB_Customers!$A:$N,14,0)),"❌ Acct Not Found"))</f>
        <v/>
      </c>
      <c r="D143" s="78" t="str">
        <f t="shared" ca="1" si="12"/>
        <v/>
      </c>
      <c r="E143" s="79"/>
      <c r="F143" s="80" t="str">
        <f t="shared" si="13"/>
        <v/>
      </c>
      <c r="G143" s="39" t="s">
        <v>142</v>
      </c>
      <c r="H143" s="81"/>
      <c r="I143" s="82" t="str">
        <f>IF(A143="","Pending",IF(H143="","⚠️ Enter Agent Code",IF(IFERROR(VLOOKUP(G143,DB_Agents!$B:$I,8,0),"")=H143,IF(AND(A143&lt;&gt;"",E143&lt;&gt;""),"Saved","Pending"),"🔒 BLOCKED — Wrong Code")))</f>
        <v>Pending</v>
      </c>
      <c r="J143" s="83" t="str">
        <f t="shared" ca="1" si="14"/>
        <v>—</v>
      </c>
      <c r="K143" s="84"/>
    </row>
    <row r="144" spans="1:11" ht="15" customHeight="1" x14ac:dyDescent="0.25">
      <c r="A144" s="85"/>
      <c r="B144" s="41" t="str">
        <f>IF(A144="","",IFERROR(VLOOKUP(A144,DB_Customers!$A:$D,4,0),"❌ Account Not Found"))</f>
        <v/>
      </c>
      <c r="C144" s="86" t="str">
        <f>IF(A144="","",IFERROR(IF(SUMIF(DB_Savings!$C:$C,A144,DB_Savings!$F:$F)=0,VLOOKUP(A144,DB_Customers!$A:$I,9,0),VLOOKUP(A144,DB_Customers!$A:$N,14,0)),"❌ Acct Not Found"))</f>
        <v/>
      </c>
      <c r="D144" s="87" t="str">
        <f t="shared" ca="1" si="12"/>
        <v/>
      </c>
      <c r="E144" s="79"/>
      <c r="F144" s="88" t="str">
        <f t="shared" si="13"/>
        <v/>
      </c>
      <c r="G144" s="43" t="s">
        <v>142</v>
      </c>
      <c r="H144" s="81"/>
      <c r="I144" s="89" t="str">
        <f>IF(A144="","Pending",IF(H144="","⚠️ Enter Agent Code",IF(IFERROR(VLOOKUP(G144,DB_Agents!$B:$I,8,0),"")=H144,IF(AND(A144&lt;&gt;"",E144&lt;&gt;""),"Saved","Pending"),"🔒 BLOCKED — Wrong Code")))</f>
        <v>Pending</v>
      </c>
      <c r="J144" s="90" t="str">
        <f t="shared" ca="1" si="14"/>
        <v>—</v>
      </c>
      <c r="K144" s="91"/>
    </row>
    <row r="145" spans="1:11" ht="15" customHeight="1" x14ac:dyDescent="0.25">
      <c r="A145" s="76"/>
      <c r="B145" s="37" t="str">
        <f>IF(A145="","",IFERROR(VLOOKUP(A145,DB_Customers!$A:$D,4,0),"❌ Account Not Found"))</f>
        <v/>
      </c>
      <c r="C145" s="77" t="str">
        <f>IF(A145="","",IFERROR(IF(SUMIF(DB_Savings!$C:$C,A145,DB_Savings!$F:$F)=0,VLOOKUP(A145,DB_Customers!$A:$I,9,0),VLOOKUP(A145,DB_Customers!$A:$N,14,0)),"❌ Acct Not Found"))</f>
        <v/>
      </c>
      <c r="D145" s="78" t="str">
        <f t="shared" ca="1" si="12"/>
        <v/>
      </c>
      <c r="E145" s="79"/>
      <c r="F145" s="80" t="str">
        <f t="shared" si="13"/>
        <v/>
      </c>
      <c r="G145" s="39" t="s">
        <v>142</v>
      </c>
      <c r="H145" s="81"/>
      <c r="I145" s="82" t="str">
        <f>IF(A145="","Pending",IF(H145="","⚠️ Enter Agent Code",IF(IFERROR(VLOOKUP(G145,DB_Agents!$B:$I,8,0),"")=H145,IF(AND(A145&lt;&gt;"",E145&lt;&gt;""),"Saved","Pending"),"🔒 BLOCKED — Wrong Code")))</f>
        <v>Pending</v>
      </c>
      <c r="J145" s="83" t="str">
        <f t="shared" ca="1" si="14"/>
        <v>—</v>
      </c>
      <c r="K145" s="84"/>
    </row>
    <row r="146" spans="1:11" ht="15" customHeight="1" x14ac:dyDescent="0.25">
      <c r="A146" s="85"/>
      <c r="B146" s="41" t="str">
        <f>IF(A146="","",IFERROR(VLOOKUP(A146,DB_Customers!$A:$D,4,0),"❌ Account Not Found"))</f>
        <v/>
      </c>
      <c r="C146" s="86" t="str">
        <f>IF(A146="","",IFERROR(IF(SUMIF(DB_Savings!$C:$C,A146,DB_Savings!$F:$F)=0,VLOOKUP(A146,DB_Customers!$A:$I,9,0),VLOOKUP(A146,DB_Customers!$A:$N,14,0)),"❌ Acct Not Found"))</f>
        <v/>
      </c>
      <c r="D146" s="87" t="str">
        <f t="shared" ca="1" si="12"/>
        <v/>
      </c>
      <c r="E146" s="79"/>
      <c r="F146" s="88" t="str">
        <f t="shared" si="13"/>
        <v/>
      </c>
      <c r="G146" s="43" t="s">
        <v>142</v>
      </c>
      <c r="H146" s="81"/>
      <c r="I146" s="89" t="str">
        <f>IF(A146="","Pending",IF(H146="","⚠️ Enter Agent Code",IF(IFERROR(VLOOKUP(G146,DB_Agents!$B:$I,8,0),"")=H146,IF(AND(A146&lt;&gt;"",E146&lt;&gt;""),"Saved","Pending"),"🔒 BLOCKED — Wrong Code")))</f>
        <v>Pending</v>
      </c>
      <c r="J146" s="90" t="str">
        <f t="shared" ca="1" si="14"/>
        <v>—</v>
      </c>
      <c r="K146" s="91"/>
    </row>
    <row r="147" spans="1:11" ht="15" customHeight="1" x14ac:dyDescent="0.25">
      <c r="A147" s="76"/>
      <c r="B147" s="37" t="str">
        <f>IF(A147="","",IFERROR(VLOOKUP(A147,DB_Customers!$A:$D,4,0),"❌ Account Not Found"))</f>
        <v/>
      </c>
      <c r="C147" s="77" t="str">
        <f>IF(A147="","",IFERROR(IF(SUMIF(DB_Savings!$C:$C,A147,DB_Savings!$F:$F)=0,VLOOKUP(A147,DB_Customers!$A:$I,9,0),VLOOKUP(A147,DB_Customers!$A:$N,14,0)),"❌ Acct Not Found"))</f>
        <v/>
      </c>
      <c r="D147" s="78" t="str">
        <f t="shared" ca="1" si="12"/>
        <v/>
      </c>
      <c r="E147" s="79"/>
      <c r="F147" s="80" t="str">
        <f t="shared" si="13"/>
        <v/>
      </c>
      <c r="G147" s="39" t="s">
        <v>142</v>
      </c>
      <c r="H147" s="81"/>
      <c r="I147" s="82" t="str">
        <f>IF(A147="","Pending",IF(H147="","⚠️ Enter Agent Code",IF(IFERROR(VLOOKUP(G147,DB_Agents!$B:$I,8,0),"")=H147,IF(AND(A147&lt;&gt;"",E147&lt;&gt;""),"Saved","Pending"),"🔒 BLOCKED — Wrong Code")))</f>
        <v>Pending</v>
      </c>
      <c r="J147" s="83" t="str">
        <f t="shared" ca="1" si="14"/>
        <v>—</v>
      </c>
      <c r="K147" s="84"/>
    </row>
    <row r="148" spans="1:11" ht="15" customHeight="1" x14ac:dyDescent="0.25">
      <c r="A148" s="85"/>
      <c r="B148" s="41" t="str">
        <f>IF(A148="","",IFERROR(VLOOKUP(A148,DB_Customers!$A:$D,4,0),"❌ Account Not Found"))</f>
        <v/>
      </c>
      <c r="C148" s="86" t="str">
        <f>IF(A148="","",IFERROR(IF(SUMIF(DB_Savings!$C:$C,A148,DB_Savings!$F:$F)=0,VLOOKUP(A148,DB_Customers!$A:$I,9,0),VLOOKUP(A148,DB_Customers!$A:$N,14,0)),"❌ Acct Not Found"))</f>
        <v/>
      </c>
      <c r="D148" s="87" t="str">
        <f t="shared" ca="1" si="12"/>
        <v/>
      </c>
      <c r="E148" s="79"/>
      <c r="F148" s="88" t="str">
        <f t="shared" si="13"/>
        <v/>
      </c>
      <c r="G148" s="43" t="s">
        <v>142</v>
      </c>
      <c r="H148" s="81"/>
      <c r="I148" s="89" t="str">
        <f>IF(A148="","Pending",IF(H148="","⚠️ Enter Agent Code",IF(IFERROR(VLOOKUP(G148,DB_Agents!$B:$I,8,0),"")=H148,IF(AND(A148&lt;&gt;"",E148&lt;&gt;""),"Saved","Pending"),"🔒 BLOCKED — Wrong Code")))</f>
        <v>Pending</v>
      </c>
      <c r="J148" s="90" t="str">
        <f t="shared" ca="1" si="14"/>
        <v>—</v>
      </c>
      <c r="K148" s="91"/>
    </row>
    <row r="149" spans="1:11" ht="15" customHeight="1" x14ac:dyDescent="0.25">
      <c r="A149" s="76"/>
      <c r="B149" s="37" t="str">
        <f>IF(A149="","",IFERROR(VLOOKUP(A149,DB_Customers!$A:$D,4,0),"❌ Account Not Found"))</f>
        <v/>
      </c>
      <c r="C149" s="77" t="str">
        <f>IF(A149="","",IFERROR(IF(SUMIF(DB_Savings!$C:$C,A149,DB_Savings!$F:$F)=0,VLOOKUP(A149,DB_Customers!$A:$I,9,0),VLOOKUP(A149,DB_Customers!$A:$N,14,0)),"❌ Acct Not Found"))</f>
        <v/>
      </c>
      <c r="D149" s="78" t="str">
        <f t="shared" ca="1" si="12"/>
        <v/>
      </c>
      <c r="E149" s="79"/>
      <c r="F149" s="80" t="str">
        <f t="shared" si="13"/>
        <v/>
      </c>
      <c r="G149" s="39" t="s">
        <v>142</v>
      </c>
      <c r="H149" s="81"/>
      <c r="I149" s="82" t="str">
        <f>IF(A149="","Pending",IF(H149="","⚠️ Enter Agent Code",IF(IFERROR(VLOOKUP(G149,DB_Agents!$B:$I,8,0),"")=H149,IF(AND(A149&lt;&gt;"",E149&lt;&gt;""),"Saved","Pending"),"🔒 BLOCKED — Wrong Code")))</f>
        <v>Pending</v>
      </c>
      <c r="J149" s="83" t="str">
        <f t="shared" ca="1" si="14"/>
        <v>—</v>
      </c>
      <c r="K149" s="84"/>
    </row>
    <row r="150" spans="1:11" ht="15" customHeight="1" x14ac:dyDescent="0.25">
      <c r="A150" s="85"/>
      <c r="B150" s="41" t="str">
        <f>IF(A150="","",IFERROR(VLOOKUP(A150,DB_Customers!$A:$D,4,0),"❌ Account Not Found"))</f>
        <v/>
      </c>
      <c r="C150" s="86" t="str">
        <f>IF(A150="","",IFERROR(IF(SUMIF(DB_Savings!$C:$C,A150,DB_Savings!$F:$F)=0,VLOOKUP(A150,DB_Customers!$A:$I,9,0),VLOOKUP(A150,DB_Customers!$A:$N,14,0)),"❌ Acct Not Found"))</f>
        <v/>
      </c>
      <c r="D150" s="87" t="str">
        <f t="shared" ca="1" si="12"/>
        <v/>
      </c>
      <c r="E150" s="79"/>
      <c r="F150" s="88" t="str">
        <f t="shared" si="13"/>
        <v/>
      </c>
      <c r="G150" s="43" t="s">
        <v>142</v>
      </c>
      <c r="H150" s="81"/>
      <c r="I150" s="89" t="str">
        <f>IF(A150="","Pending",IF(H150="","⚠️ Enter Agent Code",IF(IFERROR(VLOOKUP(G150,DB_Agents!$B:$I,8,0),"")=H150,IF(AND(A150&lt;&gt;"",E150&lt;&gt;""),"Saved","Pending"),"🔒 BLOCKED — Wrong Code")))</f>
        <v>Pending</v>
      </c>
      <c r="J150" s="90" t="str">
        <f t="shared" ca="1" si="14"/>
        <v>—</v>
      </c>
      <c r="K150" s="91"/>
    </row>
    <row r="151" spans="1:11" ht="15" customHeight="1" x14ac:dyDescent="0.25">
      <c r="A151" s="76"/>
      <c r="B151" s="37" t="str">
        <f>IF(A151="","",IFERROR(VLOOKUP(A151,DB_Customers!$A:$D,4,0),"❌ Account Not Found"))</f>
        <v/>
      </c>
      <c r="C151" s="77" t="str">
        <f>IF(A151="","",IFERROR(IF(SUMIF(DB_Savings!$C:$C,A151,DB_Savings!$F:$F)=0,VLOOKUP(A151,DB_Customers!$A:$I,9,0),VLOOKUP(A151,DB_Customers!$A:$N,14,0)),"❌ Acct Not Found"))</f>
        <v/>
      </c>
      <c r="D151" s="78" t="str">
        <f t="shared" ca="1" si="12"/>
        <v/>
      </c>
      <c r="E151" s="79"/>
      <c r="F151" s="80" t="str">
        <f t="shared" si="13"/>
        <v/>
      </c>
      <c r="G151" s="39" t="s">
        <v>142</v>
      </c>
      <c r="H151" s="81"/>
      <c r="I151" s="82" t="str">
        <f>IF(A151="","Pending",IF(H151="","⚠️ Enter Agent Code",IF(IFERROR(VLOOKUP(G151,DB_Agents!$B:$I,8,0),"")=H151,IF(AND(A151&lt;&gt;"",E151&lt;&gt;""),"Saved","Pending"),"🔒 BLOCKED — Wrong Code")))</f>
        <v>Pending</v>
      </c>
      <c r="J151" s="83" t="str">
        <f t="shared" ca="1" si="14"/>
        <v>—</v>
      </c>
      <c r="K151" s="84"/>
    </row>
    <row r="152" spans="1:11" ht="15" customHeight="1" x14ac:dyDescent="0.25">
      <c r="A152" s="85"/>
      <c r="B152" s="41" t="str">
        <f>IF(A152="","",IFERROR(VLOOKUP(A152,DB_Customers!$A:$D,4,0),"❌ Account Not Found"))</f>
        <v/>
      </c>
      <c r="C152" s="86" t="str">
        <f>IF(A152="","",IFERROR(IF(SUMIF(DB_Savings!$C:$C,A152,DB_Savings!$F:$F)=0,VLOOKUP(A152,DB_Customers!$A:$I,9,0),VLOOKUP(A152,DB_Customers!$A:$N,14,0)),"❌ Acct Not Found"))</f>
        <v/>
      </c>
      <c r="D152" s="87" t="str">
        <f t="shared" ca="1" si="12"/>
        <v/>
      </c>
      <c r="E152" s="79"/>
      <c r="F152" s="88" t="str">
        <f t="shared" si="13"/>
        <v/>
      </c>
      <c r="G152" s="43" t="s">
        <v>142</v>
      </c>
      <c r="H152" s="81"/>
      <c r="I152" s="89" t="str">
        <f>IF(A152="","Pending",IF(H152="","⚠️ Enter Agent Code",IF(IFERROR(VLOOKUP(G152,DB_Agents!$B:$I,8,0),"")=H152,IF(AND(A152&lt;&gt;"",E152&lt;&gt;""),"Saved","Pending"),"🔒 BLOCKED — Wrong Code")))</f>
        <v>Pending</v>
      </c>
      <c r="J152" s="90" t="str">
        <f t="shared" ca="1" si="14"/>
        <v>—</v>
      </c>
      <c r="K152" s="91"/>
    </row>
    <row r="153" spans="1:11" ht="15" customHeight="1" x14ac:dyDescent="0.25">
      <c r="A153" s="76"/>
      <c r="B153" s="37" t="str">
        <f>IF(A153="","",IFERROR(VLOOKUP(A153,DB_Customers!$A:$D,4,0),"❌ Account Not Found"))</f>
        <v/>
      </c>
      <c r="C153" s="77" t="str">
        <f>IF(A153="","",IFERROR(IF(SUMIF(DB_Savings!$C:$C,A153,DB_Savings!$F:$F)=0,VLOOKUP(A153,DB_Customers!$A:$I,9,0),VLOOKUP(A153,DB_Customers!$A:$N,14,0)),"❌ Acct Not Found"))</f>
        <v/>
      </c>
      <c r="D153" s="78" t="str">
        <f t="shared" ca="1" si="12"/>
        <v/>
      </c>
      <c r="E153" s="79"/>
      <c r="F153" s="80" t="str">
        <f t="shared" si="13"/>
        <v/>
      </c>
      <c r="G153" s="39" t="s">
        <v>142</v>
      </c>
      <c r="H153" s="81"/>
      <c r="I153" s="82" t="str">
        <f>IF(A153="","Pending",IF(H153="","⚠️ Enter Agent Code",IF(IFERROR(VLOOKUP(G153,DB_Agents!$B:$I,8,0),"")=H153,IF(AND(A153&lt;&gt;"",E153&lt;&gt;""),"Saved","Pending"),"🔒 BLOCKED — Wrong Code")))</f>
        <v>Pending</v>
      </c>
      <c r="J153" s="83" t="str">
        <f t="shared" ca="1" si="14"/>
        <v>—</v>
      </c>
      <c r="K153" s="84"/>
    </row>
    <row r="154" spans="1:11" ht="15" customHeight="1" x14ac:dyDescent="0.25">
      <c r="A154" s="85"/>
      <c r="B154" s="41" t="str">
        <f>IF(A154="","",IFERROR(VLOOKUP(A154,DB_Customers!$A:$D,4,0),"❌ Account Not Found"))</f>
        <v/>
      </c>
      <c r="C154" s="86" t="str">
        <f>IF(A154="","",IFERROR(IF(SUMIF(DB_Savings!$C:$C,A154,DB_Savings!$F:$F)=0,VLOOKUP(A154,DB_Customers!$A:$I,9,0),VLOOKUP(A154,DB_Customers!$A:$N,14,0)),"❌ Acct Not Found"))</f>
        <v/>
      </c>
      <c r="D154" s="87" t="str">
        <f t="shared" ca="1" si="12"/>
        <v/>
      </c>
      <c r="E154" s="79"/>
      <c r="F154" s="88" t="str">
        <f t="shared" si="13"/>
        <v/>
      </c>
      <c r="G154" s="43" t="s">
        <v>142</v>
      </c>
      <c r="H154" s="81"/>
      <c r="I154" s="89" t="str">
        <f>IF(A154="","Pending",IF(H154="","⚠️ Enter Agent Code",IF(IFERROR(VLOOKUP(G154,DB_Agents!$B:$I,8,0),"")=H154,IF(AND(A154&lt;&gt;"",E154&lt;&gt;""),"Saved","Pending"),"🔒 BLOCKED — Wrong Code")))</f>
        <v>Pending</v>
      </c>
      <c r="J154" s="90" t="str">
        <f t="shared" ca="1" si="14"/>
        <v>—</v>
      </c>
      <c r="K154" s="91"/>
    </row>
    <row r="155" spans="1:11" ht="15" customHeight="1" x14ac:dyDescent="0.25">
      <c r="A155" s="76"/>
      <c r="B155" s="37" t="str">
        <f>IF(A155="","",IFERROR(VLOOKUP(A155,DB_Customers!$A:$D,4,0),"❌ Account Not Found"))</f>
        <v/>
      </c>
      <c r="C155" s="77" t="str">
        <f>IF(A155="","",IFERROR(IF(SUMIF(DB_Savings!$C:$C,A155,DB_Savings!$F:$F)=0,VLOOKUP(A155,DB_Customers!$A:$I,9,0),VLOOKUP(A155,DB_Customers!$A:$N,14,0)),"❌ Acct Not Found"))</f>
        <v/>
      </c>
      <c r="D155" s="78" t="str">
        <f t="shared" ca="1" si="12"/>
        <v/>
      </c>
      <c r="E155" s="79"/>
      <c r="F155" s="80" t="str">
        <f t="shared" si="13"/>
        <v/>
      </c>
      <c r="G155" s="39" t="s">
        <v>142</v>
      </c>
      <c r="H155" s="81"/>
      <c r="I155" s="82" t="str">
        <f>IF(A155="","Pending",IF(H155="","⚠️ Enter Agent Code",IF(IFERROR(VLOOKUP(G155,DB_Agents!$B:$I,8,0),"")=H155,IF(AND(A155&lt;&gt;"",E155&lt;&gt;""),"Saved","Pending"),"🔒 BLOCKED — Wrong Code")))</f>
        <v>Pending</v>
      </c>
      <c r="J155" s="83" t="str">
        <f t="shared" ca="1" si="14"/>
        <v>—</v>
      </c>
      <c r="K155" s="84"/>
    </row>
    <row r="156" spans="1:11" ht="15" customHeight="1" x14ac:dyDescent="0.25">
      <c r="A156" s="85"/>
      <c r="B156" s="41" t="str">
        <f>IF(A156="","",IFERROR(VLOOKUP(A156,DB_Customers!$A:$D,4,0),"❌ Account Not Found"))</f>
        <v/>
      </c>
      <c r="C156" s="86" t="str">
        <f>IF(A156="","",IFERROR(IF(SUMIF(DB_Savings!$C:$C,A156,DB_Savings!$F:$F)=0,VLOOKUP(A156,DB_Customers!$A:$I,9,0),VLOOKUP(A156,DB_Customers!$A:$N,14,0)),"❌ Acct Not Found"))</f>
        <v/>
      </c>
      <c r="D156" s="87" t="str">
        <f t="shared" ca="1" si="12"/>
        <v/>
      </c>
      <c r="E156" s="79"/>
      <c r="F156" s="88" t="str">
        <f t="shared" si="13"/>
        <v/>
      </c>
      <c r="G156" s="43" t="s">
        <v>142</v>
      </c>
      <c r="H156" s="81"/>
      <c r="I156" s="89" t="str">
        <f>IF(A156="","Pending",IF(H156="","⚠️ Enter Agent Code",IF(IFERROR(VLOOKUP(G156,DB_Agents!$B:$I,8,0),"")=H156,IF(AND(A156&lt;&gt;"",E156&lt;&gt;""),"Saved","Pending"),"🔒 BLOCKED — Wrong Code")))</f>
        <v>Pending</v>
      </c>
      <c r="J156" s="90" t="str">
        <f t="shared" ca="1" si="14"/>
        <v>—</v>
      </c>
      <c r="K156" s="91"/>
    </row>
    <row r="157" spans="1:11" ht="15" customHeight="1" x14ac:dyDescent="0.25">
      <c r="A157" s="76"/>
      <c r="B157" s="37" t="str">
        <f>IF(A157="","",IFERROR(VLOOKUP(A157,DB_Customers!$A:$D,4,0),"❌ Account Not Found"))</f>
        <v/>
      </c>
      <c r="C157" s="77" t="str">
        <f>IF(A157="","",IFERROR(IF(SUMIF(DB_Savings!$C:$C,A157,DB_Savings!$F:$F)=0,VLOOKUP(A157,DB_Customers!$A:$I,9,0),VLOOKUP(A157,DB_Customers!$A:$N,14,0)),"❌ Acct Not Found"))</f>
        <v/>
      </c>
      <c r="D157" s="78" t="str">
        <f t="shared" ca="1" si="12"/>
        <v/>
      </c>
      <c r="E157" s="79"/>
      <c r="F157" s="80" t="str">
        <f t="shared" si="13"/>
        <v/>
      </c>
      <c r="G157" s="39" t="s">
        <v>142</v>
      </c>
      <c r="H157" s="81"/>
      <c r="I157" s="82" t="str">
        <f>IF(A157="","Pending",IF(H157="","⚠️ Enter Agent Code",IF(IFERROR(VLOOKUP(G157,DB_Agents!$B:$I,8,0),"")=H157,IF(AND(A157&lt;&gt;"",E157&lt;&gt;""),"Saved","Pending"),"🔒 BLOCKED — Wrong Code")))</f>
        <v>Pending</v>
      </c>
      <c r="J157" s="83" t="str">
        <f t="shared" ca="1" si="14"/>
        <v>—</v>
      </c>
      <c r="K157" s="84"/>
    </row>
    <row r="158" spans="1:11" ht="15" customHeight="1" x14ac:dyDescent="0.25">
      <c r="A158" s="85"/>
      <c r="B158" s="41" t="str">
        <f>IF(A158="","",IFERROR(VLOOKUP(A158,DB_Customers!$A:$D,4,0),"❌ Account Not Found"))</f>
        <v/>
      </c>
      <c r="C158" s="86" t="str">
        <f>IF(A158="","",IFERROR(IF(SUMIF(DB_Savings!$C:$C,A158,DB_Savings!$F:$F)=0,VLOOKUP(A158,DB_Customers!$A:$I,9,0),VLOOKUP(A158,DB_Customers!$A:$N,14,0)),"❌ Acct Not Found"))</f>
        <v/>
      </c>
      <c r="D158" s="87" t="str">
        <f t="shared" ca="1" si="12"/>
        <v/>
      </c>
      <c r="E158" s="79"/>
      <c r="F158" s="88" t="str">
        <f t="shared" si="13"/>
        <v/>
      </c>
      <c r="G158" s="43" t="s">
        <v>142</v>
      </c>
      <c r="H158" s="81"/>
      <c r="I158" s="89" t="str">
        <f>IF(A158="","Pending",IF(H158="","⚠️ Enter Agent Code",IF(IFERROR(VLOOKUP(G158,DB_Agents!$B:$I,8,0),"")=H158,IF(AND(A158&lt;&gt;"",E158&lt;&gt;""),"Saved","Pending"),"🔒 BLOCKED — Wrong Code")))</f>
        <v>Pending</v>
      </c>
      <c r="J158" s="90" t="str">
        <f t="shared" ca="1" si="14"/>
        <v>—</v>
      </c>
      <c r="K158" s="91"/>
    </row>
    <row r="159" spans="1:11" ht="15" customHeight="1" x14ac:dyDescent="0.25">
      <c r="A159" s="76"/>
      <c r="B159" s="37" t="str">
        <f>IF(A159="","",IFERROR(VLOOKUP(A159,DB_Customers!$A:$D,4,0),"❌ Account Not Found"))</f>
        <v/>
      </c>
      <c r="C159" s="77" t="str">
        <f>IF(A159="","",IFERROR(IF(SUMIF(DB_Savings!$C:$C,A159,DB_Savings!$F:$F)=0,VLOOKUP(A159,DB_Customers!$A:$I,9,0),VLOOKUP(A159,DB_Customers!$A:$N,14,0)),"❌ Acct Not Found"))</f>
        <v/>
      </c>
      <c r="D159" s="78" t="str">
        <f t="shared" ca="1" si="12"/>
        <v/>
      </c>
      <c r="E159" s="79"/>
      <c r="F159" s="80" t="str">
        <f t="shared" si="13"/>
        <v/>
      </c>
      <c r="G159" s="39" t="s">
        <v>142</v>
      </c>
      <c r="H159" s="81"/>
      <c r="I159" s="82" t="str">
        <f>IF(A159="","Pending",IF(H159="","⚠️ Enter Agent Code",IF(IFERROR(VLOOKUP(G159,DB_Agents!$B:$I,8,0),"")=H159,IF(AND(A159&lt;&gt;"",E159&lt;&gt;""),"Saved","Pending"),"🔒 BLOCKED — Wrong Code")))</f>
        <v>Pending</v>
      </c>
      <c r="J159" s="83" t="str">
        <f t="shared" ca="1" si="14"/>
        <v>—</v>
      </c>
      <c r="K159" s="84"/>
    </row>
    <row r="160" spans="1:11" ht="15" customHeight="1" x14ac:dyDescent="0.25">
      <c r="A160" s="85"/>
      <c r="B160" s="41" t="str">
        <f>IF(A160="","",IFERROR(VLOOKUP(A160,DB_Customers!$A:$D,4,0),"❌ Account Not Found"))</f>
        <v/>
      </c>
      <c r="C160" s="86" t="str">
        <f>IF(A160="","",IFERROR(IF(SUMIF(DB_Savings!$C:$C,A160,DB_Savings!$F:$F)=0,VLOOKUP(A160,DB_Customers!$A:$I,9,0),VLOOKUP(A160,DB_Customers!$A:$N,14,0)),"❌ Acct Not Found"))</f>
        <v/>
      </c>
      <c r="D160" s="87" t="str">
        <f t="shared" ca="1" si="12"/>
        <v/>
      </c>
      <c r="E160" s="79"/>
      <c r="F160" s="88" t="str">
        <f t="shared" si="13"/>
        <v/>
      </c>
      <c r="G160" s="43" t="s">
        <v>142</v>
      </c>
      <c r="H160" s="81"/>
      <c r="I160" s="89" t="str">
        <f>IF(A160="","Pending",IF(H160="","⚠️ Enter Agent Code",IF(IFERROR(VLOOKUP(G160,DB_Agents!$B:$I,8,0),"")=H160,IF(AND(A160&lt;&gt;"",E160&lt;&gt;""),"Saved","Pending"),"🔒 BLOCKED — Wrong Code")))</f>
        <v>Pending</v>
      </c>
      <c r="J160" s="90" t="str">
        <f t="shared" ca="1" si="14"/>
        <v>—</v>
      </c>
      <c r="K160" s="91"/>
    </row>
    <row r="161" spans="1:11" ht="15" customHeight="1" x14ac:dyDescent="0.25">
      <c r="A161" s="76"/>
      <c r="B161" s="37" t="str">
        <f>IF(A161="","",IFERROR(VLOOKUP(A161,DB_Customers!$A:$D,4,0),"❌ Account Not Found"))</f>
        <v/>
      </c>
      <c r="C161" s="77" t="str">
        <f>IF(A161="","",IFERROR(IF(SUMIF(DB_Savings!$C:$C,A161,DB_Savings!$F:$F)=0,VLOOKUP(A161,DB_Customers!$A:$I,9,0),VLOOKUP(A161,DB_Customers!$A:$N,14,0)),"❌ Acct Not Found"))</f>
        <v/>
      </c>
      <c r="D161" s="78" t="str">
        <f t="shared" ca="1" si="12"/>
        <v/>
      </c>
      <c r="E161" s="79"/>
      <c r="F161" s="80" t="str">
        <f t="shared" si="13"/>
        <v/>
      </c>
      <c r="G161" s="39" t="s">
        <v>142</v>
      </c>
      <c r="H161" s="81"/>
      <c r="I161" s="82" t="str">
        <f>IF(A161="","Pending",IF(H161="","⚠️ Enter Agent Code",IF(IFERROR(VLOOKUP(G161,DB_Agents!$B:$I,8,0),"")=H161,IF(AND(A161&lt;&gt;"",E161&lt;&gt;""),"Saved","Pending"),"🔒 BLOCKED — Wrong Code")))</f>
        <v>Pending</v>
      </c>
      <c r="J161" s="83" t="str">
        <f t="shared" ca="1" si="14"/>
        <v>—</v>
      </c>
      <c r="K161" s="84"/>
    </row>
    <row r="162" spans="1:11" ht="15" customHeight="1" x14ac:dyDescent="0.25">
      <c r="A162" s="85"/>
      <c r="B162" s="41" t="str">
        <f>IF(A162="","",IFERROR(VLOOKUP(A162,DB_Customers!$A:$D,4,0),"❌ Account Not Found"))</f>
        <v/>
      </c>
      <c r="C162" s="86" t="str">
        <f>IF(A162="","",IFERROR(IF(SUMIF(DB_Savings!$C:$C,A162,DB_Savings!$F:$F)=0,VLOOKUP(A162,DB_Customers!$A:$I,9,0),VLOOKUP(A162,DB_Customers!$A:$N,14,0)),"❌ Acct Not Found"))</f>
        <v/>
      </c>
      <c r="D162" s="87" t="str">
        <f t="shared" ca="1" si="12"/>
        <v/>
      </c>
      <c r="E162" s="79"/>
      <c r="F162" s="88" t="str">
        <f t="shared" si="13"/>
        <v/>
      </c>
      <c r="G162" s="43" t="s">
        <v>142</v>
      </c>
      <c r="H162" s="81"/>
      <c r="I162" s="89" t="str">
        <f>IF(A162="","Pending",IF(H162="","⚠️ Enter Agent Code",IF(IFERROR(VLOOKUP(G162,DB_Agents!$B:$I,8,0),"")=H162,IF(AND(A162&lt;&gt;"",E162&lt;&gt;""),"Saved","Pending"),"🔒 BLOCKED — Wrong Code")))</f>
        <v>Pending</v>
      </c>
      <c r="J162" s="90" t="str">
        <f t="shared" ca="1" si="14"/>
        <v>—</v>
      </c>
      <c r="K162" s="91"/>
    </row>
    <row r="163" spans="1:11" ht="15" customHeight="1" x14ac:dyDescent="0.25">
      <c r="A163" s="76"/>
      <c r="B163" s="37" t="str">
        <f>IF(A163="","",IFERROR(VLOOKUP(A163,DB_Customers!$A:$D,4,0),"❌ Account Not Found"))</f>
        <v/>
      </c>
      <c r="C163" s="77" t="str">
        <f>IF(A163="","",IFERROR(IF(SUMIF(DB_Savings!$C:$C,A163,DB_Savings!$F:$F)=0,VLOOKUP(A163,DB_Customers!$A:$I,9,0),VLOOKUP(A163,DB_Customers!$A:$N,14,0)),"❌ Acct Not Found"))</f>
        <v/>
      </c>
      <c r="D163" s="78" t="str">
        <f t="shared" ca="1" si="12"/>
        <v/>
      </c>
      <c r="E163" s="79"/>
      <c r="F163" s="80" t="str">
        <f t="shared" si="13"/>
        <v/>
      </c>
      <c r="G163" s="39" t="s">
        <v>142</v>
      </c>
      <c r="H163" s="81"/>
      <c r="I163" s="82" t="str">
        <f>IF(A163="","Pending",IF(H163="","⚠️ Enter Agent Code",IF(IFERROR(VLOOKUP(G163,DB_Agents!$B:$I,8,0),"")=H163,IF(AND(A163&lt;&gt;"",E163&lt;&gt;""),"Saved","Pending"),"🔒 BLOCKED — Wrong Code")))</f>
        <v>Pending</v>
      </c>
      <c r="J163" s="83" t="str">
        <f t="shared" ca="1" si="14"/>
        <v>—</v>
      </c>
      <c r="K163" s="84"/>
    </row>
    <row r="164" spans="1:11" ht="15" customHeight="1" x14ac:dyDescent="0.25">
      <c r="A164" s="85"/>
      <c r="B164" s="41" t="str">
        <f>IF(A164="","",IFERROR(VLOOKUP(A164,DB_Customers!$A:$D,4,0),"❌ Account Not Found"))</f>
        <v/>
      </c>
      <c r="C164" s="86" t="str">
        <f>IF(A164="","",IFERROR(IF(SUMIF(DB_Savings!$C:$C,A164,DB_Savings!$F:$F)=0,VLOOKUP(A164,DB_Customers!$A:$I,9,0),VLOOKUP(A164,DB_Customers!$A:$N,14,0)),"❌ Acct Not Found"))</f>
        <v/>
      </c>
      <c r="D164" s="87" t="str">
        <f t="shared" ca="1" si="12"/>
        <v/>
      </c>
      <c r="E164" s="79"/>
      <c r="F164" s="88" t="str">
        <f t="shared" si="13"/>
        <v/>
      </c>
      <c r="G164" s="43" t="s">
        <v>142</v>
      </c>
      <c r="H164" s="81"/>
      <c r="I164" s="89" t="str">
        <f>IF(A164="","Pending",IF(H164="","⚠️ Enter Agent Code",IF(IFERROR(VLOOKUP(G164,DB_Agents!$B:$I,8,0),"")=H164,IF(AND(A164&lt;&gt;"",E164&lt;&gt;""),"Saved","Pending"),"🔒 BLOCKED — Wrong Code")))</f>
        <v>Pending</v>
      </c>
      <c r="J164" s="90" t="str">
        <f t="shared" ca="1" si="14"/>
        <v>—</v>
      </c>
      <c r="K164" s="91"/>
    </row>
    <row r="165" spans="1:11" ht="15" customHeight="1" x14ac:dyDescent="0.25">
      <c r="A165" s="76"/>
      <c r="B165" s="37" t="str">
        <f>IF(A165="","",IFERROR(VLOOKUP(A165,DB_Customers!$A:$D,4,0),"❌ Account Not Found"))</f>
        <v/>
      </c>
      <c r="C165" s="77" t="str">
        <f>IF(A165="","",IFERROR(IF(SUMIF(DB_Savings!$C:$C,A165,DB_Savings!$F:$F)=0,VLOOKUP(A165,DB_Customers!$A:$I,9,0),VLOOKUP(A165,DB_Customers!$A:$N,14,0)),"❌ Acct Not Found"))</f>
        <v/>
      </c>
      <c r="D165" s="78" t="str">
        <f t="shared" ca="1" si="12"/>
        <v/>
      </c>
      <c r="E165" s="79"/>
      <c r="F165" s="80" t="str">
        <f t="shared" si="13"/>
        <v/>
      </c>
      <c r="G165" s="39" t="s">
        <v>142</v>
      </c>
      <c r="H165" s="81"/>
      <c r="I165" s="82" t="str">
        <f>IF(A165="","Pending",IF(H165="","⚠️ Enter Agent Code",IF(IFERROR(VLOOKUP(G165,DB_Agents!$B:$I,8,0),"")=H165,IF(AND(A165&lt;&gt;"",E165&lt;&gt;""),"Saved","Pending"),"🔒 BLOCKED — Wrong Code")))</f>
        <v>Pending</v>
      </c>
      <c r="J165" s="83" t="str">
        <f t="shared" ca="1" si="14"/>
        <v>—</v>
      </c>
      <c r="K165" s="84"/>
    </row>
    <row r="166" spans="1:11" ht="15" customHeight="1" x14ac:dyDescent="0.25">
      <c r="A166" s="85"/>
      <c r="B166" s="41" t="str">
        <f>IF(A166="","",IFERROR(VLOOKUP(A166,DB_Customers!$A:$D,4,0),"❌ Account Not Found"))</f>
        <v/>
      </c>
      <c r="C166" s="86" t="str">
        <f>IF(A166="","",IFERROR(IF(SUMIF(DB_Savings!$C:$C,A166,DB_Savings!$F:$F)=0,VLOOKUP(A166,DB_Customers!$A:$I,9,0),VLOOKUP(A166,DB_Customers!$A:$N,14,0)),"❌ Acct Not Found"))</f>
        <v/>
      </c>
      <c r="D166" s="87" t="str">
        <f t="shared" ca="1" si="12"/>
        <v/>
      </c>
      <c r="E166" s="79"/>
      <c r="F166" s="88" t="str">
        <f t="shared" si="13"/>
        <v/>
      </c>
      <c r="G166" s="43" t="s">
        <v>142</v>
      </c>
      <c r="H166" s="81"/>
      <c r="I166" s="89" t="str">
        <f>IF(A166="","Pending",IF(H166="","⚠️ Enter Agent Code",IF(IFERROR(VLOOKUP(G166,DB_Agents!$B:$I,8,0),"")=H166,IF(AND(A166&lt;&gt;"",E166&lt;&gt;""),"Saved","Pending"),"🔒 BLOCKED — Wrong Code")))</f>
        <v>Pending</v>
      </c>
      <c r="J166" s="90" t="str">
        <f t="shared" ca="1" si="14"/>
        <v>—</v>
      </c>
      <c r="K166" s="91"/>
    </row>
    <row r="167" spans="1:11" ht="15" customHeight="1" x14ac:dyDescent="0.25">
      <c r="A167" s="76"/>
      <c r="B167" s="37" t="str">
        <f>IF(A167="","",IFERROR(VLOOKUP(A167,DB_Customers!$A:$D,4,0),"❌ Account Not Found"))</f>
        <v/>
      </c>
      <c r="C167" s="77" t="str">
        <f>IF(A167="","",IFERROR(IF(SUMIF(DB_Savings!$C:$C,A167,DB_Savings!$F:$F)=0,VLOOKUP(A167,DB_Customers!$A:$I,9,0),VLOOKUP(A167,DB_Customers!$A:$N,14,0)),"❌ Acct Not Found"))</f>
        <v/>
      </c>
      <c r="D167" s="78" t="str">
        <f t="shared" ca="1" si="12"/>
        <v/>
      </c>
      <c r="E167" s="79"/>
      <c r="F167" s="80" t="str">
        <f t="shared" si="13"/>
        <v/>
      </c>
      <c r="G167" s="39" t="s">
        <v>142</v>
      </c>
      <c r="H167" s="81"/>
      <c r="I167" s="82" t="str">
        <f>IF(A167="","Pending",IF(H167="","⚠️ Enter Agent Code",IF(IFERROR(VLOOKUP(G167,DB_Agents!$B:$I,8,0),"")=H167,IF(AND(A167&lt;&gt;"",E167&lt;&gt;""),"Saved","Pending"),"🔒 BLOCKED — Wrong Code")))</f>
        <v>Pending</v>
      </c>
      <c r="J167" s="83" t="str">
        <f t="shared" ca="1" si="14"/>
        <v>—</v>
      </c>
      <c r="K167" s="84"/>
    </row>
    <row r="168" spans="1:11" ht="15" customHeight="1" x14ac:dyDescent="0.25">
      <c r="A168" s="85"/>
      <c r="B168" s="41" t="str">
        <f>IF(A168="","",IFERROR(VLOOKUP(A168,DB_Customers!$A:$D,4,0),"❌ Account Not Found"))</f>
        <v/>
      </c>
      <c r="C168" s="86" t="str">
        <f>IF(A168="","",IFERROR(IF(SUMIF(DB_Savings!$C:$C,A168,DB_Savings!$F:$F)=0,VLOOKUP(A168,DB_Customers!$A:$I,9,0),VLOOKUP(A168,DB_Customers!$A:$N,14,0)),"❌ Acct Not Found"))</f>
        <v/>
      </c>
      <c r="D168" s="87" t="str">
        <f t="shared" ca="1" si="12"/>
        <v/>
      </c>
      <c r="E168" s="79"/>
      <c r="F168" s="88" t="str">
        <f t="shared" si="13"/>
        <v/>
      </c>
      <c r="G168" s="43" t="s">
        <v>142</v>
      </c>
      <c r="H168" s="81"/>
      <c r="I168" s="89" t="str">
        <f>IF(A168="","Pending",IF(H168="","⚠️ Enter Agent Code",IF(IFERROR(VLOOKUP(G168,DB_Agents!$B:$I,8,0),"")=H168,IF(AND(A168&lt;&gt;"",E168&lt;&gt;""),"Saved","Pending"),"🔒 BLOCKED — Wrong Code")))</f>
        <v>Pending</v>
      </c>
      <c r="J168" s="90" t="str">
        <f t="shared" ca="1" si="14"/>
        <v>—</v>
      </c>
      <c r="K168" s="91"/>
    </row>
    <row r="169" spans="1:11" ht="15" customHeight="1" x14ac:dyDescent="0.25">
      <c r="A169" s="76"/>
      <c r="B169" s="37" t="str">
        <f>IF(A169="","",IFERROR(VLOOKUP(A169,DB_Customers!$A:$D,4,0),"❌ Account Not Found"))</f>
        <v/>
      </c>
      <c r="C169" s="77" t="str">
        <f>IF(A169="","",IFERROR(IF(SUMIF(DB_Savings!$C:$C,A169,DB_Savings!$F:$F)=0,VLOOKUP(A169,DB_Customers!$A:$I,9,0),VLOOKUP(A169,DB_Customers!$A:$N,14,0)),"❌ Acct Not Found"))</f>
        <v/>
      </c>
      <c r="D169" s="78" t="str">
        <f t="shared" ref="D169:D200" ca="1" si="15">IF(A169="","",TODAY())</f>
        <v/>
      </c>
      <c r="E169" s="79"/>
      <c r="F169" s="80" t="str">
        <f t="shared" ref="F169:F200" si="16">IF(OR(A169="",E169=""),"",IF(C169="","",C169+E169))</f>
        <v/>
      </c>
      <c r="G169" s="39" t="s">
        <v>142</v>
      </c>
      <c r="H169" s="81"/>
      <c r="I169" s="82" t="str">
        <f>IF(A169="","Pending",IF(H169="","⚠️ Enter Agent Code",IF(IFERROR(VLOOKUP(G169,DB_Agents!$B:$I,8,0),"")=H169,IF(AND(A169&lt;&gt;"",E169&lt;&gt;""),"Saved","Pending"),"🔒 BLOCKED — Wrong Code")))</f>
        <v>Pending</v>
      </c>
      <c r="J169" s="83" t="str">
        <f t="shared" ref="J169:J200" ca="1" si="17">IF(I169="Saved",TEXT(TODAY(),"YYYY-MM-DD")&amp;" Auto","—")</f>
        <v>—</v>
      </c>
      <c r="K169" s="84"/>
    </row>
    <row r="170" spans="1:11" ht="15" customHeight="1" x14ac:dyDescent="0.25">
      <c r="A170" s="85"/>
      <c r="B170" s="41" t="str">
        <f>IF(A170="","",IFERROR(VLOOKUP(A170,DB_Customers!$A:$D,4,0),"❌ Account Not Found"))</f>
        <v/>
      </c>
      <c r="C170" s="86" t="str">
        <f>IF(A170="","",IFERROR(IF(SUMIF(DB_Savings!$C:$C,A170,DB_Savings!$F:$F)=0,VLOOKUP(A170,DB_Customers!$A:$I,9,0),VLOOKUP(A170,DB_Customers!$A:$N,14,0)),"❌ Acct Not Found"))</f>
        <v/>
      </c>
      <c r="D170" s="87" t="str">
        <f t="shared" ca="1" si="15"/>
        <v/>
      </c>
      <c r="E170" s="79"/>
      <c r="F170" s="88" t="str">
        <f t="shared" si="16"/>
        <v/>
      </c>
      <c r="G170" s="43" t="s">
        <v>142</v>
      </c>
      <c r="H170" s="81"/>
      <c r="I170" s="89" t="str">
        <f>IF(A170="","Pending",IF(H170="","⚠️ Enter Agent Code",IF(IFERROR(VLOOKUP(G170,DB_Agents!$B:$I,8,0),"")=H170,IF(AND(A170&lt;&gt;"",E170&lt;&gt;""),"Saved","Pending"),"🔒 BLOCKED — Wrong Code")))</f>
        <v>Pending</v>
      </c>
      <c r="J170" s="90" t="str">
        <f t="shared" ca="1" si="17"/>
        <v>—</v>
      </c>
      <c r="K170" s="91"/>
    </row>
    <row r="171" spans="1:11" ht="15" customHeight="1" x14ac:dyDescent="0.25">
      <c r="A171" s="76"/>
      <c r="B171" s="37" t="str">
        <f>IF(A171="","",IFERROR(VLOOKUP(A171,DB_Customers!$A:$D,4,0),"❌ Account Not Found"))</f>
        <v/>
      </c>
      <c r="C171" s="77" t="str">
        <f>IF(A171="","",IFERROR(IF(SUMIF(DB_Savings!$C:$C,A171,DB_Savings!$F:$F)=0,VLOOKUP(A171,DB_Customers!$A:$I,9,0),VLOOKUP(A171,DB_Customers!$A:$N,14,0)),"❌ Acct Not Found"))</f>
        <v/>
      </c>
      <c r="D171" s="78" t="str">
        <f t="shared" ca="1" si="15"/>
        <v/>
      </c>
      <c r="E171" s="79"/>
      <c r="F171" s="80" t="str">
        <f t="shared" si="16"/>
        <v/>
      </c>
      <c r="G171" s="39" t="s">
        <v>142</v>
      </c>
      <c r="H171" s="81"/>
      <c r="I171" s="82" t="str">
        <f>IF(A171="","Pending",IF(H171="","⚠️ Enter Agent Code",IF(IFERROR(VLOOKUP(G171,DB_Agents!$B:$I,8,0),"")=H171,IF(AND(A171&lt;&gt;"",E171&lt;&gt;""),"Saved","Pending"),"🔒 BLOCKED — Wrong Code")))</f>
        <v>Pending</v>
      </c>
      <c r="J171" s="83" t="str">
        <f t="shared" ca="1" si="17"/>
        <v>—</v>
      </c>
      <c r="K171" s="84"/>
    </row>
    <row r="172" spans="1:11" ht="15" customHeight="1" x14ac:dyDescent="0.25">
      <c r="A172" s="85"/>
      <c r="B172" s="41" t="str">
        <f>IF(A172="","",IFERROR(VLOOKUP(A172,DB_Customers!$A:$D,4,0),"❌ Account Not Found"))</f>
        <v/>
      </c>
      <c r="C172" s="86" t="str">
        <f>IF(A172="","",IFERROR(IF(SUMIF(DB_Savings!$C:$C,A172,DB_Savings!$F:$F)=0,VLOOKUP(A172,DB_Customers!$A:$I,9,0),VLOOKUP(A172,DB_Customers!$A:$N,14,0)),"❌ Acct Not Found"))</f>
        <v/>
      </c>
      <c r="D172" s="87" t="str">
        <f t="shared" ca="1" si="15"/>
        <v/>
      </c>
      <c r="E172" s="79"/>
      <c r="F172" s="88" t="str">
        <f t="shared" si="16"/>
        <v/>
      </c>
      <c r="G172" s="43" t="s">
        <v>142</v>
      </c>
      <c r="H172" s="81"/>
      <c r="I172" s="89" t="str">
        <f>IF(A172="","Pending",IF(H172="","⚠️ Enter Agent Code",IF(IFERROR(VLOOKUP(G172,DB_Agents!$B:$I,8,0),"")=H172,IF(AND(A172&lt;&gt;"",E172&lt;&gt;""),"Saved","Pending"),"🔒 BLOCKED — Wrong Code")))</f>
        <v>Pending</v>
      </c>
      <c r="J172" s="90" t="str">
        <f t="shared" ca="1" si="17"/>
        <v>—</v>
      </c>
      <c r="K172" s="91"/>
    </row>
    <row r="173" spans="1:11" ht="15" customHeight="1" x14ac:dyDescent="0.25">
      <c r="A173" s="76"/>
      <c r="B173" s="37" t="str">
        <f>IF(A173="","",IFERROR(VLOOKUP(A173,DB_Customers!$A:$D,4,0),"❌ Account Not Found"))</f>
        <v/>
      </c>
      <c r="C173" s="77" t="str">
        <f>IF(A173="","",IFERROR(IF(SUMIF(DB_Savings!$C:$C,A173,DB_Savings!$F:$F)=0,VLOOKUP(A173,DB_Customers!$A:$I,9,0),VLOOKUP(A173,DB_Customers!$A:$N,14,0)),"❌ Acct Not Found"))</f>
        <v/>
      </c>
      <c r="D173" s="78" t="str">
        <f t="shared" ca="1" si="15"/>
        <v/>
      </c>
      <c r="E173" s="79"/>
      <c r="F173" s="80" t="str">
        <f t="shared" si="16"/>
        <v/>
      </c>
      <c r="G173" s="39" t="s">
        <v>142</v>
      </c>
      <c r="H173" s="81"/>
      <c r="I173" s="82" t="str">
        <f>IF(A173="","Pending",IF(H173="","⚠️ Enter Agent Code",IF(IFERROR(VLOOKUP(G173,DB_Agents!$B:$I,8,0),"")=H173,IF(AND(A173&lt;&gt;"",E173&lt;&gt;""),"Saved","Pending"),"🔒 BLOCKED — Wrong Code")))</f>
        <v>Pending</v>
      </c>
      <c r="J173" s="83" t="str">
        <f t="shared" ca="1" si="17"/>
        <v>—</v>
      </c>
      <c r="K173" s="84"/>
    </row>
    <row r="174" spans="1:11" ht="15" customHeight="1" x14ac:dyDescent="0.25">
      <c r="A174" s="85"/>
      <c r="B174" s="41" t="str">
        <f>IF(A174="","",IFERROR(VLOOKUP(A174,DB_Customers!$A:$D,4,0),"❌ Account Not Found"))</f>
        <v/>
      </c>
      <c r="C174" s="86" t="str">
        <f>IF(A174="","",IFERROR(IF(SUMIF(DB_Savings!$C:$C,A174,DB_Savings!$F:$F)=0,VLOOKUP(A174,DB_Customers!$A:$I,9,0),VLOOKUP(A174,DB_Customers!$A:$N,14,0)),"❌ Acct Not Found"))</f>
        <v/>
      </c>
      <c r="D174" s="87" t="str">
        <f t="shared" ca="1" si="15"/>
        <v/>
      </c>
      <c r="E174" s="79"/>
      <c r="F174" s="88" t="str">
        <f t="shared" si="16"/>
        <v/>
      </c>
      <c r="G174" s="43" t="s">
        <v>142</v>
      </c>
      <c r="H174" s="81"/>
      <c r="I174" s="89" t="str">
        <f>IF(A174="","Pending",IF(H174="","⚠️ Enter Agent Code",IF(IFERROR(VLOOKUP(G174,DB_Agents!$B:$I,8,0),"")=H174,IF(AND(A174&lt;&gt;"",E174&lt;&gt;""),"Saved","Pending"),"🔒 BLOCKED — Wrong Code")))</f>
        <v>Pending</v>
      </c>
      <c r="J174" s="90" t="str">
        <f t="shared" ca="1" si="17"/>
        <v>—</v>
      </c>
      <c r="K174" s="91"/>
    </row>
    <row r="175" spans="1:11" ht="15" customHeight="1" x14ac:dyDescent="0.25">
      <c r="A175" s="76"/>
      <c r="B175" s="37" t="str">
        <f>IF(A175="","",IFERROR(VLOOKUP(A175,DB_Customers!$A:$D,4,0),"❌ Account Not Found"))</f>
        <v/>
      </c>
      <c r="C175" s="77" t="str">
        <f>IF(A175="","",IFERROR(IF(SUMIF(DB_Savings!$C:$C,A175,DB_Savings!$F:$F)=0,VLOOKUP(A175,DB_Customers!$A:$I,9,0),VLOOKUP(A175,DB_Customers!$A:$N,14,0)),"❌ Acct Not Found"))</f>
        <v/>
      </c>
      <c r="D175" s="78" t="str">
        <f t="shared" ca="1" si="15"/>
        <v/>
      </c>
      <c r="E175" s="79"/>
      <c r="F175" s="80" t="str">
        <f t="shared" si="16"/>
        <v/>
      </c>
      <c r="G175" s="39" t="s">
        <v>142</v>
      </c>
      <c r="H175" s="81"/>
      <c r="I175" s="82" t="str">
        <f>IF(A175="","Pending",IF(H175="","⚠️ Enter Agent Code",IF(IFERROR(VLOOKUP(G175,DB_Agents!$B:$I,8,0),"")=H175,IF(AND(A175&lt;&gt;"",E175&lt;&gt;""),"Saved","Pending"),"🔒 BLOCKED — Wrong Code")))</f>
        <v>Pending</v>
      </c>
      <c r="J175" s="83" t="str">
        <f t="shared" ca="1" si="17"/>
        <v>—</v>
      </c>
      <c r="K175" s="84"/>
    </row>
    <row r="176" spans="1:11" ht="15" customHeight="1" x14ac:dyDescent="0.25">
      <c r="A176" s="85"/>
      <c r="B176" s="41" t="str">
        <f>IF(A176="","",IFERROR(VLOOKUP(A176,DB_Customers!$A:$D,4,0),"❌ Account Not Found"))</f>
        <v/>
      </c>
      <c r="C176" s="86" t="str">
        <f>IF(A176="","",IFERROR(IF(SUMIF(DB_Savings!$C:$C,A176,DB_Savings!$F:$F)=0,VLOOKUP(A176,DB_Customers!$A:$I,9,0),VLOOKUP(A176,DB_Customers!$A:$N,14,0)),"❌ Acct Not Found"))</f>
        <v/>
      </c>
      <c r="D176" s="87" t="str">
        <f t="shared" ca="1" si="15"/>
        <v/>
      </c>
      <c r="E176" s="79"/>
      <c r="F176" s="88" t="str">
        <f t="shared" si="16"/>
        <v/>
      </c>
      <c r="G176" s="43" t="s">
        <v>142</v>
      </c>
      <c r="H176" s="81"/>
      <c r="I176" s="89" t="str">
        <f>IF(A176="","Pending",IF(H176="","⚠️ Enter Agent Code",IF(IFERROR(VLOOKUP(G176,DB_Agents!$B:$I,8,0),"")=H176,IF(AND(A176&lt;&gt;"",E176&lt;&gt;""),"Saved","Pending"),"🔒 BLOCKED — Wrong Code")))</f>
        <v>Pending</v>
      </c>
      <c r="J176" s="90" t="str">
        <f t="shared" ca="1" si="17"/>
        <v>—</v>
      </c>
      <c r="K176" s="91"/>
    </row>
    <row r="177" spans="1:11" ht="15" customHeight="1" x14ac:dyDescent="0.25">
      <c r="A177" s="76"/>
      <c r="B177" s="37" t="str">
        <f>IF(A177="","",IFERROR(VLOOKUP(A177,DB_Customers!$A:$D,4,0),"❌ Account Not Found"))</f>
        <v/>
      </c>
      <c r="C177" s="77" t="str">
        <f>IF(A177="","",IFERROR(IF(SUMIF(DB_Savings!$C:$C,A177,DB_Savings!$F:$F)=0,VLOOKUP(A177,DB_Customers!$A:$I,9,0),VLOOKUP(A177,DB_Customers!$A:$N,14,0)),"❌ Acct Not Found"))</f>
        <v/>
      </c>
      <c r="D177" s="78" t="str">
        <f t="shared" ca="1" si="15"/>
        <v/>
      </c>
      <c r="E177" s="79"/>
      <c r="F177" s="80" t="str">
        <f t="shared" si="16"/>
        <v/>
      </c>
      <c r="G177" s="39" t="s">
        <v>142</v>
      </c>
      <c r="H177" s="81"/>
      <c r="I177" s="82" t="str">
        <f>IF(A177="","Pending",IF(H177="","⚠️ Enter Agent Code",IF(IFERROR(VLOOKUP(G177,DB_Agents!$B:$I,8,0),"")=H177,IF(AND(A177&lt;&gt;"",E177&lt;&gt;""),"Saved","Pending"),"🔒 BLOCKED — Wrong Code")))</f>
        <v>Pending</v>
      </c>
      <c r="J177" s="83" t="str">
        <f t="shared" ca="1" si="17"/>
        <v>—</v>
      </c>
      <c r="K177" s="84"/>
    </row>
    <row r="178" spans="1:11" ht="15" customHeight="1" x14ac:dyDescent="0.25">
      <c r="A178" s="85"/>
      <c r="B178" s="41" t="str">
        <f>IF(A178="","",IFERROR(VLOOKUP(A178,DB_Customers!$A:$D,4,0),"❌ Account Not Found"))</f>
        <v/>
      </c>
      <c r="C178" s="86" t="str">
        <f>IF(A178="","",IFERROR(IF(SUMIF(DB_Savings!$C:$C,A178,DB_Savings!$F:$F)=0,VLOOKUP(A178,DB_Customers!$A:$I,9,0),VLOOKUP(A178,DB_Customers!$A:$N,14,0)),"❌ Acct Not Found"))</f>
        <v/>
      </c>
      <c r="D178" s="87" t="str">
        <f t="shared" ca="1" si="15"/>
        <v/>
      </c>
      <c r="E178" s="79"/>
      <c r="F178" s="88" t="str">
        <f t="shared" si="16"/>
        <v/>
      </c>
      <c r="G178" s="43" t="s">
        <v>142</v>
      </c>
      <c r="H178" s="81"/>
      <c r="I178" s="89" t="str">
        <f>IF(A178="","Pending",IF(H178="","⚠️ Enter Agent Code",IF(IFERROR(VLOOKUP(G178,DB_Agents!$B:$I,8,0),"")=H178,IF(AND(A178&lt;&gt;"",E178&lt;&gt;""),"Saved","Pending"),"🔒 BLOCKED — Wrong Code")))</f>
        <v>Pending</v>
      </c>
      <c r="J178" s="90" t="str">
        <f t="shared" ca="1" si="17"/>
        <v>—</v>
      </c>
      <c r="K178" s="91"/>
    </row>
    <row r="179" spans="1:11" ht="15" customHeight="1" x14ac:dyDescent="0.25">
      <c r="A179" s="76"/>
      <c r="B179" s="37" t="str">
        <f>IF(A179="","",IFERROR(VLOOKUP(A179,DB_Customers!$A:$D,4,0),"❌ Account Not Found"))</f>
        <v/>
      </c>
      <c r="C179" s="77" t="str">
        <f>IF(A179="","",IFERROR(IF(SUMIF(DB_Savings!$C:$C,A179,DB_Savings!$F:$F)=0,VLOOKUP(A179,DB_Customers!$A:$I,9,0),VLOOKUP(A179,DB_Customers!$A:$N,14,0)),"❌ Acct Not Found"))</f>
        <v/>
      </c>
      <c r="D179" s="78" t="str">
        <f t="shared" ca="1" si="15"/>
        <v/>
      </c>
      <c r="E179" s="79"/>
      <c r="F179" s="80" t="str">
        <f t="shared" si="16"/>
        <v/>
      </c>
      <c r="G179" s="39" t="s">
        <v>142</v>
      </c>
      <c r="H179" s="81"/>
      <c r="I179" s="82" t="str">
        <f>IF(A179="","Pending",IF(H179="","⚠️ Enter Agent Code",IF(IFERROR(VLOOKUP(G179,DB_Agents!$B:$I,8,0),"")=H179,IF(AND(A179&lt;&gt;"",E179&lt;&gt;""),"Saved","Pending"),"🔒 BLOCKED — Wrong Code")))</f>
        <v>Pending</v>
      </c>
      <c r="J179" s="83" t="str">
        <f t="shared" ca="1" si="17"/>
        <v>—</v>
      </c>
      <c r="K179" s="84"/>
    </row>
    <row r="180" spans="1:11" ht="15" customHeight="1" x14ac:dyDescent="0.25">
      <c r="A180" s="85"/>
      <c r="B180" s="41" t="str">
        <f>IF(A180="","",IFERROR(VLOOKUP(A180,DB_Customers!$A:$D,4,0),"❌ Account Not Found"))</f>
        <v/>
      </c>
      <c r="C180" s="86" t="str">
        <f>IF(A180="","",IFERROR(IF(SUMIF(DB_Savings!$C:$C,A180,DB_Savings!$F:$F)=0,VLOOKUP(A180,DB_Customers!$A:$I,9,0),VLOOKUP(A180,DB_Customers!$A:$N,14,0)),"❌ Acct Not Found"))</f>
        <v/>
      </c>
      <c r="D180" s="87" t="str">
        <f t="shared" ca="1" si="15"/>
        <v/>
      </c>
      <c r="E180" s="79"/>
      <c r="F180" s="88" t="str">
        <f t="shared" si="16"/>
        <v/>
      </c>
      <c r="G180" s="43" t="s">
        <v>142</v>
      </c>
      <c r="H180" s="81"/>
      <c r="I180" s="89" t="str">
        <f>IF(A180="","Pending",IF(H180="","⚠️ Enter Agent Code",IF(IFERROR(VLOOKUP(G180,DB_Agents!$B:$I,8,0),"")=H180,IF(AND(A180&lt;&gt;"",E180&lt;&gt;""),"Saved","Pending"),"🔒 BLOCKED — Wrong Code")))</f>
        <v>Pending</v>
      </c>
      <c r="J180" s="90" t="str">
        <f t="shared" ca="1" si="17"/>
        <v>—</v>
      </c>
      <c r="K180" s="91"/>
    </row>
    <row r="181" spans="1:11" ht="15" customHeight="1" x14ac:dyDescent="0.25">
      <c r="A181" s="76"/>
      <c r="B181" s="37" t="str">
        <f>IF(A181="","",IFERROR(VLOOKUP(A181,DB_Customers!$A:$D,4,0),"❌ Account Not Found"))</f>
        <v/>
      </c>
      <c r="C181" s="77" t="str">
        <f>IF(A181="","",IFERROR(IF(SUMIF(DB_Savings!$C:$C,A181,DB_Savings!$F:$F)=0,VLOOKUP(A181,DB_Customers!$A:$I,9,0),VLOOKUP(A181,DB_Customers!$A:$N,14,0)),"❌ Acct Not Found"))</f>
        <v/>
      </c>
      <c r="D181" s="78" t="str">
        <f t="shared" ca="1" si="15"/>
        <v/>
      </c>
      <c r="E181" s="79"/>
      <c r="F181" s="80" t="str">
        <f t="shared" si="16"/>
        <v/>
      </c>
      <c r="G181" s="39" t="s">
        <v>142</v>
      </c>
      <c r="H181" s="81"/>
      <c r="I181" s="82" t="str">
        <f>IF(A181="","Pending",IF(H181="","⚠️ Enter Agent Code",IF(IFERROR(VLOOKUP(G181,DB_Agents!$B:$I,8,0),"")=H181,IF(AND(A181&lt;&gt;"",E181&lt;&gt;""),"Saved","Pending"),"🔒 BLOCKED — Wrong Code")))</f>
        <v>Pending</v>
      </c>
      <c r="J181" s="83" t="str">
        <f t="shared" ca="1" si="17"/>
        <v>—</v>
      </c>
      <c r="K181" s="84"/>
    </row>
    <row r="182" spans="1:11" ht="15" customHeight="1" x14ac:dyDescent="0.25">
      <c r="A182" s="85"/>
      <c r="B182" s="41" t="str">
        <f>IF(A182="","",IFERROR(VLOOKUP(A182,DB_Customers!$A:$D,4,0),"❌ Account Not Found"))</f>
        <v/>
      </c>
      <c r="C182" s="86" t="str">
        <f>IF(A182="","",IFERROR(IF(SUMIF(DB_Savings!$C:$C,A182,DB_Savings!$F:$F)=0,VLOOKUP(A182,DB_Customers!$A:$I,9,0),VLOOKUP(A182,DB_Customers!$A:$N,14,0)),"❌ Acct Not Found"))</f>
        <v/>
      </c>
      <c r="D182" s="87" t="str">
        <f t="shared" ca="1" si="15"/>
        <v/>
      </c>
      <c r="E182" s="79"/>
      <c r="F182" s="88" t="str">
        <f t="shared" si="16"/>
        <v/>
      </c>
      <c r="G182" s="43" t="s">
        <v>142</v>
      </c>
      <c r="H182" s="81"/>
      <c r="I182" s="89" t="str">
        <f>IF(A182="","Pending",IF(H182="","⚠️ Enter Agent Code",IF(IFERROR(VLOOKUP(G182,DB_Agents!$B:$I,8,0),"")=H182,IF(AND(A182&lt;&gt;"",E182&lt;&gt;""),"Saved","Pending"),"🔒 BLOCKED — Wrong Code")))</f>
        <v>Pending</v>
      </c>
      <c r="J182" s="90" t="str">
        <f t="shared" ca="1" si="17"/>
        <v>—</v>
      </c>
      <c r="K182" s="91"/>
    </row>
    <row r="183" spans="1:11" ht="15" customHeight="1" x14ac:dyDescent="0.25">
      <c r="A183" s="76"/>
      <c r="B183" s="37" t="str">
        <f>IF(A183="","",IFERROR(VLOOKUP(A183,DB_Customers!$A:$D,4,0),"❌ Account Not Found"))</f>
        <v/>
      </c>
      <c r="C183" s="77" t="str">
        <f>IF(A183="","",IFERROR(IF(SUMIF(DB_Savings!$C:$C,A183,DB_Savings!$F:$F)=0,VLOOKUP(A183,DB_Customers!$A:$I,9,0),VLOOKUP(A183,DB_Customers!$A:$N,14,0)),"❌ Acct Not Found"))</f>
        <v/>
      </c>
      <c r="D183" s="78" t="str">
        <f t="shared" ca="1" si="15"/>
        <v/>
      </c>
      <c r="E183" s="79"/>
      <c r="F183" s="80" t="str">
        <f t="shared" si="16"/>
        <v/>
      </c>
      <c r="G183" s="39" t="s">
        <v>142</v>
      </c>
      <c r="H183" s="81"/>
      <c r="I183" s="82" t="str">
        <f>IF(A183="","Pending",IF(H183="","⚠️ Enter Agent Code",IF(IFERROR(VLOOKUP(G183,DB_Agents!$B:$I,8,0),"")=H183,IF(AND(A183&lt;&gt;"",E183&lt;&gt;""),"Saved","Pending"),"🔒 BLOCKED — Wrong Code")))</f>
        <v>Pending</v>
      </c>
      <c r="J183" s="83" t="str">
        <f t="shared" ca="1" si="17"/>
        <v>—</v>
      </c>
      <c r="K183" s="84"/>
    </row>
    <row r="184" spans="1:11" ht="15" customHeight="1" x14ac:dyDescent="0.25">
      <c r="A184" s="85"/>
      <c r="B184" s="41" t="str">
        <f>IF(A184="","",IFERROR(VLOOKUP(A184,DB_Customers!$A:$D,4,0),"❌ Account Not Found"))</f>
        <v/>
      </c>
      <c r="C184" s="86" t="str">
        <f>IF(A184="","",IFERROR(IF(SUMIF(DB_Savings!$C:$C,A184,DB_Savings!$F:$F)=0,VLOOKUP(A184,DB_Customers!$A:$I,9,0),VLOOKUP(A184,DB_Customers!$A:$N,14,0)),"❌ Acct Not Found"))</f>
        <v/>
      </c>
      <c r="D184" s="87" t="str">
        <f t="shared" ca="1" si="15"/>
        <v/>
      </c>
      <c r="E184" s="79"/>
      <c r="F184" s="88" t="str">
        <f t="shared" si="16"/>
        <v/>
      </c>
      <c r="G184" s="43" t="s">
        <v>142</v>
      </c>
      <c r="H184" s="81"/>
      <c r="I184" s="89" t="str">
        <f>IF(A184="","Pending",IF(H184="","⚠️ Enter Agent Code",IF(IFERROR(VLOOKUP(G184,DB_Agents!$B:$I,8,0),"")=H184,IF(AND(A184&lt;&gt;"",E184&lt;&gt;""),"Saved","Pending"),"🔒 BLOCKED — Wrong Code")))</f>
        <v>Pending</v>
      </c>
      <c r="J184" s="90" t="str">
        <f t="shared" ca="1" si="17"/>
        <v>—</v>
      </c>
      <c r="K184" s="91"/>
    </row>
    <row r="185" spans="1:11" ht="15" customHeight="1" x14ac:dyDescent="0.25">
      <c r="A185" s="76"/>
      <c r="B185" s="37" t="str">
        <f>IF(A185="","",IFERROR(VLOOKUP(A185,DB_Customers!$A:$D,4,0),"❌ Account Not Found"))</f>
        <v/>
      </c>
      <c r="C185" s="77" t="str">
        <f>IF(A185="","",IFERROR(IF(SUMIF(DB_Savings!$C:$C,A185,DB_Savings!$F:$F)=0,VLOOKUP(A185,DB_Customers!$A:$I,9,0),VLOOKUP(A185,DB_Customers!$A:$N,14,0)),"❌ Acct Not Found"))</f>
        <v/>
      </c>
      <c r="D185" s="78" t="str">
        <f t="shared" ca="1" si="15"/>
        <v/>
      </c>
      <c r="E185" s="79"/>
      <c r="F185" s="80" t="str">
        <f t="shared" si="16"/>
        <v/>
      </c>
      <c r="G185" s="39" t="s">
        <v>142</v>
      </c>
      <c r="H185" s="81"/>
      <c r="I185" s="82" t="str">
        <f>IF(A185="","Pending",IF(H185="","⚠️ Enter Agent Code",IF(IFERROR(VLOOKUP(G185,DB_Agents!$B:$I,8,0),"")=H185,IF(AND(A185&lt;&gt;"",E185&lt;&gt;""),"Saved","Pending"),"🔒 BLOCKED — Wrong Code")))</f>
        <v>Pending</v>
      </c>
      <c r="J185" s="83" t="str">
        <f t="shared" ca="1" si="17"/>
        <v>—</v>
      </c>
      <c r="K185" s="84"/>
    </row>
    <row r="186" spans="1:11" ht="15" customHeight="1" x14ac:dyDescent="0.25">
      <c r="A186" s="85"/>
      <c r="B186" s="41" t="str">
        <f>IF(A186="","",IFERROR(VLOOKUP(A186,DB_Customers!$A:$D,4,0),"❌ Account Not Found"))</f>
        <v/>
      </c>
      <c r="C186" s="86" t="str">
        <f>IF(A186="","",IFERROR(IF(SUMIF(DB_Savings!$C:$C,A186,DB_Savings!$F:$F)=0,VLOOKUP(A186,DB_Customers!$A:$I,9,0),VLOOKUP(A186,DB_Customers!$A:$N,14,0)),"❌ Acct Not Found"))</f>
        <v/>
      </c>
      <c r="D186" s="87" t="str">
        <f t="shared" ca="1" si="15"/>
        <v/>
      </c>
      <c r="E186" s="79"/>
      <c r="F186" s="88" t="str">
        <f t="shared" si="16"/>
        <v/>
      </c>
      <c r="G186" s="43" t="s">
        <v>142</v>
      </c>
      <c r="H186" s="81"/>
      <c r="I186" s="89" t="str">
        <f>IF(A186="","Pending",IF(H186="","⚠️ Enter Agent Code",IF(IFERROR(VLOOKUP(G186,DB_Agents!$B:$I,8,0),"")=H186,IF(AND(A186&lt;&gt;"",E186&lt;&gt;""),"Saved","Pending"),"🔒 BLOCKED — Wrong Code")))</f>
        <v>Pending</v>
      </c>
      <c r="J186" s="90" t="str">
        <f t="shared" ca="1" si="17"/>
        <v>—</v>
      </c>
      <c r="K186" s="91"/>
    </row>
    <row r="187" spans="1:11" ht="15" customHeight="1" x14ac:dyDescent="0.25">
      <c r="A187" s="76"/>
      <c r="B187" s="37" t="str">
        <f>IF(A187="","",IFERROR(VLOOKUP(A187,DB_Customers!$A:$D,4,0),"❌ Account Not Found"))</f>
        <v/>
      </c>
      <c r="C187" s="77" t="str">
        <f>IF(A187="","",IFERROR(IF(SUMIF(DB_Savings!$C:$C,A187,DB_Savings!$F:$F)=0,VLOOKUP(A187,DB_Customers!$A:$I,9,0),VLOOKUP(A187,DB_Customers!$A:$N,14,0)),"❌ Acct Not Found"))</f>
        <v/>
      </c>
      <c r="D187" s="78" t="str">
        <f t="shared" ca="1" si="15"/>
        <v/>
      </c>
      <c r="E187" s="79"/>
      <c r="F187" s="80" t="str">
        <f t="shared" si="16"/>
        <v/>
      </c>
      <c r="G187" s="39" t="s">
        <v>142</v>
      </c>
      <c r="H187" s="81"/>
      <c r="I187" s="82" t="str">
        <f>IF(A187="","Pending",IF(H187="","⚠️ Enter Agent Code",IF(IFERROR(VLOOKUP(G187,DB_Agents!$B:$I,8,0),"")=H187,IF(AND(A187&lt;&gt;"",E187&lt;&gt;""),"Saved","Pending"),"🔒 BLOCKED — Wrong Code")))</f>
        <v>Pending</v>
      </c>
      <c r="J187" s="83" t="str">
        <f t="shared" ca="1" si="17"/>
        <v>—</v>
      </c>
      <c r="K187" s="84"/>
    </row>
    <row r="188" spans="1:11" ht="15" customHeight="1" x14ac:dyDescent="0.25">
      <c r="A188" s="85"/>
      <c r="B188" s="41" t="str">
        <f>IF(A188="","",IFERROR(VLOOKUP(A188,DB_Customers!$A:$D,4,0),"❌ Account Not Found"))</f>
        <v/>
      </c>
      <c r="C188" s="86" t="str">
        <f>IF(A188="","",IFERROR(IF(SUMIF(DB_Savings!$C:$C,A188,DB_Savings!$F:$F)=0,VLOOKUP(A188,DB_Customers!$A:$I,9,0),VLOOKUP(A188,DB_Customers!$A:$N,14,0)),"❌ Acct Not Found"))</f>
        <v/>
      </c>
      <c r="D188" s="87" t="str">
        <f t="shared" ca="1" si="15"/>
        <v/>
      </c>
      <c r="E188" s="79"/>
      <c r="F188" s="88" t="str">
        <f t="shared" si="16"/>
        <v/>
      </c>
      <c r="G188" s="43" t="s">
        <v>142</v>
      </c>
      <c r="H188" s="81"/>
      <c r="I188" s="89" t="str">
        <f>IF(A188="","Pending",IF(H188="","⚠️ Enter Agent Code",IF(IFERROR(VLOOKUP(G188,DB_Agents!$B:$I,8,0),"")=H188,IF(AND(A188&lt;&gt;"",E188&lt;&gt;""),"Saved","Pending"),"🔒 BLOCKED — Wrong Code")))</f>
        <v>Pending</v>
      </c>
      <c r="J188" s="90" t="str">
        <f t="shared" ca="1" si="17"/>
        <v>—</v>
      </c>
      <c r="K188" s="91"/>
    </row>
    <row r="189" spans="1:11" ht="15" customHeight="1" x14ac:dyDescent="0.25">
      <c r="A189" s="76"/>
      <c r="B189" s="37" t="str">
        <f>IF(A189="","",IFERROR(VLOOKUP(A189,DB_Customers!$A:$D,4,0),"❌ Account Not Found"))</f>
        <v/>
      </c>
      <c r="C189" s="77" t="str">
        <f>IF(A189="","",IFERROR(IF(SUMIF(DB_Savings!$C:$C,A189,DB_Savings!$F:$F)=0,VLOOKUP(A189,DB_Customers!$A:$I,9,0),VLOOKUP(A189,DB_Customers!$A:$N,14,0)),"❌ Acct Not Found"))</f>
        <v/>
      </c>
      <c r="D189" s="78" t="str">
        <f t="shared" ca="1" si="15"/>
        <v/>
      </c>
      <c r="E189" s="79"/>
      <c r="F189" s="80" t="str">
        <f t="shared" si="16"/>
        <v/>
      </c>
      <c r="G189" s="39" t="s">
        <v>142</v>
      </c>
      <c r="H189" s="81"/>
      <c r="I189" s="82" t="str">
        <f>IF(A189="","Pending",IF(H189="","⚠️ Enter Agent Code",IF(IFERROR(VLOOKUP(G189,DB_Agents!$B:$I,8,0),"")=H189,IF(AND(A189&lt;&gt;"",E189&lt;&gt;""),"Saved","Pending"),"🔒 BLOCKED — Wrong Code")))</f>
        <v>Pending</v>
      </c>
      <c r="J189" s="83" t="str">
        <f t="shared" ca="1" si="17"/>
        <v>—</v>
      </c>
      <c r="K189" s="84"/>
    </row>
    <row r="190" spans="1:11" ht="15" customHeight="1" x14ac:dyDescent="0.25">
      <c r="A190" s="85"/>
      <c r="B190" s="41" t="str">
        <f>IF(A190="","",IFERROR(VLOOKUP(A190,DB_Customers!$A:$D,4,0),"❌ Account Not Found"))</f>
        <v/>
      </c>
      <c r="C190" s="86" t="str">
        <f>IF(A190="","",IFERROR(IF(SUMIF(DB_Savings!$C:$C,A190,DB_Savings!$F:$F)=0,VLOOKUP(A190,DB_Customers!$A:$I,9,0),VLOOKUP(A190,DB_Customers!$A:$N,14,0)),"❌ Acct Not Found"))</f>
        <v/>
      </c>
      <c r="D190" s="87" t="str">
        <f t="shared" ca="1" si="15"/>
        <v/>
      </c>
      <c r="E190" s="79"/>
      <c r="F190" s="88" t="str">
        <f t="shared" si="16"/>
        <v/>
      </c>
      <c r="G190" s="43" t="s">
        <v>142</v>
      </c>
      <c r="H190" s="81"/>
      <c r="I190" s="89" t="str">
        <f>IF(A190="","Pending",IF(H190="","⚠️ Enter Agent Code",IF(IFERROR(VLOOKUP(G190,DB_Agents!$B:$I,8,0),"")=H190,IF(AND(A190&lt;&gt;"",E190&lt;&gt;""),"Saved","Pending"),"🔒 BLOCKED — Wrong Code")))</f>
        <v>Pending</v>
      </c>
      <c r="J190" s="90" t="str">
        <f t="shared" ca="1" si="17"/>
        <v>—</v>
      </c>
      <c r="K190" s="91"/>
    </row>
    <row r="191" spans="1:11" ht="15" customHeight="1" x14ac:dyDescent="0.25">
      <c r="A191" s="76"/>
      <c r="B191" s="37" t="str">
        <f>IF(A191="","",IFERROR(VLOOKUP(A191,DB_Customers!$A:$D,4,0),"❌ Account Not Found"))</f>
        <v/>
      </c>
      <c r="C191" s="77" t="str">
        <f>IF(A191="","",IFERROR(IF(SUMIF(DB_Savings!$C:$C,A191,DB_Savings!$F:$F)=0,VLOOKUP(A191,DB_Customers!$A:$I,9,0),VLOOKUP(A191,DB_Customers!$A:$N,14,0)),"❌ Acct Not Found"))</f>
        <v/>
      </c>
      <c r="D191" s="78" t="str">
        <f t="shared" ca="1" si="15"/>
        <v/>
      </c>
      <c r="E191" s="79"/>
      <c r="F191" s="80" t="str">
        <f t="shared" si="16"/>
        <v/>
      </c>
      <c r="G191" s="39" t="s">
        <v>142</v>
      </c>
      <c r="H191" s="81"/>
      <c r="I191" s="82" t="str">
        <f>IF(A191="","Pending",IF(H191="","⚠️ Enter Agent Code",IF(IFERROR(VLOOKUP(G191,DB_Agents!$B:$I,8,0),"")=H191,IF(AND(A191&lt;&gt;"",E191&lt;&gt;""),"Saved","Pending"),"🔒 BLOCKED — Wrong Code")))</f>
        <v>Pending</v>
      </c>
      <c r="J191" s="83" t="str">
        <f t="shared" ca="1" si="17"/>
        <v>—</v>
      </c>
      <c r="K191" s="84"/>
    </row>
    <row r="192" spans="1:11" ht="15" customHeight="1" x14ac:dyDescent="0.25">
      <c r="A192" s="85"/>
      <c r="B192" s="41" t="str">
        <f>IF(A192="","",IFERROR(VLOOKUP(A192,DB_Customers!$A:$D,4,0),"❌ Account Not Found"))</f>
        <v/>
      </c>
      <c r="C192" s="86" t="str">
        <f>IF(A192="","",IFERROR(IF(SUMIF(DB_Savings!$C:$C,A192,DB_Savings!$F:$F)=0,VLOOKUP(A192,DB_Customers!$A:$I,9,0),VLOOKUP(A192,DB_Customers!$A:$N,14,0)),"❌ Acct Not Found"))</f>
        <v/>
      </c>
      <c r="D192" s="87" t="str">
        <f t="shared" ca="1" si="15"/>
        <v/>
      </c>
      <c r="E192" s="79"/>
      <c r="F192" s="88" t="str">
        <f t="shared" si="16"/>
        <v/>
      </c>
      <c r="G192" s="43" t="s">
        <v>142</v>
      </c>
      <c r="H192" s="81"/>
      <c r="I192" s="89" t="str">
        <f>IF(A192="","Pending",IF(H192="","⚠️ Enter Agent Code",IF(IFERROR(VLOOKUP(G192,DB_Agents!$B:$I,8,0),"")=H192,IF(AND(A192&lt;&gt;"",E192&lt;&gt;""),"Saved","Pending"),"🔒 BLOCKED — Wrong Code")))</f>
        <v>Pending</v>
      </c>
      <c r="J192" s="90" t="str">
        <f t="shared" ca="1" si="17"/>
        <v>—</v>
      </c>
      <c r="K192" s="91"/>
    </row>
    <row r="193" spans="1:11" ht="15" customHeight="1" x14ac:dyDescent="0.25">
      <c r="A193" s="76"/>
      <c r="B193" s="37" t="str">
        <f>IF(A193="","",IFERROR(VLOOKUP(A193,DB_Customers!$A:$D,4,0),"❌ Account Not Found"))</f>
        <v/>
      </c>
      <c r="C193" s="77" t="str">
        <f>IF(A193="","",IFERROR(IF(SUMIF(DB_Savings!$C:$C,A193,DB_Savings!$F:$F)=0,VLOOKUP(A193,DB_Customers!$A:$I,9,0),VLOOKUP(A193,DB_Customers!$A:$N,14,0)),"❌ Acct Not Found"))</f>
        <v/>
      </c>
      <c r="D193" s="78" t="str">
        <f t="shared" ca="1" si="15"/>
        <v/>
      </c>
      <c r="E193" s="79"/>
      <c r="F193" s="80" t="str">
        <f t="shared" si="16"/>
        <v/>
      </c>
      <c r="G193" s="39" t="s">
        <v>142</v>
      </c>
      <c r="H193" s="81"/>
      <c r="I193" s="82" t="str">
        <f>IF(A193="","Pending",IF(H193="","⚠️ Enter Agent Code",IF(IFERROR(VLOOKUP(G193,DB_Agents!$B:$I,8,0),"")=H193,IF(AND(A193&lt;&gt;"",E193&lt;&gt;""),"Saved","Pending"),"🔒 BLOCKED — Wrong Code")))</f>
        <v>Pending</v>
      </c>
      <c r="J193" s="83" t="str">
        <f t="shared" ca="1" si="17"/>
        <v>—</v>
      </c>
      <c r="K193" s="84"/>
    </row>
    <row r="194" spans="1:11" ht="15" customHeight="1" x14ac:dyDescent="0.25">
      <c r="A194" s="85"/>
      <c r="B194" s="41" t="str">
        <f>IF(A194="","",IFERROR(VLOOKUP(A194,DB_Customers!$A:$D,4,0),"❌ Account Not Found"))</f>
        <v/>
      </c>
      <c r="C194" s="86" t="str">
        <f>IF(A194="","",IFERROR(IF(SUMIF(DB_Savings!$C:$C,A194,DB_Savings!$F:$F)=0,VLOOKUP(A194,DB_Customers!$A:$I,9,0),VLOOKUP(A194,DB_Customers!$A:$N,14,0)),"❌ Acct Not Found"))</f>
        <v/>
      </c>
      <c r="D194" s="87" t="str">
        <f t="shared" ca="1" si="15"/>
        <v/>
      </c>
      <c r="E194" s="79"/>
      <c r="F194" s="88" t="str">
        <f t="shared" si="16"/>
        <v/>
      </c>
      <c r="G194" s="43" t="s">
        <v>142</v>
      </c>
      <c r="H194" s="81"/>
      <c r="I194" s="89" t="str">
        <f>IF(A194="","Pending",IF(H194="","⚠️ Enter Agent Code",IF(IFERROR(VLOOKUP(G194,DB_Agents!$B:$I,8,0),"")=H194,IF(AND(A194&lt;&gt;"",E194&lt;&gt;""),"Saved","Pending"),"🔒 BLOCKED — Wrong Code")))</f>
        <v>Pending</v>
      </c>
      <c r="J194" s="90" t="str">
        <f t="shared" ca="1" si="17"/>
        <v>—</v>
      </c>
      <c r="K194" s="91"/>
    </row>
    <row r="195" spans="1:11" ht="15" customHeight="1" x14ac:dyDescent="0.25">
      <c r="A195" s="76"/>
      <c r="B195" s="37" t="str">
        <f>IF(A195="","",IFERROR(VLOOKUP(A195,DB_Customers!$A:$D,4,0),"❌ Account Not Found"))</f>
        <v/>
      </c>
      <c r="C195" s="77" t="str">
        <f>IF(A195="","",IFERROR(IF(SUMIF(DB_Savings!$C:$C,A195,DB_Savings!$F:$F)=0,VLOOKUP(A195,DB_Customers!$A:$I,9,0),VLOOKUP(A195,DB_Customers!$A:$N,14,0)),"❌ Acct Not Found"))</f>
        <v/>
      </c>
      <c r="D195" s="78" t="str">
        <f t="shared" ca="1" si="15"/>
        <v/>
      </c>
      <c r="E195" s="79"/>
      <c r="F195" s="80" t="str">
        <f t="shared" si="16"/>
        <v/>
      </c>
      <c r="G195" s="39" t="s">
        <v>142</v>
      </c>
      <c r="H195" s="81"/>
      <c r="I195" s="82" t="str">
        <f>IF(A195="","Pending",IF(H195="","⚠️ Enter Agent Code",IF(IFERROR(VLOOKUP(G195,DB_Agents!$B:$I,8,0),"")=H195,IF(AND(A195&lt;&gt;"",E195&lt;&gt;""),"Saved","Pending"),"🔒 BLOCKED — Wrong Code")))</f>
        <v>Pending</v>
      </c>
      <c r="J195" s="83" t="str">
        <f t="shared" ca="1" si="17"/>
        <v>—</v>
      </c>
      <c r="K195" s="84"/>
    </row>
    <row r="196" spans="1:11" ht="15" customHeight="1" x14ac:dyDescent="0.25">
      <c r="A196" s="85"/>
      <c r="B196" s="41" t="str">
        <f>IF(A196="","",IFERROR(VLOOKUP(A196,DB_Customers!$A:$D,4,0),"❌ Account Not Found"))</f>
        <v/>
      </c>
      <c r="C196" s="86" t="str">
        <f>IF(A196="","",IFERROR(IF(SUMIF(DB_Savings!$C:$C,A196,DB_Savings!$F:$F)=0,VLOOKUP(A196,DB_Customers!$A:$I,9,0),VLOOKUP(A196,DB_Customers!$A:$N,14,0)),"❌ Acct Not Found"))</f>
        <v/>
      </c>
      <c r="D196" s="87" t="str">
        <f t="shared" ca="1" si="15"/>
        <v/>
      </c>
      <c r="E196" s="79"/>
      <c r="F196" s="88" t="str">
        <f t="shared" si="16"/>
        <v/>
      </c>
      <c r="G196" s="43" t="s">
        <v>142</v>
      </c>
      <c r="H196" s="81"/>
      <c r="I196" s="89" t="str">
        <f>IF(A196="","Pending",IF(H196="","⚠️ Enter Agent Code",IF(IFERROR(VLOOKUP(G196,DB_Agents!$B:$I,8,0),"")=H196,IF(AND(A196&lt;&gt;"",E196&lt;&gt;""),"Saved","Pending"),"🔒 BLOCKED — Wrong Code")))</f>
        <v>Pending</v>
      </c>
      <c r="J196" s="90" t="str">
        <f t="shared" ca="1" si="17"/>
        <v>—</v>
      </c>
      <c r="K196" s="91"/>
    </row>
    <row r="197" spans="1:11" ht="15" customHeight="1" x14ac:dyDescent="0.25">
      <c r="A197" s="76"/>
      <c r="B197" s="37" t="str">
        <f>IF(A197="","",IFERROR(VLOOKUP(A197,DB_Customers!$A:$D,4,0),"❌ Account Not Found"))</f>
        <v/>
      </c>
      <c r="C197" s="77" t="str">
        <f>IF(A197="","",IFERROR(IF(SUMIF(DB_Savings!$C:$C,A197,DB_Savings!$F:$F)=0,VLOOKUP(A197,DB_Customers!$A:$I,9,0),VLOOKUP(A197,DB_Customers!$A:$N,14,0)),"❌ Acct Not Found"))</f>
        <v/>
      </c>
      <c r="D197" s="78" t="str">
        <f t="shared" ca="1" si="15"/>
        <v/>
      </c>
      <c r="E197" s="79"/>
      <c r="F197" s="80" t="str">
        <f t="shared" si="16"/>
        <v/>
      </c>
      <c r="G197" s="39" t="s">
        <v>142</v>
      </c>
      <c r="H197" s="81"/>
      <c r="I197" s="82" t="str">
        <f>IF(A197="","Pending",IF(H197="","⚠️ Enter Agent Code",IF(IFERROR(VLOOKUP(G197,DB_Agents!$B:$I,8,0),"")=H197,IF(AND(A197&lt;&gt;"",E197&lt;&gt;""),"Saved","Pending"),"🔒 BLOCKED — Wrong Code")))</f>
        <v>Pending</v>
      </c>
      <c r="J197" s="83" t="str">
        <f t="shared" ca="1" si="17"/>
        <v>—</v>
      </c>
      <c r="K197" s="84"/>
    </row>
    <row r="198" spans="1:11" ht="15" customHeight="1" x14ac:dyDescent="0.25">
      <c r="A198" s="85"/>
      <c r="B198" s="41" t="str">
        <f>IF(A198="","",IFERROR(VLOOKUP(A198,DB_Customers!$A:$D,4,0),"❌ Account Not Found"))</f>
        <v/>
      </c>
      <c r="C198" s="86" t="str">
        <f>IF(A198="","",IFERROR(IF(SUMIF(DB_Savings!$C:$C,A198,DB_Savings!$F:$F)=0,VLOOKUP(A198,DB_Customers!$A:$I,9,0),VLOOKUP(A198,DB_Customers!$A:$N,14,0)),"❌ Acct Not Found"))</f>
        <v/>
      </c>
      <c r="D198" s="87" t="str">
        <f t="shared" ca="1" si="15"/>
        <v/>
      </c>
      <c r="E198" s="79"/>
      <c r="F198" s="88" t="str">
        <f t="shared" si="16"/>
        <v/>
      </c>
      <c r="G198" s="43" t="s">
        <v>142</v>
      </c>
      <c r="H198" s="81"/>
      <c r="I198" s="89" t="str">
        <f>IF(A198="","Pending",IF(H198="","⚠️ Enter Agent Code",IF(IFERROR(VLOOKUP(G198,DB_Agents!$B:$I,8,0),"")=H198,IF(AND(A198&lt;&gt;"",E198&lt;&gt;""),"Saved","Pending"),"🔒 BLOCKED — Wrong Code")))</f>
        <v>Pending</v>
      </c>
      <c r="J198" s="90" t="str">
        <f t="shared" ca="1" si="17"/>
        <v>—</v>
      </c>
      <c r="K198" s="91"/>
    </row>
    <row r="199" spans="1:11" ht="15" customHeight="1" x14ac:dyDescent="0.25">
      <c r="A199" s="76"/>
      <c r="B199" s="37" t="str">
        <f>IF(A199="","",IFERROR(VLOOKUP(A199,DB_Customers!$A:$D,4,0),"❌ Account Not Found"))</f>
        <v/>
      </c>
      <c r="C199" s="77" t="str">
        <f>IF(A199="","",IFERROR(IF(SUMIF(DB_Savings!$C:$C,A199,DB_Savings!$F:$F)=0,VLOOKUP(A199,DB_Customers!$A:$I,9,0),VLOOKUP(A199,DB_Customers!$A:$N,14,0)),"❌ Acct Not Found"))</f>
        <v/>
      </c>
      <c r="D199" s="78" t="str">
        <f t="shared" ca="1" si="15"/>
        <v/>
      </c>
      <c r="E199" s="79"/>
      <c r="F199" s="80" t="str">
        <f t="shared" si="16"/>
        <v/>
      </c>
      <c r="G199" s="39" t="s">
        <v>142</v>
      </c>
      <c r="H199" s="81"/>
      <c r="I199" s="82" t="str">
        <f>IF(A199="","Pending",IF(H199="","⚠️ Enter Agent Code",IF(IFERROR(VLOOKUP(G199,DB_Agents!$B:$I,8,0),"")=H199,IF(AND(A199&lt;&gt;"",E199&lt;&gt;""),"Saved","Pending"),"🔒 BLOCKED — Wrong Code")))</f>
        <v>Pending</v>
      </c>
      <c r="J199" s="83" t="str">
        <f t="shared" ca="1" si="17"/>
        <v>—</v>
      </c>
      <c r="K199" s="84"/>
    </row>
    <row r="200" spans="1:11" ht="15" customHeight="1" x14ac:dyDescent="0.25">
      <c r="A200" s="85"/>
      <c r="B200" s="41" t="str">
        <f>IF(A200="","",IFERROR(VLOOKUP(A200,DB_Customers!$A:$D,4,0),"❌ Account Not Found"))</f>
        <v/>
      </c>
      <c r="C200" s="86" t="str">
        <f>IF(A200="","",IFERROR(IF(SUMIF(DB_Savings!$C:$C,A200,DB_Savings!$F:$F)=0,VLOOKUP(A200,DB_Customers!$A:$I,9,0),VLOOKUP(A200,DB_Customers!$A:$N,14,0)),"❌ Acct Not Found"))</f>
        <v/>
      </c>
      <c r="D200" s="87" t="str">
        <f t="shared" ca="1" si="15"/>
        <v/>
      </c>
      <c r="E200" s="79"/>
      <c r="F200" s="88" t="str">
        <f t="shared" si="16"/>
        <v/>
      </c>
      <c r="G200" s="43" t="s">
        <v>142</v>
      </c>
      <c r="H200" s="81"/>
      <c r="I200" s="89" t="str">
        <f>IF(A200="","Pending",IF(H200="","⚠️ Enter Agent Code",IF(IFERROR(VLOOKUP(G200,DB_Agents!$B:$I,8,0),"")=H200,IF(AND(A200&lt;&gt;"",E200&lt;&gt;""),"Saved","Pending"),"🔒 BLOCKED — Wrong Code")))</f>
        <v>Pending</v>
      </c>
      <c r="J200" s="90" t="str">
        <f t="shared" ca="1" si="17"/>
        <v>—</v>
      </c>
      <c r="K200" s="91"/>
    </row>
    <row r="201" spans="1:11" ht="15" customHeight="1" x14ac:dyDescent="0.25">
      <c r="A201" s="76"/>
      <c r="B201" s="37" t="str">
        <f>IF(A201="","",IFERROR(VLOOKUP(A201,DB_Customers!$A:$D,4,0),"❌ Account Not Found"))</f>
        <v/>
      </c>
      <c r="C201" s="77" t="str">
        <f>IF(A201="","",IFERROR(IF(SUMIF(DB_Savings!$C:$C,A201,DB_Savings!$F:$F)=0,VLOOKUP(A201,DB_Customers!$A:$I,9,0),VLOOKUP(A201,DB_Customers!$A:$N,14,0)),"❌ Acct Not Found"))</f>
        <v/>
      </c>
      <c r="D201" s="78" t="str">
        <f t="shared" ref="D201:D208" ca="1" si="18">IF(A201="","",TODAY())</f>
        <v/>
      </c>
      <c r="E201" s="79"/>
      <c r="F201" s="80" t="str">
        <f t="shared" ref="F201:F208" si="19">IF(OR(A201="",E201=""),"",IF(C201="","",C201+E201))</f>
        <v/>
      </c>
      <c r="G201" s="39" t="s">
        <v>142</v>
      </c>
      <c r="H201" s="81"/>
      <c r="I201" s="82" t="str">
        <f>IF(A201="","Pending",IF(H201="","⚠️ Enter Agent Code",IF(IFERROR(VLOOKUP(G201,DB_Agents!$B:$I,8,0),"")=H201,IF(AND(A201&lt;&gt;"",E201&lt;&gt;""),"Saved","Pending"),"🔒 BLOCKED — Wrong Code")))</f>
        <v>Pending</v>
      </c>
      <c r="J201" s="83" t="str">
        <f t="shared" ref="J201:J208" ca="1" si="20">IF(I201="Saved",TEXT(TODAY(),"YYYY-MM-DD")&amp;" Auto","—")</f>
        <v>—</v>
      </c>
      <c r="K201" s="84"/>
    </row>
    <row r="202" spans="1:11" ht="15" customHeight="1" x14ac:dyDescent="0.25">
      <c r="A202" s="85"/>
      <c r="B202" s="41" t="str">
        <f>IF(A202="","",IFERROR(VLOOKUP(A202,DB_Customers!$A:$D,4,0),"❌ Account Not Found"))</f>
        <v/>
      </c>
      <c r="C202" s="86" t="str">
        <f>IF(A202="","",IFERROR(IF(SUMIF(DB_Savings!$C:$C,A202,DB_Savings!$F:$F)=0,VLOOKUP(A202,DB_Customers!$A:$I,9,0),VLOOKUP(A202,DB_Customers!$A:$N,14,0)),"❌ Acct Not Found"))</f>
        <v/>
      </c>
      <c r="D202" s="87" t="str">
        <f t="shared" ca="1" si="18"/>
        <v/>
      </c>
      <c r="E202" s="79"/>
      <c r="F202" s="88" t="str">
        <f t="shared" si="19"/>
        <v/>
      </c>
      <c r="G202" s="43" t="s">
        <v>142</v>
      </c>
      <c r="H202" s="81"/>
      <c r="I202" s="89" t="str">
        <f>IF(A202="","Pending",IF(H202="","⚠️ Enter Agent Code",IF(IFERROR(VLOOKUP(G202,DB_Agents!$B:$I,8,0),"")=H202,IF(AND(A202&lt;&gt;"",E202&lt;&gt;""),"Saved","Pending"),"🔒 BLOCKED — Wrong Code")))</f>
        <v>Pending</v>
      </c>
      <c r="J202" s="90" t="str">
        <f t="shared" ca="1" si="20"/>
        <v>—</v>
      </c>
      <c r="K202" s="91"/>
    </row>
    <row r="203" spans="1:11" ht="15" customHeight="1" x14ac:dyDescent="0.25">
      <c r="A203" s="76"/>
      <c r="B203" s="37" t="str">
        <f>IF(A203="","",IFERROR(VLOOKUP(A203,DB_Customers!$A:$D,4,0),"❌ Account Not Found"))</f>
        <v/>
      </c>
      <c r="C203" s="77" t="str">
        <f>IF(A203="","",IFERROR(IF(SUMIF(DB_Savings!$C:$C,A203,DB_Savings!$F:$F)=0,VLOOKUP(A203,DB_Customers!$A:$I,9,0),VLOOKUP(A203,DB_Customers!$A:$N,14,0)),"❌ Acct Not Found"))</f>
        <v/>
      </c>
      <c r="D203" s="78" t="str">
        <f t="shared" ca="1" si="18"/>
        <v/>
      </c>
      <c r="E203" s="79"/>
      <c r="F203" s="80" t="str">
        <f t="shared" si="19"/>
        <v/>
      </c>
      <c r="G203" s="39" t="s">
        <v>142</v>
      </c>
      <c r="H203" s="81"/>
      <c r="I203" s="82" t="str">
        <f>IF(A203="","Pending",IF(H203="","⚠️ Enter Agent Code",IF(IFERROR(VLOOKUP(G203,DB_Agents!$B:$I,8,0),"")=H203,IF(AND(A203&lt;&gt;"",E203&lt;&gt;""),"Saved","Pending"),"🔒 BLOCKED — Wrong Code")))</f>
        <v>Pending</v>
      </c>
      <c r="J203" s="83" t="str">
        <f t="shared" ca="1" si="20"/>
        <v>—</v>
      </c>
      <c r="K203" s="84"/>
    </row>
    <row r="204" spans="1:11" ht="15" customHeight="1" x14ac:dyDescent="0.25">
      <c r="A204" s="85"/>
      <c r="B204" s="41" t="str">
        <f>IF(A204="","",IFERROR(VLOOKUP(A204,DB_Customers!$A:$D,4,0),"❌ Account Not Found"))</f>
        <v/>
      </c>
      <c r="C204" s="86" t="str">
        <f>IF(A204="","",IFERROR(IF(SUMIF(DB_Savings!$C:$C,A204,DB_Savings!$F:$F)=0,VLOOKUP(A204,DB_Customers!$A:$I,9,0),VLOOKUP(A204,DB_Customers!$A:$N,14,0)),"❌ Acct Not Found"))</f>
        <v/>
      </c>
      <c r="D204" s="87" t="str">
        <f t="shared" ca="1" si="18"/>
        <v/>
      </c>
      <c r="E204" s="79"/>
      <c r="F204" s="88" t="str">
        <f t="shared" si="19"/>
        <v/>
      </c>
      <c r="G204" s="43" t="s">
        <v>142</v>
      </c>
      <c r="H204" s="81"/>
      <c r="I204" s="89" t="str">
        <f>IF(A204="","Pending",IF(H204="","⚠️ Enter Agent Code",IF(IFERROR(VLOOKUP(G204,DB_Agents!$B:$I,8,0),"")=H204,IF(AND(A204&lt;&gt;"",E204&lt;&gt;""),"Saved","Pending"),"🔒 BLOCKED — Wrong Code")))</f>
        <v>Pending</v>
      </c>
      <c r="J204" s="90" t="str">
        <f t="shared" ca="1" si="20"/>
        <v>—</v>
      </c>
      <c r="K204" s="91"/>
    </row>
    <row r="205" spans="1:11" ht="15" customHeight="1" x14ac:dyDescent="0.25">
      <c r="A205" s="76"/>
      <c r="B205" s="37" t="str">
        <f>IF(A205="","",IFERROR(VLOOKUP(A205,DB_Customers!$A:$D,4,0),"❌ Account Not Found"))</f>
        <v/>
      </c>
      <c r="C205" s="77" t="str">
        <f>IF(A205="","",IFERROR(IF(SUMIF(DB_Savings!$C:$C,A205,DB_Savings!$F:$F)=0,VLOOKUP(A205,DB_Customers!$A:$I,9,0),VLOOKUP(A205,DB_Customers!$A:$N,14,0)),"❌ Acct Not Found"))</f>
        <v/>
      </c>
      <c r="D205" s="78" t="str">
        <f t="shared" ca="1" si="18"/>
        <v/>
      </c>
      <c r="E205" s="79"/>
      <c r="F205" s="80" t="str">
        <f t="shared" si="19"/>
        <v/>
      </c>
      <c r="G205" s="39" t="s">
        <v>142</v>
      </c>
      <c r="H205" s="81"/>
      <c r="I205" s="82" t="str">
        <f>IF(A205="","Pending",IF(H205="","⚠️ Enter Agent Code",IF(IFERROR(VLOOKUP(G205,DB_Agents!$B:$I,8,0),"")=H205,IF(AND(A205&lt;&gt;"",E205&lt;&gt;""),"Saved","Pending"),"🔒 BLOCKED — Wrong Code")))</f>
        <v>Pending</v>
      </c>
      <c r="J205" s="83" t="str">
        <f t="shared" ca="1" si="20"/>
        <v>—</v>
      </c>
      <c r="K205" s="84"/>
    </row>
    <row r="206" spans="1:11" ht="15" customHeight="1" x14ac:dyDescent="0.25">
      <c r="A206" s="85"/>
      <c r="B206" s="41" t="str">
        <f>IF(A206="","",IFERROR(VLOOKUP(A206,DB_Customers!$A:$D,4,0),"❌ Account Not Found"))</f>
        <v/>
      </c>
      <c r="C206" s="86" t="str">
        <f>IF(A206="","",IFERROR(IF(SUMIF(DB_Savings!$C:$C,A206,DB_Savings!$F:$F)=0,VLOOKUP(A206,DB_Customers!$A:$I,9,0),VLOOKUP(A206,DB_Customers!$A:$N,14,0)),"❌ Acct Not Found"))</f>
        <v/>
      </c>
      <c r="D206" s="87" t="str">
        <f t="shared" ca="1" si="18"/>
        <v/>
      </c>
      <c r="E206" s="79"/>
      <c r="F206" s="88" t="str">
        <f t="shared" si="19"/>
        <v/>
      </c>
      <c r="G206" s="43" t="s">
        <v>142</v>
      </c>
      <c r="H206" s="81"/>
      <c r="I206" s="89" t="str">
        <f>IF(A206="","Pending",IF(H206="","⚠️ Enter Agent Code",IF(IFERROR(VLOOKUP(G206,DB_Agents!$B:$I,8,0),"")=H206,IF(AND(A206&lt;&gt;"",E206&lt;&gt;""),"Saved","Pending"),"🔒 BLOCKED — Wrong Code")))</f>
        <v>Pending</v>
      </c>
      <c r="J206" s="90" t="str">
        <f t="shared" ca="1" si="20"/>
        <v>—</v>
      </c>
      <c r="K206" s="91"/>
    </row>
    <row r="207" spans="1:11" ht="15" customHeight="1" x14ac:dyDescent="0.25">
      <c r="A207" s="76"/>
      <c r="B207" s="37" t="str">
        <f>IF(A207="","",IFERROR(VLOOKUP(A207,DB_Customers!$A:$D,4,0),"❌ Account Not Found"))</f>
        <v/>
      </c>
      <c r="C207" s="77" t="str">
        <f>IF(A207="","",IFERROR(IF(SUMIF(DB_Savings!$C:$C,A207,DB_Savings!$F:$F)=0,VLOOKUP(A207,DB_Customers!$A:$I,9,0),VLOOKUP(A207,DB_Customers!$A:$N,14,0)),"❌ Acct Not Found"))</f>
        <v/>
      </c>
      <c r="D207" s="78" t="str">
        <f t="shared" ca="1" si="18"/>
        <v/>
      </c>
      <c r="E207" s="79"/>
      <c r="F207" s="80" t="str">
        <f t="shared" si="19"/>
        <v/>
      </c>
      <c r="G207" s="39" t="s">
        <v>142</v>
      </c>
      <c r="H207" s="81"/>
      <c r="I207" s="82" t="str">
        <f>IF(A207="","Pending",IF(H207="","⚠️ Enter Agent Code",IF(IFERROR(VLOOKUP(G207,DB_Agents!$B:$I,8,0),"")=H207,IF(AND(A207&lt;&gt;"",E207&lt;&gt;""),"Saved","Pending"),"🔒 BLOCKED — Wrong Code")))</f>
        <v>Pending</v>
      </c>
      <c r="J207" s="83" t="str">
        <f t="shared" ca="1" si="20"/>
        <v>—</v>
      </c>
      <c r="K207" s="84"/>
    </row>
    <row r="208" spans="1:11" ht="15" customHeight="1" x14ac:dyDescent="0.25">
      <c r="A208" s="85"/>
      <c r="B208" s="41" t="str">
        <f>IF(A208="","",IFERROR(VLOOKUP(A208,DB_Customers!$A:$D,4,0),"❌ Account Not Found"))</f>
        <v/>
      </c>
      <c r="C208" s="86" t="str">
        <f>IF(A208="","",IFERROR(IF(SUMIF(DB_Savings!$C:$C,A208,DB_Savings!$F:$F)=0,VLOOKUP(A208,DB_Customers!$A:$I,9,0),VLOOKUP(A208,DB_Customers!$A:$N,14,0)),"❌ Acct Not Found"))</f>
        <v/>
      </c>
      <c r="D208" s="87" t="str">
        <f t="shared" ca="1" si="18"/>
        <v/>
      </c>
      <c r="E208" s="79"/>
      <c r="F208" s="88" t="str">
        <f t="shared" si="19"/>
        <v/>
      </c>
      <c r="G208" s="43" t="s">
        <v>142</v>
      </c>
      <c r="H208" s="81"/>
      <c r="I208" s="89" t="str">
        <f>IF(A208="","Pending",IF(H208="","⚠️ Enter Agent Code",IF(IFERROR(VLOOKUP(G208,DB_Agents!$B:$I,8,0),"")=H208,IF(AND(A208&lt;&gt;"",E208&lt;&gt;""),"Saved","Pending"),"🔒 BLOCKED — Wrong Code")))</f>
        <v>Pending</v>
      </c>
      <c r="J208" s="90" t="str">
        <f t="shared" ca="1" si="20"/>
        <v>—</v>
      </c>
      <c r="K208" s="91"/>
    </row>
  </sheetData>
  <mergeCells count="12">
    <mergeCell ref="A2:L2"/>
    <mergeCell ref="A7:L7"/>
    <mergeCell ref="A1:L1"/>
    <mergeCell ref="A5:L5"/>
    <mergeCell ref="D4:F4"/>
    <mergeCell ref="G4:I4"/>
    <mergeCell ref="A3:C3"/>
    <mergeCell ref="J4:L4"/>
    <mergeCell ref="D3:F3"/>
    <mergeCell ref="G3:I3"/>
    <mergeCell ref="A4:C4"/>
    <mergeCell ref="J3:L3"/>
  </mergeCells>
  <conditionalFormatting sqref="H9:H208">
    <cfRule type="cellIs" dxfId="12" priority="2" operator="equal">
      <formula>"Saved"</formula>
    </cfRule>
    <cfRule type="cellIs" dxfId="11" priority="3" operator="equal">
      <formula>"Pending"</formula>
    </cfRule>
  </conditionalFormatting>
  <conditionalFormatting sqref="A9:J208">
    <cfRule type="expression" dxfId="10" priority="4">
      <formula>$H9="Saved"</formula>
    </cfRule>
  </conditionalFormatting>
  <dataValidations count="2">
    <dataValidation type="decimal" operator="greaterThan" showErrorMessage="1" error="Must be &gt; 0" sqref="E9:E208" xr:uid="{00000000-0002-0000-2400-000000000000}">
      <formula1>0</formula1>
      <formula2>0</formula2>
    </dataValidation>
    <dataValidation type="list" sqref="G9:G208" xr:uid="{00000000-0002-0000-24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367" t="s">
        <v>385</v>
      </c>
      <c r="B1" s="265"/>
      <c r="C1" s="265"/>
      <c r="D1" s="265"/>
      <c r="E1" s="265"/>
      <c r="F1" s="265"/>
      <c r="G1" s="265"/>
      <c r="H1" s="265"/>
      <c r="I1" s="265"/>
      <c r="J1" s="265"/>
      <c r="K1" s="265"/>
      <c r="L1" s="265"/>
      <c r="M1" s="265"/>
    </row>
    <row r="2" spans="1:13" ht="19.5" customHeight="1" x14ac:dyDescent="0.25">
      <c r="A2" s="366" t="s">
        <v>386</v>
      </c>
      <c r="B2" s="265"/>
      <c r="C2" s="265"/>
      <c r="D2" s="265"/>
      <c r="E2" s="265"/>
      <c r="F2" s="265"/>
      <c r="G2" s="265"/>
      <c r="H2" s="265"/>
      <c r="I2" s="265"/>
      <c r="J2" s="265"/>
      <c r="K2" s="265"/>
      <c r="L2" s="265"/>
      <c r="M2" s="265"/>
    </row>
    <row r="3" spans="1:13" ht="18" customHeight="1" x14ac:dyDescent="0.25">
      <c r="A3" s="328" t="s">
        <v>324</v>
      </c>
      <c r="B3" s="265"/>
      <c r="C3" s="265"/>
      <c r="D3" s="323" t="s">
        <v>325</v>
      </c>
      <c r="E3" s="265"/>
      <c r="F3" s="265"/>
      <c r="G3" s="35" t="s">
        <v>326</v>
      </c>
      <c r="K3" s="66" t="s">
        <v>313</v>
      </c>
    </row>
    <row r="4" spans="1:13" ht="27.75" customHeight="1" x14ac:dyDescent="0.25">
      <c r="A4" s="365">
        <f ca="1">SUMIFS(DB_Withdrawals!$G:$G,DB_Withdrawals!$J:$J,"Agent 10",DB_Withdrawals!$F:$F,TODAY())</f>
        <v>0</v>
      </c>
      <c r="B4" s="265"/>
      <c r="C4" s="265"/>
      <c r="D4" s="369">
        <f ca="1">COUNTIFS(DB_Withdrawals!$J:$J,"Agent 10",DB_Withdrawals!$K:$K,"Successful",DB_Withdrawals!$F:$F,TODAY())</f>
        <v>0</v>
      </c>
      <c r="E4" s="265"/>
      <c r="F4" s="265"/>
      <c r="G4" s="92">
        <f ca="1">COUNTIFS(DB_Withdrawals!$J:$J,"Agent 10",DB_Withdrawals!$K:$K,"Unsuccessful",DB_Withdrawals!$F:$F,TODAY())</f>
        <v>0</v>
      </c>
      <c r="K4" s="74" t="str">
        <f ca="1">TEXT(TODAY(),"DD MMM YYYY")</f>
        <v>24 Apr 2026</v>
      </c>
    </row>
    <row r="5" spans="1:13" ht="19.5" customHeight="1" x14ac:dyDescent="0.25">
      <c r="A5" s="368" t="s">
        <v>327</v>
      </c>
      <c r="B5" s="265"/>
      <c r="C5" s="265"/>
      <c r="D5" s="265"/>
      <c r="E5" s="265"/>
      <c r="F5" s="265"/>
      <c r="G5" s="265"/>
      <c r="H5" s="265"/>
      <c r="I5" s="265"/>
      <c r="J5" s="265"/>
      <c r="K5" s="265"/>
      <c r="L5" s="265"/>
      <c r="M5" s="265"/>
    </row>
    <row r="6" spans="1:13" ht="7.5" customHeight="1" x14ac:dyDescent="0.25"/>
    <row r="7" spans="1:13" ht="19.5" customHeight="1" x14ac:dyDescent="0.25">
      <c r="A7" s="364" t="s">
        <v>328</v>
      </c>
      <c r="B7" s="265"/>
      <c r="C7" s="265"/>
      <c r="D7" s="265"/>
      <c r="E7" s="265"/>
      <c r="F7" s="265"/>
      <c r="G7" s="265"/>
      <c r="H7" s="265"/>
      <c r="I7" s="265"/>
      <c r="J7" s="265"/>
      <c r="K7" s="265"/>
      <c r="L7" s="265"/>
      <c r="M7" s="265"/>
    </row>
    <row r="8" spans="1:13" ht="19.5" customHeight="1" x14ac:dyDescent="0.25">
      <c r="A8" s="93" t="s">
        <v>315</v>
      </c>
      <c r="B8" s="93" t="s">
        <v>77</v>
      </c>
      <c r="C8" s="93" t="s">
        <v>329</v>
      </c>
      <c r="D8" s="93" t="s">
        <v>78</v>
      </c>
      <c r="E8" s="93" t="s">
        <v>330</v>
      </c>
      <c r="F8" s="93" t="s">
        <v>331</v>
      </c>
      <c r="G8" s="93" t="s">
        <v>318</v>
      </c>
      <c r="H8" s="93" t="s">
        <v>14</v>
      </c>
      <c r="I8" s="75" t="s">
        <v>319</v>
      </c>
      <c r="J8" s="93" t="s">
        <v>13</v>
      </c>
      <c r="K8" s="93" t="s">
        <v>320</v>
      </c>
      <c r="L8" s="93" t="s">
        <v>321</v>
      </c>
    </row>
    <row r="9" spans="1:13" ht="15" customHeight="1" x14ac:dyDescent="0.25">
      <c r="A9" s="76"/>
      <c r="B9" s="37" t="str">
        <f>IF(A9="","",IFERROR(VLOOKUP(A9,DB_Customers!$A:$D,4,0),"❌ Account Not Found"))</f>
        <v/>
      </c>
      <c r="C9" s="77" t="str">
        <f>IF(A9="","",IFERROR(VLOOKUP(A9,DB_Customers!$A:$N,14,0),"❌ Acct Not Found"))</f>
        <v/>
      </c>
      <c r="D9" s="78" t="str">
        <f t="shared" ref="D9:D40" ca="1" si="0">IF(A9="","",TODAY())</f>
        <v/>
      </c>
      <c r="E9" s="94"/>
      <c r="F9" s="37"/>
      <c r="G9" s="95" t="str">
        <f t="shared" ref="G9:G40" si="1">IF(OR(A9="",E9=""),"",IF(C9="","",C9-E9))</f>
        <v/>
      </c>
      <c r="H9" s="39" t="s">
        <v>142</v>
      </c>
      <c r="I9" s="81"/>
      <c r="J9" s="82" t="str">
        <f>IF(AND(A9&lt;&gt;"",E9&lt;&gt;""),IF(I9="","⚠️ Enter Code",IF(IFERROR(VLOOKUP(H9,DB_Agents!$B:$I,8,0),"")=I9,IF(C9&gt;=E9,"Successful","Unsuccessful"),"🔒 BLOCKED — Wrong Code")),"Pending")</f>
        <v>Pending</v>
      </c>
      <c r="K9" s="83" t="str">
        <f t="shared" ref="K9:K40" ca="1" si="2">IF(J9="Successful",TEXT(TODAY(),"YYYY-MM-DD")&amp;" Auto","—")</f>
        <v>—</v>
      </c>
      <c r="L9" s="84"/>
    </row>
    <row r="10" spans="1:13" ht="15" customHeight="1" x14ac:dyDescent="0.25">
      <c r="A10" s="85"/>
      <c r="B10" s="41" t="str">
        <f>IF(A10="","",IFERROR(VLOOKUP(A10,DB_Customers!$A:$D,4,0),"❌ Account Not Found"))</f>
        <v/>
      </c>
      <c r="C10" s="86" t="str">
        <f>IF(A10="","",IFERROR(VLOOKUP(A10,DB_Customers!$A:$N,14,0),"❌ Acct Not Found"))</f>
        <v/>
      </c>
      <c r="D10" s="87" t="str">
        <f t="shared" ca="1" si="0"/>
        <v/>
      </c>
      <c r="E10" s="94"/>
      <c r="F10" s="41"/>
      <c r="G10" s="96" t="str">
        <f t="shared" si="1"/>
        <v/>
      </c>
      <c r="H10" s="43" t="s">
        <v>142</v>
      </c>
      <c r="I10" s="81"/>
      <c r="J10" s="89" t="str">
        <f>IF(AND(A10&lt;&gt;"",E10&lt;&gt;""),IF(I10="","⚠️ Enter Code",IF(IFERROR(VLOOKUP(H10,DB_Agents!$B:$I,8,0),"")=I10,IF(C10&gt;=E10,"Successful","Unsuccessful"),"🔒 BLOCKED — Wrong Code")),"Pending")</f>
        <v>Pending</v>
      </c>
      <c r="K10" s="90" t="str">
        <f t="shared" ca="1" si="2"/>
        <v>—</v>
      </c>
      <c r="L10" s="91"/>
    </row>
    <row r="11" spans="1:13" ht="15" customHeight="1" x14ac:dyDescent="0.25">
      <c r="A11" s="76"/>
      <c r="B11" s="37" t="str">
        <f>IF(A11="","",IFERROR(VLOOKUP(A11,DB_Customers!$A:$D,4,0),"❌ Account Not Found"))</f>
        <v/>
      </c>
      <c r="C11" s="77" t="str">
        <f>IF(A11="","",IFERROR(VLOOKUP(A11,DB_Customers!$A:$N,14,0),"❌ Acct Not Found"))</f>
        <v/>
      </c>
      <c r="D11" s="78" t="str">
        <f t="shared" ca="1" si="0"/>
        <v/>
      </c>
      <c r="E11" s="94"/>
      <c r="F11" s="37"/>
      <c r="G11" s="95" t="str">
        <f t="shared" si="1"/>
        <v/>
      </c>
      <c r="H11" s="39" t="s">
        <v>142</v>
      </c>
      <c r="I11" s="81"/>
      <c r="J11" s="82" t="str">
        <f>IF(AND(A11&lt;&gt;"",E11&lt;&gt;""),IF(I11="","⚠️ Enter Code",IF(IFERROR(VLOOKUP(H11,DB_Agents!$B:$I,8,0),"")=I11,IF(C11&gt;=E11,"Successful","Unsuccessful"),"🔒 BLOCKED — Wrong Code")),"Pending")</f>
        <v>Pending</v>
      </c>
      <c r="K11" s="83" t="str">
        <f t="shared" ca="1" si="2"/>
        <v>—</v>
      </c>
      <c r="L11" s="84"/>
    </row>
    <row r="12" spans="1:13" ht="15" customHeight="1" x14ac:dyDescent="0.25">
      <c r="A12" s="85"/>
      <c r="B12" s="41" t="str">
        <f>IF(A12="","",IFERROR(VLOOKUP(A12,DB_Customers!$A:$D,4,0),"❌ Account Not Found"))</f>
        <v/>
      </c>
      <c r="C12" s="86" t="str">
        <f>IF(A12="","",IFERROR(VLOOKUP(A12,DB_Customers!$A:$N,14,0),"❌ Acct Not Found"))</f>
        <v/>
      </c>
      <c r="D12" s="87" t="str">
        <f t="shared" ca="1" si="0"/>
        <v/>
      </c>
      <c r="E12" s="94"/>
      <c r="F12" s="41"/>
      <c r="G12" s="96" t="str">
        <f t="shared" si="1"/>
        <v/>
      </c>
      <c r="H12" s="43" t="s">
        <v>142</v>
      </c>
      <c r="I12" s="81"/>
      <c r="J12" s="89" t="str">
        <f>IF(AND(A12&lt;&gt;"",E12&lt;&gt;""),IF(I12="","⚠️ Enter Code",IF(IFERROR(VLOOKUP(H12,DB_Agents!$B:$I,8,0),"")=I12,IF(C12&gt;=E12,"Successful","Unsuccessful"),"🔒 BLOCKED — Wrong Code")),"Pending")</f>
        <v>Pending</v>
      </c>
      <c r="K12" s="90" t="str">
        <f t="shared" ca="1" si="2"/>
        <v>—</v>
      </c>
      <c r="L12" s="91"/>
    </row>
    <row r="13" spans="1:13" ht="15" customHeight="1" x14ac:dyDescent="0.25">
      <c r="A13" s="76"/>
      <c r="B13" s="37" t="str">
        <f>IF(A13="","",IFERROR(VLOOKUP(A13,DB_Customers!$A:$D,4,0),"❌ Account Not Found"))</f>
        <v/>
      </c>
      <c r="C13" s="77" t="str">
        <f>IF(A13="","",IFERROR(VLOOKUP(A13,DB_Customers!$A:$N,14,0),"❌ Acct Not Found"))</f>
        <v/>
      </c>
      <c r="D13" s="78" t="str">
        <f t="shared" ca="1" si="0"/>
        <v/>
      </c>
      <c r="E13" s="94"/>
      <c r="F13" s="37"/>
      <c r="G13" s="95" t="str">
        <f t="shared" si="1"/>
        <v/>
      </c>
      <c r="H13" s="39" t="s">
        <v>142</v>
      </c>
      <c r="I13" s="81"/>
      <c r="J13" s="82" t="str">
        <f>IF(AND(A13&lt;&gt;"",E13&lt;&gt;""),IF(I13="","⚠️ Enter Code",IF(IFERROR(VLOOKUP(H13,DB_Agents!$B:$I,8,0),"")=I13,IF(C13&gt;=E13,"Successful","Unsuccessful"),"🔒 BLOCKED — Wrong Code")),"Pending")</f>
        <v>Pending</v>
      </c>
      <c r="K13" s="83" t="str">
        <f t="shared" ca="1" si="2"/>
        <v>—</v>
      </c>
      <c r="L13" s="84"/>
    </row>
    <row r="14" spans="1:13" ht="15" customHeight="1" x14ac:dyDescent="0.25">
      <c r="A14" s="85"/>
      <c r="B14" s="41" t="str">
        <f>IF(A14="","",IFERROR(VLOOKUP(A14,DB_Customers!$A:$D,4,0),"❌ Account Not Found"))</f>
        <v/>
      </c>
      <c r="C14" s="86" t="str">
        <f>IF(A14="","",IFERROR(VLOOKUP(A14,DB_Customers!$A:$N,14,0),"❌ Acct Not Found"))</f>
        <v/>
      </c>
      <c r="D14" s="87" t="str">
        <f t="shared" ca="1" si="0"/>
        <v/>
      </c>
      <c r="E14" s="94"/>
      <c r="F14" s="41"/>
      <c r="G14" s="96" t="str">
        <f t="shared" si="1"/>
        <v/>
      </c>
      <c r="H14" s="43" t="s">
        <v>142</v>
      </c>
      <c r="I14" s="81"/>
      <c r="J14" s="89" t="str">
        <f>IF(AND(A14&lt;&gt;"",E14&lt;&gt;""),IF(I14="","⚠️ Enter Code",IF(IFERROR(VLOOKUP(H14,DB_Agents!$B:$I,8,0),"")=I14,IF(C14&gt;=E14,"Successful","Unsuccessful"),"🔒 BLOCKED — Wrong Code")),"Pending")</f>
        <v>Pending</v>
      </c>
      <c r="K14" s="90" t="str">
        <f t="shared" ca="1" si="2"/>
        <v>—</v>
      </c>
      <c r="L14" s="91"/>
    </row>
    <row r="15" spans="1:13" ht="15" customHeight="1" x14ac:dyDescent="0.25">
      <c r="A15" s="76"/>
      <c r="B15" s="37" t="str">
        <f>IF(A15="","",IFERROR(VLOOKUP(A15,DB_Customers!$A:$D,4,0),"❌ Account Not Found"))</f>
        <v/>
      </c>
      <c r="C15" s="77" t="str">
        <f>IF(A15="","",IFERROR(VLOOKUP(A15,DB_Customers!$A:$N,14,0),"❌ Acct Not Found"))</f>
        <v/>
      </c>
      <c r="D15" s="78" t="str">
        <f t="shared" ca="1" si="0"/>
        <v/>
      </c>
      <c r="E15" s="94"/>
      <c r="F15" s="37"/>
      <c r="G15" s="95" t="str">
        <f t="shared" si="1"/>
        <v/>
      </c>
      <c r="H15" s="39" t="s">
        <v>142</v>
      </c>
      <c r="I15" s="81"/>
      <c r="J15" s="82" t="str">
        <f>IF(AND(A15&lt;&gt;"",E15&lt;&gt;""),IF(I15="","⚠️ Enter Code",IF(IFERROR(VLOOKUP(H15,DB_Agents!$B:$I,8,0),"")=I15,IF(C15&gt;=E15,"Successful","Unsuccessful"),"🔒 BLOCKED — Wrong Code")),"Pending")</f>
        <v>Pending</v>
      </c>
      <c r="K15" s="83" t="str">
        <f t="shared" ca="1" si="2"/>
        <v>—</v>
      </c>
      <c r="L15" s="84"/>
    </row>
    <row r="16" spans="1:13" ht="15" customHeight="1" x14ac:dyDescent="0.25">
      <c r="A16" s="85"/>
      <c r="B16" s="41" t="str">
        <f>IF(A16="","",IFERROR(VLOOKUP(A16,DB_Customers!$A:$D,4,0),"❌ Account Not Found"))</f>
        <v/>
      </c>
      <c r="C16" s="86" t="str">
        <f>IF(A16="","",IFERROR(VLOOKUP(A16,DB_Customers!$A:$N,14,0),"❌ Acct Not Found"))</f>
        <v/>
      </c>
      <c r="D16" s="87" t="str">
        <f t="shared" ca="1" si="0"/>
        <v/>
      </c>
      <c r="E16" s="94"/>
      <c r="F16" s="41"/>
      <c r="G16" s="96" t="str">
        <f t="shared" si="1"/>
        <v/>
      </c>
      <c r="H16" s="43" t="s">
        <v>142</v>
      </c>
      <c r="I16" s="81"/>
      <c r="J16" s="89" t="str">
        <f>IF(AND(A16&lt;&gt;"",E16&lt;&gt;""),IF(I16="","⚠️ Enter Code",IF(IFERROR(VLOOKUP(H16,DB_Agents!$B:$I,8,0),"")=I16,IF(C16&gt;=E16,"Successful","Unsuccessful"),"🔒 BLOCKED — Wrong Code")),"Pending")</f>
        <v>Pending</v>
      </c>
      <c r="K16" s="90" t="str">
        <f t="shared" ca="1" si="2"/>
        <v>—</v>
      </c>
      <c r="L16" s="91"/>
    </row>
    <row r="17" spans="1:12" ht="15" customHeight="1" x14ac:dyDescent="0.25">
      <c r="A17" s="76"/>
      <c r="B17" s="37" t="str">
        <f>IF(A17="","",IFERROR(VLOOKUP(A17,DB_Customers!$A:$D,4,0),"❌ Account Not Found"))</f>
        <v/>
      </c>
      <c r="C17" s="77" t="str">
        <f>IF(A17="","",IFERROR(VLOOKUP(A17,DB_Customers!$A:$N,14,0),"❌ Acct Not Found"))</f>
        <v/>
      </c>
      <c r="D17" s="78" t="str">
        <f t="shared" ca="1" si="0"/>
        <v/>
      </c>
      <c r="E17" s="94"/>
      <c r="F17" s="37"/>
      <c r="G17" s="95" t="str">
        <f t="shared" si="1"/>
        <v/>
      </c>
      <c r="H17" s="39" t="s">
        <v>142</v>
      </c>
      <c r="I17" s="81"/>
      <c r="J17" s="82" t="str">
        <f>IF(AND(A17&lt;&gt;"",E17&lt;&gt;""),IF(I17="","⚠️ Enter Code",IF(IFERROR(VLOOKUP(H17,DB_Agents!$B:$I,8,0),"")=I17,IF(C17&gt;=E17,"Successful","Unsuccessful"),"🔒 BLOCKED — Wrong Code")),"Pending")</f>
        <v>Pending</v>
      </c>
      <c r="K17" s="83" t="str">
        <f t="shared" ca="1" si="2"/>
        <v>—</v>
      </c>
      <c r="L17" s="84"/>
    </row>
    <row r="18" spans="1:12" ht="15" customHeight="1" x14ac:dyDescent="0.25">
      <c r="A18" s="85"/>
      <c r="B18" s="41" t="str">
        <f>IF(A18="","",IFERROR(VLOOKUP(A18,DB_Customers!$A:$D,4,0),"❌ Account Not Found"))</f>
        <v/>
      </c>
      <c r="C18" s="86" t="str">
        <f>IF(A18="","",IFERROR(VLOOKUP(A18,DB_Customers!$A:$N,14,0),"❌ Acct Not Found"))</f>
        <v/>
      </c>
      <c r="D18" s="87" t="str">
        <f t="shared" ca="1" si="0"/>
        <v/>
      </c>
      <c r="E18" s="94"/>
      <c r="F18" s="41"/>
      <c r="G18" s="96" t="str">
        <f t="shared" si="1"/>
        <v/>
      </c>
      <c r="H18" s="43" t="s">
        <v>142</v>
      </c>
      <c r="I18" s="81"/>
      <c r="J18" s="89" t="str">
        <f>IF(AND(A18&lt;&gt;"",E18&lt;&gt;""),IF(I18="","⚠️ Enter Code",IF(IFERROR(VLOOKUP(H18,DB_Agents!$B:$I,8,0),"")=I18,IF(C18&gt;=E18,"Successful","Unsuccessful"),"🔒 BLOCKED — Wrong Code")),"Pending")</f>
        <v>Pending</v>
      </c>
      <c r="K18" s="90" t="str">
        <f t="shared" ca="1" si="2"/>
        <v>—</v>
      </c>
      <c r="L18" s="91"/>
    </row>
    <row r="19" spans="1:12" ht="15" customHeight="1" x14ac:dyDescent="0.25">
      <c r="A19" s="76"/>
      <c r="B19" s="37" t="str">
        <f>IF(A19="","",IFERROR(VLOOKUP(A19,DB_Customers!$A:$D,4,0),"❌ Account Not Found"))</f>
        <v/>
      </c>
      <c r="C19" s="77" t="str">
        <f>IF(A19="","",IFERROR(VLOOKUP(A19,DB_Customers!$A:$N,14,0),"❌ Acct Not Found"))</f>
        <v/>
      </c>
      <c r="D19" s="78" t="str">
        <f t="shared" ca="1" si="0"/>
        <v/>
      </c>
      <c r="E19" s="94"/>
      <c r="F19" s="37"/>
      <c r="G19" s="95" t="str">
        <f t="shared" si="1"/>
        <v/>
      </c>
      <c r="H19" s="39" t="s">
        <v>142</v>
      </c>
      <c r="I19" s="81"/>
      <c r="J19" s="82" t="str">
        <f>IF(AND(A19&lt;&gt;"",E19&lt;&gt;""),IF(I19="","⚠️ Enter Code",IF(IFERROR(VLOOKUP(H19,DB_Agents!$B:$I,8,0),"")=I19,IF(C19&gt;=E19,"Successful","Unsuccessful"),"🔒 BLOCKED — Wrong Code")),"Pending")</f>
        <v>Pending</v>
      </c>
      <c r="K19" s="83" t="str">
        <f t="shared" ca="1" si="2"/>
        <v>—</v>
      </c>
      <c r="L19" s="84"/>
    </row>
    <row r="20" spans="1:12" ht="15" customHeight="1" x14ac:dyDescent="0.25">
      <c r="A20" s="85"/>
      <c r="B20" s="41" t="str">
        <f>IF(A20="","",IFERROR(VLOOKUP(A20,DB_Customers!$A:$D,4,0),"❌ Account Not Found"))</f>
        <v/>
      </c>
      <c r="C20" s="86" t="str">
        <f>IF(A20="","",IFERROR(VLOOKUP(A20,DB_Customers!$A:$N,14,0),"❌ Acct Not Found"))</f>
        <v/>
      </c>
      <c r="D20" s="87" t="str">
        <f t="shared" ca="1" si="0"/>
        <v/>
      </c>
      <c r="E20" s="94"/>
      <c r="F20" s="41"/>
      <c r="G20" s="96" t="str">
        <f t="shared" si="1"/>
        <v/>
      </c>
      <c r="H20" s="43" t="s">
        <v>142</v>
      </c>
      <c r="I20" s="81"/>
      <c r="J20" s="89" t="str">
        <f>IF(AND(A20&lt;&gt;"",E20&lt;&gt;""),IF(I20="","⚠️ Enter Code",IF(IFERROR(VLOOKUP(H20,DB_Agents!$B:$I,8,0),"")=I20,IF(C20&gt;=E20,"Successful","Unsuccessful"),"🔒 BLOCKED — Wrong Code")),"Pending")</f>
        <v>Pending</v>
      </c>
      <c r="K20" s="90" t="str">
        <f t="shared" ca="1" si="2"/>
        <v>—</v>
      </c>
      <c r="L20" s="91"/>
    </row>
    <row r="21" spans="1:12" ht="15" customHeight="1" x14ac:dyDescent="0.25">
      <c r="A21" s="76"/>
      <c r="B21" s="37" t="str">
        <f>IF(A21="","",IFERROR(VLOOKUP(A21,DB_Customers!$A:$D,4,0),"❌ Account Not Found"))</f>
        <v/>
      </c>
      <c r="C21" s="77" t="str">
        <f>IF(A21="","",IFERROR(VLOOKUP(A21,DB_Customers!$A:$N,14,0),"❌ Acct Not Found"))</f>
        <v/>
      </c>
      <c r="D21" s="78" t="str">
        <f t="shared" ca="1" si="0"/>
        <v/>
      </c>
      <c r="E21" s="94"/>
      <c r="F21" s="37"/>
      <c r="G21" s="95" t="str">
        <f t="shared" si="1"/>
        <v/>
      </c>
      <c r="H21" s="39" t="s">
        <v>142</v>
      </c>
      <c r="I21" s="81"/>
      <c r="J21" s="82" t="str">
        <f>IF(AND(A21&lt;&gt;"",E21&lt;&gt;""),IF(I21="","⚠️ Enter Code",IF(IFERROR(VLOOKUP(H21,DB_Agents!$B:$I,8,0),"")=I21,IF(C21&gt;=E21,"Successful","Unsuccessful"),"🔒 BLOCKED — Wrong Code")),"Pending")</f>
        <v>Pending</v>
      </c>
      <c r="K21" s="83" t="str">
        <f t="shared" ca="1" si="2"/>
        <v>—</v>
      </c>
      <c r="L21" s="84"/>
    </row>
    <row r="22" spans="1:12" ht="15" customHeight="1" x14ac:dyDescent="0.25">
      <c r="A22" s="85"/>
      <c r="B22" s="41" t="str">
        <f>IF(A22="","",IFERROR(VLOOKUP(A22,DB_Customers!$A:$D,4,0),"❌ Account Not Found"))</f>
        <v/>
      </c>
      <c r="C22" s="86" t="str">
        <f>IF(A22="","",IFERROR(VLOOKUP(A22,DB_Customers!$A:$N,14,0),"❌ Acct Not Found"))</f>
        <v/>
      </c>
      <c r="D22" s="87" t="str">
        <f t="shared" ca="1" si="0"/>
        <v/>
      </c>
      <c r="E22" s="94"/>
      <c r="F22" s="41"/>
      <c r="G22" s="96" t="str">
        <f t="shared" si="1"/>
        <v/>
      </c>
      <c r="H22" s="43" t="s">
        <v>142</v>
      </c>
      <c r="I22" s="81"/>
      <c r="J22" s="89" t="str">
        <f>IF(AND(A22&lt;&gt;"",E22&lt;&gt;""),IF(I22="","⚠️ Enter Code",IF(IFERROR(VLOOKUP(H22,DB_Agents!$B:$I,8,0),"")=I22,IF(C22&gt;=E22,"Successful","Unsuccessful"),"🔒 BLOCKED — Wrong Code")),"Pending")</f>
        <v>Pending</v>
      </c>
      <c r="K22" s="90" t="str">
        <f t="shared" ca="1" si="2"/>
        <v>—</v>
      </c>
      <c r="L22" s="91"/>
    </row>
    <row r="23" spans="1:12" ht="15" customHeight="1" x14ac:dyDescent="0.25">
      <c r="A23" s="76"/>
      <c r="B23" s="37" t="str">
        <f>IF(A23="","",IFERROR(VLOOKUP(A23,DB_Customers!$A:$D,4,0),"❌ Account Not Found"))</f>
        <v/>
      </c>
      <c r="C23" s="77" t="str">
        <f>IF(A23="","",IFERROR(VLOOKUP(A23,DB_Customers!$A:$N,14,0),"❌ Acct Not Found"))</f>
        <v/>
      </c>
      <c r="D23" s="78" t="str">
        <f t="shared" ca="1" si="0"/>
        <v/>
      </c>
      <c r="E23" s="94"/>
      <c r="F23" s="37"/>
      <c r="G23" s="95" t="str">
        <f t="shared" si="1"/>
        <v/>
      </c>
      <c r="H23" s="39" t="s">
        <v>142</v>
      </c>
      <c r="I23" s="81"/>
      <c r="J23" s="82" t="str">
        <f>IF(AND(A23&lt;&gt;"",E23&lt;&gt;""),IF(I23="","⚠️ Enter Code",IF(IFERROR(VLOOKUP(H23,DB_Agents!$B:$I,8,0),"")=I23,IF(C23&gt;=E23,"Successful","Unsuccessful"),"🔒 BLOCKED — Wrong Code")),"Pending")</f>
        <v>Pending</v>
      </c>
      <c r="K23" s="83" t="str">
        <f t="shared" ca="1" si="2"/>
        <v>—</v>
      </c>
      <c r="L23" s="84"/>
    </row>
    <row r="24" spans="1:12" ht="15" customHeight="1" x14ac:dyDescent="0.25">
      <c r="A24" s="85"/>
      <c r="B24" s="41" t="str">
        <f>IF(A24="","",IFERROR(VLOOKUP(A24,DB_Customers!$A:$D,4,0),"❌ Account Not Found"))</f>
        <v/>
      </c>
      <c r="C24" s="86" t="str">
        <f>IF(A24="","",IFERROR(VLOOKUP(A24,DB_Customers!$A:$N,14,0),"❌ Acct Not Found"))</f>
        <v/>
      </c>
      <c r="D24" s="87" t="str">
        <f t="shared" ca="1" si="0"/>
        <v/>
      </c>
      <c r="E24" s="94"/>
      <c r="F24" s="41"/>
      <c r="G24" s="96" t="str">
        <f t="shared" si="1"/>
        <v/>
      </c>
      <c r="H24" s="43" t="s">
        <v>142</v>
      </c>
      <c r="I24" s="81"/>
      <c r="J24" s="89" t="str">
        <f>IF(AND(A24&lt;&gt;"",E24&lt;&gt;""),IF(I24="","⚠️ Enter Code",IF(IFERROR(VLOOKUP(H24,DB_Agents!$B:$I,8,0),"")=I24,IF(C24&gt;=E24,"Successful","Unsuccessful"),"🔒 BLOCKED — Wrong Code")),"Pending")</f>
        <v>Pending</v>
      </c>
      <c r="K24" s="90" t="str">
        <f t="shared" ca="1" si="2"/>
        <v>—</v>
      </c>
      <c r="L24" s="91"/>
    </row>
    <row r="25" spans="1:12" ht="15" customHeight="1" x14ac:dyDescent="0.25">
      <c r="A25" s="76"/>
      <c r="B25" s="37" t="str">
        <f>IF(A25="","",IFERROR(VLOOKUP(A25,DB_Customers!$A:$D,4,0),"❌ Account Not Found"))</f>
        <v/>
      </c>
      <c r="C25" s="77" t="str">
        <f>IF(A25="","",IFERROR(VLOOKUP(A25,DB_Customers!$A:$N,14,0),"❌ Acct Not Found"))</f>
        <v/>
      </c>
      <c r="D25" s="78" t="str">
        <f t="shared" ca="1" si="0"/>
        <v/>
      </c>
      <c r="E25" s="94"/>
      <c r="F25" s="37"/>
      <c r="G25" s="95" t="str">
        <f t="shared" si="1"/>
        <v/>
      </c>
      <c r="H25" s="39" t="s">
        <v>142</v>
      </c>
      <c r="I25" s="81"/>
      <c r="J25" s="82" t="str">
        <f>IF(AND(A25&lt;&gt;"",E25&lt;&gt;""),IF(I25="","⚠️ Enter Code",IF(IFERROR(VLOOKUP(H25,DB_Agents!$B:$I,8,0),"")=I25,IF(C25&gt;=E25,"Successful","Unsuccessful"),"🔒 BLOCKED — Wrong Code")),"Pending")</f>
        <v>Pending</v>
      </c>
      <c r="K25" s="83" t="str">
        <f t="shared" ca="1" si="2"/>
        <v>—</v>
      </c>
      <c r="L25" s="84"/>
    </row>
    <row r="26" spans="1:12" ht="15" customHeight="1" x14ac:dyDescent="0.25">
      <c r="A26" s="85"/>
      <c r="B26" s="41" t="str">
        <f>IF(A26="","",IFERROR(VLOOKUP(A26,DB_Customers!$A:$D,4,0),"❌ Account Not Found"))</f>
        <v/>
      </c>
      <c r="C26" s="86" t="str">
        <f>IF(A26="","",IFERROR(VLOOKUP(A26,DB_Customers!$A:$N,14,0),"❌ Acct Not Found"))</f>
        <v/>
      </c>
      <c r="D26" s="87" t="str">
        <f t="shared" ca="1" si="0"/>
        <v/>
      </c>
      <c r="E26" s="94"/>
      <c r="F26" s="41"/>
      <c r="G26" s="96" t="str">
        <f t="shared" si="1"/>
        <v/>
      </c>
      <c r="H26" s="43" t="s">
        <v>142</v>
      </c>
      <c r="I26" s="81"/>
      <c r="J26" s="89" t="str">
        <f>IF(AND(A26&lt;&gt;"",E26&lt;&gt;""),IF(I26="","⚠️ Enter Code",IF(IFERROR(VLOOKUP(H26,DB_Agents!$B:$I,8,0),"")=I26,IF(C26&gt;=E26,"Successful","Unsuccessful"),"🔒 BLOCKED — Wrong Code")),"Pending")</f>
        <v>Pending</v>
      </c>
      <c r="K26" s="90" t="str">
        <f t="shared" ca="1" si="2"/>
        <v>—</v>
      </c>
      <c r="L26" s="91"/>
    </row>
    <row r="27" spans="1:12" ht="15" customHeight="1" x14ac:dyDescent="0.25">
      <c r="A27" s="76"/>
      <c r="B27" s="37" t="str">
        <f>IF(A27="","",IFERROR(VLOOKUP(A27,DB_Customers!$A:$D,4,0),"❌ Account Not Found"))</f>
        <v/>
      </c>
      <c r="C27" s="77" t="str">
        <f>IF(A27="","",IFERROR(VLOOKUP(A27,DB_Customers!$A:$N,14,0),"❌ Acct Not Found"))</f>
        <v/>
      </c>
      <c r="D27" s="78" t="str">
        <f t="shared" ca="1" si="0"/>
        <v/>
      </c>
      <c r="E27" s="94"/>
      <c r="F27" s="37"/>
      <c r="G27" s="95" t="str">
        <f t="shared" si="1"/>
        <v/>
      </c>
      <c r="H27" s="39" t="s">
        <v>142</v>
      </c>
      <c r="I27" s="81"/>
      <c r="J27" s="82" t="str">
        <f>IF(AND(A27&lt;&gt;"",E27&lt;&gt;""),IF(I27="","⚠️ Enter Code",IF(IFERROR(VLOOKUP(H27,DB_Agents!$B:$I,8,0),"")=I27,IF(C27&gt;=E27,"Successful","Unsuccessful"),"🔒 BLOCKED — Wrong Code")),"Pending")</f>
        <v>Pending</v>
      </c>
      <c r="K27" s="83" t="str">
        <f t="shared" ca="1" si="2"/>
        <v>—</v>
      </c>
      <c r="L27" s="84"/>
    </row>
    <row r="28" spans="1:12" ht="15" customHeight="1" x14ac:dyDescent="0.25">
      <c r="A28" s="85"/>
      <c r="B28" s="41" t="str">
        <f>IF(A28="","",IFERROR(VLOOKUP(A28,DB_Customers!$A:$D,4,0),"❌ Account Not Found"))</f>
        <v/>
      </c>
      <c r="C28" s="86" t="str">
        <f>IF(A28="","",IFERROR(VLOOKUP(A28,DB_Customers!$A:$N,14,0),"❌ Acct Not Found"))</f>
        <v/>
      </c>
      <c r="D28" s="87" t="str">
        <f t="shared" ca="1" si="0"/>
        <v/>
      </c>
      <c r="E28" s="94"/>
      <c r="F28" s="41"/>
      <c r="G28" s="96" t="str">
        <f t="shared" si="1"/>
        <v/>
      </c>
      <c r="H28" s="43" t="s">
        <v>142</v>
      </c>
      <c r="I28" s="81"/>
      <c r="J28" s="89" t="str">
        <f>IF(AND(A28&lt;&gt;"",E28&lt;&gt;""),IF(I28="","⚠️ Enter Code",IF(IFERROR(VLOOKUP(H28,DB_Agents!$B:$I,8,0),"")=I28,IF(C28&gt;=E28,"Successful","Unsuccessful"),"🔒 BLOCKED — Wrong Code")),"Pending")</f>
        <v>Pending</v>
      </c>
      <c r="K28" s="90" t="str">
        <f t="shared" ca="1" si="2"/>
        <v>—</v>
      </c>
      <c r="L28" s="91"/>
    </row>
    <row r="29" spans="1:12" ht="15" customHeight="1" x14ac:dyDescent="0.25">
      <c r="A29" s="76"/>
      <c r="B29" s="37" t="str">
        <f>IF(A29="","",IFERROR(VLOOKUP(A29,DB_Customers!$A:$D,4,0),"❌ Account Not Found"))</f>
        <v/>
      </c>
      <c r="C29" s="77" t="str">
        <f>IF(A29="","",IFERROR(VLOOKUP(A29,DB_Customers!$A:$N,14,0),"❌ Acct Not Found"))</f>
        <v/>
      </c>
      <c r="D29" s="78" t="str">
        <f t="shared" ca="1" si="0"/>
        <v/>
      </c>
      <c r="E29" s="94"/>
      <c r="F29" s="37"/>
      <c r="G29" s="95" t="str">
        <f t="shared" si="1"/>
        <v/>
      </c>
      <c r="H29" s="39" t="s">
        <v>142</v>
      </c>
      <c r="I29" s="81"/>
      <c r="J29" s="82" t="str">
        <f>IF(AND(A29&lt;&gt;"",E29&lt;&gt;""),IF(I29="","⚠️ Enter Code",IF(IFERROR(VLOOKUP(H29,DB_Agents!$B:$I,8,0),"")=I29,IF(C29&gt;=E29,"Successful","Unsuccessful"),"🔒 BLOCKED — Wrong Code")),"Pending")</f>
        <v>Pending</v>
      </c>
      <c r="K29" s="83" t="str">
        <f t="shared" ca="1" si="2"/>
        <v>—</v>
      </c>
      <c r="L29" s="84"/>
    </row>
    <row r="30" spans="1:12" ht="15" customHeight="1" x14ac:dyDescent="0.25">
      <c r="A30" s="85"/>
      <c r="B30" s="41" t="str">
        <f>IF(A30="","",IFERROR(VLOOKUP(A30,DB_Customers!$A:$D,4,0),"❌ Account Not Found"))</f>
        <v/>
      </c>
      <c r="C30" s="86" t="str">
        <f>IF(A30="","",IFERROR(VLOOKUP(A30,DB_Customers!$A:$N,14,0),"❌ Acct Not Found"))</f>
        <v/>
      </c>
      <c r="D30" s="87" t="str">
        <f t="shared" ca="1" si="0"/>
        <v/>
      </c>
      <c r="E30" s="94"/>
      <c r="F30" s="41"/>
      <c r="G30" s="96" t="str">
        <f t="shared" si="1"/>
        <v/>
      </c>
      <c r="H30" s="43" t="s">
        <v>142</v>
      </c>
      <c r="I30" s="81"/>
      <c r="J30" s="89" t="str">
        <f>IF(AND(A30&lt;&gt;"",E30&lt;&gt;""),IF(I30="","⚠️ Enter Code",IF(IFERROR(VLOOKUP(H30,DB_Agents!$B:$I,8,0),"")=I30,IF(C30&gt;=E30,"Successful","Unsuccessful"),"🔒 BLOCKED — Wrong Code")),"Pending")</f>
        <v>Pending</v>
      </c>
      <c r="K30" s="90" t="str">
        <f t="shared" ca="1" si="2"/>
        <v>—</v>
      </c>
      <c r="L30" s="91"/>
    </row>
    <row r="31" spans="1:12" ht="15" customHeight="1" x14ac:dyDescent="0.25">
      <c r="A31" s="76"/>
      <c r="B31" s="37" t="str">
        <f>IF(A31="","",IFERROR(VLOOKUP(A31,DB_Customers!$A:$D,4,0),"❌ Account Not Found"))</f>
        <v/>
      </c>
      <c r="C31" s="77" t="str">
        <f>IF(A31="","",IFERROR(VLOOKUP(A31,DB_Customers!$A:$N,14,0),"❌ Acct Not Found"))</f>
        <v/>
      </c>
      <c r="D31" s="78" t="str">
        <f t="shared" ca="1" si="0"/>
        <v/>
      </c>
      <c r="E31" s="94"/>
      <c r="F31" s="37"/>
      <c r="G31" s="95" t="str">
        <f t="shared" si="1"/>
        <v/>
      </c>
      <c r="H31" s="39" t="s">
        <v>142</v>
      </c>
      <c r="I31" s="81"/>
      <c r="J31" s="82" t="str">
        <f>IF(AND(A31&lt;&gt;"",E31&lt;&gt;""),IF(I31="","⚠️ Enter Code",IF(IFERROR(VLOOKUP(H31,DB_Agents!$B:$I,8,0),"")=I31,IF(C31&gt;=E31,"Successful","Unsuccessful"),"🔒 BLOCKED — Wrong Code")),"Pending")</f>
        <v>Pending</v>
      </c>
      <c r="K31" s="83" t="str">
        <f t="shared" ca="1" si="2"/>
        <v>—</v>
      </c>
      <c r="L31" s="84"/>
    </row>
    <row r="32" spans="1:12" ht="15" customHeight="1" x14ac:dyDescent="0.25">
      <c r="A32" s="85"/>
      <c r="B32" s="41" t="str">
        <f>IF(A32="","",IFERROR(VLOOKUP(A32,DB_Customers!$A:$D,4,0),"❌ Account Not Found"))</f>
        <v/>
      </c>
      <c r="C32" s="86" t="str">
        <f>IF(A32="","",IFERROR(VLOOKUP(A32,DB_Customers!$A:$N,14,0),"❌ Acct Not Found"))</f>
        <v/>
      </c>
      <c r="D32" s="87" t="str">
        <f t="shared" ca="1" si="0"/>
        <v/>
      </c>
      <c r="E32" s="94"/>
      <c r="F32" s="41"/>
      <c r="G32" s="96" t="str">
        <f t="shared" si="1"/>
        <v/>
      </c>
      <c r="H32" s="43" t="s">
        <v>142</v>
      </c>
      <c r="I32" s="81"/>
      <c r="J32" s="89" t="str">
        <f>IF(AND(A32&lt;&gt;"",E32&lt;&gt;""),IF(I32="","⚠️ Enter Code",IF(IFERROR(VLOOKUP(H32,DB_Agents!$B:$I,8,0),"")=I32,IF(C32&gt;=E32,"Successful","Unsuccessful"),"🔒 BLOCKED — Wrong Code")),"Pending")</f>
        <v>Pending</v>
      </c>
      <c r="K32" s="90" t="str">
        <f t="shared" ca="1" si="2"/>
        <v>—</v>
      </c>
      <c r="L32" s="91"/>
    </row>
    <row r="33" spans="1:12" ht="15" customHeight="1" x14ac:dyDescent="0.25">
      <c r="A33" s="76"/>
      <c r="B33" s="37" t="str">
        <f>IF(A33="","",IFERROR(VLOOKUP(A33,DB_Customers!$A:$D,4,0),"❌ Account Not Found"))</f>
        <v/>
      </c>
      <c r="C33" s="77" t="str">
        <f>IF(A33="","",IFERROR(VLOOKUP(A33,DB_Customers!$A:$N,14,0),"❌ Acct Not Found"))</f>
        <v/>
      </c>
      <c r="D33" s="78" t="str">
        <f t="shared" ca="1" si="0"/>
        <v/>
      </c>
      <c r="E33" s="94"/>
      <c r="F33" s="37"/>
      <c r="G33" s="95" t="str">
        <f t="shared" si="1"/>
        <v/>
      </c>
      <c r="H33" s="39" t="s">
        <v>142</v>
      </c>
      <c r="I33" s="81"/>
      <c r="J33" s="82" t="str">
        <f>IF(AND(A33&lt;&gt;"",E33&lt;&gt;""),IF(I33="","⚠️ Enter Code",IF(IFERROR(VLOOKUP(H33,DB_Agents!$B:$I,8,0),"")=I33,IF(C33&gt;=E33,"Successful","Unsuccessful"),"🔒 BLOCKED — Wrong Code")),"Pending")</f>
        <v>Pending</v>
      </c>
      <c r="K33" s="83" t="str">
        <f t="shared" ca="1" si="2"/>
        <v>—</v>
      </c>
      <c r="L33" s="84"/>
    </row>
    <row r="34" spans="1:12" ht="15" customHeight="1" x14ac:dyDescent="0.25">
      <c r="A34" s="85"/>
      <c r="B34" s="41" t="str">
        <f>IF(A34="","",IFERROR(VLOOKUP(A34,DB_Customers!$A:$D,4,0),"❌ Account Not Found"))</f>
        <v/>
      </c>
      <c r="C34" s="86" t="str">
        <f>IF(A34="","",IFERROR(VLOOKUP(A34,DB_Customers!$A:$N,14,0),"❌ Acct Not Found"))</f>
        <v/>
      </c>
      <c r="D34" s="87" t="str">
        <f t="shared" ca="1" si="0"/>
        <v/>
      </c>
      <c r="E34" s="94"/>
      <c r="F34" s="41"/>
      <c r="G34" s="96" t="str">
        <f t="shared" si="1"/>
        <v/>
      </c>
      <c r="H34" s="43" t="s">
        <v>142</v>
      </c>
      <c r="I34" s="81"/>
      <c r="J34" s="89" t="str">
        <f>IF(AND(A34&lt;&gt;"",E34&lt;&gt;""),IF(I34="","⚠️ Enter Code",IF(IFERROR(VLOOKUP(H34,DB_Agents!$B:$I,8,0),"")=I34,IF(C34&gt;=E34,"Successful","Unsuccessful"),"🔒 BLOCKED — Wrong Code")),"Pending")</f>
        <v>Pending</v>
      </c>
      <c r="K34" s="90" t="str">
        <f t="shared" ca="1" si="2"/>
        <v>—</v>
      </c>
      <c r="L34" s="91"/>
    </row>
    <row r="35" spans="1:12" ht="15" customHeight="1" x14ac:dyDescent="0.25">
      <c r="A35" s="76"/>
      <c r="B35" s="37" t="str">
        <f>IF(A35="","",IFERROR(VLOOKUP(A35,DB_Customers!$A:$D,4,0),"❌ Account Not Found"))</f>
        <v/>
      </c>
      <c r="C35" s="77" t="str">
        <f>IF(A35="","",IFERROR(VLOOKUP(A35,DB_Customers!$A:$N,14,0),"❌ Acct Not Found"))</f>
        <v/>
      </c>
      <c r="D35" s="78" t="str">
        <f t="shared" ca="1" si="0"/>
        <v/>
      </c>
      <c r="E35" s="94"/>
      <c r="F35" s="37"/>
      <c r="G35" s="95" t="str">
        <f t="shared" si="1"/>
        <v/>
      </c>
      <c r="H35" s="39" t="s">
        <v>142</v>
      </c>
      <c r="I35" s="81"/>
      <c r="J35" s="82" t="str">
        <f>IF(AND(A35&lt;&gt;"",E35&lt;&gt;""),IF(I35="","⚠️ Enter Code",IF(IFERROR(VLOOKUP(H35,DB_Agents!$B:$I,8,0),"")=I35,IF(C35&gt;=E35,"Successful","Unsuccessful"),"🔒 BLOCKED — Wrong Code")),"Pending")</f>
        <v>Pending</v>
      </c>
      <c r="K35" s="83" t="str">
        <f t="shared" ca="1" si="2"/>
        <v>—</v>
      </c>
      <c r="L35" s="84"/>
    </row>
    <row r="36" spans="1:12" ht="15" customHeight="1" x14ac:dyDescent="0.25">
      <c r="A36" s="85"/>
      <c r="B36" s="41" t="str">
        <f>IF(A36="","",IFERROR(VLOOKUP(A36,DB_Customers!$A:$D,4,0),"❌ Account Not Found"))</f>
        <v/>
      </c>
      <c r="C36" s="86" t="str">
        <f>IF(A36="","",IFERROR(VLOOKUP(A36,DB_Customers!$A:$N,14,0),"❌ Acct Not Found"))</f>
        <v/>
      </c>
      <c r="D36" s="87" t="str">
        <f t="shared" ca="1" si="0"/>
        <v/>
      </c>
      <c r="E36" s="94"/>
      <c r="F36" s="41"/>
      <c r="G36" s="96" t="str">
        <f t="shared" si="1"/>
        <v/>
      </c>
      <c r="H36" s="43" t="s">
        <v>142</v>
      </c>
      <c r="I36" s="81"/>
      <c r="J36" s="89" t="str">
        <f>IF(AND(A36&lt;&gt;"",E36&lt;&gt;""),IF(I36="","⚠️ Enter Code",IF(IFERROR(VLOOKUP(H36,DB_Agents!$B:$I,8,0),"")=I36,IF(C36&gt;=E36,"Successful","Unsuccessful"),"🔒 BLOCKED — Wrong Code")),"Pending")</f>
        <v>Pending</v>
      </c>
      <c r="K36" s="90" t="str">
        <f t="shared" ca="1" si="2"/>
        <v>—</v>
      </c>
      <c r="L36" s="91"/>
    </row>
    <row r="37" spans="1:12" ht="15" customHeight="1" x14ac:dyDescent="0.25">
      <c r="A37" s="76"/>
      <c r="B37" s="37" t="str">
        <f>IF(A37="","",IFERROR(VLOOKUP(A37,DB_Customers!$A:$D,4,0),"❌ Account Not Found"))</f>
        <v/>
      </c>
      <c r="C37" s="77" t="str">
        <f>IF(A37="","",IFERROR(VLOOKUP(A37,DB_Customers!$A:$N,14,0),"❌ Acct Not Found"))</f>
        <v/>
      </c>
      <c r="D37" s="78" t="str">
        <f t="shared" ca="1" si="0"/>
        <v/>
      </c>
      <c r="E37" s="94"/>
      <c r="F37" s="37"/>
      <c r="G37" s="95" t="str">
        <f t="shared" si="1"/>
        <v/>
      </c>
      <c r="H37" s="39" t="s">
        <v>142</v>
      </c>
      <c r="I37" s="81"/>
      <c r="J37" s="82" t="str">
        <f>IF(AND(A37&lt;&gt;"",E37&lt;&gt;""),IF(I37="","⚠️ Enter Code",IF(IFERROR(VLOOKUP(H37,DB_Agents!$B:$I,8,0),"")=I37,IF(C37&gt;=E37,"Successful","Unsuccessful"),"🔒 BLOCKED — Wrong Code")),"Pending")</f>
        <v>Pending</v>
      </c>
      <c r="K37" s="83" t="str">
        <f t="shared" ca="1" si="2"/>
        <v>—</v>
      </c>
      <c r="L37" s="84"/>
    </row>
    <row r="38" spans="1:12" ht="15" customHeight="1" x14ac:dyDescent="0.25">
      <c r="A38" s="85"/>
      <c r="B38" s="41" t="str">
        <f>IF(A38="","",IFERROR(VLOOKUP(A38,DB_Customers!$A:$D,4,0),"❌ Account Not Found"))</f>
        <v/>
      </c>
      <c r="C38" s="86" t="str">
        <f>IF(A38="","",IFERROR(VLOOKUP(A38,DB_Customers!$A:$N,14,0),"❌ Acct Not Found"))</f>
        <v/>
      </c>
      <c r="D38" s="87" t="str">
        <f t="shared" ca="1" si="0"/>
        <v/>
      </c>
      <c r="E38" s="94"/>
      <c r="F38" s="41"/>
      <c r="G38" s="96" t="str">
        <f t="shared" si="1"/>
        <v/>
      </c>
      <c r="H38" s="43" t="s">
        <v>142</v>
      </c>
      <c r="I38" s="81"/>
      <c r="J38" s="89" t="str">
        <f>IF(AND(A38&lt;&gt;"",E38&lt;&gt;""),IF(I38="","⚠️ Enter Code",IF(IFERROR(VLOOKUP(H38,DB_Agents!$B:$I,8,0),"")=I38,IF(C38&gt;=E38,"Successful","Unsuccessful"),"🔒 BLOCKED — Wrong Code")),"Pending")</f>
        <v>Pending</v>
      </c>
      <c r="K38" s="90" t="str">
        <f t="shared" ca="1" si="2"/>
        <v>—</v>
      </c>
      <c r="L38" s="91"/>
    </row>
    <row r="39" spans="1:12" ht="15" customHeight="1" x14ac:dyDescent="0.25">
      <c r="A39" s="76"/>
      <c r="B39" s="37" t="str">
        <f>IF(A39="","",IFERROR(VLOOKUP(A39,DB_Customers!$A:$D,4,0),"❌ Account Not Found"))</f>
        <v/>
      </c>
      <c r="C39" s="77" t="str">
        <f>IF(A39="","",IFERROR(VLOOKUP(A39,DB_Customers!$A:$N,14,0),"❌ Acct Not Found"))</f>
        <v/>
      </c>
      <c r="D39" s="78" t="str">
        <f t="shared" ca="1" si="0"/>
        <v/>
      </c>
      <c r="E39" s="94"/>
      <c r="F39" s="37"/>
      <c r="G39" s="95" t="str">
        <f t="shared" si="1"/>
        <v/>
      </c>
      <c r="H39" s="39" t="s">
        <v>142</v>
      </c>
      <c r="I39" s="81"/>
      <c r="J39" s="82" t="str">
        <f>IF(AND(A39&lt;&gt;"",E39&lt;&gt;""),IF(I39="","⚠️ Enter Code",IF(IFERROR(VLOOKUP(H39,DB_Agents!$B:$I,8,0),"")=I39,IF(C39&gt;=E39,"Successful","Unsuccessful"),"🔒 BLOCKED — Wrong Code")),"Pending")</f>
        <v>Pending</v>
      </c>
      <c r="K39" s="83" t="str">
        <f t="shared" ca="1" si="2"/>
        <v>—</v>
      </c>
      <c r="L39" s="84"/>
    </row>
    <row r="40" spans="1:12" ht="15" customHeight="1" x14ac:dyDescent="0.25">
      <c r="A40" s="85"/>
      <c r="B40" s="41" t="str">
        <f>IF(A40="","",IFERROR(VLOOKUP(A40,DB_Customers!$A:$D,4,0),"❌ Account Not Found"))</f>
        <v/>
      </c>
      <c r="C40" s="86" t="str">
        <f>IF(A40="","",IFERROR(VLOOKUP(A40,DB_Customers!$A:$N,14,0),"❌ Acct Not Found"))</f>
        <v/>
      </c>
      <c r="D40" s="87" t="str">
        <f t="shared" ca="1" si="0"/>
        <v/>
      </c>
      <c r="E40" s="94"/>
      <c r="F40" s="41"/>
      <c r="G40" s="96" t="str">
        <f t="shared" si="1"/>
        <v/>
      </c>
      <c r="H40" s="43" t="s">
        <v>142</v>
      </c>
      <c r="I40" s="81"/>
      <c r="J40" s="89" t="str">
        <f>IF(AND(A40&lt;&gt;"",E40&lt;&gt;""),IF(I40="","⚠️ Enter Code",IF(IFERROR(VLOOKUP(H40,DB_Agents!$B:$I,8,0),"")=I40,IF(C40&gt;=E40,"Successful","Unsuccessful"),"🔒 BLOCKED — Wrong Code")),"Pending")</f>
        <v>Pending</v>
      </c>
      <c r="K40" s="90" t="str">
        <f t="shared" ca="1" si="2"/>
        <v>—</v>
      </c>
      <c r="L40" s="91"/>
    </row>
    <row r="41" spans="1:12" ht="15" customHeight="1" x14ac:dyDescent="0.25">
      <c r="A41" s="76"/>
      <c r="B41" s="37" t="str">
        <f>IF(A41="","",IFERROR(VLOOKUP(A41,DB_Customers!$A:$D,4,0),"❌ Account Not Found"))</f>
        <v/>
      </c>
      <c r="C41" s="77" t="str">
        <f>IF(A41="","",IFERROR(VLOOKUP(A41,DB_Customers!$A:$N,14,0),"❌ Acct Not Found"))</f>
        <v/>
      </c>
      <c r="D41" s="78" t="str">
        <f t="shared" ref="D41:D72" ca="1" si="3">IF(A41="","",TODAY())</f>
        <v/>
      </c>
      <c r="E41" s="94"/>
      <c r="F41" s="37"/>
      <c r="G41" s="95" t="str">
        <f t="shared" ref="G41:G72" si="4">IF(OR(A41="",E41=""),"",IF(C41="","",C41-E41))</f>
        <v/>
      </c>
      <c r="H41" s="39" t="s">
        <v>142</v>
      </c>
      <c r="I41" s="81"/>
      <c r="J41" s="82" t="str">
        <f>IF(AND(A41&lt;&gt;"",E41&lt;&gt;""),IF(I41="","⚠️ Enter Code",IF(IFERROR(VLOOKUP(H41,DB_Agents!$B:$I,8,0),"")=I41,IF(C41&gt;=E41,"Successful","Unsuccessful"),"🔒 BLOCKED — Wrong Code")),"Pending")</f>
        <v>Pending</v>
      </c>
      <c r="K41" s="83" t="str">
        <f t="shared" ref="K41:K72" ca="1" si="5">IF(J41="Successful",TEXT(TODAY(),"YYYY-MM-DD")&amp;" Auto","—")</f>
        <v>—</v>
      </c>
      <c r="L41" s="84"/>
    </row>
    <row r="42" spans="1:12" ht="15" customHeight="1" x14ac:dyDescent="0.25">
      <c r="A42" s="85"/>
      <c r="B42" s="41" t="str">
        <f>IF(A42="","",IFERROR(VLOOKUP(A42,DB_Customers!$A:$D,4,0),"❌ Account Not Found"))</f>
        <v/>
      </c>
      <c r="C42" s="86" t="str">
        <f>IF(A42="","",IFERROR(VLOOKUP(A42,DB_Customers!$A:$N,14,0),"❌ Acct Not Found"))</f>
        <v/>
      </c>
      <c r="D42" s="87" t="str">
        <f t="shared" ca="1" si="3"/>
        <v/>
      </c>
      <c r="E42" s="94"/>
      <c r="F42" s="41"/>
      <c r="G42" s="96" t="str">
        <f t="shared" si="4"/>
        <v/>
      </c>
      <c r="H42" s="43" t="s">
        <v>142</v>
      </c>
      <c r="I42" s="81"/>
      <c r="J42" s="89" t="str">
        <f>IF(AND(A42&lt;&gt;"",E42&lt;&gt;""),IF(I42="","⚠️ Enter Code",IF(IFERROR(VLOOKUP(H42,DB_Agents!$B:$I,8,0),"")=I42,IF(C42&gt;=E42,"Successful","Unsuccessful"),"🔒 BLOCKED — Wrong Code")),"Pending")</f>
        <v>Pending</v>
      </c>
      <c r="K42" s="90" t="str">
        <f t="shared" ca="1" si="5"/>
        <v>—</v>
      </c>
      <c r="L42" s="91"/>
    </row>
    <row r="43" spans="1:12" ht="15" customHeight="1" x14ac:dyDescent="0.25">
      <c r="A43" s="76"/>
      <c r="B43" s="37" t="str">
        <f>IF(A43="","",IFERROR(VLOOKUP(A43,DB_Customers!$A:$D,4,0),"❌ Account Not Found"))</f>
        <v/>
      </c>
      <c r="C43" s="77" t="str">
        <f>IF(A43="","",IFERROR(VLOOKUP(A43,DB_Customers!$A:$N,14,0),"❌ Acct Not Found"))</f>
        <v/>
      </c>
      <c r="D43" s="78" t="str">
        <f t="shared" ca="1" si="3"/>
        <v/>
      </c>
      <c r="E43" s="94"/>
      <c r="F43" s="37"/>
      <c r="G43" s="95" t="str">
        <f t="shared" si="4"/>
        <v/>
      </c>
      <c r="H43" s="39" t="s">
        <v>142</v>
      </c>
      <c r="I43" s="81"/>
      <c r="J43" s="82" t="str">
        <f>IF(AND(A43&lt;&gt;"",E43&lt;&gt;""),IF(I43="","⚠️ Enter Code",IF(IFERROR(VLOOKUP(H43,DB_Agents!$B:$I,8,0),"")=I43,IF(C43&gt;=E43,"Successful","Unsuccessful"),"🔒 BLOCKED — Wrong Code")),"Pending")</f>
        <v>Pending</v>
      </c>
      <c r="K43" s="83" t="str">
        <f t="shared" ca="1" si="5"/>
        <v>—</v>
      </c>
      <c r="L43" s="84"/>
    </row>
    <row r="44" spans="1:12" ht="15" customHeight="1" x14ac:dyDescent="0.25">
      <c r="A44" s="85"/>
      <c r="B44" s="41" t="str">
        <f>IF(A44="","",IFERROR(VLOOKUP(A44,DB_Customers!$A:$D,4,0),"❌ Account Not Found"))</f>
        <v/>
      </c>
      <c r="C44" s="86" t="str">
        <f>IF(A44="","",IFERROR(VLOOKUP(A44,DB_Customers!$A:$N,14,0),"❌ Acct Not Found"))</f>
        <v/>
      </c>
      <c r="D44" s="87" t="str">
        <f t="shared" ca="1" si="3"/>
        <v/>
      </c>
      <c r="E44" s="94"/>
      <c r="F44" s="41"/>
      <c r="G44" s="96" t="str">
        <f t="shared" si="4"/>
        <v/>
      </c>
      <c r="H44" s="43" t="s">
        <v>142</v>
      </c>
      <c r="I44" s="81"/>
      <c r="J44" s="89" t="str">
        <f>IF(AND(A44&lt;&gt;"",E44&lt;&gt;""),IF(I44="","⚠️ Enter Code",IF(IFERROR(VLOOKUP(H44,DB_Agents!$B:$I,8,0),"")=I44,IF(C44&gt;=E44,"Successful","Unsuccessful"),"🔒 BLOCKED — Wrong Code")),"Pending")</f>
        <v>Pending</v>
      </c>
      <c r="K44" s="90" t="str">
        <f t="shared" ca="1" si="5"/>
        <v>—</v>
      </c>
      <c r="L44" s="91"/>
    </row>
    <row r="45" spans="1:12" ht="15" customHeight="1" x14ac:dyDescent="0.25">
      <c r="A45" s="76"/>
      <c r="B45" s="37" t="str">
        <f>IF(A45="","",IFERROR(VLOOKUP(A45,DB_Customers!$A:$D,4,0),"❌ Account Not Found"))</f>
        <v/>
      </c>
      <c r="C45" s="77" t="str">
        <f>IF(A45="","",IFERROR(VLOOKUP(A45,DB_Customers!$A:$N,14,0),"❌ Acct Not Found"))</f>
        <v/>
      </c>
      <c r="D45" s="78" t="str">
        <f t="shared" ca="1" si="3"/>
        <v/>
      </c>
      <c r="E45" s="94"/>
      <c r="F45" s="37"/>
      <c r="G45" s="95" t="str">
        <f t="shared" si="4"/>
        <v/>
      </c>
      <c r="H45" s="39" t="s">
        <v>142</v>
      </c>
      <c r="I45" s="81"/>
      <c r="J45" s="82" t="str">
        <f>IF(AND(A45&lt;&gt;"",E45&lt;&gt;""),IF(I45="","⚠️ Enter Code",IF(IFERROR(VLOOKUP(H45,DB_Agents!$B:$I,8,0),"")=I45,IF(C45&gt;=E45,"Successful","Unsuccessful"),"🔒 BLOCKED — Wrong Code")),"Pending")</f>
        <v>Pending</v>
      </c>
      <c r="K45" s="83" t="str">
        <f t="shared" ca="1" si="5"/>
        <v>—</v>
      </c>
      <c r="L45" s="84"/>
    </row>
    <row r="46" spans="1:12" ht="15" customHeight="1" x14ac:dyDescent="0.25">
      <c r="A46" s="85"/>
      <c r="B46" s="41" t="str">
        <f>IF(A46="","",IFERROR(VLOOKUP(A46,DB_Customers!$A:$D,4,0),"❌ Account Not Found"))</f>
        <v/>
      </c>
      <c r="C46" s="86" t="str">
        <f>IF(A46="","",IFERROR(VLOOKUP(A46,DB_Customers!$A:$N,14,0),"❌ Acct Not Found"))</f>
        <v/>
      </c>
      <c r="D46" s="87" t="str">
        <f t="shared" ca="1" si="3"/>
        <v/>
      </c>
      <c r="E46" s="94"/>
      <c r="F46" s="41"/>
      <c r="G46" s="96" t="str">
        <f t="shared" si="4"/>
        <v/>
      </c>
      <c r="H46" s="43" t="s">
        <v>142</v>
      </c>
      <c r="I46" s="81"/>
      <c r="J46" s="89" t="str">
        <f>IF(AND(A46&lt;&gt;"",E46&lt;&gt;""),IF(I46="","⚠️ Enter Code",IF(IFERROR(VLOOKUP(H46,DB_Agents!$B:$I,8,0),"")=I46,IF(C46&gt;=E46,"Successful","Unsuccessful"),"🔒 BLOCKED — Wrong Code")),"Pending")</f>
        <v>Pending</v>
      </c>
      <c r="K46" s="90" t="str">
        <f t="shared" ca="1" si="5"/>
        <v>—</v>
      </c>
      <c r="L46" s="91"/>
    </row>
    <row r="47" spans="1:12" ht="15" customHeight="1" x14ac:dyDescent="0.25">
      <c r="A47" s="76"/>
      <c r="B47" s="37" t="str">
        <f>IF(A47="","",IFERROR(VLOOKUP(A47,DB_Customers!$A:$D,4,0),"❌ Account Not Found"))</f>
        <v/>
      </c>
      <c r="C47" s="77" t="str">
        <f>IF(A47="","",IFERROR(VLOOKUP(A47,DB_Customers!$A:$N,14,0),"❌ Acct Not Found"))</f>
        <v/>
      </c>
      <c r="D47" s="78" t="str">
        <f t="shared" ca="1" si="3"/>
        <v/>
      </c>
      <c r="E47" s="94"/>
      <c r="F47" s="37"/>
      <c r="G47" s="95" t="str">
        <f t="shared" si="4"/>
        <v/>
      </c>
      <c r="H47" s="39" t="s">
        <v>142</v>
      </c>
      <c r="I47" s="81"/>
      <c r="J47" s="82" t="str">
        <f>IF(AND(A47&lt;&gt;"",E47&lt;&gt;""),IF(I47="","⚠️ Enter Code",IF(IFERROR(VLOOKUP(H47,DB_Agents!$B:$I,8,0),"")=I47,IF(C47&gt;=E47,"Successful","Unsuccessful"),"🔒 BLOCKED — Wrong Code")),"Pending")</f>
        <v>Pending</v>
      </c>
      <c r="K47" s="83" t="str">
        <f t="shared" ca="1" si="5"/>
        <v>—</v>
      </c>
      <c r="L47" s="84"/>
    </row>
    <row r="48" spans="1:12" ht="15" customHeight="1" x14ac:dyDescent="0.25">
      <c r="A48" s="85"/>
      <c r="B48" s="41" t="str">
        <f>IF(A48="","",IFERROR(VLOOKUP(A48,DB_Customers!$A:$D,4,0),"❌ Account Not Found"))</f>
        <v/>
      </c>
      <c r="C48" s="86" t="str">
        <f>IF(A48="","",IFERROR(VLOOKUP(A48,DB_Customers!$A:$N,14,0),"❌ Acct Not Found"))</f>
        <v/>
      </c>
      <c r="D48" s="87" t="str">
        <f t="shared" ca="1" si="3"/>
        <v/>
      </c>
      <c r="E48" s="94"/>
      <c r="F48" s="41"/>
      <c r="G48" s="96" t="str">
        <f t="shared" si="4"/>
        <v/>
      </c>
      <c r="H48" s="43" t="s">
        <v>142</v>
      </c>
      <c r="I48" s="81"/>
      <c r="J48" s="89" t="str">
        <f>IF(AND(A48&lt;&gt;"",E48&lt;&gt;""),IF(I48="","⚠️ Enter Code",IF(IFERROR(VLOOKUP(H48,DB_Agents!$B:$I,8,0),"")=I48,IF(C48&gt;=E48,"Successful","Unsuccessful"),"🔒 BLOCKED — Wrong Code")),"Pending")</f>
        <v>Pending</v>
      </c>
      <c r="K48" s="90" t="str">
        <f t="shared" ca="1" si="5"/>
        <v>—</v>
      </c>
      <c r="L48" s="91"/>
    </row>
    <row r="49" spans="1:12" ht="15" customHeight="1" x14ac:dyDescent="0.25">
      <c r="A49" s="76"/>
      <c r="B49" s="37" t="str">
        <f>IF(A49="","",IFERROR(VLOOKUP(A49,DB_Customers!$A:$D,4,0),"❌ Account Not Found"))</f>
        <v/>
      </c>
      <c r="C49" s="77" t="str">
        <f>IF(A49="","",IFERROR(VLOOKUP(A49,DB_Customers!$A:$N,14,0),"❌ Acct Not Found"))</f>
        <v/>
      </c>
      <c r="D49" s="78" t="str">
        <f t="shared" ca="1" si="3"/>
        <v/>
      </c>
      <c r="E49" s="94"/>
      <c r="F49" s="37"/>
      <c r="G49" s="95" t="str">
        <f t="shared" si="4"/>
        <v/>
      </c>
      <c r="H49" s="39" t="s">
        <v>142</v>
      </c>
      <c r="I49" s="81"/>
      <c r="J49" s="82" t="str">
        <f>IF(AND(A49&lt;&gt;"",E49&lt;&gt;""),IF(I49="","⚠️ Enter Code",IF(IFERROR(VLOOKUP(H49,DB_Agents!$B:$I,8,0),"")=I49,IF(C49&gt;=E49,"Successful","Unsuccessful"),"🔒 BLOCKED — Wrong Code")),"Pending")</f>
        <v>Pending</v>
      </c>
      <c r="K49" s="83" t="str">
        <f t="shared" ca="1" si="5"/>
        <v>—</v>
      </c>
      <c r="L49" s="84"/>
    </row>
    <row r="50" spans="1:12" ht="15" customHeight="1" x14ac:dyDescent="0.25">
      <c r="A50" s="85"/>
      <c r="B50" s="41" t="str">
        <f>IF(A50="","",IFERROR(VLOOKUP(A50,DB_Customers!$A:$D,4,0),"❌ Account Not Found"))</f>
        <v/>
      </c>
      <c r="C50" s="86" t="str">
        <f>IF(A50="","",IFERROR(VLOOKUP(A50,DB_Customers!$A:$N,14,0),"❌ Acct Not Found"))</f>
        <v/>
      </c>
      <c r="D50" s="87" t="str">
        <f t="shared" ca="1" si="3"/>
        <v/>
      </c>
      <c r="E50" s="94"/>
      <c r="F50" s="41"/>
      <c r="G50" s="96" t="str">
        <f t="shared" si="4"/>
        <v/>
      </c>
      <c r="H50" s="43" t="s">
        <v>142</v>
      </c>
      <c r="I50" s="81"/>
      <c r="J50" s="89" t="str">
        <f>IF(AND(A50&lt;&gt;"",E50&lt;&gt;""),IF(I50="","⚠️ Enter Code",IF(IFERROR(VLOOKUP(H50,DB_Agents!$B:$I,8,0),"")=I50,IF(C50&gt;=E50,"Successful","Unsuccessful"),"🔒 BLOCKED — Wrong Code")),"Pending")</f>
        <v>Pending</v>
      </c>
      <c r="K50" s="90" t="str">
        <f t="shared" ca="1" si="5"/>
        <v>—</v>
      </c>
      <c r="L50" s="91"/>
    </row>
    <row r="51" spans="1:12" ht="15" customHeight="1" x14ac:dyDescent="0.25">
      <c r="A51" s="76"/>
      <c r="B51" s="37" t="str">
        <f>IF(A51="","",IFERROR(VLOOKUP(A51,DB_Customers!$A:$D,4,0),"❌ Account Not Found"))</f>
        <v/>
      </c>
      <c r="C51" s="77" t="str">
        <f>IF(A51="","",IFERROR(VLOOKUP(A51,DB_Customers!$A:$N,14,0),"❌ Acct Not Found"))</f>
        <v/>
      </c>
      <c r="D51" s="78" t="str">
        <f t="shared" ca="1" si="3"/>
        <v/>
      </c>
      <c r="E51" s="94"/>
      <c r="F51" s="37"/>
      <c r="G51" s="95" t="str">
        <f t="shared" si="4"/>
        <v/>
      </c>
      <c r="H51" s="39" t="s">
        <v>142</v>
      </c>
      <c r="I51" s="81"/>
      <c r="J51" s="82" t="str">
        <f>IF(AND(A51&lt;&gt;"",E51&lt;&gt;""),IF(I51="","⚠️ Enter Code",IF(IFERROR(VLOOKUP(H51,DB_Agents!$B:$I,8,0),"")=I51,IF(C51&gt;=E51,"Successful","Unsuccessful"),"🔒 BLOCKED — Wrong Code")),"Pending")</f>
        <v>Pending</v>
      </c>
      <c r="K51" s="83" t="str">
        <f t="shared" ca="1" si="5"/>
        <v>—</v>
      </c>
      <c r="L51" s="84"/>
    </row>
    <row r="52" spans="1:12" ht="15" customHeight="1" x14ac:dyDescent="0.25">
      <c r="A52" s="85"/>
      <c r="B52" s="41" t="str">
        <f>IF(A52="","",IFERROR(VLOOKUP(A52,DB_Customers!$A:$D,4,0),"❌ Account Not Found"))</f>
        <v/>
      </c>
      <c r="C52" s="86" t="str">
        <f>IF(A52="","",IFERROR(VLOOKUP(A52,DB_Customers!$A:$N,14,0),"❌ Acct Not Found"))</f>
        <v/>
      </c>
      <c r="D52" s="87" t="str">
        <f t="shared" ca="1" si="3"/>
        <v/>
      </c>
      <c r="E52" s="94"/>
      <c r="F52" s="41"/>
      <c r="G52" s="96" t="str">
        <f t="shared" si="4"/>
        <v/>
      </c>
      <c r="H52" s="43" t="s">
        <v>142</v>
      </c>
      <c r="I52" s="81"/>
      <c r="J52" s="89" t="str">
        <f>IF(AND(A52&lt;&gt;"",E52&lt;&gt;""),IF(I52="","⚠️ Enter Code",IF(IFERROR(VLOOKUP(H52,DB_Agents!$B:$I,8,0),"")=I52,IF(C52&gt;=E52,"Successful","Unsuccessful"),"🔒 BLOCKED — Wrong Code")),"Pending")</f>
        <v>Pending</v>
      </c>
      <c r="K52" s="90" t="str">
        <f t="shared" ca="1" si="5"/>
        <v>—</v>
      </c>
      <c r="L52" s="91"/>
    </row>
    <row r="53" spans="1:12" ht="15" customHeight="1" x14ac:dyDescent="0.25">
      <c r="A53" s="76"/>
      <c r="B53" s="37" t="str">
        <f>IF(A53="","",IFERROR(VLOOKUP(A53,DB_Customers!$A:$D,4,0),"❌ Account Not Found"))</f>
        <v/>
      </c>
      <c r="C53" s="77" t="str">
        <f>IF(A53="","",IFERROR(VLOOKUP(A53,DB_Customers!$A:$N,14,0),"❌ Acct Not Found"))</f>
        <v/>
      </c>
      <c r="D53" s="78" t="str">
        <f t="shared" ca="1" si="3"/>
        <v/>
      </c>
      <c r="E53" s="94"/>
      <c r="F53" s="37"/>
      <c r="G53" s="95" t="str">
        <f t="shared" si="4"/>
        <v/>
      </c>
      <c r="H53" s="39" t="s">
        <v>142</v>
      </c>
      <c r="I53" s="81"/>
      <c r="J53" s="82" t="str">
        <f>IF(AND(A53&lt;&gt;"",E53&lt;&gt;""),IF(I53="","⚠️ Enter Code",IF(IFERROR(VLOOKUP(H53,DB_Agents!$B:$I,8,0),"")=I53,IF(C53&gt;=E53,"Successful","Unsuccessful"),"🔒 BLOCKED — Wrong Code")),"Pending")</f>
        <v>Pending</v>
      </c>
      <c r="K53" s="83" t="str">
        <f t="shared" ca="1" si="5"/>
        <v>—</v>
      </c>
      <c r="L53" s="84"/>
    </row>
    <row r="54" spans="1:12" ht="15" customHeight="1" x14ac:dyDescent="0.25">
      <c r="A54" s="85"/>
      <c r="B54" s="41" t="str">
        <f>IF(A54="","",IFERROR(VLOOKUP(A54,DB_Customers!$A:$D,4,0),"❌ Account Not Found"))</f>
        <v/>
      </c>
      <c r="C54" s="86" t="str">
        <f>IF(A54="","",IFERROR(VLOOKUP(A54,DB_Customers!$A:$N,14,0),"❌ Acct Not Found"))</f>
        <v/>
      </c>
      <c r="D54" s="87" t="str">
        <f t="shared" ca="1" si="3"/>
        <v/>
      </c>
      <c r="E54" s="94"/>
      <c r="F54" s="41"/>
      <c r="G54" s="96" t="str">
        <f t="shared" si="4"/>
        <v/>
      </c>
      <c r="H54" s="43" t="s">
        <v>142</v>
      </c>
      <c r="I54" s="81"/>
      <c r="J54" s="89" t="str">
        <f>IF(AND(A54&lt;&gt;"",E54&lt;&gt;""),IF(I54="","⚠️ Enter Code",IF(IFERROR(VLOOKUP(H54,DB_Agents!$B:$I,8,0),"")=I54,IF(C54&gt;=E54,"Successful","Unsuccessful"),"🔒 BLOCKED — Wrong Code")),"Pending")</f>
        <v>Pending</v>
      </c>
      <c r="K54" s="90" t="str">
        <f t="shared" ca="1" si="5"/>
        <v>—</v>
      </c>
      <c r="L54" s="91"/>
    </row>
    <row r="55" spans="1:12" ht="15" customHeight="1" x14ac:dyDescent="0.25">
      <c r="A55" s="76"/>
      <c r="B55" s="37" t="str">
        <f>IF(A55="","",IFERROR(VLOOKUP(A55,DB_Customers!$A:$D,4,0),"❌ Account Not Found"))</f>
        <v/>
      </c>
      <c r="C55" s="77" t="str">
        <f>IF(A55="","",IFERROR(VLOOKUP(A55,DB_Customers!$A:$N,14,0),"❌ Acct Not Found"))</f>
        <v/>
      </c>
      <c r="D55" s="78" t="str">
        <f t="shared" ca="1" si="3"/>
        <v/>
      </c>
      <c r="E55" s="94"/>
      <c r="F55" s="37"/>
      <c r="G55" s="95" t="str">
        <f t="shared" si="4"/>
        <v/>
      </c>
      <c r="H55" s="39" t="s">
        <v>142</v>
      </c>
      <c r="I55" s="81"/>
      <c r="J55" s="82" t="str">
        <f>IF(AND(A55&lt;&gt;"",E55&lt;&gt;""),IF(I55="","⚠️ Enter Code",IF(IFERROR(VLOOKUP(H55,DB_Agents!$B:$I,8,0),"")=I55,IF(C55&gt;=E55,"Successful","Unsuccessful"),"🔒 BLOCKED — Wrong Code")),"Pending")</f>
        <v>Pending</v>
      </c>
      <c r="K55" s="83" t="str">
        <f t="shared" ca="1" si="5"/>
        <v>—</v>
      </c>
      <c r="L55" s="84"/>
    </row>
    <row r="56" spans="1:12" ht="15" customHeight="1" x14ac:dyDescent="0.25">
      <c r="A56" s="85"/>
      <c r="B56" s="41" t="str">
        <f>IF(A56="","",IFERROR(VLOOKUP(A56,DB_Customers!$A:$D,4,0),"❌ Account Not Found"))</f>
        <v/>
      </c>
      <c r="C56" s="86" t="str">
        <f>IF(A56="","",IFERROR(VLOOKUP(A56,DB_Customers!$A:$N,14,0),"❌ Acct Not Found"))</f>
        <v/>
      </c>
      <c r="D56" s="87" t="str">
        <f t="shared" ca="1" si="3"/>
        <v/>
      </c>
      <c r="E56" s="94"/>
      <c r="F56" s="41"/>
      <c r="G56" s="96" t="str">
        <f t="shared" si="4"/>
        <v/>
      </c>
      <c r="H56" s="43" t="s">
        <v>142</v>
      </c>
      <c r="I56" s="81"/>
      <c r="J56" s="89" t="str">
        <f>IF(AND(A56&lt;&gt;"",E56&lt;&gt;""),IF(I56="","⚠️ Enter Code",IF(IFERROR(VLOOKUP(H56,DB_Agents!$B:$I,8,0),"")=I56,IF(C56&gt;=E56,"Successful","Unsuccessful"),"🔒 BLOCKED — Wrong Code")),"Pending")</f>
        <v>Pending</v>
      </c>
      <c r="K56" s="90" t="str">
        <f t="shared" ca="1" si="5"/>
        <v>—</v>
      </c>
      <c r="L56" s="91"/>
    </row>
    <row r="57" spans="1:12" ht="15" customHeight="1" x14ac:dyDescent="0.25">
      <c r="A57" s="76"/>
      <c r="B57" s="37" t="str">
        <f>IF(A57="","",IFERROR(VLOOKUP(A57,DB_Customers!$A:$D,4,0),"❌ Account Not Found"))</f>
        <v/>
      </c>
      <c r="C57" s="77" t="str">
        <f>IF(A57="","",IFERROR(VLOOKUP(A57,DB_Customers!$A:$N,14,0),"❌ Acct Not Found"))</f>
        <v/>
      </c>
      <c r="D57" s="78" t="str">
        <f t="shared" ca="1" si="3"/>
        <v/>
      </c>
      <c r="E57" s="94"/>
      <c r="F57" s="37"/>
      <c r="G57" s="95" t="str">
        <f t="shared" si="4"/>
        <v/>
      </c>
      <c r="H57" s="39" t="s">
        <v>142</v>
      </c>
      <c r="I57" s="81"/>
      <c r="J57" s="82" t="str">
        <f>IF(AND(A57&lt;&gt;"",E57&lt;&gt;""),IF(I57="","⚠️ Enter Code",IF(IFERROR(VLOOKUP(H57,DB_Agents!$B:$I,8,0),"")=I57,IF(C57&gt;=E57,"Successful","Unsuccessful"),"🔒 BLOCKED — Wrong Code")),"Pending")</f>
        <v>Pending</v>
      </c>
      <c r="K57" s="83" t="str">
        <f t="shared" ca="1" si="5"/>
        <v>—</v>
      </c>
      <c r="L57" s="84"/>
    </row>
    <row r="58" spans="1:12" ht="15" customHeight="1" x14ac:dyDescent="0.25">
      <c r="A58" s="85"/>
      <c r="B58" s="41" t="str">
        <f>IF(A58="","",IFERROR(VLOOKUP(A58,DB_Customers!$A:$D,4,0),"❌ Account Not Found"))</f>
        <v/>
      </c>
      <c r="C58" s="86" t="str">
        <f>IF(A58="","",IFERROR(VLOOKUP(A58,DB_Customers!$A:$N,14,0),"❌ Acct Not Found"))</f>
        <v/>
      </c>
      <c r="D58" s="87" t="str">
        <f t="shared" ca="1" si="3"/>
        <v/>
      </c>
      <c r="E58" s="94"/>
      <c r="F58" s="41"/>
      <c r="G58" s="96" t="str">
        <f t="shared" si="4"/>
        <v/>
      </c>
      <c r="H58" s="43" t="s">
        <v>142</v>
      </c>
      <c r="I58" s="81"/>
      <c r="J58" s="89" t="str">
        <f>IF(AND(A58&lt;&gt;"",E58&lt;&gt;""),IF(I58="","⚠️ Enter Code",IF(IFERROR(VLOOKUP(H58,DB_Agents!$B:$I,8,0),"")=I58,IF(C58&gt;=E58,"Successful","Unsuccessful"),"🔒 BLOCKED — Wrong Code")),"Pending")</f>
        <v>Pending</v>
      </c>
      <c r="K58" s="90" t="str">
        <f t="shared" ca="1" si="5"/>
        <v>—</v>
      </c>
      <c r="L58" s="91"/>
    </row>
    <row r="59" spans="1:12" ht="15" customHeight="1" x14ac:dyDescent="0.25">
      <c r="A59" s="76"/>
      <c r="B59" s="37" t="str">
        <f>IF(A59="","",IFERROR(VLOOKUP(A59,DB_Customers!$A:$D,4,0),"❌ Account Not Found"))</f>
        <v/>
      </c>
      <c r="C59" s="77" t="str">
        <f>IF(A59="","",IFERROR(VLOOKUP(A59,DB_Customers!$A:$N,14,0),"❌ Acct Not Found"))</f>
        <v/>
      </c>
      <c r="D59" s="78" t="str">
        <f t="shared" ca="1" si="3"/>
        <v/>
      </c>
      <c r="E59" s="94"/>
      <c r="F59" s="37"/>
      <c r="G59" s="95" t="str">
        <f t="shared" si="4"/>
        <v/>
      </c>
      <c r="H59" s="39" t="s">
        <v>142</v>
      </c>
      <c r="I59" s="81"/>
      <c r="J59" s="82" t="str">
        <f>IF(AND(A59&lt;&gt;"",E59&lt;&gt;""),IF(I59="","⚠️ Enter Code",IF(IFERROR(VLOOKUP(H59,DB_Agents!$B:$I,8,0),"")=I59,IF(C59&gt;=E59,"Successful","Unsuccessful"),"🔒 BLOCKED — Wrong Code")),"Pending")</f>
        <v>Pending</v>
      </c>
      <c r="K59" s="83" t="str">
        <f t="shared" ca="1" si="5"/>
        <v>—</v>
      </c>
      <c r="L59" s="84"/>
    </row>
    <row r="60" spans="1:12" ht="15" customHeight="1" x14ac:dyDescent="0.25">
      <c r="A60" s="85"/>
      <c r="B60" s="41" t="str">
        <f>IF(A60="","",IFERROR(VLOOKUP(A60,DB_Customers!$A:$D,4,0),"❌ Account Not Found"))</f>
        <v/>
      </c>
      <c r="C60" s="86" t="str">
        <f>IF(A60="","",IFERROR(VLOOKUP(A60,DB_Customers!$A:$N,14,0),"❌ Acct Not Found"))</f>
        <v/>
      </c>
      <c r="D60" s="87" t="str">
        <f t="shared" ca="1" si="3"/>
        <v/>
      </c>
      <c r="E60" s="94"/>
      <c r="F60" s="41"/>
      <c r="G60" s="96" t="str">
        <f t="shared" si="4"/>
        <v/>
      </c>
      <c r="H60" s="43" t="s">
        <v>142</v>
      </c>
      <c r="I60" s="81"/>
      <c r="J60" s="89" t="str">
        <f>IF(AND(A60&lt;&gt;"",E60&lt;&gt;""),IF(I60="","⚠️ Enter Code",IF(IFERROR(VLOOKUP(H60,DB_Agents!$B:$I,8,0),"")=I60,IF(C60&gt;=E60,"Successful","Unsuccessful"),"🔒 BLOCKED — Wrong Code")),"Pending")</f>
        <v>Pending</v>
      </c>
      <c r="K60" s="90" t="str">
        <f t="shared" ca="1" si="5"/>
        <v>—</v>
      </c>
      <c r="L60" s="91"/>
    </row>
    <row r="61" spans="1:12" ht="15" customHeight="1" x14ac:dyDescent="0.25">
      <c r="A61" s="76"/>
      <c r="B61" s="37" t="str">
        <f>IF(A61="","",IFERROR(VLOOKUP(A61,DB_Customers!$A:$D,4,0),"❌ Account Not Found"))</f>
        <v/>
      </c>
      <c r="C61" s="77" t="str">
        <f>IF(A61="","",IFERROR(VLOOKUP(A61,DB_Customers!$A:$N,14,0),"❌ Acct Not Found"))</f>
        <v/>
      </c>
      <c r="D61" s="78" t="str">
        <f t="shared" ca="1" si="3"/>
        <v/>
      </c>
      <c r="E61" s="94"/>
      <c r="F61" s="37"/>
      <c r="G61" s="95" t="str">
        <f t="shared" si="4"/>
        <v/>
      </c>
      <c r="H61" s="39" t="s">
        <v>142</v>
      </c>
      <c r="I61" s="81"/>
      <c r="J61" s="82" t="str">
        <f>IF(AND(A61&lt;&gt;"",E61&lt;&gt;""),IF(I61="","⚠️ Enter Code",IF(IFERROR(VLOOKUP(H61,DB_Agents!$B:$I,8,0),"")=I61,IF(C61&gt;=E61,"Successful","Unsuccessful"),"🔒 BLOCKED — Wrong Code")),"Pending")</f>
        <v>Pending</v>
      </c>
      <c r="K61" s="83" t="str">
        <f t="shared" ca="1" si="5"/>
        <v>—</v>
      </c>
      <c r="L61" s="84"/>
    </row>
    <row r="62" spans="1:12" ht="15" customHeight="1" x14ac:dyDescent="0.25">
      <c r="A62" s="85"/>
      <c r="B62" s="41" t="str">
        <f>IF(A62="","",IFERROR(VLOOKUP(A62,DB_Customers!$A:$D,4,0),"❌ Account Not Found"))</f>
        <v/>
      </c>
      <c r="C62" s="86" t="str">
        <f>IF(A62="","",IFERROR(VLOOKUP(A62,DB_Customers!$A:$N,14,0),"❌ Acct Not Found"))</f>
        <v/>
      </c>
      <c r="D62" s="87" t="str">
        <f t="shared" ca="1" si="3"/>
        <v/>
      </c>
      <c r="E62" s="94"/>
      <c r="F62" s="41"/>
      <c r="G62" s="96" t="str">
        <f t="shared" si="4"/>
        <v/>
      </c>
      <c r="H62" s="43" t="s">
        <v>142</v>
      </c>
      <c r="I62" s="81"/>
      <c r="J62" s="89" t="str">
        <f>IF(AND(A62&lt;&gt;"",E62&lt;&gt;""),IF(I62="","⚠️ Enter Code",IF(IFERROR(VLOOKUP(H62,DB_Agents!$B:$I,8,0),"")=I62,IF(C62&gt;=E62,"Successful","Unsuccessful"),"🔒 BLOCKED — Wrong Code")),"Pending")</f>
        <v>Pending</v>
      </c>
      <c r="K62" s="90" t="str">
        <f t="shared" ca="1" si="5"/>
        <v>—</v>
      </c>
      <c r="L62" s="91"/>
    </row>
    <row r="63" spans="1:12" ht="15" customHeight="1" x14ac:dyDescent="0.25">
      <c r="A63" s="76"/>
      <c r="B63" s="37" t="str">
        <f>IF(A63="","",IFERROR(VLOOKUP(A63,DB_Customers!$A:$D,4,0),"❌ Account Not Found"))</f>
        <v/>
      </c>
      <c r="C63" s="77" t="str">
        <f>IF(A63="","",IFERROR(VLOOKUP(A63,DB_Customers!$A:$N,14,0),"❌ Acct Not Found"))</f>
        <v/>
      </c>
      <c r="D63" s="78" t="str">
        <f t="shared" ca="1" si="3"/>
        <v/>
      </c>
      <c r="E63" s="94"/>
      <c r="F63" s="37"/>
      <c r="G63" s="95" t="str">
        <f t="shared" si="4"/>
        <v/>
      </c>
      <c r="H63" s="39" t="s">
        <v>142</v>
      </c>
      <c r="I63" s="81"/>
      <c r="J63" s="82" t="str">
        <f>IF(AND(A63&lt;&gt;"",E63&lt;&gt;""),IF(I63="","⚠️ Enter Code",IF(IFERROR(VLOOKUP(H63,DB_Agents!$B:$I,8,0),"")=I63,IF(C63&gt;=E63,"Successful","Unsuccessful"),"🔒 BLOCKED — Wrong Code")),"Pending")</f>
        <v>Pending</v>
      </c>
      <c r="K63" s="83" t="str">
        <f t="shared" ca="1" si="5"/>
        <v>—</v>
      </c>
      <c r="L63" s="84"/>
    </row>
    <row r="64" spans="1:12" ht="15" customHeight="1" x14ac:dyDescent="0.25">
      <c r="A64" s="85"/>
      <c r="B64" s="41" t="str">
        <f>IF(A64="","",IFERROR(VLOOKUP(A64,DB_Customers!$A:$D,4,0),"❌ Account Not Found"))</f>
        <v/>
      </c>
      <c r="C64" s="86" t="str">
        <f>IF(A64="","",IFERROR(VLOOKUP(A64,DB_Customers!$A:$N,14,0),"❌ Acct Not Found"))</f>
        <v/>
      </c>
      <c r="D64" s="87" t="str">
        <f t="shared" ca="1" si="3"/>
        <v/>
      </c>
      <c r="E64" s="94"/>
      <c r="F64" s="41"/>
      <c r="G64" s="96" t="str">
        <f t="shared" si="4"/>
        <v/>
      </c>
      <c r="H64" s="43" t="s">
        <v>142</v>
      </c>
      <c r="I64" s="81"/>
      <c r="J64" s="89" t="str">
        <f>IF(AND(A64&lt;&gt;"",E64&lt;&gt;""),IF(I64="","⚠️ Enter Code",IF(IFERROR(VLOOKUP(H64,DB_Agents!$B:$I,8,0),"")=I64,IF(C64&gt;=E64,"Successful","Unsuccessful"),"🔒 BLOCKED — Wrong Code")),"Pending")</f>
        <v>Pending</v>
      </c>
      <c r="K64" s="90" t="str">
        <f t="shared" ca="1" si="5"/>
        <v>—</v>
      </c>
      <c r="L64" s="91"/>
    </row>
    <row r="65" spans="1:12" ht="15" customHeight="1" x14ac:dyDescent="0.25">
      <c r="A65" s="76"/>
      <c r="B65" s="37" t="str">
        <f>IF(A65="","",IFERROR(VLOOKUP(A65,DB_Customers!$A:$D,4,0),"❌ Account Not Found"))</f>
        <v/>
      </c>
      <c r="C65" s="77" t="str">
        <f>IF(A65="","",IFERROR(VLOOKUP(A65,DB_Customers!$A:$N,14,0),"❌ Acct Not Found"))</f>
        <v/>
      </c>
      <c r="D65" s="78" t="str">
        <f t="shared" ca="1" si="3"/>
        <v/>
      </c>
      <c r="E65" s="94"/>
      <c r="F65" s="37"/>
      <c r="G65" s="95" t="str">
        <f t="shared" si="4"/>
        <v/>
      </c>
      <c r="H65" s="39" t="s">
        <v>142</v>
      </c>
      <c r="I65" s="81"/>
      <c r="J65" s="82" t="str">
        <f>IF(AND(A65&lt;&gt;"",E65&lt;&gt;""),IF(I65="","⚠️ Enter Code",IF(IFERROR(VLOOKUP(H65,DB_Agents!$B:$I,8,0),"")=I65,IF(C65&gt;=E65,"Successful","Unsuccessful"),"🔒 BLOCKED — Wrong Code")),"Pending")</f>
        <v>Pending</v>
      </c>
      <c r="K65" s="83" t="str">
        <f t="shared" ca="1" si="5"/>
        <v>—</v>
      </c>
      <c r="L65" s="84"/>
    </row>
    <row r="66" spans="1:12" ht="15" customHeight="1" x14ac:dyDescent="0.25">
      <c r="A66" s="85"/>
      <c r="B66" s="41" t="str">
        <f>IF(A66="","",IFERROR(VLOOKUP(A66,DB_Customers!$A:$D,4,0),"❌ Account Not Found"))</f>
        <v/>
      </c>
      <c r="C66" s="86" t="str">
        <f>IF(A66="","",IFERROR(VLOOKUP(A66,DB_Customers!$A:$N,14,0),"❌ Acct Not Found"))</f>
        <v/>
      </c>
      <c r="D66" s="87" t="str">
        <f t="shared" ca="1" si="3"/>
        <v/>
      </c>
      <c r="E66" s="94"/>
      <c r="F66" s="41"/>
      <c r="G66" s="96" t="str">
        <f t="shared" si="4"/>
        <v/>
      </c>
      <c r="H66" s="43" t="s">
        <v>142</v>
      </c>
      <c r="I66" s="81"/>
      <c r="J66" s="89" t="str">
        <f>IF(AND(A66&lt;&gt;"",E66&lt;&gt;""),IF(I66="","⚠️ Enter Code",IF(IFERROR(VLOOKUP(H66,DB_Agents!$B:$I,8,0),"")=I66,IF(C66&gt;=E66,"Successful","Unsuccessful"),"🔒 BLOCKED — Wrong Code")),"Pending")</f>
        <v>Pending</v>
      </c>
      <c r="K66" s="90" t="str">
        <f t="shared" ca="1" si="5"/>
        <v>—</v>
      </c>
      <c r="L66" s="91"/>
    </row>
    <row r="67" spans="1:12" ht="15" customHeight="1" x14ac:dyDescent="0.25">
      <c r="A67" s="76"/>
      <c r="B67" s="37" t="str">
        <f>IF(A67="","",IFERROR(VLOOKUP(A67,DB_Customers!$A:$D,4,0),"❌ Account Not Found"))</f>
        <v/>
      </c>
      <c r="C67" s="77" t="str">
        <f>IF(A67="","",IFERROR(VLOOKUP(A67,DB_Customers!$A:$N,14,0),"❌ Acct Not Found"))</f>
        <v/>
      </c>
      <c r="D67" s="78" t="str">
        <f t="shared" ca="1" si="3"/>
        <v/>
      </c>
      <c r="E67" s="94"/>
      <c r="F67" s="37"/>
      <c r="G67" s="95" t="str">
        <f t="shared" si="4"/>
        <v/>
      </c>
      <c r="H67" s="39" t="s">
        <v>142</v>
      </c>
      <c r="I67" s="81"/>
      <c r="J67" s="82" t="str">
        <f>IF(AND(A67&lt;&gt;"",E67&lt;&gt;""),IF(I67="","⚠️ Enter Code",IF(IFERROR(VLOOKUP(H67,DB_Agents!$B:$I,8,0),"")=I67,IF(C67&gt;=E67,"Successful","Unsuccessful"),"🔒 BLOCKED — Wrong Code")),"Pending")</f>
        <v>Pending</v>
      </c>
      <c r="K67" s="83" t="str">
        <f t="shared" ca="1" si="5"/>
        <v>—</v>
      </c>
      <c r="L67" s="84"/>
    </row>
    <row r="68" spans="1:12" ht="15" customHeight="1" x14ac:dyDescent="0.25">
      <c r="A68" s="85"/>
      <c r="B68" s="41" t="str">
        <f>IF(A68="","",IFERROR(VLOOKUP(A68,DB_Customers!$A:$D,4,0),"❌ Account Not Found"))</f>
        <v/>
      </c>
      <c r="C68" s="86" t="str">
        <f>IF(A68="","",IFERROR(VLOOKUP(A68,DB_Customers!$A:$N,14,0),"❌ Acct Not Found"))</f>
        <v/>
      </c>
      <c r="D68" s="87" t="str">
        <f t="shared" ca="1" si="3"/>
        <v/>
      </c>
      <c r="E68" s="94"/>
      <c r="F68" s="41"/>
      <c r="G68" s="96" t="str">
        <f t="shared" si="4"/>
        <v/>
      </c>
      <c r="H68" s="43" t="s">
        <v>142</v>
      </c>
      <c r="I68" s="81"/>
      <c r="J68" s="89" t="str">
        <f>IF(AND(A68&lt;&gt;"",E68&lt;&gt;""),IF(I68="","⚠️ Enter Code",IF(IFERROR(VLOOKUP(H68,DB_Agents!$B:$I,8,0),"")=I68,IF(C68&gt;=E68,"Successful","Unsuccessful"),"🔒 BLOCKED — Wrong Code")),"Pending")</f>
        <v>Pending</v>
      </c>
      <c r="K68" s="90" t="str">
        <f t="shared" ca="1" si="5"/>
        <v>—</v>
      </c>
      <c r="L68" s="91"/>
    </row>
    <row r="69" spans="1:12" ht="15" customHeight="1" x14ac:dyDescent="0.25">
      <c r="A69" s="76"/>
      <c r="B69" s="37" t="str">
        <f>IF(A69="","",IFERROR(VLOOKUP(A69,DB_Customers!$A:$D,4,0),"❌ Account Not Found"))</f>
        <v/>
      </c>
      <c r="C69" s="77" t="str">
        <f>IF(A69="","",IFERROR(VLOOKUP(A69,DB_Customers!$A:$N,14,0),"❌ Acct Not Found"))</f>
        <v/>
      </c>
      <c r="D69" s="78" t="str">
        <f t="shared" ca="1" si="3"/>
        <v/>
      </c>
      <c r="E69" s="94"/>
      <c r="F69" s="37"/>
      <c r="G69" s="95" t="str">
        <f t="shared" si="4"/>
        <v/>
      </c>
      <c r="H69" s="39" t="s">
        <v>142</v>
      </c>
      <c r="I69" s="81"/>
      <c r="J69" s="82" t="str">
        <f>IF(AND(A69&lt;&gt;"",E69&lt;&gt;""),IF(I69="","⚠️ Enter Code",IF(IFERROR(VLOOKUP(H69,DB_Agents!$B:$I,8,0),"")=I69,IF(C69&gt;=E69,"Successful","Unsuccessful"),"🔒 BLOCKED — Wrong Code")),"Pending")</f>
        <v>Pending</v>
      </c>
      <c r="K69" s="83" t="str">
        <f t="shared" ca="1" si="5"/>
        <v>—</v>
      </c>
      <c r="L69" s="84"/>
    </row>
    <row r="70" spans="1:12" ht="15" customHeight="1" x14ac:dyDescent="0.25">
      <c r="A70" s="85"/>
      <c r="B70" s="41" t="str">
        <f>IF(A70="","",IFERROR(VLOOKUP(A70,DB_Customers!$A:$D,4,0),"❌ Account Not Found"))</f>
        <v/>
      </c>
      <c r="C70" s="86" t="str">
        <f>IF(A70="","",IFERROR(VLOOKUP(A70,DB_Customers!$A:$N,14,0),"❌ Acct Not Found"))</f>
        <v/>
      </c>
      <c r="D70" s="87" t="str">
        <f t="shared" ca="1" si="3"/>
        <v/>
      </c>
      <c r="E70" s="94"/>
      <c r="F70" s="41"/>
      <c r="G70" s="96" t="str">
        <f t="shared" si="4"/>
        <v/>
      </c>
      <c r="H70" s="43" t="s">
        <v>142</v>
      </c>
      <c r="I70" s="81"/>
      <c r="J70" s="89" t="str">
        <f>IF(AND(A70&lt;&gt;"",E70&lt;&gt;""),IF(I70="","⚠️ Enter Code",IF(IFERROR(VLOOKUP(H70,DB_Agents!$B:$I,8,0),"")=I70,IF(C70&gt;=E70,"Successful","Unsuccessful"),"🔒 BLOCKED — Wrong Code")),"Pending")</f>
        <v>Pending</v>
      </c>
      <c r="K70" s="90" t="str">
        <f t="shared" ca="1" si="5"/>
        <v>—</v>
      </c>
      <c r="L70" s="91"/>
    </row>
    <row r="71" spans="1:12" ht="15" customHeight="1" x14ac:dyDescent="0.25">
      <c r="A71" s="76"/>
      <c r="B71" s="37" t="str">
        <f>IF(A71="","",IFERROR(VLOOKUP(A71,DB_Customers!$A:$D,4,0),"❌ Account Not Found"))</f>
        <v/>
      </c>
      <c r="C71" s="77" t="str">
        <f>IF(A71="","",IFERROR(VLOOKUP(A71,DB_Customers!$A:$N,14,0),"❌ Acct Not Found"))</f>
        <v/>
      </c>
      <c r="D71" s="78" t="str">
        <f t="shared" ca="1" si="3"/>
        <v/>
      </c>
      <c r="E71" s="94"/>
      <c r="F71" s="37"/>
      <c r="G71" s="95" t="str">
        <f t="shared" si="4"/>
        <v/>
      </c>
      <c r="H71" s="39" t="s">
        <v>142</v>
      </c>
      <c r="I71" s="81"/>
      <c r="J71" s="82" t="str">
        <f>IF(AND(A71&lt;&gt;"",E71&lt;&gt;""),IF(I71="","⚠️ Enter Code",IF(IFERROR(VLOOKUP(H71,DB_Agents!$B:$I,8,0),"")=I71,IF(C71&gt;=E71,"Successful","Unsuccessful"),"🔒 BLOCKED — Wrong Code")),"Pending")</f>
        <v>Pending</v>
      </c>
      <c r="K71" s="83" t="str">
        <f t="shared" ca="1" si="5"/>
        <v>—</v>
      </c>
      <c r="L71" s="84"/>
    </row>
    <row r="72" spans="1:12" ht="15" customHeight="1" x14ac:dyDescent="0.25">
      <c r="A72" s="85"/>
      <c r="B72" s="41" t="str">
        <f>IF(A72="","",IFERROR(VLOOKUP(A72,DB_Customers!$A:$D,4,0),"❌ Account Not Found"))</f>
        <v/>
      </c>
      <c r="C72" s="86" t="str">
        <f>IF(A72="","",IFERROR(VLOOKUP(A72,DB_Customers!$A:$N,14,0),"❌ Acct Not Found"))</f>
        <v/>
      </c>
      <c r="D72" s="87" t="str">
        <f t="shared" ca="1" si="3"/>
        <v/>
      </c>
      <c r="E72" s="94"/>
      <c r="F72" s="41"/>
      <c r="G72" s="96" t="str">
        <f t="shared" si="4"/>
        <v/>
      </c>
      <c r="H72" s="43" t="s">
        <v>142</v>
      </c>
      <c r="I72" s="81"/>
      <c r="J72" s="89" t="str">
        <f>IF(AND(A72&lt;&gt;"",E72&lt;&gt;""),IF(I72="","⚠️ Enter Code",IF(IFERROR(VLOOKUP(H72,DB_Agents!$B:$I,8,0),"")=I72,IF(C72&gt;=E72,"Successful","Unsuccessful"),"🔒 BLOCKED — Wrong Code")),"Pending")</f>
        <v>Pending</v>
      </c>
      <c r="K72" s="90" t="str">
        <f t="shared" ca="1" si="5"/>
        <v>—</v>
      </c>
      <c r="L72" s="91"/>
    </row>
    <row r="73" spans="1:12" ht="15" customHeight="1" x14ac:dyDescent="0.25">
      <c r="A73" s="76"/>
      <c r="B73" s="37" t="str">
        <f>IF(A73="","",IFERROR(VLOOKUP(A73,DB_Customers!$A:$D,4,0),"❌ Account Not Found"))</f>
        <v/>
      </c>
      <c r="C73" s="77" t="str">
        <f>IF(A73="","",IFERROR(VLOOKUP(A73,DB_Customers!$A:$N,14,0),"❌ Acct Not Found"))</f>
        <v/>
      </c>
      <c r="D73" s="78" t="str">
        <f t="shared" ref="D73:D104" ca="1" si="6">IF(A73="","",TODAY())</f>
        <v/>
      </c>
      <c r="E73" s="94"/>
      <c r="F73" s="37"/>
      <c r="G73" s="95" t="str">
        <f t="shared" ref="G73:G104" si="7">IF(OR(A73="",E73=""),"",IF(C73="","",C73-E73))</f>
        <v/>
      </c>
      <c r="H73" s="39" t="s">
        <v>142</v>
      </c>
      <c r="I73" s="81"/>
      <c r="J73" s="82" t="str">
        <f>IF(AND(A73&lt;&gt;"",E73&lt;&gt;""),IF(I73="","⚠️ Enter Code",IF(IFERROR(VLOOKUP(H73,DB_Agents!$B:$I,8,0),"")=I73,IF(C73&gt;=E73,"Successful","Unsuccessful"),"🔒 BLOCKED — Wrong Code")),"Pending")</f>
        <v>Pending</v>
      </c>
      <c r="K73" s="83" t="str">
        <f t="shared" ref="K73:K104" ca="1" si="8">IF(J73="Successful",TEXT(TODAY(),"YYYY-MM-DD")&amp;" Auto","—")</f>
        <v>—</v>
      </c>
      <c r="L73" s="84"/>
    </row>
    <row r="74" spans="1:12" ht="15" customHeight="1" x14ac:dyDescent="0.25">
      <c r="A74" s="85"/>
      <c r="B74" s="41" t="str">
        <f>IF(A74="","",IFERROR(VLOOKUP(A74,DB_Customers!$A:$D,4,0),"❌ Account Not Found"))</f>
        <v/>
      </c>
      <c r="C74" s="86" t="str">
        <f>IF(A74="","",IFERROR(VLOOKUP(A74,DB_Customers!$A:$N,14,0),"❌ Acct Not Found"))</f>
        <v/>
      </c>
      <c r="D74" s="87" t="str">
        <f t="shared" ca="1" si="6"/>
        <v/>
      </c>
      <c r="E74" s="94"/>
      <c r="F74" s="41"/>
      <c r="G74" s="96" t="str">
        <f t="shared" si="7"/>
        <v/>
      </c>
      <c r="H74" s="43" t="s">
        <v>142</v>
      </c>
      <c r="I74" s="81"/>
      <c r="J74" s="89" t="str">
        <f>IF(AND(A74&lt;&gt;"",E74&lt;&gt;""),IF(I74="","⚠️ Enter Code",IF(IFERROR(VLOOKUP(H74,DB_Agents!$B:$I,8,0),"")=I74,IF(C74&gt;=E74,"Successful","Unsuccessful"),"🔒 BLOCKED — Wrong Code")),"Pending")</f>
        <v>Pending</v>
      </c>
      <c r="K74" s="90" t="str">
        <f t="shared" ca="1" si="8"/>
        <v>—</v>
      </c>
      <c r="L74" s="91"/>
    </row>
    <row r="75" spans="1:12" ht="15" customHeight="1" x14ac:dyDescent="0.25">
      <c r="A75" s="76"/>
      <c r="B75" s="37" t="str">
        <f>IF(A75="","",IFERROR(VLOOKUP(A75,DB_Customers!$A:$D,4,0),"❌ Account Not Found"))</f>
        <v/>
      </c>
      <c r="C75" s="77" t="str">
        <f>IF(A75="","",IFERROR(VLOOKUP(A75,DB_Customers!$A:$N,14,0),"❌ Acct Not Found"))</f>
        <v/>
      </c>
      <c r="D75" s="78" t="str">
        <f t="shared" ca="1" si="6"/>
        <v/>
      </c>
      <c r="E75" s="94"/>
      <c r="F75" s="37"/>
      <c r="G75" s="95" t="str">
        <f t="shared" si="7"/>
        <v/>
      </c>
      <c r="H75" s="39" t="s">
        <v>142</v>
      </c>
      <c r="I75" s="81"/>
      <c r="J75" s="82" t="str">
        <f>IF(AND(A75&lt;&gt;"",E75&lt;&gt;""),IF(I75="","⚠️ Enter Code",IF(IFERROR(VLOOKUP(H75,DB_Agents!$B:$I,8,0),"")=I75,IF(C75&gt;=E75,"Successful","Unsuccessful"),"🔒 BLOCKED — Wrong Code")),"Pending")</f>
        <v>Pending</v>
      </c>
      <c r="K75" s="83" t="str">
        <f t="shared" ca="1" si="8"/>
        <v>—</v>
      </c>
      <c r="L75" s="84"/>
    </row>
    <row r="76" spans="1:12" ht="15" customHeight="1" x14ac:dyDescent="0.25">
      <c r="A76" s="85"/>
      <c r="B76" s="41" t="str">
        <f>IF(A76="","",IFERROR(VLOOKUP(A76,DB_Customers!$A:$D,4,0),"❌ Account Not Found"))</f>
        <v/>
      </c>
      <c r="C76" s="86" t="str">
        <f>IF(A76="","",IFERROR(VLOOKUP(A76,DB_Customers!$A:$N,14,0),"❌ Acct Not Found"))</f>
        <v/>
      </c>
      <c r="D76" s="87" t="str">
        <f t="shared" ca="1" si="6"/>
        <v/>
      </c>
      <c r="E76" s="94"/>
      <c r="F76" s="41"/>
      <c r="G76" s="96" t="str">
        <f t="shared" si="7"/>
        <v/>
      </c>
      <c r="H76" s="43" t="s">
        <v>142</v>
      </c>
      <c r="I76" s="81"/>
      <c r="J76" s="89" t="str">
        <f>IF(AND(A76&lt;&gt;"",E76&lt;&gt;""),IF(I76="","⚠️ Enter Code",IF(IFERROR(VLOOKUP(H76,DB_Agents!$B:$I,8,0),"")=I76,IF(C76&gt;=E76,"Successful","Unsuccessful"),"🔒 BLOCKED — Wrong Code")),"Pending")</f>
        <v>Pending</v>
      </c>
      <c r="K76" s="90" t="str">
        <f t="shared" ca="1" si="8"/>
        <v>—</v>
      </c>
      <c r="L76" s="91"/>
    </row>
    <row r="77" spans="1:12" ht="15" customHeight="1" x14ac:dyDescent="0.25">
      <c r="A77" s="76"/>
      <c r="B77" s="37" t="str">
        <f>IF(A77="","",IFERROR(VLOOKUP(A77,DB_Customers!$A:$D,4,0),"❌ Account Not Found"))</f>
        <v/>
      </c>
      <c r="C77" s="77" t="str">
        <f>IF(A77="","",IFERROR(VLOOKUP(A77,DB_Customers!$A:$N,14,0),"❌ Acct Not Found"))</f>
        <v/>
      </c>
      <c r="D77" s="78" t="str">
        <f t="shared" ca="1" si="6"/>
        <v/>
      </c>
      <c r="E77" s="94"/>
      <c r="F77" s="37"/>
      <c r="G77" s="95" t="str">
        <f t="shared" si="7"/>
        <v/>
      </c>
      <c r="H77" s="39" t="s">
        <v>142</v>
      </c>
      <c r="I77" s="81"/>
      <c r="J77" s="82" t="str">
        <f>IF(AND(A77&lt;&gt;"",E77&lt;&gt;""),IF(I77="","⚠️ Enter Code",IF(IFERROR(VLOOKUP(H77,DB_Agents!$B:$I,8,0),"")=I77,IF(C77&gt;=E77,"Successful","Unsuccessful"),"🔒 BLOCKED — Wrong Code")),"Pending")</f>
        <v>Pending</v>
      </c>
      <c r="K77" s="83" t="str">
        <f t="shared" ca="1" si="8"/>
        <v>—</v>
      </c>
      <c r="L77" s="84"/>
    </row>
    <row r="78" spans="1:12" ht="15" customHeight="1" x14ac:dyDescent="0.25">
      <c r="A78" s="85"/>
      <c r="B78" s="41" t="str">
        <f>IF(A78="","",IFERROR(VLOOKUP(A78,DB_Customers!$A:$D,4,0),"❌ Account Not Found"))</f>
        <v/>
      </c>
      <c r="C78" s="86" t="str">
        <f>IF(A78="","",IFERROR(VLOOKUP(A78,DB_Customers!$A:$N,14,0),"❌ Acct Not Found"))</f>
        <v/>
      </c>
      <c r="D78" s="87" t="str">
        <f t="shared" ca="1" si="6"/>
        <v/>
      </c>
      <c r="E78" s="94"/>
      <c r="F78" s="41"/>
      <c r="G78" s="96" t="str">
        <f t="shared" si="7"/>
        <v/>
      </c>
      <c r="H78" s="43" t="s">
        <v>142</v>
      </c>
      <c r="I78" s="81"/>
      <c r="J78" s="89" t="str">
        <f>IF(AND(A78&lt;&gt;"",E78&lt;&gt;""),IF(I78="","⚠️ Enter Code",IF(IFERROR(VLOOKUP(H78,DB_Agents!$B:$I,8,0),"")=I78,IF(C78&gt;=E78,"Successful","Unsuccessful"),"🔒 BLOCKED — Wrong Code")),"Pending")</f>
        <v>Pending</v>
      </c>
      <c r="K78" s="90" t="str">
        <f t="shared" ca="1" si="8"/>
        <v>—</v>
      </c>
      <c r="L78" s="91"/>
    </row>
    <row r="79" spans="1:12" ht="15" customHeight="1" x14ac:dyDescent="0.25">
      <c r="A79" s="76"/>
      <c r="B79" s="37" t="str">
        <f>IF(A79="","",IFERROR(VLOOKUP(A79,DB_Customers!$A:$D,4,0),"❌ Account Not Found"))</f>
        <v/>
      </c>
      <c r="C79" s="77" t="str">
        <f>IF(A79="","",IFERROR(VLOOKUP(A79,DB_Customers!$A:$N,14,0),"❌ Acct Not Found"))</f>
        <v/>
      </c>
      <c r="D79" s="78" t="str">
        <f t="shared" ca="1" si="6"/>
        <v/>
      </c>
      <c r="E79" s="94"/>
      <c r="F79" s="37"/>
      <c r="G79" s="95" t="str">
        <f t="shared" si="7"/>
        <v/>
      </c>
      <c r="H79" s="39" t="s">
        <v>142</v>
      </c>
      <c r="I79" s="81"/>
      <c r="J79" s="82" t="str">
        <f>IF(AND(A79&lt;&gt;"",E79&lt;&gt;""),IF(I79="","⚠️ Enter Code",IF(IFERROR(VLOOKUP(H79,DB_Agents!$B:$I,8,0),"")=I79,IF(C79&gt;=E79,"Successful","Unsuccessful"),"🔒 BLOCKED — Wrong Code")),"Pending")</f>
        <v>Pending</v>
      </c>
      <c r="K79" s="83" t="str">
        <f t="shared" ca="1" si="8"/>
        <v>—</v>
      </c>
      <c r="L79" s="84"/>
    </row>
    <row r="80" spans="1:12" ht="15" customHeight="1" x14ac:dyDescent="0.25">
      <c r="A80" s="85"/>
      <c r="B80" s="41" t="str">
        <f>IF(A80="","",IFERROR(VLOOKUP(A80,DB_Customers!$A:$D,4,0),"❌ Account Not Found"))</f>
        <v/>
      </c>
      <c r="C80" s="86" t="str">
        <f>IF(A80="","",IFERROR(VLOOKUP(A80,DB_Customers!$A:$N,14,0),"❌ Acct Not Found"))</f>
        <v/>
      </c>
      <c r="D80" s="87" t="str">
        <f t="shared" ca="1" si="6"/>
        <v/>
      </c>
      <c r="E80" s="94"/>
      <c r="F80" s="41"/>
      <c r="G80" s="96" t="str">
        <f t="shared" si="7"/>
        <v/>
      </c>
      <c r="H80" s="43" t="s">
        <v>142</v>
      </c>
      <c r="I80" s="81"/>
      <c r="J80" s="89" t="str">
        <f>IF(AND(A80&lt;&gt;"",E80&lt;&gt;""),IF(I80="","⚠️ Enter Code",IF(IFERROR(VLOOKUP(H80,DB_Agents!$B:$I,8,0),"")=I80,IF(C80&gt;=E80,"Successful","Unsuccessful"),"🔒 BLOCKED — Wrong Code")),"Pending")</f>
        <v>Pending</v>
      </c>
      <c r="K80" s="90" t="str">
        <f t="shared" ca="1" si="8"/>
        <v>—</v>
      </c>
      <c r="L80" s="91"/>
    </row>
    <row r="81" spans="1:12" ht="15" customHeight="1" x14ac:dyDescent="0.25">
      <c r="A81" s="76"/>
      <c r="B81" s="37" t="str">
        <f>IF(A81="","",IFERROR(VLOOKUP(A81,DB_Customers!$A:$D,4,0),"❌ Account Not Found"))</f>
        <v/>
      </c>
      <c r="C81" s="77" t="str">
        <f>IF(A81="","",IFERROR(VLOOKUP(A81,DB_Customers!$A:$N,14,0),"❌ Acct Not Found"))</f>
        <v/>
      </c>
      <c r="D81" s="78" t="str">
        <f t="shared" ca="1" si="6"/>
        <v/>
      </c>
      <c r="E81" s="94"/>
      <c r="F81" s="37"/>
      <c r="G81" s="95" t="str">
        <f t="shared" si="7"/>
        <v/>
      </c>
      <c r="H81" s="39" t="s">
        <v>142</v>
      </c>
      <c r="I81" s="81"/>
      <c r="J81" s="82" t="str">
        <f>IF(AND(A81&lt;&gt;"",E81&lt;&gt;""),IF(I81="","⚠️ Enter Code",IF(IFERROR(VLOOKUP(H81,DB_Agents!$B:$I,8,0),"")=I81,IF(C81&gt;=E81,"Successful","Unsuccessful"),"🔒 BLOCKED — Wrong Code")),"Pending")</f>
        <v>Pending</v>
      </c>
      <c r="K81" s="83" t="str">
        <f t="shared" ca="1" si="8"/>
        <v>—</v>
      </c>
      <c r="L81" s="84"/>
    </row>
    <row r="82" spans="1:12" ht="15" customHeight="1" x14ac:dyDescent="0.25">
      <c r="A82" s="85"/>
      <c r="B82" s="41" t="str">
        <f>IF(A82="","",IFERROR(VLOOKUP(A82,DB_Customers!$A:$D,4,0),"❌ Account Not Found"))</f>
        <v/>
      </c>
      <c r="C82" s="86" t="str">
        <f>IF(A82="","",IFERROR(VLOOKUP(A82,DB_Customers!$A:$N,14,0),"❌ Acct Not Found"))</f>
        <v/>
      </c>
      <c r="D82" s="87" t="str">
        <f t="shared" ca="1" si="6"/>
        <v/>
      </c>
      <c r="E82" s="94"/>
      <c r="F82" s="41"/>
      <c r="G82" s="96" t="str">
        <f t="shared" si="7"/>
        <v/>
      </c>
      <c r="H82" s="43" t="s">
        <v>142</v>
      </c>
      <c r="I82" s="81"/>
      <c r="J82" s="89" t="str">
        <f>IF(AND(A82&lt;&gt;"",E82&lt;&gt;""),IF(I82="","⚠️ Enter Code",IF(IFERROR(VLOOKUP(H82,DB_Agents!$B:$I,8,0),"")=I82,IF(C82&gt;=E82,"Successful","Unsuccessful"),"🔒 BLOCKED — Wrong Code")),"Pending")</f>
        <v>Pending</v>
      </c>
      <c r="K82" s="90" t="str">
        <f t="shared" ca="1" si="8"/>
        <v>—</v>
      </c>
      <c r="L82" s="91"/>
    </row>
    <row r="83" spans="1:12" ht="15" customHeight="1" x14ac:dyDescent="0.25">
      <c r="A83" s="76"/>
      <c r="B83" s="37" t="str">
        <f>IF(A83="","",IFERROR(VLOOKUP(A83,DB_Customers!$A:$D,4,0),"❌ Account Not Found"))</f>
        <v/>
      </c>
      <c r="C83" s="77" t="str">
        <f>IF(A83="","",IFERROR(VLOOKUP(A83,DB_Customers!$A:$N,14,0),"❌ Acct Not Found"))</f>
        <v/>
      </c>
      <c r="D83" s="78" t="str">
        <f t="shared" ca="1" si="6"/>
        <v/>
      </c>
      <c r="E83" s="94"/>
      <c r="F83" s="37"/>
      <c r="G83" s="95" t="str">
        <f t="shared" si="7"/>
        <v/>
      </c>
      <c r="H83" s="39" t="s">
        <v>142</v>
      </c>
      <c r="I83" s="81"/>
      <c r="J83" s="82" t="str">
        <f>IF(AND(A83&lt;&gt;"",E83&lt;&gt;""),IF(I83="","⚠️ Enter Code",IF(IFERROR(VLOOKUP(H83,DB_Agents!$B:$I,8,0),"")=I83,IF(C83&gt;=E83,"Successful","Unsuccessful"),"🔒 BLOCKED — Wrong Code")),"Pending")</f>
        <v>Pending</v>
      </c>
      <c r="K83" s="83" t="str">
        <f t="shared" ca="1" si="8"/>
        <v>—</v>
      </c>
      <c r="L83" s="84"/>
    </row>
    <row r="84" spans="1:12" ht="15" customHeight="1" x14ac:dyDescent="0.25">
      <c r="A84" s="85"/>
      <c r="B84" s="41" t="str">
        <f>IF(A84="","",IFERROR(VLOOKUP(A84,DB_Customers!$A:$D,4,0),"❌ Account Not Found"))</f>
        <v/>
      </c>
      <c r="C84" s="86" t="str">
        <f>IF(A84="","",IFERROR(VLOOKUP(A84,DB_Customers!$A:$N,14,0),"❌ Acct Not Found"))</f>
        <v/>
      </c>
      <c r="D84" s="87" t="str">
        <f t="shared" ca="1" si="6"/>
        <v/>
      </c>
      <c r="E84" s="94"/>
      <c r="F84" s="41"/>
      <c r="G84" s="96" t="str">
        <f t="shared" si="7"/>
        <v/>
      </c>
      <c r="H84" s="43" t="s">
        <v>142</v>
      </c>
      <c r="I84" s="81"/>
      <c r="J84" s="89" t="str">
        <f>IF(AND(A84&lt;&gt;"",E84&lt;&gt;""),IF(I84="","⚠️ Enter Code",IF(IFERROR(VLOOKUP(H84,DB_Agents!$B:$I,8,0),"")=I84,IF(C84&gt;=E84,"Successful","Unsuccessful"),"🔒 BLOCKED — Wrong Code")),"Pending")</f>
        <v>Pending</v>
      </c>
      <c r="K84" s="90" t="str">
        <f t="shared" ca="1" si="8"/>
        <v>—</v>
      </c>
      <c r="L84" s="91"/>
    </row>
    <row r="85" spans="1:12" ht="15" customHeight="1" x14ac:dyDescent="0.25">
      <c r="A85" s="76"/>
      <c r="B85" s="37" t="str">
        <f>IF(A85="","",IFERROR(VLOOKUP(A85,DB_Customers!$A:$D,4,0),"❌ Account Not Found"))</f>
        <v/>
      </c>
      <c r="C85" s="77" t="str">
        <f>IF(A85="","",IFERROR(VLOOKUP(A85,DB_Customers!$A:$N,14,0),"❌ Acct Not Found"))</f>
        <v/>
      </c>
      <c r="D85" s="78" t="str">
        <f t="shared" ca="1" si="6"/>
        <v/>
      </c>
      <c r="E85" s="94"/>
      <c r="F85" s="37"/>
      <c r="G85" s="95" t="str">
        <f t="shared" si="7"/>
        <v/>
      </c>
      <c r="H85" s="39" t="s">
        <v>142</v>
      </c>
      <c r="I85" s="81"/>
      <c r="J85" s="82" t="str">
        <f>IF(AND(A85&lt;&gt;"",E85&lt;&gt;""),IF(I85="","⚠️ Enter Code",IF(IFERROR(VLOOKUP(H85,DB_Agents!$B:$I,8,0),"")=I85,IF(C85&gt;=E85,"Successful","Unsuccessful"),"🔒 BLOCKED — Wrong Code")),"Pending")</f>
        <v>Pending</v>
      </c>
      <c r="K85" s="83" t="str">
        <f t="shared" ca="1" si="8"/>
        <v>—</v>
      </c>
      <c r="L85" s="84"/>
    </row>
    <row r="86" spans="1:12" ht="15" customHeight="1" x14ac:dyDescent="0.25">
      <c r="A86" s="85"/>
      <c r="B86" s="41" t="str">
        <f>IF(A86="","",IFERROR(VLOOKUP(A86,DB_Customers!$A:$D,4,0),"❌ Account Not Found"))</f>
        <v/>
      </c>
      <c r="C86" s="86" t="str">
        <f>IF(A86="","",IFERROR(VLOOKUP(A86,DB_Customers!$A:$N,14,0),"❌ Acct Not Found"))</f>
        <v/>
      </c>
      <c r="D86" s="87" t="str">
        <f t="shared" ca="1" si="6"/>
        <v/>
      </c>
      <c r="E86" s="94"/>
      <c r="F86" s="41"/>
      <c r="G86" s="96" t="str">
        <f t="shared" si="7"/>
        <v/>
      </c>
      <c r="H86" s="43" t="s">
        <v>142</v>
      </c>
      <c r="I86" s="81"/>
      <c r="J86" s="89" t="str">
        <f>IF(AND(A86&lt;&gt;"",E86&lt;&gt;""),IF(I86="","⚠️ Enter Code",IF(IFERROR(VLOOKUP(H86,DB_Agents!$B:$I,8,0),"")=I86,IF(C86&gt;=E86,"Successful","Unsuccessful"),"🔒 BLOCKED — Wrong Code")),"Pending")</f>
        <v>Pending</v>
      </c>
      <c r="K86" s="90" t="str">
        <f t="shared" ca="1" si="8"/>
        <v>—</v>
      </c>
      <c r="L86" s="91"/>
    </row>
    <row r="87" spans="1:12" ht="15" customHeight="1" x14ac:dyDescent="0.25">
      <c r="A87" s="76"/>
      <c r="B87" s="37" t="str">
        <f>IF(A87="","",IFERROR(VLOOKUP(A87,DB_Customers!$A:$D,4,0),"❌ Account Not Found"))</f>
        <v/>
      </c>
      <c r="C87" s="77" t="str">
        <f>IF(A87="","",IFERROR(VLOOKUP(A87,DB_Customers!$A:$N,14,0),"❌ Acct Not Found"))</f>
        <v/>
      </c>
      <c r="D87" s="78" t="str">
        <f t="shared" ca="1" si="6"/>
        <v/>
      </c>
      <c r="E87" s="94"/>
      <c r="F87" s="37"/>
      <c r="G87" s="95" t="str">
        <f t="shared" si="7"/>
        <v/>
      </c>
      <c r="H87" s="39" t="s">
        <v>142</v>
      </c>
      <c r="I87" s="81"/>
      <c r="J87" s="82" t="str">
        <f>IF(AND(A87&lt;&gt;"",E87&lt;&gt;""),IF(I87="","⚠️ Enter Code",IF(IFERROR(VLOOKUP(H87,DB_Agents!$B:$I,8,0),"")=I87,IF(C87&gt;=E87,"Successful","Unsuccessful"),"🔒 BLOCKED — Wrong Code")),"Pending")</f>
        <v>Pending</v>
      </c>
      <c r="K87" s="83" t="str">
        <f t="shared" ca="1" si="8"/>
        <v>—</v>
      </c>
      <c r="L87" s="84"/>
    </row>
    <row r="88" spans="1:12" ht="15" customHeight="1" x14ac:dyDescent="0.25">
      <c r="A88" s="85"/>
      <c r="B88" s="41" t="str">
        <f>IF(A88="","",IFERROR(VLOOKUP(A88,DB_Customers!$A:$D,4,0),"❌ Account Not Found"))</f>
        <v/>
      </c>
      <c r="C88" s="86" t="str">
        <f>IF(A88="","",IFERROR(VLOOKUP(A88,DB_Customers!$A:$N,14,0),"❌ Acct Not Found"))</f>
        <v/>
      </c>
      <c r="D88" s="87" t="str">
        <f t="shared" ca="1" si="6"/>
        <v/>
      </c>
      <c r="E88" s="94"/>
      <c r="F88" s="41"/>
      <c r="G88" s="96" t="str">
        <f t="shared" si="7"/>
        <v/>
      </c>
      <c r="H88" s="43" t="s">
        <v>142</v>
      </c>
      <c r="I88" s="81"/>
      <c r="J88" s="89" t="str">
        <f>IF(AND(A88&lt;&gt;"",E88&lt;&gt;""),IF(I88="","⚠️ Enter Code",IF(IFERROR(VLOOKUP(H88,DB_Agents!$B:$I,8,0),"")=I88,IF(C88&gt;=E88,"Successful","Unsuccessful"),"🔒 BLOCKED — Wrong Code")),"Pending")</f>
        <v>Pending</v>
      </c>
      <c r="K88" s="90" t="str">
        <f t="shared" ca="1" si="8"/>
        <v>—</v>
      </c>
      <c r="L88" s="91"/>
    </row>
    <row r="89" spans="1:12" ht="15" customHeight="1" x14ac:dyDescent="0.25">
      <c r="A89" s="76"/>
      <c r="B89" s="37" t="str">
        <f>IF(A89="","",IFERROR(VLOOKUP(A89,DB_Customers!$A:$D,4,0),"❌ Account Not Found"))</f>
        <v/>
      </c>
      <c r="C89" s="77" t="str">
        <f>IF(A89="","",IFERROR(VLOOKUP(A89,DB_Customers!$A:$N,14,0),"❌ Acct Not Found"))</f>
        <v/>
      </c>
      <c r="D89" s="78" t="str">
        <f t="shared" ca="1" si="6"/>
        <v/>
      </c>
      <c r="E89" s="94"/>
      <c r="F89" s="37"/>
      <c r="G89" s="95" t="str">
        <f t="shared" si="7"/>
        <v/>
      </c>
      <c r="H89" s="39" t="s">
        <v>142</v>
      </c>
      <c r="I89" s="81"/>
      <c r="J89" s="82" t="str">
        <f>IF(AND(A89&lt;&gt;"",E89&lt;&gt;""),IF(I89="","⚠️ Enter Code",IF(IFERROR(VLOOKUP(H89,DB_Agents!$B:$I,8,0),"")=I89,IF(C89&gt;=E89,"Successful","Unsuccessful"),"🔒 BLOCKED — Wrong Code")),"Pending")</f>
        <v>Pending</v>
      </c>
      <c r="K89" s="83" t="str">
        <f t="shared" ca="1" si="8"/>
        <v>—</v>
      </c>
      <c r="L89" s="84"/>
    </row>
    <row r="90" spans="1:12" ht="15" customHeight="1" x14ac:dyDescent="0.25">
      <c r="A90" s="85"/>
      <c r="B90" s="41" t="str">
        <f>IF(A90="","",IFERROR(VLOOKUP(A90,DB_Customers!$A:$D,4,0),"❌ Account Not Found"))</f>
        <v/>
      </c>
      <c r="C90" s="86" t="str">
        <f>IF(A90="","",IFERROR(VLOOKUP(A90,DB_Customers!$A:$N,14,0),"❌ Acct Not Found"))</f>
        <v/>
      </c>
      <c r="D90" s="87" t="str">
        <f t="shared" ca="1" si="6"/>
        <v/>
      </c>
      <c r="E90" s="94"/>
      <c r="F90" s="41"/>
      <c r="G90" s="96" t="str">
        <f t="shared" si="7"/>
        <v/>
      </c>
      <c r="H90" s="43" t="s">
        <v>142</v>
      </c>
      <c r="I90" s="81"/>
      <c r="J90" s="89" t="str">
        <f>IF(AND(A90&lt;&gt;"",E90&lt;&gt;""),IF(I90="","⚠️ Enter Code",IF(IFERROR(VLOOKUP(H90,DB_Agents!$B:$I,8,0),"")=I90,IF(C90&gt;=E90,"Successful","Unsuccessful"),"🔒 BLOCKED — Wrong Code")),"Pending")</f>
        <v>Pending</v>
      </c>
      <c r="K90" s="90" t="str">
        <f t="shared" ca="1" si="8"/>
        <v>—</v>
      </c>
      <c r="L90" s="91"/>
    </row>
    <row r="91" spans="1:12" ht="15" customHeight="1" x14ac:dyDescent="0.25">
      <c r="A91" s="76"/>
      <c r="B91" s="37" t="str">
        <f>IF(A91="","",IFERROR(VLOOKUP(A91,DB_Customers!$A:$D,4,0),"❌ Account Not Found"))</f>
        <v/>
      </c>
      <c r="C91" s="77" t="str">
        <f>IF(A91="","",IFERROR(VLOOKUP(A91,DB_Customers!$A:$N,14,0),"❌ Acct Not Found"))</f>
        <v/>
      </c>
      <c r="D91" s="78" t="str">
        <f t="shared" ca="1" si="6"/>
        <v/>
      </c>
      <c r="E91" s="94"/>
      <c r="F91" s="37"/>
      <c r="G91" s="95" t="str">
        <f t="shared" si="7"/>
        <v/>
      </c>
      <c r="H91" s="39" t="s">
        <v>142</v>
      </c>
      <c r="I91" s="81"/>
      <c r="J91" s="82" t="str">
        <f>IF(AND(A91&lt;&gt;"",E91&lt;&gt;""),IF(I91="","⚠️ Enter Code",IF(IFERROR(VLOOKUP(H91,DB_Agents!$B:$I,8,0),"")=I91,IF(C91&gt;=E91,"Successful","Unsuccessful"),"🔒 BLOCKED — Wrong Code")),"Pending")</f>
        <v>Pending</v>
      </c>
      <c r="K91" s="83" t="str">
        <f t="shared" ca="1" si="8"/>
        <v>—</v>
      </c>
      <c r="L91" s="84"/>
    </row>
    <row r="92" spans="1:12" ht="15" customHeight="1" x14ac:dyDescent="0.25">
      <c r="A92" s="85"/>
      <c r="B92" s="41" t="str">
        <f>IF(A92="","",IFERROR(VLOOKUP(A92,DB_Customers!$A:$D,4,0),"❌ Account Not Found"))</f>
        <v/>
      </c>
      <c r="C92" s="86" t="str">
        <f>IF(A92="","",IFERROR(VLOOKUP(A92,DB_Customers!$A:$N,14,0),"❌ Acct Not Found"))</f>
        <v/>
      </c>
      <c r="D92" s="87" t="str">
        <f t="shared" ca="1" si="6"/>
        <v/>
      </c>
      <c r="E92" s="94"/>
      <c r="F92" s="41"/>
      <c r="G92" s="96" t="str">
        <f t="shared" si="7"/>
        <v/>
      </c>
      <c r="H92" s="43" t="s">
        <v>142</v>
      </c>
      <c r="I92" s="81"/>
      <c r="J92" s="89" t="str">
        <f>IF(AND(A92&lt;&gt;"",E92&lt;&gt;""),IF(I92="","⚠️ Enter Code",IF(IFERROR(VLOOKUP(H92,DB_Agents!$B:$I,8,0),"")=I92,IF(C92&gt;=E92,"Successful","Unsuccessful"),"🔒 BLOCKED — Wrong Code")),"Pending")</f>
        <v>Pending</v>
      </c>
      <c r="K92" s="90" t="str">
        <f t="shared" ca="1" si="8"/>
        <v>—</v>
      </c>
      <c r="L92" s="91"/>
    </row>
    <row r="93" spans="1:12" ht="15" customHeight="1" x14ac:dyDescent="0.25">
      <c r="A93" s="76"/>
      <c r="B93" s="37" t="str">
        <f>IF(A93="","",IFERROR(VLOOKUP(A93,DB_Customers!$A:$D,4,0),"❌ Account Not Found"))</f>
        <v/>
      </c>
      <c r="C93" s="77" t="str">
        <f>IF(A93="","",IFERROR(VLOOKUP(A93,DB_Customers!$A:$N,14,0),"❌ Acct Not Found"))</f>
        <v/>
      </c>
      <c r="D93" s="78" t="str">
        <f t="shared" ca="1" si="6"/>
        <v/>
      </c>
      <c r="E93" s="94"/>
      <c r="F93" s="37"/>
      <c r="G93" s="95" t="str">
        <f t="shared" si="7"/>
        <v/>
      </c>
      <c r="H93" s="39" t="s">
        <v>142</v>
      </c>
      <c r="I93" s="81"/>
      <c r="J93" s="82" t="str">
        <f>IF(AND(A93&lt;&gt;"",E93&lt;&gt;""),IF(I93="","⚠️ Enter Code",IF(IFERROR(VLOOKUP(H93,DB_Agents!$B:$I,8,0),"")=I93,IF(C93&gt;=E93,"Successful","Unsuccessful"),"🔒 BLOCKED — Wrong Code")),"Pending")</f>
        <v>Pending</v>
      </c>
      <c r="K93" s="83" t="str">
        <f t="shared" ca="1" si="8"/>
        <v>—</v>
      </c>
      <c r="L93" s="84"/>
    </row>
    <row r="94" spans="1:12" ht="15" customHeight="1" x14ac:dyDescent="0.25">
      <c r="A94" s="85"/>
      <c r="B94" s="41" t="str">
        <f>IF(A94="","",IFERROR(VLOOKUP(A94,DB_Customers!$A:$D,4,0),"❌ Account Not Found"))</f>
        <v/>
      </c>
      <c r="C94" s="86" t="str">
        <f>IF(A94="","",IFERROR(VLOOKUP(A94,DB_Customers!$A:$N,14,0),"❌ Acct Not Found"))</f>
        <v/>
      </c>
      <c r="D94" s="87" t="str">
        <f t="shared" ca="1" si="6"/>
        <v/>
      </c>
      <c r="E94" s="94"/>
      <c r="F94" s="41"/>
      <c r="G94" s="96" t="str">
        <f t="shared" si="7"/>
        <v/>
      </c>
      <c r="H94" s="43" t="s">
        <v>142</v>
      </c>
      <c r="I94" s="81"/>
      <c r="J94" s="89" t="str">
        <f>IF(AND(A94&lt;&gt;"",E94&lt;&gt;""),IF(I94="","⚠️ Enter Code",IF(IFERROR(VLOOKUP(H94,DB_Agents!$B:$I,8,0),"")=I94,IF(C94&gt;=E94,"Successful","Unsuccessful"),"🔒 BLOCKED — Wrong Code")),"Pending")</f>
        <v>Pending</v>
      </c>
      <c r="K94" s="90" t="str">
        <f t="shared" ca="1" si="8"/>
        <v>—</v>
      </c>
      <c r="L94" s="91"/>
    </row>
    <row r="95" spans="1:12" ht="15" customHeight="1" x14ac:dyDescent="0.25">
      <c r="A95" s="76"/>
      <c r="B95" s="37" t="str">
        <f>IF(A95="","",IFERROR(VLOOKUP(A95,DB_Customers!$A:$D,4,0),"❌ Account Not Found"))</f>
        <v/>
      </c>
      <c r="C95" s="77" t="str">
        <f>IF(A95="","",IFERROR(VLOOKUP(A95,DB_Customers!$A:$N,14,0),"❌ Acct Not Found"))</f>
        <v/>
      </c>
      <c r="D95" s="78" t="str">
        <f t="shared" ca="1" si="6"/>
        <v/>
      </c>
      <c r="E95" s="94"/>
      <c r="F95" s="37"/>
      <c r="G95" s="95" t="str">
        <f t="shared" si="7"/>
        <v/>
      </c>
      <c r="H95" s="39" t="s">
        <v>142</v>
      </c>
      <c r="I95" s="81"/>
      <c r="J95" s="82" t="str">
        <f>IF(AND(A95&lt;&gt;"",E95&lt;&gt;""),IF(I95="","⚠️ Enter Code",IF(IFERROR(VLOOKUP(H95,DB_Agents!$B:$I,8,0),"")=I95,IF(C95&gt;=E95,"Successful","Unsuccessful"),"🔒 BLOCKED — Wrong Code")),"Pending")</f>
        <v>Pending</v>
      </c>
      <c r="K95" s="83" t="str">
        <f t="shared" ca="1" si="8"/>
        <v>—</v>
      </c>
      <c r="L95" s="84"/>
    </row>
    <row r="96" spans="1:12" ht="15" customHeight="1" x14ac:dyDescent="0.25">
      <c r="A96" s="85"/>
      <c r="B96" s="41" t="str">
        <f>IF(A96="","",IFERROR(VLOOKUP(A96,DB_Customers!$A:$D,4,0),"❌ Account Not Found"))</f>
        <v/>
      </c>
      <c r="C96" s="86" t="str">
        <f>IF(A96="","",IFERROR(VLOOKUP(A96,DB_Customers!$A:$N,14,0),"❌ Acct Not Found"))</f>
        <v/>
      </c>
      <c r="D96" s="87" t="str">
        <f t="shared" ca="1" si="6"/>
        <v/>
      </c>
      <c r="E96" s="94"/>
      <c r="F96" s="41"/>
      <c r="G96" s="96" t="str">
        <f t="shared" si="7"/>
        <v/>
      </c>
      <c r="H96" s="43" t="s">
        <v>142</v>
      </c>
      <c r="I96" s="81"/>
      <c r="J96" s="89" t="str">
        <f>IF(AND(A96&lt;&gt;"",E96&lt;&gt;""),IF(I96="","⚠️ Enter Code",IF(IFERROR(VLOOKUP(H96,DB_Agents!$B:$I,8,0),"")=I96,IF(C96&gt;=E96,"Successful","Unsuccessful"),"🔒 BLOCKED — Wrong Code")),"Pending")</f>
        <v>Pending</v>
      </c>
      <c r="K96" s="90" t="str">
        <f t="shared" ca="1" si="8"/>
        <v>—</v>
      </c>
      <c r="L96" s="91"/>
    </row>
    <row r="97" spans="1:12" ht="15" customHeight="1" x14ac:dyDescent="0.25">
      <c r="A97" s="76"/>
      <c r="B97" s="37" t="str">
        <f>IF(A97="","",IFERROR(VLOOKUP(A97,DB_Customers!$A:$D,4,0),"❌ Account Not Found"))</f>
        <v/>
      </c>
      <c r="C97" s="77" t="str">
        <f>IF(A97="","",IFERROR(VLOOKUP(A97,DB_Customers!$A:$N,14,0),"❌ Acct Not Found"))</f>
        <v/>
      </c>
      <c r="D97" s="78" t="str">
        <f t="shared" ca="1" si="6"/>
        <v/>
      </c>
      <c r="E97" s="94"/>
      <c r="F97" s="37"/>
      <c r="G97" s="95" t="str">
        <f t="shared" si="7"/>
        <v/>
      </c>
      <c r="H97" s="39" t="s">
        <v>142</v>
      </c>
      <c r="I97" s="81"/>
      <c r="J97" s="82" t="str">
        <f>IF(AND(A97&lt;&gt;"",E97&lt;&gt;""),IF(I97="","⚠️ Enter Code",IF(IFERROR(VLOOKUP(H97,DB_Agents!$B:$I,8,0),"")=I97,IF(C97&gt;=E97,"Successful","Unsuccessful"),"🔒 BLOCKED — Wrong Code")),"Pending")</f>
        <v>Pending</v>
      </c>
      <c r="K97" s="83" t="str">
        <f t="shared" ca="1" si="8"/>
        <v>—</v>
      </c>
      <c r="L97" s="84"/>
    </row>
    <row r="98" spans="1:12" ht="15" customHeight="1" x14ac:dyDescent="0.25">
      <c r="A98" s="85"/>
      <c r="B98" s="41" t="str">
        <f>IF(A98="","",IFERROR(VLOOKUP(A98,DB_Customers!$A:$D,4,0),"❌ Account Not Found"))</f>
        <v/>
      </c>
      <c r="C98" s="86" t="str">
        <f>IF(A98="","",IFERROR(VLOOKUP(A98,DB_Customers!$A:$N,14,0),"❌ Acct Not Found"))</f>
        <v/>
      </c>
      <c r="D98" s="87" t="str">
        <f t="shared" ca="1" si="6"/>
        <v/>
      </c>
      <c r="E98" s="94"/>
      <c r="F98" s="41"/>
      <c r="G98" s="96" t="str">
        <f t="shared" si="7"/>
        <v/>
      </c>
      <c r="H98" s="43" t="s">
        <v>142</v>
      </c>
      <c r="I98" s="81"/>
      <c r="J98" s="89" t="str">
        <f>IF(AND(A98&lt;&gt;"",E98&lt;&gt;""),IF(I98="","⚠️ Enter Code",IF(IFERROR(VLOOKUP(H98,DB_Agents!$B:$I,8,0),"")=I98,IF(C98&gt;=E98,"Successful","Unsuccessful"),"🔒 BLOCKED — Wrong Code")),"Pending")</f>
        <v>Pending</v>
      </c>
      <c r="K98" s="90" t="str">
        <f t="shared" ca="1" si="8"/>
        <v>—</v>
      </c>
      <c r="L98" s="91"/>
    </row>
    <row r="99" spans="1:12" ht="15" customHeight="1" x14ac:dyDescent="0.25">
      <c r="A99" s="76"/>
      <c r="B99" s="37" t="str">
        <f>IF(A99="","",IFERROR(VLOOKUP(A99,DB_Customers!$A:$D,4,0),"❌ Account Not Found"))</f>
        <v/>
      </c>
      <c r="C99" s="77" t="str">
        <f>IF(A99="","",IFERROR(VLOOKUP(A99,DB_Customers!$A:$N,14,0),"❌ Acct Not Found"))</f>
        <v/>
      </c>
      <c r="D99" s="78" t="str">
        <f t="shared" ca="1" si="6"/>
        <v/>
      </c>
      <c r="E99" s="94"/>
      <c r="F99" s="37"/>
      <c r="G99" s="95" t="str">
        <f t="shared" si="7"/>
        <v/>
      </c>
      <c r="H99" s="39" t="s">
        <v>142</v>
      </c>
      <c r="I99" s="81"/>
      <c r="J99" s="82" t="str">
        <f>IF(AND(A99&lt;&gt;"",E99&lt;&gt;""),IF(I99="","⚠️ Enter Code",IF(IFERROR(VLOOKUP(H99,DB_Agents!$B:$I,8,0),"")=I99,IF(C99&gt;=E99,"Successful","Unsuccessful"),"🔒 BLOCKED — Wrong Code")),"Pending")</f>
        <v>Pending</v>
      </c>
      <c r="K99" s="83" t="str">
        <f t="shared" ca="1" si="8"/>
        <v>—</v>
      </c>
      <c r="L99" s="84"/>
    </row>
    <row r="100" spans="1:12" ht="15" customHeight="1" x14ac:dyDescent="0.25">
      <c r="A100" s="85"/>
      <c r="B100" s="41" t="str">
        <f>IF(A100="","",IFERROR(VLOOKUP(A100,DB_Customers!$A:$D,4,0),"❌ Account Not Found"))</f>
        <v/>
      </c>
      <c r="C100" s="86" t="str">
        <f>IF(A100="","",IFERROR(VLOOKUP(A100,DB_Customers!$A:$N,14,0),"❌ Acct Not Found"))</f>
        <v/>
      </c>
      <c r="D100" s="87" t="str">
        <f t="shared" ca="1" si="6"/>
        <v/>
      </c>
      <c r="E100" s="94"/>
      <c r="F100" s="41"/>
      <c r="G100" s="96" t="str">
        <f t="shared" si="7"/>
        <v/>
      </c>
      <c r="H100" s="43" t="s">
        <v>142</v>
      </c>
      <c r="I100" s="81"/>
      <c r="J100" s="89" t="str">
        <f>IF(AND(A100&lt;&gt;"",E100&lt;&gt;""),IF(I100="","⚠️ Enter Code",IF(IFERROR(VLOOKUP(H100,DB_Agents!$B:$I,8,0),"")=I100,IF(C100&gt;=E100,"Successful","Unsuccessful"),"🔒 BLOCKED — Wrong Code")),"Pending")</f>
        <v>Pending</v>
      </c>
      <c r="K100" s="90" t="str">
        <f t="shared" ca="1" si="8"/>
        <v>—</v>
      </c>
      <c r="L100" s="91"/>
    </row>
    <row r="101" spans="1:12" ht="15" customHeight="1" x14ac:dyDescent="0.25">
      <c r="A101" s="76"/>
      <c r="B101" s="37" t="str">
        <f>IF(A101="","",IFERROR(VLOOKUP(A101,DB_Customers!$A:$D,4,0),"❌ Account Not Found"))</f>
        <v/>
      </c>
      <c r="C101" s="77" t="str">
        <f>IF(A101="","",IFERROR(VLOOKUP(A101,DB_Customers!$A:$N,14,0),"❌ Acct Not Found"))</f>
        <v/>
      </c>
      <c r="D101" s="78" t="str">
        <f t="shared" ca="1" si="6"/>
        <v/>
      </c>
      <c r="E101" s="94"/>
      <c r="F101" s="37"/>
      <c r="G101" s="95" t="str">
        <f t="shared" si="7"/>
        <v/>
      </c>
      <c r="H101" s="39" t="s">
        <v>142</v>
      </c>
      <c r="I101" s="81"/>
      <c r="J101" s="82" t="str">
        <f>IF(AND(A101&lt;&gt;"",E101&lt;&gt;""),IF(I101="","⚠️ Enter Code",IF(IFERROR(VLOOKUP(H101,DB_Agents!$B:$I,8,0),"")=I101,IF(C101&gt;=E101,"Successful","Unsuccessful"),"🔒 BLOCKED — Wrong Code")),"Pending")</f>
        <v>Pending</v>
      </c>
      <c r="K101" s="83" t="str">
        <f t="shared" ca="1" si="8"/>
        <v>—</v>
      </c>
      <c r="L101" s="84"/>
    </row>
    <row r="102" spans="1:12" ht="15" customHeight="1" x14ac:dyDescent="0.25">
      <c r="A102" s="85"/>
      <c r="B102" s="41" t="str">
        <f>IF(A102="","",IFERROR(VLOOKUP(A102,DB_Customers!$A:$D,4,0),"❌ Account Not Found"))</f>
        <v/>
      </c>
      <c r="C102" s="86" t="str">
        <f>IF(A102="","",IFERROR(VLOOKUP(A102,DB_Customers!$A:$N,14,0),"❌ Acct Not Found"))</f>
        <v/>
      </c>
      <c r="D102" s="87" t="str">
        <f t="shared" ca="1" si="6"/>
        <v/>
      </c>
      <c r="E102" s="94"/>
      <c r="F102" s="41"/>
      <c r="G102" s="96" t="str">
        <f t="shared" si="7"/>
        <v/>
      </c>
      <c r="H102" s="43" t="s">
        <v>142</v>
      </c>
      <c r="I102" s="81"/>
      <c r="J102" s="89" t="str">
        <f>IF(AND(A102&lt;&gt;"",E102&lt;&gt;""),IF(I102="","⚠️ Enter Code",IF(IFERROR(VLOOKUP(H102,DB_Agents!$B:$I,8,0),"")=I102,IF(C102&gt;=E102,"Successful","Unsuccessful"),"🔒 BLOCKED — Wrong Code")),"Pending")</f>
        <v>Pending</v>
      </c>
      <c r="K102" s="90" t="str">
        <f t="shared" ca="1" si="8"/>
        <v>—</v>
      </c>
      <c r="L102" s="91"/>
    </row>
    <row r="103" spans="1:12" ht="15" customHeight="1" x14ac:dyDescent="0.25">
      <c r="A103" s="76"/>
      <c r="B103" s="37" t="str">
        <f>IF(A103="","",IFERROR(VLOOKUP(A103,DB_Customers!$A:$D,4,0),"❌ Account Not Found"))</f>
        <v/>
      </c>
      <c r="C103" s="77" t="str">
        <f>IF(A103="","",IFERROR(VLOOKUP(A103,DB_Customers!$A:$N,14,0),"❌ Acct Not Found"))</f>
        <v/>
      </c>
      <c r="D103" s="78" t="str">
        <f t="shared" ca="1" si="6"/>
        <v/>
      </c>
      <c r="E103" s="94"/>
      <c r="F103" s="37"/>
      <c r="G103" s="95" t="str">
        <f t="shared" si="7"/>
        <v/>
      </c>
      <c r="H103" s="39" t="s">
        <v>142</v>
      </c>
      <c r="I103" s="81"/>
      <c r="J103" s="82" t="str">
        <f>IF(AND(A103&lt;&gt;"",E103&lt;&gt;""),IF(I103="","⚠️ Enter Code",IF(IFERROR(VLOOKUP(H103,DB_Agents!$B:$I,8,0),"")=I103,IF(C103&gt;=E103,"Successful","Unsuccessful"),"🔒 BLOCKED — Wrong Code")),"Pending")</f>
        <v>Pending</v>
      </c>
      <c r="K103" s="83" t="str">
        <f t="shared" ca="1" si="8"/>
        <v>—</v>
      </c>
      <c r="L103" s="84"/>
    </row>
    <row r="104" spans="1:12" ht="15" customHeight="1" x14ac:dyDescent="0.25">
      <c r="A104" s="85"/>
      <c r="B104" s="41" t="str">
        <f>IF(A104="","",IFERROR(VLOOKUP(A104,DB_Customers!$A:$D,4,0),"❌ Account Not Found"))</f>
        <v/>
      </c>
      <c r="C104" s="86" t="str">
        <f>IF(A104="","",IFERROR(VLOOKUP(A104,DB_Customers!$A:$N,14,0),"❌ Acct Not Found"))</f>
        <v/>
      </c>
      <c r="D104" s="87" t="str">
        <f t="shared" ca="1" si="6"/>
        <v/>
      </c>
      <c r="E104" s="94"/>
      <c r="F104" s="41"/>
      <c r="G104" s="96" t="str">
        <f t="shared" si="7"/>
        <v/>
      </c>
      <c r="H104" s="43" t="s">
        <v>142</v>
      </c>
      <c r="I104" s="81"/>
      <c r="J104" s="89" t="str">
        <f>IF(AND(A104&lt;&gt;"",E104&lt;&gt;""),IF(I104="","⚠️ Enter Code",IF(IFERROR(VLOOKUP(H104,DB_Agents!$B:$I,8,0),"")=I104,IF(C104&gt;=E104,"Successful","Unsuccessful"),"🔒 BLOCKED — Wrong Code")),"Pending")</f>
        <v>Pending</v>
      </c>
      <c r="K104" s="90" t="str">
        <f t="shared" ca="1" si="8"/>
        <v>—</v>
      </c>
      <c r="L104" s="91"/>
    </row>
    <row r="105" spans="1:12" ht="15" customHeight="1" x14ac:dyDescent="0.25">
      <c r="A105" s="76"/>
      <c r="B105" s="37" t="str">
        <f>IF(A105="","",IFERROR(VLOOKUP(A105,DB_Customers!$A:$D,4,0),"❌ Account Not Found"))</f>
        <v/>
      </c>
      <c r="C105" s="77" t="str">
        <f>IF(A105="","",IFERROR(VLOOKUP(A105,DB_Customers!$A:$N,14,0),"❌ Acct Not Found"))</f>
        <v/>
      </c>
      <c r="D105" s="78" t="str">
        <f t="shared" ref="D105:D136" ca="1" si="9">IF(A105="","",TODAY())</f>
        <v/>
      </c>
      <c r="E105" s="94"/>
      <c r="F105" s="37"/>
      <c r="G105" s="95" t="str">
        <f t="shared" ref="G105:G136" si="10">IF(OR(A105="",E105=""),"",IF(C105="","",C105-E105))</f>
        <v/>
      </c>
      <c r="H105" s="39" t="s">
        <v>142</v>
      </c>
      <c r="I105" s="81"/>
      <c r="J105" s="82" t="str">
        <f>IF(AND(A105&lt;&gt;"",E105&lt;&gt;""),IF(I105="","⚠️ Enter Code",IF(IFERROR(VLOOKUP(H105,DB_Agents!$B:$I,8,0),"")=I105,IF(C105&gt;=E105,"Successful","Unsuccessful"),"🔒 BLOCKED — Wrong Code")),"Pending")</f>
        <v>Pending</v>
      </c>
      <c r="K105" s="83" t="str">
        <f t="shared" ref="K105:K136" ca="1" si="11">IF(J105="Successful",TEXT(TODAY(),"YYYY-MM-DD")&amp;" Auto","—")</f>
        <v>—</v>
      </c>
      <c r="L105" s="84"/>
    </row>
    <row r="106" spans="1:12" ht="15" customHeight="1" x14ac:dyDescent="0.25">
      <c r="A106" s="85"/>
      <c r="B106" s="41" t="str">
        <f>IF(A106="","",IFERROR(VLOOKUP(A106,DB_Customers!$A:$D,4,0),"❌ Account Not Found"))</f>
        <v/>
      </c>
      <c r="C106" s="86" t="str">
        <f>IF(A106="","",IFERROR(VLOOKUP(A106,DB_Customers!$A:$N,14,0),"❌ Acct Not Found"))</f>
        <v/>
      </c>
      <c r="D106" s="87" t="str">
        <f t="shared" ca="1" si="9"/>
        <v/>
      </c>
      <c r="E106" s="94"/>
      <c r="F106" s="41"/>
      <c r="G106" s="96" t="str">
        <f t="shared" si="10"/>
        <v/>
      </c>
      <c r="H106" s="43" t="s">
        <v>142</v>
      </c>
      <c r="I106" s="81"/>
      <c r="J106" s="89" t="str">
        <f>IF(AND(A106&lt;&gt;"",E106&lt;&gt;""),IF(I106="","⚠️ Enter Code",IF(IFERROR(VLOOKUP(H106,DB_Agents!$B:$I,8,0),"")=I106,IF(C106&gt;=E106,"Successful","Unsuccessful"),"🔒 BLOCKED — Wrong Code")),"Pending")</f>
        <v>Pending</v>
      </c>
      <c r="K106" s="90" t="str">
        <f t="shared" ca="1" si="11"/>
        <v>—</v>
      </c>
      <c r="L106" s="91"/>
    </row>
    <row r="107" spans="1:12" ht="15" customHeight="1" x14ac:dyDescent="0.25">
      <c r="A107" s="76"/>
      <c r="B107" s="37" t="str">
        <f>IF(A107="","",IFERROR(VLOOKUP(A107,DB_Customers!$A:$D,4,0),"❌ Account Not Found"))</f>
        <v/>
      </c>
      <c r="C107" s="77" t="str">
        <f>IF(A107="","",IFERROR(VLOOKUP(A107,DB_Customers!$A:$N,14,0),"❌ Acct Not Found"))</f>
        <v/>
      </c>
      <c r="D107" s="78" t="str">
        <f t="shared" ca="1" si="9"/>
        <v/>
      </c>
      <c r="E107" s="94"/>
      <c r="F107" s="37"/>
      <c r="G107" s="95" t="str">
        <f t="shared" si="10"/>
        <v/>
      </c>
      <c r="H107" s="39" t="s">
        <v>142</v>
      </c>
      <c r="I107" s="81"/>
      <c r="J107" s="82" t="str">
        <f>IF(AND(A107&lt;&gt;"",E107&lt;&gt;""),IF(I107="","⚠️ Enter Code",IF(IFERROR(VLOOKUP(H107,DB_Agents!$B:$I,8,0),"")=I107,IF(C107&gt;=E107,"Successful","Unsuccessful"),"🔒 BLOCKED — Wrong Code")),"Pending")</f>
        <v>Pending</v>
      </c>
      <c r="K107" s="83" t="str">
        <f t="shared" ca="1" si="11"/>
        <v>—</v>
      </c>
      <c r="L107" s="84"/>
    </row>
    <row r="108" spans="1:12" ht="15" customHeight="1" x14ac:dyDescent="0.25">
      <c r="A108" s="85"/>
      <c r="B108" s="41" t="str">
        <f>IF(A108="","",IFERROR(VLOOKUP(A108,DB_Customers!$A:$D,4,0),"❌ Account Not Found"))</f>
        <v/>
      </c>
      <c r="C108" s="86" t="str">
        <f>IF(A108="","",IFERROR(VLOOKUP(A108,DB_Customers!$A:$N,14,0),"❌ Acct Not Found"))</f>
        <v/>
      </c>
      <c r="D108" s="87" t="str">
        <f t="shared" ca="1" si="9"/>
        <v/>
      </c>
      <c r="E108" s="94"/>
      <c r="F108" s="41"/>
      <c r="G108" s="96" t="str">
        <f t="shared" si="10"/>
        <v/>
      </c>
      <c r="H108" s="43" t="s">
        <v>142</v>
      </c>
      <c r="I108" s="81"/>
      <c r="J108" s="89" t="str">
        <f>IF(AND(A108&lt;&gt;"",E108&lt;&gt;""),IF(I108="","⚠️ Enter Code",IF(IFERROR(VLOOKUP(H108,DB_Agents!$B:$I,8,0),"")=I108,IF(C108&gt;=E108,"Successful","Unsuccessful"),"🔒 BLOCKED — Wrong Code")),"Pending")</f>
        <v>Pending</v>
      </c>
      <c r="K108" s="90" t="str">
        <f t="shared" ca="1" si="11"/>
        <v>—</v>
      </c>
      <c r="L108" s="91"/>
    </row>
    <row r="109" spans="1:12" ht="15" customHeight="1" x14ac:dyDescent="0.25">
      <c r="A109" s="76"/>
      <c r="B109" s="37" t="str">
        <f>IF(A109="","",IFERROR(VLOOKUP(A109,DB_Customers!$A:$D,4,0),"❌ Account Not Found"))</f>
        <v/>
      </c>
      <c r="C109" s="77" t="str">
        <f>IF(A109="","",IFERROR(VLOOKUP(A109,DB_Customers!$A:$N,14,0),"❌ Acct Not Found"))</f>
        <v/>
      </c>
      <c r="D109" s="78" t="str">
        <f t="shared" ca="1" si="9"/>
        <v/>
      </c>
      <c r="E109" s="94"/>
      <c r="F109" s="37"/>
      <c r="G109" s="95" t="str">
        <f t="shared" si="10"/>
        <v/>
      </c>
      <c r="H109" s="39" t="s">
        <v>142</v>
      </c>
      <c r="I109" s="81"/>
      <c r="J109" s="82" t="str">
        <f>IF(AND(A109&lt;&gt;"",E109&lt;&gt;""),IF(I109="","⚠️ Enter Code",IF(IFERROR(VLOOKUP(H109,DB_Agents!$B:$I,8,0),"")=I109,IF(C109&gt;=E109,"Successful","Unsuccessful"),"🔒 BLOCKED — Wrong Code")),"Pending")</f>
        <v>Pending</v>
      </c>
      <c r="K109" s="83" t="str">
        <f t="shared" ca="1" si="11"/>
        <v>—</v>
      </c>
      <c r="L109" s="84"/>
    </row>
    <row r="110" spans="1:12" ht="15" customHeight="1" x14ac:dyDescent="0.25">
      <c r="A110" s="85"/>
      <c r="B110" s="41" t="str">
        <f>IF(A110="","",IFERROR(VLOOKUP(A110,DB_Customers!$A:$D,4,0),"❌ Account Not Found"))</f>
        <v/>
      </c>
      <c r="C110" s="86" t="str">
        <f>IF(A110="","",IFERROR(VLOOKUP(A110,DB_Customers!$A:$N,14,0),"❌ Acct Not Found"))</f>
        <v/>
      </c>
      <c r="D110" s="87" t="str">
        <f t="shared" ca="1" si="9"/>
        <v/>
      </c>
      <c r="E110" s="94"/>
      <c r="F110" s="41"/>
      <c r="G110" s="96" t="str">
        <f t="shared" si="10"/>
        <v/>
      </c>
      <c r="H110" s="43" t="s">
        <v>142</v>
      </c>
      <c r="I110" s="81"/>
      <c r="J110" s="89" t="str">
        <f>IF(AND(A110&lt;&gt;"",E110&lt;&gt;""),IF(I110="","⚠️ Enter Code",IF(IFERROR(VLOOKUP(H110,DB_Agents!$B:$I,8,0),"")=I110,IF(C110&gt;=E110,"Successful","Unsuccessful"),"🔒 BLOCKED — Wrong Code")),"Pending")</f>
        <v>Pending</v>
      </c>
      <c r="K110" s="90" t="str">
        <f t="shared" ca="1" si="11"/>
        <v>—</v>
      </c>
      <c r="L110" s="91"/>
    </row>
    <row r="111" spans="1:12" ht="15" customHeight="1" x14ac:dyDescent="0.25">
      <c r="A111" s="76"/>
      <c r="B111" s="37" t="str">
        <f>IF(A111="","",IFERROR(VLOOKUP(A111,DB_Customers!$A:$D,4,0),"❌ Account Not Found"))</f>
        <v/>
      </c>
      <c r="C111" s="77" t="str">
        <f>IF(A111="","",IFERROR(VLOOKUP(A111,DB_Customers!$A:$N,14,0),"❌ Acct Not Found"))</f>
        <v/>
      </c>
      <c r="D111" s="78" t="str">
        <f t="shared" ca="1" si="9"/>
        <v/>
      </c>
      <c r="E111" s="94"/>
      <c r="F111" s="37"/>
      <c r="G111" s="95" t="str">
        <f t="shared" si="10"/>
        <v/>
      </c>
      <c r="H111" s="39" t="s">
        <v>142</v>
      </c>
      <c r="I111" s="81"/>
      <c r="J111" s="82" t="str">
        <f>IF(AND(A111&lt;&gt;"",E111&lt;&gt;""),IF(I111="","⚠️ Enter Code",IF(IFERROR(VLOOKUP(H111,DB_Agents!$B:$I,8,0),"")=I111,IF(C111&gt;=E111,"Successful","Unsuccessful"),"🔒 BLOCKED — Wrong Code")),"Pending")</f>
        <v>Pending</v>
      </c>
      <c r="K111" s="83" t="str">
        <f t="shared" ca="1" si="11"/>
        <v>—</v>
      </c>
      <c r="L111" s="84"/>
    </row>
    <row r="112" spans="1:12" ht="15" customHeight="1" x14ac:dyDescent="0.25">
      <c r="A112" s="85"/>
      <c r="B112" s="41" t="str">
        <f>IF(A112="","",IFERROR(VLOOKUP(A112,DB_Customers!$A:$D,4,0),"❌ Account Not Found"))</f>
        <v/>
      </c>
      <c r="C112" s="86" t="str">
        <f>IF(A112="","",IFERROR(VLOOKUP(A112,DB_Customers!$A:$N,14,0),"❌ Acct Not Found"))</f>
        <v/>
      </c>
      <c r="D112" s="87" t="str">
        <f t="shared" ca="1" si="9"/>
        <v/>
      </c>
      <c r="E112" s="94"/>
      <c r="F112" s="41"/>
      <c r="G112" s="96" t="str">
        <f t="shared" si="10"/>
        <v/>
      </c>
      <c r="H112" s="43" t="s">
        <v>142</v>
      </c>
      <c r="I112" s="81"/>
      <c r="J112" s="89" t="str">
        <f>IF(AND(A112&lt;&gt;"",E112&lt;&gt;""),IF(I112="","⚠️ Enter Code",IF(IFERROR(VLOOKUP(H112,DB_Agents!$B:$I,8,0),"")=I112,IF(C112&gt;=E112,"Successful","Unsuccessful"),"🔒 BLOCKED — Wrong Code")),"Pending")</f>
        <v>Pending</v>
      </c>
      <c r="K112" s="90" t="str">
        <f t="shared" ca="1" si="11"/>
        <v>—</v>
      </c>
      <c r="L112" s="91"/>
    </row>
    <row r="113" spans="1:12" ht="15" customHeight="1" x14ac:dyDescent="0.25">
      <c r="A113" s="76"/>
      <c r="B113" s="37" t="str">
        <f>IF(A113="","",IFERROR(VLOOKUP(A113,DB_Customers!$A:$D,4,0),"❌ Account Not Found"))</f>
        <v/>
      </c>
      <c r="C113" s="77" t="str">
        <f>IF(A113="","",IFERROR(VLOOKUP(A113,DB_Customers!$A:$N,14,0),"❌ Acct Not Found"))</f>
        <v/>
      </c>
      <c r="D113" s="78" t="str">
        <f t="shared" ca="1" si="9"/>
        <v/>
      </c>
      <c r="E113" s="94"/>
      <c r="F113" s="37"/>
      <c r="G113" s="95" t="str">
        <f t="shared" si="10"/>
        <v/>
      </c>
      <c r="H113" s="39" t="s">
        <v>142</v>
      </c>
      <c r="I113" s="81"/>
      <c r="J113" s="82" t="str">
        <f>IF(AND(A113&lt;&gt;"",E113&lt;&gt;""),IF(I113="","⚠️ Enter Code",IF(IFERROR(VLOOKUP(H113,DB_Agents!$B:$I,8,0),"")=I113,IF(C113&gt;=E113,"Successful","Unsuccessful"),"🔒 BLOCKED — Wrong Code")),"Pending")</f>
        <v>Pending</v>
      </c>
      <c r="K113" s="83" t="str">
        <f t="shared" ca="1" si="11"/>
        <v>—</v>
      </c>
      <c r="L113" s="84"/>
    </row>
    <row r="114" spans="1:12" ht="15" customHeight="1" x14ac:dyDescent="0.25">
      <c r="A114" s="85"/>
      <c r="B114" s="41" t="str">
        <f>IF(A114="","",IFERROR(VLOOKUP(A114,DB_Customers!$A:$D,4,0),"❌ Account Not Found"))</f>
        <v/>
      </c>
      <c r="C114" s="86" t="str">
        <f>IF(A114="","",IFERROR(VLOOKUP(A114,DB_Customers!$A:$N,14,0),"❌ Acct Not Found"))</f>
        <v/>
      </c>
      <c r="D114" s="87" t="str">
        <f t="shared" ca="1" si="9"/>
        <v/>
      </c>
      <c r="E114" s="94"/>
      <c r="F114" s="41"/>
      <c r="G114" s="96" t="str">
        <f t="shared" si="10"/>
        <v/>
      </c>
      <c r="H114" s="43" t="s">
        <v>142</v>
      </c>
      <c r="I114" s="81"/>
      <c r="J114" s="89" t="str">
        <f>IF(AND(A114&lt;&gt;"",E114&lt;&gt;""),IF(I114="","⚠️ Enter Code",IF(IFERROR(VLOOKUP(H114,DB_Agents!$B:$I,8,0),"")=I114,IF(C114&gt;=E114,"Successful","Unsuccessful"),"🔒 BLOCKED — Wrong Code")),"Pending")</f>
        <v>Pending</v>
      </c>
      <c r="K114" s="90" t="str">
        <f t="shared" ca="1" si="11"/>
        <v>—</v>
      </c>
      <c r="L114" s="91"/>
    </row>
    <row r="115" spans="1:12" ht="15" customHeight="1" x14ac:dyDescent="0.25">
      <c r="A115" s="76"/>
      <c r="B115" s="37" t="str">
        <f>IF(A115="","",IFERROR(VLOOKUP(A115,DB_Customers!$A:$D,4,0),"❌ Account Not Found"))</f>
        <v/>
      </c>
      <c r="C115" s="77" t="str">
        <f>IF(A115="","",IFERROR(VLOOKUP(A115,DB_Customers!$A:$N,14,0),"❌ Acct Not Found"))</f>
        <v/>
      </c>
      <c r="D115" s="78" t="str">
        <f t="shared" ca="1" si="9"/>
        <v/>
      </c>
      <c r="E115" s="94"/>
      <c r="F115" s="37"/>
      <c r="G115" s="95" t="str">
        <f t="shared" si="10"/>
        <v/>
      </c>
      <c r="H115" s="39" t="s">
        <v>142</v>
      </c>
      <c r="I115" s="81"/>
      <c r="J115" s="82" t="str">
        <f>IF(AND(A115&lt;&gt;"",E115&lt;&gt;""),IF(I115="","⚠️ Enter Code",IF(IFERROR(VLOOKUP(H115,DB_Agents!$B:$I,8,0),"")=I115,IF(C115&gt;=E115,"Successful","Unsuccessful"),"🔒 BLOCKED — Wrong Code")),"Pending")</f>
        <v>Pending</v>
      </c>
      <c r="K115" s="83" t="str">
        <f t="shared" ca="1" si="11"/>
        <v>—</v>
      </c>
      <c r="L115" s="84"/>
    </row>
    <row r="116" spans="1:12" ht="15" customHeight="1" x14ac:dyDescent="0.25">
      <c r="A116" s="85"/>
      <c r="B116" s="41" t="str">
        <f>IF(A116="","",IFERROR(VLOOKUP(A116,DB_Customers!$A:$D,4,0),"❌ Account Not Found"))</f>
        <v/>
      </c>
      <c r="C116" s="86" t="str">
        <f>IF(A116="","",IFERROR(VLOOKUP(A116,DB_Customers!$A:$N,14,0),"❌ Acct Not Found"))</f>
        <v/>
      </c>
      <c r="D116" s="87" t="str">
        <f t="shared" ca="1" si="9"/>
        <v/>
      </c>
      <c r="E116" s="94"/>
      <c r="F116" s="41"/>
      <c r="G116" s="96" t="str">
        <f t="shared" si="10"/>
        <v/>
      </c>
      <c r="H116" s="43" t="s">
        <v>142</v>
      </c>
      <c r="I116" s="81"/>
      <c r="J116" s="89" t="str">
        <f>IF(AND(A116&lt;&gt;"",E116&lt;&gt;""),IF(I116="","⚠️ Enter Code",IF(IFERROR(VLOOKUP(H116,DB_Agents!$B:$I,8,0),"")=I116,IF(C116&gt;=E116,"Successful","Unsuccessful"),"🔒 BLOCKED — Wrong Code")),"Pending")</f>
        <v>Pending</v>
      </c>
      <c r="K116" s="90" t="str">
        <f t="shared" ca="1" si="11"/>
        <v>—</v>
      </c>
      <c r="L116" s="91"/>
    </row>
    <row r="117" spans="1:12" ht="15" customHeight="1" x14ac:dyDescent="0.25">
      <c r="A117" s="76"/>
      <c r="B117" s="37" t="str">
        <f>IF(A117="","",IFERROR(VLOOKUP(A117,DB_Customers!$A:$D,4,0),"❌ Account Not Found"))</f>
        <v/>
      </c>
      <c r="C117" s="77" t="str">
        <f>IF(A117="","",IFERROR(VLOOKUP(A117,DB_Customers!$A:$N,14,0),"❌ Acct Not Found"))</f>
        <v/>
      </c>
      <c r="D117" s="78" t="str">
        <f t="shared" ca="1" si="9"/>
        <v/>
      </c>
      <c r="E117" s="94"/>
      <c r="F117" s="37"/>
      <c r="G117" s="95" t="str">
        <f t="shared" si="10"/>
        <v/>
      </c>
      <c r="H117" s="39" t="s">
        <v>142</v>
      </c>
      <c r="I117" s="81"/>
      <c r="J117" s="82" t="str">
        <f>IF(AND(A117&lt;&gt;"",E117&lt;&gt;""),IF(I117="","⚠️ Enter Code",IF(IFERROR(VLOOKUP(H117,DB_Agents!$B:$I,8,0),"")=I117,IF(C117&gt;=E117,"Successful","Unsuccessful"),"🔒 BLOCKED — Wrong Code")),"Pending")</f>
        <v>Pending</v>
      </c>
      <c r="K117" s="83" t="str">
        <f t="shared" ca="1" si="11"/>
        <v>—</v>
      </c>
      <c r="L117" s="84"/>
    </row>
    <row r="118" spans="1:12" ht="15" customHeight="1" x14ac:dyDescent="0.25">
      <c r="A118" s="85"/>
      <c r="B118" s="41" t="str">
        <f>IF(A118="","",IFERROR(VLOOKUP(A118,DB_Customers!$A:$D,4,0),"❌ Account Not Found"))</f>
        <v/>
      </c>
      <c r="C118" s="86" t="str">
        <f>IF(A118="","",IFERROR(VLOOKUP(A118,DB_Customers!$A:$N,14,0),"❌ Acct Not Found"))</f>
        <v/>
      </c>
      <c r="D118" s="87" t="str">
        <f t="shared" ca="1" si="9"/>
        <v/>
      </c>
      <c r="E118" s="94"/>
      <c r="F118" s="41"/>
      <c r="G118" s="96" t="str">
        <f t="shared" si="10"/>
        <v/>
      </c>
      <c r="H118" s="43" t="s">
        <v>142</v>
      </c>
      <c r="I118" s="81"/>
      <c r="J118" s="89" t="str">
        <f>IF(AND(A118&lt;&gt;"",E118&lt;&gt;""),IF(I118="","⚠️ Enter Code",IF(IFERROR(VLOOKUP(H118,DB_Agents!$B:$I,8,0),"")=I118,IF(C118&gt;=E118,"Successful","Unsuccessful"),"🔒 BLOCKED — Wrong Code")),"Pending")</f>
        <v>Pending</v>
      </c>
      <c r="K118" s="90" t="str">
        <f t="shared" ca="1" si="11"/>
        <v>—</v>
      </c>
      <c r="L118" s="91"/>
    </row>
    <row r="119" spans="1:12" ht="15" customHeight="1" x14ac:dyDescent="0.25">
      <c r="A119" s="76"/>
      <c r="B119" s="37" t="str">
        <f>IF(A119="","",IFERROR(VLOOKUP(A119,DB_Customers!$A:$D,4,0),"❌ Account Not Found"))</f>
        <v/>
      </c>
      <c r="C119" s="77" t="str">
        <f>IF(A119="","",IFERROR(VLOOKUP(A119,DB_Customers!$A:$N,14,0),"❌ Acct Not Found"))</f>
        <v/>
      </c>
      <c r="D119" s="78" t="str">
        <f t="shared" ca="1" si="9"/>
        <v/>
      </c>
      <c r="E119" s="94"/>
      <c r="F119" s="37"/>
      <c r="G119" s="95" t="str">
        <f t="shared" si="10"/>
        <v/>
      </c>
      <c r="H119" s="39" t="s">
        <v>142</v>
      </c>
      <c r="I119" s="81"/>
      <c r="J119" s="82" t="str">
        <f>IF(AND(A119&lt;&gt;"",E119&lt;&gt;""),IF(I119="","⚠️ Enter Code",IF(IFERROR(VLOOKUP(H119,DB_Agents!$B:$I,8,0),"")=I119,IF(C119&gt;=E119,"Successful","Unsuccessful"),"🔒 BLOCKED — Wrong Code")),"Pending")</f>
        <v>Pending</v>
      </c>
      <c r="K119" s="83" t="str">
        <f t="shared" ca="1" si="11"/>
        <v>—</v>
      </c>
      <c r="L119" s="84"/>
    </row>
    <row r="120" spans="1:12" ht="15" customHeight="1" x14ac:dyDescent="0.25">
      <c r="A120" s="85"/>
      <c r="B120" s="41" t="str">
        <f>IF(A120="","",IFERROR(VLOOKUP(A120,DB_Customers!$A:$D,4,0),"❌ Account Not Found"))</f>
        <v/>
      </c>
      <c r="C120" s="86" t="str">
        <f>IF(A120="","",IFERROR(VLOOKUP(A120,DB_Customers!$A:$N,14,0),"❌ Acct Not Found"))</f>
        <v/>
      </c>
      <c r="D120" s="87" t="str">
        <f t="shared" ca="1" si="9"/>
        <v/>
      </c>
      <c r="E120" s="94"/>
      <c r="F120" s="41"/>
      <c r="G120" s="96" t="str">
        <f t="shared" si="10"/>
        <v/>
      </c>
      <c r="H120" s="43" t="s">
        <v>142</v>
      </c>
      <c r="I120" s="81"/>
      <c r="J120" s="89" t="str">
        <f>IF(AND(A120&lt;&gt;"",E120&lt;&gt;""),IF(I120="","⚠️ Enter Code",IF(IFERROR(VLOOKUP(H120,DB_Agents!$B:$I,8,0),"")=I120,IF(C120&gt;=E120,"Successful","Unsuccessful"),"🔒 BLOCKED — Wrong Code")),"Pending")</f>
        <v>Pending</v>
      </c>
      <c r="K120" s="90" t="str">
        <f t="shared" ca="1" si="11"/>
        <v>—</v>
      </c>
      <c r="L120" s="91"/>
    </row>
    <row r="121" spans="1:12" ht="15" customHeight="1" x14ac:dyDescent="0.25">
      <c r="A121" s="76"/>
      <c r="B121" s="37" t="str">
        <f>IF(A121="","",IFERROR(VLOOKUP(A121,DB_Customers!$A:$D,4,0),"❌ Account Not Found"))</f>
        <v/>
      </c>
      <c r="C121" s="77" t="str">
        <f>IF(A121="","",IFERROR(VLOOKUP(A121,DB_Customers!$A:$N,14,0),"❌ Acct Not Found"))</f>
        <v/>
      </c>
      <c r="D121" s="78" t="str">
        <f t="shared" ca="1" si="9"/>
        <v/>
      </c>
      <c r="E121" s="94"/>
      <c r="F121" s="37"/>
      <c r="G121" s="95" t="str">
        <f t="shared" si="10"/>
        <v/>
      </c>
      <c r="H121" s="39" t="s">
        <v>142</v>
      </c>
      <c r="I121" s="81"/>
      <c r="J121" s="82" t="str">
        <f>IF(AND(A121&lt;&gt;"",E121&lt;&gt;""),IF(I121="","⚠️ Enter Code",IF(IFERROR(VLOOKUP(H121,DB_Agents!$B:$I,8,0),"")=I121,IF(C121&gt;=E121,"Successful","Unsuccessful"),"🔒 BLOCKED — Wrong Code")),"Pending")</f>
        <v>Pending</v>
      </c>
      <c r="K121" s="83" t="str">
        <f t="shared" ca="1" si="11"/>
        <v>—</v>
      </c>
      <c r="L121" s="84"/>
    </row>
    <row r="122" spans="1:12" ht="15" customHeight="1" x14ac:dyDescent="0.25">
      <c r="A122" s="85"/>
      <c r="B122" s="41" t="str">
        <f>IF(A122="","",IFERROR(VLOOKUP(A122,DB_Customers!$A:$D,4,0),"❌ Account Not Found"))</f>
        <v/>
      </c>
      <c r="C122" s="86" t="str">
        <f>IF(A122="","",IFERROR(VLOOKUP(A122,DB_Customers!$A:$N,14,0),"❌ Acct Not Found"))</f>
        <v/>
      </c>
      <c r="D122" s="87" t="str">
        <f t="shared" ca="1" si="9"/>
        <v/>
      </c>
      <c r="E122" s="94"/>
      <c r="F122" s="41"/>
      <c r="G122" s="96" t="str">
        <f t="shared" si="10"/>
        <v/>
      </c>
      <c r="H122" s="43" t="s">
        <v>142</v>
      </c>
      <c r="I122" s="81"/>
      <c r="J122" s="89" t="str">
        <f>IF(AND(A122&lt;&gt;"",E122&lt;&gt;""),IF(I122="","⚠️ Enter Code",IF(IFERROR(VLOOKUP(H122,DB_Agents!$B:$I,8,0),"")=I122,IF(C122&gt;=E122,"Successful","Unsuccessful"),"🔒 BLOCKED — Wrong Code")),"Pending")</f>
        <v>Pending</v>
      </c>
      <c r="K122" s="90" t="str">
        <f t="shared" ca="1" si="11"/>
        <v>—</v>
      </c>
      <c r="L122" s="91"/>
    </row>
    <row r="123" spans="1:12" ht="15" customHeight="1" x14ac:dyDescent="0.25">
      <c r="A123" s="76"/>
      <c r="B123" s="37" t="str">
        <f>IF(A123="","",IFERROR(VLOOKUP(A123,DB_Customers!$A:$D,4,0),"❌ Account Not Found"))</f>
        <v/>
      </c>
      <c r="C123" s="77" t="str">
        <f>IF(A123="","",IFERROR(VLOOKUP(A123,DB_Customers!$A:$N,14,0),"❌ Acct Not Found"))</f>
        <v/>
      </c>
      <c r="D123" s="78" t="str">
        <f t="shared" ca="1" si="9"/>
        <v/>
      </c>
      <c r="E123" s="94"/>
      <c r="F123" s="37"/>
      <c r="G123" s="95" t="str">
        <f t="shared" si="10"/>
        <v/>
      </c>
      <c r="H123" s="39" t="s">
        <v>142</v>
      </c>
      <c r="I123" s="81"/>
      <c r="J123" s="82" t="str">
        <f>IF(AND(A123&lt;&gt;"",E123&lt;&gt;""),IF(I123="","⚠️ Enter Code",IF(IFERROR(VLOOKUP(H123,DB_Agents!$B:$I,8,0),"")=I123,IF(C123&gt;=E123,"Successful","Unsuccessful"),"🔒 BLOCKED — Wrong Code")),"Pending")</f>
        <v>Pending</v>
      </c>
      <c r="K123" s="83" t="str">
        <f t="shared" ca="1" si="11"/>
        <v>—</v>
      </c>
      <c r="L123" s="84"/>
    </row>
    <row r="124" spans="1:12" ht="15" customHeight="1" x14ac:dyDescent="0.25">
      <c r="A124" s="85"/>
      <c r="B124" s="41" t="str">
        <f>IF(A124="","",IFERROR(VLOOKUP(A124,DB_Customers!$A:$D,4,0),"❌ Account Not Found"))</f>
        <v/>
      </c>
      <c r="C124" s="86" t="str">
        <f>IF(A124="","",IFERROR(VLOOKUP(A124,DB_Customers!$A:$N,14,0),"❌ Acct Not Found"))</f>
        <v/>
      </c>
      <c r="D124" s="87" t="str">
        <f t="shared" ca="1" si="9"/>
        <v/>
      </c>
      <c r="E124" s="94"/>
      <c r="F124" s="41"/>
      <c r="G124" s="96" t="str">
        <f t="shared" si="10"/>
        <v/>
      </c>
      <c r="H124" s="43" t="s">
        <v>142</v>
      </c>
      <c r="I124" s="81"/>
      <c r="J124" s="89" t="str">
        <f>IF(AND(A124&lt;&gt;"",E124&lt;&gt;""),IF(I124="","⚠️ Enter Code",IF(IFERROR(VLOOKUP(H124,DB_Agents!$B:$I,8,0),"")=I124,IF(C124&gt;=E124,"Successful","Unsuccessful"),"🔒 BLOCKED — Wrong Code")),"Pending")</f>
        <v>Pending</v>
      </c>
      <c r="K124" s="90" t="str">
        <f t="shared" ca="1" si="11"/>
        <v>—</v>
      </c>
      <c r="L124" s="91"/>
    </row>
    <row r="125" spans="1:12" ht="15" customHeight="1" x14ac:dyDescent="0.25">
      <c r="A125" s="76"/>
      <c r="B125" s="37" t="str">
        <f>IF(A125="","",IFERROR(VLOOKUP(A125,DB_Customers!$A:$D,4,0),"❌ Account Not Found"))</f>
        <v/>
      </c>
      <c r="C125" s="77" t="str">
        <f>IF(A125="","",IFERROR(VLOOKUP(A125,DB_Customers!$A:$N,14,0),"❌ Acct Not Found"))</f>
        <v/>
      </c>
      <c r="D125" s="78" t="str">
        <f t="shared" ca="1" si="9"/>
        <v/>
      </c>
      <c r="E125" s="94"/>
      <c r="F125" s="37"/>
      <c r="G125" s="95" t="str">
        <f t="shared" si="10"/>
        <v/>
      </c>
      <c r="H125" s="39" t="s">
        <v>142</v>
      </c>
      <c r="I125" s="81"/>
      <c r="J125" s="82" t="str">
        <f>IF(AND(A125&lt;&gt;"",E125&lt;&gt;""),IF(I125="","⚠️ Enter Code",IF(IFERROR(VLOOKUP(H125,DB_Agents!$B:$I,8,0),"")=I125,IF(C125&gt;=E125,"Successful","Unsuccessful"),"🔒 BLOCKED — Wrong Code")),"Pending")</f>
        <v>Pending</v>
      </c>
      <c r="K125" s="83" t="str">
        <f t="shared" ca="1" si="11"/>
        <v>—</v>
      </c>
      <c r="L125" s="84"/>
    </row>
    <row r="126" spans="1:12" ht="15" customHeight="1" x14ac:dyDescent="0.25">
      <c r="A126" s="85"/>
      <c r="B126" s="41" t="str">
        <f>IF(A126="","",IFERROR(VLOOKUP(A126,DB_Customers!$A:$D,4,0),"❌ Account Not Found"))</f>
        <v/>
      </c>
      <c r="C126" s="86" t="str">
        <f>IF(A126="","",IFERROR(VLOOKUP(A126,DB_Customers!$A:$N,14,0),"❌ Acct Not Found"))</f>
        <v/>
      </c>
      <c r="D126" s="87" t="str">
        <f t="shared" ca="1" si="9"/>
        <v/>
      </c>
      <c r="E126" s="94"/>
      <c r="F126" s="41"/>
      <c r="G126" s="96" t="str">
        <f t="shared" si="10"/>
        <v/>
      </c>
      <c r="H126" s="43" t="s">
        <v>142</v>
      </c>
      <c r="I126" s="81"/>
      <c r="J126" s="89" t="str">
        <f>IF(AND(A126&lt;&gt;"",E126&lt;&gt;""),IF(I126="","⚠️ Enter Code",IF(IFERROR(VLOOKUP(H126,DB_Agents!$B:$I,8,0),"")=I126,IF(C126&gt;=E126,"Successful","Unsuccessful"),"🔒 BLOCKED — Wrong Code")),"Pending")</f>
        <v>Pending</v>
      </c>
      <c r="K126" s="90" t="str">
        <f t="shared" ca="1" si="11"/>
        <v>—</v>
      </c>
      <c r="L126" s="91"/>
    </row>
    <row r="127" spans="1:12" ht="15" customHeight="1" x14ac:dyDescent="0.25">
      <c r="A127" s="76"/>
      <c r="B127" s="37" t="str">
        <f>IF(A127="","",IFERROR(VLOOKUP(A127,DB_Customers!$A:$D,4,0),"❌ Account Not Found"))</f>
        <v/>
      </c>
      <c r="C127" s="77" t="str">
        <f>IF(A127="","",IFERROR(VLOOKUP(A127,DB_Customers!$A:$N,14,0),"❌ Acct Not Found"))</f>
        <v/>
      </c>
      <c r="D127" s="78" t="str">
        <f t="shared" ca="1" si="9"/>
        <v/>
      </c>
      <c r="E127" s="94"/>
      <c r="F127" s="37"/>
      <c r="G127" s="95" t="str">
        <f t="shared" si="10"/>
        <v/>
      </c>
      <c r="H127" s="39" t="s">
        <v>142</v>
      </c>
      <c r="I127" s="81"/>
      <c r="J127" s="82" t="str">
        <f>IF(AND(A127&lt;&gt;"",E127&lt;&gt;""),IF(I127="","⚠️ Enter Code",IF(IFERROR(VLOOKUP(H127,DB_Agents!$B:$I,8,0),"")=I127,IF(C127&gt;=E127,"Successful","Unsuccessful"),"🔒 BLOCKED — Wrong Code")),"Pending")</f>
        <v>Pending</v>
      </c>
      <c r="K127" s="83" t="str">
        <f t="shared" ca="1" si="11"/>
        <v>—</v>
      </c>
      <c r="L127" s="84"/>
    </row>
    <row r="128" spans="1:12" ht="15" customHeight="1" x14ac:dyDescent="0.25">
      <c r="A128" s="85"/>
      <c r="B128" s="41" t="str">
        <f>IF(A128="","",IFERROR(VLOOKUP(A128,DB_Customers!$A:$D,4,0),"❌ Account Not Found"))</f>
        <v/>
      </c>
      <c r="C128" s="86" t="str">
        <f>IF(A128="","",IFERROR(VLOOKUP(A128,DB_Customers!$A:$N,14,0),"❌ Acct Not Found"))</f>
        <v/>
      </c>
      <c r="D128" s="87" t="str">
        <f t="shared" ca="1" si="9"/>
        <v/>
      </c>
      <c r="E128" s="94"/>
      <c r="F128" s="41"/>
      <c r="G128" s="96" t="str">
        <f t="shared" si="10"/>
        <v/>
      </c>
      <c r="H128" s="43" t="s">
        <v>142</v>
      </c>
      <c r="I128" s="81"/>
      <c r="J128" s="89" t="str">
        <f>IF(AND(A128&lt;&gt;"",E128&lt;&gt;""),IF(I128="","⚠️ Enter Code",IF(IFERROR(VLOOKUP(H128,DB_Agents!$B:$I,8,0),"")=I128,IF(C128&gt;=E128,"Successful","Unsuccessful"),"🔒 BLOCKED — Wrong Code")),"Pending")</f>
        <v>Pending</v>
      </c>
      <c r="K128" s="90" t="str">
        <f t="shared" ca="1" si="11"/>
        <v>—</v>
      </c>
      <c r="L128" s="91"/>
    </row>
    <row r="129" spans="1:12" ht="15" customHeight="1" x14ac:dyDescent="0.25">
      <c r="A129" s="76"/>
      <c r="B129" s="37" t="str">
        <f>IF(A129="","",IFERROR(VLOOKUP(A129,DB_Customers!$A:$D,4,0),"❌ Account Not Found"))</f>
        <v/>
      </c>
      <c r="C129" s="77" t="str">
        <f>IF(A129="","",IFERROR(VLOOKUP(A129,DB_Customers!$A:$N,14,0),"❌ Acct Not Found"))</f>
        <v/>
      </c>
      <c r="D129" s="78" t="str">
        <f t="shared" ca="1" si="9"/>
        <v/>
      </c>
      <c r="E129" s="94"/>
      <c r="F129" s="37"/>
      <c r="G129" s="95" t="str">
        <f t="shared" si="10"/>
        <v/>
      </c>
      <c r="H129" s="39" t="s">
        <v>142</v>
      </c>
      <c r="I129" s="81"/>
      <c r="J129" s="82" t="str">
        <f>IF(AND(A129&lt;&gt;"",E129&lt;&gt;""),IF(I129="","⚠️ Enter Code",IF(IFERROR(VLOOKUP(H129,DB_Agents!$B:$I,8,0),"")=I129,IF(C129&gt;=E129,"Successful","Unsuccessful"),"🔒 BLOCKED — Wrong Code")),"Pending")</f>
        <v>Pending</v>
      </c>
      <c r="K129" s="83" t="str">
        <f t="shared" ca="1" si="11"/>
        <v>—</v>
      </c>
      <c r="L129" s="84"/>
    </row>
    <row r="130" spans="1:12" ht="15" customHeight="1" x14ac:dyDescent="0.25">
      <c r="A130" s="85"/>
      <c r="B130" s="41" t="str">
        <f>IF(A130="","",IFERROR(VLOOKUP(A130,DB_Customers!$A:$D,4,0),"❌ Account Not Found"))</f>
        <v/>
      </c>
      <c r="C130" s="86" t="str">
        <f>IF(A130="","",IFERROR(VLOOKUP(A130,DB_Customers!$A:$N,14,0),"❌ Acct Not Found"))</f>
        <v/>
      </c>
      <c r="D130" s="87" t="str">
        <f t="shared" ca="1" si="9"/>
        <v/>
      </c>
      <c r="E130" s="94"/>
      <c r="F130" s="41"/>
      <c r="G130" s="96" t="str">
        <f t="shared" si="10"/>
        <v/>
      </c>
      <c r="H130" s="43" t="s">
        <v>142</v>
      </c>
      <c r="I130" s="81"/>
      <c r="J130" s="89" t="str">
        <f>IF(AND(A130&lt;&gt;"",E130&lt;&gt;""),IF(I130="","⚠️ Enter Code",IF(IFERROR(VLOOKUP(H130,DB_Agents!$B:$I,8,0),"")=I130,IF(C130&gt;=E130,"Successful","Unsuccessful"),"🔒 BLOCKED — Wrong Code")),"Pending")</f>
        <v>Pending</v>
      </c>
      <c r="K130" s="90" t="str">
        <f t="shared" ca="1" si="11"/>
        <v>—</v>
      </c>
      <c r="L130" s="91"/>
    </row>
    <row r="131" spans="1:12" ht="15" customHeight="1" x14ac:dyDescent="0.25">
      <c r="A131" s="76"/>
      <c r="B131" s="37" t="str">
        <f>IF(A131="","",IFERROR(VLOOKUP(A131,DB_Customers!$A:$D,4,0),"❌ Account Not Found"))</f>
        <v/>
      </c>
      <c r="C131" s="77" t="str">
        <f>IF(A131="","",IFERROR(VLOOKUP(A131,DB_Customers!$A:$N,14,0),"❌ Acct Not Found"))</f>
        <v/>
      </c>
      <c r="D131" s="78" t="str">
        <f t="shared" ca="1" si="9"/>
        <v/>
      </c>
      <c r="E131" s="94"/>
      <c r="F131" s="37"/>
      <c r="G131" s="95" t="str">
        <f t="shared" si="10"/>
        <v/>
      </c>
      <c r="H131" s="39" t="s">
        <v>142</v>
      </c>
      <c r="I131" s="81"/>
      <c r="J131" s="82" t="str">
        <f>IF(AND(A131&lt;&gt;"",E131&lt;&gt;""),IF(I131="","⚠️ Enter Code",IF(IFERROR(VLOOKUP(H131,DB_Agents!$B:$I,8,0),"")=I131,IF(C131&gt;=E131,"Successful","Unsuccessful"),"🔒 BLOCKED — Wrong Code")),"Pending")</f>
        <v>Pending</v>
      </c>
      <c r="K131" s="83" t="str">
        <f t="shared" ca="1" si="11"/>
        <v>—</v>
      </c>
      <c r="L131" s="84"/>
    </row>
    <row r="132" spans="1:12" ht="15" customHeight="1" x14ac:dyDescent="0.25">
      <c r="A132" s="85"/>
      <c r="B132" s="41" t="str">
        <f>IF(A132="","",IFERROR(VLOOKUP(A132,DB_Customers!$A:$D,4,0),"❌ Account Not Found"))</f>
        <v/>
      </c>
      <c r="C132" s="86" t="str">
        <f>IF(A132="","",IFERROR(VLOOKUP(A132,DB_Customers!$A:$N,14,0),"❌ Acct Not Found"))</f>
        <v/>
      </c>
      <c r="D132" s="87" t="str">
        <f t="shared" ca="1" si="9"/>
        <v/>
      </c>
      <c r="E132" s="94"/>
      <c r="F132" s="41"/>
      <c r="G132" s="96" t="str">
        <f t="shared" si="10"/>
        <v/>
      </c>
      <c r="H132" s="43" t="s">
        <v>142</v>
      </c>
      <c r="I132" s="81"/>
      <c r="J132" s="89" t="str">
        <f>IF(AND(A132&lt;&gt;"",E132&lt;&gt;""),IF(I132="","⚠️ Enter Code",IF(IFERROR(VLOOKUP(H132,DB_Agents!$B:$I,8,0),"")=I132,IF(C132&gt;=E132,"Successful","Unsuccessful"),"🔒 BLOCKED — Wrong Code")),"Pending")</f>
        <v>Pending</v>
      </c>
      <c r="K132" s="90" t="str">
        <f t="shared" ca="1" si="11"/>
        <v>—</v>
      </c>
      <c r="L132" s="91"/>
    </row>
    <row r="133" spans="1:12" ht="15" customHeight="1" x14ac:dyDescent="0.25">
      <c r="A133" s="76"/>
      <c r="B133" s="37" t="str">
        <f>IF(A133="","",IFERROR(VLOOKUP(A133,DB_Customers!$A:$D,4,0),"❌ Account Not Found"))</f>
        <v/>
      </c>
      <c r="C133" s="77" t="str">
        <f>IF(A133="","",IFERROR(VLOOKUP(A133,DB_Customers!$A:$N,14,0),"❌ Acct Not Found"))</f>
        <v/>
      </c>
      <c r="D133" s="78" t="str">
        <f t="shared" ca="1" si="9"/>
        <v/>
      </c>
      <c r="E133" s="94"/>
      <c r="F133" s="37"/>
      <c r="G133" s="95" t="str">
        <f t="shared" si="10"/>
        <v/>
      </c>
      <c r="H133" s="39" t="s">
        <v>142</v>
      </c>
      <c r="I133" s="81"/>
      <c r="J133" s="82" t="str">
        <f>IF(AND(A133&lt;&gt;"",E133&lt;&gt;""),IF(I133="","⚠️ Enter Code",IF(IFERROR(VLOOKUP(H133,DB_Agents!$B:$I,8,0),"")=I133,IF(C133&gt;=E133,"Successful","Unsuccessful"),"🔒 BLOCKED — Wrong Code")),"Pending")</f>
        <v>Pending</v>
      </c>
      <c r="K133" s="83" t="str">
        <f t="shared" ca="1" si="11"/>
        <v>—</v>
      </c>
      <c r="L133" s="84"/>
    </row>
    <row r="134" spans="1:12" ht="15" customHeight="1" x14ac:dyDescent="0.25">
      <c r="A134" s="85"/>
      <c r="B134" s="41" t="str">
        <f>IF(A134="","",IFERROR(VLOOKUP(A134,DB_Customers!$A:$D,4,0),"❌ Account Not Found"))</f>
        <v/>
      </c>
      <c r="C134" s="86" t="str">
        <f>IF(A134="","",IFERROR(VLOOKUP(A134,DB_Customers!$A:$N,14,0),"❌ Acct Not Found"))</f>
        <v/>
      </c>
      <c r="D134" s="87" t="str">
        <f t="shared" ca="1" si="9"/>
        <v/>
      </c>
      <c r="E134" s="94"/>
      <c r="F134" s="41"/>
      <c r="G134" s="96" t="str">
        <f t="shared" si="10"/>
        <v/>
      </c>
      <c r="H134" s="43" t="s">
        <v>142</v>
      </c>
      <c r="I134" s="81"/>
      <c r="J134" s="89" t="str">
        <f>IF(AND(A134&lt;&gt;"",E134&lt;&gt;""),IF(I134="","⚠️ Enter Code",IF(IFERROR(VLOOKUP(H134,DB_Agents!$B:$I,8,0),"")=I134,IF(C134&gt;=E134,"Successful","Unsuccessful"),"🔒 BLOCKED — Wrong Code")),"Pending")</f>
        <v>Pending</v>
      </c>
      <c r="K134" s="90" t="str">
        <f t="shared" ca="1" si="11"/>
        <v>—</v>
      </c>
      <c r="L134" s="91"/>
    </row>
    <row r="135" spans="1:12" ht="15" customHeight="1" x14ac:dyDescent="0.25">
      <c r="A135" s="76"/>
      <c r="B135" s="37" t="str">
        <f>IF(A135="","",IFERROR(VLOOKUP(A135,DB_Customers!$A:$D,4,0),"❌ Account Not Found"))</f>
        <v/>
      </c>
      <c r="C135" s="77" t="str">
        <f>IF(A135="","",IFERROR(VLOOKUP(A135,DB_Customers!$A:$N,14,0),"❌ Acct Not Found"))</f>
        <v/>
      </c>
      <c r="D135" s="78" t="str">
        <f t="shared" ca="1" si="9"/>
        <v/>
      </c>
      <c r="E135" s="94"/>
      <c r="F135" s="37"/>
      <c r="G135" s="95" t="str">
        <f t="shared" si="10"/>
        <v/>
      </c>
      <c r="H135" s="39" t="s">
        <v>142</v>
      </c>
      <c r="I135" s="81"/>
      <c r="J135" s="82" t="str">
        <f>IF(AND(A135&lt;&gt;"",E135&lt;&gt;""),IF(I135="","⚠️ Enter Code",IF(IFERROR(VLOOKUP(H135,DB_Agents!$B:$I,8,0),"")=I135,IF(C135&gt;=E135,"Successful","Unsuccessful"),"🔒 BLOCKED — Wrong Code")),"Pending")</f>
        <v>Pending</v>
      </c>
      <c r="K135" s="83" t="str">
        <f t="shared" ca="1" si="11"/>
        <v>—</v>
      </c>
      <c r="L135" s="84"/>
    </row>
    <row r="136" spans="1:12" ht="15" customHeight="1" x14ac:dyDescent="0.25">
      <c r="A136" s="85"/>
      <c r="B136" s="41" t="str">
        <f>IF(A136="","",IFERROR(VLOOKUP(A136,DB_Customers!$A:$D,4,0),"❌ Account Not Found"))</f>
        <v/>
      </c>
      <c r="C136" s="86" t="str">
        <f>IF(A136="","",IFERROR(VLOOKUP(A136,DB_Customers!$A:$N,14,0),"❌ Acct Not Found"))</f>
        <v/>
      </c>
      <c r="D136" s="87" t="str">
        <f t="shared" ca="1" si="9"/>
        <v/>
      </c>
      <c r="E136" s="94"/>
      <c r="F136" s="41"/>
      <c r="G136" s="96" t="str">
        <f t="shared" si="10"/>
        <v/>
      </c>
      <c r="H136" s="43" t="s">
        <v>142</v>
      </c>
      <c r="I136" s="81"/>
      <c r="J136" s="89" t="str">
        <f>IF(AND(A136&lt;&gt;"",E136&lt;&gt;""),IF(I136="","⚠️ Enter Code",IF(IFERROR(VLOOKUP(H136,DB_Agents!$B:$I,8,0),"")=I136,IF(C136&gt;=E136,"Successful","Unsuccessful"),"🔒 BLOCKED — Wrong Code")),"Pending")</f>
        <v>Pending</v>
      </c>
      <c r="K136" s="90" t="str">
        <f t="shared" ca="1" si="11"/>
        <v>—</v>
      </c>
      <c r="L136" s="91"/>
    </row>
    <row r="137" spans="1:12" ht="15" customHeight="1" x14ac:dyDescent="0.25">
      <c r="A137" s="76"/>
      <c r="B137" s="37" t="str">
        <f>IF(A137="","",IFERROR(VLOOKUP(A137,DB_Customers!$A:$D,4,0),"❌ Account Not Found"))</f>
        <v/>
      </c>
      <c r="C137" s="77" t="str">
        <f>IF(A137="","",IFERROR(VLOOKUP(A137,DB_Customers!$A:$N,14,0),"❌ Acct Not Found"))</f>
        <v/>
      </c>
      <c r="D137" s="78" t="str">
        <f t="shared" ref="D137:D168" ca="1" si="12">IF(A137="","",TODAY())</f>
        <v/>
      </c>
      <c r="E137" s="94"/>
      <c r="F137" s="37"/>
      <c r="G137" s="95" t="str">
        <f t="shared" ref="G137:G168" si="13">IF(OR(A137="",E137=""),"",IF(C137="","",C137-E137))</f>
        <v/>
      </c>
      <c r="H137" s="39" t="s">
        <v>142</v>
      </c>
      <c r="I137" s="81"/>
      <c r="J137" s="82" t="str">
        <f>IF(AND(A137&lt;&gt;"",E137&lt;&gt;""),IF(I137="","⚠️ Enter Code",IF(IFERROR(VLOOKUP(H137,DB_Agents!$B:$I,8,0),"")=I137,IF(C137&gt;=E137,"Successful","Unsuccessful"),"🔒 BLOCKED — Wrong Code")),"Pending")</f>
        <v>Pending</v>
      </c>
      <c r="K137" s="83" t="str">
        <f t="shared" ref="K137:K168" ca="1" si="14">IF(J137="Successful",TEXT(TODAY(),"YYYY-MM-DD")&amp;" Auto","—")</f>
        <v>—</v>
      </c>
      <c r="L137" s="84"/>
    </row>
    <row r="138" spans="1:12" ht="15" customHeight="1" x14ac:dyDescent="0.25">
      <c r="A138" s="85"/>
      <c r="B138" s="41" t="str">
        <f>IF(A138="","",IFERROR(VLOOKUP(A138,DB_Customers!$A:$D,4,0),"❌ Account Not Found"))</f>
        <v/>
      </c>
      <c r="C138" s="86" t="str">
        <f>IF(A138="","",IFERROR(VLOOKUP(A138,DB_Customers!$A:$N,14,0),"❌ Acct Not Found"))</f>
        <v/>
      </c>
      <c r="D138" s="87" t="str">
        <f t="shared" ca="1" si="12"/>
        <v/>
      </c>
      <c r="E138" s="94"/>
      <c r="F138" s="41"/>
      <c r="G138" s="96" t="str">
        <f t="shared" si="13"/>
        <v/>
      </c>
      <c r="H138" s="43" t="s">
        <v>142</v>
      </c>
      <c r="I138" s="81"/>
      <c r="J138" s="89" t="str">
        <f>IF(AND(A138&lt;&gt;"",E138&lt;&gt;""),IF(I138="","⚠️ Enter Code",IF(IFERROR(VLOOKUP(H138,DB_Agents!$B:$I,8,0),"")=I138,IF(C138&gt;=E138,"Successful","Unsuccessful"),"🔒 BLOCKED — Wrong Code")),"Pending")</f>
        <v>Pending</v>
      </c>
      <c r="K138" s="90" t="str">
        <f t="shared" ca="1" si="14"/>
        <v>—</v>
      </c>
      <c r="L138" s="91"/>
    </row>
    <row r="139" spans="1:12" ht="15" customHeight="1" x14ac:dyDescent="0.25">
      <c r="A139" s="76"/>
      <c r="B139" s="37" t="str">
        <f>IF(A139="","",IFERROR(VLOOKUP(A139,DB_Customers!$A:$D,4,0),"❌ Account Not Found"))</f>
        <v/>
      </c>
      <c r="C139" s="77" t="str">
        <f>IF(A139="","",IFERROR(VLOOKUP(A139,DB_Customers!$A:$N,14,0),"❌ Acct Not Found"))</f>
        <v/>
      </c>
      <c r="D139" s="78" t="str">
        <f t="shared" ca="1" si="12"/>
        <v/>
      </c>
      <c r="E139" s="94"/>
      <c r="F139" s="37"/>
      <c r="G139" s="95" t="str">
        <f t="shared" si="13"/>
        <v/>
      </c>
      <c r="H139" s="39" t="s">
        <v>142</v>
      </c>
      <c r="I139" s="81"/>
      <c r="J139" s="82" t="str">
        <f>IF(AND(A139&lt;&gt;"",E139&lt;&gt;""),IF(I139="","⚠️ Enter Code",IF(IFERROR(VLOOKUP(H139,DB_Agents!$B:$I,8,0),"")=I139,IF(C139&gt;=E139,"Successful","Unsuccessful"),"🔒 BLOCKED — Wrong Code")),"Pending")</f>
        <v>Pending</v>
      </c>
      <c r="K139" s="83" t="str">
        <f t="shared" ca="1" si="14"/>
        <v>—</v>
      </c>
      <c r="L139" s="84"/>
    </row>
    <row r="140" spans="1:12" ht="15" customHeight="1" x14ac:dyDescent="0.25">
      <c r="A140" s="85"/>
      <c r="B140" s="41" t="str">
        <f>IF(A140="","",IFERROR(VLOOKUP(A140,DB_Customers!$A:$D,4,0),"❌ Account Not Found"))</f>
        <v/>
      </c>
      <c r="C140" s="86" t="str">
        <f>IF(A140="","",IFERROR(VLOOKUP(A140,DB_Customers!$A:$N,14,0),"❌ Acct Not Found"))</f>
        <v/>
      </c>
      <c r="D140" s="87" t="str">
        <f t="shared" ca="1" si="12"/>
        <v/>
      </c>
      <c r="E140" s="94"/>
      <c r="F140" s="41"/>
      <c r="G140" s="96" t="str">
        <f t="shared" si="13"/>
        <v/>
      </c>
      <c r="H140" s="43" t="s">
        <v>142</v>
      </c>
      <c r="I140" s="81"/>
      <c r="J140" s="89" t="str">
        <f>IF(AND(A140&lt;&gt;"",E140&lt;&gt;""),IF(I140="","⚠️ Enter Code",IF(IFERROR(VLOOKUP(H140,DB_Agents!$B:$I,8,0),"")=I140,IF(C140&gt;=E140,"Successful","Unsuccessful"),"🔒 BLOCKED — Wrong Code")),"Pending")</f>
        <v>Pending</v>
      </c>
      <c r="K140" s="90" t="str">
        <f t="shared" ca="1" si="14"/>
        <v>—</v>
      </c>
      <c r="L140" s="91"/>
    </row>
    <row r="141" spans="1:12" ht="15" customHeight="1" x14ac:dyDescent="0.25">
      <c r="A141" s="76"/>
      <c r="B141" s="37" t="str">
        <f>IF(A141="","",IFERROR(VLOOKUP(A141,DB_Customers!$A:$D,4,0),"❌ Account Not Found"))</f>
        <v/>
      </c>
      <c r="C141" s="77" t="str">
        <f>IF(A141="","",IFERROR(VLOOKUP(A141,DB_Customers!$A:$N,14,0),"❌ Acct Not Found"))</f>
        <v/>
      </c>
      <c r="D141" s="78" t="str">
        <f t="shared" ca="1" si="12"/>
        <v/>
      </c>
      <c r="E141" s="94"/>
      <c r="F141" s="37"/>
      <c r="G141" s="95" t="str">
        <f t="shared" si="13"/>
        <v/>
      </c>
      <c r="H141" s="39" t="s">
        <v>142</v>
      </c>
      <c r="I141" s="81"/>
      <c r="J141" s="82" t="str">
        <f>IF(AND(A141&lt;&gt;"",E141&lt;&gt;""),IF(I141="","⚠️ Enter Code",IF(IFERROR(VLOOKUP(H141,DB_Agents!$B:$I,8,0),"")=I141,IF(C141&gt;=E141,"Successful","Unsuccessful"),"🔒 BLOCKED — Wrong Code")),"Pending")</f>
        <v>Pending</v>
      </c>
      <c r="K141" s="83" t="str">
        <f t="shared" ca="1" si="14"/>
        <v>—</v>
      </c>
      <c r="L141" s="84"/>
    </row>
    <row r="142" spans="1:12" ht="15" customHeight="1" x14ac:dyDescent="0.25">
      <c r="A142" s="85"/>
      <c r="B142" s="41" t="str">
        <f>IF(A142="","",IFERROR(VLOOKUP(A142,DB_Customers!$A:$D,4,0),"❌ Account Not Found"))</f>
        <v/>
      </c>
      <c r="C142" s="86" t="str">
        <f>IF(A142="","",IFERROR(VLOOKUP(A142,DB_Customers!$A:$N,14,0),"❌ Acct Not Found"))</f>
        <v/>
      </c>
      <c r="D142" s="87" t="str">
        <f t="shared" ca="1" si="12"/>
        <v/>
      </c>
      <c r="E142" s="94"/>
      <c r="F142" s="41"/>
      <c r="G142" s="96" t="str">
        <f t="shared" si="13"/>
        <v/>
      </c>
      <c r="H142" s="43" t="s">
        <v>142</v>
      </c>
      <c r="I142" s="81"/>
      <c r="J142" s="89" t="str">
        <f>IF(AND(A142&lt;&gt;"",E142&lt;&gt;""),IF(I142="","⚠️ Enter Code",IF(IFERROR(VLOOKUP(H142,DB_Agents!$B:$I,8,0),"")=I142,IF(C142&gt;=E142,"Successful","Unsuccessful"),"🔒 BLOCKED — Wrong Code")),"Pending")</f>
        <v>Pending</v>
      </c>
      <c r="K142" s="90" t="str">
        <f t="shared" ca="1" si="14"/>
        <v>—</v>
      </c>
      <c r="L142" s="91"/>
    </row>
    <row r="143" spans="1:12" ht="15" customHeight="1" x14ac:dyDescent="0.25">
      <c r="A143" s="76"/>
      <c r="B143" s="37" t="str">
        <f>IF(A143="","",IFERROR(VLOOKUP(A143,DB_Customers!$A:$D,4,0),"❌ Account Not Found"))</f>
        <v/>
      </c>
      <c r="C143" s="77" t="str">
        <f>IF(A143="","",IFERROR(VLOOKUP(A143,DB_Customers!$A:$N,14,0),"❌ Acct Not Found"))</f>
        <v/>
      </c>
      <c r="D143" s="78" t="str">
        <f t="shared" ca="1" si="12"/>
        <v/>
      </c>
      <c r="E143" s="94"/>
      <c r="F143" s="37"/>
      <c r="G143" s="95" t="str">
        <f t="shared" si="13"/>
        <v/>
      </c>
      <c r="H143" s="39" t="s">
        <v>142</v>
      </c>
      <c r="I143" s="81"/>
      <c r="J143" s="82" t="str">
        <f>IF(AND(A143&lt;&gt;"",E143&lt;&gt;""),IF(I143="","⚠️ Enter Code",IF(IFERROR(VLOOKUP(H143,DB_Agents!$B:$I,8,0),"")=I143,IF(C143&gt;=E143,"Successful","Unsuccessful"),"🔒 BLOCKED — Wrong Code")),"Pending")</f>
        <v>Pending</v>
      </c>
      <c r="K143" s="83" t="str">
        <f t="shared" ca="1" si="14"/>
        <v>—</v>
      </c>
      <c r="L143" s="84"/>
    </row>
    <row r="144" spans="1:12" ht="15" customHeight="1" x14ac:dyDescent="0.25">
      <c r="A144" s="85"/>
      <c r="B144" s="41" t="str">
        <f>IF(A144="","",IFERROR(VLOOKUP(A144,DB_Customers!$A:$D,4,0),"❌ Account Not Found"))</f>
        <v/>
      </c>
      <c r="C144" s="86" t="str">
        <f>IF(A144="","",IFERROR(VLOOKUP(A144,DB_Customers!$A:$N,14,0),"❌ Acct Not Found"))</f>
        <v/>
      </c>
      <c r="D144" s="87" t="str">
        <f t="shared" ca="1" si="12"/>
        <v/>
      </c>
      <c r="E144" s="94"/>
      <c r="F144" s="41"/>
      <c r="G144" s="96" t="str">
        <f t="shared" si="13"/>
        <v/>
      </c>
      <c r="H144" s="43" t="s">
        <v>142</v>
      </c>
      <c r="I144" s="81"/>
      <c r="J144" s="89" t="str">
        <f>IF(AND(A144&lt;&gt;"",E144&lt;&gt;""),IF(I144="","⚠️ Enter Code",IF(IFERROR(VLOOKUP(H144,DB_Agents!$B:$I,8,0),"")=I144,IF(C144&gt;=E144,"Successful","Unsuccessful"),"🔒 BLOCKED — Wrong Code")),"Pending")</f>
        <v>Pending</v>
      </c>
      <c r="K144" s="90" t="str">
        <f t="shared" ca="1" si="14"/>
        <v>—</v>
      </c>
      <c r="L144" s="91"/>
    </row>
    <row r="145" spans="1:12" ht="15" customHeight="1" x14ac:dyDescent="0.25">
      <c r="A145" s="76"/>
      <c r="B145" s="37" t="str">
        <f>IF(A145="","",IFERROR(VLOOKUP(A145,DB_Customers!$A:$D,4,0),"❌ Account Not Found"))</f>
        <v/>
      </c>
      <c r="C145" s="77" t="str">
        <f>IF(A145="","",IFERROR(VLOOKUP(A145,DB_Customers!$A:$N,14,0),"❌ Acct Not Found"))</f>
        <v/>
      </c>
      <c r="D145" s="78" t="str">
        <f t="shared" ca="1" si="12"/>
        <v/>
      </c>
      <c r="E145" s="94"/>
      <c r="F145" s="37"/>
      <c r="G145" s="95" t="str">
        <f t="shared" si="13"/>
        <v/>
      </c>
      <c r="H145" s="39" t="s">
        <v>142</v>
      </c>
      <c r="I145" s="81"/>
      <c r="J145" s="82" t="str">
        <f>IF(AND(A145&lt;&gt;"",E145&lt;&gt;""),IF(I145="","⚠️ Enter Code",IF(IFERROR(VLOOKUP(H145,DB_Agents!$B:$I,8,0),"")=I145,IF(C145&gt;=E145,"Successful","Unsuccessful"),"🔒 BLOCKED — Wrong Code")),"Pending")</f>
        <v>Pending</v>
      </c>
      <c r="K145" s="83" t="str">
        <f t="shared" ca="1" si="14"/>
        <v>—</v>
      </c>
      <c r="L145" s="84"/>
    </row>
    <row r="146" spans="1:12" ht="15" customHeight="1" x14ac:dyDescent="0.25">
      <c r="A146" s="85"/>
      <c r="B146" s="41" t="str">
        <f>IF(A146="","",IFERROR(VLOOKUP(A146,DB_Customers!$A:$D,4,0),"❌ Account Not Found"))</f>
        <v/>
      </c>
      <c r="C146" s="86" t="str">
        <f>IF(A146="","",IFERROR(VLOOKUP(A146,DB_Customers!$A:$N,14,0),"❌ Acct Not Found"))</f>
        <v/>
      </c>
      <c r="D146" s="87" t="str">
        <f t="shared" ca="1" si="12"/>
        <v/>
      </c>
      <c r="E146" s="94"/>
      <c r="F146" s="41"/>
      <c r="G146" s="96" t="str">
        <f t="shared" si="13"/>
        <v/>
      </c>
      <c r="H146" s="43" t="s">
        <v>142</v>
      </c>
      <c r="I146" s="81"/>
      <c r="J146" s="89" t="str">
        <f>IF(AND(A146&lt;&gt;"",E146&lt;&gt;""),IF(I146="","⚠️ Enter Code",IF(IFERROR(VLOOKUP(H146,DB_Agents!$B:$I,8,0),"")=I146,IF(C146&gt;=E146,"Successful","Unsuccessful"),"🔒 BLOCKED — Wrong Code")),"Pending")</f>
        <v>Pending</v>
      </c>
      <c r="K146" s="90" t="str">
        <f t="shared" ca="1" si="14"/>
        <v>—</v>
      </c>
      <c r="L146" s="91"/>
    </row>
    <row r="147" spans="1:12" ht="15" customHeight="1" x14ac:dyDescent="0.25">
      <c r="A147" s="76"/>
      <c r="B147" s="37" t="str">
        <f>IF(A147="","",IFERROR(VLOOKUP(A147,DB_Customers!$A:$D,4,0),"❌ Account Not Found"))</f>
        <v/>
      </c>
      <c r="C147" s="77" t="str">
        <f>IF(A147="","",IFERROR(VLOOKUP(A147,DB_Customers!$A:$N,14,0),"❌ Acct Not Found"))</f>
        <v/>
      </c>
      <c r="D147" s="78" t="str">
        <f t="shared" ca="1" si="12"/>
        <v/>
      </c>
      <c r="E147" s="94"/>
      <c r="F147" s="37"/>
      <c r="G147" s="95" t="str">
        <f t="shared" si="13"/>
        <v/>
      </c>
      <c r="H147" s="39" t="s">
        <v>142</v>
      </c>
      <c r="I147" s="81"/>
      <c r="J147" s="82" t="str">
        <f>IF(AND(A147&lt;&gt;"",E147&lt;&gt;""),IF(I147="","⚠️ Enter Code",IF(IFERROR(VLOOKUP(H147,DB_Agents!$B:$I,8,0),"")=I147,IF(C147&gt;=E147,"Successful","Unsuccessful"),"🔒 BLOCKED — Wrong Code")),"Pending")</f>
        <v>Pending</v>
      </c>
      <c r="K147" s="83" t="str">
        <f t="shared" ca="1" si="14"/>
        <v>—</v>
      </c>
      <c r="L147" s="84"/>
    </row>
    <row r="148" spans="1:12" ht="15" customHeight="1" x14ac:dyDescent="0.25">
      <c r="A148" s="85"/>
      <c r="B148" s="41" t="str">
        <f>IF(A148="","",IFERROR(VLOOKUP(A148,DB_Customers!$A:$D,4,0),"❌ Account Not Found"))</f>
        <v/>
      </c>
      <c r="C148" s="86" t="str">
        <f>IF(A148="","",IFERROR(VLOOKUP(A148,DB_Customers!$A:$N,14,0),"❌ Acct Not Found"))</f>
        <v/>
      </c>
      <c r="D148" s="87" t="str">
        <f t="shared" ca="1" si="12"/>
        <v/>
      </c>
      <c r="E148" s="94"/>
      <c r="F148" s="41"/>
      <c r="G148" s="96" t="str">
        <f t="shared" si="13"/>
        <v/>
      </c>
      <c r="H148" s="43" t="s">
        <v>142</v>
      </c>
      <c r="I148" s="81"/>
      <c r="J148" s="89" t="str">
        <f>IF(AND(A148&lt;&gt;"",E148&lt;&gt;""),IF(I148="","⚠️ Enter Code",IF(IFERROR(VLOOKUP(H148,DB_Agents!$B:$I,8,0),"")=I148,IF(C148&gt;=E148,"Successful","Unsuccessful"),"🔒 BLOCKED — Wrong Code")),"Pending")</f>
        <v>Pending</v>
      </c>
      <c r="K148" s="90" t="str">
        <f t="shared" ca="1" si="14"/>
        <v>—</v>
      </c>
      <c r="L148" s="91"/>
    </row>
    <row r="149" spans="1:12" ht="15" customHeight="1" x14ac:dyDescent="0.25">
      <c r="A149" s="76"/>
      <c r="B149" s="37" t="str">
        <f>IF(A149="","",IFERROR(VLOOKUP(A149,DB_Customers!$A:$D,4,0),"❌ Account Not Found"))</f>
        <v/>
      </c>
      <c r="C149" s="77" t="str">
        <f>IF(A149="","",IFERROR(VLOOKUP(A149,DB_Customers!$A:$N,14,0),"❌ Acct Not Found"))</f>
        <v/>
      </c>
      <c r="D149" s="78" t="str">
        <f t="shared" ca="1" si="12"/>
        <v/>
      </c>
      <c r="E149" s="94"/>
      <c r="F149" s="37"/>
      <c r="G149" s="95" t="str">
        <f t="shared" si="13"/>
        <v/>
      </c>
      <c r="H149" s="39" t="s">
        <v>142</v>
      </c>
      <c r="I149" s="81"/>
      <c r="J149" s="82" t="str">
        <f>IF(AND(A149&lt;&gt;"",E149&lt;&gt;""),IF(I149="","⚠️ Enter Code",IF(IFERROR(VLOOKUP(H149,DB_Agents!$B:$I,8,0),"")=I149,IF(C149&gt;=E149,"Successful","Unsuccessful"),"🔒 BLOCKED — Wrong Code")),"Pending")</f>
        <v>Pending</v>
      </c>
      <c r="K149" s="83" t="str">
        <f t="shared" ca="1" si="14"/>
        <v>—</v>
      </c>
      <c r="L149" s="84"/>
    </row>
    <row r="150" spans="1:12" ht="15" customHeight="1" x14ac:dyDescent="0.25">
      <c r="A150" s="85"/>
      <c r="B150" s="41" t="str">
        <f>IF(A150="","",IFERROR(VLOOKUP(A150,DB_Customers!$A:$D,4,0),"❌ Account Not Found"))</f>
        <v/>
      </c>
      <c r="C150" s="86" t="str">
        <f>IF(A150="","",IFERROR(VLOOKUP(A150,DB_Customers!$A:$N,14,0),"❌ Acct Not Found"))</f>
        <v/>
      </c>
      <c r="D150" s="87" t="str">
        <f t="shared" ca="1" si="12"/>
        <v/>
      </c>
      <c r="E150" s="94"/>
      <c r="F150" s="41"/>
      <c r="G150" s="96" t="str">
        <f t="shared" si="13"/>
        <v/>
      </c>
      <c r="H150" s="43" t="s">
        <v>142</v>
      </c>
      <c r="I150" s="81"/>
      <c r="J150" s="89" t="str">
        <f>IF(AND(A150&lt;&gt;"",E150&lt;&gt;""),IF(I150="","⚠️ Enter Code",IF(IFERROR(VLOOKUP(H150,DB_Agents!$B:$I,8,0),"")=I150,IF(C150&gt;=E150,"Successful","Unsuccessful"),"🔒 BLOCKED — Wrong Code")),"Pending")</f>
        <v>Pending</v>
      </c>
      <c r="K150" s="90" t="str">
        <f t="shared" ca="1" si="14"/>
        <v>—</v>
      </c>
      <c r="L150" s="91"/>
    </row>
    <row r="151" spans="1:12" ht="15" customHeight="1" x14ac:dyDescent="0.25">
      <c r="A151" s="76"/>
      <c r="B151" s="37" t="str">
        <f>IF(A151="","",IFERROR(VLOOKUP(A151,DB_Customers!$A:$D,4,0),"❌ Account Not Found"))</f>
        <v/>
      </c>
      <c r="C151" s="77" t="str">
        <f>IF(A151="","",IFERROR(VLOOKUP(A151,DB_Customers!$A:$N,14,0),"❌ Acct Not Found"))</f>
        <v/>
      </c>
      <c r="D151" s="78" t="str">
        <f t="shared" ca="1" si="12"/>
        <v/>
      </c>
      <c r="E151" s="94"/>
      <c r="F151" s="37"/>
      <c r="G151" s="95" t="str">
        <f t="shared" si="13"/>
        <v/>
      </c>
      <c r="H151" s="39" t="s">
        <v>142</v>
      </c>
      <c r="I151" s="81"/>
      <c r="J151" s="82" t="str">
        <f>IF(AND(A151&lt;&gt;"",E151&lt;&gt;""),IF(I151="","⚠️ Enter Code",IF(IFERROR(VLOOKUP(H151,DB_Agents!$B:$I,8,0),"")=I151,IF(C151&gt;=E151,"Successful","Unsuccessful"),"🔒 BLOCKED — Wrong Code")),"Pending")</f>
        <v>Pending</v>
      </c>
      <c r="K151" s="83" t="str">
        <f t="shared" ca="1" si="14"/>
        <v>—</v>
      </c>
      <c r="L151" s="84"/>
    </row>
    <row r="152" spans="1:12" ht="15" customHeight="1" x14ac:dyDescent="0.25">
      <c r="A152" s="85"/>
      <c r="B152" s="41" t="str">
        <f>IF(A152="","",IFERROR(VLOOKUP(A152,DB_Customers!$A:$D,4,0),"❌ Account Not Found"))</f>
        <v/>
      </c>
      <c r="C152" s="86" t="str">
        <f>IF(A152="","",IFERROR(VLOOKUP(A152,DB_Customers!$A:$N,14,0),"❌ Acct Not Found"))</f>
        <v/>
      </c>
      <c r="D152" s="87" t="str">
        <f t="shared" ca="1" si="12"/>
        <v/>
      </c>
      <c r="E152" s="94"/>
      <c r="F152" s="41"/>
      <c r="G152" s="96" t="str">
        <f t="shared" si="13"/>
        <v/>
      </c>
      <c r="H152" s="43" t="s">
        <v>142</v>
      </c>
      <c r="I152" s="81"/>
      <c r="J152" s="89" t="str">
        <f>IF(AND(A152&lt;&gt;"",E152&lt;&gt;""),IF(I152="","⚠️ Enter Code",IF(IFERROR(VLOOKUP(H152,DB_Agents!$B:$I,8,0),"")=I152,IF(C152&gt;=E152,"Successful","Unsuccessful"),"🔒 BLOCKED — Wrong Code")),"Pending")</f>
        <v>Pending</v>
      </c>
      <c r="K152" s="90" t="str">
        <f t="shared" ca="1" si="14"/>
        <v>—</v>
      </c>
      <c r="L152" s="91"/>
    </row>
    <row r="153" spans="1:12" ht="15" customHeight="1" x14ac:dyDescent="0.25">
      <c r="A153" s="76"/>
      <c r="B153" s="37" t="str">
        <f>IF(A153="","",IFERROR(VLOOKUP(A153,DB_Customers!$A:$D,4,0),"❌ Account Not Found"))</f>
        <v/>
      </c>
      <c r="C153" s="77" t="str">
        <f>IF(A153="","",IFERROR(VLOOKUP(A153,DB_Customers!$A:$N,14,0),"❌ Acct Not Found"))</f>
        <v/>
      </c>
      <c r="D153" s="78" t="str">
        <f t="shared" ca="1" si="12"/>
        <v/>
      </c>
      <c r="E153" s="94"/>
      <c r="F153" s="37"/>
      <c r="G153" s="95" t="str">
        <f t="shared" si="13"/>
        <v/>
      </c>
      <c r="H153" s="39" t="s">
        <v>142</v>
      </c>
      <c r="I153" s="81"/>
      <c r="J153" s="82" t="str">
        <f>IF(AND(A153&lt;&gt;"",E153&lt;&gt;""),IF(I153="","⚠️ Enter Code",IF(IFERROR(VLOOKUP(H153,DB_Agents!$B:$I,8,0),"")=I153,IF(C153&gt;=E153,"Successful","Unsuccessful"),"🔒 BLOCKED — Wrong Code")),"Pending")</f>
        <v>Pending</v>
      </c>
      <c r="K153" s="83" t="str">
        <f t="shared" ca="1" si="14"/>
        <v>—</v>
      </c>
      <c r="L153" s="84"/>
    </row>
    <row r="154" spans="1:12" ht="15" customHeight="1" x14ac:dyDescent="0.25">
      <c r="A154" s="85"/>
      <c r="B154" s="41" t="str">
        <f>IF(A154="","",IFERROR(VLOOKUP(A154,DB_Customers!$A:$D,4,0),"❌ Account Not Found"))</f>
        <v/>
      </c>
      <c r="C154" s="86" t="str">
        <f>IF(A154="","",IFERROR(VLOOKUP(A154,DB_Customers!$A:$N,14,0),"❌ Acct Not Found"))</f>
        <v/>
      </c>
      <c r="D154" s="87" t="str">
        <f t="shared" ca="1" si="12"/>
        <v/>
      </c>
      <c r="E154" s="94"/>
      <c r="F154" s="41"/>
      <c r="G154" s="96" t="str">
        <f t="shared" si="13"/>
        <v/>
      </c>
      <c r="H154" s="43" t="s">
        <v>142</v>
      </c>
      <c r="I154" s="81"/>
      <c r="J154" s="89" t="str">
        <f>IF(AND(A154&lt;&gt;"",E154&lt;&gt;""),IF(I154="","⚠️ Enter Code",IF(IFERROR(VLOOKUP(H154,DB_Agents!$B:$I,8,0),"")=I154,IF(C154&gt;=E154,"Successful","Unsuccessful"),"🔒 BLOCKED — Wrong Code")),"Pending")</f>
        <v>Pending</v>
      </c>
      <c r="K154" s="90" t="str">
        <f t="shared" ca="1" si="14"/>
        <v>—</v>
      </c>
      <c r="L154" s="91"/>
    </row>
    <row r="155" spans="1:12" ht="15" customHeight="1" x14ac:dyDescent="0.25">
      <c r="A155" s="76"/>
      <c r="B155" s="37" t="str">
        <f>IF(A155="","",IFERROR(VLOOKUP(A155,DB_Customers!$A:$D,4,0),"❌ Account Not Found"))</f>
        <v/>
      </c>
      <c r="C155" s="77" t="str">
        <f>IF(A155="","",IFERROR(VLOOKUP(A155,DB_Customers!$A:$N,14,0),"❌ Acct Not Found"))</f>
        <v/>
      </c>
      <c r="D155" s="78" t="str">
        <f t="shared" ca="1" si="12"/>
        <v/>
      </c>
      <c r="E155" s="94"/>
      <c r="F155" s="37"/>
      <c r="G155" s="95" t="str">
        <f t="shared" si="13"/>
        <v/>
      </c>
      <c r="H155" s="39" t="s">
        <v>142</v>
      </c>
      <c r="I155" s="81"/>
      <c r="J155" s="82" t="str">
        <f>IF(AND(A155&lt;&gt;"",E155&lt;&gt;""),IF(I155="","⚠️ Enter Code",IF(IFERROR(VLOOKUP(H155,DB_Agents!$B:$I,8,0),"")=I155,IF(C155&gt;=E155,"Successful","Unsuccessful"),"🔒 BLOCKED — Wrong Code")),"Pending")</f>
        <v>Pending</v>
      </c>
      <c r="K155" s="83" t="str">
        <f t="shared" ca="1" si="14"/>
        <v>—</v>
      </c>
      <c r="L155" s="84"/>
    </row>
    <row r="156" spans="1:12" ht="15" customHeight="1" x14ac:dyDescent="0.25">
      <c r="A156" s="85"/>
      <c r="B156" s="41" t="str">
        <f>IF(A156="","",IFERROR(VLOOKUP(A156,DB_Customers!$A:$D,4,0),"❌ Account Not Found"))</f>
        <v/>
      </c>
      <c r="C156" s="86" t="str">
        <f>IF(A156="","",IFERROR(VLOOKUP(A156,DB_Customers!$A:$N,14,0),"❌ Acct Not Found"))</f>
        <v/>
      </c>
      <c r="D156" s="87" t="str">
        <f t="shared" ca="1" si="12"/>
        <v/>
      </c>
      <c r="E156" s="94"/>
      <c r="F156" s="41"/>
      <c r="G156" s="96" t="str">
        <f t="shared" si="13"/>
        <v/>
      </c>
      <c r="H156" s="43" t="s">
        <v>142</v>
      </c>
      <c r="I156" s="81"/>
      <c r="J156" s="89" t="str">
        <f>IF(AND(A156&lt;&gt;"",E156&lt;&gt;""),IF(I156="","⚠️ Enter Code",IF(IFERROR(VLOOKUP(H156,DB_Agents!$B:$I,8,0),"")=I156,IF(C156&gt;=E156,"Successful","Unsuccessful"),"🔒 BLOCKED — Wrong Code")),"Pending")</f>
        <v>Pending</v>
      </c>
      <c r="K156" s="90" t="str">
        <f t="shared" ca="1" si="14"/>
        <v>—</v>
      </c>
      <c r="L156" s="91"/>
    </row>
    <row r="157" spans="1:12" ht="15" customHeight="1" x14ac:dyDescent="0.25">
      <c r="A157" s="76"/>
      <c r="B157" s="37" t="str">
        <f>IF(A157="","",IFERROR(VLOOKUP(A157,DB_Customers!$A:$D,4,0),"❌ Account Not Found"))</f>
        <v/>
      </c>
      <c r="C157" s="77" t="str">
        <f>IF(A157="","",IFERROR(VLOOKUP(A157,DB_Customers!$A:$N,14,0),"❌ Acct Not Found"))</f>
        <v/>
      </c>
      <c r="D157" s="78" t="str">
        <f t="shared" ca="1" si="12"/>
        <v/>
      </c>
      <c r="E157" s="94"/>
      <c r="F157" s="37"/>
      <c r="G157" s="95" t="str">
        <f t="shared" si="13"/>
        <v/>
      </c>
      <c r="H157" s="39" t="s">
        <v>142</v>
      </c>
      <c r="I157" s="81"/>
      <c r="J157" s="82" t="str">
        <f>IF(AND(A157&lt;&gt;"",E157&lt;&gt;""),IF(I157="","⚠️ Enter Code",IF(IFERROR(VLOOKUP(H157,DB_Agents!$B:$I,8,0),"")=I157,IF(C157&gt;=E157,"Successful","Unsuccessful"),"🔒 BLOCKED — Wrong Code")),"Pending")</f>
        <v>Pending</v>
      </c>
      <c r="K157" s="83" t="str">
        <f t="shared" ca="1" si="14"/>
        <v>—</v>
      </c>
      <c r="L157" s="84"/>
    </row>
    <row r="158" spans="1:12" ht="15" customHeight="1" x14ac:dyDescent="0.25">
      <c r="A158" s="85"/>
      <c r="B158" s="41" t="str">
        <f>IF(A158="","",IFERROR(VLOOKUP(A158,DB_Customers!$A:$D,4,0),"❌ Account Not Found"))</f>
        <v/>
      </c>
      <c r="C158" s="86" t="str">
        <f>IF(A158="","",IFERROR(VLOOKUP(A158,DB_Customers!$A:$N,14,0),"❌ Acct Not Found"))</f>
        <v/>
      </c>
      <c r="D158" s="87" t="str">
        <f t="shared" ca="1" si="12"/>
        <v/>
      </c>
      <c r="E158" s="94"/>
      <c r="F158" s="41"/>
      <c r="G158" s="96" t="str">
        <f t="shared" si="13"/>
        <v/>
      </c>
      <c r="H158" s="43" t="s">
        <v>142</v>
      </c>
      <c r="I158" s="81"/>
      <c r="J158" s="89" t="str">
        <f>IF(AND(A158&lt;&gt;"",E158&lt;&gt;""),IF(I158="","⚠️ Enter Code",IF(IFERROR(VLOOKUP(H158,DB_Agents!$B:$I,8,0),"")=I158,IF(C158&gt;=E158,"Successful","Unsuccessful"),"🔒 BLOCKED — Wrong Code")),"Pending")</f>
        <v>Pending</v>
      </c>
      <c r="K158" s="90" t="str">
        <f t="shared" ca="1" si="14"/>
        <v>—</v>
      </c>
      <c r="L158" s="91"/>
    </row>
    <row r="159" spans="1:12" ht="15" customHeight="1" x14ac:dyDescent="0.25">
      <c r="A159" s="76"/>
      <c r="B159" s="37" t="str">
        <f>IF(A159="","",IFERROR(VLOOKUP(A159,DB_Customers!$A:$D,4,0),"❌ Account Not Found"))</f>
        <v/>
      </c>
      <c r="C159" s="77" t="str">
        <f>IF(A159="","",IFERROR(VLOOKUP(A159,DB_Customers!$A:$N,14,0),"❌ Acct Not Found"))</f>
        <v/>
      </c>
      <c r="D159" s="78" t="str">
        <f t="shared" ca="1" si="12"/>
        <v/>
      </c>
      <c r="E159" s="94"/>
      <c r="F159" s="37"/>
      <c r="G159" s="95" t="str">
        <f t="shared" si="13"/>
        <v/>
      </c>
      <c r="H159" s="39" t="s">
        <v>142</v>
      </c>
      <c r="I159" s="81"/>
      <c r="J159" s="82" t="str">
        <f>IF(AND(A159&lt;&gt;"",E159&lt;&gt;""),IF(I159="","⚠️ Enter Code",IF(IFERROR(VLOOKUP(H159,DB_Agents!$B:$I,8,0),"")=I159,IF(C159&gt;=E159,"Successful","Unsuccessful"),"🔒 BLOCKED — Wrong Code")),"Pending")</f>
        <v>Pending</v>
      </c>
      <c r="K159" s="83" t="str">
        <f t="shared" ca="1" si="14"/>
        <v>—</v>
      </c>
      <c r="L159" s="84"/>
    </row>
    <row r="160" spans="1:12" ht="15" customHeight="1" x14ac:dyDescent="0.25">
      <c r="A160" s="85"/>
      <c r="B160" s="41" t="str">
        <f>IF(A160="","",IFERROR(VLOOKUP(A160,DB_Customers!$A:$D,4,0),"❌ Account Not Found"))</f>
        <v/>
      </c>
      <c r="C160" s="86" t="str">
        <f>IF(A160="","",IFERROR(VLOOKUP(A160,DB_Customers!$A:$N,14,0),"❌ Acct Not Found"))</f>
        <v/>
      </c>
      <c r="D160" s="87" t="str">
        <f t="shared" ca="1" si="12"/>
        <v/>
      </c>
      <c r="E160" s="94"/>
      <c r="F160" s="41"/>
      <c r="G160" s="96" t="str">
        <f t="shared" si="13"/>
        <v/>
      </c>
      <c r="H160" s="43" t="s">
        <v>142</v>
      </c>
      <c r="I160" s="81"/>
      <c r="J160" s="89" t="str">
        <f>IF(AND(A160&lt;&gt;"",E160&lt;&gt;""),IF(I160="","⚠️ Enter Code",IF(IFERROR(VLOOKUP(H160,DB_Agents!$B:$I,8,0),"")=I160,IF(C160&gt;=E160,"Successful","Unsuccessful"),"🔒 BLOCKED — Wrong Code")),"Pending")</f>
        <v>Pending</v>
      </c>
      <c r="K160" s="90" t="str">
        <f t="shared" ca="1" si="14"/>
        <v>—</v>
      </c>
      <c r="L160" s="91"/>
    </row>
    <row r="161" spans="1:12" ht="15" customHeight="1" x14ac:dyDescent="0.25">
      <c r="A161" s="76"/>
      <c r="B161" s="37" t="str">
        <f>IF(A161="","",IFERROR(VLOOKUP(A161,DB_Customers!$A:$D,4,0),"❌ Account Not Found"))</f>
        <v/>
      </c>
      <c r="C161" s="77" t="str">
        <f>IF(A161="","",IFERROR(VLOOKUP(A161,DB_Customers!$A:$N,14,0),"❌ Acct Not Found"))</f>
        <v/>
      </c>
      <c r="D161" s="78" t="str">
        <f t="shared" ca="1" si="12"/>
        <v/>
      </c>
      <c r="E161" s="94"/>
      <c r="F161" s="37"/>
      <c r="G161" s="95" t="str">
        <f t="shared" si="13"/>
        <v/>
      </c>
      <c r="H161" s="39" t="s">
        <v>142</v>
      </c>
      <c r="I161" s="81"/>
      <c r="J161" s="82" t="str">
        <f>IF(AND(A161&lt;&gt;"",E161&lt;&gt;""),IF(I161="","⚠️ Enter Code",IF(IFERROR(VLOOKUP(H161,DB_Agents!$B:$I,8,0),"")=I161,IF(C161&gt;=E161,"Successful","Unsuccessful"),"🔒 BLOCKED — Wrong Code")),"Pending")</f>
        <v>Pending</v>
      </c>
      <c r="K161" s="83" t="str">
        <f t="shared" ca="1" si="14"/>
        <v>—</v>
      </c>
      <c r="L161" s="84"/>
    </row>
    <row r="162" spans="1:12" ht="15" customHeight="1" x14ac:dyDescent="0.25">
      <c r="A162" s="85"/>
      <c r="B162" s="41" t="str">
        <f>IF(A162="","",IFERROR(VLOOKUP(A162,DB_Customers!$A:$D,4,0),"❌ Account Not Found"))</f>
        <v/>
      </c>
      <c r="C162" s="86" t="str">
        <f>IF(A162="","",IFERROR(VLOOKUP(A162,DB_Customers!$A:$N,14,0),"❌ Acct Not Found"))</f>
        <v/>
      </c>
      <c r="D162" s="87" t="str">
        <f t="shared" ca="1" si="12"/>
        <v/>
      </c>
      <c r="E162" s="94"/>
      <c r="F162" s="41"/>
      <c r="G162" s="96" t="str">
        <f t="shared" si="13"/>
        <v/>
      </c>
      <c r="H162" s="43" t="s">
        <v>142</v>
      </c>
      <c r="I162" s="81"/>
      <c r="J162" s="89" t="str">
        <f>IF(AND(A162&lt;&gt;"",E162&lt;&gt;""),IF(I162="","⚠️ Enter Code",IF(IFERROR(VLOOKUP(H162,DB_Agents!$B:$I,8,0),"")=I162,IF(C162&gt;=E162,"Successful","Unsuccessful"),"🔒 BLOCKED — Wrong Code")),"Pending")</f>
        <v>Pending</v>
      </c>
      <c r="K162" s="90" t="str">
        <f t="shared" ca="1" si="14"/>
        <v>—</v>
      </c>
      <c r="L162" s="91"/>
    </row>
    <row r="163" spans="1:12" ht="15" customHeight="1" x14ac:dyDescent="0.25">
      <c r="A163" s="76"/>
      <c r="B163" s="37" t="str">
        <f>IF(A163="","",IFERROR(VLOOKUP(A163,DB_Customers!$A:$D,4,0),"❌ Account Not Found"))</f>
        <v/>
      </c>
      <c r="C163" s="77" t="str">
        <f>IF(A163="","",IFERROR(VLOOKUP(A163,DB_Customers!$A:$N,14,0),"❌ Acct Not Found"))</f>
        <v/>
      </c>
      <c r="D163" s="78" t="str">
        <f t="shared" ca="1" si="12"/>
        <v/>
      </c>
      <c r="E163" s="94"/>
      <c r="F163" s="37"/>
      <c r="G163" s="95" t="str">
        <f t="shared" si="13"/>
        <v/>
      </c>
      <c r="H163" s="39" t="s">
        <v>142</v>
      </c>
      <c r="I163" s="81"/>
      <c r="J163" s="82" t="str">
        <f>IF(AND(A163&lt;&gt;"",E163&lt;&gt;""),IF(I163="","⚠️ Enter Code",IF(IFERROR(VLOOKUP(H163,DB_Agents!$B:$I,8,0),"")=I163,IF(C163&gt;=E163,"Successful","Unsuccessful"),"🔒 BLOCKED — Wrong Code")),"Pending")</f>
        <v>Pending</v>
      </c>
      <c r="K163" s="83" t="str">
        <f t="shared" ca="1" si="14"/>
        <v>—</v>
      </c>
      <c r="L163" s="84"/>
    </row>
    <row r="164" spans="1:12" ht="15" customHeight="1" x14ac:dyDescent="0.25">
      <c r="A164" s="85"/>
      <c r="B164" s="41" t="str">
        <f>IF(A164="","",IFERROR(VLOOKUP(A164,DB_Customers!$A:$D,4,0),"❌ Account Not Found"))</f>
        <v/>
      </c>
      <c r="C164" s="86" t="str">
        <f>IF(A164="","",IFERROR(VLOOKUP(A164,DB_Customers!$A:$N,14,0),"❌ Acct Not Found"))</f>
        <v/>
      </c>
      <c r="D164" s="87" t="str">
        <f t="shared" ca="1" si="12"/>
        <v/>
      </c>
      <c r="E164" s="94"/>
      <c r="F164" s="41"/>
      <c r="G164" s="96" t="str">
        <f t="shared" si="13"/>
        <v/>
      </c>
      <c r="H164" s="43" t="s">
        <v>142</v>
      </c>
      <c r="I164" s="81"/>
      <c r="J164" s="89" t="str">
        <f>IF(AND(A164&lt;&gt;"",E164&lt;&gt;""),IF(I164="","⚠️ Enter Code",IF(IFERROR(VLOOKUP(H164,DB_Agents!$B:$I,8,0),"")=I164,IF(C164&gt;=E164,"Successful","Unsuccessful"),"🔒 BLOCKED — Wrong Code")),"Pending")</f>
        <v>Pending</v>
      </c>
      <c r="K164" s="90" t="str">
        <f t="shared" ca="1" si="14"/>
        <v>—</v>
      </c>
      <c r="L164" s="91"/>
    </row>
    <row r="165" spans="1:12" ht="15" customHeight="1" x14ac:dyDescent="0.25">
      <c r="A165" s="76"/>
      <c r="B165" s="37" t="str">
        <f>IF(A165="","",IFERROR(VLOOKUP(A165,DB_Customers!$A:$D,4,0),"❌ Account Not Found"))</f>
        <v/>
      </c>
      <c r="C165" s="77" t="str">
        <f>IF(A165="","",IFERROR(VLOOKUP(A165,DB_Customers!$A:$N,14,0),"❌ Acct Not Found"))</f>
        <v/>
      </c>
      <c r="D165" s="78" t="str">
        <f t="shared" ca="1" si="12"/>
        <v/>
      </c>
      <c r="E165" s="94"/>
      <c r="F165" s="37"/>
      <c r="G165" s="95" t="str">
        <f t="shared" si="13"/>
        <v/>
      </c>
      <c r="H165" s="39" t="s">
        <v>142</v>
      </c>
      <c r="I165" s="81"/>
      <c r="J165" s="82" t="str">
        <f>IF(AND(A165&lt;&gt;"",E165&lt;&gt;""),IF(I165="","⚠️ Enter Code",IF(IFERROR(VLOOKUP(H165,DB_Agents!$B:$I,8,0),"")=I165,IF(C165&gt;=E165,"Successful","Unsuccessful"),"🔒 BLOCKED — Wrong Code")),"Pending")</f>
        <v>Pending</v>
      </c>
      <c r="K165" s="83" t="str">
        <f t="shared" ca="1" si="14"/>
        <v>—</v>
      </c>
      <c r="L165" s="84"/>
    </row>
    <row r="166" spans="1:12" ht="15" customHeight="1" x14ac:dyDescent="0.25">
      <c r="A166" s="85"/>
      <c r="B166" s="41" t="str">
        <f>IF(A166="","",IFERROR(VLOOKUP(A166,DB_Customers!$A:$D,4,0),"❌ Account Not Found"))</f>
        <v/>
      </c>
      <c r="C166" s="86" t="str">
        <f>IF(A166="","",IFERROR(VLOOKUP(A166,DB_Customers!$A:$N,14,0),"❌ Acct Not Found"))</f>
        <v/>
      </c>
      <c r="D166" s="87" t="str">
        <f t="shared" ca="1" si="12"/>
        <v/>
      </c>
      <c r="E166" s="94"/>
      <c r="F166" s="41"/>
      <c r="G166" s="96" t="str">
        <f t="shared" si="13"/>
        <v/>
      </c>
      <c r="H166" s="43" t="s">
        <v>142</v>
      </c>
      <c r="I166" s="81"/>
      <c r="J166" s="89" t="str">
        <f>IF(AND(A166&lt;&gt;"",E166&lt;&gt;""),IF(I166="","⚠️ Enter Code",IF(IFERROR(VLOOKUP(H166,DB_Agents!$B:$I,8,0),"")=I166,IF(C166&gt;=E166,"Successful","Unsuccessful"),"🔒 BLOCKED — Wrong Code")),"Pending")</f>
        <v>Pending</v>
      </c>
      <c r="K166" s="90" t="str">
        <f t="shared" ca="1" si="14"/>
        <v>—</v>
      </c>
      <c r="L166" s="91"/>
    </row>
    <row r="167" spans="1:12" ht="15" customHeight="1" x14ac:dyDescent="0.25">
      <c r="A167" s="76"/>
      <c r="B167" s="37" t="str">
        <f>IF(A167="","",IFERROR(VLOOKUP(A167,DB_Customers!$A:$D,4,0),"❌ Account Not Found"))</f>
        <v/>
      </c>
      <c r="C167" s="77" t="str">
        <f>IF(A167="","",IFERROR(VLOOKUP(A167,DB_Customers!$A:$N,14,0),"❌ Acct Not Found"))</f>
        <v/>
      </c>
      <c r="D167" s="78" t="str">
        <f t="shared" ca="1" si="12"/>
        <v/>
      </c>
      <c r="E167" s="94"/>
      <c r="F167" s="37"/>
      <c r="G167" s="95" t="str">
        <f t="shared" si="13"/>
        <v/>
      </c>
      <c r="H167" s="39" t="s">
        <v>142</v>
      </c>
      <c r="I167" s="81"/>
      <c r="J167" s="82" t="str">
        <f>IF(AND(A167&lt;&gt;"",E167&lt;&gt;""),IF(I167="","⚠️ Enter Code",IF(IFERROR(VLOOKUP(H167,DB_Agents!$B:$I,8,0),"")=I167,IF(C167&gt;=E167,"Successful","Unsuccessful"),"🔒 BLOCKED — Wrong Code")),"Pending")</f>
        <v>Pending</v>
      </c>
      <c r="K167" s="83" t="str">
        <f t="shared" ca="1" si="14"/>
        <v>—</v>
      </c>
      <c r="L167" s="84"/>
    </row>
    <row r="168" spans="1:12" ht="15" customHeight="1" x14ac:dyDescent="0.25">
      <c r="A168" s="85"/>
      <c r="B168" s="41" t="str">
        <f>IF(A168="","",IFERROR(VLOOKUP(A168,DB_Customers!$A:$D,4,0),"❌ Account Not Found"))</f>
        <v/>
      </c>
      <c r="C168" s="86" t="str">
        <f>IF(A168="","",IFERROR(VLOOKUP(A168,DB_Customers!$A:$N,14,0),"❌ Acct Not Found"))</f>
        <v/>
      </c>
      <c r="D168" s="87" t="str">
        <f t="shared" ca="1" si="12"/>
        <v/>
      </c>
      <c r="E168" s="94"/>
      <c r="F168" s="41"/>
      <c r="G168" s="96" t="str">
        <f t="shared" si="13"/>
        <v/>
      </c>
      <c r="H168" s="43" t="s">
        <v>142</v>
      </c>
      <c r="I168" s="81"/>
      <c r="J168" s="89" t="str">
        <f>IF(AND(A168&lt;&gt;"",E168&lt;&gt;""),IF(I168="","⚠️ Enter Code",IF(IFERROR(VLOOKUP(H168,DB_Agents!$B:$I,8,0),"")=I168,IF(C168&gt;=E168,"Successful","Unsuccessful"),"🔒 BLOCKED — Wrong Code")),"Pending")</f>
        <v>Pending</v>
      </c>
      <c r="K168" s="90" t="str">
        <f t="shared" ca="1" si="14"/>
        <v>—</v>
      </c>
      <c r="L168" s="91"/>
    </row>
    <row r="169" spans="1:12" ht="15" customHeight="1" x14ac:dyDescent="0.25">
      <c r="A169" s="76"/>
      <c r="B169" s="37" t="str">
        <f>IF(A169="","",IFERROR(VLOOKUP(A169,DB_Customers!$A:$D,4,0),"❌ Account Not Found"))</f>
        <v/>
      </c>
      <c r="C169" s="77" t="str">
        <f>IF(A169="","",IFERROR(VLOOKUP(A169,DB_Customers!$A:$N,14,0),"❌ Acct Not Found"))</f>
        <v/>
      </c>
      <c r="D169" s="78" t="str">
        <f t="shared" ref="D169:D200" ca="1" si="15">IF(A169="","",TODAY())</f>
        <v/>
      </c>
      <c r="E169" s="94"/>
      <c r="F169" s="37"/>
      <c r="G169" s="95" t="str">
        <f t="shared" ref="G169:G200" si="16">IF(OR(A169="",E169=""),"",IF(C169="","",C169-E169))</f>
        <v/>
      </c>
      <c r="H169" s="39" t="s">
        <v>142</v>
      </c>
      <c r="I169" s="81"/>
      <c r="J169" s="82" t="str">
        <f>IF(AND(A169&lt;&gt;"",E169&lt;&gt;""),IF(I169="","⚠️ Enter Code",IF(IFERROR(VLOOKUP(H169,DB_Agents!$B:$I,8,0),"")=I169,IF(C169&gt;=E169,"Successful","Unsuccessful"),"🔒 BLOCKED — Wrong Code")),"Pending")</f>
        <v>Pending</v>
      </c>
      <c r="K169" s="83" t="str">
        <f t="shared" ref="K169:K200" ca="1" si="17">IF(J169="Successful",TEXT(TODAY(),"YYYY-MM-DD")&amp;" Auto","—")</f>
        <v>—</v>
      </c>
      <c r="L169" s="84"/>
    </row>
    <row r="170" spans="1:12" ht="15" customHeight="1" x14ac:dyDescent="0.25">
      <c r="A170" s="85"/>
      <c r="B170" s="41" t="str">
        <f>IF(A170="","",IFERROR(VLOOKUP(A170,DB_Customers!$A:$D,4,0),"❌ Account Not Found"))</f>
        <v/>
      </c>
      <c r="C170" s="86" t="str">
        <f>IF(A170="","",IFERROR(VLOOKUP(A170,DB_Customers!$A:$N,14,0),"❌ Acct Not Found"))</f>
        <v/>
      </c>
      <c r="D170" s="87" t="str">
        <f t="shared" ca="1" si="15"/>
        <v/>
      </c>
      <c r="E170" s="94"/>
      <c r="F170" s="41"/>
      <c r="G170" s="96" t="str">
        <f t="shared" si="16"/>
        <v/>
      </c>
      <c r="H170" s="43" t="s">
        <v>142</v>
      </c>
      <c r="I170" s="81"/>
      <c r="J170" s="89" t="str">
        <f>IF(AND(A170&lt;&gt;"",E170&lt;&gt;""),IF(I170="","⚠️ Enter Code",IF(IFERROR(VLOOKUP(H170,DB_Agents!$B:$I,8,0),"")=I170,IF(C170&gt;=E170,"Successful","Unsuccessful"),"🔒 BLOCKED — Wrong Code")),"Pending")</f>
        <v>Pending</v>
      </c>
      <c r="K170" s="90" t="str">
        <f t="shared" ca="1" si="17"/>
        <v>—</v>
      </c>
      <c r="L170" s="91"/>
    </row>
    <row r="171" spans="1:12" ht="15" customHeight="1" x14ac:dyDescent="0.25">
      <c r="A171" s="76"/>
      <c r="B171" s="37" t="str">
        <f>IF(A171="","",IFERROR(VLOOKUP(A171,DB_Customers!$A:$D,4,0),"❌ Account Not Found"))</f>
        <v/>
      </c>
      <c r="C171" s="77" t="str">
        <f>IF(A171="","",IFERROR(VLOOKUP(A171,DB_Customers!$A:$N,14,0),"❌ Acct Not Found"))</f>
        <v/>
      </c>
      <c r="D171" s="78" t="str">
        <f t="shared" ca="1" si="15"/>
        <v/>
      </c>
      <c r="E171" s="94"/>
      <c r="F171" s="37"/>
      <c r="G171" s="95" t="str">
        <f t="shared" si="16"/>
        <v/>
      </c>
      <c r="H171" s="39" t="s">
        <v>142</v>
      </c>
      <c r="I171" s="81"/>
      <c r="J171" s="82" t="str">
        <f>IF(AND(A171&lt;&gt;"",E171&lt;&gt;""),IF(I171="","⚠️ Enter Code",IF(IFERROR(VLOOKUP(H171,DB_Agents!$B:$I,8,0),"")=I171,IF(C171&gt;=E171,"Successful","Unsuccessful"),"🔒 BLOCKED — Wrong Code")),"Pending")</f>
        <v>Pending</v>
      </c>
      <c r="K171" s="83" t="str">
        <f t="shared" ca="1" si="17"/>
        <v>—</v>
      </c>
      <c r="L171" s="84"/>
    </row>
    <row r="172" spans="1:12" ht="15" customHeight="1" x14ac:dyDescent="0.25">
      <c r="A172" s="85"/>
      <c r="B172" s="41" t="str">
        <f>IF(A172="","",IFERROR(VLOOKUP(A172,DB_Customers!$A:$D,4,0),"❌ Account Not Found"))</f>
        <v/>
      </c>
      <c r="C172" s="86" t="str">
        <f>IF(A172="","",IFERROR(VLOOKUP(A172,DB_Customers!$A:$N,14,0),"❌ Acct Not Found"))</f>
        <v/>
      </c>
      <c r="D172" s="87" t="str">
        <f t="shared" ca="1" si="15"/>
        <v/>
      </c>
      <c r="E172" s="94"/>
      <c r="F172" s="41"/>
      <c r="G172" s="96" t="str">
        <f t="shared" si="16"/>
        <v/>
      </c>
      <c r="H172" s="43" t="s">
        <v>142</v>
      </c>
      <c r="I172" s="81"/>
      <c r="J172" s="89" t="str">
        <f>IF(AND(A172&lt;&gt;"",E172&lt;&gt;""),IF(I172="","⚠️ Enter Code",IF(IFERROR(VLOOKUP(H172,DB_Agents!$B:$I,8,0),"")=I172,IF(C172&gt;=E172,"Successful","Unsuccessful"),"🔒 BLOCKED — Wrong Code")),"Pending")</f>
        <v>Pending</v>
      </c>
      <c r="K172" s="90" t="str">
        <f t="shared" ca="1" si="17"/>
        <v>—</v>
      </c>
      <c r="L172" s="91"/>
    </row>
    <row r="173" spans="1:12" ht="15" customHeight="1" x14ac:dyDescent="0.25">
      <c r="A173" s="76"/>
      <c r="B173" s="37" t="str">
        <f>IF(A173="","",IFERROR(VLOOKUP(A173,DB_Customers!$A:$D,4,0),"❌ Account Not Found"))</f>
        <v/>
      </c>
      <c r="C173" s="77" t="str">
        <f>IF(A173="","",IFERROR(VLOOKUP(A173,DB_Customers!$A:$N,14,0),"❌ Acct Not Found"))</f>
        <v/>
      </c>
      <c r="D173" s="78" t="str">
        <f t="shared" ca="1" si="15"/>
        <v/>
      </c>
      <c r="E173" s="94"/>
      <c r="F173" s="37"/>
      <c r="G173" s="95" t="str">
        <f t="shared" si="16"/>
        <v/>
      </c>
      <c r="H173" s="39" t="s">
        <v>142</v>
      </c>
      <c r="I173" s="81"/>
      <c r="J173" s="82" t="str">
        <f>IF(AND(A173&lt;&gt;"",E173&lt;&gt;""),IF(I173="","⚠️ Enter Code",IF(IFERROR(VLOOKUP(H173,DB_Agents!$B:$I,8,0),"")=I173,IF(C173&gt;=E173,"Successful","Unsuccessful"),"🔒 BLOCKED — Wrong Code")),"Pending")</f>
        <v>Pending</v>
      </c>
      <c r="K173" s="83" t="str">
        <f t="shared" ca="1" si="17"/>
        <v>—</v>
      </c>
      <c r="L173" s="84"/>
    </row>
    <row r="174" spans="1:12" ht="15" customHeight="1" x14ac:dyDescent="0.25">
      <c r="A174" s="85"/>
      <c r="B174" s="41" t="str">
        <f>IF(A174="","",IFERROR(VLOOKUP(A174,DB_Customers!$A:$D,4,0),"❌ Account Not Found"))</f>
        <v/>
      </c>
      <c r="C174" s="86" t="str">
        <f>IF(A174="","",IFERROR(VLOOKUP(A174,DB_Customers!$A:$N,14,0),"❌ Acct Not Found"))</f>
        <v/>
      </c>
      <c r="D174" s="87" t="str">
        <f t="shared" ca="1" si="15"/>
        <v/>
      </c>
      <c r="E174" s="94"/>
      <c r="F174" s="41"/>
      <c r="G174" s="96" t="str">
        <f t="shared" si="16"/>
        <v/>
      </c>
      <c r="H174" s="43" t="s">
        <v>142</v>
      </c>
      <c r="I174" s="81"/>
      <c r="J174" s="89" t="str">
        <f>IF(AND(A174&lt;&gt;"",E174&lt;&gt;""),IF(I174="","⚠️ Enter Code",IF(IFERROR(VLOOKUP(H174,DB_Agents!$B:$I,8,0),"")=I174,IF(C174&gt;=E174,"Successful","Unsuccessful"),"🔒 BLOCKED — Wrong Code")),"Pending")</f>
        <v>Pending</v>
      </c>
      <c r="K174" s="90" t="str">
        <f t="shared" ca="1" si="17"/>
        <v>—</v>
      </c>
      <c r="L174" s="91"/>
    </row>
    <row r="175" spans="1:12" ht="15" customHeight="1" x14ac:dyDescent="0.25">
      <c r="A175" s="76"/>
      <c r="B175" s="37" t="str">
        <f>IF(A175="","",IFERROR(VLOOKUP(A175,DB_Customers!$A:$D,4,0),"❌ Account Not Found"))</f>
        <v/>
      </c>
      <c r="C175" s="77" t="str">
        <f>IF(A175="","",IFERROR(VLOOKUP(A175,DB_Customers!$A:$N,14,0),"❌ Acct Not Found"))</f>
        <v/>
      </c>
      <c r="D175" s="78" t="str">
        <f t="shared" ca="1" si="15"/>
        <v/>
      </c>
      <c r="E175" s="94"/>
      <c r="F175" s="37"/>
      <c r="G175" s="95" t="str">
        <f t="shared" si="16"/>
        <v/>
      </c>
      <c r="H175" s="39" t="s">
        <v>142</v>
      </c>
      <c r="I175" s="81"/>
      <c r="J175" s="82" t="str">
        <f>IF(AND(A175&lt;&gt;"",E175&lt;&gt;""),IF(I175="","⚠️ Enter Code",IF(IFERROR(VLOOKUP(H175,DB_Agents!$B:$I,8,0),"")=I175,IF(C175&gt;=E175,"Successful","Unsuccessful"),"🔒 BLOCKED — Wrong Code")),"Pending")</f>
        <v>Pending</v>
      </c>
      <c r="K175" s="83" t="str">
        <f t="shared" ca="1" si="17"/>
        <v>—</v>
      </c>
      <c r="L175" s="84"/>
    </row>
    <row r="176" spans="1:12" ht="15" customHeight="1" x14ac:dyDescent="0.25">
      <c r="A176" s="85"/>
      <c r="B176" s="41" t="str">
        <f>IF(A176="","",IFERROR(VLOOKUP(A176,DB_Customers!$A:$D,4,0),"❌ Account Not Found"))</f>
        <v/>
      </c>
      <c r="C176" s="86" t="str">
        <f>IF(A176="","",IFERROR(VLOOKUP(A176,DB_Customers!$A:$N,14,0),"❌ Acct Not Found"))</f>
        <v/>
      </c>
      <c r="D176" s="87" t="str">
        <f t="shared" ca="1" si="15"/>
        <v/>
      </c>
      <c r="E176" s="94"/>
      <c r="F176" s="41"/>
      <c r="G176" s="96" t="str">
        <f t="shared" si="16"/>
        <v/>
      </c>
      <c r="H176" s="43" t="s">
        <v>142</v>
      </c>
      <c r="I176" s="81"/>
      <c r="J176" s="89" t="str">
        <f>IF(AND(A176&lt;&gt;"",E176&lt;&gt;""),IF(I176="","⚠️ Enter Code",IF(IFERROR(VLOOKUP(H176,DB_Agents!$B:$I,8,0),"")=I176,IF(C176&gt;=E176,"Successful","Unsuccessful"),"🔒 BLOCKED — Wrong Code")),"Pending")</f>
        <v>Pending</v>
      </c>
      <c r="K176" s="90" t="str">
        <f t="shared" ca="1" si="17"/>
        <v>—</v>
      </c>
      <c r="L176" s="91"/>
    </row>
    <row r="177" spans="1:12" ht="15" customHeight="1" x14ac:dyDescent="0.25">
      <c r="A177" s="76"/>
      <c r="B177" s="37" t="str">
        <f>IF(A177="","",IFERROR(VLOOKUP(A177,DB_Customers!$A:$D,4,0),"❌ Account Not Found"))</f>
        <v/>
      </c>
      <c r="C177" s="77" t="str">
        <f>IF(A177="","",IFERROR(VLOOKUP(A177,DB_Customers!$A:$N,14,0),"❌ Acct Not Found"))</f>
        <v/>
      </c>
      <c r="D177" s="78" t="str">
        <f t="shared" ca="1" si="15"/>
        <v/>
      </c>
      <c r="E177" s="94"/>
      <c r="F177" s="37"/>
      <c r="G177" s="95" t="str">
        <f t="shared" si="16"/>
        <v/>
      </c>
      <c r="H177" s="39" t="s">
        <v>142</v>
      </c>
      <c r="I177" s="81"/>
      <c r="J177" s="82" t="str">
        <f>IF(AND(A177&lt;&gt;"",E177&lt;&gt;""),IF(I177="","⚠️ Enter Code",IF(IFERROR(VLOOKUP(H177,DB_Agents!$B:$I,8,0),"")=I177,IF(C177&gt;=E177,"Successful","Unsuccessful"),"🔒 BLOCKED — Wrong Code")),"Pending")</f>
        <v>Pending</v>
      </c>
      <c r="K177" s="83" t="str">
        <f t="shared" ca="1" si="17"/>
        <v>—</v>
      </c>
      <c r="L177" s="84"/>
    </row>
    <row r="178" spans="1:12" ht="15" customHeight="1" x14ac:dyDescent="0.25">
      <c r="A178" s="85"/>
      <c r="B178" s="41" t="str">
        <f>IF(A178="","",IFERROR(VLOOKUP(A178,DB_Customers!$A:$D,4,0),"❌ Account Not Found"))</f>
        <v/>
      </c>
      <c r="C178" s="86" t="str">
        <f>IF(A178="","",IFERROR(VLOOKUP(A178,DB_Customers!$A:$N,14,0),"❌ Acct Not Found"))</f>
        <v/>
      </c>
      <c r="D178" s="87" t="str">
        <f t="shared" ca="1" si="15"/>
        <v/>
      </c>
      <c r="E178" s="94"/>
      <c r="F178" s="41"/>
      <c r="G178" s="96" t="str">
        <f t="shared" si="16"/>
        <v/>
      </c>
      <c r="H178" s="43" t="s">
        <v>142</v>
      </c>
      <c r="I178" s="81"/>
      <c r="J178" s="89" t="str">
        <f>IF(AND(A178&lt;&gt;"",E178&lt;&gt;""),IF(I178="","⚠️ Enter Code",IF(IFERROR(VLOOKUP(H178,DB_Agents!$B:$I,8,0),"")=I178,IF(C178&gt;=E178,"Successful","Unsuccessful"),"🔒 BLOCKED — Wrong Code")),"Pending")</f>
        <v>Pending</v>
      </c>
      <c r="K178" s="90" t="str">
        <f t="shared" ca="1" si="17"/>
        <v>—</v>
      </c>
      <c r="L178" s="91"/>
    </row>
    <row r="179" spans="1:12" ht="15" customHeight="1" x14ac:dyDescent="0.25">
      <c r="A179" s="76"/>
      <c r="B179" s="37" t="str">
        <f>IF(A179="","",IFERROR(VLOOKUP(A179,DB_Customers!$A:$D,4,0),"❌ Account Not Found"))</f>
        <v/>
      </c>
      <c r="C179" s="77" t="str">
        <f>IF(A179="","",IFERROR(VLOOKUP(A179,DB_Customers!$A:$N,14,0),"❌ Acct Not Found"))</f>
        <v/>
      </c>
      <c r="D179" s="78" t="str">
        <f t="shared" ca="1" si="15"/>
        <v/>
      </c>
      <c r="E179" s="94"/>
      <c r="F179" s="37"/>
      <c r="G179" s="95" t="str">
        <f t="shared" si="16"/>
        <v/>
      </c>
      <c r="H179" s="39" t="s">
        <v>142</v>
      </c>
      <c r="I179" s="81"/>
      <c r="J179" s="82" t="str">
        <f>IF(AND(A179&lt;&gt;"",E179&lt;&gt;""),IF(I179="","⚠️ Enter Code",IF(IFERROR(VLOOKUP(H179,DB_Agents!$B:$I,8,0),"")=I179,IF(C179&gt;=E179,"Successful","Unsuccessful"),"🔒 BLOCKED — Wrong Code")),"Pending")</f>
        <v>Pending</v>
      </c>
      <c r="K179" s="83" t="str">
        <f t="shared" ca="1" si="17"/>
        <v>—</v>
      </c>
      <c r="L179" s="84"/>
    </row>
    <row r="180" spans="1:12" ht="15" customHeight="1" x14ac:dyDescent="0.25">
      <c r="A180" s="85"/>
      <c r="B180" s="41" t="str">
        <f>IF(A180="","",IFERROR(VLOOKUP(A180,DB_Customers!$A:$D,4,0),"❌ Account Not Found"))</f>
        <v/>
      </c>
      <c r="C180" s="86" t="str">
        <f>IF(A180="","",IFERROR(VLOOKUP(A180,DB_Customers!$A:$N,14,0),"❌ Acct Not Found"))</f>
        <v/>
      </c>
      <c r="D180" s="87" t="str">
        <f t="shared" ca="1" si="15"/>
        <v/>
      </c>
      <c r="E180" s="94"/>
      <c r="F180" s="41"/>
      <c r="G180" s="96" t="str">
        <f t="shared" si="16"/>
        <v/>
      </c>
      <c r="H180" s="43" t="s">
        <v>142</v>
      </c>
      <c r="I180" s="81"/>
      <c r="J180" s="89" t="str">
        <f>IF(AND(A180&lt;&gt;"",E180&lt;&gt;""),IF(I180="","⚠️ Enter Code",IF(IFERROR(VLOOKUP(H180,DB_Agents!$B:$I,8,0),"")=I180,IF(C180&gt;=E180,"Successful","Unsuccessful"),"🔒 BLOCKED — Wrong Code")),"Pending")</f>
        <v>Pending</v>
      </c>
      <c r="K180" s="90" t="str">
        <f t="shared" ca="1" si="17"/>
        <v>—</v>
      </c>
      <c r="L180" s="91"/>
    </row>
    <row r="181" spans="1:12" ht="15" customHeight="1" x14ac:dyDescent="0.25">
      <c r="A181" s="76"/>
      <c r="B181" s="37" t="str">
        <f>IF(A181="","",IFERROR(VLOOKUP(A181,DB_Customers!$A:$D,4,0),"❌ Account Not Found"))</f>
        <v/>
      </c>
      <c r="C181" s="77" t="str">
        <f>IF(A181="","",IFERROR(VLOOKUP(A181,DB_Customers!$A:$N,14,0),"❌ Acct Not Found"))</f>
        <v/>
      </c>
      <c r="D181" s="78" t="str">
        <f t="shared" ca="1" si="15"/>
        <v/>
      </c>
      <c r="E181" s="94"/>
      <c r="F181" s="37"/>
      <c r="G181" s="95" t="str">
        <f t="shared" si="16"/>
        <v/>
      </c>
      <c r="H181" s="39" t="s">
        <v>142</v>
      </c>
      <c r="I181" s="81"/>
      <c r="J181" s="82" t="str">
        <f>IF(AND(A181&lt;&gt;"",E181&lt;&gt;""),IF(I181="","⚠️ Enter Code",IF(IFERROR(VLOOKUP(H181,DB_Agents!$B:$I,8,0),"")=I181,IF(C181&gt;=E181,"Successful","Unsuccessful"),"🔒 BLOCKED — Wrong Code")),"Pending")</f>
        <v>Pending</v>
      </c>
      <c r="K181" s="83" t="str">
        <f t="shared" ca="1" si="17"/>
        <v>—</v>
      </c>
      <c r="L181" s="84"/>
    </row>
    <row r="182" spans="1:12" ht="15" customHeight="1" x14ac:dyDescent="0.25">
      <c r="A182" s="85"/>
      <c r="B182" s="41" t="str">
        <f>IF(A182="","",IFERROR(VLOOKUP(A182,DB_Customers!$A:$D,4,0),"❌ Account Not Found"))</f>
        <v/>
      </c>
      <c r="C182" s="86" t="str">
        <f>IF(A182="","",IFERROR(VLOOKUP(A182,DB_Customers!$A:$N,14,0),"❌ Acct Not Found"))</f>
        <v/>
      </c>
      <c r="D182" s="87" t="str">
        <f t="shared" ca="1" si="15"/>
        <v/>
      </c>
      <c r="E182" s="94"/>
      <c r="F182" s="41"/>
      <c r="G182" s="96" t="str">
        <f t="shared" si="16"/>
        <v/>
      </c>
      <c r="H182" s="43" t="s">
        <v>142</v>
      </c>
      <c r="I182" s="81"/>
      <c r="J182" s="89" t="str">
        <f>IF(AND(A182&lt;&gt;"",E182&lt;&gt;""),IF(I182="","⚠️ Enter Code",IF(IFERROR(VLOOKUP(H182,DB_Agents!$B:$I,8,0),"")=I182,IF(C182&gt;=E182,"Successful","Unsuccessful"),"🔒 BLOCKED — Wrong Code")),"Pending")</f>
        <v>Pending</v>
      </c>
      <c r="K182" s="90" t="str">
        <f t="shared" ca="1" si="17"/>
        <v>—</v>
      </c>
      <c r="L182" s="91"/>
    </row>
    <row r="183" spans="1:12" ht="15" customHeight="1" x14ac:dyDescent="0.25">
      <c r="A183" s="76"/>
      <c r="B183" s="37" t="str">
        <f>IF(A183="","",IFERROR(VLOOKUP(A183,DB_Customers!$A:$D,4,0),"❌ Account Not Found"))</f>
        <v/>
      </c>
      <c r="C183" s="77" t="str">
        <f>IF(A183="","",IFERROR(VLOOKUP(A183,DB_Customers!$A:$N,14,0),"❌ Acct Not Found"))</f>
        <v/>
      </c>
      <c r="D183" s="78" t="str">
        <f t="shared" ca="1" si="15"/>
        <v/>
      </c>
      <c r="E183" s="94"/>
      <c r="F183" s="37"/>
      <c r="G183" s="95" t="str">
        <f t="shared" si="16"/>
        <v/>
      </c>
      <c r="H183" s="39" t="s">
        <v>142</v>
      </c>
      <c r="I183" s="81"/>
      <c r="J183" s="82" t="str">
        <f>IF(AND(A183&lt;&gt;"",E183&lt;&gt;""),IF(I183="","⚠️ Enter Code",IF(IFERROR(VLOOKUP(H183,DB_Agents!$B:$I,8,0),"")=I183,IF(C183&gt;=E183,"Successful","Unsuccessful"),"🔒 BLOCKED — Wrong Code")),"Pending")</f>
        <v>Pending</v>
      </c>
      <c r="K183" s="83" t="str">
        <f t="shared" ca="1" si="17"/>
        <v>—</v>
      </c>
      <c r="L183" s="84"/>
    </row>
    <row r="184" spans="1:12" ht="15" customHeight="1" x14ac:dyDescent="0.25">
      <c r="A184" s="85"/>
      <c r="B184" s="41" t="str">
        <f>IF(A184="","",IFERROR(VLOOKUP(A184,DB_Customers!$A:$D,4,0),"❌ Account Not Found"))</f>
        <v/>
      </c>
      <c r="C184" s="86" t="str">
        <f>IF(A184="","",IFERROR(VLOOKUP(A184,DB_Customers!$A:$N,14,0),"❌ Acct Not Found"))</f>
        <v/>
      </c>
      <c r="D184" s="87" t="str">
        <f t="shared" ca="1" si="15"/>
        <v/>
      </c>
      <c r="E184" s="94"/>
      <c r="F184" s="41"/>
      <c r="G184" s="96" t="str">
        <f t="shared" si="16"/>
        <v/>
      </c>
      <c r="H184" s="43" t="s">
        <v>142</v>
      </c>
      <c r="I184" s="81"/>
      <c r="J184" s="89" t="str">
        <f>IF(AND(A184&lt;&gt;"",E184&lt;&gt;""),IF(I184="","⚠️ Enter Code",IF(IFERROR(VLOOKUP(H184,DB_Agents!$B:$I,8,0),"")=I184,IF(C184&gt;=E184,"Successful","Unsuccessful"),"🔒 BLOCKED — Wrong Code")),"Pending")</f>
        <v>Pending</v>
      </c>
      <c r="K184" s="90" t="str">
        <f t="shared" ca="1" si="17"/>
        <v>—</v>
      </c>
      <c r="L184" s="91"/>
    </row>
    <row r="185" spans="1:12" ht="15" customHeight="1" x14ac:dyDescent="0.25">
      <c r="A185" s="76"/>
      <c r="B185" s="37" t="str">
        <f>IF(A185="","",IFERROR(VLOOKUP(A185,DB_Customers!$A:$D,4,0),"❌ Account Not Found"))</f>
        <v/>
      </c>
      <c r="C185" s="77" t="str">
        <f>IF(A185="","",IFERROR(VLOOKUP(A185,DB_Customers!$A:$N,14,0),"❌ Acct Not Found"))</f>
        <v/>
      </c>
      <c r="D185" s="78" t="str">
        <f t="shared" ca="1" si="15"/>
        <v/>
      </c>
      <c r="E185" s="94"/>
      <c r="F185" s="37"/>
      <c r="G185" s="95" t="str">
        <f t="shared" si="16"/>
        <v/>
      </c>
      <c r="H185" s="39" t="s">
        <v>142</v>
      </c>
      <c r="I185" s="81"/>
      <c r="J185" s="82" t="str">
        <f>IF(AND(A185&lt;&gt;"",E185&lt;&gt;""),IF(I185="","⚠️ Enter Code",IF(IFERROR(VLOOKUP(H185,DB_Agents!$B:$I,8,0),"")=I185,IF(C185&gt;=E185,"Successful","Unsuccessful"),"🔒 BLOCKED — Wrong Code")),"Pending")</f>
        <v>Pending</v>
      </c>
      <c r="K185" s="83" t="str">
        <f t="shared" ca="1" si="17"/>
        <v>—</v>
      </c>
      <c r="L185" s="84"/>
    </row>
    <row r="186" spans="1:12" ht="15" customHeight="1" x14ac:dyDescent="0.25">
      <c r="A186" s="85"/>
      <c r="B186" s="41" t="str">
        <f>IF(A186="","",IFERROR(VLOOKUP(A186,DB_Customers!$A:$D,4,0),"❌ Account Not Found"))</f>
        <v/>
      </c>
      <c r="C186" s="86" t="str">
        <f>IF(A186="","",IFERROR(VLOOKUP(A186,DB_Customers!$A:$N,14,0),"❌ Acct Not Found"))</f>
        <v/>
      </c>
      <c r="D186" s="87" t="str">
        <f t="shared" ca="1" si="15"/>
        <v/>
      </c>
      <c r="E186" s="94"/>
      <c r="F186" s="41"/>
      <c r="G186" s="96" t="str">
        <f t="shared" si="16"/>
        <v/>
      </c>
      <c r="H186" s="43" t="s">
        <v>142</v>
      </c>
      <c r="I186" s="81"/>
      <c r="J186" s="89" t="str">
        <f>IF(AND(A186&lt;&gt;"",E186&lt;&gt;""),IF(I186="","⚠️ Enter Code",IF(IFERROR(VLOOKUP(H186,DB_Agents!$B:$I,8,0),"")=I186,IF(C186&gt;=E186,"Successful","Unsuccessful"),"🔒 BLOCKED — Wrong Code")),"Pending")</f>
        <v>Pending</v>
      </c>
      <c r="K186" s="90" t="str">
        <f t="shared" ca="1" si="17"/>
        <v>—</v>
      </c>
      <c r="L186" s="91"/>
    </row>
    <row r="187" spans="1:12" ht="15" customHeight="1" x14ac:dyDescent="0.25">
      <c r="A187" s="76"/>
      <c r="B187" s="37" t="str">
        <f>IF(A187="","",IFERROR(VLOOKUP(A187,DB_Customers!$A:$D,4,0),"❌ Account Not Found"))</f>
        <v/>
      </c>
      <c r="C187" s="77" t="str">
        <f>IF(A187="","",IFERROR(VLOOKUP(A187,DB_Customers!$A:$N,14,0),"❌ Acct Not Found"))</f>
        <v/>
      </c>
      <c r="D187" s="78" t="str">
        <f t="shared" ca="1" si="15"/>
        <v/>
      </c>
      <c r="E187" s="94"/>
      <c r="F187" s="37"/>
      <c r="G187" s="95" t="str">
        <f t="shared" si="16"/>
        <v/>
      </c>
      <c r="H187" s="39" t="s">
        <v>142</v>
      </c>
      <c r="I187" s="81"/>
      <c r="J187" s="82" t="str">
        <f>IF(AND(A187&lt;&gt;"",E187&lt;&gt;""),IF(I187="","⚠️ Enter Code",IF(IFERROR(VLOOKUP(H187,DB_Agents!$B:$I,8,0),"")=I187,IF(C187&gt;=E187,"Successful","Unsuccessful"),"🔒 BLOCKED — Wrong Code")),"Pending")</f>
        <v>Pending</v>
      </c>
      <c r="K187" s="83" t="str">
        <f t="shared" ca="1" si="17"/>
        <v>—</v>
      </c>
      <c r="L187" s="84"/>
    </row>
    <row r="188" spans="1:12" ht="15" customHeight="1" x14ac:dyDescent="0.25">
      <c r="A188" s="85"/>
      <c r="B188" s="41" t="str">
        <f>IF(A188="","",IFERROR(VLOOKUP(A188,DB_Customers!$A:$D,4,0),"❌ Account Not Found"))</f>
        <v/>
      </c>
      <c r="C188" s="86" t="str">
        <f>IF(A188="","",IFERROR(VLOOKUP(A188,DB_Customers!$A:$N,14,0),"❌ Acct Not Found"))</f>
        <v/>
      </c>
      <c r="D188" s="87" t="str">
        <f t="shared" ca="1" si="15"/>
        <v/>
      </c>
      <c r="E188" s="94"/>
      <c r="F188" s="41"/>
      <c r="G188" s="96" t="str">
        <f t="shared" si="16"/>
        <v/>
      </c>
      <c r="H188" s="43" t="s">
        <v>142</v>
      </c>
      <c r="I188" s="81"/>
      <c r="J188" s="89" t="str">
        <f>IF(AND(A188&lt;&gt;"",E188&lt;&gt;""),IF(I188="","⚠️ Enter Code",IF(IFERROR(VLOOKUP(H188,DB_Agents!$B:$I,8,0),"")=I188,IF(C188&gt;=E188,"Successful","Unsuccessful"),"🔒 BLOCKED — Wrong Code")),"Pending")</f>
        <v>Pending</v>
      </c>
      <c r="K188" s="90" t="str">
        <f t="shared" ca="1" si="17"/>
        <v>—</v>
      </c>
      <c r="L188" s="91"/>
    </row>
    <row r="189" spans="1:12" ht="15" customHeight="1" x14ac:dyDescent="0.25">
      <c r="A189" s="76"/>
      <c r="B189" s="37" t="str">
        <f>IF(A189="","",IFERROR(VLOOKUP(A189,DB_Customers!$A:$D,4,0),"❌ Account Not Found"))</f>
        <v/>
      </c>
      <c r="C189" s="77" t="str">
        <f>IF(A189="","",IFERROR(VLOOKUP(A189,DB_Customers!$A:$N,14,0),"❌ Acct Not Found"))</f>
        <v/>
      </c>
      <c r="D189" s="78" t="str">
        <f t="shared" ca="1" si="15"/>
        <v/>
      </c>
      <c r="E189" s="94"/>
      <c r="F189" s="37"/>
      <c r="G189" s="95" t="str">
        <f t="shared" si="16"/>
        <v/>
      </c>
      <c r="H189" s="39" t="s">
        <v>142</v>
      </c>
      <c r="I189" s="81"/>
      <c r="J189" s="82" t="str">
        <f>IF(AND(A189&lt;&gt;"",E189&lt;&gt;""),IF(I189="","⚠️ Enter Code",IF(IFERROR(VLOOKUP(H189,DB_Agents!$B:$I,8,0),"")=I189,IF(C189&gt;=E189,"Successful","Unsuccessful"),"🔒 BLOCKED — Wrong Code")),"Pending")</f>
        <v>Pending</v>
      </c>
      <c r="K189" s="83" t="str">
        <f t="shared" ca="1" si="17"/>
        <v>—</v>
      </c>
      <c r="L189" s="84"/>
    </row>
    <row r="190" spans="1:12" ht="15" customHeight="1" x14ac:dyDescent="0.25">
      <c r="A190" s="85"/>
      <c r="B190" s="41" t="str">
        <f>IF(A190="","",IFERROR(VLOOKUP(A190,DB_Customers!$A:$D,4,0),"❌ Account Not Found"))</f>
        <v/>
      </c>
      <c r="C190" s="86" t="str">
        <f>IF(A190="","",IFERROR(VLOOKUP(A190,DB_Customers!$A:$N,14,0),"❌ Acct Not Found"))</f>
        <v/>
      </c>
      <c r="D190" s="87" t="str">
        <f t="shared" ca="1" si="15"/>
        <v/>
      </c>
      <c r="E190" s="94"/>
      <c r="F190" s="41"/>
      <c r="G190" s="96" t="str">
        <f t="shared" si="16"/>
        <v/>
      </c>
      <c r="H190" s="43" t="s">
        <v>142</v>
      </c>
      <c r="I190" s="81"/>
      <c r="J190" s="89" t="str">
        <f>IF(AND(A190&lt;&gt;"",E190&lt;&gt;""),IF(I190="","⚠️ Enter Code",IF(IFERROR(VLOOKUP(H190,DB_Agents!$B:$I,8,0),"")=I190,IF(C190&gt;=E190,"Successful","Unsuccessful"),"🔒 BLOCKED — Wrong Code")),"Pending")</f>
        <v>Pending</v>
      </c>
      <c r="K190" s="90" t="str">
        <f t="shared" ca="1" si="17"/>
        <v>—</v>
      </c>
      <c r="L190" s="91"/>
    </row>
    <row r="191" spans="1:12" ht="15" customHeight="1" x14ac:dyDescent="0.25">
      <c r="A191" s="76"/>
      <c r="B191" s="37" t="str">
        <f>IF(A191="","",IFERROR(VLOOKUP(A191,DB_Customers!$A:$D,4,0),"❌ Account Not Found"))</f>
        <v/>
      </c>
      <c r="C191" s="77" t="str">
        <f>IF(A191="","",IFERROR(VLOOKUP(A191,DB_Customers!$A:$N,14,0),"❌ Acct Not Found"))</f>
        <v/>
      </c>
      <c r="D191" s="78" t="str">
        <f t="shared" ca="1" si="15"/>
        <v/>
      </c>
      <c r="E191" s="94"/>
      <c r="F191" s="37"/>
      <c r="G191" s="95" t="str">
        <f t="shared" si="16"/>
        <v/>
      </c>
      <c r="H191" s="39" t="s">
        <v>142</v>
      </c>
      <c r="I191" s="81"/>
      <c r="J191" s="82" t="str">
        <f>IF(AND(A191&lt;&gt;"",E191&lt;&gt;""),IF(I191="","⚠️ Enter Code",IF(IFERROR(VLOOKUP(H191,DB_Agents!$B:$I,8,0),"")=I191,IF(C191&gt;=E191,"Successful","Unsuccessful"),"🔒 BLOCKED — Wrong Code")),"Pending")</f>
        <v>Pending</v>
      </c>
      <c r="K191" s="83" t="str">
        <f t="shared" ca="1" si="17"/>
        <v>—</v>
      </c>
      <c r="L191" s="84"/>
    </row>
    <row r="192" spans="1:12" ht="15" customHeight="1" x14ac:dyDescent="0.25">
      <c r="A192" s="85"/>
      <c r="B192" s="41" t="str">
        <f>IF(A192="","",IFERROR(VLOOKUP(A192,DB_Customers!$A:$D,4,0),"❌ Account Not Found"))</f>
        <v/>
      </c>
      <c r="C192" s="86" t="str">
        <f>IF(A192="","",IFERROR(VLOOKUP(A192,DB_Customers!$A:$N,14,0),"❌ Acct Not Found"))</f>
        <v/>
      </c>
      <c r="D192" s="87" t="str">
        <f t="shared" ca="1" si="15"/>
        <v/>
      </c>
      <c r="E192" s="94"/>
      <c r="F192" s="41"/>
      <c r="G192" s="96" t="str">
        <f t="shared" si="16"/>
        <v/>
      </c>
      <c r="H192" s="43" t="s">
        <v>142</v>
      </c>
      <c r="I192" s="81"/>
      <c r="J192" s="89" t="str">
        <f>IF(AND(A192&lt;&gt;"",E192&lt;&gt;""),IF(I192="","⚠️ Enter Code",IF(IFERROR(VLOOKUP(H192,DB_Agents!$B:$I,8,0),"")=I192,IF(C192&gt;=E192,"Successful","Unsuccessful"),"🔒 BLOCKED — Wrong Code")),"Pending")</f>
        <v>Pending</v>
      </c>
      <c r="K192" s="90" t="str">
        <f t="shared" ca="1" si="17"/>
        <v>—</v>
      </c>
      <c r="L192" s="91"/>
    </row>
    <row r="193" spans="1:12" ht="15" customHeight="1" x14ac:dyDescent="0.25">
      <c r="A193" s="76"/>
      <c r="B193" s="37" t="str">
        <f>IF(A193="","",IFERROR(VLOOKUP(A193,DB_Customers!$A:$D,4,0),"❌ Account Not Found"))</f>
        <v/>
      </c>
      <c r="C193" s="77" t="str">
        <f>IF(A193="","",IFERROR(VLOOKUP(A193,DB_Customers!$A:$N,14,0),"❌ Acct Not Found"))</f>
        <v/>
      </c>
      <c r="D193" s="78" t="str">
        <f t="shared" ca="1" si="15"/>
        <v/>
      </c>
      <c r="E193" s="94"/>
      <c r="F193" s="37"/>
      <c r="G193" s="95" t="str">
        <f t="shared" si="16"/>
        <v/>
      </c>
      <c r="H193" s="39" t="s">
        <v>142</v>
      </c>
      <c r="I193" s="81"/>
      <c r="J193" s="82" t="str">
        <f>IF(AND(A193&lt;&gt;"",E193&lt;&gt;""),IF(I193="","⚠️ Enter Code",IF(IFERROR(VLOOKUP(H193,DB_Agents!$B:$I,8,0),"")=I193,IF(C193&gt;=E193,"Successful","Unsuccessful"),"🔒 BLOCKED — Wrong Code")),"Pending")</f>
        <v>Pending</v>
      </c>
      <c r="K193" s="83" t="str">
        <f t="shared" ca="1" si="17"/>
        <v>—</v>
      </c>
      <c r="L193" s="84"/>
    </row>
    <row r="194" spans="1:12" ht="15" customHeight="1" x14ac:dyDescent="0.25">
      <c r="A194" s="85"/>
      <c r="B194" s="41" t="str">
        <f>IF(A194="","",IFERROR(VLOOKUP(A194,DB_Customers!$A:$D,4,0),"❌ Account Not Found"))</f>
        <v/>
      </c>
      <c r="C194" s="86" t="str">
        <f>IF(A194="","",IFERROR(VLOOKUP(A194,DB_Customers!$A:$N,14,0),"❌ Acct Not Found"))</f>
        <v/>
      </c>
      <c r="D194" s="87" t="str">
        <f t="shared" ca="1" si="15"/>
        <v/>
      </c>
      <c r="E194" s="94"/>
      <c r="F194" s="41"/>
      <c r="G194" s="96" t="str">
        <f t="shared" si="16"/>
        <v/>
      </c>
      <c r="H194" s="43" t="s">
        <v>142</v>
      </c>
      <c r="I194" s="81"/>
      <c r="J194" s="89" t="str">
        <f>IF(AND(A194&lt;&gt;"",E194&lt;&gt;""),IF(I194="","⚠️ Enter Code",IF(IFERROR(VLOOKUP(H194,DB_Agents!$B:$I,8,0),"")=I194,IF(C194&gt;=E194,"Successful","Unsuccessful"),"🔒 BLOCKED — Wrong Code")),"Pending")</f>
        <v>Pending</v>
      </c>
      <c r="K194" s="90" t="str">
        <f t="shared" ca="1" si="17"/>
        <v>—</v>
      </c>
      <c r="L194" s="91"/>
    </row>
    <row r="195" spans="1:12" ht="15" customHeight="1" x14ac:dyDescent="0.25">
      <c r="A195" s="76"/>
      <c r="B195" s="37" t="str">
        <f>IF(A195="","",IFERROR(VLOOKUP(A195,DB_Customers!$A:$D,4,0),"❌ Account Not Found"))</f>
        <v/>
      </c>
      <c r="C195" s="77" t="str">
        <f>IF(A195="","",IFERROR(VLOOKUP(A195,DB_Customers!$A:$N,14,0),"❌ Acct Not Found"))</f>
        <v/>
      </c>
      <c r="D195" s="78" t="str">
        <f t="shared" ca="1" si="15"/>
        <v/>
      </c>
      <c r="E195" s="94"/>
      <c r="F195" s="37"/>
      <c r="G195" s="95" t="str">
        <f t="shared" si="16"/>
        <v/>
      </c>
      <c r="H195" s="39" t="s">
        <v>142</v>
      </c>
      <c r="I195" s="81"/>
      <c r="J195" s="82" t="str">
        <f>IF(AND(A195&lt;&gt;"",E195&lt;&gt;""),IF(I195="","⚠️ Enter Code",IF(IFERROR(VLOOKUP(H195,DB_Agents!$B:$I,8,0),"")=I195,IF(C195&gt;=E195,"Successful","Unsuccessful"),"🔒 BLOCKED — Wrong Code")),"Pending")</f>
        <v>Pending</v>
      </c>
      <c r="K195" s="83" t="str">
        <f t="shared" ca="1" si="17"/>
        <v>—</v>
      </c>
      <c r="L195" s="84"/>
    </row>
    <row r="196" spans="1:12" ht="15" customHeight="1" x14ac:dyDescent="0.25">
      <c r="A196" s="85"/>
      <c r="B196" s="41" t="str">
        <f>IF(A196="","",IFERROR(VLOOKUP(A196,DB_Customers!$A:$D,4,0),"❌ Account Not Found"))</f>
        <v/>
      </c>
      <c r="C196" s="86" t="str">
        <f>IF(A196="","",IFERROR(VLOOKUP(A196,DB_Customers!$A:$N,14,0),"❌ Acct Not Found"))</f>
        <v/>
      </c>
      <c r="D196" s="87" t="str">
        <f t="shared" ca="1" si="15"/>
        <v/>
      </c>
      <c r="E196" s="94"/>
      <c r="F196" s="41"/>
      <c r="G196" s="96" t="str">
        <f t="shared" si="16"/>
        <v/>
      </c>
      <c r="H196" s="43" t="s">
        <v>142</v>
      </c>
      <c r="I196" s="81"/>
      <c r="J196" s="89" t="str">
        <f>IF(AND(A196&lt;&gt;"",E196&lt;&gt;""),IF(I196="","⚠️ Enter Code",IF(IFERROR(VLOOKUP(H196,DB_Agents!$B:$I,8,0),"")=I196,IF(C196&gt;=E196,"Successful","Unsuccessful"),"🔒 BLOCKED — Wrong Code")),"Pending")</f>
        <v>Pending</v>
      </c>
      <c r="K196" s="90" t="str">
        <f t="shared" ca="1" si="17"/>
        <v>—</v>
      </c>
      <c r="L196" s="91"/>
    </row>
    <row r="197" spans="1:12" ht="15" customHeight="1" x14ac:dyDescent="0.25">
      <c r="A197" s="76"/>
      <c r="B197" s="37" t="str">
        <f>IF(A197="","",IFERROR(VLOOKUP(A197,DB_Customers!$A:$D,4,0),"❌ Account Not Found"))</f>
        <v/>
      </c>
      <c r="C197" s="77" t="str">
        <f>IF(A197="","",IFERROR(VLOOKUP(A197,DB_Customers!$A:$N,14,0),"❌ Acct Not Found"))</f>
        <v/>
      </c>
      <c r="D197" s="78" t="str">
        <f t="shared" ca="1" si="15"/>
        <v/>
      </c>
      <c r="E197" s="94"/>
      <c r="F197" s="37"/>
      <c r="G197" s="95" t="str">
        <f t="shared" si="16"/>
        <v/>
      </c>
      <c r="H197" s="39" t="s">
        <v>142</v>
      </c>
      <c r="I197" s="81"/>
      <c r="J197" s="82" t="str">
        <f>IF(AND(A197&lt;&gt;"",E197&lt;&gt;""),IF(I197="","⚠️ Enter Code",IF(IFERROR(VLOOKUP(H197,DB_Agents!$B:$I,8,0),"")=I197,IF(C197&gt;=E197,"Successful","Unsuccessful"),"🔒 BLOCKED — Wrong Code")),"Pending")</f>
        <v>Pending</v>
      </c>
      <c r="K197" s="83" t="str">
        <f t="shared" ca="1" si="17"/>
        <v>—</v>
      </c>
      <c r="L197" s="84"/>
    </row>
    <row r="198" spans="1:12" ht="15" customHeight="1" x14ac:dyDescent="0.25">
      <c r="A198" s="85"/>
      <c r="B198" s="41" t="str">
        <f>IF(A198="","",IFERROR(VLOOKUP(A198,DB_Customers!$A:$D,4,0),"❌ Account Not Found"))</f>
        <v/>
      </c>
      <c r="C198" s="86" t="str">
        <f>IF(A198="","",IFERROR(VLOOKUP(A198,DB_Customers!$A:$N,14,0),"❌ Acct Not Found"))</f>
        <v/>
      </c>
      <c r="D198" s="87" t="str">
        <f t="shared" ca="1" si="15"/>
        <v/>
      </c>
      <c r="E198" s="94"/>
      <c r="F198" s="41"/>
      <c r="G198" s="96" t="str">
        <f t="shared" si="16"/>
        <v/>
      </c>
      <c r="H198" s="43" t="s">
        <v>142</v>
      </c>
      <c r="I198" s="81"/>
      <c r="J198" s="89" t="str">
        <f>IF(AND(A198&lt;&gt;"",E198&lt;&gt;""),IF(I198="","⚠️ Enter Code",IF(IFERROR(VLOOKUP(H198,DB_Agents!$B:$I,8,0),"")=I198,IF(C198&gt;=E198,"Successful","Unsuccessful"),"🔒 BLOCKED — Wrong Code")),"Pending")</f>
        <v>Pending</v>
      </c>
      <c r="K198" s="90" t="str">
        <f t="shared" ca="1" si="17"/>
        <v>—</v>
      </c>
      <c r="L198" s="91"/>
    </row>
    <row r="199" spans="1:12" ht="15" customHeight="1" x14ac:dyDescent="0.25">
      <c r="A199" s="76"/>
      <c r="B199" s="37" t="str">
        <f>IF(A199="","",IFERROR(VLOOKUP(A199,DB_Customers!$A:$D,4,0),"❌ Account Not Found"))</f>
        <v/>
      </c>
      <c r="C199" s="77" t="str">
        <f>IF(A199="","",IFERROR(VLOOKUP(A199,DB_Customers!$A:$N,14,0),"❌ Acct Not Found"))</f>
        <v/>
      </c>
      <c r="D199" s="78" t="str">
        <f t="shared" ca="1" si="15"/>
        <v/>
      </c>
      <c r="E199" s="94"/>
      <c r="F199" s="37"/>
      <c r="G199" s="95" t="str">
        <f t="shared" si="16"/>
        <v/>
      </c>
      <c r="H199" s="39" t="s">
        <v>142</v>
      </c>
      <c r="I199" s="81"/>
      <c r="J199" s="82" t="str">
        <f>IF(AND(A199&lt;&gt;"",E199&lt;&gt;""),IF(I199="","⚠️ Enter Code",IF(IFERROR(VLOOKUP(H199,DB_Agents!$B:$I,8,0),"")=I199,IF(C199&gt;=E199,"Successful","Unsuccessful"),"🔒 BLOCKED — Wrong Code")),"Pending")</f>
        <v>Pending</v>
      </c>
      <c r="K199" s="83" t="str">
        <f t="shared" ca="1" si="17"/>
        <v>—</v>
      </c>
      <c r="L199" s="84"/>
    </row>
    <row r="200" spans="1:12" ht="15" customHeight="1" x14ac:dyDescent="0.25">
      <c r="A200" s="85"/>
      <c r="B200" s="41" t="str">
        <f>IF(A200="","",IFERROR(VLOOKUP(A200,DB_Customers!$A:$D,4,0),"❌ Account Not Found"))</f>
        <v/>
      </c>
      <c r="C200" s="86" t="str">
        <f>IF(A200="","",IFERROR(VLOOKUP(A200,DB_Customers!$A:$N,14,0),"❌ Acct Not Found"))</f>
        <v/>
      </c>
      <c r="D200" s="87" t="str">
        <f t="shared" ca="1" si="15"/>
        <v/>
      </c>
      <c r="E200" s="94"/>
      <c r="F200" s="41"/>
      <c r="G200" s="96" t="str">
        <f t="shared" si="16"/>
        <v/>
      </c>
      <c r="H200" s="43" t="s">
        <v>142</v>
      </c>
      <c r="I200" s="81"/>
      <c r="J200" s="89" t="str">
        <f>IF(AND(A200&lt;&gt;"",E200&lt;&gt;""),IF(I200="","⚠️ Enter Code",IF(IFERROR(VLOOKUP(H200,DB_Agents!$B:$I,8,0),"")=I200,IF(C200&gt;=E200,"Successful","Unsuccessful"),"🔒 BLOCKED — Wrong Code")),"Pending")</f>
        <v>Pending</v>
      </c>
      <c r="K200" s="90" t="str">
        <f t="shared" ca="1" si="17"/>
        <v>—</v>
      </c>
      <c r="L200" s="91"/>
    </row>
    <row r="201" spans="1:12" ht="15" customHeight="1" x14ac:dyDescent="0.25">
      <c r="A201" s="76"/>
      <c r="B201" s="37" t="str">
        <f>IF(A201="","",IFERROR(VLOOKUP(A201,DB_Customers!$A:$D,4,0),"❌ Account Not Found"))</f>
        <v/>
      </c>
      <c r="C201" s="77" t="str">
        <f>IF(A201="","",IFERROR(VLOOKUP(A201,DB_Customers!$A:$N,14,0),"❌ Acct Not Found"))</f>
        <v/>
      </c>
      <c r="D201" s="78" t="str">
        <f t="shared" ref="D201:D208" ca="1" si="18">IF(A201="","",TODAY())</f>
        <v/>
      </c>
      <c r="E201" s="94"/>
      <c r="F201" s="37"/>
      <c r="G201" s="95" t="str">
        <f t="shared" ref="G201:G208" si="19">IF(OR(A201="",E201=""),"",IF(C201="","",C201-E201))</f>
        <v/>
      </c>
      <c r="H201" s="39" t="s">
        <v>142</v>
      </c>
      <c r="I201" s="81"/>
      <c r="J201" s="82" t="str">
        <f>IF(AND(A201&lt;&gt;"",E201&lt;&gt;""),IF(I201="","⚠️ Enter Code",IF(IFERROR(VLOOKUP(H201,DB_Agents!$B:$I,8,0),"")=I201,IF(C201&gt;=E201,"Successful","Unsuccessful"),"🔒 BLOCKED — Wrong Code")),"Pending")</f>
        <v>Pending</v>
      </c>
      <c r="K201" s="83" t="str">
        <f t="shared" ref="K201:K208" ca="1" si="20">IF(J201="Successful",TEXT(TODAY(),"YYYY-MM-DD")&amp;" Auto","—")</f>
        <v>—</v>
      </c>
      <c r="L201" s="84"/>
    </row>
    <row r="202" spans="1:12" ht="15" customHeight="1" x14ac:dyDescent="0.25">
      <c r="A202" s="85"/>
      <c r="B202" s="41" t="str">
        <f>IF(A202="","",IFERROR(VLOOKUP(A202,DB_Customers!$A:$D,4,0),"❌ Account Not Found"))</f>
        <v/>
      </c>
      <c r="C202" s="86" t="str">
        <f>IF(A202="","",IFERROR(VLOOKUP(A202,DB_Customers!$A:$N,14,0),"❌ Acct Not Found"))</f>
        <v/>
      </c>
      <c r="D202" s="87" t="str">
        <f t="shared" ca="1" si="18"/>
        <v/>
      </c>
      <c r="E202" s="94"/>
      <c r="F202" s="41"/>
      <c r="G202" s="96" t="str">
        <f t="shared" si="19"/>
        <v/>
      </c>
      <c r="H202" s="43" t="s">
        <v>142</v>
      </c>
      <c r="I202" s="81"/>
      <c r="J202" s="89" t="str">
        <f>IF(AND(A202&lt;&gt;"",E202&lt;&gt;""),IF(I202="","⚠️ Enter Code",IF(IFERROR(VLOOKUP(H202,DB_Agents!$B:$I,8,0),"")=I202,IF(C202&gt;=E202,"Successful","Unsuccessful"),"🔒 BLOCKED — Wrong Code")),"Pending")</f>
        <v>Pending</v>
      </c>
      <c r="K202" s="90" t="str">
        <f t="shared" ca="1" si="20"/>
        <v>—</v>
      </c>
      <c r="L202" s="91"/>
    </row>
    <row r="203" spans="1:12" ht="15" customHeight="1" x14ac:dyDescent="0.25">
      <c r="A203" s="76"/>
      <c r="B203" s="37" t="str">
        <f>IF(A203="","",IFERROR(VLOOKUP(A203,DB_Customers!$A:$D,4,0),"❌ Account Not Found"))</f>
        <v/>
      </c>
      <c r="C203" s="77" t="str">
        <f>IF(A203="","",IFERROR(VLOOKUP(A203,DB_Customers!$A:$N,14,0),"❌ Acct Not Found"))</f>
        <v/>
      </c>
      <c r="D203" s="78" t="str">
        <f t="shared" ca="1" si="18"/>
        <v/>
      </c>
      <c r="E203" s="94"/>
      <c r="F203" s="37"/>
      <c r="G203" s="95" t="str">
        <f t="shared" si="19"/>
        <v/>
      </c>
      <c r="H203" s="39" t="s">
        <v>142</v>
      </c>
      <c r="I203" s="81"/>
      <c r="J203" s="82" t="str">
        <f>IF(AND(A203&lt;&gt;"",E203&lt;&gt;""),IF(I203="","⚠️ Enter Code",IF(IFERROR(VLOOKUP(H203,DB_Agents!$B:$I,8,0),"")=I203,IF(C203&gt;=E203,"Successful","Unsuccessful"),"🔒 BLOCKED — Wrong Code")),"Pending")</f>
        <v>Pending</v>
      </c>
      <c r="K203" s="83" t="str">
        <f t="shared" ca="1" si="20"/>
        <v>—</v>
      </c>
      <c r="L203" s="84"/>
    </row>
    <row r="204" spans="1:12" ht="15" customHeight="1" x14ac:dyDescent="0.25">
      <c r="A204" s="85"/>
      <c r="B204" s="41" t="str">
        <f>IF(A204="","",IFERROR(VLOOKUP(A204,DB_Customers!$A:$D,4,0),"❌ Account Not Found"))</f>
        <v/>
      </c>
      <c r="C204" s="86" t="str">
        <f>IF(A204="","",IFERROR(VLOOKUP(A204,DB_Customers!$A:$N,14,0),"❌ Acct Not Found"))</f>
        <v/>
      </c>
      <c r="D204" s="87" t="str">
        <f t="shared" ca="1" si="18"/>
        <v/>
      </c>
      <c r="E204" s="94"/>
      <c r="F204" s="41"/>
      <c r="G204" s="96" t="str">
        <f t="shared" si="19"/>
        <v/>
      </c>
      <c r="H204" s="43" t="s">
        <v>142</v>
      </c>
      <c r="I204" s="81"/>
      <c r="J204" s="89" t="str">
        <f>IF(AND(A204&lt;&gt;"",E204&lt;&gt;""),IF(I204="","⚠️ Enter Code",IF(IFERROR(VLOOKUP(H204,DB_Agents!$B:$I,8,0),"")=I204,IF(C204&gt;=E204,"Successful","Unsuccessful"),"🔒 BLOCKED — Wrong Code")),"Pending")</f>
        <v>Pending</v>
      </c>
      <c r="K204" s="90" t="str">
        <f t="shared" ca="1" si="20"/>
        <v>—</v>
      </c>
      <c r="L204" s="91"/>
    </row>
    <row r="205" spans="1:12" ht="15" customHeight="1" x14ac:dyDescent="0.25">
      <c r="A205" s="76"/>
      <c r="B205" s="37" t="str">
        <f>IF(A205="","",IFERROR(VLOOKUP(A205,DB_Customers!$A:$D,4,0),"❌ Account Not Found"))</f>
        <v/>
      </c>
      <c r="C205" s="77" t="str">
        <f>IF(A205="","",IFERROR(VLOOKUP(A205,DB_Customers!$A:$N,14,0),"❌ Acct Not Found"))</f>
        <v/>
      </c>
      <c r="D205" s="78" t="str">
        <f t="shared" ca="1" si="18"/>
        <v/>
      </c>
      <c r="E205" s="94"/>
      <c r="F205" s="37"/>
      <c r="G205" s="95" t="str">
        <f t="shared" si="19"/>
        <v/>
      </c>
      <c r="H205" s="39" t="s">
        <v>142</v>
      </c>
      <c r="I205" s="81"/>
      <c r="J205" s="82" t="str">
        <f>IF(AND(A205&lt;&gt;"",E205&lt;&gt;""),IF(I205="","⚠️ Enter Code",IF(IFERROR(VLOOKUP(H205,DB_Agents!$B:$I,8,0),"")=I205,IF(C205&gt;=E205,"Successful","Unsuccessful"),"🔒 BLOCKED — Wrong Code")),"Pending")</f>
        <v>Pending</v>
      </c>
      <c r="K205" s="83" t="str">
        <f t="shared" ca="1" si="20"/>
        <v>—</v>
      </c>
      <c r="L205" s="84"/>
    </row>
    <row r="206" spans="1:12" ht="15" customHeight="1" x14ac:dyDescent="0.25">
      <c r="A206" s="85"/>
      <c r="B206" s="41" t="str">
        <f>IF(A206="","",IFERROR(VLOOKUP(A206,DB_Customers!$A:$D,4,0),"❌ Account Not Found"))</f>
        <v/>
      </c>
      <c r="C206" s="86" t="str">
        <f>IF(A206="","",IFERROR(VLOOKUP(A206,DB_Customers!$A:$N,14,0),"❌ Acct Not Found"))</f>
        <v/>
      </c>
      <c r="D206" s="87" t="str">
        <f t="shared" ca="1" si="18"/>
        <v/>
      </c>
      <c r="E206" s="94"/>
      <c r="F206" s="41"/>
      <c r="G206" s="96" t="str">
        <f t="shared" si="19"/>
        <v/>
      </c>
      <c r="H206" s="43" t="s">
        <v>142</v>
      </c>
      <c r="I206" s="81"/>
      <c r="J206" s="89" t="str">
        <f>IF(AND(A206&lt;&gt;"",E206&lt;&gt;""),IF(I206="","⚠️ Enter Code",IF(IFERROR(VLOOKUP(H206,DB_Agents!$B:$I,8,0),"")=I206,IF(C206&gt;=E206,"Successful","Unsuccessful"),"🔒 BLOCKED — Wrong Code")),"Pending")</f>
        <v>Pending</v>
      </c>
      <c r="K206" s="90" t="str">
        <f t="shared" ca="1" si="20"/>
        <v>—</v>
      </c>
      <c r="L206" s="91"/>
    </row>
    <row r="207" spans="1:12" ht="15" customHeight="1" x14ac:dyDescent="0.25">
      <c r="A207" s="76"/>
      <c r="B207" s="37" t="str">
        <f>IF(A207="","",IFERROR(VLOOKUP(A207,DB_Customers!$A:$D,4,0),"❌ Account Not Found"))</f>
        <v/>
      </c>
      <c r="C207" s="77" t="str">
        <f>IF(A207="","",IFERROR(VLOOKUP(A207,DB_Customers!$A:$N,14,0),"❌ Acct Not Found"))</f>
        <v/>
      </c>
      <c r="D207" s="78" t="str">
        <f t="shared" ca="1" si="18"/>
        <v/>
      </c>
      <c r="E207" s="94"/>
      <c r="F207" s="37"/>
      <c r="G207" s="95" t="str">
        <f t="shared" si="19"/>
        <v/>
      </c>
      <c r="H207" s="39" t="s">
        <v>142</v>
      </c>
      <c r="I207" s="81"/>
      <c r="J207" s="82" t="str">
        <f>IF(AND(A207&lt;&gt;"",E207&lt;&gt;""),IF(I207="","⚠️ Enter Code",IF(IFERROR(VLOOKUP(H207,DB_Agents!$B:$I,8,0),"")=I207,IF(C207&gt;=E207,"Successful","Unsuccessful"),"🔒 BLOCKED — Wrong Code")),"Pending")</f>
        <v>Pending</v>
      </c>
      <c r="K207" s="83" t="str">
        <f t="shared" ca="1" si="20"/>
        <v>—</v>
      </c>
      <c r="L207" s="84"/>
    </row>
    <row r="208" spans="1:12" ht="15" customHeight="1" x14ac:dyDescent="0.25">
      <c r="A208" s="85"/>
      <c r="B208" s="41" t="str">
        <f>IF(A208="","",IFERROR(VLOOKUP(A208,DB_Customers!$A:$D,4,0),"❌ Account Not Found"))</f>
        <v/>
      </c>
      <c r="C208" s="86" t="str">
        <f>IF(A208="","",IFERROR(VLOOKUP(A208,DB_Customers!$A:$N,14,0),"❌ Acct Not Found"))</f>
        <v/>
      </c>
      <c r="D208" s="87" t="str">
        <f t="shared" ca="1" si="18"/>
        <v/>
      </c>
      <c r="E208" s="94"/>
      <c r="F208" s="41"/>
      <c r="G208" s="96" t="str">
        <f t="shared" si="19"/>
        <v/>
      </c>
      <c r="H208" s="43" t="s">
        <v>142</v>
      </c>
      <c r="I208" s="81"/>
      <c r="J208" s="89" t="str">
        <f>IF(AND(A208&lt;&gt;"",E208&lt;&gt;""),IF(I208="","⚠️ Enter Code",IF(IFERROR(VLOOKUP(H208,DB_Agents!$B:$I,8,0),"")=I208,IF(C208&gt;=E208,"Successful","Unsuccessful"),"🔒 BLOCKED — Wrong Code")),"Pending")</f>
        <v>Pending</v>
      </c>
      <c r="K208" s="90" t="str">
        <f t="shared" ca="1" si="20"/>
        <v>—</v>
      </c>
      <c r="L208" s="91"/>
    </row>
  </sheetData>
  <mergeCells count="8">
    <mergeCell ref="A7:M7"/>
    <mergeCell ref="A4:C4"/>
    <mergeCell ref="A2:M2"/>
    <mergeCell ref="A1:M1"/>
    <mergeCell ref="A5:M5"/>
    <mergeCell ref="D4:F4"/>
    <mergeCell ref="D3:F3"/>
    <mergeCell ref="A3:C3"/>
  </mergeCells>
  <conditionalFormatting sqref="I9:I208">
    <cfRule type="cellIs" dxfId="9" priority="2" operator="equal">
      <formula>"Successful"</formula>
    </cfRule>
    <cfRule type="cellIs" dxfId="8" priority="3" operator="equal">
      <formula>"Unsuccessful"</formula>
    </cfRule>
  </conditionalFormatting>
  <conditionalFormatting sqref="A9:K208">
    <cfRule type="expression" dxfId="7" priority="4">
      <formula>$I9="Unsuccessful"</formula>
    </cfRule>
  </conditionalFormatting>
  <conditionalFormatting sqref="G9:G208">
    <cfRule type="cellIs" dxfId="6" priority="5" operator="lessThan">
      <formula>0</formula>
    </cfRule>
  </conditionalFormatting>
  <dataValidations count="1">
    <dataValidation type="list" sqref="H9:H208" xr:uid="{00000000-0002-0000-25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5" width="13" customWidth="1"/>
    <col min="6" max="6" width="20" customWidth="1"/>
    <col min="7" max="7" width="9" customWidth="1"/>
    <col min="8" max="8" width="8" customWidth="1"/>
    <col min="9" max="10" width="14" customWidth="1"/>
    <col min="11" max="11" width="18" customWidth="1"/>
    <col min="12" max="12" width="10" customWidth="1"/>
    <col min="13" max="13" width="12" customWidth="1"/>
    <col min="14" max="14" width="18" customWidth="1"/>
  </cols>
  <sheetData>
    <row r="1" spans="1:14" ht="31.5" customHeight="1" x14ac:dyDescent="0.25">
      <c r="A1" s="226" t="s">
        <v>387</v>
      </c>
    </row>
    <row r="2" spans="1:14" ht="19.5" customHeight="1" x14ac:dyDescent="0.25">
      <c r="A2" s="201" t="s">
        <v>2</v>
      </c>
    </row>
    <row r="4" spans="1:14" ht="21.75" customHeight="1" x14ac:dyDescent="0.25">
      <c r="A4" s="97" t="s">
        <v>333</v>
      </c>
    </row>
    <row r="5" spans="1:14" ht="19.5" customHeight="1" x14ac:dyDescent="0.25">
      <c r="A5" s="227" t="s">
        <v>334</v>
      </c>
      <c r="B5" s="202"/>
    </row>
    <row r="6" spans="1:14" ht="19.5" customHeight="1" x14ac:dyDescent="0.25">
      <c r="A6" s="227" t="s">
        <v>335</v>
      </c>
      <c r="B6" s="202"/>
    </row>
    <row r="7" spans="1:14" ht="19.5" customHeight="1" x14ac:dyDescent="0.25">
      <c r="A7" s="227" t="s">
        <v>336</v>
      </c>
      <c r="B7" s="228">
        <v>2.5</v>
      </c>
    </row>
    <row r="8" spans="1:14" ht="19.5" customHeight="1" x14ac:dyDescent="0.25">
      <c r="A8" s="99" t="s">
        <v>337</v>
      </c>
      <c r="B8" s="203" t="str">
        <f>IF(B5="","",B5*B7/100*B6)</f>
        <v/>
      </c>
    </row>
    <row r="9" spans="1:14" ht="19.5" customHeight="1" x14ac:dyDescent="0.25">
      <c r="A9" s="99" t="s">
        <v>338</v>
      </c>
      <c r="B9" s="204" t="str">
        <f>IF(B5="","",B5+(B5*B7/100*B6))</f>
        <v/>
      </c>
    </row>
    <row r="10" spans="1:14" ht="19.5" customHeight="1" x14ac:dyDescent="0.25">
      <c r="A10" s="99" t="s">
        <v>339</v>
      </c>
      <c r="B10" s="204" t="str">
        <f>IFERROR(B9/B6,"")</f>
        <v/>
      </c>
    </row>
    <row r="11" spans="1:14" ht="7.5" customHeight="1" x14ac:dyDescent="0.25"/>
    <row r="12" spans="1:14" ht="21.75" customHeight="1" x14ac:dyDescent="0.25">
      <c r="A12" s="205"/>
    </row>
    <row r="13" spans="1:14" ht="27.95" customHeight="1" x14ac:dyDescent="0.25">
      <c r="A13" s="212" t="s">
        <v>82</v>
      </c>
      <c r="B13" s="212" t="s">
        <v>315</v>
      </c>
      <c r="C13" s="212" t="s">
        <v>77</v>
      </c>
      <c r="D13" s="212" t="s">
        <v>84</v>
      </c>
      <c r="E13" s="212" t="s">
        <v>340</v>
      </c>
      <c r="F13" s="212" t="s">
        <v>8</v>
      </c>
      <c r="G13" s="212" t="s">
        <v>9</v>
      </c>
      <c r="H13" s="212" t="s">
        <v>86</v>
      </c>
      <c r="I13" s="212" t="s">
        <v>341</v>
      </c>
      <c r="J13" s="212" t="s">
        <v>342</v>
      </c>
      <c r="K13" s="212" t="s">
        <v>13</v>
      </c>
      <c r="L13" s="212" t="s">
        <v>14</v>
      </c>
      <c r="M13" s="212" t="s">
        <v>319</v>
      </c>
      <c r="N13" s="212" t="s">
        <v>15</v>
      </c>
    </row>
    <row r="14" spans="1:14" ht="18" customHeight="1" x14ac:dyDescent="0.25">
      <c r="A14" s="229" t="str">
        <f t="shared" ref="A14:A45" si="0">IF(B14="","",IF(C14="❌ Account Not Found","INVALID","LN"&amp;TEXT(D14,"YYYYMMDD")&amp;TEXT(ROW()-13,"0000")))</f>
        <v/>
      </c>
      <c r="B14" s="230"/>
      <c r="C14" s="231" t="str">
        <f>IF(B14="","",IFERROR(VLOOKUP(B14,DB_Customers!$A:$D,4,0),"❌ Account Not Found"))</f>
        <v/>
      </c>
      <c r="D14" s="232" t="str">
        <f t="shared" ref="D14:D45" ca="1" si="1">IF(B14="","",TODAY())</f>
        <v/>
      </c>
      <c r="E14" s="233"/>
      <c r="F14" s="231"/>
      <c r="G14" s="234"/>
      <c r="H14" s="235">
        <v>2.5</v>
      </c>
      <c r="I14" s="236" t="str">
        <f t="shared" ref="I14:I45" si="2">IF(E14="","",E14+(E14*H14/100*G14))</f>
        <v/>
      </c>
      <c r="J14" s="237" t="str">
        <f t="shared" ref="J14:J45" si="3">IFERROR(I14/G14,"")</f>
        <v/>
      </c>
      <c r="K14" s="238" t="str">
        <f>IF(B14="","Pending",IF(M14="","⚠️ Enter Code",IF(IFERROR(VLOOKUP(L14,DB_Agents!$B:$I,8,0),"")=M14,"Pending","🔒 BLOCKED — Wrong Code")))</f>
        <v>Pending</v>
      </c>
      <c r="L14" s="239" t="s">
        <v>142</v>
      </c>
      <c r="M14" s="240"/>
      <c r="N14" s="230"/>
    </row>
    <row r="15" spans="1:14" ht="18" customHeight="1" x14ac:dyDescent="0.25">
      <c r="A15" s="241" t="str">
        <f t="shared" si="0"/>
        <v/>
      </c>
      <c r="B15" s="242"/>
      <c r="C15" s="243" t="str">
        <f>IF(B15="","",IFERROR(VLOOKUP(B15,DB_Customers!$A:$D,4,0),"❌ Account Not Found"))</f>
        <v/>
      </c>
      <c r="D15" s="244" t="str">
        <f t="shared" ca="1" si="1"/>
        <v/>
      </c>
      <c r="E15" s="245"/>
      <c r="F15" s="243"/>
      <c r="G15" s="246"/>
      <c r="H15" s="247">
        <v>2.5</v>
      </c>
      <c r="I15" s="248" t="str">
        <f t="shared" si="2"/>
        <v/>
      </c>
      <c r="J15" s="249" t="str">
        <f t="shared" si="3"/>
        <v/>
      </c>
      <c r="K15" s="250" t="str">
        <f>IF(B15="","Pending",IF(M15="","⚠️ Enter Code",IF(IFERROR(VLOOKUP(L15,DB_Agents!$B:$I,8,0),"")=M15,"Pending","🔒 BLOCKED — Wrong Code")))</f>
        <v>Pending</v>
      </c>
      <c r="L15" s="251" t="s">
        <v>142</v>
      </c>
      <c r="M15" s="252"/>
      <c r="N15" s="242"/>
    </row>
    <row r="16" spans="1:14" ht="18" customHeight="1" x14ac:dyDescent="0.25">
      <c r="A16" s="229" t="str">
        <f t="shared" si="0"/>
        <v/>
      </c>
      <c r="B16" s="230"/>
      <c r="C16" s="231" t="str">
        <f>IF(B16="","",IFERROR(VLOOKUP(B16,DB_Customers!$A:$D,4,0),"❌ Account Not Found"))</f>
        <v/>
      </c>
      <c r="D16" s="232" t="str">
        <f t="shared" ca="1" si="1"/>
        <v/>
      </c>
      <c r="E16" s="233"/>
      <c r="F16" s="231"/>
      <c r="G16" s="234"/>
      <c r="H16" s="235">
        <v>2.5</v>
      </c>
      <c r="I16" s="236" t="str">
        <f t="shared" si="2"/>
        <v/>
      </c>
      <c r="J16" s="237" t="str">
        <f t="shared" si="3"/>
        <v/>
      </c>
      <c r="K16" s="238" t="str">
        <f>IF(B16="","Pending",IF(M16="","⚠️ Enter Code",IF(IFERROR(VLOOKUP(L16,DB_Agents!$B:$I,8,0),"")=M16,"Pending","🔒 BLOCKED — Wrong Code")))</f>
        <v>Pending</v>
      </c>
      <c r="L16" s="239" t="s">
        <v>142</v>
      </c>
      <c r="M16" s="240"/>
      <c r="N16" s="230"/>
    </row>
    <row r="17" spans="1:14" ht="18" customHeight="1" x14ac:dyDescent="0.25">
      <c r="A17" s="241" t="str">
        <f t="shared" si="0"/>
        <v/>
      </c>
      <c r="B17" s="242"/>
      <c r="C17" s="243" t="str">
        <f>IF(B17="","",IFERROR(VLOOKUP(B17,DB_Customers!$A:$D,4,0),"❌ Account Not Found"))</f>
        <v/>
      </c>
      <c r="D17" s="244" t="str">
        <f t="shared" ca="1" si="1"/>
        <v/>
      </c>
      <c r="E17" s="245"/>
      <c r="F17" s="243"/>
      <c r="G17" s="246"/>
      <c r="H17" s="247">
        <v>2.5</v>
      </c>
      <c r="I17" s="248" t="str">
        <f t="shared" si="2"/>
        <v/>
      </c>
      <c r="J17" s="249" t="str">
        <f t="shared" si="3"/>
        <v/>
      </c>
      <c r="K17" s="250" t="str">
        <f>IF(B17="","Pending",IF(M17="","⚠️ Enter Code",IF(IFERROR(VLOOKUP(L17,DB_Agents!$B:$I,8,0),"")=M17,"Pending","🔒 BLOCKED — Wrong Code")))</f>
        <v>Pending</v>
      </c>
      <c r="L17" s="251" t="s">
        <v>142</v>
      </c>
      <c r="M17" s="252"/>
      <c r="N17" s="242"/>
    </row>
    <row r="18" spans="1:14" ht="18" customHeight="1" x14ac:dyDescent="0.25">
      <c r="A18" s="229" t="str">
        <f t="shared" si="0"/>
        <v/>
      </c>
      <c r="B18" s="230"/>
      <c r="C18" s="231" t="str">
        <f>IF(B18="","",IFERROR(VLOOKUP(B18,DB_Customers!$A:$D,4,0),"❌ Account Not Found"))</f>
        <v/>
      </c>
      <c r="D18" s="232" t="str">
        <f t="shared" ca="1" si="1"/>
        <v/>
      </c>
      <c r="E18" s="233"/>
      <c r="F18" s="231"/>
      <c r="G18" s="234"/>
      <c r="H18" s="235">
        <v>2.5</v>
      </c>
      <c r="I18" s="236" t="str">
        <f t="shared" si="2"/>
        <v/>
      </c>
      <c r="J18" s="237" t="str">
        <f t="shared" si="3"/>
        <v/>
      </c>
      <c r="K18" s="238" t="str">
        <f>IF(B18="","Pending",IF(M18="","⚠️ Enter Code",IF(IFERROR(VLOOKUP(L18,DB_Agents!$B:$I,8,0),"")=M18,"Pending","🔒 BLOCKED — Wrong Code")))</f>
        <v>Pending</v>
      </c>
      <c r="L18" s="239" t="s">
        <v>142</v>
      </c>
      <c r="M18" s="240"/>
      <c r="N18" s="230"/>
    </row>
    <row r="19" spans="1:14" ht="18" customHeight="1" x14ac:dyDescent="0.25">
      <c r="A19" s="241" t="str">
        <f t="shared" si="0"/>
        <v/>
      </c>
      <c r="B19" s="242"/>
      <c r="C19" s="243" t="str">
        <f>IF(B19="","",IFERROR(VLOOKUP(B19,DB_Customers!$A:$D,4,0),"❌ Account Not Found"))</f>
        <v/>
      </c>
      <c r="D19" s="244" t="str">
        <f t="shared" ca="1" si="1"/>
        <v/>
      </c>
      <c r="E19" s="245"/>
      <c r="F19" s="243"/>
      <c r="G19" s="246"/>
      <c r="H19" s="247">
        <v>2.5</v>
      </c>
      <c r="I19" s="248" t="str">
        <f t="shared" si="2"/>
        <v/>
      </c>
      <c r="J19" s="249" t="str">
        <f t="shared" si="3"/>
        <v/>
      </c>
      <c r="K19" s="250" t="str">
        <f>IF(B19="","Pending",IF(M19="","⚠️ Enter Code",IF(IFERROR(VLOOKUP(L19,DB_Agents!$B:$I,8,0),"")=M19,"Pending","🔒 BLOCKED — Wrong Code")))</f>
        <v>Pending</v>
      </c>
      <c r="L19" s="251" t="s">
        <v>142</v>
      </c>
      <c r="M19" s="252"/>
      <c r="N19" s="242"/>
    </row>
    <row r="20" spans="1:14" ht="18" customHeight="1" x14ac:dyDescent="0.25">
      <c r="A20" s="229" t="str">
        <f t="shared" si="0"/>
        <v/>
      </c>
      <c r="B20" s="230"/>
      <c r="C20" s="231" t="str">
        <f>IF(B20="","",IFERROR(VLOOKUP(B20,DB_Customers!$A:$D,4,0),"❌ Account Not Found"))</f>
        <v/>
      </c>
      <c r="D20" s="232" t="str">
        <f t="shared" ca="1" si="1"/>
        <v/>
      </c>
      <c r="E20" s="233"/>
      <c r="F20" s="231"/>
      <c r="G20" s="234"/>
      <c r="H20" s="235">
        <v>2.5</v>
      </c>
      <c r="I20" s="236" t="str">
        <f t="shared" si="2"/>
        <v/>
      </c>
      <c r="J20" s="237" t="str">
        <f t="shared" si="3"/>
        <v/>
      </c>
      <c r="K20" s="238" t="str">
        <f>IF(B20="","Pending",IF(M20="","⚠️ Enter Code",IF(IFERROR(VLOOKUP(L20,DB_Agents!$B:$I,8,0),"")=M20,"Pending","🔒 BLOCKED — Wrong Code")))</f>
        <v>Pending</v>
      </c>
      <c r="L20" s="239" t="s">
        <v>142</v>
      </c>
      <c r="M20" s="240"/>
      <c r="N20" s="230"/>
    </row>
    <row r="21" spans="1:14" ht="18" customHeight="1" x14ac:dyDescent="0.25">
      <c r="A21" s="241" t="str">
        <f t="shared" si="0"/>
        <v/>
      </c>
      <c r="B21" s="242"/>
      <c r="C21" s="243" t="str">
        <f>IF(B21="","",IFERROR(VLOOKUP(B21,DB_Customers!$A:$D,4,0),"❌ Account Not Found"))</f>
        <v/>
      </c>
      <c r="D21" s="244" t="str">
        <f t="shared" ca="1" si="1"/>
        <v/>
      </c>
      <c r="E21" s="245"/>
      <c r="F21" s="243"/>
      <c r="G21" s="246"/>
      <c r="H21" s="247">
        <v>2.5</v>
      </c>
      <c r="I21" s="248" t="str">
        <f t="shared" si="2"/>
        <v/>
      </c>
      <c r="J21" s="249" t="str">
        <f t="shared" si="3"/>
        <v/>
      </c>
      <c r="K21" s="250" t="str">
        <f>IF(B21="","Pending",IF(M21="","⚠️ Enter Code",IF(IFERROR(VLOOKUP(L21,DB_Agents!$B:$I,8,0),"")=M21,"Pending","🔒 BLOCKED — Wrong Code")))</f>
        <v>Pending</v>
      </c>
      <c r="L21" s="251" t="s">
        <v>142</v>
      </c>
      <c r="M21" s="252"/>
      <c r="N21" s="242"/>
    </row>
    <row r="22" spans="1:14" ht="18" customHeight="1" x14ac:dyDescent="0.25">
      <c r="A22" s="229" t="str">
        <f t="shared" si="0"/>
        <v/>
      </c>
      <c r="B22" s="230"/>
      <c r="C22" s="231" t="str">
        <f>IF(B22="","",IFERROR(VLOOKUP(B22,DB_Customers!$A:$D,4,0),"❌ Account Not Found"))</f>
        <v/>
      </c>
      <c r="D22" s="232" t="str">
        <f t="shared" ca="1" si="1"/>
        <v/>
      </c>
      <c r="E22" s="233"/>
      <c r="F22" s="231"/>
      <c r="G22" s="234"/>
      <c r="H22" s="235">
        <v>2.5</v>
      </c>
      <c r="I22" s="236" t="str">
        <f t="shared" si="2"/>
        <v/>
      </c>
      <c r="J22" s="237" t="str">
        <f t="shared" si="3"/>
        <v/>
      </c>
      <c r="K22" s="238" t="str">
        <f>IF(B22="","Pending",IF(M22="","⚠️ Enter Code",IF(IFERROR(VLOOKUP(L22,DB_Agents!$B:$I,8,0),"")=M22,"Pending","🔒 BLOCKED — Wrong Code")))</f>
        <v>Pending</v>
      </c>
      <c r="L22" s="239" t="s">
        <v>142</v>
      </c>
      <c r="M22" s="240"/>
      <c r="N22" s="230"/>
    </row>
    <row r="23" spans="1:14" ht="18" customHeight="1" x14ac:dyDescent="0.25">
      <c r="A23" s="241" t="str">
        <f t="shared" si="0"/>
        <v/>
      </c>
      <c r="B23" s="242"/>
      <c r="C23" s="243" t="str">
        <f>IF(B23="","",IFERROR(VLOOKUP(B23,DB_Customers!$A:$D,4,0),"❌ Account Not Found"))</f>
        <v/>
      </c>
      <c r="D23" s="244" t="str">
        <f t="shared" ca="1" si="1"/>
        <v/>
      </c>
      <c r="E23" s="245"/>
      <c r="F23" s="243"/>
      <c r="G23" s="246"/>
      <c r="H23" s="247">
        <v>2.5</v>
      </c>
      <c r="I23" s="248" t="str">
        <f t="shared" si="2"/>
        <v/>
      </c>
      <c r="J23" s="249" t="str">
        <f t="shared" si="3"/>
        <v/>
      </c>
      <c r="K23" s="250" t="str">
        <f>IF(B23="","Pending",IF(M23="","⚠️ Enter Code",IF(IFERROR(VLOOKUP(L23,DB_Agents!$B:$I,8,0),"")=M23,"Pending","🔒 BLOCKED — Wrong Code")))</f>
        <v>Pending</v>
      </c>
      <c r="L23" s="251" t="s">
        <v>142</v>
      </c>
      <c r="M23" s="252"/>
      <c r="N23" s="242"/>
    </row>
    <row r="24" spans="1:14" ht="18" customHeight="1" x14ac:dyDescent="0.25">
      <c r="A24" s="229" t="str">
        <f t="shared" si="0"/>
        <v/>
      </c>
      <c r="B24" s="230"/>
      <c r="C24" s="231" t="str">
        <f>IF(B24="","",IFERROR(VLOOKUP(B24,DB_Customers!$A:$D,4,0),"❌ Account Not Found"))</f>
        <v/>
      </c>
      <c r="D24" s="232" t="str">
        <f t="shared" ca="1" si="1"/>
        <v/>
      </c>
      <c r="E24" s="233"/>
      <c r="F24" s="231"/>
      <c r="G24" s="234"/>
      <c r="H24" s="235">
        <v>2.5</v>
      </c>
      <c r="I24" s="236" t="str">
        <f t="shared" si="2"/>
        <v/>
      </c>
      <c r="J24" s="237" t="str">
        <f t="shared" si="3"/>
        <v/>
      </c>
      <c r="K24" s="238" t="str">
        <f>IF(B24="","Pending",IF(M24="","⚠️ Enter Code",IF(IFERROR(VLOOKUP(L24,DB_Agents!$B:$I,8,0),"")=M24,"Pending","🔒 BLOCKED — Wrong Code")))</f>
        <v>Pending</v>
      </c>
      <c r="L24" s="239" t="s">
        <v>142</v>
      </c>
      <c r="M24" s="240"/>
      <c r="N24" s="230"/>
    </row>
    <row r="25" spans="1:14" ht="18" customHeight="1" x14ac:dyDescent="0.25">
      <c r="A25" s="241" t="str">
        <f t="shared" si="0"/>
        <v/>
      </c>
      <c r="B25" s="242"/>
      <c r="C25" s="243" t="str">
        <f>IF(B25="","",IFERROR(VLOOKUP(B25,DB_Customers!$A:$D,4,0),"❌ Account Not Found"))</f>
        <v/>
      </c>
      <c r="D25" s="244" t="str">
        <f t="shared" ca="1" si="1"/>
        <v/>
      </c>
      <c r="E25" s="245"/>
      <c r="F25" s="243"/>
      <c r="G25" s="246"/>
      <c r="H25" s="247">
        <v>2.5</v>
      </c>
      <c r="I25" s="248" t="str">
        <f t="shared" si="2"/>
        <v/>
      </c>
      <c r="J25" s="249" t="str">
        <f t="shared" si="3"/>
        <v/>
      </c>
      <c r="K25" s="250" t="str">
        <f>IF(B25="","Pending",IF(M25="","⚠️ Enter Code",IF(IFERROR(VLOOKUP(L25,DB_Agents!$B:$I,8,0),"")=M25,"Pending","🔒 BLOCKED — Wrong Code")))</f>
        <v>Pending</v>
      </c>
      <c r="L25" s="251" t="s">
        <v>142</v>
      </c>
      <c r="M25" s="252"/>
      <c r="N25" s="242"/>
    </row>
    <row r="26" spans="1:14" ht="18" customHeight="1" x14ac:dyDescent="0.25">
      <c r="A26" s="229" t="str">
        <f t="shared" si="0"/>
        <v/>
      </c>
      <c r="B26" s="230"/>
      <c r="C26" s="231" t="str">
        <f>IF(B26="","",IFERROR(VLOOKUP(B26,DB_Customers!$A:$D,4,0),"❌ Account Not Found"))</f>
        <v/>
      </c>
      <c r="D26" s="232" t="str">
        <f t="shared" ca="1" si="1"/>
        <v/>
      </c>
      <c r="E26" s="233"/>
      <c r="F26" s="231"/>
      <c r="G26" s="234"/>
      <c r="H26" s="235">
        <v>2.5</v>
      </c>
      <c r="I26" s="236" t="str">
        <f t="shared" si="2"/>
        <v/>
      </c>
      <c r="J26" s="237" t="str">
        <f t="shared" si="3"/>
        <v/>
      </c>
      <c r="K26" s="238" t="str">
        <f>IF(B26="","Pending",IF(M26="","⚠️ Enter Code",IF(IFERROR(VLOOKUP(L26,DB_Agents!$B:$I,8,0),"")=M26,"Pending","🔒 BLOCKED — Wrong Code")))</f>
        <v>Pending</v>
      </c>
      <c r="L26" s="239" t="s">
        <v>142</v>
      </c>
      <c r="M26" s="240"/>
      <c r="N26" s="230"/>
    </row>
    <row r="27" spans="1:14" ht="18" customHeight="1" x14ac:dyDescent="0.25">
      <c r="A27" s="241" t="str">
        <f t="shared" si="0"/>
        <v/>
      </c>
      <c r="B27" s="242"/>
      <c r="C27" s="243" t="str">
        <f>IF(B27="","",IFERROR(VLOOKUP(B27,DB_Customers!$A:$D,4,0),"❌ Account Not Found"))</f>
        <v/>
      </c>
      <c r="D27" s="244" t="str">
        <f t="shared" ca="1" si="1"/>
        <v/>
      </c>
      <c r="E27" s="245"/>
      <c r="F27" s="243"/>
      <c r="G27" s="246"/>
      <c r="H27" s="247">
        <v>2.5</v>
      </c>
      <c r="I27" s="248" t="str">
        <f t="shared" si="2"/>
        <v/>
      </c>
      <c r="J27" s="249" t="str">
        <f t="shared" si="3"/>
        <v/>
      </c>
      <c r="K27" s="250" t="str">
        <f>IF(B27="","Pending",IF(M27="","⚠️ Enter Code",IF(IFERROR(VLOOKUP(L27,DB_Agents!$B:$I,8,0),"")=M27,"Pending","🔒 BLOCKED — Wrong Code")))</f>
        <v>Pending</v>
      </c>
      <c r="L27" s="251" t="s">
        <v>142</v>
      </c>
      <c r="M27" s="252"/>
      <c r="N27" s="242"/>
    </row>
    <row r="28" spans="1:14" ht="18" customHeight="1" x14ac:dyDescent="0.25">
      <c r="A28" s="229" t="str">
        <f t="shared" si="0"/>
        <v/>
      </c>
      <c r="B28" s="230"/>
      <c r="C28" s="231" t="str">
        <f>IF(B28="","",IFERROR(VLOOKUP(B28,DB_Customers!$A:$D,4,0),"❌ Account Not Found"))</f>
        <v/>
      </c>
      <c r="D28" s="232" t="str">
        <f t="shared" ca="1" si="1"/>
        <v/>
      </c>
      <c r="E28" s="233"/>
      <c r="F28" s="231"/>
      <c r="G28" s="234"/>
      <c r="H28" s="235">
        <v>2.5</v>
      </c>
      <c r="I28" s="236" t="str">
        <f t="shared" si="2"/>
        <v/>
      </c>
      <c r="J28" s="237" t="str">
        <f t="shared" si="3"/>
        <v/>
      </c>
      <c r="K28" s="238" t="str">
        <f>IF(B28="","Pending",IF(M28="","⚠️ Enter Code",IF(IFERROR(VLOOKUP(L28,DB_Agents!$B:$I,8,0),"")=M28,"Pending","🔒 BLOCKED — Wrong Code")))</f>
        <v>Pending</v>
      </c>
      <c r="L28" s="239" t="s">
        <v>142</v>
      </c>
      <c r="M28" s="240"/>
      <c r="N28" s="230"/>
    </row>
    <row r="29" spans="1:14" ht="18" customHeight="1" x14ac:dyDescent="0.25">
      <c r="A29" s="241" t="str">
        <f t="shared" si="0"/>
        <v/>
      </c>
      <c r="B29" s="242"/>
      <c r="C29" s="243" t="str">
        <f>IF(B29="","",IFERROR(VLOOKUP(B29,DB_Customers!$A:$D,4,0),"❌ Account Not Found"))</f>
        <v/>
      </c>
      <c r="D29" s="244" t="str">
        <f t="shared" ca="1" si="1"/>
        <v/>
      </c>
      <c r="E29" s="245"/>
      <c r="F29" s="243"/>
      <c r="G29" s="246"/>
      <c r="H29" s="247">
        <v>2.5</v>
      </c>
      <c r="I29" s="248" t="str">
        <f t="shared" si="2"/>
        <v/>
      </c>
      <c r="J29" s="249" t="str">
        <f t="shared" si="3"/>
        <v/>
      </c>
      <c r="K29" s="250" t="str">
        <f>IF(B29="","Pending",IF(M29="","⚠️ Enter Code",IF(IFERROR(VLOOKUP(L29,DB_Agents!$B:$I,8,0),"")=M29,"Pending","🔒 BLOCKED — Wrong Code")))</f>
        <v>Pending</v>
      </c>
      <c r="L29" s="251" t="s">
        <v>142</v>
      </c>
      <c r="M29" s="252"/>
      <c r="N29" s="242"/>
    </row>
    <row r="30" spans="1:14" ht="18" customHeight="1" x14ac:dyDescent="0.25">
      <c r="A30" s="229" t="str">
        <f t="shared" si="0"/>
        <v/>
      </c>
      <c r="B30" s="230"/>
      <c r="C30" s="231" t="str">
        <f>IF(B30="","",IFERROR(VLOOKUP(B30,DB_Customers!$A:$D,4,0),"❌ Account Not Found"))</f>
        <v/>
      </c>
      <c r="D30" s="232" t="str">
        <f t="shared" ca="1" si="1"/>
        <v/>
      </c>
      <c r="E30" s="233"/>
      <c r="F30" s="231"/>
      <c r="G30" s="234"/>
      <c r="H30" s="235">
        <v>2.5</v>
      </c>
      <c r="I30" s="236" t="str">
        <f t="shared" si="2"/>
        <v/>
      </c>
      <c r="J30" s="237" t="str">
        <f t="shared" si="3"/>
        <v/>
      </c>
      <c r="K30" s="238" t="str">
        <f>IF(B30="","Pending",IF(M30="","⚠️ Enter Code",IF(IFERROR(VLOOKUP(L30,DB_Agents!$B:$I,8,0),"")=M30,"Pending","🔒 BLOCKED — Wrong Code")))</f>
        <v>Pending</v>
      </c>
      <c r="L30" s="239" t="s">
        <v>142</v>
      </c>
      <c r="M30" s="240"/>
      <c r="N30" s="230"/>
    </row>
    <row r="31" spans="1:14" ht="18" customHeight="1" x14ac:dyDescent="0.25">
      <c r="A31" s="241" t="str">
        <f t="shared" si="0"/>
        <v/>
      </c>
      <c r="B31" s="242"/>
      <c r="C31" s="243" t="str">
        <f>IF(B31="","",IFERROR(VLOOKUP(B31,DB_Customers!$A:$D,4,0),"❌ Account Not Found"))</f>
        <v/>
      </c>
      <c r="D31" s="244" t="str">
        <f t="shared" ca="1" si="1"/>
        <v/>
      </c>
      <c r="E31" s="245"/>
      <c r="F31" s="243"/>
      <c r="G31" s="246"/>
      <c r="H31" s="247">
        <v>2.5</v>
      </c>
      <c r="I31" s="248" t="str">
        <f t="shared" si="2"/>
        <v/>
      </c>
      <c r="J31" s="249" t="str">
        <f t="shared" si="3"/>
        <v/>
      </c>
      <c r="K31" s="250" t="str">
        <f>IF(B31="","Pending",IF(M31="","⚠️ Enter Code",IF(IFERROR(VLOOKUP(L31,DB_Agents!$B:$I,8,0),"")=M31,"Pending","🔒 BLOCKED — Wrong Code")))</f>
        <v>Pending</v>
      </c>
      <c r="L31" s="251" t="s">
        <v>142</v>
      </c>
      <c r="M31" s="252"/>
      <c r="N31" s="242"/>
    </row>
    <row r="32" spans="1:14" ht="18" customHeight="1" x14ac:dyDescent="0.25">
      <c r="A32" s="229" t="str">
        <f t="shared" si="0"/>
        <v/>
      </c>
      <c r="B32" s="230"/>
      <c r="C32" s="231" t="str">
        <f>IF(B32="","",IFERROR(VLOOKUP(B32,DB_Customers!$A:$D,4,0),"❌ Account Not Found"))</f>
        <v/>
      </c>
      <c r="D32" s="232" t="str">
        <f t="shared" ca="1" si="1"/>
        <v/>
      </c>
      <c r="E32" s="233"/>
      <c r="F32" s="231"/>
      <c r="G32" s="234"/>
      <c r="H32" s="235">
        <v>2.5</v>
      </c>
      <c r="I32" s="236" t="str">
        <f t="shared" si="2"/>
        <v/>
      </c>
      <c r="J32" s="237" t="str">
        <f t="shared" si="3"/>
        <v/>
      </c>
      <c r="K32" s="238" t="str">
        <f>IF(B32="","Pending",IF(M32="","⚠️ Enter Code",IF(IFERROR(VLOOKUP(L32,DB_Agents!$B:$I,8,0),"")=M32,"Pending","🔒 BLOCKED — Wrong Code")))</f>
        <v>Pending</v>
      </c>
      <c r="L32" s="239" t="s">
        <v>142</v>
      </c>
      <c r="M32" s="240"/>
      <c r="N32" s="230"/>
    </row>
    <row r="33" spans="1:14" ht="18" customHeight="1" x14ac:dyDescent="0.25">
      <c r="A33" s="241" t="str">
        <f t="shared" si="0"/>
        <v/>
      </c>
      <c r="B33" s="242"/>
      <c r="C33" s="243" t="str">
        <f>IF(B33="","",IFERROR(VLOOKUP(B33,DB_Customers!$A:$D,4,0),"❌ Account Not Found"))</f>
        <v/>
      </c>
      <c r="D33" s="244" t="str">
        <f t="shared" ca="1" si="1"/>
        <v/>
      </c>
      <c r="E33" s="245"/>
      <c r="F33" s="243"/>
      <c r="G33" s="246"/>
      <c r="H33" s="247">
        <v>2.5</v>
      </c>
      <c r="I33" s="248" t="str">
        <f t="shared" si="2"/>
        <v/>
      </c>
      <c r="J33" s="249" t="str">
        <f t="shared" si="3"/>
        <v/>
      </c>
      <c r="K33" s="250" t="str">
        <f>IF(B33="","Pending",IF(M33="","⚠️ Enter Code",IF(IFERROR(VLOOKUP(L33,DB_Agents!$B:$I,8,0),"")=M33,"Pending","🔒 BLOCKED — Wrong Code")))</f>
        <v>Pending</v>
      </c>
      <c r="L33" s="251" t="s">
        <v>142</v>
      </c>
      <c r="M33" s="252"/>
      <c r="N33" s="242"/>
    </row>
    <row r="34" spans="1:14" ht="18" customHeight="1" x14ac:dyDescent="0.25">
      <c r="A34" s="229" t="str">
        <f t="shared" si="0"/>
        <v/>
      </c>
      <c r="B34" s="230"/>
      <c r="C34" s="231" t="str">
        <f>IF(B34="","",IFERROR(VLOOKUP(B34,DB_Customers!$A:$D,4,0),"❌ Account Not Found"))</f>
        <v/>
      </c>
      <c r="D34" s="232" t="str">
        <f t="shared" ca="1" si="1"/>
        <v/>
      </c>
      <c r="E34" s="233"/>
      <c r="F34" s="231"/>
      <c r="G34" s="234"/>
      <c r="H34" s="235">
        <v>2.5</v>
      </c>
      <c r="I34" s="236" t="str">
        <f t="shared" si="2"/>
        <v/>
      </c>
      <c r="J34" s="237" t="str">
        <f t="shared" si="3"/>
        <v/>
      </c>
      <c r="K34" s="238" t="str">
        <f>IF(B34="","Pending",IF(M34="","⚠️ Enter Code",IF(IFERROR(VLOOKUP(L34,DB_Agents!$B:$I,8,0),"")=M34,"Pending","🔒 BLOCKED — Wrong Code")))</f>
        <v>Pending</v>
      </c>
      <c r="L34" s="239" t="s">
        <v>142</v>
      </c>
      <c r="M34" s="240"/>
      <c r="N34" s="230"/>
    </row>
    <row r="35" spans="1:14" ht="18" customHeight="1" x14ac:dyDescent="0.25">
      <c r="A35" s="241" t="str">
        <f t="shared" si="0"/>
        <v/>
      </c>
      <c r="B35" s="242"/>
      <c r="C35" s="243" t="str">
        <f>IF(B35="","",IFERROR(VLOOKUP(B35,DB_Customers!$A:$D,4,0),"❌ Account Not Found"))</f>
        <v/>
      </c>
      <c r="D35" s="244" t="str">
        <f t="shared" ca="1" si="1"/>
        <v/>
      </c>
      <c r="E35" s="245"/>
      <c r="F35" s="243"/>
      <c r="G35" s="246"/>
      <c r="H35" s="247">
        <v>2.5</v>
      </c>
      <c r="I35" s="248" t="str">
        <f t="shared" si="2"/>
        <v/>
      </c>
      <c r="J35" s="249" t="str">
        <f t="shared" si="3"/>
        <v/>
      </c>
      <c r="K35" s="250" t="str">
        <f>IF(B35="","Pending",IF(M35="","⚠️ Enter Code",IF(IFERROR(VLOOKUP(L35,DB_Agents!$B:$I,8,0),"")=M35,"Pending","🔒 BLOCKED — Wrong Code")))</f>
        <v>Pending</v>
      </c>
      <c r="L35" s="251" t="s">
        <v>142</v>
      </c>
      <c r="M35" s="252"/>
      <c r="N35" s="242"/>
    </row>
    <row r="36" spans="1:14" ht="18" customHeight="1" x14ac:dyDescent="0.25">
      <c r="A36" s="229" t="str">
        <f t="shared" si="0"/>
        <v/>
      </c>
      <c r="B36" s="230"/>
      <c r="C36" s="231" t="str">
        <f>IF(B36="","",IFERROR(VLOOKUP(B36,DB_Customers!$A:$D,4,0),"❌ Account Not Found"))</f>
        <v/>
      </c>
      <c r="D36" s="232" t="str">
        <f t="shared" ca="1" si="1"/>
        <v/>
      </c>
      <c r="E36" s="233"/>
      <c r="F36" s="231"/>
      <c r="G36" s="234"/>
      <c r="H36" s="235">
        <v>2.5</v>
      </c>
      <c r="I36" s="236" t="str">
        <f t="shared" si="2"/>
        <v/>
      </c>
      <c r="J36" s="237" t="str">
        <f t="shared" si="3"/>
        <v/>
      </c>
      <c r="K36" s="238" t="str">
        <f>IF(B36="","Pending",IF(M36="","⚠️ Enter Code",IF(IFERROR(VLOOKUP(L36,DB_Agents!$B:$I,8,0),"")=M36,"Pending","🔒 BLOCKED — Wrong Code")))</f>
        <v>Pending</v>
      </c>
      <c r="L36" s="239" t="s">
        <v>142</v>
      </c>
      <c r="M36" s="240"/>
      <c r="N36" s="230"/>
    </row>
    <row r="37" spans="1:14" ht="18" customHeight="1" x14ac:dyDescent="0.25">
      <c r="A37" s="241" t="str">
        <f t="shared" si="0"/>
        <v/>
      </c>
      <c r="B37" s="242"/>
      <c r="C37" s="243" t="str">
        <f>IF(B37="","",IFERROR(VLOOKUP(B37,DB_Customers!$A:$D,4,0),"❌ Account Not Found"))</f>
        <v/>
      </c>
      <c r="D37" s="244" t="str">
        <f t="shared" ca="1" si="1"/>
        <v/>
      </c>
      <c r="E37" s="245"/>
      <c r="F37" s="243"/>
      <c r="G37" s="246"/>
      <c r="H37" s="247">
        <v>2.5</v>
      </c>
      <c r="I37" s="248" t="str">
        <f t="shared" si="2"/>
        <v/>
      </c>
      <c r="J37" s="249" t="str">
        <f t="shared" si="3"/>
        <v/>
      </c>
      <c r="K37" s="250" t="str">
        <f>IF(B37="","Pending",IF(M37="","⚠️ Enter Code",IF(IFERROR(VLOOKUP(L37,DB_Agents!$B:$I,8,0),"")=M37,"Pending","🔒 BLOCKED — Wrong Code")))</f>
        <v>Pending</v>
      </c>
      <c r="L37" s="251" t="s">
        <v>142</v>
      </c>
      <c r="M37" s="252"/>
      <c r="N37" s="242"/>
    </row>
    <row r="38" spans="1:14" ht="18" customHeight="1" x14ac:dyDescent="0.25">
      <c r="A38" s="229" t="str">
        <f t="shared" si="0"/>
        <v/>
      </c>
      <c r="B38" s="230"/>
      <c r="C38" s="231" t="str">
        <f>IF(B38="","",IFERROR(VLOOKUP(B38,DB_Customers!$A:$D,4,0),"❌ Account Not Found"))</f>
        <v/>
      </c>
      <c r="D38" s="232" t="str">
        <f t="shared" ca="1" si="1"/>
        <v/>
      </c>
      <c r="E38" s="233"/>
      <c r="F38" s="231"/>
      <c r="G38" s="234"/>
      <c r="H38" s="235">
        <v>2.5</v>
      </c>
      <c r="I38" s="236" t="str">
        <f t="shared" si="2"/>
        <v/>
      </c>
      <c r="J38" s="237" t="str">
        <f t="shared" si="3"/>
        <v/>
      </c>
      <c r="K38" s="238" t="str">
        <f>IF(B38="","Pending",IF(M38="","⚠️ Enter Code",IF(IFERROR(VLOOKUP(L38,DB_Agents!$B:$I,8,0),"")=M38,"Pending","🔒 BLOCKED — Wrong Code")))</f>
        <v>Pending</v>
      </c>
      <c r="L38" s="239" t="s">
        <v>142</v>
      </c>
      <c r="M38" s="240"/>
      <c r="N38" s="230"/>
    </row>
    <row r="39" spans="1:14" ht="18" customHeight="1" x14ac:dyDescent="0.25">
      <c r="A39" s="241" t="str">
        <f t="shared" si="0"/>
        <v/>
      </c>
      <c r="B39" s="242"/>
      <c r="C39" s="243" t="str">
        <f>IF(B39="","",IFERROR(VLOOKUP(B39,DB_Customers!$A:$D,4,0),"❌ Account Not Found"))</f>
        <v/>
      </c>
      <c r="D39" s="244" t="str">
        <f t="shared" ca="1" si="1"/>
        <v/>
      </c>
      <c r="E39" s="245"/>
      <c r="F39" s="243"/>
      <c r="G39" s="246"/>
      <c r="H39" s="247">
        <v>2.5</v>
      </c>
      <c r="I39" s="248" t="str">
        <f t="shared" si="2"/>
        <v/>
      </c>
      <c r="J39" s="249" t="str">
        <f t="shared" si="3"/>
        <v/>
      </c>
      <c r="K39" s="250" t="str">
        <f>IF(B39="","Pending",IF(M39="","⚠️ Enter Code",IF(IFERROR(VLOOKUP(L39,DB_Agents!$B:$I,8,0),"")=M39,"Pending","🔒 BLOCKED — Wrong Code")))</f>
        <v>Pending</v>
      </c>
      <c r="L39" s="251" t="s">
        <v>142</v>
      </c>
      <c r="M39" s="252"/>
      <c r="N39" s="242"/>
    </row>
    <row r="40" spans="1:14" ht="18" customHeight="1" x14ac:dyDescent="0.25">
      <c r="A40" s="229" t="str">
        <f t="shared" si="0"/>
        <v/>
      </c>
      <c r="B40" s="230"/>
      <c r="C40" s="231" t="str">
        <f>IF(B40="","",IFERROR(VLOOKUP(B40,DB_Customers!$A:$D,4,0),"❌ Account Not Found"))</f>
        <v/>
      </c>
      <c r="D40" s="232" t="str">
        <f t="shared" ca="1" si="1"/>
        <v/>
      </c>
      <c r="E40" s="233"/>
      <c r="F40" s="231"/>
      <c r="G40" s="234"/>
      <c r="H40" s="235">
        <v>2.5</v>
      </c>
      <c r="I40" s="236" t="str">
        <f t="shared" si="2"/>
        <v/>
      </c>
      <c r="J40" s="237" t="str">
        <f t="shared" si="3"/>
        <v/>
      </c>
      <c r="K40" s="238" t="str">
        <f>IF(B40="","Pending",IF(M40="","⚠️ Enter Code",IF(IFERROR(VLOOKUP(L40,DB_Agents!$B:$I,8,0),"")=M40,"Pending","🔒 BLOCKED — Wrong Code")))</f>
        <v>Pending</v>
      </c>
      <c r="L40" s="239" t="s">
        <v>142</v>
      </c>
      <c r="M40" s="240"/>
      <c r="N40" s="230"/>
    </row>
    <row r="41" spans="1:14" ht="18" customHeight="1" x14ac:dyDescent="0.25">
      <c r="A41" s="241" t="str">
        <f t="shared" si="0"/>
        <v/>
      </c>
      <c r="B41" s="242"/>
      <c r="C41" s="243" t="str">
        <f>IF(B41="","",IFERROR(VLOOKUP(B41,DB_Customers!$A:$D,4,0),"❌ Account Not Found"))</f>
        <v/>
      </c>
      <c r="D41" s="244" t="str">
        <f t="shared" ca="1" si="1"/>
        <v/>
      </c>
      <c r="E41" s="245"/>
      <c r="F41" s="243"/>
      <c r="G41" s="246"/>
      <c r="H41" s="247">
        <v>2.5</v>
      </c>
      <c r="I41" s="248" t="str">
        <f t="shared" si="2"/>
        <v/>
      </c>
      <c r="J41" s="249" t="str">
        <f t="shared" si="3"/>
        <v/>
      </c>
      <c r="K41" s="250" t="str">
        <f>IF(B41="","Pending",IF(M41="","⚠️ Enter Code",IF(IFERROR(VLOOKUP(L41,DB_Agents!$B:$I,8,0),"")=M41,"Pending","🔒 BLOCKED — Wrong Code")))</f>
        <v>Pending</v>
      </c>
      <c r="L41" s="251" t="s">
        <v>142</v>
      </c>
      <c r="M41" s="252"/>
      <c r="N41" s="242"/>
    </row>
    <row r="42" spans="1:14" ht="18" customHeight="1" x14ac:dyDescent="0.25">
      <c r="A42" s="229" t="str">
        <f t="shared" si="0"/>
        <v/>
      </c>
      <c r="B42" s="230"/>
      <c r="C42" s="231" t="str">
        <f>IF(B42="","",IFERROR(VLOOKUP(B42,DB_Customers!$A:$D,4,0),"❌ Account Not Found"))</f>
        <v/>
      </c>
      <c r="D42" s="232" t="str">
        <f t="shared" ca="1" si="1"/>
        <v/>
      </c>
      <c r="E42" s="233"/>
      <c r="F42" s="231"/>
      <c r="G42" s="234"/>
      <c r="H42" s="235">
        <v>2.5</v>
      </c>
      <c r="I42" s="236" t="str">
        <f t="shared" si="2"/>
        <v/>
      </c>
      <c r="J42" s="237" t="str">
        <f t="shared" si="3"/>
        <v/>
      </c>
      <c r="K42" s="238" t="str">
        <f>IF(B42="","Pending",IF(M42="","⚠️ Enter Code",IF(IFERROR(VLOOKUP(L42,DB_Agents!$B:$I,8,0),"")=M42,"Pending","🔒 BLOCKED — Wrong Code")))</f>
        <v>Pending</v>
      </c>
      <c r="L42" s="239" t="s">
        <v>142</v>
      </c>
      <c r="M42" s="240"/>
      <c r="N42" s="230"/>
    </row>
    <row r="43" spans="1:14" ht="18" customHeight="1" x14ac:dyDescent="0.25">
      <c r="A43" s="241" t="str">
        <f t="shared" si="0"/>
        <v/>
      </c>
      <c r="B43" s="242"/>
      <c r="C43" s="243" t="str">
        <f>IF(B43="","",IFERROR(VLOOKUP(B43,DB_Customers!$A:$D,4,0),"❌ Account Not Found"))</f>
        <v/>
      </c>
      <c r="D43" s="244" t="str">
        <f t="shared" ca="1" si="1"/>
        <v/>
      </c>
      <c r="E43" s="245"/>
      <c r="F43" s="243"/>
      <c r="G43" s="246"/>
      <c r="H43" s="247">
        <v>2.5</v>
      </c>
      <c r="I43" s="248" t="str">
        <f t="shared" si="2"/>
        <v/>
      </c>
      <c r="J43" s="249" t="str">
        <f t="shared" si="3"/>
        <v/>
      </c>
      <c r="K43" s="250" t="str">
        <f>IF(B43="","Pending",IF(M43="","⚠️ Enter Code",IF(IFERROR(VLOOKUP(L43,DB_Agents!$B:$I,8,0),"")=M43,"Pending","🔒 BLOCKED — Wrong Code")))</f>
        <v>Pending</v>
      </c>
      <c r="L43" s="251" t="s">
        <v>142</v>
      </c>
      <c r="M43" s="252"/>
      <c r="N43" s="242"/>
    </row>
    <row r="44" spans="1:14" ht="18" customHeight="1" x14ac:dyDescent="0.25">
      <c r="A44" s="229" t="str">
        <f t="shared" si="0"/>
        <v/>
      </c>
      <c r="B44" s="230"/>
      <c r="C44" s="231" t="str">
        <f>IF(B44="","",IFERROR(VLOOKUP(B44,DB_Customers!$A:$D,4,0),"❌ Account Not Found"))</f>
        <v/>
      </c>
      <c r="D44" s="232" t="str">
        <f t="shared" ca="1" si="1"/>
        <v/>
      </c>
      <c r="E44" s="233"/>
      <c r="F44" s="231"/>
      <c r="G44" s="234"/>
      <c r="H44" s="235">
        <v>2.5</v>
      </c>
      <c r="I44" s="236" t="str">
        <f t="shared" si="2"/>
        <v/>
      </c>
      <c r="J44" s="237" t="str">
        <f t="shared" si="3"/>
        <v/>
      </c>
      <c r="K44" s="238" t="str">
        <f>IF(B44="","Pending",IF(M44="","⚠️ Enter Code",IF(IFERROR(VLOOKUP(L44,DB_Agents!$B:$I,8,0),"")=M44,"Pending","🔒 BLOCKED — Wrong Code")))</f>
        <v>Pending</v>
      </c>
      <c r="L44" s="239" t="s">
        <v>142</v>
      </c>
      <c r="M44" s="240"/>
      <c r="N44" s="230"/>
    </row>
    <row r="45" spans="1:14" ht="18" customHeight="1" x14ac:dyDescent="0.25">
      <c r="A45" s="241" t="str">
        <f t="shared" si="0"/>
        <v/>
      </c>
      <c r="B45" s="242"/>
      <c r="C45" s="243" t="str">
        <f>IF(B45="","",IFERROR(VLOOKUP(B45,DB_Customers!$A:$D,4,0),"❌ Account Not Found"))</f>
        <v/>
      </c>
      <c r="D45" s="244" t="str">
        <f t="shared" ca="1" si="1"/>
        <v/>
      </c>
      <c r="E45" s="245"/>
      <c r="F45" s="243"/>
      <c r="G45" s="246"/>
      <c r="H45" s="247">
        <v>2.5</v>
      </c>
      <c r="I45" s="248" t="str">
        <f t="shared" si="2"/>
        <v/>
      </c>
      <c r="J45" s="249" t="str">
        <f t="shared" si="3"/>
        <v/>
      </c>
      <c r="K45" s="250" t="str">
        <f>IF(B45="","Pending",IF(M45="","⚠️ Enter Code",IF(IFERROR(VLOOKUP(L45,DB_Agents!$B:$I,8,0),"")=M45,"Pending","🔒 BLOCKED — Wrong Code")))</f>
        <v>Pending</v>
      </c>
      <c r="L45" s="251" t="s">
        <v>142</v>
      </c>
      <c r="M45" s="252"/>
      <c r="N45" s="242"/>
    </row>
    <row r="46" spans="1:14" ht="18" customHeight="1" x14ac:dyDescent="0.25">
      <c r="A46" s="229" t="str">
        <f t="shared" ref="A46:A77" si="4">IF(B46="","",IF(C46="❌ Account Not Found","INVALID","LN"&amp;TEXT(D46,"YYYYMMDD")&amp;TEXT(ROW()-13,"0000")))</f>
        <v/>
      </c>
      <c r="B46" s="230"/>
      <c r="C46" s="231" t="str">
        <f>IF(B46="","",IFERROR(VLOOKUP(B46,DB_Customers!$A:$D,4,0),"❌ Account Not Found"))</f>
        <v/>
      </c>
      <c r="D46" s="232" t="str">
        <f t="shared" ref="D46:D77" ca="1" si="5">IF(B46="","",TODAY())</f>
        <v/>
      </c>
      <c r="E46" s="233"/>
      <c r="F46" s="231"/>
      <c r="G46" s="234"/>
      <c r="H46" s="235">
        <v>2.5</v>
      </c>
      <c r="I46" s="236" t="str">
        <f t="shared" ref="I46:I77" si="6">IF(E46="","",E46+(E46*H46/100*G46))</f>
        <v/>
      </c>
      <c r="J46" s="237" t="str">
        <f t="shared" ref="J46:J77" si="7">IFERROR(I46/G46,"")</f>
        <v/>
      </c>
      <c r="K46" s="238" t="str">
        <f>IF(B46="","Pending",IF(M46="","⚠️ Enter Code",IF(IFERROR(VLOOKUP(L46,DB_Agents!$B:$I,8,0),"")=M46,"Pending","🔒 BLOCKED — Wrong Code")))</f>
        <v>Pending</v>
      </c>
      <c r="L46" s="239" t="s">
        <v>142</v>
      </c>
      <c r="M46" s="240"/>
      <c r="N46" s="230"/>
    </row>
    <row r="47" spans="1:14" ht="18" customHeight="1" x14ac:dyDescent="0.25">
      <c r="A47" s="241" t="str">
        <f t="shared" si="4"/>
        <v/>
      </c>
      <c r="B47" s="242"/>
      <c r="C47" s="243" t="str">
        <f>IF(B47="","",IFERROR(VLOOKUP(B47,DB_Customers!$A:$D,4,0),"❌ Account Not Found"))</f>
        <v/>
      </c>
      <c r="D47" s="244" t="str">
        <f t="shared" ca="1" si="5"/>
        <v/>
      </c>
      <c r="E47" s="245"/>
      <c r="F47" s="243"/>
      <c r="G47" s="246"/>
      <c r="H47" s="247">
        <v>2.5</v>
      </c>
      <c r="I47" s="248" t="str">
        <f t="shared" si="6"/>
        <v/>
      </c>
      <c r="J47" s="249" t="str">
        <f t="shared" si="7"/>
        <v/>
      </c>
      <c r="K47" s="250" t="str">
        <f>IF(B47="","Pending",IF(M47="","⚠️ Enter Code",IF(IFERROR(VLOOKUP(L47,DB_Agents!$B:$I,8,0),"")=M47,"Pending","🔒 BLOCKED — Wrong Code")))</f>
        <v>Pending</v>
      </c>
      <c r="L47" s="251" t="s">
        <v>142</v>
      </c>
      <c r="M47" s="252"/>
      <c r="N47" s="242"/>
    </row>
    <row r="48" spans="1:14" ht="18" customHeight="1" x14ac:dyDescent="0.25">
      <c r="A48" s="229" t="str">
        <f t="shared" si="4"/>
        <v/>
      </c>
      <c r="B48" s="230"/>
      <c r="C48" s="231" t="str">
        <f>IF(B48="","",IFERROR(VLOOKUP(B48,DB_Customers!$A:$D,4,0),"❌ Account Not Found"))</f>
        <v/>
      </c>
      <c r="D48" s="232" t="str">
        <f t="shared" ca="1" si="5"/>
        <v/>
      </c>
      <c r="E48" s="233"/>
      <c r="F48" s="231"/>
      <c r="G48" s="234"/>
      <c r="H48" s="235">
        <v>2.5</v>
      </c>
      <c r="I48" s="236" t="str">
        <f t="shared" si="6"/>
        <v/>
      </c>
      <c r="J48" s="237" t="str">
        <f t="shared" si="7"/>
        <v/>
      </c>
      <c r="K48" s="238" t="str">
        <f>IF(B48="","Pending",IF(M48="","⚠️ Enter Code",IF(IFERROR(VLOOKUP(L48,DB_Agents!$B:$I,8,0),"")=M48,"Pending","🔒 BLOCKED — Wrong Code")))</f>
        <v>Pending</v>
      </c>
      <c r="L48" s="239" t="s">
        <v>142</v>
      </c>
      <c r="M48" s="240"/>
      <c r="N48" s="230"/>
    </row>
    <row r="49" spans="1:14" ht="18" customHeight="1" x14ac:dyDescent="0.25">
      <c r="A49" s="241" t="str">
        <f t="shared" si="4"/>
        <v/>
      </c>
      <c r="B49" s="242"/>
      <c r="C49" s="243" t="str">
        <f>IF(B49="","",IFERROR(VLOOKUP(B49,DB_Customers!$A:$D,4,0),"❌ Account Not Found"))</f>
        <v/>
      </c>
      <c r="D49" s="244" t="str">
        <f t="shared" ca="1" si="5"/>
        <v/>
      </c>
      <c r="E49" s="245"/>
      <c r="F49" s="243"/>
      <c r="G49" s="246"/>
      <c r="H49" s="247">
        <v>2.5</v>
      </c>
      <c r="I49" s="248" t="str">
        <f t="shared" si="6"/>
        <v/>
      </c>
      <c r="J49" s="249" t="str">
        <f t="shared" si="7"/>
        <v/>
      </c>
      <c r="K49" s="250" t="str">
        <f>IF(B49="","Pending",IF(M49="","⚠️ Enter Code",IF(IFERROR(VLOOKUP(L49,DB_Agents!$B:$I,8,0),"")=M49,"Pending","🔒 BLOCKED — Wrong Code")))</f>
        <v>Pending</v>
      </c>
      <c r="L49" s="251" t="s">
        <v>142</v>
      </c>
      <c r="M49" s="252"/>
      <c r="N49" s="242"/>
    </row>
    <row r="50" spans="1:14" ht="18" customHeight="1" x14ac:dyDescent="0.25">
      <c r="A50" s="229" t="str">
        <f t="shared" si="4"/>
        <v/>
      </c>
      <c r="B50" s="230"/>
      <c r="C50" s="231" t="str">
        <f>IF(B50="","",IFERROR(VLOOKUP(B50,DB_Customers!$A:$D,4,0),"❌ Account Not Found"))</f>
        <v/>
      </c>
      <c r="D50" s="232" t="str">
        <f t="shared" ca="1" si="5"/>
        <v/>
      </c>
      <c r="E50" s="233"/>
      <c r="F50" s="231"/>
      <c r="G50" s="234"/>
      <c r="H50" s="235">
        <v>2.5</v>
      </c>
      <c r="I50" s="236" t="str">
        <f t="shared" si="6"/>
        <v/>
      </c>
      <c r="J50" s="237" t="str">
        <f t="shared" si="7"/>
        <v/>
      </c>
      <c r="K50" s="238" t="str">
        <f>IF(B50="","Pending",IF(M50="","⚠️ Enter Code",IF(IFERROR(VLOOKUP(L50,DB_Agents!$B:$I,8,0),"")=M50,"Pending","🔒 BLOCKED — Wrong Code")))</f>
        <v>Pending</v>
      </c>
      <c r="L50" s="239" t="s">
        <v>142</v>
      </c>
      <c r="M50" s="240"/>
      <c r="N50" s="230"/>
    </row>
    <row r="51" spans="1:14" ht="18" customHeight="1" x14ac:dyDescent="0.25">
      <c r="A51" s="241" t="str">
        <f t="shared" si="4"/>
        <v/>
      </c>
      <c r="B51" s="242"/>
      <c r="C51" s="243" t="str">
        <f>IF(B51="","",IFERROR(VLOOKUP(B51,DB_Customers!$A:$D,4,0),"❌ Account Not Found"))</f>
        <v/>
      </c>
      <c r="D51" s="244" t="str">
        <f t="shared" ca="1" si="5"/>
        <v/>
      </c>
      <c r="E51" s="245"/>
      <c r="F51" s="243"/>
      <c r="G51" s="246"/>
      <c r="H51" s="247">
        <v>2.5</v>
      </c>
      <c r="I51" s="248" t="str">
        <f t="shared" si="6"/>
        <v/>
      </c>
      <c r="J51" s="249" t="str">
        <f t="shared" si="7"/>
        <v/>
      </c>
      <c r="K51" s="250" t="str">
        <f>IF(B51="","Pending",IF(M51="","⚠️ Enter Code",IF(IFERROR(VLOOKUP(L51,DB_Agents!$B:$I,8,0),"")=M51,"Pending","🔒 BLOCKED — Wrong Code")))</f>
        <v>Pending</v>
      </c>
      <c r="L51" s="251" t="s">
        <v>142</v>
      </c>
      <c r="M51" s="252"/>
      <c r="N51" s="242"/>
    </row>
    <row r="52" spans="1:14" ht="18" customHeight="1" x14ac:dyDescent="0.25">
      <c r="A52" s="229" t="str">
        <f t="shared" si="4"/>
        <v/>
      </c>
      <c r="B52" s="230"/>
      <c r="C52" s="231" t="str">
        <f>IF(B52="","",IFERROR(VLOOKUP(B52,DB_Customers!$A:$D,4,0),"❌ Account Not Found"))</f>
        <v/>
      </c>
      <c r="D52" s="232" t="str">
        <f t="shared" ca="1" si="5"/>
        <v/>
      </c>
      <c r="E52" s="233"/>
      <c r="F52" s="231"/>
      <c r="G52" s="234"/>
      <c r="H52" s="235">
        <v>2.5</v>
      </c>
      <c r="I52" s="236" t="str">
        <f t="shared" si="6"/>
        <v/>
      </c>
      <c r="J52" s="237" t="str">
        <f t="shared" si="7"/>
        <v/>
      </c>
      <c r="K52" s="238" t="str">
        <f>IF(B52="","Pending",IF(M52="","⚠️ Enter Code",IF(IFERROR(VLOOKUP(L52,DB_Agents!$B:$I,8,0),"")=M52,"Pending","🔒 BLOCKED — Wrong Code")))</f>
        <v>Pending</v>
      </c>
      <c r="L52" s="239" t="s">
        <v>142</v>
      </c>
      <c r="M52" s="240"/>
      <c r="N52" s="230"/>
    </row>
    <row r="53" spans="1:14" ht="18" customHeight="1" x14ac:dyDescent="0.25">
      <c r="A53" s="241" t="str">
        <f t="shared" si="4"/>
        <v/>
      </c>
      <c r="B53" s="242"/>
      <c r="C53" s="243" t="str">
        <f>IF(B53="","",IFERROR(VLOOKUP(B53,DB_Customers!$A:$D,4,0),"❌ Account Not Found"))</f>
        <v/>
      </c>
      <c r="D53" s="244" t="str">
        <f t="shared" ca="1" si="5"/>
        <v/>
      </c>
      <c r="E53" s="245"/>
      <c r="F53" s="243"/>
      <c r="G53" s="246"/>
      <c r="H53" s="247">
        <v>2.5</v>
      </c>
      <c r="I53" s="248" t="str">
        <f t="shared" si="6"/>
        <v/>
      </c>
      <c r="J53" s="249" t="str">
        <f t="shared" si="7"/>
        <v/>
      </c>
      <c r="K53" s="250" t="str">
        <f>IF(B53="","Pending",IF(M53="","⚠️ Enter Code",IF(IFERROR(VLOOKUP(L53,DB_Agents!$B:$I,8,0),"")=M53,"Pending","🔒 BLOCKED — Wrong Code")))</f>
        <v>Pending</v>
      </c>
      <c r="L53" s="251" t="s">
        <v>142</v>
      </c>
      <c r="M53" s="252"/>
      <c r="N53" s="242"/>
    </row>
    <row r="54" spans="1:14" ht="18" customHeight="1" x14ac:dyDescent="0.25">
      <c r="A54" s="229" t="str">
        <f t="shared" si="4"/>
        <v/>
      </c>
      <c r="B54" s="230"/>
      <c r="C54" s="231" t="str">
        <f>IF(B54="","",IFERROR(VLOOKUP(B54,DB_Customers!$A:$D,4,0),"❌ Account Not Found"))</f>
        <v/>
      </c>
      <c r="D54" s="232" t="str">
        <f t="shared" ca="1" si="5"/>
        <v/>
      </c>
      <c r="E54" s="233"/>
      <c r="F54" s="231"/>
      <c r="G54" s="234"/>
      <c r="H54" s="235">
        <v>2.5</v>
      </c>
      <c r="I54" s="236" t="str">
        <f t="shared" si="6"/>
        <v/>
      </c>
      <c r="J54" s="237" t="str">
        <f t="shared" si="7"/>
        <v/>
      </c>
      <c r="K54" s="238" t="str">
        <f>IF(B54="","Pending",IF(M54="","⚠️ Enter Code",IF(IFERROR(VLOOKUP(L54,DB_Agents!$B:$I,8,0),"")=M54,"Pending","🔒 BLOCKED — Wrong Code")))</f>
        <v>Pending</v>
      </c>
      <c r="L54" s="239" t="s">
        <v>142</v>
      </c>
      <c r="M54" s="240"/>
      <c r="N54" s="230"/>
    </row>
    <row r="55" spans="1:14" ht="18" customHeight="1" x14ac:dyDescent="0.25">
      <c r="A55" s="241" t="str">
        <f t="shared" si="4"/>
        <v/>
      </c>
      <c r="B55" s="242"/>
      <c r="C55" s="243" t="str">
        <f>IF(B55="","",IFERROR(VLOOKUP(B55,DB_Customers!$A:$D,4,0),"❌ Account Not Found"))</f>
        <v/>
      </c>
      <c r="D55" s="244" t="str">
        <f t="shared" ca="1" si="5"/>
        <v/>
      </c>
      <c r="E55" s="245"/>
      <c r="F55" s="243"/>
      <c r="G55" s="246"/>
      <c r="H55" s="247">
        <v>2.5</v>
      </c>
      <c r="I55" s="248" t="str">
        <f t="shared" si="6"/>
        <v/>
      </c>
      <c r="J55" s="249" t="str">
        <f t="shared" si="7"/>
        <v/>
      </c>
      <c r="K55" s="250" t="str">
        <f>IF(B55="","Pending",IF(M55="","⚠️ Enter Code",IF(IFERROR(VLOOKUP(L55,DB_Agents!$B:$I,8,0),"")=M55,"Pending","🔒 BLOCKED — Wrong Code")))</f>
        <v>Pending</v>
      </c>
      <c r="L55" s="251" t="s">
        <v>142</v>
      </c>
      <c r="M55" s="252"/>
      <c r="N55" s="242"/>
    </row>
    <row r="56" spans="1:14" ht="18" customHeight="1" x14ac:dyDescent="0.25">
      <c r="A56" s="229" t="str">
        <f t="shared" si="4"/>
        <v/>
      </c>
      <c r="B56" s="230"/>
      <c r="C56" s="231" t="str">
        <f>IF(B56="","",IFERROR(VLOOKUP(B56,DB_Customers!$A:$D,4,0),"❌ Account Not Found"))</f>
        <v/>
      </c>
      <c r="D56" s="232" t="str">
        <f t="shared" ca="1" si="5"/>
        <v/>
      </c>
      <c r="E56" s="233"/>
      <c r="F56" s="231"/>
      <c r="G56" s="234"/>
      <c r="H56" s="235">
        <v>2.5</v>
      </c>
      <c r="I56" s="236" t="str">
        <f t="shared" si="6"/>
        <v/>
      </c>
      <c r="J56" s="237" t="str">
        <f t="shared" si="7"/>
        <v/>
      </c>
      <c r="K56" s="238" t="str">
        <f>IF(B56="","Pending",IF(M56="","⚠️ Enter Code",IF(IFERROR(VLOOKUP(L56,DB_Agents!$B:$I,8,0),"")=M56,"Pending","🔒 BLOCKED — Wrong Code")))</f>
        <v>Pending</v>
      </c>
      <c r="L56" s="239" t="s">
        <v>142</v>
      </c>
      <c r="M56" s="240"/>
      <c r="N56" s="230"/>
    </row>
    <row r="57" spans="1:14" ht="18" customHeight="1" x14ac:dyDescent="0.25">
      <c r="A57" s="241" t="str">
        <f t="shared" si="4"/>
        <v/>
      </c>
      <c r="B57" s="242"/>
      <c r="C57" s="243" t="str">
        <f>IF(B57="","",IFERROR(VLOOKUP(B57,DB_Customers!$A:$D,4,0),"❌ Account Not Found"))</f>
        <v/>
      </c>
      <c r="D57" s="244" t="str">
        <f t="shared" ca="1" si="5"/>
        <v/>
      </c>
      <c r="E57" s="245"/>
      <c r="F57" s="243"/>
      <c r="G57" s="246"/>
      <c r="H57" s="247">
        <v>2.5</v>
      </c>
      <c r="I57" s="248" t="str">
        <f t="shared" si="6"/>
        <v/>
      </c>
      <c r="J57" s="249" t="str">
        <f t="shared" si="7"/>
        <v/>
      </c>
      <c r="K57" s="250" t="str">
        <f>IF(B57="","Pending",IF(M57="","⚠️ Enter Code",IF(IFERROR(VLOOKUP(L57,DB_Agents!$B:$I,8,0),"")=M57,"Pending","🔒 BLOCKED — Wrong Code")))</f>
        <v>Pending</v>
      </c>
      <c r="L57" s="251" t="s">
        <v>142</v>
      </c>
      <c r="M57" s="252"/>
      <c r="N57" s="242"/>
    </row>
    <row r="58" spans="1:14" ht="18" customHeight="1" x14ac:dyDescent="0.25">
      <c r="A58" s="229" t="str">
        <f t="shared" si="4"/>
        <v/>
      </c>
      <c r="B58" s="230"/>
      <c r="C58" s="231" t="str">
        <f>IF(B58="","",IFERROR(VLOOKUP(B58,DB_Customers!$A:$D,4,0),"❌ Account Not Found"))</f>
        <v/>
      </c>
      <c r="D58" s="232" t="str">
        <f t="shared" ca="1" si="5"/>
        <v/>
      </c>
      <c r="E58" s="233"/>
      <c r="F58" s="231"/>
      <c r="G58" s="234"/>
      <c r="H58" s="235">
        <v>2.5</v>
      </c>
      <c r="I58" s="236" t="str">
        <f t="shared" si="6"/>
        <v/>
      </c>
      <c r="J58" s="237" t="str">
        <f t="shared" si="7"/>
        <v/>
      </c>
      <c r="K58" s="238" t="str">
        <f>IF(B58="","Pending",IF(M58="","⚠️ Enter Code",IF(IFERROR(VLOOKUP(L58,DB_Agents!$B:$I,8,0),"")=M58,"Pending","🔒 BLOCKED — Wrong Code")))</f>
        <v>Pending</v>
      </c>
      <c r="L58" s="239" t="s">
        <v>142</v>
      </c>
      <c r="M58" s="240"/>
      <c r="N58" s="230"/>
    </row>
    <row r="59" spans="1:14" ht="18" customHeight="1" x14ac:dyDescent="0.25">
      <c r="A59" s="241" t="str">
        <f t="shared" si="4"/>
        <v/>
      </c>
      <c r="B59" s="242"/>
      <c r="C59" s="243" t="str">
        <f>IF(B59="","",IFERROR(VLOOKUP(B59,DB_Customers!$A:$D,4,0),"❌ Account Not Found"))</f>
        <v/>
      </c>
      <c r="D59" s="244" t="str">
        <f t="shared" ca="1" si="5"/>
        <v/>
      </c>
      <c r="E59" s="245"/>
      <c r="F59" s="243"/>
      <c r="G59" s="246"/>
      <c r="H59" s="247">
        <v>2.5</v>
      </c>
      <c r="I59" s="248" t="str">
        <f t="shared" si="6"/>
        <v/>
      </c>
      <c r="J59" s="249" t="str">
        <f t="shared" si="7"/>
        <v/>
      </c>
      <c r="K59" s="250" t="str">
        <f>IF(B59="","Pending",IF(M59="","⚠️ Enter Code",IF(IFERROR(VLOOKUP(L59,DB_Agents!$B:$I,8,0),"")=M59,"Pending","🔒 BLOCKED — Wrong Code")))</f>
        <v>Pending</v>
      </c>
      <c r="L59" s="251" t="s">
        <v>142</v>
      </c>
      <c r="M59" s="252"/>
      <c r="N59" s="242"/>
    </row>
    <row r="60" spans="1:14" ht="18" customHeight="1" x14ac:dyDescent="0.25">
      <c r="A60" s="229" t="str">
        <f t="shared" si="4"/>
        <v/>
      </c>
      <c r="B60" s="230"/>
      <c r="C60" s="231" t="str">
        <f>IF(B60="","",IFERROR(VLOOKUP(B60,DB_Customers!$A:$D,4,0),"❌ Account Not Found"))</f>
        <v/>
      </c>
      <c r="D60" s="232" t="str">
        <f t="shared" ca="1" si="5"/>
        <v/>
      </c>
      <c r="E60" s="233"/>
      <c r="F60" s="231"/>
      <c r="G60" s="234"/>
      <c r="H60" s="235">
        <v>2.5</v>
      </c>
      <c r="I60" s="236" t="str">
        <f t="shared" si="6"/>
        <v/>
      </c>
      <c r="J60" s="237" t="str">
        <f t="shared" si="7"/>
        <v/>
      </c>
      <c r="K60" s="238" t="str">
        <f>IF(B60="","Pending",IF(M60="","⚠️ Enter Code",IF(IFERROR(VLOOKUP(L60,DB_Agents!$B:$I,8,0),"")=M60,"Pending","🔒 BLOCKED — Wrong Code")))</f>
        <v>Pending</v>
      </c>
      <c r="L60" s="239" t="s">
        <v>142</v>
      </c>
      <c r="M60" s="240"/>
      <c r="N60" s="230"/>
    </row>
    <row r="61" spans="1:14" ht="18" customHeight="1" x14ac:dyDescent="0.25">
      <c r="A61" s="241" t="str">
        <f t="shared" si="4"/>
        <v/>
      </c>
      <c r="B61" s="242"/>
      <c r="C61" s="243" t="str">
        <f>IF(B61="","",IFERROR(VLOOKUP(B61,DB_Customers!$A:$D,4,0),"❌ Account Not Found"))</f>
        <v/>
      </c>
      <c r="D61" s="244" t="str">
        <f t="shared" ca="1" si="5"/>
        <v/>
      </c>
      <c r="E61" s="245"/>
      <c r="F61" s="243"/>
      <c r="G61" s="246"/>
      <c r="H61" s="247">
        <v>2.5</v>
      </c>
      <c r="I61" s="248" t="str">
        <f t="shared" si="6"/>
        <v/>
      </c>
      <c r="J61" s="249" t="str">
        <f t="shared" si="7"/>
        <v/>
      </c>
      <c r="K61" s="250" t="str">
        <f>IF(B61="","Pending",IF(M61="","⚠️ Enter Code",IF(IFERROR(VLOOKUP(L61,DB_Agents!$B:$I,8,0),"")=M61,"Pending","🔒 BLOCKED — Wrong Code")))</f>
        <v>Pending</v>
      </c>
      <c r="L61" s="251" t="s">
        <v>142</v>
      </c>
      <c r="M61" s="252"/>
      <c r="N61" s="242"/>
    </row>
    <row r="62" spans="1:14" ht="18" customHeight="1" x14ac:dyDescent="0.25">
      <c r="A62" s="229" t="str">
        <f t="shared" si="4"/>
        <v/>
      </c>
      <c r="B62" s="230"/>
      <c r="C62" s="231" t="str">
        <f>IF(B62="","",IFERROR(VLOOKUP(B62,DB_Customers!$A:$D,4,0),"❌ Account Not Found"))</f>
        <v/>
      </c>
      <c r="D62" s="232" t="str">
        <f t="shared" ca="1" si="5"/>
        <v/>
      </c>
      <c r="E62" s="233"/>
      <c r="F62" s="231"/>
      <c r="G62" s="234"/>
      <c r="H62" s="235">
        <v>2.5</v>
      </c>
      <c r="I62" s="236" t="str">
        <f t="shared" si="6"/>
        <v/>
      </c>
      <c r="J62" s="237" t="str">
        <f t="shared" si="7"/>
        <v/>
      </c>
      <c r="K62" s="238" t="str">
        <f>IF(B62="","Pending",IF(M62="","⚠️ Enter Code",IF(IFERROR(VLOOKUP(L62,DB_Agents!$B:$I,8,0),"")=M62,"Pending","🔒 BLOCKED — Wrong Code")))</f>
        <v>Pending</v>
      </c>
      <c r="L62" s="239" t="s">
        <v>142</v>
      </c>
      <c r="M62" s="240"/>
      <c r="N62" s="230"/>
    </row>
    <row r="63" spans="1:14" ht="18" customHeight="1" x14ac:dyDescent="0.25">
      <c r="A63" s="241" t="str">
        <f t="shared" si="4"/>
        <v/>
      </c>
      <c r="B63" s="242"/>
      <c r="C63" s="243" t="str">
        <f>IF(B63="","",IFERROR(VLOOKUP(B63,DB_Customers!$A:$D,4,0),"❌ Account Not Found"))</f>
        <v/>
      </c>
      <c r="D63" s="244" t="str">
        <f t="shared" ca="1" si="5"/>
        <v/>
      </c>
      <c r="E63" s="245"/>
      <c r="F63" s="243"/>
      <c r="G63" s="246"/>
      <c r="H63" s="247">
        <v>2.5</v>
      </c>
      <c r="I63" s="248" t="str">
        <f t="shared" si="6"/>
        <v/>
      </c>
      <c r="J63" s="249" t="str">
        <f t="shared" si="7"/>
        <v/>
      </c>
      <c r="K63" s="250" t="str">
        <f>IF(B63="","Pending",IF(M63="","⚠️ Enter Code",IF(IFERROR(VLOOKUP(L63,DB_Agents!$B:$I,8,0),"")=M63,"Pending","🔒 BLOCKED — Wrong Code")))</f>
        <v>Pending</v>
      </c>
      <c r="L63" s="251" t="s">
        <v>142</v>
      </c>
      <c r="M63" s="252"/>
      <c r="N63" s="242"/>
    </row>
    <row r="64" spans="1:14" ht="18" customHeight="1" x14ac:dyDescent="0.25">
      <c r="A64" s="229" t="str">
        <f t="shared" si="4"/>
        <v/>
      </c>
      <c r="B64" s="230"/>
      <c r="C64" s="231" t="str">
        <f>IF(B64="","",IFERROR(VLOOKUP(B64,DB_Customers!$A:$D,4,0),"❌ Account Not Found"))</f>
        <v/>
      </c>
      <c r="D64" s="232" t="str">
        <f t="shared" ca="1" si="5"/>
        <v/>
      </c>
      <c r="E64" s="233"/>
      <c r="F64" s="231"/>
      <c r="G64" s="234"/>
      <c r="H64" s="235">
        <v>2.5</v>
      </c>
      <c r="I64" s="236" t="str">
        <f t="shared" si="6"/>
        <v/>
      </c>
      <c r="J64" s="237" t="str">
        <f t="shared" si="7"/>
        <v/>
      </c>
      <c r="K64" s="238" t="str">
        <f>IF(B64="","Pending",IF(M64="","⚠️ Enter Code",IF(IFERROR(VLOOKUP(L64,DB_Agents!$B:$I,8,0),"")=M64,"Pending","🔒 BLOCKED — Wrong Code")))</f>
        <v>Pending</v>
      </c>
      <c r="L64" s="239" t="s">
        <v>142</v>
      </c>
      <c r="M64" s="240"/>
      <c r="N64" s="230"/>
    </row>
    <row r="65" spans="1:14" ht="18" customHeight="1" x14ac:dyDescent="0.25">
      <c r="A65" s="241" t="str">
        <f t="shared" si="4"/>
        <v/>
      </c>
      <c r="B65" s="242"/>
      <c r="C65" s="243" t="str">
        <f>IF(B65="","",IFERROR(VLOOKUP(B65,DB_Customers!$A:$D,4,0),"❌ Account Not Found"))</f>
        <v/>
      </c>
      <c r="D65" s="244" t="str">
        <f t="shared" ca="1" si="5"/>
        <v/>
      </c>
      <c r="E65" s="245"/>
      <c r="F65" s="243"/>
      <c r="G65" s="246"/>
      <c r="H65" s="247">
        <v>2.5</v>
      </c>
      <c r="I65" s="248" t="str">
        <f t="shared" si="6"/>
        <v/>
      </c>
      <c r="J65" s="249" t="str">
        <f t="shared" si="7"/>
        <v/>
      </c>
      <c r="K65" s="250" t="str">
        <f>IF(B65="","Pending",IF(M65="","⚠️ Enter Code",IF(IFERROR(VLOOKUP(L65,DB_Agents!$B:$I,8,0),"")=M65,"Pending","🔒 BLOCKED — Wrong Code")))</f>
        <v>Pending</v>
      </c>
      <c r="L65" s="251" t="s">
        <v>142</v>
      </c>
      <c r="M65" s="252"/>
      <c r="N65" s="242"/>
    </row>
    <row r="66" spans="1:14" ht="18" customHeight="1" x14ac:dyDescent="0.25">
      <c r="A66" s="229" t="str">
        <f t="shared" si="4"/>
        <v/>
      </c>
      <c r="B66" s="230"/>
      <c r="C66" s="231" t="str">
        <f>IF(B66="","",IFERROR(VLOOKUP(B66,DB_Customers!$A:$D,4,0),"❌ Account Not Found"))</f>
        <v/>
      </c>
      <c r="D66" s="232" t="str">
        <f t="shared" ca="1" si="5"/>
        <v/>
      </c>
      <c r="E66" s="233"/>
      <c r="F66" s="231"/>
      <c r="G66" s="234"/>
      <c r="H66" s="235">
        <v>2.5</v>
      </c>
      <c r="I66" s="236" t="str">
        <f t="shared" si="6"/>
        <v/>
      </c>
      <c r="J66" s="237" t="str">
        <f t="shared" si="7"/>
        <v/>
      </c>
      <c r="K66" s="238" t="str">
        <f>IF(B66="","Pending",IF(M66="","⚠️ Enter Code",IF(IFERROR(VLOOKUP(L66,DB_Agents!$B:$I,8,0),"")=M66,"Pending","🔒 BLOCKED — Wrong Code")))</f>
        <v>Pending</v>
      </c>
      <c r="L66" s="239" t="s">
        <v>142</v>
      </c>
      <c r="M66" s="240"/>
      <c r="N66" s="230"/>
    </row>
    <row r="67" spans="1:14" ht="18" customHeight="1" x14ac:dyDescent="0.25">
      <c r="A67" s="241" t="str">
        <f t="shared" si="4"/>
        <v/>
      </c>
      <c r="B67" s="242"/>
      <c r="C67" s="243" t="str">
        <f>IF(B67="","",IFERROR(VLOOKUP(B67,DB_Customers!$A:$D,4,0),"❌ Account Not Found"))</f>
        <v/>
      </c>
      <c r="D67" s="244" t="str">
        <f t="shared" ca="1" si="5"/>
        <v/>
      </c>
      <c r="E67" s="245"/>
      <c r="F67" s="243"/>
      <c r="G67" s="246"/>
      <c r="H67" s="247">
        <v>2.5</v>
      </c>
      <c r="I67" s="248" t="str">
        <f t="shared" si="6"/>
        <v/>
      </c>
      <c r="J67" s="249" t="str">
        <f t="shared" si="7"/>
        <v/>
      </c>
      <c r="K67" s="250" t="str">
        <f>IF(B67="","Pending",IF(M67="","⚠️ Enter Code",IF(IFERROR(VLOOKUP(L67,DB_Agents!$B:$I,8,0),"")=M67,"Pending","🔒 BLOCKED — Wrong Code")))</f>
        <v>Pending</v>
      </c>
      <c r="L67" s="251" t="s">
        <v>142</v>
      </c>
      <c r="M67" s="252"/>
      <c r="N67" s="242"/>
    </row>
    <row r="68" spans="1:14" ht="18" customHeight="1" x14ac:dyDescent="0.25">
      <c r="A68" s="229" t="str">
        <f t="shared" si="4"/>
        <v/>
      </c>
      <c r="B68" s="230"/>
      <c r="C68" s="231" t="str">
        <f>IF(B68="","",IFERROR(VLOOKUP(B68,DB_Customers!$A:$D,4,0),"❌ Account Not Found"))</f>
        <v/>
      </c>
      <c r="D68" s="232" t="str">
        <f t="shared" ca="1" si="5"/>
        <v/>
      </c>
      <c r="E68" s="233"/>
      <c r="F68" s="231"/>
      <c r="G68" s="234"/>
      <c r="H68" s="235">
        <v>2.5</v>
      </c>
      <c r="I68" s="236" t="str">
        <f t="shared" si="6"/>
        <v/>
      </c>
      <c r="J68" s="237" t="str">
        <f t="shared" si="7"/>
        <v/>
      </c>
      <c r="K68" s="238" t="str">
        <f>IF(B68="","Pending",IF(M68="","⚠️ Enter Code",IF(IFERROR(VLOOKUP(L68,DB_Agents!$B:$I,8,0),"")=M68,"Pending","🔒 BLOCKED — Wrong Code")))</f>
        <v>Pending</v>
      </c>
      <c r="L68" s="239" t="s">
        <v>142</v>
      </c>
      <c r="M68" s="240"/>
      <c r="N68" s="230"/>
    </row>
    <row r="69" spans="1:14" ht="18" customHeight="1" x14ac:dyDescent="0.25">
      <c r="A69" s="241" t="str">
        <f t="shared" si="4"/>
        <v/>
      </c>
      <c r="B69" s="242"/>
      <c r="C69" s="243" t="str">
        <f>IF(B69="","",IFERROR(VLOOKUP(B69,DB_Customers!$A:$D,4,0),"❌ Account Not Found"))</f>
        <v/>
      </c>
      <c r="D69" s="244" t="str">
        <f t="shared" ca="1" si="5"/>
        <v/>
      </c>
      <c r="E69" s="245"/>
      <c r="F69" s="243"/>
      <c r="G69" s="246"/>
      <c r="H69" s="247">
        <v>2.5</v>
      </c>
      <c r="I69" s="248" t="str">
        <f t="shared" si="6"/>
        <v/>
      </c>
      <c r="J69" s="249" t="str">
        <f t="shared" si="7"/>
        <v/>
      </c>
      <c r="K69" s="250" t="str">
        <f>IF(B69="","Pending",IF(M69="","⚠️ Enter Code",IF(IFERROR(VLOOKUP(L69,DB_Agents!$B:$I,8,0),"")=M69,"Pending","🔒 BLOCKED — Wrong Code")))</f>
        <v>Pending</v>
      </c>
      <c r="L69" s="251" t="s">
        <v>142</v>
      </c>
      <c r="M69" s="252"/>
      <c r="N69" s="242"/>
    </row>
    <row r="70" spans="1:14" ht="18" customHeight="1" x14ac:dyDescent="0.25">
      <c r="A70" s="229" t="str">
        <f t="shared" si="4"/>
        <v/>
      </c>
      <c r="B70" s="230"/>
      <c r="C70" s="231" t="str">
        <f>IF(B70="","",IFERROR(VLOOKUP(B70,DB_Customers!$A:$D,4,0),"❌ Account Not Found"))</f>
        <v/>
      </c>
      <c r="D70" s="232" t="str">
        <f t="shared" ca="1" si="5"/>
        <v/>
      </c>
      <c r="E70" s="233"/>
      <c r="F70" s="231"/>
      <c r="G70" s="234"/>
      <c r="H70" s="235">
        <v>2.5</v>
      </c>
      <c r="I70" s="236" t="str">
        <f t="shared" si="6"/>
        <v/>
      </c>
      <c r="J70" s="237" t="str">
        <f t="shared" si="7"/>
        <v/>
      </c>
      <c r="K70" s="238" t="str">
        <f>IF(B70="","Pending",IF(M70="","⚠️ Enter Code",IF(IFERROR(VLOOKUP(L70,DB_Agents!$B:$I,8,0),"")=M70,"Pending","🔒 BLOCKED — Wrong Code")))</f>
        <v>Pending</v>
      </c>
      <c r="L70" s="239" t="s">
        <v>142</v>
      </c>
      <c r="M70" s="240"/>
      <c r="N70" s="230"/>
    </row>
    <row r="71" spans="1:14" ht="18" customHeight="1" x14ac:dyDescent="0.25">
      <c r="A71" s="241" t="str">
        <f t="shared" si="4"/>
        <v/>
      </c>
      <c r="B71" s="242"/>
      <c r="C71" s="243" t="str">
        <f>IF(B71="","",IFERROR(VLOOKUP(B71,DB_Customers!$A:$D,4,0),"❌ Account Not Found"))</f>
        <v/>
      </c>
      <c r="D71" s="244" t="str">
        <f t="shared" ca="1" si="5"/>
        <v/>
      </c>
      <c r="E71" s="245"/>
      <c r="F71" s="243"/>
      <c r="G71" s="246"/>
      <c r="H71" s="247">
        <v>2.5</v>
      </c>
      <c r="I71" s="248" t="str">
        <f t="shared" si="6"/>
        <v/>
      </c>
      <c r="J71" s="249" t="str">
        <f t="shared" si="7"/>
        <v/>
      </c>
      <c r="K71" s="250" t="str">
        <f>IF(B71="","Pending",IF(M71="","⚠️ Enter Code",IF(IFERROR(VLOOKUP(L71,DB_Agents!$B:$I,8,0),"")=M71,"Pending","🔒 BLOCKED — Wrong Code")))</f>
        <v>Pending</v>
      </c>
      <c r="L71" s="251" t="s">
        <v>142</v>
      </c>
      <c r="M71" s="252"/>
      <c r="N71" s="242"/>
    </row>
    <row r="72" spans="1:14" ht="18" customHeight="1" x14ac:dyDescent="0.25">
      <c r="A72" s="229" t="str">
        <f t="shared" si="4"/>
        <v/>
      </c>
      <c r="B72" s="230"/>
      <c r="C72" s="231" t="str">
        <f>IF(B72="","",IFERROR(VLOOKUP(B72,DB_Customers!$A:$D,4,0),"❌ Account Not Found"))</f>
        <v/>
      </c>
      <c r="D72" s="232" t="str">
        <f t="shared" ca="1" si="5"/>
        <v/>
      </c>
      <c r="E72" s="233"/>
      <c r="F72" s="231"/>
      <c r="G72" s="234"/>
      <c r="H72" s="235">
        <v>2.5</v>
      </c>
      <c r="I72" s="236" t="str">
        <f t="shared" si="6"/>
        <v/>
      </c>
      <c r="J72" s="237" t="str">
        <f t="shared" si="7"/>
        <v/>
      </c>
      <c r="K72" s="238" t="str">
        <f>IF(B72="","Pending",IF(M72="","⚠️ Enter Code",IF(IFERROR(VLOOKUP(L72,DB_Agents!$B:$I,8,0),"")=M72,"Pending","🔒 BLOCKED — Wrong Code")))</f>
        <v>Pending</v>
      </c>
      <c r="L72" s="239" t="s">
        <v>142</v>
      </c>
      <c r="M72" s="240"/>
      <c r="N72" s="230"/>
    </row>
    <row r="73" spans="1:14" ht="18" customHeight="1" x14ac:dyDescent="0.25">
      <c r="A73" s="241" t="str">
        <f t="shared" si="4"/>
        <v/>
      </c>
      <c r="B73" s="242"/>
      <c r="C73" s="243" t="str">
        <f>IF(B73="","",IFERROR(VLOOKUP(B73,DB_Customers!$A:$D,4,0),"❌ Account Not Found"))</f>
        <v/>
      </c>
      <c r="D73" s="244" t="str">
        <f t="shared" ca="1" si="5"/>
        <v/>
      </c>
      <c r="E73" s="245"/>
      <c r="F73" s="243"/>
      <c r="G73" s="246"/>
      <c r="H73" s="247">
        <v>2.5</v>
      </c>
      <c r="I73" s="248" t="str">
        <f t="shared" si="6"/>
        <v/>
      </c>
      <c r="J73" s="249" t="str">
        <f t="shared" si="7"/>
        <v/>
      </c>
      <c r="K73" s="250" t="str">
        <f>IF(B73="","Pending",IF(M73="","⚠️ Enter Code",IF(IFERROR(VLOOKUP(L73,DB_Agents!$B:$I,8,0),"")=M73,"Pending","🔒 BLOCKED — Wrong Code")))</f>
        <v>Pending</v>
      </c>
      <c r="L73" s="251" t="s">
        <v>142</v>
      </c>
      <c r="M73" s="252"/>
      <c r="N73" s="242"/>
    </row>
    <row r="74" spans="1:14" ht="18" customHeight="1" x14ac:dyDescent="0.25">
      <c r="A74" s="229" t="str">
        <f t="shared" si="4"/>
        <v/>
      </c>
      <c r="B74" s="230"/>
      <c r="C74" s="231" t="str">
        <f>IF(B74="","",IFERROR(VLOOKUP(B74,DB_Customers!$A:$D,4,0),"❌ Account Not Found"))</f>
        <v/>
      </c>
      <c r="D74" s="232" t="str">
        <f t="shared" ca="1" si="5"/>
        <v/>
      </c>
      <c r="E74" s="233"/>
      <c r="F74" s="231"/>
      <c r="G74" s="234"/>
      <c r="H74" s="235">
        <v>2.5</v>
      </c>
      <c r="I74" s="236" t="str">
        <f t="shared" si="6"/>
        <v/>
      </c>
      <c r="J74" s="237" t="str">
        <f t="shared" si="7"/>
        <v/>
      </c>
      <c r="K74" s="238" t="str">
        <f>IF(B74="","Pending",IF(M74="","⚠️ Enter Code",IF(IFERROR(VLOOKUP(L74,DB_Agents!$B:$I,8,0),"")=M74,"Pending","🔒 BLOCKED — Wrong Code")))</f>
        <v>Pending</v>
      </c>
      <c r="L74" s="239" t="s">
        <v>142</v>
      </c>
      <c r="M74" s="240"/>
      <c r="N74" s="230"/>
    </row>
    <row r="75" spans="1:14" ht="18" customHeight="1" x14ac:dyDescent="0.25">
      <c r="A75" s="241" t="str">
        <f t="shared" si="4"/>
        <v/>
      </c>
      <c r="B75" s="242"/>
      <c r="C75" s="243" t="str">
        <f>IF(B75="","",IFERROR(VLOOKUP(B75,DB_Customers!$A:$D,4,0),"❌ Account Not Found"))</f>
        <v/>
      </c>
      <c r="D75" s="244" t="str">
        <f t="shared" ca="1" si="5"/>
        <v/>
      </c>
      <c r="E75" s="245"/>
      <c r="F75" s="243"/>
      <c r="G75" s="246"/>
      <c r="H75" s="247">
        <v>2.5</v>
      </c>
      <c r="I75" s="248" t="str">
        <f t="shared" si="6"/>
        <v/>
      </c>
      <c r="J75" s="249" t="str">
        <f t="shared" si="7"/>
        <v/>
      </c>
      <c r="K75" s="250" t="str">
        <f>IF(B75="","Pending",IF(M75="","⚠️ Enter Code",IF(IFERROR(VLOOKUP(L75,DB_Agents!$B:$I,8,0),"")=M75,"Pending","🔒 BLOCKED — Wrong Code")))</f>
        <v>Pending</v>
      </c>
      <c r="L75" s="251" t="s">
        <v>142</v>
      </c>
      <c r="M75" s="252"/>
      <c r="N75" s="242"/>
    </row>
    <row r="76" spans="1:14" ht="18" customHeight="1" x14ac:dyDescent="0.25">
      <c r="A76" s="229" t="str">
        <f t="shared" si="4"/>
        <v/>
      </c>
      <c r="B76" s="230"/>
      <c r="C76" s="231" t="str">
        <f>IF(B76="","",IFERROR(VLOOKUP(B76,DB_Customers!$A:$D,4,0),"❌ Account Not Found"))</f>
        <v/>
      </c>
      <c r="D76" s="232" t="str">
        <f t="shared" ca="1" si="5"/>
        <v/>
      </c>
      <c r="E76" s="233"/>
      <c r="F76" s="231"/>
      <c r="G76" s="234"/>
      <c r="H76" s="235">
        <v>2.5</v>
      </c>
      <c r="I76" s="236" t="str">
        <f t="shared" si="6"/>
        <v/>
      </c>
      <c r="J76" s="237" t="str">
        <f t="shared" si="7"/>
        <v/>
      </c>
      <c r="K76" s="238" t="str">
        <f>IF(B76="","Pending",IF(M76="","⚠️ Enter Code",IF(IFERROR(VLOOKUP(L76,DB_Agents!$B:$I,8,0),"")=M76,"Pending","🔒 BLOCKED — Wrong Code")))</f>
        <v>Pending</v>
      </c>
      <c r="L76" s="239" t="s">
        <v>142</v>
      </c>
      <c r="M76" s="240"/>
      <c r="N76" s="230"/>
    </row>
    <row r="77" spans="1:14" ht="18" customHeight="1" x14ac:dyDescent="0.25">
      <c r="A77" s="241" t="str">
        <f t="shared" si="4"/>
        <v/>
      </c>
      <c r="B77" s="242"/>
      <c r="C77" s="243" t="str">
        <f>IF(B77="","",IFERROR(VLOOKUP(B77,DB_Customers!$A:$D,4,0),"❌ Account Not Found"))</f>
        <v/>
      </c>
      <c r="D77" s="244" t="str">
        <f t="shared" ca="1" si="5"/>
        <v/>
      </c>
      <c r="E77" s="245"/>
      <c r="F77" s="243"/>
      <c r="G77" s="246"/>
      <c r="H77" s="247">
        <v>2.5</v>
      </c>
      <c r="I77" s="248" t="str">
        <f t="shared" si="6"/>
        <v/>
      </c>
      <c r="J77" s="249" t="str">
        <f t="shared" si="7"/>
        <v/>
      </c>
      <c r="K77" s="250" t="str">
        <f>IF(B77="","Pending",IF(M77="","⚠️ Enter Code",IF(IFERROR(VLOOKUP(L77,DB_Agents!$B:$I,8,0),"")=M77,"Pending","🔒 BLOCKED — Wrong Code")))</f>
        <v>Pending</v>
      </c>
      <c r="L77" s="251" t="s">
        <v>142</v>
      </c>
      <c r="M77" s="252"/>
      <c r="N77" s="242"/>
    </row>
    <row r="78" spans="1:14" ht="18" customHeight="1" x14ac:dyDescent="0.25">
      <c r="A78" s="229" t="str">
        <f t="shared" ref="A78:A109" si="8">IF(B78="","",IF(C78="❌ Account Not Found","INVALID","LN"&amp;TEXT(D78,"YYYYMMDD")&amp;TEXT(ROW()-13,"0000")))</f>
        <v/>
      </c>
      <c r="B78" s="230"/>
      <c r="C78" s="231" t="str">
        <f>IF(B78="","",IFERROR(VLOOKUP(B78,DB_Customers!$A:$D,4,0),"❌ Account Not Found"))</f>
        <v/>
      </c>
      <c r="D78" s="232" t="str">
        <f t="shared" ref="D78:D109" ca="1" si="9">IF(B78="","",TODAY())</f>
        <v/>
      </c>
      <c r="E78" s="233"/>
      <c r="F78" s="231"/>
      <c r="G78" s="234"/>
      <c r="H78" s="235">
        <v>2.5</v>
      </c>
      <c r="I78" s="236" t="str">
        <f t="shared" ref="I78:I109" si="10">IF(E78="","",E78+(E78*H78/100*G78))</f>
        <v/>
      </c>
      <c r="J78" s="237" t="str">
        <f t="shared" ref="J78:J109" si="11">IFERROR(I78/G78,"")</f>
        <v/>
      </c>
      <c r="K78" s="238" t="str">
        <f>IF(B78="","Pending",IF(M78="","⚠️ Enter Code",IF(IFERROR(VLOOKUP(L78,DB_Agents!$B:$I,8,0),"")=M78,"Pending","🔒 BLOCKED — Wrong Code")))</f>
        <v>Pending</v>
      </c>
      <c r="L78" s="239" t="s">
        <v>142</v>
      </c>
      <c r="M78" s="240"/>
      <c r="N78" s="230"/>
    </row>
    <row r="79" spans="1:14" ht="18" customHeight="1" x14ac:dyDescent="0.25">
      <c r="A79" s="241" t="str">
        <f t="shared" si="8"/>
        <v/>
      </c>
      <c r="B79" s="242"/>
      <c r="C79" s="243" t="str">
        <f>IF(B79="","",IFERROR(VLOOKUP(B79,DB_Customers!$A:$D,4,0),"❌ Account Not Found"))</f>
        <v/>
      </c>
      <c r="D79" s="244" t="str">
        <f t="shared" ca="1" si="9"/>
        <v/>
      </c>
      <c r="E79" s="245"/>
      <c r="F79" s="243"/>
      <c r="G79" s="246"/>
      <c r="H79" s="247">
        <v>2.5</v>
      </c>
      <c r="I79" s="248" t="str">
        <f t="shared" si="10"/>
        <v/>
      </c>
      <c r="J79" s="249" t="str">
        <f t="shared" si="11"/>
        <v/>
      </c>
      <c r="K79" s="250" t="str">
        <f>IF(B79="","Pending",IF(M79="","⚠️ Enter Code",IF(IFERROR(VLOOKUP(L79,DB_Agents!$B:$I,8,0),"")=M79,"Pending","🔒 BLOCKED — Wrong Code")))</f>
        <v>Pending</v>
      </c>
      <c r="L79" s="251" t="s">
        <v>142</v>
      </c>
      <c r="M79" s="252"/>
      <c r="N79" s="242"/>
    </row>
    <row r="80" spans="1:14" ht="18" customHeight="1" x14ac:dyDescent="0.25">
      <c r="A80" s="229" t="str">
        <f t="shared" si="8"/>
        <v/>
      </c>
      <c r="B80" s="230"/>
      <c r="C80" s="231" t="str">
        <f>IF(B80="","",IFERROR(VLOOKUP(B80,DB_Customers!$A:$D,4,0),"❌ Account Not Found"))</f>
        <v/>
      </c>
      <c r="D80" s="232" t="str">
        <f t="shared" ca="1" si="9"/>
        <v/>
      </c>
      <c r="E80" s="233"/>
      <c r="F80" s="231"/>
      <c r="G80" s="234"/>
      <c r="H80" s="235">
        <v>2.5</v>
      </c>
      <c r="I80" s="236" t="str">
        <f t="shared" si="10"/>
        <v/>
      </c>
      <c r="J80" s="237" t="str">
        <f t="shared" si="11"/>
        <v/>
      </c>
      <c r="K80" s="238" t="str">
        <f>IF(B80="","Pending",IF(M80="","⚠️ Enter Code",IF(IFERROR(VLOOKUP(L80,DB_Agents!$B:$I,8,0),"")=M80,"Pending","🔒 BLOCKED — Wrong Code")))</f>
        <v>Pending</v>
      </c>
      <c r="L80" s="239" t="s">
        <v>142</v>
      </c>
      <c r="M80" s="240"/>
      <c r="N80" s="230"/>
    </row>
    <row r="81" spans="1:14" ht="18" customHeight="1" x14ac:dyDescent="0.25">
      <c r="A81" s="241" t="str">
        <f t="shared" si="8"/>
        <v/>
      </c>
      <c r="B81" s="242"/>
      <c r="C81" s="243" t="str">
        <f>IF(B81="","",IFERROR(VLOOKUP(B81,DB_Customers!$A:$D,4,0),"❌ Account Not Found"))</f>
        <v/>
      </c>
      <c r="D81" s="244" t="str">
        <f t="shared" ca="1" si="9"/>
        <v/>
      </c>
      <c r="E81" s="245"/>
      <c r="F81" s="243"/>
      <c r="G81" s="246"/>
      <c r="H81" s="247">
        <v>2.5</v>
      </c>
      <c r="I81" s="248" t="str">
        <f t="shared" si="10"/>
        <v/>
      </c>
      <c r="J81" s="249" t="str">
        <f t="shared" si="11"/>
        <v/>
      </c>
      <c r="K81" s="250" t="str">
        <f>IF(B81="","Pending",IF(M81="","⚠️ Enter Code",IF(IFERROR(VLOOKUP(L81,DB_Agents!$B:$I,8,0),"")=M81,"Pending","🔒 BLOCKED — Wrong Code")))</f>
        <v>Pending</v>
      </c>
      <c r="L81" s="251" t="s">
        <v>142</v>
      </c>
      <c r="M81" s="252"/>
      <c r="N81" s="242"/>
    </row>
    <row r="82" spans="1:14" ht="18" customHeight="1" x14ac:dyDescent="0.25">
      <c r="A82" s="229" t="str">
        <f t="shared" si="8"/>
        <v/>
      </c>
      <c r="B82" s="230"/>
      <c r="C82" s="231" t="str">
        <f>IF(B82="","",IFERROR(VLOOKUP(B82,DB_Customers!$A:$D,4,0),"❌ Account Not Found"))</f>
        <v/>
      </c>
      <c r="D82" s="232" t="str">
        <f t="shared" ca="1" si="9"/>
        <v/>
      </c>
      <c r="E82" s="233"/>
      <c r="F82" s="231"/>
      <c r="G82" s="234"/>
      <c r="H82" s="235">
        <v>2.5</v>
      </c>
      <c r="I82" s="236" t="str">
        <f t="shared" si="10"/>
        <v/>
      </c>
      <c r="J82" s="237" t="str">
        <f t="shared" si="11"/>
        <v/>
      </c>
      <c r="K82" s="238" t="str">
        <f>IF(B82="","Pending",IF(M82="","⚠️ Enter Code",IF(IFERROR(VLOOKUP(L82,DB_Agents!$B:$I,8,0),"")=M82,"Pending","🔒 BLOCKED — Wrong Code")))</f>
        <v>Pending</v>
      </c>
      <c r="L82" s="239" t="s">
        <v>142</v>
      </c>
      <c r="M82" s="240"/>
      <c r="N82" s="230"/>
    </row>
    <row r="83" spans="1:14" ht="18" customHeight="1" x14ac:dyDescent="0.25">
      <c r="A83" s="241" t="str">
        <f t="shared" si="8"/>
        <v/>
      </c>
      <c r="B83" s="242"/>
      <c r="C83" s="243" t="str">
        <f>IF(B83="","",IFERROR(VLOOKUP(B83,DB_Customers!$A:$D,4,0),"❌ Account Not Found"))</f>
        <v/>
      </c>
      <c r="D83" s="244" t="str">
        <f t="shared" ca="1" si="9"/>
        <v/>
      </c>
      <c r="E83" s="245"/>
      <c r="F83" s="243"/>
      <c r="G83" s="246"/>
      <c r="H83" s="247">
        <v>2.5</v>
      </c>
      <c r="I83" s="248" t="str">
        <f t="shared" si="10"/>
        <v/>
      </c>
      <c r="J83" s="249" t="str">
        <f t="shared" si="11"/>
        <v/>
      </c>
      <c r="K83" s="250" t="str">
        <f>IF(B83="","Pending",IF(M83="","⚠️ Enter Code",IF(IFERROR(VLOOKUP(L83,DB_Agents!$B:$I,8,0),"")=M83,"Pending","🔒 BLOCKED — Wrong Code")))</f>
        <v>Pending</v>
      </c>
      <c r="L83" s="251" t="s">
        <v>142</v>
      </c>
      <c r="M83" s="252"/>
      <c r="N83" s="242"/>
    </row>
    <row r="84" spans="1:14" ht="18" customHeight="1" x14ac:dyDescent="0.25">
      <c r="A84" s="229" t="str">
        <f t="shared" si="8"/>
        <v/>
      </c>
      <c r="B84" s="230"/>
      <c r="C84" s="231" t="str">
        <f>IF(B84="","",IFERROR(VLOOKUP(B84,DB_Customers!$A:$D,4,0),"❌ Account Not Found"))</f>
        <v/>
      </c>
      <c r="D84" s="232" t="str">
        <f t="shared" ca="1" si="9"/>
        <v/>
      </c>
      <c r="E84" s="233"/>
      <c r="F84" s="231"/>
      <c r="G84" s="234"/>
      <c r="H84" s="235">
        <v>2.5</v>
      </c>
      <c r="I84" s="236" t="str">
        <f t="shared" si="10"/>
        <v/>
      </c>
      <c r="J84" s="237" t="str">
        <f t="shared" si="11"/>
        <v/>
      </c>
      <c r="K84" s="238" t="str">
        <f>IF(B84="","Pending",IF(M84="","⚠️ Enter Code",IF(IFERROR(VLOOKUP(L84,DB_Agents!$B:$I,8,0),"")=M84,"Pending","🔒 BLOCKED — Wrong Code")))</f>
        <v>Pending</v>
      </c>
      <c r="L84" s="239" t="s">
        <v>142</v>
      </c>
      <c r="M84" s="240"/>
      <c r="N84" s="230"/>
    </row>
    <row r="85" spans="1:14" ht="18" customHeight="1" x14ac:dyDescent="0.25">
      <c r="A85" s="241" t="str">
        <f t="shared" si="8"/>
        <v/>
      </c>
      <c r="B85" s="242"/>
      <c r="C85" s="243" t="str">
        <f>IF(B85="","",IFERROR(VLOOKUP(B85,DB_Customers!$A:$D,4,0),"❌ Account Not Found"))</f>
        <v/>
      </c>
      <c r="D85" s="244" t="str">
        <f t="shared" ca="1" si="9"/>
        <v/>
      </c>
      <c r="E85" s="245"/>
      <c r="F85" s="243"/>
      <c r="G85" s="246"/>
      <c r="H85" s="247">
        <v>2.5</v>
      </c>
      <c r="I85" s="248" t="str">
        <f t="shared" si="10"/>
        <v/>
      </c>
      <c r="J85" s="249" t="str">
        <f t="shared" si="11"/>
        <v/>
      </c>
      <c r="K85" s="250" t="str">
        <f>IF(B85="","Pending",IF(M85="","⚠️ Enter Code",IF(IFERROR(VLOOKUP(L85,DB_Agents!$B:$I,8,0),"")=M85,"Pending","🔒 BLOCKED — Wrong Code")))</f>
        <v>Pending</v>
      </c>
      <c r="L85" s="251" t="s">
        <v>142</v>
      </c>
      <c r="M85" s="252"/>
      <c r="N85" s="242"/>
    </row>
    <row r="86" spans="1:14" ht="18" customHeight="1" x14ac:dyDescent="0.25">
      <c r="A86" s="229" t="str">
        <f t="shared" si="8"/>
        <v/>
      </c>
      <c r="B86" s="230"/>
      <c r="C86" s="231" t="str">
        <f>IF(B86="","",IFERROR(VLOOKUP(B86,DB_Customers!$A:$D,4,0),"❌ Account Not Found"))</f>
        <v/>
      </c>
      <c r="D86" s="232" t="str">
        <f t="shared" ca="1" si="9"/>
        <v/>
      </c>
      <c r="E86" s="233"/>
      <c r="F86" s="231"/>
      <c r="G86" s="234"/>
      <c r="H86" s="235">
        <v>2.5</v>
      </c>
      <c r="I86" s="236" t="str">
        <f t="shared" si="10"/>
        <v/>
      </c>
      <c r="J86" s="237" t="str">
        <f t="shared" si="11"/>
        <v/>
      </c>
      <c r="K86" s="238" t="str">
        <f>IF(B86="","Pending",IF(M86="","⚠️ Enter Code",IF(IFERROR(VLOOKUP(L86,DB_Agents!$B:$I,8,0),"")=M86,"Pending","🔒 BLOCKED — Wrong Code")))</f>
        <v>Pending</v>
      </c>
      <c r="L86" s="239" t="s">
        <v>142</v>
      </c>
      <c r="M86" s="240"/>
      <c r="N86" s="230"/>
    </row>
    <row r="87" spans="1:14" ht="18" customHeight="1" x14ac:dyDescent="0.25">
      <c r="A87" s="241" t="str">
        <f t="shared" si="8"/>
        <v/>
      </c>
      <c r="B87" s="242"/>
      <c r="C87" s="243" t="str">
        <f>IF(B87="","",IFERROR(VLOOKUP(B87,DB_Customers!$A:$D,4,0),"❌ Account Not Found"))</f>
        <v/>
      </c>
      <c r="D87" s="244" t="str">
        <f t="shared" ca="1" si="9"/>
        <v/>
      </c>
      <c r="E87" s="245"/>
      <c r="F87" s="243"/>
      <c r="G87" s="246"/>
      <c r="H87" s="247">
        <v>2.5</v>
      </c>
      <c r="I87" s="248" t="str">
        <f t="shared" si="10"/>
        <v/>
      </c>
      <c r="J87" s="249" t="str">
        <f t="shared" si="11"/>
        <v/>
      </c>
      <c r="K87" s="250" t="str">
        <f>IF(B87="","Pending",IF(M87="","⚠️ Enter Code",IF(IFERROR(VLOOKUP(L87,DB_Agents!$B:$I,8,0),"")=M87,"Pending","🔒 BLOCKED — Wrong Code")))</f>
        <v>Pending</v>
      </c>
      <c r="L87" s="251" t="s">
        <v>142</v>
      </c>
      <c r="M87" s="252"/>
      <c r="N87" s="242"/>
    </row>
    <row r="88" spans="1:14" ht="18" customHeight="1" x14ac:dyDescent="0.25">
      <c r="A88" s="229" t="str">
        <f t="shared" si="8"/>
        <v/>
      </c>
      <c r="B88" s="230"/>
      <c r="C88" s="231" t="str">
        <f>IF(B88="","",IFERROR(VLOOKUP(B88,DB_Customers!$A:$D,4,0),"❌ Account Not Found"))</f>
        <v/>
      </c>
      <c r="D88" s="232" t="str">
        <f t="shared" ca="1" si="9"/>
        <v/>
      </c>
      <c r="E88" s="233"/>
      <c r="F88" s="231"/>
      <c r="G88" s="234"/>
      <c r="H88" s="235">
        <v>2.5</v>
      </c>
      <c r="I88" s="236" t="str">
        <f t="shared" si="10"/>
        <v/>
      </c>
      <c r="J88" s="237" t="str">
        <f t="shared" si="11"/>
        <v/>
      </c>
      <c r="K88" s="238" t="str">
        <f>IF(B88="","Pending",IF(M88="","⚠️ Enter Code",IF(IFERROR(VLOOKUP(L88,DB_Agents!$B:$I,8,0),"")=M88,"Pending","🔒 BLOCKED — Wrong Code")))</f>
        <v>Pending</v>
      </c>
      <c r="L88" s="239" t="s">
        <v>142</v>
      </c>
      <c r="M88" s="240"/>
      <c r="N88" s="230"/>
    </row>
    <row r="89" spans="1:14" ht="18" customHeight="1" x14ac:dyDescent="0.25">
      <c r="A89" s="241" t="str">
        <f t="shared" si="8"/>
        <v/>
      </c>
      <c r="B89" s="242"/>
      <c r="C89" s="243" t="str">
        <f>IF(B89="","",IFERROR(VLOOKUP(B89,DB_Customers!$A:$D,4,0),"❌ Account Not Found"))</f>
        <v/>
      </c>
      <c r="D89" s="244" t="str">
        <f t="shared" ca="1" si="9"/>
        <v/>
      </c>
      <c r="E89" s="245"/>
      <c r="F89" s="243"/>
      <c r="G89" s="246"/>
      <c r="H89" s="247">
        <v>2.5</v>
      </c>
      <c r="I89" s="248" t="str">
        <f t="shared" si="10"/>
        <v/>
      </c>
      <c r="J89" s="249" t="str">
        <f t="shared" si="11"/>
        <v/>
      </c>
      <c r="K89" s="250" t="str">
        <f>IF(B89="","Pending",IF(M89="","⚠️ Enter Code",IF(IFERROR(VLOOKUP(L89,DB_Agents!$B:$I,8,0),"")=M89,"Pending","🔒 BLOCKED — Wrong Code")))</f>
        <v>Pending</v>
      </c>
      <c r="L89" s="251" t="s">
        <v>142</v>
      </c>
      <c r="M89" s="252"/>
      <c r="N89" s="242"/>
    </row>
    <row r="90" spans="1:14" ht="18" customHeight="1" x14ac:dyDescent="0.25">
      <c r="A90" s="229" t="str">
        <f t="shared" si="8"/>
        <v/>
      </c>
      <c r="B90" s="230"/>
      <c r="C90" s="231" t="str">
        <f>IF(B90="","",IFERROR(VLOOKUP(B90,DB_Customers!$A:$D,4,0),"❌ Account Not Found"))</f>
        <v/>
      </c>
      <c r="D90" s="232" t="str">
        <f t="shared" ca="1" si="9"/>
        <v/>
      </c>
      <c r="E90" s="233"/>
      <c r="F90" s="231"/>
      <c r="G90" s="234"/>
      <c r="H90" s="235">
        <v>2.5</v>
      </c>
      <c r="I90" s="236" t="str">
        <f t="shared" si="10"/>
        <v/>
      </c>
      <c r="J90" s="237" t="str">
        <f t="shared" si="11"/>
        <v/>
      </c>
      <c r="K90" s="238" t="str">
        <f>IF(B90="","Pending",IF(M90="","⚠️ Enter Code",IF(IFERROR(VLOOKUP(L90,DB_Agents!$B:$I,8,0),"")=M90,"Pending","🔒 BLOCKED — Wrong Code")))</f>
        <v>Pending</v>
      </c>
      <c r="L90" s="239" t="s">
        <v>142</v>
      </c>
      <c r="M90" s="240"/>
      <c r="N90" s="230"/>
    </row>
    <row r="91" spans="1:14" ht="18" customHeight="1" x14ac:dyDescent="0.25">
      <c r="A91" s="241" t="str">
        <f t="shared" si="8"/>
        <v/>
      </c>
      <c r="B91" s="242"/>
      <c r="C91" s="243" t="str">
        <f>IF(B91="","",IFERROR(VLOOKUP(B91,DB_Customers!$A:$D,4,0),"❌ Account Not Found"))</f>
        <v/>
      </c>
      <c r="D91" s="244" t="str">
        <f t="shared" ca="1" si="9"/>
        <v/>
      </c>
      <c r="E91" s="245"/>
      <c r="F91" s="243"/>
      <c r="G91" s="246"/>
      <c r="H91" s="247">
        <v>2.5</v>
      </c>
      <c r="I91" s="248" t="str">
        <f t="shared" si="10"/>
        <v/>
      </c>
      <c r="J91" s="249" t="str">
        <f t="shared" si="11"/>
        <v/>
      </c>
      <c r="K91" s="250" t="str">
        <f>IF(B91="","Pending",IF(M91="","⚠️ Enter Code",IF(IFERROR(VLOOKUP(L91,DB_Agents!$B:$I,8,0),"")=M91,"Pending","🔒 BLOCKED — Wrong Code")))</f>
        <v>Pending</v>
      </c>
      <c r="L91" s="251" t="s">
        <v>142</v>
      </c>
      <c r="M91" s="252"/>
      <c r="N91" s="242"/>
    </row>
    <row r="92" spans="1:14" ht="18" customHeight="1" x14ac:dyDescent="0.25">
      <c r="A92" s="229" t="str">
        <f t="shared" si="8"/>
        <v/>
      </c>
      <c r="B92" s="230"/>
      <c r="C92" s="231" t="str">
        <f>IF(B92="","",IFERROR(VLOOKUP(B92,DB_Customers!$A:$D,4,0),"❌ Account Not Found"))</f>
        <v/>
      </c>
      <c r="D92" s="232" t="str">
        <f t="shared" ca="1" si="9"/>
        <v/>
      </c>
      <c r="E92" s="233"/>
      <c r="F92" s="231"/>
      <c r="G92" s="234"/>
      <c r="H92" s="235">
        <v>2.5</v>
      </c>
      <c r="I92" s="236" t="str">
        <f t="shared" si="10"/>
        <v/>
      </c>
      <c r="J92" s="237" t="str">
        <f t="shared" si="11"/>
        <v/>
      </c>
      <c r="K92" s="238" t="str">
        <f>IF(B92="","Pending",IF(M92="","⚠️ Enter Code",IF(IFERROR(VLOOKUP(L92,DB_Agents!$B:$I,8,0),"")=M92,"Pending","🔒 BLOCKED — Wrong Code")))</f>
        <v>Pending</v>
      </c>
      <c r="L92" s="239" t="s">
        <v>142</v>
      </c>
      <c r="M92" s="240"/>
      <c r="N92" s="230"/>
    </row>
    <row r="93" spans="1:14" ht="18" customHeight="1" x14ac:dyDescent="0.25">
      <c r="A93" s="241" t="str">
        <f t="shared" si="8"/>
        <v/>
      </c>
      <c r="B93" s="242"/>
      <c r="C93" s="243" t="str">
        <f>IF(B93="","",IFERROR(VLOOKUP(B93,DB_Customers!$A:$D,4,0),"❌ Account Not Found"))</f>
        <v/>
      </c>
      <c r="D93" s="244" t="str">
        <f t="shared" ca="1" si="9"/>
        <v/>
      </c>
      <c r="E93" s="245"/>
      <c r="F93" s="243"/>
      <c r="G93" s="246"/>
      <c r="H93" s="247">
        <v>2.5</v>
      </c>
      <c r="I93" s="248" t="str">
        <f t="shared" si="10"/>
        <v/>
      </c>
      <c r="J93" s="249" t="str">
        <f t="shared" si="11"/>
        <v/>
      </c>
      <c r="K93" s="250" t="str">
        <f>IF(B93="","Pending",IF(M93="","⚠️ Enter Code",IF(IFERROR(VLOOKUP(L93,DB_Agents!$B:$I,8,0),"")=M93,"Pending","🔒 BLOCKED — Wrong Code")))</f>
        <v>Pending</v>
      </c>
      <c r="L93" s="251" t="s">
        <v>142</v>
      </c>
      <c r="M93" s="252"/>
      <c r="N93" s="242"/>
    </row>
    <row r="94" spans="1:14" ht="18" customHeight="1" x14ac:dyDescent="0.25">
      <c r="A94" s="229" t="str">
        <f t="shared" si="8"/>
        <v/>
      </c>
      <c r="B94" s="230"/>
      <c r="C94" s="231" t="str">
        <f>IF(B94="","",IFERROR(VLOOKUP(B94,DB_Customers!$A:$D,4,0),"❌ Account Not Found"))</f>
        <v/>
      </c>
      <c r="D94" s="232" t="str">
        <f t="shared" ca="1" si="9"/>
        <v/>
      </c>
      <c r="E94" s="233"/>
      <c r="F94" s="231"/>
      <c r="G94" s="234"/>
      <c r="H94" s="235">
        <v>2.5</v>
      </c>
      <c r="I94" s="236" t="str">
        <f t="shared" si="10"/>
        <v/>
      </c>
      <c r="J94" s="237" t="str">
        <f t="shared" si="11"/>
        <v/>
      </c>
      <c r="K94" s="238" t="str">
        <f>IF(B94="","Pending",IF(M94="","⚠️ Enter Code",IF(IFERROR(VLOOKUP(L94,DB_Agents!$B:$I,8,0),"")=M94,"Pending","🔒 BLOCKED — Wrong Code")))</f>
        <v>Pending</v>
      </c>
      <c r="L94" s="239" t="s">
        <v>142</v>
      </c>
      <c r="M94" s="240"/>
      <c r="N94" s="230"/>
    </row>
    <row r="95" spans="1:14" ht="18" customHeight="1" x14ac:dyDescent="0.25">
      <c r="A95" s="241" t="str">
        <f t="shared" si="8"/>
        <v/>
      </c>
      <c r="B95" s="242"/>
      <c r="C95" s="243" t="str">
        <f>IF(B95="","",IFERROR(VLOOKUP(B95,DB_Customers!$A:$D,4,0),"❌ Account Not Found"))</f>
        <v/>
      </c>
      <c r="D95" s="244" t="str">
        <f t="shared" ca="1" si="9"/>
        <v/>
      </c>
      <c r="E95" s="245"/>
      <c r="F95" s="243"/>
      <c r="G95" s="246"/>
      <c r="H95" s="247">
        <v>2.5</v>
      </c>
      <c r="I95" s="248" t="str">
        <f t="shared" si="10"/>
        <v/>
      </c>
      <c r="J95" s="249" t="str">
        <f t="shared" si="11"/>
        <v/>
      </c>
      <c r="K95" s="250" t="str">
        <f>IF(B95="","Pending",IF(M95="","⚠️ Enter Code",IF(IFERROR(VLOOKUP(L95,DB_Agents!$B:$I,8,0),"")=M95,"Pending","🔒 BLOCKED — Wrong Code")))</f>
        <v>Pending</v>
      </c>
      <c r="L95" s="251" t="s">
        <v>142</v>
      </c>
      <c r="M95" s="252"/>
      <c r="N95" s="242"/>
    </row>
    <row r="96" spans="1:14" ht="18" customHeight="1" x14ac:dyDescent="0.25">
      <c r="A96" s="229" t="str">
        <f t="shared" si="8"/>
        <v/>
      </c>
      <c r="B96" s="230"/>
      <c r="C96" s="231" t="str">
        <f>IF(B96="","",IFERROR(VLOOKUP(B96,DB_Customers!$A:$D,4,0),"❌ Account Not Found"))</f>
        <v/>
      </c>
      <c r="D96" s="232" t="str">
        <f t="shared" ca="1" si="9"/>
        <v/>
      </c>
      <c r="E96" s="233"/>
      <c r="F96" s="231"/>
      <c r="G96" s="234"/>
      <c r="H96" s="235">
        <v>2.5</v>
      </c>
      <c r="I96" s="236" t="str">
        <f t="shared" si="10"/>
        <v/>
      </c>
      <c r="J96" s="237" t="str">
        <f t="shared" si="11"/>
        <v/>
      </c>
      <c r="K96" s="238" t="str">
        <f>IF(B96="","Pending",IF(M96="","⚠️ Enter Code",IF(IFERROR(VLOOKUP(L96,DB_Agents!$B:$I,8,0),"")=M96,"Pending","🔒 BLOCKED — Wrong Code")))</f>
        <v>Pending</v>
      </c>
      <c r="L96" s="239" t="s">
        <v>142</v>
      </c>
      <c r="M96" s="240"/>
      <c r="N96" s="230"/>
    </row>
    <row r="97" spans="1:14" ht="18" customHeight="1" x14ac:dyDescent="0.25">
      <c r="A97" s="241" t="str">
        <f t="shared" si="8"/>
        <v/>
      </c>
      <c r="B97" s="242"/>
      <c r="C97" s="243" t="str">
        <f>IF(B97="","",IFERROR(VLOOKUP(B97,DB_Customers!$A:$D,4,0),"❌ Account Not Found"))</f>
        <v/>
      </c>
      <c r="D97" s="244" t="str">
        <f t="shared" ca="1" si="9"/>
        <v/>
      </c>
      <c r="E97" s="245"/>
      <c r="F97" s="243"/>
      <c r="G97" s="246"/>
      <c r="H97" s="247">
        <v>2.5</v>
      </c>
      <c r="I97" s="248" t="str">
        <f t="shared" si="10"/>
        <v/>
      </c>
      <c r="J97" s="249" t="str">
        <f t="shared" si="11"/>
        <v/>
      </c>
      <c r="K97" s="250" t="str">
        <f>IF(B97="","Pending",IF(M97="","⚠️ Enter Code",IF(IFERROR(VLOOKUP(L97,DB_Agents!$B:$I,8,0),"")=M97,"Pending","🔒 BLOCKED — Wrong Code")))</f>
        <v>Pending</v>
      </c>
      <c r="L97" s="251" t="s">
        <v>142</v>
      </c>
      <c r="M97" s="252"/>
      <c r="N97" s="242"/>
    </row>
    <row r="98" spans="1:14" ht="18" customHeight="1" x14ac:dyDescent="0.25">
      <c r="A98" s="229" t="str">
        <f t="shared" si="8"/>
        <v/>
      </c>
      <c r="B98" s="230"/>
      <c r="C98" s="231" t="str">
        <f>IF(B98="","",IFERROR(VLOOKUP(B98,DB_Customers!$A:$D,4,0),"❌ Account Not Found"))</f>
        <v/>
      </c>
      <c r="D98" s="232" t="str">
        <f t="shared" ca="1" si="9"/>
        <v/>
      </c>
      <c r="E98" s="233"/>
      <c r="F98" s="231"/>
      <c r="G98" s="234"/>
      <c r="H98" s="235">
        <v>2.5</v>
      </c>
      <c r="I98" s="236" t="str">
        <f t="shared" si="10"/>
        <v/>
      </c>
      <c r="J98" s="237" t="str">
        <f t="shared" si="11"/>
        <v/>
      </c>
      <c r="K98" s="238" t="str">
        <f>IF(B98="","Pending",IF(M98="","⚠️ Enter Code",IF(IFERROR(VLOOKUP(L98,DB_Agents!$B:$I,8,0),"")=M98,"Pending","🔒 BLOCKED — Wrong Code")))</f>
        <v>Pending</v>
      </c>
      <c r="L98" s="239" t="s">
        <v>142</v>
      </c>
      <c r="M98" s="240"/>
      <c r="N98" s="230"/>
    </row>
    <row r="99" spans="1:14" ht="18" customHeight="1" x14ac:dyDescent="0.25">
      <c r="A99" s="241" t="str">
        <f t="shared" si="8"/>
        <v/>
      </c>
      <c r="B99" s="242"/>
      <c r="C99" s="243" t="str">
        <f>IF(B99="","",IFERROR(VLOOKUP(B99,DB_Customers!$A:$D,4,0),"❌ Account Not Found"))</f>
        <v/>
      </c>
      <c r="D99" s="244" t="str">
        <f t="shared" ca="1" si="9"/>
        <v/>
      </c>
      <c r="E99" s="245"/>
      <c r="F99" s="243"/>
      <c r="G99" s="246"/>
      <c r="H99" s="247">
        <v>2.5</v>
      </c>
      <c r="I99" s="248" t="str">
        <f t="shared" si="10"/>
        <v/>
      </c>
      <c r="J99" s="249" t="str">
        <f t="shared" si="11"/>
        <v/>
      </c>
      <c r="K99" s="250" t="str">
        <f>IF(B99="","Pending",IF(M99="","⚠️ Enter Code",IF(IFERROR(VLOOKUP(L99,DB_Agents!$B:$I,8,0),"")=M99,"Pending","🔒 BLOCKED — Wrong Code")))</f>
        <v>Pending</v>
      </c>
      <c r="L99" s="251" t="s">
        <v>142</v>
      </c>
      <c r="M99" s="252"/>
      <c r="N99" s="242"/>
    </row>
    <row r="100" spans="1:14" ht="18" customHeight="1" x14ac:dyDescent="0.25">
      <c r="A100" s="229" t="str">
        <f t="shared" si="8"/>
        <v/>
      </c>
      <c r="B100" s="230"/>
      <c r="C100" s="231" t="str">
        <f>IF(B100="","",IFERROR(VLOOKUP(B100,DB_Customers!$A:$D,4,0),"❌ Account Not Found"))</f>
        <v/>
      </c>
      <c r="D100" s="232" t="str">
        <f t="shared" ca="1" si="9"/>
        <v/>
      </c>
      <c r="E100" s="233"/>
      <c r="F100" s="231"/>
      <c r="G100" s="234"/>
      <c r="H100" s="235">
        <v>2.5</v>
      </c>
      <c r="I100" s="236" t="str">
        <f t="shared" si="10"/>
        <v/>
      </c>
      <c r="J100" s="237" t="str">
        <f t="shared" si="11"/>
        <v/>
      </c>
      <c r="K100" s="238" t="str">
        <f>IF(B100="","Pending",IF(M100="","⚠️ Enter Code",IF(IFERROR(VLOOKUP(L100,DB_Agents!$B:$I,8,0),"")=M100,"Pending","🔒 BLOCKED — Wrong Code")))</f>
        <v>Pending</v>
      </c>
      <c r="L100" s="239" t="s">
        <v>142</v>
      </c>
      <c r="M100" s="240"/>
      <c r="N100" s="230"/>
    </row>
    <row r="101" spans="1:14" ht="18" customHeight="1" x14ac:dyDescent="0.25">
      <c r="A101" s="241" t="str">
        <f t="shared" si="8"/>
        <v/>
      </c>
      <c r="B101" s="242"/>
      <c r="C101" s="243" t="str">
        <f>IF(B101="","",IFERROR(VLOOKUP(B101,DB_Customers!$A:$D,4,0),"❌ Account Not Found"))</f>
        <v/>
      </c>
      <c r="D101" s="244" t="str">
        <f t="shared" ca="1" si="9"/>
        <v/>
      </c>
      <c r="E101" s="245"/>
      <c r="F101" s="243"/>
      <c r="G101" s="246"/>
      <c r="H101" s="247">
        <v>2.5</v>
      </c>
      <c r="I101" s="248" t="str">
        <f t="shared" si="10"/>
        <v/>
      </c>
      <c r="J101" s="249" t="str">
        <f t="shared" si="11"/>
        <v/>
      </c>
      <c r="K101" s="250" t="str">
        <f>IF(B101="","Pending",IF(M101="","⚠️ Enter Code",IF(IFERROR(VLOOKUP(L101,DB_Agents!$B:$I,8,0),"")=M101,"Pending","🔒 BLOCKED — Wrong Code")))</f>
        <v>Pending</v>
      </c>
      <c r="L101" s="251" t="s">
        <v>142</v>
      </c>
      <c r="M101" s="252"/>
      <c r="N101" s="242"/>
    </row>
    <row r="102" spans="1:14" ht="18" customHeight="1" x14ac:dyDescent="0.25">
      <c r="A102" s="229" t="str">
        <f t="shared" si="8"/>
        <v/>
      </c>
      <c r="B102" s="230"/>
      <c r="C102" s="231" t="str">
        <f>IF(B102="","",IFERROR(VLOOKUP(B102,DB_Customers!$A:$D,4,0),"❌ Account Not Found"))</f>
        <v/>
      </c>
      <c r="D102" s="232" t="str">
        <f t="shared" ca="1" si="9"/>
        <v/>
      </c>
      <c r="E102" s="233"/>
      <c r="F102" s="231"/>
      <c r="G102" s="234"/>
      <c r="H102" s="235">
        <v>2.5</v>
      </c>
      <c r="I102" s="236" t="str">
        <f t="shared" si="10"/>
        <v/>
      </c>
      <c r="J102" s="237" t="str">
        <f t="shared" si="11"/>
        <v/>
      </c>
      <c r="K102" s="238" t="str">
        <f>IF(B102="","Pending",IF(M102="","⚠️ Enter Code",IF(IFERROR(VLOOKUP(L102,DB_Agents!$B:$I,8,0),"")=M102,"Pending","🔒 BLOCKED — Wrong Code")))</f>
        <v>Pending</v>
      </c>
      <c r="L102" s="239" t="s">
        <v>142</v>
      </c>
      <c r="M102" s="240"/>
      <c r="N102" s="230"/>
    </row>
    <row r="103" spans="1:14" ht="18" customHeight="1" x14ac:dyDescent="0.25">
      <c r="A103" s="241" t="str">
        <f t="shared" si="8"/>
        <v/>
      </c>
      <c r="B103" s="242"/>
      <c r="C103" s="243" t="str">
        <f>IF(B103="","",IFERROR(VLOOKUP(B103,DB_Customers!$A:$D,4,0),"❌ Account Not Found"))</f>
        <v/>
      </c>
      <c r="D103" s="244" t="str">
        <f t="shared" ca="1" si="9"/>
        <v/>
      </c>
      <c r="E103" s="245"/>
      <c r="F103" s="243"/>
      <c r="G103" s="246"/>
      <c r="H103" s="247">
        <v>2.5</v>
      </c>
      <c r="I103" s="248" t="str">
        <f t="shared" si="10"/>
        <v/>
      </c>
      <c r="J103" s="249" t="str">
        <f t="shared" si="11"/>
        <v/>
      </c>
      <c r="K103" s="250" t="str">
        <f>IF(B103="","Pending",IF(M103="","⚠️ Enter Code",IF(IFERROR(VLOOKUP(L103,DB_Agents!$B:$I,8,0),"")=M103,"Pending","🔒 BLOCKED — Wrong Code")))</f>
        <v>Pending</v>
      </c>
      <c r="L103" s="251" t="s">
        <v>142</v>
      </c>
      <c r="M103" s="252"/>
      <c r="N103" s="242"/>
    </row>
    <row r="104" spans="1:14" ht="18" customHeight="1" x14ac:dyDescent="0.25">
      <c r="A104" s="229" t="str">
        <f t="shared" si="8"/>
        <v/>
      </c>
      <c r="B104" s="230"/>
      <c r="C104" s="231" t="str">
        <f>IF(B104="","",IFERROR(VLOOKUP(B104,DB_Customers!$A:$D,4,0),"❌ Account Not Found"))</f>
        <v/>
      </c>
      <c r="D104" s="232" t="str">
        <f t="shared" ca="1" si="9"/>
        <v/>
      </c>
      <c r="E104" s="233"/>
      <c r="F104" s="231"/>
      <c r="G104" s="234"/>
      <c r="H104" s="235">
        <v>2.5</v>
      </c>
      <c r="I104" s="236" t="str">
        <f t="shared" si="10"/>
        <v/>
      </c>
      <c r="J104" s="237" t="str">
        <f t="shared" si="11"/>
        <v/>
      </c>
      <c r="K104" s="238" t="str">
        <f>IF(B104="","Pending",IF(M104="","⚠️ Enter Code",IF(IFERROR(VLOOKUP(L104,DB_Agents!$B:$I,8,0),"")=M104,"Pending","🔒 BLOCKED — Wrong Code")))</f>
        <v>Pending</v>
      </c>
      <c r="L104" s="239" t="s">
        <v>142</v>
      </c>
      <c r="M104" s="240"/>
      <c r="N104" s="230"/>
    </row>
    <row r="105" spans="1:14" ht="18" customHeight="1" x14ac:dyDescent="0.25">
      <c r="A105" s="241" t="str">
        <f t="shared" si="8"/>
        <v/>
      </c>
      <c r="B105" s="242"/>
      <c r="C105" s="243" t="str">
        <f>IF(B105="","",IFERROR(VLOOKUP(B105,DB_Customers!$A:$D,4,0),"❌ Account Not Found"))</f>
        <v/>
      </c>
      <c r="D105" s="244" t="str">
        <f t="shared" ca="1" si="9"/>
        <v/>
      </c>
      <c r="E105" s="245"/>
      <c r="F105" s="243"/>
      <c r="G105" s="246"/>
      <c r="H105" s="247">
        <v>2.5</v>
      </c>
      <c r="I105" s="248" t="str">
        <f t="shared" si="10"/>
        <v/>
      </c>
      <c r="J105" s="249" t="str">
        <f t="shared" si="11"/>
        <v/>
      </c>
      <c r="K105" s="250" t="str">
        <f>IF(B105="","Pending",IF(M105="","⚠️ Enter Code",IF(IFERROR(VLOOKUP(L105,DB_Agents!$B:$I,8,0),"")=M105,"Pending","🔒 BLOCKED — Wrong Code")))</f>
        <v>Pending</v>
      </c>
      <c r="L105" s="251" t="s">
        <v>142</v>
      </c>
      <c r="M105" s="252"/>
      <c r="N105" s="242"/>
    </row>
    <row r="106" spans="1:14" ht="18" customHeight="1" x14ac:dyDescent="0.25">
      <c r="A106" s="229" t="str">
        <f t="shared" si="8"/>
        <v/>
      </c>
      <c r="B106" s="230"/>
      <c r="C106" s="231" t="str">
        <f>IF(B106="","",IFERROR(VLOOKUP(B106,DB_Customers!$A:$D,4,0),"❌ Account Not Found"))</f>
        <v/>
      </c>
      <c r="D106" s="232" t="str">
        <f t="shared" ca="1" si="9"/>
        <v/>
      </c>
      <c r="E106" s="233"/>
      <c r="F106" s="231"/>
      <c r="G106" s="234"/>
      <c r="H106" s="235">
        <v>2.5</v>
      </c>
      <c r="I106" s="236" t="str">
        <f t="shared" si="10"/>
        <v/>
      </c>
      <c r="J106" s="237" t="str">
        <f t="shared" si="11"/>
        <v/>
      </c>
      <c r="K106" s="238" t="str">
        <f>IF(B106="","Pending",IF(M106="","⚠️ Enter Code",IF(IFERROR(VLOOKUP(L106,DB_Agents!$B:$I,8,0),"")=M106,"Pending","🔒 BLOCKED — Wrong Code")))</f>
        <v>Pending</v>
      </c>
      <c r="L106" s="239" t="s">
        <v>142</v>
      </c>
      <c r="M106" s="240"/>
      <c r="N106" s="230"/>
    </row>
    <row r="107" spans="1:14" ht="18" customHeight="1" x14ac:dyDescent="0.25">
      <c r="A107" s="241" t="str">
        <f t="shared" si="8"/>
        <v/>
      </c>
      <c r="B107" s="242"/>
      <c r="C107" s="243" t="str">
        <f>IF(B107="","",IFERROR(VLOOKUP(B107,DB_Customers!$A:$D,4,0),"❌ Account Not Found"))</f>
        <v/>
      </c>
      <c r="D107" s="244" t="str">
        <f t="shared" ca="1" si="9"/>
        <v/>
      </c>
      <c r="E107" s="245"/>
      <c r="F107" s="243"/>
      <c r="G107" s="246"/>
      <c r="H107" s="247">
        <v>2.5</v>
      </c>
      <c r="I107" s="248" t="str">
        <f t="shared" si="10"/>
        <v/>
      </c>
      <c r="J107" s="249" t="str">
        <f t="shared" si="11"/>
        <v/>
      </c>
      <c r="K107" s="250" t="str">
        <f>IF(B107="","Pending",IF(M107="","⚠️ Enter Code",IF(IFERROR(VLOOKUP(L107,DB_Agents!$B:$I,8,0),"")=M107,"Pending","🔒 BLOCKED — Wrong Code")))</f>
        <v>Pending</v>
      </c>
      <c r="L107" s="251" t="s">
        <v>142</v>
      </c>
      <c r="M107" s="252"/>
      <c r="N107" s="242"/>
    </row>
    <row r="108" spans="1:14" ht="18" customHeight="1" x14ac:dyDescent="0.25">
      <c r="A108" s="229" t="str">
        <f t="shared" si="8"/>
        <v/>
      </c>
      <c r="B108" s="230"/>
      <c r="C108" s="231" t="str">
        <f>IF(B108="","",IFERROR(VLOOKUP(B108,DB_Customers!$A:$D,4,0),"❌ Account Not Found"))</f>
        <v/>
      </c>
      <c r="D108" s="232" t="str">
        <f t="shared" ca="1" si="9"/>
        <v/>
      </c>
      <c r="E108" s="233"/>
      <c r="F108" s="231"/>
      <c r="G108" s="234"/>
      <c r="H108" s="235">
        <v>2.5</v>
      </c>
      <c r="I108" s="236" t="str">
        <f t="shared" si="10"/>
        <v/>
      </c>
      <c r="J108" s="237" t="str">
        <f t="shared" si="11"/>
        <v/>
      </c>
      <c r="K108" s="238" t="str">
        <f>IF(B108="","Pending",IF(M108="","⚠️ Enter Code",IF(IFERROR(VLOOKUP(L108,DB_Agents!$B:$I,8,0),"")=M108,"Pending","🔒 BLOCKED — Wrong Code")))</f>
        <v>Pending</v>
      </c>
      <c r="L108" s="239" t="s">
        <v>142</v>
      </c>
      <c r="M108" s="240"/>
      <c r="N108" s="230"/>
    </row>
    <row r="109" spans="1:14" ht="18" customHeight="1" x14ac:dyDescent="0.25">
      <c r="A109" s="241" t="str">
        <f t="shared" si="8"/>
        <v/>
      </c>
      <c r="B109" s="242"/>
      <c r="C109" s="243" t="str">
        <f>IF(B109="","",IFERROR(VLOOKUP(B109,DB_Customers!$A:$D,4,0),"❌ Account Not Found"))</f>
        <v/>
      </c>
      <c r="D109" s="244" t="str">
        <f t="shared" ca="1" si="9"/>
        <v/>
      </c>
      <c r="E109" s="245"/>
      <c r="F109" s="243"/>
      <c r="G109" s="246"/>
      <c r="H109" s="247">
        <v>2.5</v>
      </c>
      <c r="I109" s="248" t="str">
        <f t="shared" si="10"/>
        <v/>
      </c>
      <c r="J109" s="249" t="str">
        <f t="shared" si="11"/>
        <v/>
      </c>
      <c r="K109" s="250" t="str">
        <f>IF(B109="","Pending",IF(M109="","⚠️ Enter Code",IF(IFERROR(VLOOKUP(L109,DB_Agents!$B:$I,8,0),"")=M109,"Pending","🔒 BLOCKED — Wrong Code")))</f>
        <v>Pending</v>
      </c>
      <c r="L109" s="251" t="s">
        <v>142</v>
      </c>
      <c r="M109" s="252"/>
      <c r="N109" s="242"/>
    </row>
    <row r="110" spans="1:14" ht="18" customHeight="1" x14ac:dyDescent="0.25">
      <c r="A110" s="229" t="str">
        <f t="shared" ref="A110:A141" si="12">IF(B110="","",IF(C110="❌ Account Not Found","INVALID","LN"&amp;TEXT(D110,"YYYYMMDD")&amp;TEXT(ROW()-13,"0000")))</f>
        <v/>
      </c>
      <c r="B110" s="230"/>
      <c r="C110" s="231" t="str">
        <f>IF(B110="","",IFERROR(VLOOKUP(B110,DB_Customers!$A:$D,4,0),"❌ Account Not Found"))</f>
        <v/>
      </c>
      <c r="D110" s="232" t="str">
        <f t="shared" ref="D110:D141" ca="1" si="13">IF(B110="","",TODAY())</f>
        <v/>
      </c>
      <c r="E110" s="233"/>
      <c r="F110" s="231"/>
      <c r="G110" s="234"/>
      <c r="H110" s="235">
        <v>2.5</v>
      </c>
      <c r="I110" s="236" t="str">
        <f t="shared" ref="I110:I141" si="14">IF(E110="","",E110+(E110*H110/100*G110))</f>
        <v/>
      </c>
      <c r="J110" s="237" t="str">
        <f t="shared" ref="J110:J141" si="15">IFERROR(I110/G110,"")</f>
        <v/>
      </c>
      <c r="K110" s="238" t="str">
        <f>IF(B110="","Pending",IF(M110="","⚠️ Enter Code",IF(IFERROR(VLOOKUP(L110,DB_Agents!$B:$I,8,0),"")=M110,"Pending","🔒 BLOCKED — Wrong Code")))</f>
        <v>Pending</v>
      </c>
      <c r="L110" s="239" t="s">
        <v>142</v>
      </c>
      <c r="M110" s="240"/>
      <c r="N110" s="230"/>
    </row>
    <row r="111" spans="1:14" ht="18" customHeight="1" x14ac:dyDescent="0.25">
      <c r="A111" s="241" t="str">
        <f t="shared" si="12"/>
        <v/>
      </c>
      <c r="B111" s="242"/>
      <c r="C111" s="243" t="str">
        <f>IF(B111="","",IFERROR(VLOOKUP(B111,DB_Customers!$A:$D,4,0),"❌ Account Not Found"))</f>
        <v/>
      </c>
      <c r="D111" s="244" t="str">
        <f t="shared" ca="1" si="13"/>
        <v/>
      </c>
      <c r="E111" s="245"/>
      <c r="F111" s="243"/>
      <c r="G111" s="246"/>
      <c r="H111" s="247">
        <v>2.5</v>
      </c>
      <c r="I111" s="248" t="str">
        <f t="shared" si="14"/>
        <v/>
      </c>
      <c r="J111" s="249" t="str">
        <f t="shared" si="15"/>
        <v/>
      </c>
      <c r="K111" s="250" t="str">
        <f>IF(B111="","Pending",IF(M111="","⚠️ Enter Code",IF(IFERROR(VLOOKUP(L111,DB_Agents!$B:$I,8,0),"")=M111,"Pending","🔒 BLOCKED — Wrong Code")))</f>
        <v>Pending</v>
      </c>
      <c r="L111" s="251" t="s">
        <v>142</v>
      </c>
      <c r="M111" s="252"/>
      <c r="N111" s="242"/>
    </row>
    <row r="112" spans="1:14" ht="18" customHeight="1" x14ac:dyDescent="0.25">
      <c r="A112" s="229" t="str">
        <f t="shared" si="12"/>
        <v/>
      </c>
      <c r="B112" s="230"/>
      <c r="C112" s="231" t="str">
        <f>IF(B112="","",IFERROR(VLOOKUP(B112,DB_Customers!$A:$D,4,0),"❌ Account Not Found"))</f>
        <v/>
      </c>
      <c r="D112" s="232" t="str">
        <f t="shared" ca="1" si="13"/>
        <v/>
      </c>
      <c r="E112" s="233"/>
      <c r="F112" s="231"/>
      <c r="G112" s="234"/>
      <c r="H112" s="235">
        <v>2.5</v>
      </c>
      <c r="I112" s="236" t="str">
        <f t="shared" si="14"/>
        <v/>
      </c>
      <c r="J112" s="237" t="str">
        <f t="shared" si="15"/>
        <v/>
      </c>
      <c r="K112" s="238" t="str">
        <f>IF(B112="","Pending",IF(M112="","⚠️ Enter Code",IF(IFERROR(VLOOKUP(L112,DB_Agents!$B:$I,8,0),"")=M112,"Pending","🔒 BLOCKED — Wrong Code")))</f>
        <v>Pending</v>
      </c>
      <c r="L112" s="239" t="s">
        <v>142</v>
      </c>
      <c r="M112" s="240"/>
      <c r="N112" s="230"/>
    </row>
    <row r="113" spans="1:14" ht="18" customHeight="1" x14ac:dyDescent="0.25">
      <c r="A113" s="241" t="str">
        <f t="shared" si="12"/>
        <v/>
      </c>
      <c r="B113" s="242"/>
      <c r="C113" s="243" t="str">
        <f>IF(B113="","",IFERROR(VLOOKUP(B113,DB_Customers!$A:$D,4,0),"❌ Account Not Found"))</f>
        <v/>
      </c>
      <c r="D113" s="244" t="str">
        <f t="shared" ca="1" si="13"/>
        <v/>
      </c>
      <c r="E113" s="245"/>
      <c r="F113" s="243"/>
      <c r="G113" s="246"/>
      <c r="H113" s="247">
        <v>2.5</v>
      </c>
      <c r="I113" s="248" t="str">
        <f t="shared" si="14"/>
        <v/>
      </c>
      <c r="J113" s="249" t="str">
        <f t="shared" si="15"/>
        <v/>
      </c>
      <c r="K113" s="250" t="str">
        <f>IF(B113="","Pending",IF(M113="","⚠️ Enter Code",IF(IFERROR(VLOOKUP(L113,DB_Agents!$B:$I,8,0),"")=M113,"Pending","🔒 BLOCKED — Wrong Code")))</f>
        <v>Pending</v>
      </c>
      <c r="L113" s="251" t="s">
        <v>142</v>
      </c>
      <c r="M113" s="252"/>
      <c r="N113" s="242"/>
    </row>
    <row r="114" spans="1:14" ht="18" customHeight="1" x14ac:dyDescent="0.25">
      <c r="A114" s="253" t="str">
        <f t="shared" si="12"/>
        <v/>
      </c>
      <c r="B114" s="254"/>
      <c r="C114" s="254" t="str">
        <f>IF(B114="","",IFERROR(VLOOKUP(B114,DB_Customers!$A:$D,4,0),"❌ Account Not Found"))</f>
        <v/>
      </c>
      <c r="D114" s="253" t="str">
        <f t="shared" ca="1" si="13"/>
        <v/>
      </c>
      <c r="E114" s="254"/>
      <c r="F114" s="254"/>
      <c r="G114" s="253"/>
      <c r="H114" s="255">
        <v>2.5</v>
      </c>
      <c r="I114" s="253" t="str">
        <f t="shared" si="14"/>
        <v/>
      </c>
      <c r="J114" s="253" t="str">
        <f t="shared" si="15"/>
        <v/>
      </c>
      <c r="K114" s="253" t="str">
        <f>IF(B114="","Pending",IF(M114="","⚠️ Enter Code",IF(IFERROR(VLOOKUP(L114,DB_Agents!$B:$I,8,0),"")=M114,"Pending","🔒 BLOCKED — Wrong Code")))</f>
        <v>Pending</v>
      </c>
      <c r="L114" s="253" t="s">
        <v>142</v>
      </c>
      <c r="M114" s="240"/>
      <c r="N114" s="254"/>
    </row>
    <row r="115" spans="1:14" ht="18" customHeight="1" x14ac:dyDescent="0.25">
      <c r="A115" s="256" t="str">
        <f t="shared" si="12"/>
        <v/>
      </c>
      <c r="B115" s="257"/>
      <c r="C115" s="257" t="str">
        <f>IF(B115="","",IFERROR(VLOOKUP(B115,DB_Customers!$A:$D,4,0),"❌ Account Not Found"))</f>
        <v/>
      </c>
      <c r="D115" s="256" t="str">
        <f t="shared" ca="1" si="13"/>
        <v/>
      </c>
      <c r="E115" s="257"/>
      <c r="F115" s="257"/>
      <c r="G115" s="256"/>
      <c r="H115" s="258">
        <v>2.5</v>
      </c>
      <c r="I115" s="256" t="str">
        <f t="shared" si="14"/>
        <v/>
      </c>
      <c r="J115" s="256" t="str">
        <f t="shared" si="15"/>
        <v/>
      </c>
      <c r="K115" s="256" t="str">
        <f>IF(B115="","Pending",IF(M115="","⚠️ Enter Code",IF(IFERROR(VLOOKUP(L115,DB_Agents!$B:$I,8,0),"")=M115,"Pending","🔒 BLOCKED — Wrong Code")))</f>
        <v>Pending</v>
      </c>
      <c r="L115" s="256" t="s">
        <v>142</v>
      </c>
      <c r="M115" s="252"/>
      <c r="N115" s="257"/>
    </row>
    <row r="116" spans="1:14" ht="18" customHeight="1" x14ac:dyDescent="0.25">
      <c r="A116" s="253" t="str">
        <f t="shared" si="12"/>
        <v/>
      </c>
      <c r="B116" s="254"/>
      <c r="C116" s="254" t="str">
        <f>IF(B116="","",IFERROR(VLOOKUP(B116,DB_Customers!$A:$D,4,0),"❌ Account Not Found"))</f>
        <v/>
      </c>
      <c r="D116" s="253" t="str">
        <f t="shared" ca="1" si="13"/>
        <v/>
      </c>
      <c r="E116" s="254"/>
      <c r="F116" s="254"/>
      <c r="G116" s="253"/>
      <c r="H116" s="255">
        <v>2.5</v>
      </c>
      <c r="I116" s="253" t="str">
        <f t="shared" si="14"/>
        <v/>
      </c>
      <c r="J116" s="253" t="str">
        <f t="shared" si="15"/>
        <v/>
      </c>
      <c r="K116" s="253" t="str">
        <f>IF(B116="","Pending",IF(M116="","⚠️ Enter Code",IF(IFERROR(VLOOKUP(L116,DB_Agents!$B:$I,8,0),"")=M116,"Pending","🔒 BLOCKED — Wrong Code")))</f>
        <v>Pending</v>
      </c>
      <c r="L116" s="253" t="s">
        <v>142</v>
      </c>
      <c r="M116" s="240"/>
      <c r="N116" s="254"/>
    </row>
    <row r="117" spans="1:14" ht="18" customHeight="1" x14ac:dyDescent="0.25">
      <c r="A117" s="256" t="str">
        <f t="shared" si="12"/>
        <v/>
      </c>
      <c r="B117" s="257"/>
      <c r="C117" s="257" t="str">
        <f>IF(B117="","",IFERROR(VLOOKUP(B117,DB_Customers!$A:$D,4,0),"❌ Account Not Found"))</f>
        <v/>
      </c>
      <c r="D117" s="256" t="str">
        <f t="shared" ca="1" si="13"/>
        <v/>
      </c>
      <c r="E117" s="257"/>
      <c r="F117" s="257"/>
      <c r="G117" s="256"/>
      <c r="H117" s="258">
        <v>2.5</v>
      </c>
      <c r="I117" s="256" t="str">
        <f t="shared" si="14"/>
        <v/>
      </c>
      <c r="J117" s="256" t="str">
        <f t="shared" si="15"/>
        <v/>
      </c>
      <c r="K117" s="256" t="str">
        <f>IF(B117="","Pending",IF(M117="","⚠️ Enter Code",IF(IFERROR(VLOOKUP(L117,DB_Agents!$B:$I,8,0),"")=M117,"Pending","🔒 BLOCKED — Wrong Code")))</f>
        <v>Pending</v>
      </c>
      <c r="L117" s="256" t="s">
        <v>142</v>
      </c>
      <c r="M117" s="252"/>
      <c r="N117" s="257"/>
    </row>
    <row r="118" spans="1:14" ht="18" customHeight="1" x14ac:dyDescent="0.25">
      <c r="A118" s="253" t="str">
        <f t="shared" si="12"/>
        <v/>
      </c>
      <c r="B118" s="254"/>
      <c r="C118" s="254" t="str">
        <f>IF(B118="","",IFERROR(VLOOKUP(B118,DB_Customers!$A:$D,4,0),"❌ Account Not Found"))</f>
        <v/>
      </c>
      <c r="D118" s="253" t="str">
        <f t="shared" ca="1" si="13"/>
        <v/>
      </c>
      <c r="E118" s="254"/>
      <c r="F118" s="254"/>
      <c r="G118" s="253"/>
      <c r="H118" s="255">
        <v>2.5</v>
      </c>
      <c r="I118" s="253" t="str">
        <f t="shared" si="14"/>
        <v/>
      </c>
      <c r="J118" s="253" t="str">
        <f t="shared" si="15"/>
        <v/>
      </c>
      <c r="K118" s="253" t="str">
        <f>IF(B118="","Pending",IF(M118="","⚠️ Enter Code",IF(IFERROR(VLOOKUP(L118,DB_Agents!$B:$I,8,0),"")=M118,"Pending","🔒 BLOCKED — Wrong Code")))</f>
        <v>Pending</v>
      </c>
      <c r="L118" s="253" t="s">
        <v>142</v>
      </c>
      <c r="M118" s="240"/>
      <c r="N118" s="254"/>
    </row>
    <row r="119" spans="1:14" ht="18" customHeight="1" x14ac:dyDescent="0.25">
      <c r="A119" s="256" t="str">
        <f t="shared" si="12"/>
        <v/>
      </c>
      <c r="B119" s="257"/>
      <c r="C119" s="257" t="str">
        <f>IF(B119="","",IFERROR(VLOOKUP(B119,DB_Customers!$A:$D,4,0),"❌ Account Not Found"))</f>
        <v/>
      </c>
      <c r="D119" s="256" t="str">
        <f t="shared" ca="1" si="13"/>
        <v/>
      </c>
      <c r="E119" s="257"/>
      <c r="F119" s="257"/>
      <c r="G119" s="256"/>
      <c r="H119" s="258">
        <v>2.5</v>
      </c>
      <c r="I119" s="256" t="str">
        <f t="shared" si="14"/>
        <v/>
      </c>
      <c r="J119" s="256" t="str">
        <f t="shared" si="15"/>
        <v/>
      </c>
      <c r="K119" s="256" t="str">
        <f>IF(B119="","Pending",IF(M119="","⚠️ Enter Code",IF(IFERROR(VLOOKUP(L119,DB_Agents!$B:$I,8,0),"")=M119,"Pending","🔒 BLOCKED — Wrong Code")))</f>
        <v>Pending</v>
      </c>
      <c r="L119" s="256" t="s">
        <v>142</v>
      </c>
      <c r="M119" s="252"/>
      <c r="N119" s="257"/>
    </row>
    <row r="120" spans="1:14" ht="18" customHeight="1" x14ac:dyDescent="0.25">
      <c r="A120" s="253" t="str">
        <f t="shared" si="12"/>
        <v/>
      </c>
      <c r="B120" s="254"/>
      <c r="C120" s="254" t="str">
        <f>IF(B120="","",IFERROR(VLOOKUP(B120,DB_Customers!$A:$D,4,0),"❌ Account Not Found"))</f>
        <v/>
      </c>
      <c r="D120" s="253" t="str">
        <f t="shared" ca="1" si="13"/>
        <v/>
      </c>
      <c r="E120" s="254"/>
      <c r="F120" s="254"/>
      <c r="G120" s="253"/>
      <c r="H120" s="255">
        <v>2.5</v>
      </c>
      <c r="I120" s="253" t="str">
        <f t="shared" si="14"/>
        <v/>
      </c>
      <c r="J120" s="253" t="str">
        <f t="shared" si="15"/>
        <v/>
      </c>
      <c r="K120" s="253" t="str">
        <f>IF(B120="","Pending",IF(M120="","⚠️ Enter Code",IF(IFERROR(VLOOKUP(L120,DB_Agents!$B:$I,8,0),"")=M120,"Pending","🔒 BLOCKED — Wrong Code")))</f>
        <v>Pending</v>
      </c>
      <c r="L120" s="253" t="s">
        <v>142</v>
      </c>
      <c r="M120" s="240"/>
      <c r="N120" s="254"/>
    </row>
    <row r="121" spans="1:14" ht="18" customHeight="1" x14ac:dyDescent="0.25">
      <c r="A121" s="256" t="str">
        <f t="shared" si="12"/>
        <v/>
      </c>
      <c r="B121" s="257"/>
      <c r="C121" s="257" t="str">
        <f>IF(B121="","",IFERROR(VLOOKUP(B121,DB_Customers!$A:$D,4,0),"❌ Account Not Found"))</f>
        <v/>
      </c>
      <c r="D121" s="256" t="str">
        <f t="shared" ca="1" si="13"/>
        <v/>
      </c>
      <c r="E121" s="257"/>
      <c r="F121" s="257"/>
      <c r="G121" s="256"/>
      <c r="H121" s="258">
        <v>2.5</v>
      </c>
      <c r="I121" s="256" t="str">
        <f t="shared" si="14"/>
        <v/>
      </c>
      <c r="J121" s="256" t="str">
        <f t="shared" si="15"/>
        <v/>
      </c>
      <c r="K121" s="256" t="str">
        <f>IF(B121="","Pending",IF(M121="","⚠️ Enter Code",IF(IFERROR(VLOOKUP(L121,DB_Agents!$B:$I,8,0),"")=M121,"Pending","🔒 BLOCKED — Wrong Code")))</f>
        <v>Pending</v>
      </c>
      <c r="L121" s="256" t="s">
        <v>142</v>
      </c>
      <c r="M121" s="252"/>
      <c r="N121" s="257"/>
    </row>
    <row r="122" spans="1:14" ht="18" customHeight="1" x14ac:dyDescent="0.25">
      <c r="A122" s="253" t="str">
        <f t="shared" si="12"/>
        <v/>
      </c>
      <c r="B122" s="254"/>
      <c r="C122" s="254" t="str">
        <f>IF(B122="","",IFERROR(VLOOKUP(B122,DB_Customers!$A:$D,4,0),"❌ Account Not Found"))</f>
        <v/>
      </c>
      <c r="D122" s="253" t="str">
        <f t="shared" ca="1" si="13"/>
        <v/>
      </c>
      <c r="E122" s="254"/>
      <c r="F122" s="254"/>
      <c r="G122" s="253"/>
      <c r="H122" s="255">
        <v>2.5</v>
      </c>
      <c r="I122" s="253" t="str">
        <f t="shared" si="14"/>
        <v/>
      </c>
      <c r="J122" s="253" t="str">
        <f t="shared" si="15"/>
        <v/>
      </c>
      <c r="K122" s="253" t="str">
        <f>IF(B122="","Pending",IF(M122="","⚠️ Enter Code",IF(IFERROR(VLOOKUP(L122,DB_Agents!$B:$I,8,0),"")=M122,"Pending","🔒 BLOCKED — Wrong Code")))</f>
        <v>Pending</v>
      </c>
      <c r="L122" s="253" t="s">
        <v>142</v>
      </c>
      <c r="M122" s="240"/>
      <c r="N122" s="254"/>
    </row>
    <row r="123" spans="1:14" ht="18" customHeight="1" x14ac:dyDescent="0.25">
      <c r="A123" s="256" t="str">
        <f t="shared" si="12"/>
        <v/>
      </c>
      <c r="B123" s="257"/>
      <c r="C123" s="257" t="str">
        <f>IF(B123="","",IFERROR(VLOOKUP(B123,DB_Customers!$A:$D,4,0),"❌ Account Not Found"))</f>
        <v/>
      </c>
      <c r="D123" s="256" t="str">
        <f t="shared" ca="1" si="13"/>
        <v/>
      </c>
      <c r="E123" s="257"/>
      <c r="F123" s="257"/>
      <c r="G123" s="256"/>
      <c r="H123" s="258">
        <v>2.5</v>
      </c>
      <c r="I123" s="256" t="str">
        <f t="shared" si="14"/>
        <v/>
      </c>
      <c r="J123" s="256" t="str">
        <f t="shared" si="15"/>
        <v/>
      </c>
      <c r="K123" s="256" t="str">
        <f>IF(B123="","Pending",IF(M123="","⚠️ Enter Code",IF(IFERROR(VLOOKUP(L123,DB_Agents!$B:$I,8,0),"")=M123,"Pending","🔒 BLOCKED — Wrong Code")))</f>
        <v>Pending</v>
      </c>
      <c r="L123" s="256" t="s">
        <v>142</v>
      </c>
      <c r="M123" s="252"/>
      <c r="N123" s="257"/>
    </row>
    <row r="124" spans="1:14" ht="18" customHeight="1" x14ac:dyDescent="0.25">
      <c r="A124" s="253" t="str">
        <f t="shared" si="12"/>
        <v/>
      </c>
      <c r="B124" s="254"/>
      <c r="C124" s="254" t="str">
        <f>IF(B124="","",IFERROR(VLOOKUP(B124,DB_Customers!$A:$D,4,0),"❌ Account Not Found"))</f>
        <v/>
      </c>
      <c r="D124" s="253" t="str">
        <f t="shared" ca="1" si="13"/>
        <v/>
      </c>
      <c r="E124" s="254"/>
      <c r="F124" s="254"/>
      <c r="G124" s="253"/>
      <c r="H124" s="255">
        <v>2.5</v>
      </c>
      <c r="I124" s="253" t="str">
        <f t="shared" si="14"/>
        <v/>
      </c>
      <c r="J124" s="253" t="str">
        <f t="shared" si="15"/>
        <v/>
      </c>
      <c r="K124" s="253" t="str">
        <f>IF(B124="","Pending",IF(M124="","⚠️ Enter Code",IF(IFERROR(VLOOKUP(L124,DB_Agents!$B:$I,8,0),"")=M124,"Pending","🔒 BLOCKED — Wrong Code")))</f>
        <v>Pending</v>
      </c>
      <c r="L124" s="253" t="s">
        <v>142</v>
      </c>
      <c r="M124" s="240"/>
      <c r="N124" s="254"/>
    </row>
    <row r="125" spans="1:14" ht="18" customHeight="1" x14ac:dyDescent="0.25">
      <c r="A125" s="256" t="str">
        <f t="shared" si="12"/>
        <v/>
      </c>
      <c r="B125" s="257"/>
      <c r="C125" s="257" t="str">
        <f>IF(B125="","",IFERROR(VLOOKUP(B125,DB_Customers!$A:$D,4,0),"❌ Account Not Found"))</f>
        <v/>
      </c>
      <c r="D125" s="256" t="str">
        <f t="shared" ca="1" si="13"/>
        <v/>
      </c>
      <c r="E125" s="257"/>
      <c r="F125" s="257"/>
      <c r="G125" s="256"/>
      <c r="H125" s="258">
        <v>2.5</v>
      </c>
      <c r="I125" s="256" t="str">
        <f t="shared" si="14"/>
        <v/>
      </c>
      <c r="J125" s="256" t="str">
        <f t="shared" si="15"/>
        <v/>
      </c>
      <c r="K125" s="256" t="str">
        <f>IF(B125="","Pending",IF(M125="","⚠️ Enter Code",IF(IFERROR(VLOOKUP(L125,DB_Agents!$B:$I,8,0),"")=M125,"Pending","🔒 BLOCKED — Wrong Code")))</f>
        <v>Pending</v>
      </c>
      <c r="L125" s="256" t="s">
        <v>142</v>
      </c>
      <c r="M125" s="252"/>
      <c r="N125" s="257"/>
    </row>
    <row r="126" spans="1:14" ht="18" customHeight="1" x14ac:dyDescent="0.25">
      <c r="A126" s="253" t="str">
        <f t="shared" si="12"/>
        <v/>
      </c>
      <c r="B126" s="254"/>
      <c r="C126" s="254" t="str">
        <f>IF(B126="","",IFERROR(VLOOKUP(B126,DB_Customers!$A:$D,4,0),"❌ Account Not Found"))</f>
        <v/>
      </c>
      <c r="D126" s="253" t="str">
        <f t="shared" ca="1" si="13"/>
        <v/>
      </c>
      <c r="E126" s="254"/>
      <c r="F126" s="254"/>
      <c r="G126" s="253"/>
      <c r="H126" s="255">
        <v>2.5</v>
      </c>
      <c r="I126" s="253" t="str">
        <f t="shared" si="14"/>
        <v/>
      </c>
      <c r="J126" s="253" t="str">
        <f t="shared" si="15"/>
        <v/>
      </c>
      <c r="K126" s="253" t="str">
        <f>IF(B126="","Pending",IF(M126="","⚠️ Enter Code",IF(IFERROR(VLOOKUP(L126,DB_Agents!$B:$I,8,0),"")=M126,"Pending","🔒 BLOCKED — Wrong Code")))</f>
        <v>Pending</v>
      </c>
      <c r="L126" s="253" t="s">
        <v>142</v>
      </c>
      <c r="M126" s="240"/>
      <c r="N126" s="254"/>
    </row>
    <row r="127" spans="1:14" ht="18" customHeight="1" x14ac:dyDescent="0.25">
      <c r="A127" s="256" t="str">
        <f t="shared" si="12"/>
        <v/>
      </c>
      <c r="B127" s="257"/>
      <c r="C127" s="257" t="str">
        <f>IF(B127="","",IFERROR(VLOOKUP(B127,DB_Customers!$A:$D,4,0),"❌ Account Not Found"))</f>
        <v/>
      </c>
      <c r="D127" s="256" t="str">
        <f t="shared" ca="1" si="13"/>
        <v/>
      </c>
      <c r="E127" s="257"/>
      <c r="F127" s="257"/>
      <c r="G127" s="256"/>
      <c r="H127" s="258">
        <v>2.5</v>
      </c>
      <c r="I127" s="256" t="str">
        <f t="shared" si="14"/>
        <v/>
      </c>
      <c r="J127" s="256" t="str">
        <f t="shared" si="15"/>
        <v/>
      </c>
      <c r="K127" s="256" t="str">
        <f>IF(B127="","Pending",IF(M127="","⚠️ Enter Code",IF(IFERROR(VLOOKUP(L127,DB_Agents!$B:$I,8,0),"")=M127,"Pending","🔒 BLOCKED — Wrong Code")))</f>
        <v>Pending</v>
      </c>
      <c r="L127" s="256" t="s">
        <v>142</v>
      </c>
      <c r="M127" s="252"/>
      <c r="N127" s="257"/>
    </row>
    <row r="128" spans="1:14" ht="18" customHeight="1" x14ac:dyDescent="0.25">
      <c r="A128" s="253" t="str">
        <f t="shared" si="12"/>
        <v/>
      </c>
      <c r="B128" s="254"/>
      <c r="C128" s="254" t="str">
        <f>IF(B128="","",IFERROR(VLOOKUP(B128,DB_Customers!$A:$D,4,0),"❌ Account Not Found"))</f>
        <v/>
      </c>
      <c r="D128" s="253" t="str">
        <f t="shared" ca="1" si="13"/>
        <v/>
      </c>
      <c r="E128" s="254"/>
      <c r="F128" s="254"/>
      <c r="G128" s="253"/>
      <c r="H128" s="255">
        <v>2.5</v>
      </c>
      <c r="I128" s="253" t="str">
        <f t="shared" si="14"/>
        <v/>
      </c>
      <c r="J128" s="253" t="str">
        <f t="shared" si="15"/>
        <v/>
      </c>
      <c r="K128" s="253" t="str">
        <f>IF(B128="","Pending",IF(M128="","⚠️ Enter Code",IF(IFERROR(VLOOKUP(L128,DB_Agents!$B:$I,8,0),"")=M128,"Pending","🔒 BLOCKED — Wrong Code")))</f>
        <v>Pending</v>
      </c>
      <c r="L128" s="253" t="s">
        <v>142</v>
      </c>
      <c r="M128" s="240"/>
      <c r="N128" s="254"/>
    </row>
    <row r="129" spans="1:14" ht="18" customHeight="1" x14ac:dyDescent="0.25">
      <c r="A129" s="256" t="str">
        <f t="shared" si="12"/>
        <v/>
      </c>
      <c r="B129" s="257"/>
      <c r="C129" s="257" t="str">
        <f>IF(B129="","",IFERROR(VLOOKUP(B129,DB_Customers!$A:$D,4,0),"❌ Account Not Found"))</f>
        <v/>
      </c>
      <c r="D129" s="256" t="str">
        <f t="shared" ca="1" si="13"/>
        <v/>
      </c>
      <c r="E129" s="257"/>
      <c r="F129" s="257"/>
      <c r="G129" s="256"/>
      <c r="H129" s="258">
        <v>2.5</v>
      </c>
      <c r="I129" s="256" t="str">
        <f t="shared" si="14"/>
        <v/>
      </c>
      <c r="J129" s="256" t="str">
        <f t="shared" si="15"/>
        <v/>
      </c>
      <c r="K129" s="256" t="str">
        <f>IF(B129="","Pending",IF(M129="","⚠️ Enter Code",IF(IFERROR(VLOOKUP(L129,DB_Agents!$B:$I,8,0),"")=M129,"Pending","🔒 BLOCKED — Wrong Code")))</f>
        <v>Pending</v>
      </c>
      <c r="L129" s="256" t="s">
        <v>142</v>
      </c>
      <c r="M129" s="252"/>
      <c r="N129" s="257"/>
    </row>
    <row r="130" spans="1:14" ht="18" customHeight="1" x14ac:dyDescent="0.25">
      <c r="A130" s="253" t="str">
        <f t="shared" si="12"/>
        <v/>
      </c>
      <c r="B130" s="254"/>
      <c r="C130" s="254" t="str">
        <f>IF(B130="","",IFERROR(VLOOKUP(B130,DB_Customers!$A:$D,4,0),"❌ Account Not Found"))</f>
        <v/>
      </c>
      <c r="D130" s="253" t="str">
        <f t="shared" ca="1" si="13"/>
        <v/>
      </c>
      <c r="E130" s="254"/>
      <c r="F130" s="254"/>
      <c r="G130" s="253"/>
      <c r="H130" s="255">
        <v>2.5</v>
      </c>
      <c r="I130" s="253" t="str">
        <f t="shared" si="14"/>
        <v/>
      </c>
      <c r="J130" s="253" t="str">
        <f t="shared" si="15"/>
        <v/>
      </c>
      <c r="K130" s="253" t="str">
        <f>IF(B130="","Pending",IF(M130="","⚠️ Enter Code",IF(IFERROR(VLOOKUP(L130,DB_Agents!$B:$I,8,0),"")=M130,"Pending","🔒 BLOCKED — Wrong Code")))</f>
        <v>Pending</v>
      </c>
      <c r="L130" s="253" t="s">
        <v>142</v>
      </c>
      <c r="M130" s="240"/>
      <c r="N130" s="254"/>
    </row>
    <row r="131" spans="1:14" ht="18" customHeight="1" x14ac:dyDescent="0.25">
      <c r="A131" s="256" t="str">
        <f t="shared" si="12"/>
        <v/>
      </c>
      <c r="B131" s="257"/>
      <c r="C131" s="257" t="str">
        <f>IF(B131="","",IFERROR(VLOOKUP(B131,DB_Customers!$A:$D,4,0),"❌ Account Not Found"))</f>
        <v/>
      </c>
      <c r="D131" s="256" t="str">
        <f t="shared" ca="1" si="13"/>
        <v/>
      </c>
      <c r="E131" s="257"/>
      <c r="F131" s="257"/>
      <c r="G131" s="256"/>
      <c r="H131" s="258">
        <v>2.5</v>
      </c>
      <c r="I131" s="256" t="str">
        <f t="shared" si="14"/>
        <v/>
      </c>
      <c r="J131" s="256" t="str">
        <f t="shared" si="15"/>
        <v/>
      </c>
      <c r="K131" s="256" t="str">
        <f>IF(B131="","Pending",IF(M131="","⚠️ Enter Code",IF(IFERROR(VLOOKUP(L131,DB_Agents!$B:$I,8,0),"")=M131,"Pending","🔒 BLOCKED — Wrong Code")))</f>
        <v>Pending</v>
      </c>
      <c r="L131" s="256" t="s">
        <v>142</v>
      </c>
      <c r="M131" s="252"/>
      <c r="N131" s="257"/>
    </row>
    <row r="132" spans="1:14" ht="18" customHeight="1" x14ac:dyDescent="0.25">
      <c r="A132" s="253" t="str">
        <f t="shared" si="12"/>
        <v/>
      </c>
      <c r="B132" s="254"/>
      <c r="C132" s="254" t="str">
        <f>IF(B132="","",IFERROR(VLOOKUP(B132,DB_Customers!$A:$D,4,0),"❌ Account Not Found"))</f>
        <v/>
      </c>
      <c r="D132" s="253" t="str">
        <f t="shared" ca="1" si="13"/>
        <v/>
      </c>
      <c r="E132" s="254"/>
      <c r="F132" s="254"/>
      <c r="G132" s="253"/>
      <c r="H132" s="255">
        <v>2.5</v>
      </c>
      <c r="I132" s="253" t="str">
        <f t="shared" si="14"/>
        <v/>
      </c>
      <c r="J132" s="253" t="str">
        <f t="shared" si="15"/>
        <v/>
      </c>
      <c r="K132" s="253" t="str">
        <f>IF(B132="","Pending",IF(M132="","⚠️ Enter Code",IF(IFERROR(VLOOKUP(L132,DB_Agents!$B:$I,8,0),"")=M132,"Pending","🔒 BLOCKED — Wrong Code")))</f>
        <v>Pending</v>
      </c>
      <c r="L132" s="253" t="s">
        <v>142</v>
      </c>
      <c r="M132" s="240"/>
      <c r="N132" s="254"/>
    </row>
    <row r="133" spans="1:14" ht="18" customHeight="1" x14ac:dyDescent="0.25">
      <c r="A133" s="256" t="str">
        <f t="shared" si="12"/>
        <v/>
      </c>
      <c r="B133" s="257"/>
      <c r="C133" s="257" t="str">
        <f>IF(B133="","",IFERROR(VLOOKUP(B133,DB_Customers!$A:$D,4,0),"❌ Account Not Found"))</f>
        <v/>
      </c>
      <c r="D133" s="256" t="str">
        <f t="shared" ca="1" si="13"/>
        <v/>
      </c>
      <c r="E133" s="257"/>
      <c r="F133" s="257"/>
      <c r="G133" s="256"/>
      <c r="H133" s="258">
        <v>2.5</v>
      </c>
      <c r="I133" s="256" t="str">
        <f t="shared" si="14"/>
        <v/>
      </c>
      <c r="J133" s="256" t="str">
        <f t="shared" si="15"/>
        <v/>
      </c>
      <c r="K133" s="256" t="str">
        <f>IF(B133="","Pending",IF(M133="","⚠️ Enter Code",IF(IFERROR(VLOOKUP(L133,DB_Agents!$B:$I,8,0),"")=M133,"Pending","🔒 BLOCKED — Wrong Code")))</f>
        <v>Pending</v>
      </c>
      <c r="L133" s="256" t="s">
        <v>142</v>
      </c>
      <c r="M133" s="252"/>
      <c r="N133" s="257"/>
    </row>
    <row r="134" spans="1:14" ht="18" customHeight="1" x14ac:dyDescent="0.25">
      <c r="A134" s="253" t="str">
        <f t="shared" si="12"/>
        <v/>
      </c>
      <c r="B134" s="254"/>
      <c r="C134" s="254" t="str">
        <f>IF(B134="","",IFERROR(VLOOKUP(B134,DB_Customers!$A:$D,4,0),"❌ Account Not Found"))</f>
        <v/>
      </c>
      <c r="D134" s="253" t="str">
        <f t="shared" ca="1" si="13"/>
        <v/>
      </c>
      <c r="E134" s="254"/>
      <c r="F134" s="254"/>
      <c r="G134" s="253"/>
      <c r="H134" s="255">
        <v>2.5</v>
      </c>
      <c r="I134" s="253" t="str">
        <f t="shared" si="14"/>
        <v/>
      </c>
      <c r="J134" s="253" t="str">
        <f t="shared" si="15"/>
        <v/>
      </c>
      <c r="K134" s="253" t="str">
        <f>IF(B134="","Pending",IF(M134="","⚠️ Enter Code",IF(IFERROR(VLOOKUP(L134,DB_Agents!$B:$I,8,0),"")=M134,"Pending","🔒 BLOCKED — Wrong Code")))</f>
        <v>Pending</v>
      </c>
      <c r="L134" s="253" t="s">
        <v>142</v>
      </c>
      <c r="M134" s="240"/>
      <c r="N134" s="254"/>
    </row>
    <row r="135" spans="1:14" ht="18" customHeight="1" x14ac:dyDescent="0.25">
      <c r="A135" s="256" t="str">
        <f t="shared" si="12"/>
        <v/>
      </c>
      <c r="B135" s="257"/>
      <c r="C135" s="257" t="str">
        <f>IF(B135="","",IFERROR(VLOOKUP(B135,DB_Customers!$A:$D,4,0),"❌ Account Not Found"))</f>
        <v/>
      </c>
      <c r="D135" s="256" t="str">
        <f t="shared" ca="1" si="13"/>
        <v/>
      </c>
      <c r="E135" s="257"/>
      <c r="F135" s="257"/>
      <c r="G135" s="256"/>
      <c r="H135" s="258">
        <v>2.5</v>
      </c>
      <c r="I135" s="256" t="str">
        <f t="shared" si="14"/>
        <v/>
      </c>
      <c r="J135" s="256" t="str">
        <f t="shared" si="15"/>
        <v/>
      </c>
      <c r="K135" s="256" t="str">
        <f>IF(B135="","Pending",IF(M135="","⚠️ Enter Code",IF(IFERROR(VLOOKUP(L135,DB_Agents!$B:$I,8,0),"")=M135,"Pending","🔒 BLOCKED — Wrong Code")))</f>
        <v>Pending</v>
      </c>
      <c r="L135" s="256" t="s">
        <v>142</v>
      </c>
      <c r="M135" s="252"/>
      <c r="N135" s="257"/>
    </row>
    <row r="136" spans="1:14" ht="18" customHeight="1" x14ac:dyDescent="0.25">
      <c r="A136" s="253" t="str">
        <f t="shared" si="12"/>
        <v/>
      </c>
      <c r="B136" s="254"/>
      <c r="C136" s="254" t="str">
        <f>IF(B136="","",IFERROR(VLOOKUP(B136,DB_Customers!$A:$D,4,0),"❌ Account Not Found"))</f>
        <v/>
      </c>
      <c r="D136" s="253" t="str">
        <f t="shared" ca="1" si="13"/>
        <v/>
      </c>
      <c r="E136" s="254"/>
      <c r="F136" s="254"/>
      <c r="G136" s="253"/>
      <c r="H136" s="255">
        <v>2.5</v>
      </c>
      <c r="I136" s="253" t="str">
        <f t="shared" si="14"/>
        <v/>
      </c>
      <c r="J136" s="253" t="str">
        <f t="shared" si="15"/>
        <v/>
      </c>
      <c r="K136" s="253" t="str">
        <f>IF(B136="","Pending",IF(M136="","⚠️ Enter Code",IF(IFERROR(VLOOKUP(L136,DB_Agents!$B:$I,8,0),"")=M136,"Pending","🔒 BLOCKED — Wrong Code")))</f>
        <v>Pending</v>
      </c>
      <c r="L136" s="253" t="s">
        <v>142</v>
      </c>
      <c r="M136" s="240"/>
      <c r="N136" s="254"/>
    </row>
    <row r="137" spans="1:14" ht="18" customHeight="1" x14ac:dyDescent="0.25">
      <c r="A137" s="256" t="str">
        <f t="shared" si="12"/>
        <v/>
      </c>
      <c r="B137" s="257"/>
      <c r="C137" s="257" t="str">
        <f>IF(B137="","",IFERROR(VLOOKUP(B137,DB_Customers!$A:$D,4,0),"❌ Account Not Found"))</f>
        <v/>
      </c>
      <c r="D137" s="256" t="str">
        <f t="shared" ca="1" si="13"/>
        <v/>
      </c>
      <c r="E137" s="257"/>
      <c r="F137" s="257"/>
      <c r="G137" s="256"/>
      <c r="H137" s="258">
        <v>2.5</v>
      </c>
      <c r="I137" s="256" t="str">
        <f t="shared" si="14"/>
        <v/>
      </c>
      <c r="J137" s="256" t="str">
        <f t="shared" si="15"/>
        <v/>
      </c>
      <c r="K137" s="256" t="str">
        <f>IF(B137="","Pending",IF(M137="","⚠️ Enter Code",IF(IFERROR(VLOOKUP(L137,DB_Agents!$B:$I,8,0),"")=M137,"Pending","🔒 BLOCKED — Wrong Code")))</f>
        <v>Pending</v>
      </c>
      <c r="L137" s="256" t="s">
        <v>142</v>
      </c>
      <c r="M137" s="252"/>
      <c r="N137" s="257"/>
    </row>
    <row r="138" spans="1:14" ht="18" customHeight="1" x14ac:dyDescent="0.25">
      <c r="A138" s="253" t="str">
        <f t="shared" si="12"/>
        <v/>
      </c>
      <c r="B138" s="254"/>
      <c r="C138" s="254" t="str">
        <f>IF(B138="","",IFERROR(VLOOKUP(B138,DB_Customers!$A:$D,4,0),"❌ Account Not Found"))</f>
        <v/>
      </c>
      <c r="D138" s="253" t="str">
        <f t="shared" ca="1" si="13"/>
        <v/>
      </c>
      <c r="E138" s="254"/>
      <c r="F138" s="254"/>
      <c r="G138" s="253"/>
      <c r="H138" s="255">
        <v>2.5</v>
      </c>
      <c r="I138" s="253" t="str">
        <f t="shared" si="14"/>
        <v/>
      </c>
      <c r="J138" s="253" t="str">
        <f t="shared" si="15"/>
        <v/>
      </c>
      <c r="K138" s="253" t="str">
        <f>IF(B138="","Pending",IF(M138="","⚠️ Enter Code",IF(IFERROR(VLOOKUP(L138,DB_Agents!$B:$I,8,0),"")=M138,"Pending","🔒 BLOCKED — Wrong Code")))</f>
        <v>Pending</v>
      </c>
      <c r="L138" s="253" t="s">
        <v>142</v>
      </c>
      <c r="M138" s="240"/>
      <c r="N138" s="254"/>
    </row>
    <row r="139" spans="1:14" ht="18" customHeight="1" x14ac:dyDescent="0.25">
      <c r="A139" s="256" t="str">
        <f t="shared" si="12"/>
        <v/>
      </c>
      <c r="B139" s="257"/>
      <c r="C139" s="257" t="str">
        <f>IF(B139="","",IFERROR(VLOOKUP(B139,DB_Customers!$A:$D,4,0),"❌ Account Not Found"))</f>
        <v/>
      </c>
      <c r="D139" s="256" t="str">
        <f t="shared" ca="1" si="13"/>
        <v/>
      </c>
      <c r="E139" s="257"/>
      <c r="F139" s="257"/>
      <c r="G139" s="256"/>
      <c r="H139" s="258">
        <v>2.5</v>
      </c>
      <c r="I139" s="256" t="str">
        <f t="shared" si="14"/>
        <v/>
      </c>
      <c r="J139" s="256" t="str">
        <f t="shared" si="15"/>
        <v/>
      </c>
      <c r="K139" s="256" t="str">
        <f>IF(B139="","Pending",IF(M139="","⚠️ Enter Code",IF(IFERROR(VLOOKUP(L139,DB_Agents!$B:$I,8,0),"")=M139,"Pending","🔒 BLOCKED — Wrong Code")))</f>
        <v>Pending</v>
      </c>
      <c r="L139" s="256" t="s">
        <v>142</v>
      </c>
      <c r="M139" s="252"/>
      <c r="N139" s="257"/>
    </row>
    <row r="140" spans="1:14" ht="18" customHeight="1" x14ac:dyDescent="0.25">
      <c r="A140" s="253" t="str">
        <f t="shared" si="12"/>
        <v/>
      </c>
      <c r="B140" s="254"/>
      <c r="C140" s="254" t="str">
        <f>IF(B140="","",IFERROR(VLOOKUP(B140,DB_Customers!$A:$D,4,0),"❌ Account Not Found"))</f>
        <v/>
      </c>
      <c r="D140" s="253" t="str">
        <f t="shared" ca="1" si="13"/>
        <v/>
      </c>
      <c r="E140" s="254"/>
      <c r="F140" s="254"/>
      <c r="G140" s="253"/>
      <c r="H140" s="255">
        <v>2.5</v>
      </c>
      <c r="I140" s="253" t="str">
        <f t="shared" si="14"/>
        <v/>
      </c>
      <c r="J140" s="253" t="str">
        <f t="shared" si="15"/>
        <v/>
      </c>
      <c r="K140" s="253" t="str">
        <f>IF(B140="","Pending",IF(M140="","⚠️ Enter Code",IF(IFERROR(VLOOKUP(L140,DB_Agents!$B:$I,8,0),"")=M140,"Pending","🔒 BLOCKED — Wrong Code")))</f>
        <v>Pending</v>
      </c>
      <c r="L140" s="253" t="s">
        <v>142</v>
      </c>
      <c r="M140" s="240"/>
      <c r="N140" s="254"/>
    </row>
    <row r="141" spans="1:14" ht="18" customHeight="1" x14ac:dyDescent="0.25">
      <c r="A141" s="256" t="str">
        <f t="shared" si="12"/>
        <v/>
      </c>
      <c r="B141" s="257"/>
      <c r="C141" s="257" t="str">
        <f>IF(B141="","",IFERROR(VLOOKUP(B141,DB_Customers!$A:$D,4,0),"❌ Account Not Found"))</f>
        <v/>
      </c>
      <c r="D141" s="256" t="str">
        <f t="shared" ca="1" si="13"/>
        <v/>
      </c>
      <c r="E141" s="257"/>
      <c r="F141" s="257"/>
      <c r="G141" s="256"/>
      <c r="H141" s="258">
        <v>2.5</v>
      </c>
      <c r="I141" s="256" t="str">
        <f t="shared" si="14"/>
        <v/>
      </c>
      <c r="J141" s="256" t="str">
        <f t="shared" si="15"/>
        <v/>
      </c>
      <c r="K141" s="256" t="str">
        <f>IF(B141="","Pending",IF(M141="","⚠️ Enter Code",IF(IFERROR(VLOOKUP(L141,DB_Agents!$B:$I,8,0),"")=M141,"Pending","🔒 BLOCKED — Wrong Code")))</f>
        <v>Pending</v>
      </c>
      <c r="L141" s="256" t="s">
        <v>142</v>
      </c>
      <c r="M141" s="252"/>
      <c r="N141" s="257"/>
    </row>
    <row r="142" spans="1:14" ht="18" customHeight="1" x14ac:dyDescent="0.25">
      <c r="A142" s="253" t="str">
        <f t="shared" ref="A142:A173" si="16">IF(B142="","",IF(C142="❌ Account Not Found","INVALID","LN"&amp;TEXT(D142,"YYYYMMDD")&amp;TEXT(ROW()-13,"0000")))</f>
        <v/>
      </c>
      <c r="B142" s="254"/>
      <c r="C142" s="254" t="str">
        <f>IF(B142="","",IFERROR(VLOOKUP(B142,DB_Customers!$A:$D,4,0),"❌ Account Not Found"))</f>
        <v/>
      </c>
      <c r="D142" s="253" t="str">
        <f t="shared" ref="D142:D173" ca="1" si="17">IF(B142="","",TODAY())</f>
        <v/>
      </c>
      <c r="E142" s="254"/>
      <c r="F142" s="254"/>
      <c r="G142" s="253"/>
      <c r="H142" s="255">
        <v>2.5</v>
      </c>
      <c r="I142" s="253" t="str">
        <f t="shared" ref="I142:I173" si="18">IF(E142="","",E142+(E142*H142/100*G142))</f>
        <v/>
      </c>
      <c r="J142" s="253" t="str">
        <f t="shared" ref="J142:J173" si="19">IFERROR(I142/G142,"")</f>
        <v/>
      </c>
      <c r="K142" s="253" t="str">
        <f>IF(B142="","Pending",IF(M142="","⚠️ Enter Code",IF(IFERROR(VLOOKUP(L142,DB_Agents!$B:$I,8,0),"")=M142,"Pending","🔒 BLOCKED — Wrong Code")))</f>
        <v>Pending</v>
      </c>
      <c r="L142" s="253" t="s">
        <v>142</v>
      </c>
      <c r="M142" s="240"/>
      <c r="N142" s="254"/>
    </row>
    <row r="143" spans="1:14" ht="18" customHeight="1" x14ac:dyDescent="0.25">
      <c r="A143" s="256" t="str">
        <f t="shared" si="16"/>
        <v/>
      </c>
      <c r="B143" s="257"/>
      <c r="C143" s="257" t="str">
        <f>IF(B143="","",IFERROR(VLOOKUP(B143,DB_Customers!$A:$D,4,0),"❌ Account Not Found"))</f>
        <v/>
      </c>
      <c r="D143" s="256" t="str">
        <f t="shared" ca="1" si="17"/>
        <v/>
      </c>
      <c r="E143" s="257"/>
      <c r="F143" s="257"/>
      <c r="G143" s="256"/>
      <c r="H143" s="258">
        <v>2.5</v>
      </c>
      <c r="I143" s="256" t="str">
        <f t="shared" si="18"/>
        <v/>
      </c>
      <c r="J143" s="256" t="str">
        <f t="shared" si="19"/>
        <v/>
      </c>
      <c r="K143" s="256" t="str">
        <f>IF(B143="","Pending",IF(M143="","⚠️ Enter Code",IF(IFERROR(VLOOKUP(L143,DB_Agents!$B:$I,8,0),"")=M143,"Pending","🔒 BLOCKED — Wrong Code")))</f>
        <v>Pending</v>
      </c>
      <c r="L143" s="256" t="s">
        <v>142</v>
      </c>
      <c r="M143" s="252"/>
      <c r="N143" s="257"/>
    </row>
    <row r="144" spans="1:14" ht="18" customHeight="1" x14ac:dyDescent="0.25">
      <c r="A144" s="253" t="str">
        <f t="shared" si="16"/>
        <v/>
      </c>
      <c r="B144" s="254"/>
      <c r="C144" s="254" t="str">
        <f>IF(B144="","",IFERROR(VLOOKUP(B144,DB_Customers!$A:$D,4,0),"❌ Account Not Found"))</f>
        <v/>
      </c>
      <c r="D144" s="253" t="str">
        <f t="shared" ca="1" si="17"/>
        <v/>
      </c>
      <c r="E144" s="254"/>
      <c r="F144" s="254"/>
      <c r="G144" s="253"/>
      <c r="H144" s="255">
        <v>2.5</v>
      </c>
      <c r="I144" s="253" t="str">
        <f t="shared" si="18"/>
        <v/>
      </c>
      <c r="J144" s="253" t="str">
        <f t="shared" si="19"/>
        <v/>
      </c>
      <c r="K144" s="253" t="str">
        <f>IF(B144="","Pending",IF(M144="","⚠️ Enter Code",IF(IFERROR(VLOOKUP(L144,DB_Agents!$B:$I,8,0),"")=M144,"Pending","🔒 BLOCKED — Wrong Code")))</f>
        <v>Pending</v>
      </c>
      <c r="L144" s="253" t="s">
        <v>142</v>
      </c>
      <c r="M144" s="240"/>
      <c r="N144" s="254"/>
    </row>
    <row r="145" spans="1:14" ht="18" customHeight="1" x14ac:dyDescent="0.25">
      <c r="A145" s="256" t="str">
        <f t="shared" si="16"/>
        <v/>
      </c>
      <c r="B145" s="257"/>
      <c r="C145" s="257" t="str">
        <f>IF(B145="","",IFERROR(VLOOKUP(B145,DB_Customers!$A:$D,4,0),"❌ Account Not Found"))</f>
        <v/>
      </c>
      <c r="D145" s="256" t="str">
        <f t="shared" ca="1" si="17"/>
        <v/>
      </c>
      <c r="E145" s="257"/>
      <c r="F145" s="257"/>
      <c r="G145" s="256"/>
      <c r="H145" s="258">
        <v>2.5</v>
      </c>
      <c r="I145" s="256" t="str">
        <f t="shared" si="18"/>
        <v/>
      </c>
      <c r="J145" s="256" t="str">
        <f t="shared" si="19"/>
        <v/>
      </c>
      <c r="K145" s="256" t="str">
        <f>IF(B145="","Pending",IF(M145="","⚠️ Enter Code",IF(IFERROR(VLOOKUP(L145,DB_Agents!$B:$I,8,0),"")=M145,"Pending","🔒 BLOCKED — Wrong Code")))</f>
        <v>Pending</v>
      </c>
      <c r="L145" s="256" t="s">
        <v>142</v>
      </c>
      <c r="M145" s="252"/>
      <c r="N145" s="257"/>
    </row>
    <row r="146" spans="1:14" ht="18" customHeight="1" x14ac:dyDescent="0.25">
      <c r="A146" s="253" t="str">
        <f t="shared" si="16"/>
        <v/>
      </c>
      <c r="B146" s="254"/>
      <c r="C146" s="254" t="str">
        <f>IF(B146="","",IFERROR(VLOOKUP(B146,DB_Customers!$A:$D,4,0),"❌ Account Not Found"))</f>
        <v/>
      </c>
      <c r="D146" s="253" t="str">
        <f t="shared" ca="1" si="17"/>
        <v/>
      </c>
      <c r="E146" s="254"/>
      <c r="F146" s="254"/>
      <c r="G146" s="253"/>
      <c r="H146" s="255">
        <v>2.5</v>
      </c>
      <c r="I146" s="253" t="str">
        <f t="shared" si="18"/>
        <v/>
      </c>
      <c r="J146" s="253" t="str">
        <f t="shared" si="19"/>
        <v/>
      </c>
      <c r="K146" s="253" t="str">
        <f>IF(B146="","Pending",IF(M146="","⚠️ Enter Code",IF(IFERROR(VLOOKUP(L146,DB_Agents!$B:$I,8,0),"")=M146,"Pending","🔒 BLOCKED — Wrong Code")))</f>
        <v>Pending</v>
      </c>
      <c r="L146" s="253" t="s">
        <v>142</v>
      </c>
      <c r="M146" s="240"/>
      <c r="N146" s="254"/>
    </row>
    <row r="147" spans="1:14" ht="18" customHeight="1" x14ac:dyDescent="0.25">
      <c r="A147" s="256" t="str">
        <f t="shared" si="16"/>
        <v/>
      </c>
      <c r="B147" s="257"/>
      <c r="C147" s="257" t="str">
        <f>IF(B147="","",IFERROR(VLOOKUP(B147,DB_Customers!$A:$D,4,0),"❌ Account Not Found"))</f>
        <v/>
      </c>
      <c r="D147" s="256" t="str">
        <f t="shared" ca="1" si="17"/>
        <v/>
      </c>
      <c r="E147" s="257"/>
      <c r="F147" s="257"/>
      <c r="G147" s="256"/>
      <c r="H147" s="258">
        <v>2.5</v>
      </c>
      <c r="I147" s="256" t="str">
        <f t="shared" si="18"/>
        <v/>
      </c>
      <c r="J147" s="256" t="str">
        <f t="shared" si="19"/>
        <v/>
      </c>
      <c r="K147" s="256" t="str">
        <f>IF(B147="","Pending",IF(M147="","⚠️ Enter Code",IF(IFERROR(VLOOKUP(L147,DB_Agents!$B:$I,8,0),"")=M147,"Pending","🔒 BLOCKED — Wrong Code")))</f>
        <v>Pending</v>
      </c>
      <c r="L147" s="256" t="s">
        <v>142</v>
      </c>
      <c r="M147" s="252"/>
      <c r="N147" s="257"/>
    </row>
    <row r="148" spans="1:14" ht="18" customHeight="1" x14ac:dyDescent="0.25">
      <c r="A148" s="253" t="str">
        <f t="shared" si="16"/>
        <v/>
      </c>
      <c r="B148" s="254"/>
      <c r="C148" s="254" t="str">
        <f>IF(B148="","",IFERROR(VLOOKUP(B148,DB_Customers!$A:$D,4,0),"❌ Account Not Found"))</f>
        <v/>
      </c>
      <c r="D148" s="253" t="str">
        <f t="shared" ca="1" si="17"/>
        <v/>
      </c>
      <c r="E148" s="254"/>
      <c r="F148" s="254"/>
      <c r="G148" s="253"/>
      <c r="H148" s="255">
        <v>2.5</v>
      </c>
      <c r="I148" s="253" t="str">
        <f t="shared" si="18"/>
        <v/>
      </c>
      <c r="J148" s="253" t="str">
        <f t="shared" si="19"/>
        <v/>
      </c>
      <c r="K148" s="253" t="str">
        <f>IF(B148="","Pending",IF(M148="","⚠️ Enter Code",IF(IFERROR(VLOOKUP(L148,DB_Agents!$B:$I,8,0),"")=M148,"Pending","🔒 BLOCKED — Wrong Code")))</f>
        <v>Pending</v>
      </c>
      <c r="L148" s="253" t="s">
        <v>142</v>
      </c>
      <c r="M148" s="240"/>
      <c r="N148" s="254"/>
    </row>
    <row r="149" spans="1:14" ht="18" customHeight="1" x14ac:dyDescent="0.25">
      <c r="A149" s="256" t="str">
        <f t="shared" si="16"/>
        <v/>
      </c>
      <c r="B149" s="257"/>
      <c r="C149" s="257" t="str">
        <f>IF(B149="","",IFERROR(VLOOKUP(B149,DB_Customers!$A:$D,4,0),"❌ Account Not Found"))</f>
        <v/>
      </c>
      <c r="D149" s="256" t="str">
        <f t="shared" ca="1" si="17"/>
        <v/>
      </c>
      <c r="E149" s="257"/>
      <c r="F149" s="257"/>
      <c r="G149" s="256"/>
      <c r="H149" s="258">
        <v>2.5</v>
      </c>
      <c r="I149" s="256" t="str">
        <f t="shared" si="18"/>
        <v/>
      </c>
      <c r="J149" s="256" t="str">
        <f t="shared" si="19"/>
        <v/>
      </c>
      <c r="K149" s="256" t="str">
        <f>IF(B149="","Pending",IF(M149="","⚠️ Enter Code",IF(IFERROR(VLOOKUP(L149,DB_Agents!$B:$I,8,0),"")=M149,"Pending","🔒 BLOCKED — Wrong Code")))</f>
        <v>Pending</v>
      </c>
      <c r="L149" s="256" t="s">
        <v>142</v>
      </c>
      <c r="M149" s="252"/>
      <c r="N149" s="257"/>
    </row>
    <row r="150" spans="1:14" ht="18" customHeight="1" x14ac:dyDescent="0.25">
      <c r="A150" s="253" t="str">
        <f t="shared" si="16"/>
        <v/>
      </c>
      <c r="B150" s="254"/>
      <c r="C150" s="254" t="str">
        <f>IF(B150="","",IFERROR(VLOOKUP(B150,DB_Customers!$A:$D,4,0),"❌ Account Not Found"))</f>
        <v/>
      </c>
      <c r="D150" s="253" t="str">
        <f t="shared" ca="1" si="17"/>
        <v/>
      </c>
      <c r="E150" s="254"/>
      <c r="F150" s="254"/>
      <c r="G150" s="253"/>
      <c r="H150" s="255">
        <v>2.5</v>
      </c>
      <c r="I150" s="253" t="str">
        <f t="shared" si="18"/>
        <v/>
      </c>
      <c r="J150" s="253" t="str">
        <f t="shared" si="19"/>
        <v/>
      </c>
      <c r="K150" s="253" t="str">
        <f>IF(B150="","Pending",IF(M150="","⚠️ Enter Code",IF(IFERROR(VLOOKUP(L150,DB_Agents!$B:$I,8,0),"")=M150,"Pending","🔒 BLOCKED — Wrong Code")))</f>
        <v>Pending</v>
      </c>
      <c r="L150" s="253" t="s">
        <v>142</v>
      </c>
      <c r="M150" s="240"/>
      <c r="N150" s="254"/>
    </row>
    <row r="151" spans="1:14" ht="18" customHeight="1" x14ac:dyDescent="0.25">
      <c r="A151" s="256" t="str">
        <f t="shared" si="16"/>
        <v/>
      </c>
      <c r="B151" s="257"/>
      <c r="C151" s="257" t="str">
        <f>IF(B151="","",IFERROR(VLOOKUP(B151,DB_Customers!$A:$D,4,0),"❌ Account Not Found"))</f>
        <v/>
      </c>
      <c r="D151" s="256" t="str">
        <f t="shared" ca="1" si="17"/>
        <v/>
      </c>
      <c r="E151" s="257"/>
      <c r="F151" s="257"/>
      <c r="G151" s="256"/>
      <c r="H151" s="258">
        <v>2.5</v>
      </c>
      <c r="I151" s="256" t="str">
        <f t="shared" si="18"/>
        <v/>
      </c>
      <c r="J151" s="256" t="str">
        <f t="shared" si="19"/>
        <v/>
      </c>
      <c r="K151" s="256" t="str">
        <f>IF(B151="","Pending",IF(M151="","⚠️ Enter Code",IF(IFERROR(VLOOKUP(L151,DB_Agents!$B:$I,8,0),"")=M151,"Pending","🔒 BLOCKED — Wrong Code")))</f>
        <v>Pending</v>
      </c>
      <c r="L151" s="256" t="s">
        <v>142</v>
      </c>
      <c r="M151" s="252"/>
      <c r="N151" s="257"/>
    </row>
    <row r="152" spans="1:14" ht="18" customHeight="1" x14ac:dyDescent="0.25">
      <c r="A152" s="253" t="str">
        <f t="shared" si="16"/>
        <v/>
      </c>
      <c r="B152" s="254"/>
      <c r="C152" s="254" t="str">
        <f>IF(B152="","",IFERROR(VLOOKUP(B152,DB_Customers!$A:$D,4,0),"❌ Account Not Found"))</f>
        <v/>
      </c>
      <c r="D152" s="253" t="str">
        <f t="shared" ca="1" si="17"/>
        <v/>
      </c>
      <c r="E152" s="254"/>
      <c r="F152" s="254"/>
      <c r="G152" s="253"/>
      <c r="H152" s="255">
        <v>2.5</v>
      </c>
      <c r="I152" s="253" t="str">
        <f t="shared" si="18"/>
        <v/>
      </c>
      <c r="J152" s="253" t="str">
        <f t="shared" si="19"/>
        <v/>
      </c>
      <c r="K152" s="253" t="str">
        <f>IF(B152="","Pending",IF(M152="","⚠️ Enter Code",IF(IFERROR(VLOOKUP(L152,DB_Agents!$B:$I,8,0),"")=M152,"Pending","🔒 BLOCKED — Wrong Code")))</f>
        <v>Pending</v>
      </c>
      <c r="L152" s="253" t="s">
        <v>142</v>
      </c>
      <c r="M152" s="240"/>
      <c r="N152" s="254"/>
    </row>
    <row r="153" spans="1:14" ht="18" customHeight="1" x14ac:dyDescent="0.25">
      <c r="A153" s="256" t="str">
        <f t="shared" si="16"/>
        <v/>
      </c>
      <c r="B153" s="257"/>
      <c r="C153" s="257" t="str">
        <f>IF(B153="","",IFERROR(VLOOKUP(B153,DB_Customers!$A:$D,4,0),"❌ Account Not Found"))</f>
        <v/>
      </c>
      <c r="D153" s="256" t="str">
        <f t="shared" ca="1" si="17"/>
        <v/>
      </c>
      <c r="E153" s="257"/>
      <c r="F153" s="257"/>
      <c r="G153" s="256"/>
      <c r="H153" s="258">
        <v>2.5</v>
      </c>
      <c r="I153" s="256" t="str">
        <f t="shared" si="18"/>
        <v/>
      </c>
      <c r="J153" s="256" t="str">
        <f t="shared" si="19"/>
        <v/>
      </c>
      <c r="K153" s="256" t="str">
        <f>IF(B153="","Pending",IF(M153="","⚠️ Enter Code",IF(IFERROR(VLOOKUP(L153,DB_Agents!$B:$I,8,0),"")=M153,"Pending","🔒 BLOCKED — Wrong Code")))</f>
        <v>Pending</v>
      </c>
      <c r="L153" s="256" t="s">
        <v>142</v>
      </c>
      <c r="M153" s="252"/>
      <c r="N153" s="257"/>
    </row>
    <row r="154" spans="1:14" ht="18" customHeight="1" x14ac:dyDescent="0.25">
      <c r="A154" s="253" t="str">
        <f t="shared" si="16"/>
        <v/>
      </c>
      <c r="B154" s="254"/>
      <c r="C154" s="254" t="str">
        <f>IF(B154="","",IFERROR(VLOOKUP(B154,DB_Customers!$A:$D,4,0),"❌ Account Not Found"))</f>
        <v/>
      </c>
      <c r="D154" s="253" t="str">
        <f t="shared" ca="1" si="17"/>
        <v/>
      </c>
      <c r="E154" s="254"/>
      <c r="F154" s="254"/>
      <c r="G154" s="253"/>
      <c r="H154" s="255">
        <v>2.5</v>
      </c>
      <c r="I154" s="253" t="str">
        <f t="shared" si="18"/>
        <v/>
      </c>
      <c r="J154" s="253" t="str">
        <f t="shared" si="19"/>
        <v/>
      </c>
      <c r="K154" s="253" t="str">
        <f>IF(B154="","Pending",IF(M154="","⚠️ Enter Code",IF(IFERROR(VLOOKUP(L154,DB_Agents!$B:$I,8,0),"")=M154,"Pending","🔒 BLOCKED — Wrong Code")))</f>
        <v>Pending</v>
      </c>
      <c r="L154" s="253" t="s">
        <v>142</v>
      </c>
      <c r="M154" s="240"/>
      <c r="N154" s="254"/>
    </row>
    <row r="155" spans="1:14" ht="18" customHeight="1" x14ac:dyDescent="0.25">
      <c r="A155" s="256" t="str">
        <f t="shared" si="16"/>
        <v/>
      </c>
      <c r="B155" s="257"/>
      <c r="C155" s="257" t="str">
        <f>IF(B155="","",IFERROR(VLOOKUP(B155,DB_Customers!$A:$D,4,0),"❌ Account Not Found"))</f>
        <v/>
      </c>
      <c r="D155" s="256" t="str">
        <f t="shared" ca="1" si="17"/>
        <v/>
      </c>
      <c r="E155" s="257"/>
      <c r="F155" s="257"/>
      <c r="G155" s="256"/>
      <c r="H155" s="258">
        <v>2.5</v>
      </c>
      <c r="I155" s="256" t="str">
        <f t="shared" si="18"/>
        <v/>
      </c>
      <c r="J155" s="256" t="str">
        <f t="shared" si="19"/>
        <v/>
      </c>
      <c r="K155" s="256" t="str">
        <f>IF(B155="","Pending",IF(M155="","⚠️ Enter Code",IF(IFERROR(VLOOKUP(L155,DB_Agents!$B:$I,8,0),"")=M155,"Pending","🔒 BLOCKED — Wrong Code")))</f>
        <v>Pending</v>
      </c>
      <c r="L155" s="256" t="s">
        <v>142</v>
      </c>
      <c r="M155" s="252"/>
      <c r="N155" s="257"/>
    </row>
    <row r="156" spans="1:14" ht="18" customHeight="1" x14ac:dyDescent="0.25">
      <c r="A156" s="253" t="str">
        <f t="shared" si="16"/>
        <v/>
      </c>
      <c r="B156" s="254"/>
      <c r="C156" s="254" t="str">
        <f>IF(B156="","",IFERROR(VLOOKUP(B156,DB_Customers!$A:$D,4,0),"❌ Account Not Found"))</f>
        <v/>
      </c>
      <c r="D156" s="253" t="str">
        <f t="shared" ca="1" si="17"/>
        <v/>
      </c>
      <c r="E156" s="254"/>
      <c r="F156" s="254"/>
      <c r="G156" s="253"/>
      <c r="H156" s="255">
        <v>2.5</v>
      </c>
      <c r="I156" s="253" t="str">
        <f t="shared" si="18"/>
        <v/>
      </c>
      <c r="J156" s="253" t="str">
        <f t="shared" si="19"/>
        <v/>
      </c>
      <c r="K156" s="253" t="str">
        <f>IF(B156="","Pending",IF(M156="","⚠️ Enter Code",IF(IFERROR(VLOOKUP(L156,DB_Agents!$B:$I,8,0),"")=M156,"Pending","🔒 BLOCKED — Wrong Code")))</f>
        <v>Pending</v>
      </c>
      <c r="L156" s="253" t="s">
        <v>142</v>
      </c>
      <c r="M156" s="240"/>
      <c r="N156" s="254"/>
    </row>
    <row r="157" spans="1:14" ht="18" customHeight="1" x14ac:dyDescent="0.25">
      <c r="A157" s="256" t="str">
        <f t="shared" si="16"/>
        <v/>
      </c>
      <c r="B157" s="257"/>
      <c r="C157" s="257" t="str">
        <f>IF(B157="","",IFERROR(VLOOKUP(B157,DB_Customers!$A:$D,4,0),"❌ Account Not Found"))</f>
        <v/>
      </c>
      <c r="D157" s="256" t="str">
        <f t="shared" ca="1" si="17"/>
        <v/>
      </c>
      <c r="E157" s="257"/>
      <c r="F157" s="257"/>
      <c r="G157" s="256"/>
      <c r="H157" s="258">
        <v>2.5</v>
      </c>
      <c r="I157" s="256" t="str">
        <f t="shared" si="18"/>
        <v/>
      </c>
      <c r="J157" s="256" t="str">
        <f t="shared" si="19"/>
        <v/>
      </c>
      <c r="K157" s="256" t="str">
        <f>IF(B157="","Pending",IF(M157="","⚠️ Enter Code",IF(IFERROR(VLOOKUP(L157,DB_Agents!$B:$I,8,0),"")=M157,"Pending","🔒 BLOCKED — Wrong Code")))</f>
        <v>Pending</v>
      </c>
      <c r="L157" s="256" t="s">
        <v>142</v>
      </c>
      <c r="M157" s="252"/>
      <c r="N157" s="257"/>
    </row>
    <row r="158" spans="1:14" ht="18" customHeight="1" x14ac:dyDescent="0.25">
      <c r="A158" s="253" t="str">
        <f t="shared" si="16"/>
        <v/>
      </c>
      <c r="B158" s="254"/>
      <c r="C158" s="254" t="str">
        <f>IF(B158="","",IFERROR(VLOOKUP(B158,DB_Customers!$A:$D,4,0),"❌ Account Not Found"))</f>
        <v/>
      </c>
      <c r="D158" s="253" t="str">
        <f t="shared" ca="1" si="17"/>
        <v/>
      </c>
      <c r="E158" s="254"/>
      <c r="F158" s="254"/>
      <c r="G158" s="253"/>
      <c r="H158" s="255">
        <v>2.5</v>
      </c>
      <c r="I158" s="253" t="str">
        <f t="shared" si="18"/>
        <v/>
      </c>
      <c r="J158" s="253" t="str">
        <f t="shared" si="19"/>
        <v/>
      </c>
      <c r="K158" s="253" t="str">
        <f>IF(B158="","Pending",IF(M158="","⚠️ Enter Code",IF(IFERROR(VLOOKUP(L158,DB_Agents!$B:$I,8,0),"")=M158,"Pending","🔒 BLOCKED — Wrong Code")))</f>
        <v>Pending</v>
      </c>
      <c r="L158" s="253" t="s">
        <v>142</v>
      </c>
      <c r="M158" s="240"/>
      <c r="N158" s="254"/>
    </row>
    <row r="159" spans="1:14" ht="18" customHeight="1" x14ac:dyDescent="0.25">
      <c r="A159" s="256" t="str">
        <f t="shared" si="16"/>
        <v/>
      </c>
      <c r="B159" s="257"/>
      <c r="C159" s="257" t="str">
        <f>IF(B159="","",IFERROR(VLOOKUP(B159,DB_Customers!$A:$D,4,0),"❌ Account Not Found"))</f>
        <v/>
      </c>
      <c r="D159" s="256" t="str">
        <f t="shared" ca="1" si="17"/>
        <v/>
      </c>
      <c r="E159" s="257"/>
      <c r="F159" s="257"/>
      <c r="G159" s="256"/>
      <c r="H159" s="258">
        <v>2.5</v>
      </c>
      <c r="I159" s="256" t="str">
        <f t="shared" si="18"/>
        <v/>
      </c>
      <c r="J159" s="256" t="str">
        <f t="shared" si="19"/>
        <v/>
      </c>
      <c r="K159" s="256" t="str">
        <f>IF(B159="","Pending",IF(M159="","⚠️ Enter Code",IF(IFERROR(VLOOKUP(L159,DB_Agents!$B:$I,8,0),"")=M159,"Pending","🔒 BLOCKED — Wrong Code")))</f>
        <v>Pending</v>
      </c>
      <c r="L159" s="256" t="s">
        <v>142</v>
      </c>
      <c r="M159" s="252"/>
      <c r="N159" s="257"/>
    </row>
    <row r="160" spans="1:14" ht="18" customHeight="1" x14ac:dyDescent="0.25">
      <c r="A160" s="253" t="str">
        <f t="shared" si="16"/>
        <v/>
      </c>
      <c r="B160" s="254"/>
      <c r="C160" s="254" t="str">
        <f>IF(B160="","",IFERROR(VLOOKUP(B160,DB_Customers!$A:$D,4,0),"❌ Account Not Found"))</f>
        <v/>
      </c>
      <c r="D160" s="253" t="str">
        <f t="shared" ca="1" si="17"/>
        <v/>
      </c>
      <c r="E160" s="254"/>
      <c r="F160" s="254"/>
      <c r="G160" s="253"/>
      <c r="H160" s="255">
        <v>2.5</v>
      </c>
      <c r="I160" s="253" t="str">
        <f t="shared" si="18"/>
        <v/>
      </c>
      <c r="J160" s="253" t="str">
        <f t="shared" si="19"/>
        <v/>
      </c>
      <c r="K160" s="253" t="str">
        <f>IF(B160="","Pending",IF(M160="","⚠️ Enter Code",IF(IFERROR(VLOOKUP(L160,DB_Agents!$B:$I,8,0),"")=M160,"Pending","🔒 BLOCKED — Wrong Code")))</f>
        <v>Pending</v>
      </c>
      <c r="L160" s="253" t="s">
        <v>142</v>
      </c>
      <c r="M160" s="240"/>
      <c r="N160" s="254"/>
    </row>
    <row r="161" spans="1:14" ht="18" customHeight="1" x14ac:dyDescent="0.25">
      <c r="A161" s="256" t="str">
        <f t="shared" si="16"/>
        <v/>
      </c>
      <c r="B161" s="257"/>
      <c r="C161" s="257" t="str">
        <f>IF(B161="","",IFERROR(VLOOKUP(B161,DB_Customers!$A:$D,4,0),"❌ Account Not Found"))</f>
        <v/>
      </c>
      <c r="D161" s="256" t="str">
        <f t="shared" ca="1" si="17"/>
        <v/>
      </c>
      <c r="E161" s="257"/>
      <c r="F161" s="257"/>
      <c r="G161" s="256"/>
      <c r="H161" s="258">
        <v>2.5</v>
      </c>
      <c r="I161" s="256" t="str">
        <f t="shared" si="18"/>
        <v/>
      </c>
      <c r="J161" s="256" t="str">
        <f t="shared" si="19"/>
        <v/>
      </c>
      <c r="K161" s="256" t="str">
        <f>IF(B161="","Pending",IF(M161="","⚠️ Enter Code",IF(IFERROR(VLOOKUP(L161,DB_Agents!$B:$I,8,0),"")=M161,"Pending","🔒 BLOCKED — Wrong Code")))</f>
        <v>Pending</v>
      </c>
      <c r="L161" s="256" t="s">
        <v>142</v>
      </c>
      <c r="M161" s="252"/>
      <c r="N161" s="257"/>
    </row>
    <row r="162" spans="1:14" ht="18" customHeight="1" x14ac:dyDescent="0.25">
      <c r="A162" s="253" t="str">
        <f t="shared" si="16"/>
        <v/>
      </c>
      <c r="B162" s="254"/>
      <c r="C162" s="254" t="str">
        <f>IF(B162="","",IFERROR(VLOOKUP(B162,DB_Customers!$A:$D,4,0),"❌ Account Not Found"))</f>
        <v/>
      </c>
      <c r="D162" s="253" t="str">
        <f t="shared" ca="1" si="17"/>
        <v/>
      </c>
      <c r="E162" s="254"/>
      <c r="F162" s="254"/>
      <c r="G162" s="253"/>
      <c r="H162" s="255">
        <v>2.5</v>
      </c>
      <c r="I162" s="253" t="str">
        <f t="shared" si="18"/>
        <v/>
      </c>
      <c r="J162" s="253" t="str">
        <f t="shared" si="19"/>
        <v/>
      </c>
      <c r="K162" s="253" t="str">
        <f>IF(B162="","Pending",IF(M162="","⚠️ Enter Code",IF(IFERROR(VLOOKUP(L162,DB_Agents!$B:$I,8,0),"")=M162,"Pending","🔒 BLOCKED — Wrong Code")))</f>
        <v>Pending</v>
      </c>
      <c r="L162" s="253" t="s">
        <v>142</v>
      </c>
      <c r="M162" s="240"/>
      <c r="N162" s="254"/>
    </row>
    <row r="163" spans="1:14" ht="18" customHeight="1" x14ac:dyDescent="0.25">
      <c r="A163" s="256" t="str">
        <f t="shared" si="16"/>
        <v/>
      </c>
      <c r="B163" s="257"/>
      <c r="C163" s="257" t="str">
        <f>IF(B163="","",IFERROR(VLOOKUP(B163,DB_Customers!$A:$D,4,0),"❌ Account Not Found"))</f>
        <v/>
      </c>
      <c r="D163" s="256" t="str">
        <f t="shared" ca="1" si="17"/>
        <v/>
      </c>
      <c r="E163" s="257"/>
      <c r="F163" s="257"/>
      <c r="G163" s="256"/>
      <c r="H163" s="258">
        <v>2.5</v>
      </c>
      <c r="I163" s="256" t="str">
        <f t="shared" si="18"/>
        <v/>
      </c>
      <c r="J163" s="256" t="str">
        <f t="shared" si="19"/>
        <v/>
      </c>
      <c r="K163" s="256" t="str">
        <f>IF(B163="","Pending",IF(M163="","⚠️ Enter Code",IF(IFERROR(VLOOKUP(L163,DB_Agents!$B:$I,8,0),"")=M163,"Pending","🔒 BLOCKED — Wrong Code")))</f>
        <v>Pending</v>
      </c>
      <c r="L163" s="256" t="s">
        <v>142</v>
      </c>
      <c r="M163" s="252"/>
      <c r="N163" s="257"/>
    </row>
    <row r="164" spans="1:14" ht="18" customHeight="1" x14ac:dyDescent="0.25">
      <c r="A164" s="253" t="str">
        <f t="shared" si="16"/>
        <v/>
      </c>
      <c r="B164" s="254"/>
      <c r="C164" s="254" t="str">
        <f>IF(B164="","",IFERROR(VLOOKUP(B164,DB_Customers!$A:$D,4,0),"❌ Account Not Found"))</f>
        <v/>
      </c>
      <c r="D164" s="253" t="str">
        <f t="shared" ca="1" si="17"/>
        <v/>
      </c>
      <c r="E164" s="254"/>
      <c r="F164" s="254"/>
      <c r="G164" s="253"/>
      <c r="H164" s="255">
        <v>2.5</v>
      </c>
      <c r="I164" s="253" t="str">
        <f t="shared" si="18"/>
        <v/>
      </c>
      <c r="J164" s="253" t="str">
        <f t="shared" si="19"/>
        <v/>
      </c>
      <c r="K164" s="253" t="str">
        <f>IF(B164="","Pending",IF(M164="","⚠️ Enter Code",IF(IFERROR(VLOOKUP(L164,DB_Agents!$B:$I,8,0),"")=M164,"Pending","🔒 BLOCKED — Wrong Code")))</f>
        <v>Pending</v>
      </c>
      <c r="L164" s="253" t="s">
        <v>142</v>
      </c>
      <c r="M164" s="240"/>
      <c r="N164" s="254"/>
    </row>
    <row r="165" spans="1:14" ht="18" customHeight="1" x14ac:dyDescent="0.25">
      <c r="A165" s="256" t="str">
        <f t="shared" si="16"/>
        <v/>
      </c>
      <c r="B165" s="257"/>
      <c r="C165" s="257" t="str">
        <f>IF(B165="","",IFERROR(VLOOKUP(B165,DB_Customers!$A:$D,4,0),"❌ Account Not Found"))</f>
        <v/>
      </c>
      <c r="D165" s="256" t="str">
        <f t="shared" ca="1" si="17"/>
        <v/>
      </c>
      <c r="E165" s="257"/>
      <c r="F165" s="257"/>
      <c r="G165" s="256"/>
      <c r="H165" s="258">
        <v>2.5</v>
      </c>
      <c r="I165" s="256" t="str">
        <f t="shared" si="18"/>
        <v/>
      </c>
      <c r="J165" s="256" t="str">
        <f t="shared" si="19"/>
        <v/>
      </c>
      <c r="K165" s="256" t="str">
        <f>IF(B165="","Pending",IF(M165="","⚠️ Enter Code",IF(IFERROR(VLOOKUP(L165,DB_Agents!$B:$I,8,0),"")=M165,"Pending","🔒 BLOCKED — Wrong Code")))</f>
        <v>Pending</v>
      </c>
      <c r="L165" s="256" t="s">
        <v>142</v>
      </c>
      <c r="M165" s="252"/>
      <c r="N165" s="257"/>
    </row>
    <row r="166" spans="1:14" ht="18" customHeight="1" x14ac:dyDescent="0.25">
      <c r="A166" s="253" t="str">
        <f t="shared" si="16"/>
        <v/>
      </c>
      <c r="B166" s="254"/>
      <c r="C166" s="254" t="str">
        <f>IF(B166="","",IFERROR(VLOOKUP(B166,DB_Customers!$A:$D,4,0),"❌ Account Not Found"))</f>
        <v/>
      </c>
      <c r="D166" s="253" t="str">
        <f t="shared" ca="1" si="17"/>
        <v/>
      </c>
      <c r="E166" s="254"/>
      <c r="F166" s="254"/>
      <c r="G166" s="253"/>
      <c r="H166" s="255">
        <v>2.5</v>
      </c>
      <c r="I166" s="253" t="str">
        <f t="shared" si="18"/>
        <v/>
      </c>
      <c r="J166" s="253" t="str">
        <f t="shared" si="19"/>
        <v/>
      </c>
      <c r="K166" s="253" t="str">
        <f>IF(B166="","Pending",IF(M166="","⚠️ Enter Code",IF(IFERROR(VLOOKUP(L166,DB_Agents!$B:$I,8,0),"")=M166,"Pending","🔒 BLOCKED — Wrong Code")))</f>
        <v>Pending</v>
      </c>
      <c r="L166" s="253" t="s">
        <v>142</v>
      </c>
      <c r="M166" s="240"/>
      <c r="N166" s="254"/>
    </row>
    <row r="167" spans="1:14" ht="18" customHeight="1" x14ac:dyDescent="0.25">
      <c r="A167" s="256" t="str">
        <f t="shared" si="16"/>
        <v/>
      </c>
      <c r="B167" s="257"/>
      <c r="C167" s="257" t="str">
        <f>IF(B167="","",IFERROR(VLOOKUP(B167,DB_Customers!$A:$D,4,0),"❌ Account Not Found"))</f>
        <v/>
      </c>
      <c r="D167" s="256" t="str">
        <f t="shared" ca="1" si="17"/>
        <v/>
      </c>
      <c r="E167" s="257"/>
      <c r="F167" s="257"/>
      <c r="G167" s="256"/>
      <c r="H167" s="258">
        <v>2.5</v>
      </c>
      <c r="I167" s="256" t="str">
        <f t="shared" si="18"/>
        <v/>
      </c>
      <c r="J167" s="256" t="str">
        <f t="shared" si="19"/>
        <v/>
      </c>
      <c r="K167" s="256" t="str">
        <f>IF(B167="","Pending",IF(M167="","⚠️ Enter Code",IF(IFERROR(VLOOKUP(L167,DB_Agents!$B:$I,8,0),"")=M167,"Pending","🔒 BLOCKED — Wrong Code")))</f>
        <v>Pending</v>
      </c>
      <c r="L167" s="256" t="s">
        <v>142</v>
      </c>
      <c r="M167" s="252"/>
      <c r="N167" s="257"/>
    </row>
    <row r="168" spans="1:14" ht="18" customHeight="1" x14ac:dyDescent="0.25">
      <c r="A168" s="253" t="str">
        <f t="shared" si="16"/>
        <v/>
      </c>
      <c r="B168" s="254"/>
      <c r="C168" s="254" t="str">
        <f>IF(B168="","",IFERROR(VLOOKUP(B168,DB_Customers!$A:$D,4,0),"❌ Account Not Found"))</f>
        <v/>
      </c>
      <c r="D168" s="253" t="str">
        <f t="shared" ca="1" si="17"/>
        <v/>
      </c>
      <c r="E168" s="254"/>
      <c r="F168" s="254"/>
      <c r="G168" s="253"/>
      <c r="H168" s="255">
        <v>2.5</v>
      </c>
      <c r="I168" s="253" t="str">
        <f t="shared" si="18"/>
        <v/>
      </c>
      <c r="J168" s="253" t="str">
        <f t="shared" si="19"/>
        <v/>
      </c>
      <c r="K168" s="253" t="str">
        <f>IF(B168="","Pending",IF(M168="","⚠️ Enter Code",IF(IFERROR(VLOOKUP(L168,DB_Agents!$B:$I,8,0),"")=M168,"Pending","🔒 BLOCKED — Wrong Code")))</f>
        <v>Pending</v>
      </c>
      <c r="L168" s="253" t="s">
        <v>142</v>
      </c>
      <c r="M168" s="240"/>
      <c r="N168" s="254"/>
    </row>
    <row r="169" spans="1:14" ht="18" customHeight="1" x14ac:dyDescent="0.25">
      <c r="A169" s="256" t="str">
        <f t="shared" si="16"/>
        <v/>
      </c>
      <c r="B169" s="257"/>
      <c r="C169" s="257" t="str">
        <f>IF(B169="","",IFERROR(VLOOKUP(B169,DB_Customers!$A:$D,4,0),"❌ Account Not Found"))</f>
        <v/>
      </c>
      <c r="D169" s="256" t="str">
        <f t="shared" ca="1" si="17"/>
        <v/>
      </c>
      <c r="E169" s="257"/>
      <c r="F169" s="257"/>
      <c r="G169" s="256"/>
      <c r="H169" s="258">
        <v>2.5</v>
      </c>
      <c r="I169" s="256" t="str">
        <f t="shared" si="18"/>
        <v/>
      </c>
      <c r="J169" s="256" t="str">
        <f t="shared" si="19"/>
        <v/>
      </c>
      <c r="K169" s="256" t="str">
        <f>IF(B169="","Pending",IF(M169="","⚠️ Enter Code",IF(IFERROR(VLOOKUP(L169,DB_Agents!$B:$I,8,0),"")=M169,"Pending","🔒 BLOCKED — Wrong Code")))</f>
        <v>Pending</v>
      </c>
      <c r="L169" s="256" t="s">
        <v>142</v>
      </c>
      <c r="M169" s="252"/>
      <c r="N169" s="257"/>
    </row>
    <row r="170" spans="1:14" ht="18" customHeight="1" x14ac:dyDescent="0.25">
      <c r="A170" s="253" t="str">
        <f t="shared" si="16"/>
        <v/>
      </c>
      <c r="B170" s="254"/>
      <c r="C170" s="254" t="str">
        <f>IF(B170="","",IFERROR(VLOOKUP(B170,DB_Customers!$A:$D,4,0),"❌ Account Not Found"))</f>
        <v/>
      </c>
      <c r="D170" s="253" t="str">
        <f t="shared" ca="1" si="17"/>
        <v/>
      </c>
      <c r="E170" s="254"/>
      <c r="F170" s="254"/>
      <c r="G170" s="253"/>
      <c r="H170" s="255">
        <v>2.5</v>
      </c>
      <c r="I170" s="253" t="str">
        <f t="shared" si="18"/>
        <v/>
      </c>
      <c r="J170" s="253" t="str">
        <f t="shared" si="19"/>
        <v/>
      </c>
      <c r="K170" s="253" t="str">
        <f>IF(B170="","Pending",IF(M170="","⚠️ Enter Code",IF(IFERROR(VLOOKUP(L170,DB_Agents!$B:$I,8,0),"")=M170,"Pending","🔒 BLOCKED — Wrong Code")))</f>
        <v>Pending</v>
      </c>
      <c r="L170" s="253" t="s">
        <v>142</v>
      </c>
      <c r="M170" s="240"/>
      <c r="N170" s="254"/>
    </row>
    <row r="171" spans="1:14" ht="18" customHeight="1" x14ac:dyDescent="0.25">
      <c r="A171" s="256" t="str">
        <f t="shared" si="16"/>
        <v/>
      </c>
      <c r="B171" s="257"/>
      <c r="C171" s="257" t="str">
        <f>IF(B171="","",IFERROR(VLOOKUP(B171,DB_Customers!$A:$D,4,0),"❌ Account Not Found"))</f>
        <v/>
      </c>
      <c r="D171" s="256" t="str">
        <f t="shared" ca="1" si="17"/>
        <v/>
      </c>
      <c r="E171" s="257"/>
      <c r="F171" s="257"/>
      <c r="G171" s="256"/>
      <c r="H171" s="258">
        <v>2.5</v>
      </c>
      <c r="I171" s="256" t="str">
        <f t="shared" si="18"/>
        <v/>
      </c>
      <c r="J171" s="256" t="str">
        <f t="shared" si="19"/>
        <v/>
      </c>
      <c r="K171" s="256" t="str">
        <f>IF(B171="","Pending",IF(M171="","⚠️ Enter Code",IF(IFERROR(VLOOKUP(L171,DB_Agents!$B:$I,8,0),"")=M171,"Pending","🔒 BLOCKED — Wrong Code")))</f>
        <v>Pending</v>
      </c>
      <c r="L171" s="256" t="s">
        <v>142</v>
      </c>
      <c r="M171" s="252"/>
      <c r="N171" s="257"/>
    </row>
    <row r="172" spans="1:14" ht="18" customHeight="1" x14ac:dyDescent="0.25">
      <c r="A172" s="253" t="str">
        <f t="shared" si="16"/>
        <v/>
      </c>
      <c r="B172" s="254"/>
      <c r="C172" s="254" t="str">
        <f>IF(B172="","",IFERROR(VLOOKUP(B172,DB_Customers!$A:$D,4,0),"❌ Account Not Found"))</f>
        <v/>
      </c>
      <c r="D172" s="253" t="str">
        <f t="shared" ca="1" si="17"/>
        <v/>
      </c>
      <c r="E172" s="254"/>
      <c r="F172" s="254"/>
      <c r="G172" s="253"/>
      <c r="H172" s="255">
        <v>2.5</v>
      </c>
      <c r="I172" s="253" t="str">
        <f t="shared" si="18"/>
        <v/>
      </c>
      <c r="J172" s="253" t="str">
        <f t="shared" si="19"/>
        <v/>
      </c>
      <c r="K172" s="253" t="str">
        <f>IF(B172="","Pending",IF(M172="","⚠️ Enter Code",IF(IFERROR(VLOOKUP(L172,DB_Agents!$B:$I,8,0),"")=M172,"Pending","🔒 BLOCKED — Wrong Code")))</f>
        <v>Pending</v>
      </c>
      <c r="L172" s="253" t="s">
        <v>142</v>
      </c>
      <c r="M172" s="240"/>
      <c r="N172" s="254"/>
    </row>
    <row r="173" spans="1:14" ht="18" customHeight="1" x14ac:dyDescent="0.25">
      <c r="A173" s="256" t="str">
        <f t="shared" si="16"/>
        <v/>
      </c>
      <c r="B173" s="257"/>
      <c r="C173" s="257" t="str">
        <f>IF(B173="","",IFERROR(VLOOKUP(B173,DB_Customers!$A:$D,4,0),"❌ Account Not Found"))</f>
        <v/>
      </c>
      <c r="D173" s="256" t="str">
        <f t="shared" ca="1" si="17"/>
        <v/>
      </c>
      <c r="E173" s="257"/>
      <c r="F173" s="257"/>
      <c r="G173" s="256"/>
      <c r="H173" s="258">
        <v>2.5</v>
      </c>
      <c r="I173" s="256" t="str">
        <f t="shared" si="18"/>
        <v/>
      </c>
      <c r="J173" s="256" t="str">
        <f t="shared" si="19"/>
        <v/>
      </c>
      <c r="K173" s="256" t="str">
        <f>IF(B173="","Pending",IF(M173="","⚠️ Enter Code",IF(IFERROR(VLOOKUP(L173,DB_Agents!$B:$I,8,0),"")=M173,"Pending","🔒 BLOCKED — Wrong Code")))</f>
        <v>Pending</v>
      </c>
      <c r="L173" s="256" t="s">
        <v>142</v>
      </c>
      <c r="M173" s="252"/>
      <c r="N173" s="257"/>
    </row>
    <row r="174" spans="1:14" ht="18" customHeight="1" x14ac:dyDescent="0.25">
      <c r="A174" s="253" t="str">
        <f t="shared" ref="A174:A205" si="20">IF(B174="","",IF(C174="❌ Account Not Found","INVALID","LN"&amp;TEXT(D174,"YYYYMMDD")&amp;TEXT(ROW()-13,"0000")))</f>
        <v/>
      </c>
      <c r="B174" s="254"/>
      <c r="C174" s="254" t="str">
        <f>IF(B174="","",IFERROR(VLOOKUP(B174,DB_Customers!$A:$D,4,0),"❌ Account Not Found"))</f>
        <v/>
      </c>
      <c r="D174" s="253" t="str">
        <f t="shared" ref="D174:D205" ca="1" si="21">IF(B174="","",TODAY())</f>
        <v/>
      </c>
      <c r="E174" s="254"/>
      <c r="F174" s="254"/>
      <c r="G174" s="253"/>
      <c r="H174" s="255">
        <v>2.5</v>
      </c>
      <c r="I174" s="253" t="str">
        <f t="shared" ref="I174:I205" si="22">IF(E174="","",E174+(E174*H174/100*G174))</f>
        <v/>
      </c>
      <c r="J174" s="253" t="str">
        <f t="shared" ref="J174:J205" si="23">IFERROR(I174/G174,"")</f>
        <v/>
      </c>
      <c r="K174" s="253" t="str">
        <f>IF(B174="","Pending",IF(M174="","⚠️ Enter Code",IF(IFERROR(VLOOKUP(L174,DB_Agents!$B:$I,8,0),"")=M174,"Pending","🔒 BLOCKED — Wrong Code")))</f>
        <v>Pending</v>
      </c>
      <c r="L174" s="253" t="s">
        <v>142</v>
      </c>
      <c r="M174" s="240"/>
      <c r="N174" s="254"/>
    </row>
    <row r="175" spans="1:14" ht="18" customHeight="1" x14ac:dyDescent="0.25">
      <c r="A175" s="256" t="str">
        <f t="shared" si="20"/>
        <v/>
      </c>
      <c r="B175" s="257"/>
      <c r="C175" s="257" t="str">
        <f>IF(B175="","",IFERROR(VLOOKUP(B175,DB_Customers!$A:$D,4,0),"❌ Account Not Found"))</f>
        <v/>
      </c>
      <c r="D175" s="256" t="str">
        <f t="shared" ca="1" si="21"/>
        <v/>
      </c>
      <c r="E175" s="257"/>
      <c r="F175" s="257"/>
      <c r="G175" s="256"/>
      <c r="H175" s="258">
        <v>2.5</v>
      </c>
      <c r="I175" s="256" t="str">
        <f t="shared" si="22"/>
        <v/>
      </c>
      <c r="J175" s="256" t="str">
        <f t="shared" si="23"/>
        <v/>
      </c>
      <c r="K175" s="256" t="str">
        <f>IF(B175="","Pending",IF(M175="","⚠️ Enter Code",IF(IFERROR(VLOOKUP(L175,DB_Agents!$B:$I,8,0),"")=M175,"Pending","🔒 BLOCKED — Wrong Code")))</f>
        <v>Pending</v>
      </c>
      <c r="L175" s="256" t="s">
        <v>142</v>
      </c>
      <c r="M175" s="252"/>
      <c r="N175" s="257"/>
    </row>
    <row r="176" spans="1:14" ht="18" customHeight="1" x14ac:dyDescent="0.25">
      <c r="A176" s="253" t="str">
        <f t="shared" si="20"/>
        <v/>
      </c>
      <c r="B176" s="254"/>
      <c r="C176" s="254" t="str">
        <f>IF(B176="","",IFERROR(VLOOKUP(B176,DB_Customers!$A:$D,4,0),"❌ Account Not Found"))</f>
        <v/>
      </c>
      <c r="D176" s="253" t="str">
        <f t="shared" ca="1" si="21"/>
        <v/>
      </c>
      <c r="E176" s="254"/>
      <c r="F176" s="254"/>
      <c r="G176" s="253"/>
      <c r="H176" s="255">
        <v>2.5</v>
      </c>
      <c r="I176" s="253" t="str">
        <f t="shared" si="22"/>
        <v/>
      </c>
      <c r="J176" s="253" t="str">
        <f t="shared" si="23"/>
        <v/>
      </c>
      <c r="K176" s="253" t="str">
        <f>IF(B176="","Pending",IF(M176="","⚠️ Enter Code",IF(IFERROR(VLOOKUP(L176,DB_Agents!$B:$I,8,0),"")=M176,"Pending","🔒 BLOCKED — Wrong Code")))</f>
        <v>Pending</v>
      </c>
      <c r="L176" s="253" t="s">
        <v>142</v>
      </c>
      <c r="M176" s="240"/>
      <c r="N176" s="254"/>
    </row>
    <row r="177" spans="1:14" ht="18" customHeight="1" x14ac:dyDescent="0.25">
      <c r="A177" s="256" t="str">
        <f t="shared" si="20"/>
        <v/>
      </c>
      <c r="B177" s="257"/>
      <c r="C177" s="257" t="str">
        <f>IF(B177="","",IFERROR(VLOOKUP(B177,DB_Customers!$A:$D,4,0),"❌ Account Not Found"))</f>
        <v/>
      </c>
      <c r="D177" s="256" t="str">
        <f t="shared" ca="1" si="21"/>
        <v/>
      </c>
      <c r="E177" s="257"/>
      <c r="F177" s="257"/>
      <c r="G177" s="256"/>
      <c r="H177" s="258">
        <v>2.5</v>
      </c>
      <c r="I177" s="256" t="str">
        <f t="shared" si="22"/>
        <v/>
      </c>
      <c r="J177" s="256" t="str">
        <f t="shared" si="23"/>
        <v/>
      </c>
      <c r="K177" s="256" t="str">
        <f>IF(B177="","Pending",IF(M177="","⚠️ Enter Code",IF(IFERROR(VLOOKUP(L177,DB_Agents!$B:$I,8,0),"")=M177,"Pending","🔒 BLOCKED — Wrong Code")))</f>
        <v>Pending</v>
      </c>
      <c r="L177" s="256" t="s">
        <v>142</v>
      </c>
      <c r="M177" s="252"/>
      <c r="N177" s="257"/>
    </row>
    <row r="178" spans="1:14" ht="18" customHeight="1" x14ac:dyDescent="0.25">
      <c r="A178" s="253" t="str">
        <f t="shared" si="20"/>
        <v/>
      </c>
      <c r="B178" s="254"/>
      <c r="C178" s="254" t="str">
        <f>IF(B178="","",IFERROR(VLOOKUP(B178,DB_Customers!$A:$D,4,0),"❌ Account Not Found"))</f>
        <v/>
      </c>
      <c r="D178" s="253" t="str">
        <f t="shared" ca="1" si="21"/>
        <v/>
      </c>
      <c r="E178" s="254"/>
      <c r="F178" s="254"/>
      <c r="G178" s="253"/>
      <c r="H178" s="255">
        <v>2.5</v>
      </c>
      <c r="I178" s="253" t="str">
        <f t="shared" si="22"/>
        <v/>
      </c>
      <c r="J178" s="253" t="str">
        <f t="shared" si="23"/>
        <v/>
      </c>
      <c r="K178" s="253" t="str">
        <f>IF(B178="","Pending",IF(M178="","⚠️ Enter Code",IF(IFERROR(VLOOKUP(L178,DB_Agents!$B:$I,8,0),"")=M178,"Pending","🔒 BLOCKED — Wrong Code")))</f>
        <v>Pending</v>
      </c>
      <c r="L178" s="253" t="s">
        <v>142</v>
      </c>
      <c r="M178" s="240"/>
      <c r="N178" s="254"/>
    </row>
    <row r="179" spans="1:14" ht="18" customHeight="1" x14ac:dyDescent="0.25">
      <c r="A179" s="256" t="str">
        <f t="shared" si="20"/>
        <v/>
      </c>
      <c r="B179" s="257"/>
      <c r="C179" s="257" t="str">
        <f>IF(B179="","",IFERROR(VLOOKUP(B179,DB_Customers!$A:$D,4,0),"❌ Account Not Found"))</f>
        <v/>
      </c>
      <c r="D179" s="256" t="str">
        <f t="shared" ca="1" si="21"/>
        <v/>
      </c>
      <c r="E179" s="257"/>
      <c r="F179" s="257"/>
      <c r="G179" s="256"/>
      <c r="H179" s="258">
        <v>2.5</v>
      </c>
      <c r="I179" s="256" t="str">
        <f t="shared" si="22"/>
        <v/>
      </c>
      <c r="J179" s="256" t="str">
        <f t="shared" si="23"/>
        <v/>
      </c>
      <c r="K179" s="256" t="str">
        <f>IF(B179="","Pending",IF(M179="","⚠️ Enter Code",IF(IFERROR(VLOOKUP(L179,DB_Agents!$B:$I,8,0),"")=M179,"Pending","🔒 BLOCKED — Wrong Code")))</f>
        <v>Pending</v>
      </c>
      <c r="L179" s="256" t="s">
        <v>142</v>
      </c>
      <c r="M179" s="252"/>
      <c r="N179" s="257"/>
    </row>
    <row r="180" spans="1:14" ht="18" customHeight="1" x14ac:dyDescent="0.25">
      <c r="A180" s="253" t="str">
        <f t="shared" si="20"/>
        <v/>
      </c>
      <c r="B180" s="254"/>
      <c r="C180" s="254" t="str">
        <f>IF(B180="","",IFERROR(VLOOKUP(B180,DB_Customers!$A:$D,4,0),"❌ Account Not Found"))</f>
        <v/>
      </c>
      <c r="D180" s="253" t="str">
        <f t="shared" ca="1" si="21"/>
        <v/>
      </c>
      <c r="E180" s="254"/>
      <c r="F180" s="254"/>
      <c r="G180" s="253"/>
      <c r="H180" s="255">
        <v>2.5</v>
      </c>
      <c r="I180" s="253" t="str">
        <f t="shared" si="22"/>
        <v/>
      </c>
      <c r="J180" s="253" t="str">
        <f t="shared" si="23"/>
        <v/>
      </c>
      <c r="K180" s="253" t="str">
        <f>IF(B180="","Pending",IF(M180="","⚠️ Enter Code",IF(IFERROR(VLOOKUP(L180,DB_Agents!$B:$I,8,0),"")=M180,"Pending","🔒 BLOCKED — Wrong Code")))</f>
        <v>Pending</v>
      </c>
      <c r="L180" s="253" t="s">
        <v>142</v>
      </c>
      <c r="M180" s="240"/>
      <c r="N180" s="254"/>
    </row>
    <row r="181" spans="1:14" ht="18" customHeight="1" x14ac:dyDescent="0.25">
      <c r="A181" s="256" t="str">
        <f t="shared" si="20"/>
        <v/>
      </c>
      <c r="B181" s="257"/>
      <c r="C181" s="257" t="str">
        <f>IF(B181="","",IFERROR(VLOOKUP(B181,DB_Customers!$A:$D,4,0),"❌ Account Not Found"))</f>
        <v/>
      </c>
      <c r="D181" s="256" t="str">
        <f t="shared" ca="1" si="21"/>
        <v/>
      </c>
      <c r="E181" s="257"/>
      <c r="F181" s="257"/>
      <c r="G181" s="256"/>
      <c r="H181" s="258">
        <v>2.5</v>
      </c>
      <c r="I181" s="256" t="str">
        <f t="shared" si="22"/>
        <v/>
      </c>
      <c r="J181" s="256" t="str">
        <f t="shared" si="23"/>
        <v/>
      </c>
      <c r="K181" s="256" t="str">
        <f>IF(B181="","Pending",IF(M181="","⚠️ Enter Code",IF(IFERROR(VLOOKUP(L181,DB_Agents!$B:$I,8,0),"")=M181,"Pending","🔒 BLOCKED — Wrong Code")))</f>
        <v>Pending</v>
      </c>
      <c r="L181" s="256" t="s">
        <v>142</v>
      </c>
      <c r="M181" s="252"/>
      <c r="N181" s="257"/>
    </row>
    <row r="182" spans="1:14" ht="18" customHeight="1" x14ac:dyDescent="0.25">
      <c r="A182" s="253" t="str">
        <f t="shared" si="20"/>
        <v/>
      </c>
      <c r="B182" s="254"/>
      <c r="C182" s="254" t="str">
        <f>IF(B182="","",IFERROR(VLOOKUP(B182,DB_Customers!$A:$D,4,0),"❌ Account Not Found"))</f>
        <v/>
      </c>
      <c r="D182" s="253" t="str">
        <f t="shared" ca="1" si="21"/>
        <v/>
      </c>
      <c r="E182" s="254"/>
      <c r="F182" s="254"/>
      <c r="G182" s="253"/>
      <c r="H182" s="255">
        <v>2.5</v>
      </c>
      <c r="I182" s="253" t="str">
        <f t="shared" si="22"/>
        <v/>
      </c>
      <c r="J182" s="253" t="str">
        <f t="shared" si="23"/>
        <v/>
      </c>
      <c r="K182" s="253" t="str">
        <f>IF(B182="","Pending",IF(M182="","⚠️ Enter Code",IF(IFERROR(VLOOKUP(L182,DB_Agents!$B:$I,8,0),"")=M182,"Pending","🔒 BLOCKED — Wrong Code")))</f>
        <v>Pending</v>
      </c>
      <c r="L182" s="253" t="s">
        <v>142</v>
      </c>
      <c r="M182" s="240"/>
      <c r="N182" s="254"/>
    </row>
    <row r="183" spans="1:14" ht="18" customHeight="1" x14ac:dyDescent="0.25">
      <c r="A183" s="256" t="str">
        <f t="shared" si="20"/>
        <v/>
      </c>
      <c r="B183" s="257"/>
      <c r="C183" s="257" t="str">
        <f>IF(B183="","",IFERROR(VLOOKUP(B183,DB_Customers!$A:$D,4,0),"❌ Account Not Found"))</f>
        <v/>
      </c>
      <c r="D183" s="256" t="str">
        <f t="shared" ca="1" si="21"/>
        <v/>
      </c>
      <c r="E183" s="257"/>
      <c r="F183" s="257"/>
      <c r="G183" s="256"/>
      <c r="H183" s="258">
        <v>2.5</v>
      </c>
      <c r="I183" s="256" t="str">
        <f t="shared" si="22"/>
        <v/>
      </c>
      <c r="J183" s="256" t="str">
        <f t="shared" si="23"/>
        <v/>
      </c>
      <c r="K183" s="256" t="str">
        <f>IF(B183="","Pending",IF(M183="","⚠️ Enter Code",IF(IFERROR(VLOOKUP(L183,DB_Agents!$B:$I,8,0),"")=M183,"Pending","🔒 BLOCKED — Wrong Code")))</f>
        <v>Pending</v>
      </c>
      <c r="L183" s="256" t="s">
        <v>142</v>
      </c>
      <c r="M183" s="252"/>
      <c r="N183" s="257"/>
    </row>
    <row r="184" spans="1:14" ht="18" customHeight="1" x14ac:dyDescent="0.25">
      <c r="A184" s="253" t="str">
        <f t="shared" si="20"/>
        <v/>
      </c>
      <c r="B184" s="254"/>
      <c r="C184" s="254" t="str">
        <f>IF(B184="","",IFERROR(VLOOKUP(B184,DB_Customers!$A:$D,4,0),"❌ Account Not Found"))</f>
        <v/>
      </c>
      <c r="D184" s="253" t="str">
        <f t="shared" ca="1" si="21"/>
        <v/>
      </c>
      <c r="E184" s="254"/>
      <c r="F184" s="254"/>
      <c r="G184" s="253"/>
      <c r="H184" s="255">
        <v>2.5</v>
      </c>
      <c r="I184" s="253" t="str">
        <f t="shared" si="22"/>
        <v/>
      </c>
      <c r="J184" s="253" t="str">
        <f t="shared" si="23"/>
        <v/>
      </c>
      <c r="K184" s="253" t="str">
        <f>IF(B184="","Pending",IF(M184="","⚠️ Enter Code",IF(IFERROR(VLOOKUP(L184,DB_Agents!$B:$I,8,0),"")=M184,"Pending","🔒 BLOCKED — Wrong Code")))</f>
        <v>Pending</v>
      </c>
      <c r="L184" s="253" t="s">
        <v>142</v>
      </c>
      <c r="M184" s="240"/>
      <c r="N184" s="254"/>
    </row>
    <row r="185" spans="1:14" ht="18" customHeight="1" x14ac:dyDescent="0.25">
      <c r="A185" s="256" t="str">
        <f t="shared" si="20"/>
        <v/>
      </c>
      <c r="B185" s="257"/>
      <c r="C185" s="257" t="str">
        <f>IF(B185="","",IFERROR(VLOOKUP(B185,DB_Customers!$A:$D,4,0),"❌ Account Not Found"))</f>
        <v/>
      </c>
      <c r="D185" s="256" t="str">
        <f t="shared" ca="1" si="21"/>
        <v/>
      </c>
      <c r="E185" s="257"/>
      <c r="F185" s="257"/>
      <c r="G185" s="256"/>
      <c r="H185" s="258">
        <v>2.5</v>
      </c>
      <c r="I185" s="256" t="str">
        <f t="shared" si="22"/>
        <v/>
      </c>
      <c r="J185" s="256" t="str">
        <f t="shared" si="23"/>
        <v/>
      </c>
      <c r="K185" s="256" t="str">
        <f>IF(B185="","Pending",IF(M185="","⚠️ Enter Code",IF(IFERROR(VLOOKUP(L185,DB_Agents!$B:$I,8,0),"")=M185,"Pending","🔒 BLOCKED — Wrong Code")))</f>
        <v>Pending</v>
      </c>
      <c r="L185" s="256" t="s">
        <v>142</v>
      </c>
      <c r="M185" s="252"/>
      <c r="N185" s="257"/>
    </row>
    <row r="186" spans="1:14" ht="18" customHeight="1" x14ac:dyDescent="0.25">
      <c r="A186" s="253" t="str">
        <f t="shared" si="20"/>
        <v/>
      </c>
      <c r="B186" s="254"/>
      <c r="C186" s="254" t="str">
        <f>IF(B186="","",IFERROR(VLOOKUP(B186,DB_Customers!$A:$D,4,0),"❌ Account Not Found"))</f>
        <v/>
      </c>
      <c r="D186" s="253" t="str">
        <f t="shared" ca="1" si="21"/>
        <v/>
      </c>
      <c r="E186" s="254"/>
      <c r="F186" s="254"/>
      <c r="G186" s="253"/>
      <c r="H186" s="255">
        <v>2.5</v>
      </c>
      <c r="I186" s="253" t="str">
        <f t="shared" si="22"/>
        <v/>
      </c>
      <c r="J186" s="253" t="str">
        <f t="shared" si="23"/>
        <v/>
      </c>
      <c r="K186" s="253" t="str">
        <f>IF(B186="","Pending",IF(M186="","⚠️ Enter Code",IF(IFERROR(VLOOKUP(L186,DB_Agents!$B:$I,8,0),"")=M186,"Pending","🔒 BLOCKED — Wrong Code")))</f>
        <v>Pending</v>
      </c>
      <c r="L186" s="253" t="s">
        <v>142</v>
      </c>
      <c r="M186" s="240"/>
      <c r="N186" s="254"/>
    </row>
    <row r="187" spans="1:14" ht="18" customHeight="1" x14ac:dyDescent="0.25">
      <c r="A187" s="256" t="str">
        <f t="shared" si="20"/>
        <v/>
      </c>
      <c r="B187" s="257"/>
      <c r="C187" s="257" t="str">
        <f>IF(B187="","",IFERROR(VLOOKUP(B187,DB_Customers!$A:$D,4,0),"❌ Account Not Found"))</f>
        <v/>
      </c>
      <c r="D187" s="256" t="str">
        <f t="shared" ca="1" si="21"/>
        <v/>
      </c>
      <c r="E187" s="257"/>
      <c r="F187" s="257"/>
      <c r="G187" s="256"/>
      <c r="H187" s="258">
        <v>2.5</v>
      </c>
      <c r="I187" s="256" t="str">
        <f t="shared" si="22"/>
        <v/>
      </c>
      <c r="J187" s="256" t="str">
        <f t="shared" si="23"/>
        <v/>
      </c>
      <c r="K187" s="256" t="str">
        <f>IF(B187="","Pending",IF(M187="","⚠️ Enter Code",IF(IFERROR(VLOOKUP(L187,DB_Agents!$B:$I,8,0),"")=M187,"Pending","🔒 BLOCKED — Wrong Code")))</f>
        <v>Pending</v>
      </c>
      <c r="L187" s="256" t="s">
        <v>142</v>
      </c>
      <c r="M187" s="252"/>
      <c r="N187" s="257"/>
    </row>
    <row r="188" spans="1:14" ht="18" customHeight="1" x14ac:dyDescent="0.25">
      <c r="A188" s="253" t="str">
        <f t="shared" si="20"/>
        <v/>
      </c>
      <c r="B188" s="254"/>
      <c r="C188" s="254" t="str">
        <f>IF(B188="","",IFERROR(VLOOKUP(B188,DB_Customers!$A:$D,4,0),"❌ Account Not Found"))</f>
        <v/>
      </c>
      <c r="D188" s="253" t="str">
        <f t="shared" ca="1" si="21"/>
        <v/>
      </c>
      <c r="E188" s="254"/>
      <c r="F188" s="254"/>
      <c r="G188" s="253"/>
      <c r="H188" s="255">
        <v>2.5</v>
      </c>
      <c r="I188" s="253" t="str">
        <f t="shared" si="22"/>
        <v/>
      </c>
      <c r="J188" s="253" t="str">
        <f t="shared" si="23"/>
        <v/>
      </c>
      <c r="K188" s="253" t="str">
        <f>IF(B188="","Pending",IF(M188="","⚠️ Enter Code",IF(IFERROR(VLOOKUP(L188,DB_Agents!$B:$I,8,0),"")=M188,"Pending","🔒 BLOCKED — Wrong Code")))</f>
        <v>Pending</v>
      </c>
      <c r="L188" s="253" t="s">
        <v>142</v>
      </c>
      <c r="M188" s="240"/>
      <c r="N188" s="254"/>
    </row>
    <row r="189" spans="1:14" ht="18" customHeight="1" x14ac:dyDescent="0.25">
      <c r="A189" s="256" t="str">
        <f t="shared" si="20"/>
        <v/>
      </c>
      <c r="B189" s="257"/>
      <c r="C189" s="257" t="str">
        <f>IF(B189="","",IFERROR(VLOOKUP(B189,DB_Customers!$A:$D,4,0),"❌ Account Not Found"))</f>
        <v/>
      </c>
      <c r="D189" s="256" t="str">
        <f t="shared" ca="1" si="21"/>
        <v/>
      </c>
      <c r="E189" s="257"/>
      <c r="F189" s="257"/>
      <c r="G189" s="256"/>
      <c r="H189" s="258">
        <v>2.5</v>
      </c>
      <c r="I189" s="256" t="str">
        <f t="shared" si="22"/>
        <v/>
      </c>
      <c r="J189" s="256" t="str">
        <f t="shared" si="23"/>
        <v/>
      </c>
      <c r="K189" s="256" t="str">
        <f>IF(B189="","Pending",IF(M189="","⚠️ Enter Code",IF(IFERROR(VLOOKUP(L189,DB_Agents!$B:$I,8,0),"")=M189,"Pending","🔒 BLOCKED — Wrong Code")))</f>
        <v>Pending</v>
      </c>
      <c r="L189" s="256" t="s">
        <v>142</v>
      </c>
      <c r="M189" s="252"/>
      <c r="N189" s="257"/>
    </row>
    <row r="190" spans="1:14" ht="18" customHeight="1" x14ac:dyDescent="0.25">
      <c r="A190" s="253" t="str">
        <f t="shared" si="20"/>
        <v/>
      </c>
      <c r="B190" s="254"/>
      <c r="C190" s="254" t="str">
        <f>IF(B190="","",IFERROR(VLOOKUP(B190,DB_Customers!$A:$D,4,0),"❌ Account Not Found"))</f>
        <v/>
      </c>
      <c r="D190" s="253" t="str">
        <f t="shared" ca="1" si="21"/>
        <v/>
      </c>
      <c r="E190" s="254"/>
      <c r="F190" s="254"/>
      <c r="G190" s="253"/>
      <c r="H190" s="255">
        <v>2.5</v>
      </c>
      <c r="I190" s="253" t="str">
        <f t="shared" si="22"/>
        <v/>
      </c>
      <c r="J190" s="253" t="str">
        <f t="shared" si="23"/>
        <v/>
      </c>
      <c r="K190" s="253" t="str">
        <f>IF(B190="","Pending",IF(M190="","⚠️ Enter Code",IF(IFERROR(VLOOKUP(L190,DB_Agents!$B:$I,8,0),"")=M190,"Pending","🔒 BLOCKED — Wrong Code")))</f>
        <v>Pending</v>
      </c>
      <c r="L190" s="253" t="s">
        <v>142</v>
      </c>
      <c r="M190" s="240"/>
      <c r="N190" s="254"/>
    </row>
    <row r="191" spans="1:14" ht="18" customHeight="1" x14ac:dyDescent="0.25">
      <c r="A191" s="256" t="str">
        <f t="shared" si="20"/>
        <v/>
      </c>
      <c r="B191" s="257"/>
      <c r="C191" s="257" t="str">
        <f>IF(B191="","",IFERROR(VLOOKUP(B191,DB_Customers!$A:$D,4,0),"❌ Account Not Found"))</f>
        <v/>
      </c>
      <c r="D191" s="256" t="str">
        <f t="shared" ca="1" si="21"/>
        <v/>
      </c>
      <c r="E191" s="257"/>
      <c r="F191" s="257"/>
      <c r="G191" s="256"/>
      <c r="H191" s="258">
        <v>2.5</v>
      </c>
      <c r="I191" s="256" t="str">
        <f t="shared" si="22"/>
        <v/>
      </c>
      <c r="J191" s="256" t="str">
        <f t="shared" si="23"/>
        <v/>
      </c>
      <c r="K191" s="256" t="str">
        <f>IF(B191="","Pending",IF(M191="","⚠️ Enter Code",IF(IFERROR(VLOOKUP(L191,DB_Agents!$B:$I,8,0),"")=M191,"Pending","🔒 BLOCKED — Wrong Code")))</f>
        <v>Pending</v>
      </c>
      <c r="L191" s="256" t="s">
        <v>142</v>
      </c>
      <c r="M191" s="252"/>
      <c r="N191" s="257"/>
    </row>
    <row r="192" spans="1:14" ht="18" customHeight="1" x14ac:dyDescent="0.25">
      <c r="A192" s="253" t="str">
        <f t="shared" si="20"/>
        <v/>
      </c>
      <c r="B192" s="254"/>
      <c r="C192" s="254" t="str">
        <f>IF(B192="","",IFERROR(VLOOKUP(B192,DB_Customers!$A:$D,4,0),"❌ Account Not Found"))</f>
        <v/>
      </c>
      <c r="D192" s="253" t="str">
        <f t="shared" ca="1" si="21"/>
        <v/>
      </c>
      <c r="E192" s="254"/>
      <c r="F192" s="254"/>
      <c r="G192" s="253"/>
      <c r="H192" s="255">
        <v>2.5</v>
      </c>
      <c r="I192" s="253" t="str">
        <f t="shared" si="22"/>
        <v/>
      </c>
      <c r="J192" s="253" t="str">
        <f t="shared" si="23"/>
        <v/>
      </c>
      <c r="K192" s="253" t="str">
        <f>IF(B192="","Pending",IF(M192="","⚠️ Enter Code",IF(IFERROR(VLOOKUP(L192,DB_Agents!$B:$I,8,0),"")=M192,"Pending","🔒 BLOCKED — Wrong Code")))</f>
        <v>Pending</v>
      </c>
      <c r="L192" s="253" t="s">
        <v>142</v>
      </c>
      <c r="M192" s="240"/>
      <c r="N192" s="254"/>
    </row>
    <row r="193" spans="1:14" ht="18" customHeight="1" x14ac:dyDescent="0.25">
      <c r="A193" s="256" t="str">
        <f t="shared" si="20"/>
        <v/>
      </c>
      <c r="B193" s="257"/>
      <c r="C193" s="257" t="str">
        <f>IF(B193="","",IFERROR(VLOOKUP(B193,DB_Customers!$A:$D,4,0),"❌ Account Not Found"))</f>
        <v/>
      </c>
      <c r="D193" s="256" t="str">
        <f t="shared" ca="1" si="21"/>
        <v/>
      </c>
      <c r="E193" s="257"/>
      <c r="F193" s="257"/>
      <c r="G193" s="256"/>
      <c r="H193" s="258">
        <v>2.5</v>
      </c>
      <c r="I193" s="256" t="str">
        <f t="shared" si="22"/>
        <v/>
      </c>
      <c r="J193" s="256" t="str">
        <f t="shared" si="23"/>
        <v/>
      </c>
      <c r="K193" s="256" t="str">
        <f>IF(B193="","Pending",IF(M193="","⚠️ Enter Code",IF(IFERROR(VLOOKUP(L193,DB_Agents!$B:$I,8,0),"")=M193,"Pending","🔒 BLOCKED — Wrong Code")))</f>
        <v>Pending</v>
      </c>
      <c r="L193" s="256" t="s">
        <v>142</v>
      </c>
      <c r="M193" s="252"/>
      <c r="N193" s="257"/>
    </row>
    <row r="194" spans="1:14" ht="18" customHeight="1" x14ac:dyDescent="0.25">
      <c r="A194" s="253" t="str">
        <f t="shared" si="20"/>
        <v/>
      </c>
      <c r="B194" s="254"/>
      <c r="C194" s="254" t="str">
        <f>IF(B194="","",IFERROR(VLOOKUP(B194,DB_Customers!$A:$D,4,0),"❌ Account Not Found"))</f>
        <v/>
      </c>
      <c r="D194" s="253" t="str">
        <f t="shared" ca="1" si="21"/>
        <v/>
      </c>
      <c r="E194" s="254"/>
      <c r="F194" s="254"/>
      <c r="G194" s="253"/>
      <c r="H194" s="255">
        <v>2.5</v>
      </c>
      <c r="I194" s="253" t="str">
        <f t="shared" si="22"/>
        <v/>
      </c>
      <c r="J194" s="253" t="str">
        <f t="shared" si="23"/>
        <v/>
      </c>
      <c r="K194" s="253" t="str">
        <f>IF(B194="","Pending",IF(M194="","⚠️ Enter Code",IF(IFERROR(VLOOKUP(L194,DB_Agents!$B:$I,8,0),"")=M194,"Pending","🔒 BLOCKED — Wrong Code")))</f>
        <v>Pending</v>
      </c>
      <c r="L194" s="253" t="s">
        <v>142</v>
      </c>
      <c r="M194" s="240"/>
      <c r="N194" s="254"/>
    </row>
    <row r="195" spans="1:14" ht="18" customHeight="1" x14ac:dyDescent="0.25">
      <c r="A195" s="256" t="str">
        <f t="shared" si="20"/>
        <v/>
      </c>
      <c r="B195" s="257"/>
      <c r="C195" s="257" t="str">
        <f>IF(B195="","",IFERROR(VLOOKUP(B195,DB_Customers!$A:$D,4,0),"❌ Account Not Found"))</f>
        <v/>
      </c>
      <c r="D195" s="256" t="str">
        <f t="shared" ca="1" si="21"/>
        <v/>
      </c>
      <c r="E195" s="257"/>
      <c r="F195" s="257"/>
      <c r="G195" s="256"/>
      <c r="H195" s="258">
        <v>2.5</v>
      </c>
      <c r="I195" s="256" t="str">
        <f t="shared" si="22"/>
        <v/>
      </c>
      <c r="J195" s="256" t="str">
        <f t="shared" si="23"/>
        <v/>
      </c>
      <c r="K195" s="256" t="str">
        <f>IF(B195="","Pending",IF(M195="","⚠️ Enter Code",IF(IFERROR(VLOOKUP(L195,DB_Agents!$B:$I,8,0),"")=M195,"Pending","🔒 BLOCKED — Wrong Code")))</f>
        <v>Pending</v>
      </c>
      <c r="L195" s="256" t="s">
        <v>142</v>
      </c>
      <c r="M195" s="252"/>
      <c r="N195" s="257"/>
    </row>
    <row r="196" spans="1:14" ht="18" customHeight="1" x14ac:dyDescent="0.25">
      <c r="A196" s="253" t="str">
        <f t="shared" si="20"/>
        <v/>
      </c>
      <c r="B196" s="254"/>
      <c r="C196" s="254" t="str">
        <f>IF(B196="","",IFERROR(VLOOKUP(B196,DB_Customers!$A:$D,4,0),"❌ Account Not Found"))</f>
        <v/>
      </c>
      <c r="D196" s="253" t="str">
        <f t="shared" ca="1" si="21"/>
        <v/>
      </c>
      <c r="E196" s="254"/>
      <c r="F196" s="254"/>
      <c r="G196" s="253"/>
      <c r="H196" s="255">
        <v>2.5</v>
      </c>
      <c r="I196" s="253" t="str">
        <f t="shared" si="22"/>
        <v/>
      </c>
      <c r="J196" s="253" t="str">
        <f t="shared" si="23"/>
        <v/>
      </c>
      <c r="K196" s="253" t="str">
        <f>IF(B196="","Pending",IF(M196="","⚠️ Enter Code",IF(IFERROR(VLOOKUP(L196,DB_Agents!$B:$I,8,0),"")=M196,"Pending","🔒 BLOCKED — Wrong Code")))</f>
        <v>Pending</v>
      </c>
      <c r="L196" s="253" t="s">
        <v>142</v>
      </c>
      <c r="M196" s="240"/>
      <c r="N196" s="254"/>
    </row>
    <row r="197" spans="1:14" ht="18" customHeight="1" x14ac:dyDescent="0.25">
      <c r="A197" s="256" t="str">
        <f t="shared" si="20"/>
        <v/>
      </c>
      <c r="B197" s="257"/>
      <c r="C197" s="257" t="str">
        <f>IF(B197="","",IFERROR(VLOOKUP(B197,DB_Customers!$A:$D,4,0),"❌ Account Not Found"))</f>
        <v/>
      </c>
      <c r="D197" s="256" t="str">
        <f t="shared" ca="1" si="21"/>
        <v/>
      </c>
      <c r="E197" s="257"/>
      <c r="F197" s="257"/>
      <c r="G197" s="256"/>
      <c r="H197" s="258">
        <v>2.5</v>
      </c>
      <c r="I197" s="256" t="str">
        <f t="shared" si="22"/>
        <v/>
      </c>
      <c r="J197" s="256" t="str">
        <f t="shared" si="23"/>
        <v/>
      </c>
      <c r="K197" s="256" t="str">
        <f>IF(B197="","Pending",IF(M197="","⚠️ Enter Code",IF(IFERROR(VLOOKUP(L197,DB_Agents!$B:$I,8,0),"")=M197,"Pending","🔒 BLOCKED — Wrong Code")))</f>
        <v>Pending</v>
      </c>
      <c r="L197" s="256" t="s">
        <v>142</v>
      </c>
      <c r="M197" s="252"/>
      <c r="N197" s="257"/>
    </row>
    <row r="198" spans="1:14" ht="18" customHeight="1" x14ac:dyDescent="0.25">
      <c r="A198" s="253" t="str">
        <f t="shared" si="20"/>
        <v/>
      </c>
      <c r="B198" s="254"/>
      <c r="C198" s="254" t="str">
        <f>IF(B198="","",IFERROR(VLOOKUP(B198,DB_Customers!$A:$D,4,0),"❌ Account Not Found"))</f>
        <v/>
      </c>
      <c r="D198" s="253" t="str">
        <f t="shared" ca="1" si="21"/>
        <v/>
      </c>
      <c r="E198" s="254"/>
      <c r="F198" s="254"/>
      <c r="G198" s="253"/>
      <c r="H198" s="255">
        <v>2.5</v>
      </c>
      <c r="I198" s="253" t="str">
        <f t="shared" si="22"/>
        <v/>
      </c>
      <c r="J198" s="253" t="str">
        <f t="shared" si="23"/>
        <v/>
      </c>
      <c r="K198" s="253" t="str">
        <f>IF(B198="","Pending",IF(M198="","⚠️ Enter Code",IF(IFERROR(VLOOKUP(L198,DB_Agents!$B:$I,8,0),"")=M198,"Pending","🔒 BLOCKED — Wrong Code")))</f>
        <v>Pending</v>
      </c>
      <c r="L198" s="253" t="s">
        <v>142</v>
      </c>
      <c r="M198" s="240"/>
      <c r="N198" s="254"/>
    </row>
    <row r="199" spans="1:14" ht="18" customHeight="1" x14ac:dyDescent="0.25">
      <c r="A199" s="256" t="str">
        <f t="shared" si="20"/>
        <v/>
      </c>
      <c r="B199" s="257"/>
      <c r="C199" s="257" t="str">
        <f>IF(B199="","",IFERROR(VLOOKUP(B199,DB_Customers!$A:$D,4,0),"❌ Account Not Found"))</f>
        <v/>
      </c>
      <c r="D199" s="256" t="str">
        <f t="shared" ca="1" si="21"/>
        <v/>
      </c>
      <c r="E199" s="257"/>
      <c r="F199" s="257"/>
      <c r="G199" s="256"/>
      <c r="H199" s="258">
        <v>2.5</v>
      </c>
      <c r="I199" s="256" t="str">
        <f t="shared" si="22"/>
        <v/>
      </c>
      <c r="J199" s="256" t="str">
        <f t="shared" si="23"/>
        <v/>
      </c>
      <c r="K199" s="256" t="str">
        <f>IF(B199="","Pending",IF(M199="","⚠️ Enter Code",IF(IFERROR(VLOOKUP(L199,DB_Agents!$B:$I,8,0),"")=M199,"Pending","🔒 BLOCKED — Wrong Code")))</f>
        <v>Pending</v>
      </c>
      <c r="L199" s="256" t="s">
        <v>142</v>
      </c>
      <c r="M199" s="252"/>
      <c r="N199" s="257"/>
    </row>
    <row r="200" spans="1:14" ht="18" customHeight="1" x14ac:dyDescent="0.25">
      <c r="A200" s="253" t="str">
        <f t="shared" si="20"/>
        <v/>
      </c>
      <c r="B200" s="254"/>
      <c r="C200" s="254" t="str">
        <f>IF(B200="","",IFERROR(VLOOKUP(B200,DB_Customers!$A:$D,4,0),"❌ Account Not Found"))</f>
        <v/>
      </c>
      <c r="D200" s="253" t="str">
        <f t="shared" ca="1" si="21"/>
        <v/>
      </c>
      <c r="E200" s="254"/>
      <c r="F200" s="254"/>
      <c r="G200" s="253"/>
      <c r="H200" s="255">
        <v>2.5</v>
      </c>
      <c r="I200" s="253" t="str">
        <f t="shared" si="22"/>
        <v/>
      </c>
      <c r="J200" s="253" t="str">
        <f t="shared" si="23"/>
        <v/>
      </c>
      <c r="K200" s="253" t="str">
        <f>IF(B200="","Pending",IF(M200="","⚠️ Enter Code",IF(IFERROR(VLOOKUP(L200,DB_Agents!$B:$I,8,0),"")=M200,"Pending","🔒 BLOCKED — Wrong Code")))</f>
        <v>Pending</v>
      </c>
      <c r="L200" s="253" t="s">
        <v>142</v>
      </c>
      <c r="M200" s="240"/>
      <c r="N200" s="254"/>
    </row>
    <row r="201" spans="1:14" ht="18" customHeight="1" x14ac:dyDescent="0.25">
      <c r="A201" s="256" t="str">
        <f t="shared" si="20"/>
        <v/>
      </c>
      <c r="B201" s="257"/>
      <c r="C201" s="257" t="str">
        <f>IF(B201="","",IFERROR(VLOOKUP(B201,DB_Customers!$A:$D,4,0),"❌ Account Not Found"))</f>
        <v/>
      </c>
      <c r="D201" s="256" t="str">
        <f t="shared" ca="1" si="21"/>
        <v/>
      </c>
      <c r="E201" s="257"/>
      <c r="F201" s="257"/>
      <c r="G201" s="256"/>
      <c r="H201" s="256">
        <v>2.5</v>
      </c>
      <c r="I201" s="256" t="str">
        <f t="shared" si="22"/>
        <v/>
      </c>
      <c r="J201" s="256" t="str">
        <f t="shared" si="23"/>
        <v/>
      </c>
      <c r="K201" s="256" t="str">
        <f>IF(B201="","Pending",IF(M201="","⚠️ Enter Code",IF(IFERROR(VLOOKUP(L201,DB_Agents!$B:$I,8,0),"")=M201,"Pending","🔒 BLOCKED — Wrong Code")))</f>
        <v>Pending</v>
      </c>
      <c r="L201" s="256" t="s">
        <v>142</v>
      </c>
      <c r="M201" s="252"/>
      <c r="N201" s="257"/>
    </row>
    <row r="202" spans="1:14" ht="18" customHeight="1" x14ac:dyDescent="0.25">
      <c r="A202" s="253" t="str">
        <f t="shared" si="20"/>
        <v/>
      </c>
      <c r="B202" s="254"/>
      <c r="C202" s="254" t="str">
        <f>IF(B202="","",IFERROR(VLOOKUP(B202,DB_Customers!$A:$D,4,0),"❌ Account Not Found"))</f>
        <v/>
      </c>
      <c r="D202" s="253" t="str">
        <f t="shared" ca="1" si="21"/>
        <v/>
      </c>
      <c r="E202" s="254"/>
      <c r="F202" s="254"/>
      <c r="G202" s="253"/>
      <c r="H202" s="253">
        <v>2.5</v>
      </c>
      <c r="I202" s="253" t="str">
        <f t="shared" si="22"/>
        <v/>
      </c>
      <c r="J202" s="253" t="str">
        <f t="shared" si="23"/>
        <v/>
      </c>
      <c r="K202" s="253" t="str">
        <f>IF(B202="","Pending",IF(M202="","⚠️ Enter Code",IF(IFERROR(VLOOKUP(L202,DB_Agents!$B:$I,8,0),"")=M202,"Pending","🔒 BLOCKED — Wrong Code")))</f>
        <v>Pending</v>
      </c>
      <c r="L202" s="253" t="s">
        <v>142</v>
      </c>
      <c r="M202" s="240"/>
      <c r="N202" s="254"/>
    </row>
    <row r="203" spans="1:14" ht="18" customHeight="1" x14ac:dyDescent="0.25">
      <c r="A203" s="256" t="str">
        <f t="shared" si="20"/>
        <v/>
      </c>
      <c r="B203" s="257"/>
      <c r="C203" s="257" t="str">
        <f>IF(B203="","",IFERROR(VLOOKUP(B203,DB_Customers!$A:$D,4,0),"❌ Account Not Found"))</f>
        <v/>
      </c>
      <c r="D203" s="256" t="str">
        <f t="shared" ca="1" si="21"/>
        <v/>
      </c>
      <c r="E203" s="257"/>
      <c r="F203" s="257"/>
      <c r="G203" s="256"/>
      <c r="H203" s="256">
        <v>2.5</v>
      </c>
      <c r="I203" s="256" t="str">
        <f t="shared" si="22"/>
        <v/>
      </c>
      <c r="J203" s="256" t="str">
        <f t="shared" si="23"/>
        <v/>
      </c>
      <c r="K203" s="256" t="str">
        <f>IF(B203="","Pending",IF(M203="","⚠️ Enter Code",IF(IFERROR(VLOOKUP(L203,DB_Agents!$B:$I,8,0),"")=M203,"Pending","🔒 BLOCKED — Wrong Code")))</f>
        <v>Pending</v>
      </c>
      <c r="L203" s="256" t="s">
        <v>142</v>
      </c>
      <c r="M203" s="252"/>
      <c r="N203" s="257"/>
    </row>
    <row r="204" spans="1:14" ht="18" customHeight="1" x14ac:dyDescent="0.25">
      <c r="A204" s="253" t="str">
        <f t="shared" si="20"/>
        <v/>
      </c>
      <c r="B204" s="254"/>
      <c r="C204" s="254" t="str">
        <f>IF(B204="","",IFERROR(VLOOKUP(B204,DB_Customers!$A:$D,4,0),"❌ Account Not Found"))</f>
        <v/>
      </c>
      <c r="D204" s="253" t="str">
        <f t="shared" ca="1" si="21"/>
        <v/>
      </c>
      <c r="E204" s="254"/>
      <c r="F204" s="254"/>
      <c r="G204" s="253"/>
      <c r="H204" s="253">
        <v>2.5</v>
      </c>
      <c r="I204" s="253" t="str">
        <f t="shared" si="22"/>
        <v/>
      </c>
      <c r="J204" s="253" t="str">
        <f t="shared" si="23"/>
        <v/>
      </c>
      <c r="K204" s="253" t="str">
        <f>IF(B204="","Pending",IF(M204="","⚠️ Enter Code",IF(IFERROR(VLOOKUP(L204,DB_Agents!$B:$I,8,0),"")=M204,"Pending","🔒 BLOCKED — Wrong Code")))</f>
        <v>Pending</v>
      </c>
      <c r="L204" s="253" t="s">
        <v>142</v>
      </c>
      <c r="M204" s="240"/>
      <c r="N204" s="254"/>
    </row>
    <row r="205" spans="1:14" ht="18" customHeight="1" x14ac:dyDescent="0.25">
      <c r="A205" s="256" t="str">
        <f t="shared" si="20"/>
        <v/>
      </c>
      <c r="B205" s="257"/>
      <c r="C205" s="257" t="str">
        <f>IF(B205="","",IFERROR(VLOOKUP(B205,DB_Customers!$A:$D,4,0),"❌ Account Not Found"))</f>
        <v/>
      </c>
      <c r="D205" s="256" t="str">
        <f t="shared" ca="1" si="21"/>
        <v/>
      </c>
      <c r="E205" s="257"/>
      <c r="F205" s="257"/>
      <c r="G205" s="256"/>
      <c r="H205" s="256">
        <v>2.5</v>
      </c>
      <c r="I205" s="256" t="str">
        <f t="shared" si="22"/>
        <v/>
      </c>
      <c r="J205" s="256" t="str">
        <f t="shared" si="23"/>
        <v/>
      </c>
      <c r="K205" s="256" t="str">
        <f>IF(B205="","Pending",IF(M205="","⚠️ Enter Code",IF(IFERROR(VLOOKUP(L205,DB_Agents!$B:$I,8,0),"")=M205,"Pending","🔒 BLOCKED — Wrong Code")))</f>
        <v>Pending</v>
      </c>
      <c r="L205" s="256" t="s">
        <v>142</v>
      </c>
      <c r="M205" s="252"/>
      <c r="N205" s="257"/>
    </row>
    <row r="206" spans="1:14" ht="18" customHeight="1" x14ac:dyDescent="0.25">
      <c r="A206" s="253" t="str">
        <f t="shared" ref="A206:A213" si="24">IF(B206="","",IF(C206="❌ Account Not Found","INVALID","LN"&amp;TEXT(D206,"YYYYMMDD")&amp;TEXT(ROW()-13,"0000")))</f>
        <v/>
      </c>
      <c r="B206" s="254"/>
      <c r="C206" s="254" t="str">
        <f>IF(B206="","",IFERROR(VLOOKUP(B206,DB_Customers!$A:$D,4,0),"❌ Account Not Found"))</f>
        <v/>
      </c>
      <c r="D206" s="253" t="str">
        <f t="shared" ref="D206:D213" ca="1" si="25">IF(B206="","",TODAY())</f>
        <v/>
      </c>
      <c r="E206" s="254"/>
      <c r="F206" s="254"/>
      <c r="G206" s="253"/>
      <c r="H206" s="253">
        <v>2.5</v>
      </c>
      <c r="I206" s="253" t="str">
        <f t="shared" ref="I206:I213" si="26">IF(E206="","",E206+(E206*H206/100*G206))</f>
        <v/>
      </c>
      <c r="J206" s="253" t="str">
        <f t="shared" ref="J206:J213" si="27">IFERROR(I206/G206,"")</f>
        <v/>
      </c>
      <c r="K206" s="253" t="str">
        <f>IF(B206="","Pending",IF(M206="","⚠️ Enter Code",IF(IFERROR(VLOOKUP(L206,DB_Agents!$B:$I,8,0),"")=M206,"Pending","🔒 BLOCKED — Wrong Code")))</f>
        <v>Pending</v>
      </c>
      <c r="L206" s="253" t="s">
        <v>142</v>
      </c>
      <c r="M206" s="240"/>
      <c r="N206" s="254"/>
    </row>
    <row r="207" spans="1:14" ht="18" customHeight="1" x14ac:dyDescent="0.25">
      <c r="A207" s="256" t="str">
        <f t="shared" si="24"/>
        <v/>
      </c>
      <c r="B207" s="257"/>
      <c r="C207" s="257" t="str">
        <f>IF(B207="","",IFERROR(VLOOKUP(B207,DB_Customers!$A:$D,4,0),"❌ Account Not Found"))</f>
        <v/>
      </c>
      <c r="D207" s="256" t="str">
        <f t="shared" ca="1" si="25"/>
        <v/>
      </c>
      <c r="E207" s="257"/>
      <c r="F207" s="257"/>
      <c r="G207" s="256"/>
      <c r="H207" s="256">
        <v>2.5</v>
      </c>
      <c r="I207" s="256" t="str">
        <f t="shared" si="26"/>
        <v/>
      </c>
      <c r="J207" s="256" t="str">
        <f t="shared" si="27"/>
        <v/>
      </c>
      <c r="K207" s="256" t="str">
        <f>IF(B207="","Pending",IF(M207="","⚠️ Enter Code",IF(IFERROR(VLOOKUP(L207,DB_Agents!$B:$I,8,0),"")=M207,"Pending","🔒 BLOCKED — Wrong Code")))</f>
        <v>Pending</v>
      </c>
      <c r="L207" s="256" t="s">
        <v>142</v>
      </c>
      <c r="M207" s="252"/>
      <c r="N207" s="257"/>
    </row>
    <row r="208" spans="1:14" ht="18" customHeight="1" x14ac:dyDescent="0.25">
      <c r="A208" s="253" t="str">
        <f t="shared" si="24"/>
        <v/>
      </c>
      <c r="B208" s="254"/>
      <c r="C208" s="254" t="str">
        <f>IF(B208="","",IFERROR(VLOOKUP(B208,DB_Customers!$A:$D,4,0),"❌ Account Not Found"))</f>
        <v/>
      </c>
      <c r="D208" s="253" t="str">
        <f t="shared" ca="1" si="25"/>
        <v/>
      </c>
      <c r="E208" s="254"/>
      <c r="F208" s="254"/>
      <c r="G208" s="253"/>
      <c r="H208" s="253">
        <v>2.5</v>
      </c>
      <c r="I208" s="253" t="str">
        <f t="shared" si="26"/>
        <v/>
      </c>
      <c r="J208" s="253" t="str">
        <f t="shared" si="27"/>
        <v/>
      </c>
      <c r="K208" s="253" t="str">
        <f>IF(B208="","Pending",IF(M208="","⚠️ Enter Code",IF(IFERROR(VLOOKUP(L208,DB_Agents!$B:$I,8,0),"")=M208,"Pending","🔒 BLOCKED — Wrong Code")))</f>
        <v>Pending</v>
      </c>
      <c r="L208" s="253" t="s">
        <v>142</v>
      </c>
      <c r="M208" s="240"/>
      <c r="N208" s="254"/>
    </row>
    <row r="209" spans="1:14" ht="18" customHeight="1" x14ac:dyDescent="0.25">
      <c r="A209" s="256" t="str">
        <f t="shared" si="24"/>
        <v/>
      </c>
      <c r="B209" s="257"/>
      <c r="C209" s="257" t="str">
        <f>IF(B209="","",IFERROR(VLOOKUP(B209,DB_Customers!$A:$D,4,0),"❌ Account Not Found"))</f>
        <v/>
      </c>
      <c r="D209" s="256" t="str">
        <f t="shared" ca="1" si="25"/>
        <v/>
      </c>
      <c r="E209" s="257"/>
      <c r="F209" s="257"/>
      <c r="G209" s="256"/>
      <c r="H209" s="256">
        <v>2.5</v>
      </c>
      <c r="I209" s="256" t="str">
        <f t="shared" si="26"/>
        <v/>
      </c>
      <c r="J209" s="256" t="str">
        <f t="shared" si="27"/>
        <v/>
      </c>
      <c r="K209" s="256" t="str">
        <f>IF(B209="","Pending",IF(M209="","⚠️ Enter Code",IF(IFERROR(VLOOKUP(L209,DB_Agents!$B:$I,8,0),"")=M209,"Pending","🔒 BLOCKED — Wrong Code")))</f>
        <v>Pending</v>
      </c>
      <c r="L209" s="256" t="s">
        <v>142</v>
      </c>
      <c r="M209" s="252"/>
      <c r="N209" s="257"/>
    </row>
    <row r="210" spans="1:14" ht="18" customHeight="1" x14ac:dyDescent="0.25">
      <c r="A210" s="253" t="str">
        <f t="shared" si="24"/>
        <v/>
      </c>
      <c r="B210" s="254"/>
      <c r="C210" s="254" t="str">
        <f>IF(B210="","",IFERROR(VLOOKUP(B210,DB_Customers!$A:$D,4,0),"❌ Account Not Found"))</f>
        <v/>
      </c>
      <c r="D210" s="253" t="str">
        <f t="shared" ca="1" si="25"/>
        <v/>
      </c>
      <c r="E210" s="254"/>
      <c r="F210" s="254"/>
      <c r="G210" s="253"/>
      <c r="H210" s="253">
        <v>2.5</v>
      </c>
      <c r="I210" s="253" t="str">
        <f t="shared" si="26"/>
        <v/>
      </c>
      <c r="J210" s="253" t="str">
        <f t="shared" si="27"/>
        <v/>
      </c>
      <c r="K210" s="253" t="str">
        <f>IF(B210="","Pending",IF(M210="","⚠️ Enter Code",IF(IFERROR(VLOOKUP(L210,DB_Agents!$B:$I,8,0),"")=M210,"Pending","🔒 BLOCKED — Wrong Code")))</f>
        <v>Pending</v>
      </c>
      <c r="L210" s="253" t="s">
        <v>142</v>
      </c>
      <c r="M210" s="240"/>
      <c r="N210" s="254"/>
    </row>
    <row r="211" spans="1:14" ht="18" customHeight="1" x14ac:dyDescent="0.25">
      <c r="A211" s="256" t="str">
        <f t="shared" si="24"/>
        <v/>
      </c>
      <c r="B211" s="257"/>
      <c r="C211" s="257" t="str">
        <f>IF(B211="","",IFERROR(VLOOKUP(B211,DB_Customers!$A:$D,4,0),"❌ Account Not Found"))</f>
        <v/>
      </c>
      <c r="D211" s="256" t="str">
        <f t="shared" ca="1" si="25"/>
        <v/>
      </c>
      <c r="E211" s="257"/>
      <c r="F211" s="257"/>
      <c r="G211" s="256"/>
      <c r="H211" s="256">
        <v>2.5</v>
      </c>
      <c r="I211" s="256" t="str">
        <f t="shared" si="26"/>
        <v/>
      </c>
      <c r="J211" s="256" t="str">
        <f t="shared" si="27"/>
        <v/>
      </c>
      <c r="K211" s="256" t="str">
        <f>IF(B211="","Pending",IF(M211="","⚠️ Enter Code",IF(IFERROR(VLOOKUP(L211,DB_Agents!$B:$I,8,0),"")=M211,"Pending","🔒 BLOCKED — Wrong Code")))</f>
        <v>Pending</v>
      </c>
      <c r="L211" s="256" t="s">
        <v>142</v>
      </c>
      <c r="M211" s="252"/>
      <c r="N211" s="257"/>
    </row>
    <row r="212" spans="1:14" ht="18" customHeight="1" x14ac:dyDescent="0.25">
      <c r="A212" s="253" t="str">
        <f t="shared" si="24"/>
        <v/>
      </c>
      <c r="B212" s="254"/>
      <c r="C212" s="254" t="str">
        <f>IF(B212="","",IFERROR(VLOOKUP(B212,DB_Customers!$A:$D,4,0),"❌ Account Not Found"))</f>
        <v/>
      </c>
      <c r="D212" s="253" t="str">
        <f t="shared" ca="1" si="25"/>
        <v/>
      </c>
      <c r="E212" s="254"/>
      <c r="F212" s="254"/>
      <c r="G212" s="253"/>
      <c r="H212" s="253">
        <v>2.5</v>
      </c>
      <c r="I212" s="253" t="str">
        <f t="shared" si="26"/>
        <v/>
      </c>
      <c r="J212" s="253" t="str">
        <f t="shared" si="27"/>
        <v/>
      </c>
      <c r="K212" s="253" t="str">
        <f>IF(B212="","Pending",IF(M212="","⚠️ Enter Code",IF(IFERROR(VLOOKUP(L212,DB_Agents!$B:$I,8,0),"")=M212,"Pending","🔒 BLOCKED — Wrong Code")))</f>
        <v>Pending</v>
      </c>
      <c r="L212" s="253" t="s">
        <v>142</v>
      </c>
      <c r="M212" s="240"/>
      <c r="N212" s="254"/>
    </row>
    <row r="213" spans="1:14" ht="18" customHeight="1" x14ac:dyDescent="0.25">
      <c r="A213" s="256" t="str">
        <f t="shared" si="24"/>
        <v/>
      </c>
      <c r="B213" s="257"/>
      <c r="C213" s="257" t="str">
        <f>IF(B213="","",IFERROR(VLOOKUP(B213,DB_Customers!$A:$D,4,0),"❌ Account Not Found"))</f>
        <v/>
      </c>
      <c r="D213" s="256" t="str">
        <f t="shared" ca="1" si="25"/>
        <v/>
      </c>
      <c r="E213" s="257"/>
      <c r="F213" s="257"/>
      <c r="G213" s="256"/>
      <c r="H213" s="256">
        <v>2.5</v>
      </c>
      <c r="I213" s="256" t="str">
        <f t="shared" si="26"/>
        <v/>
      </c>
      <c r="J213" s="256" t="str">
        <f t="shared" si="27"/>
        <v/>
      </c>
      <c r="K213" s="256" t="str">
        <f>IF(B213="","Pending",IF(M213="","⚠️ Enter Code",IF(IFERROR(VLOOKUP(L213,DB_Agents!$B:$I,8,0),"")=M213,"Pending","🔒 BLOCKED — Wrong Code")))</f>
        <v>Pending</v>
      </c>
      <c r="L213" s="256" t="s">
        <v>142</v>
      </c>
      <c r="M213" s="252"/>
      <c r="N213" s="257"/>
    </row>
  </sheetData>
  <conditionalFormatting sqref="K14:K113">
    <cfRule type="cellIs" dxfId="5" priority="2" operator="equal">
      <formula>"Approved"</formula>
    </cfRule>
    <cfRule type="cellIs" dxfId="4" priority="3" operator="equal">
      <formula>"Pending"</formula>
    </cfRule>
    <cfRule type="cellIs" dxfId="3" priority="4" operator="equal">
      <formula>"Rejected"</formula>
    </cfRule>
  </conditionalFormatting>
  <dataValidations count="2">
    <dataValidation type="whole" showErrorMessage="1" error="Enter 1-36 months" sqref="G14:G113" xr:uid="{00000000-0002-0000-2600-000000000000}">
      <formula1>1</formula1>
      <formula2>36</formula2>
    </dataValidation>
    <dataValidation type="list" sqref="L14:L113" xr:uid="{00000000-0002-0000-26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tabColor rgb="FFC0392B"/>
  </sheetPr>
  <dimension ref="A1:T1002"/>
  <sheetViews>
    <sheetView zoomScaleNormal="100" workbookViewId="0">
      <pane ySplit="3" topLeftCell="A4" activePane="bottomLeft" state="frozen"/>
      <selection pane="bottomLeft" sqref="A1:N1"/>
    </sheetView>
  </sheetViews>
  <sheetFormatPr defaultColWidth="8.7109375" defaultRowHeight="15" x14ac:dyDescent="0.25"/>
  <cols>
    <col min="1" max="1" width="18" customWidth="1"/>
    <col min="2" max="3" width="14" customWidth="1"/>
    <col min="4" max="4" width="22" customWidth="1"/>
    <col min="5" max="5" width="14" customWidth="1"/>
    <col min="6" max="6" width="18" customWidth="1"/>
    <col min="7" max="7" width="16" customWidth="1"/>
    <col min="8" max="8" width="12" customWidth="1"/>
    <col min="9" max="9" width="16" customWidth="1"/>
    <col min="10" max="10" width="14" customWidth="1"/>
    <col min="11" max="11" width="10" customWidth="1"/>
    <col min="12" max="12" width="16" customWidth="1"/>
    <col min="13" max="13" width="18" customWidth="1"/>
    <col min="14" max="14" width="16" customWidth="1"/>
    <col min="15" max="15" width="14" customWidth="1"/>
    <col min="16" max="16" width="22" customWidth="1"/>
    <col min="17" max="20" width="18" customWidth="1"/>
  </cols>
  <sheetData>
    <row r="1" spans="1:20" ht="31.5" customHeight="1" x14ac:dyDescent="0.25">
      <c r="A1" s="367" t="s">
        <v>388</v>
      </c>
      <c r="B1" s="265"/>
      <c r="C1" s="265"/>
      <c r="D1" s="265"/>
      <c r="E1" s="265"/>
      <c r="F1" s="265"/>
      <c r="G1" s="265"/>
      <c r="H1" s="265"/>
      <c r="I1" s="265"/>
      <c r="J1" s="265"/>
      <c r="K1" s="265"/>
      <c r="L1" s="265"/>
      <c r="M1" s="265"/>
      <c r="N1" s="265"/>
    </row>
    <row r="2" spans="1:20" ht="19.5" customHeight="1" x14ac:dyDescent="0.25">
      <c r="A2" s="366" t="s">
        <v>389</v>
      </c>
      <c r="B2" s="265"/>
      <c r="C2" s="265"/>
      <c r="D2" s="265"/>
      <c r="E2" s="265"/>
      <c r="F2" s="265"/>
      <c r="G2" s="265"/>
      <c r="H2" s="265"/>
      <c r="I2" s="265"/>
      <c r="J2" s="265"/>
      <c r="K2" s="265"/>
      <c r="L2" s="265"/>
      <c r="M2" s="265"/>
      <c r="N2" s="265"/>
    </row>
    <row r="3" spans="1:20" ht="15" customHeight="1" x14ac:dyDescent="0.25">
      <c r="A3" s="36" t="s">
        <v>4</v>
      </c>
      <c r="B3" s="36" t="s">
        <v>390</v>
      </c>
      <c r="C3" s="36" t="s">
        <v>391</v>
      </c>
      <c r="D3" s="36" t="s">
        <v>392</v>
      </c>
      <c r="E3" s="36" t="s">
        <v>393</v>
      </c>
      <c r="F3" s="36" t="s">
        <v>394</v>
      </c>
      <c r="G3" s="36" t="s">
        <v>295</v>
      </c>
      <c r="H3" s="36" t="s">
        <v>395</v>
      </c>
      <c r="I3" s="36" t="s">
        <v>396</v>
      </c>
      <c r="J3" s="36" t="s">
        <v>397</v>
      </c>
      <c r="K3" s="36" t="s">
        <v>13</v>
      </c>
      <c r="L3" s="36" t="s">
        <v>398</v>
      </c>
      <c r="M3" s="36" t="s">
        <v>399</v>
      </c>
      <c r="N3" s="36" t="s">
        <v>400</v>
      </c>
      <c r="O3" s="101" t="s">
        <v>401</v>
      </c>
      <c r="P3" s="101" t="s">
        <v>402</v>
      </c>
      <c r="Q3" s="97" t="s">
        <v>403</v>
      </c>
      <c r="R3" s="97" t="s">
        <v>266</v>
      </c>
      <c r="S3" s="97" t="s">
        <v>294</v>
      </c>
      <c r="T3" s="97" t="s">
        <v>404</v>
      </c>
    </row>
    <row r="4" spans="1:20" ht="15" customHeight="1" x14ac:dyDescent="0.25">
      <c r="A4" s="43"/>
      <c r="B4" s="43"/>
      <c r="C4" s="43"/>
      <c r="D4" s="41"/>
      <c r="E4" s="43"/>
      <c r="F4" s="43"/>
      <c r="G4" s="41"/>
      <c r="H4" s="43"/>
      <c r="I4" s="42"/>
      <c r="J4" s="102"/>
      <c r="K4" s="43"/>
      <c r="L4" s="42" t="str">
        <f>IF(A4="","",SUMIF(DB_Savings!$C:$C,A4,DB_Savings!$F:$F))</f>
        <v/>
      </c>
      <c r="M4" s="42" t="str">
        <f>IF(A4="","",SUMIF(DB_Withdrawals!$C:$C,A4,DB_Withdrawals!$G:$G))</f>
        <v/>
      </c>
      <c r="N4" s="42" t="str">
        <f t="shared" ref="N4:N67" si="0">IF(A4="","",I4+L4-M4)</f>
        <v/>
      </c>
      <c r="O4" t="str">
        <f t="shared" ref="O4:O67" si="1">IF(A4="","",TRUE())</f>
        <v/>
      </c>
      <c r="P4" t="str">
        <f>IF(A4="","",MAX(0,N4-System_Config!$B$9))</f>
        <v/>
      </c>
    </row>
    <row r="5" spans="1:20" ht="15" customHeight="1" x14ac:dyDescent="0.25">
      <c r="A5" s="39"/>
      <c r="B5" s="39"/>
      <c r="C5" s="39"/>
      <c r="D5" s="37"/>
      <c r="E5" s="39"/>
      <c r="F5" s="39"/>
      <c r="G5" s="37"/>
      <c r="H5" s="39"/>
      <c r="I5" s="38"/>
      <c r="J5" s="103"/>
      <c r="K5" s="39"/>
      <c r="L5" s="38" t="str">
        <f>IF(A5="","",SUMIF(DB_Savings!$C:$C,A5,DB_Savings!$F:$F))</f>
        <v/>
      </c>
      <c r="M5" s="38" t="str">
        <f>IF(A5="","",SUMIF(DB_Withdrawals!$C:$C,A5,DB_Withdrawals!$G:$G))</f>
        <v/>
      </c>
      <c r="N5" s="38" t="str">
        <f t="shared" si="0"/>
        <v/>
      </c>
      <c r="O5" t="str">
        <f t="shared" si="1"/>
        <v/>
      </c>
      <c r="P5" t="str">
        <f>IF(A5="","",MAX(0,N5-System_Config!$B$9))</f>
        <v/>
      </c>
    </row>
    <row r="6" spans="1:20" ht="15" customHeight="1" x14ac:dyDescent="0.25">
      <c r="A6" s="43"/>
      <c r="B6" s="43"/>
      <c r="C6" s="43"/>
      <c r="D6" s="41"/>
      <c r="E6" s="43"/>
      <c r="F6" s="43"/>
      <c r="G6" s="41"/>
      <c r="H6" s="43"/>
      <c r="I6" s="42"/>
      <c r="J6" s="102"/>
      <c r="K6" s="43"/>
      <c r="L6" s="42" t="str">
        <f>IF(A6="","",SUMIF(DB_Savings!$C:$C,A6,DB_Savings!$F:$F))</f>
        <v/>
      </c>
      <c r="M6" s="42" t="str">
        <f>IF(A6="","",SUMIF(DB_Withdrawals!$C:$C,A6,DB_Withdrawals!$G:$G))</f>
        <v/>
      </c>
      <c r="N6" s="42" t="str">
        <f t="shared" si="0"/>
        <v/>
      </c>
      <c r="O6" t="str">
        <f t="shared" si="1"/>
        <v/>
      </c>
      <c r="P6" t="str">
        <f>IF(A6="","",MAX(0,N6-System_Config!$B$9))</f>
        <v/>
      </c>
    </row>
    <row r="7" spans="1:20" ht="15" customHeight="1" x14ac:dyDescent="0.25">
      <c r="A7" s="39"/>
      <c r="B7" s="39"/>
      <c r="C7" s="39"/>
      <c r="D7" s="37"/>
      <c r="E7" s="39"/>
      <c r="F7" s="39"/>
      <c r="G7" s="37"/>
      <c r="H7" s="39"/>
      <c r="I7" s="38"/>
      <c r="J7" s="103"/>
      <c r="K7" s="39"/>
      <c r="L7" s="38" t="str">
        <f>IF(A7="","",SUMIF(DB_Savings!$C:$C,A7,DB_Savings!$F:$F))</f>
        <v/>
      </c>
      <c r="M7" s="38" t="str">
        <f>IF(A7="","",SUMIF(DB_Withdrawals!$C:$C,A7,DB_Withdrawals!$G:$G))</f>
        <v/>
      </c>
      <c r="N7" s="38" t="str">
        <f t="shared" si="0"/>
        <v/>
      </c>
      <c r="O7" t="str">
        <f t="shared" si="1"/>
        <v/>
      </c>
      <c r="P7" t="str">
        <f>IF(A7="","",MAX(0,N7-System_Config!$B$9))</f>
        <v/>
      </c>
    </row>
    <row r="8" spans="1:20" ht="15" customHeight="1" x14ac:dyDescent="0.25">
      <c r="A8" s="43"/>
      <c r="B8" s="43"/>
      <c r="C8" s="43"/>
      <c r="D8" s="41"/>
      <c r="E8" s="43"/>
      <c r="F8" s="43"/>
      <c r="G8" s="41"/>
      <c r="H8" s="43"/>
      <c r="I8" s="42"/>
      <c r="J8" s="102"/>
      <c r="K8" s="43"/>
      <c r="L8" s="42" t="str">
        <f>IF(A8="","",SUMIF(DB_Savings!$C:$C,A8,DB_Savings!$F:$F))</f>
        <v/>
      </c>
      <c r="M8" s="42" t="str">
        <f>IF(A8="","",SUMIF(DB_Withdrawals!$C:$C,A8,DB_Withdrawals!$G:$G))</f>
        <v/>
      </c>
      <c r="N8" s="42" t="str">
        <f t="shared" si="0"/>
        <v/>
      </c>
      <c r="O8" t="str">
        <f t="shared" si="1"/>
        <v/>
      </c>
      <c r="P8" t="str">
        <f>IF(A8="","",MAX(0,N8-System_Config!$B$9))</f>
        <v/>
      </c>
    </row>
    <row r="9" spans="1:20" ht="15" customHeight="1" x14ac:dyDescent="0.25">
      <c r="A9" s="39"/>
      <c r="B9" s="39"/>
      <c r="C9" s="39"/>
      <c r="D9" s="37"/>
      <c r="E9" s="39"/>
      <c r="F9" s="39"/>
      <c r="G9" s="37"/>
      <c r="H9" s="39"/>
      <c r="I9" s="38"/>
      <c r="J9" s="103"/>
      <c r="K9" s="39"/>
      <c r="L9" s="38" t="str">
        <f>IF(A9="","",SUMIF(DB_Savings!$C:$C,A9,DB_Savings!$F:$F))</f>
        <v/>
      </c>
      <c r="M9" s="38" t="str">
        <f>IF(A9="","",SUMIF(DB_Withdrawals!$C:$C,A9,DB_Withdrawals!$G:$G))</f>
        <v/>
      </c>
      <c r="N9" s="38" t="str">
        <f t="shared" si="0"/>
        <v/>
      </c>
      <c r="O9" t="str">
        <f t="shared" si="1"/>
        <v/>
      </c>
      <c r="P9" t="str">
        <f>IF(A9="","",MAX(0,N9-System_Config!$B$9))</f>
        <v/>
      </c>
    </row>
    <row r="10" spans="1:20" ht="15" customHeight="1" x14ac:dyDescent="0.25">
      <c r="A10" s="43"/>
      <c r="B10" s="43"/>
      <c r="C10" s="43"/>
      <c r="D10" s="41"/>
      <c r="E10" s="43"/>
      <c r="F10" s="43"/>
      <c r="G10" s="41"/>
      <c r="H10" s="43"/>
      <c r="I10" s="42"/>
      <c r="J10" s="102"/>
      <c r="K10" s="43"/>
      <c r="L10" s="42" t="str">
        <f>IF(A10="","",SUMIF(DB_Savings!$C:$C,A10,DB_Savings!$F:$F))</f>
        <v/>
      </c>
      <c r="M10" s="42" t="str">
        <f>IF(A10="","",SUMIF(DB_Withdrawals!$C:$C,A10,DB_Withdrawals!$G:$G))</f>
        <v/>
      </c>
      <c r="N10" s="42" t="str">
        <f t="shared" si="0"/>
        <v/>
      </c>
      <c r="O10" t="str">
        <f t="shared" si="1"/>
        <v/>
      </c>
      <c r="P10" t="str">
        <f>IF(A10="","",MAX(0,N10-System_Config!$B$9))</f>
        <v/>
      </c>
    </row>
    <row r="11" spans="1:20" ht="15" customHeight="1" x14ac:dyDescent="0.25">
      <c r="A11" s="39"/>
      <c r="B11" s="39"/>
      <c r="C11" s="39"/>
      <c r="D11" s="37"/>
      <c r="E11" s="39"/>
      <c r="F11" s="39"/>
      <c r="G11" s="37"/>
      <c r="H11" s="39"/>
      <c r="I11" s="38"/>
      <c r="J11" s="103"/>
      <c r="K11" s="39"/>
      <c r="L11" s="38" t="str">
        <f>IF(A11="","",SUMIF(DB_Savings!$C:$C,A11,DB_Savings!$F:$F))</f>
        <v/>
      </c>
      <c r="M11" s="38" t="str">
        <f>IF(A11="","",SUMIF(DB_Withdrawals!$C:$C,A11,DB_Withdrawals!$G:$G))</f>
        <v/>
      </c>
      <c r="N11" s="38" t="str">
        <f t="shared" si="0"/>
        <v/>
      </c>
      <c r="O11" t="str">
        <f t="shared" si="1"/>
        <v/>
      </c>
      <c r="P11" t="str">
        <f>IF(A11="","",MAX(0,N11-System_Config!$B$9))</f>
        <v/>
      </c>
    </row>
    <row r="12" spans="1:20" ht="15" customHeight="1" x14ac:dyDescent="0.25">
      <c r="A12" s="43"/>
      <c r="B12" s="43"/>
      <c r="C12" s="43"/>
      <c r="D12" s="41"/>
      <c r="E12" s="43"/>
      <c r="F12" s="43"/>
      <c r="G12" s="41"/>
      <c r="H12" s="43"/>
      <c r="I12" s="42"/>
      <c r="J12" s="102"/>
      <c r="K12" s="43"/>
      <c r="L12" s="42" t="str">
        <f>IF(A12="","",SUMIF(DB_Savings!$C:$C,A12,DB_Savings!$F:$F))</f>
        <v/>
      </c>
      <c r="M12" s="42" t="str">
        <f>IF(A12="","",SUMIF(DB_Withdrawals!$C:$C,A12,DB_Withdrawals!$G:$G))</f>
        <v/>
      </c>
      <c r="N12" s="42" t="str">
        <f t="shared" si="0"/>
        <v/>
      </c>
      <c r="O12" t="str">
        <f t="shared" si="1"/>
        <v/>
      </c>
      <c r="P12" t="str">
        <f>IF(A12="","",MAX(0,N12-System_Config!$B$9))</f>
        <v/>
      </c>
    </row>
    <row r="13" spans="1:20" ht="15" customHeight="1" x14ac:dyDescent="0.25">
      <c r="A13" s="39"/>
      <c r="B13" s="39"/>
      <c r="C13" s="39"/>
      <c r="D13" s="37"/>
      <c r="E13" s="39"/>
      <c r="F13" s="39"/>
      <c r="G13" s="37"/>
      <c r="H13" s="39"/>
      <c r="I13" s="38"/>
      <c r="J13" s="103"/>
      <c r="K13" s="39"/>
      <c r="L13" s="38" t="str">
        <f>IF(A13="","",SUMIF(DB_Savings!$C:$C,A13,DB_Savings!$F:$F))</f>
        <v/>
      </c>
      <c r="M13" s="38" t="str">
        <f>IF(A13="","",SUMIF(DB_Withdrawals!$C:$C,A13,DB_Withdrawals!$G:$G))</f>
        <v/>
      </c>
      <c r="N13" s="38" t="str">
        <f t="shared" si="0"/>
        <v/>
      </c>
      <c r="O13" t="str">
        <f t="shared" si="1"/>
        <v/>
      </c>
      <c r="P13" t="str">
        <f>IF(A13="","",MAX(0,N13-System_Config!$B$9))</f>
        <v/>
      </c>
    </row>
    <row r="14" spans="1:20" ht="15" customHeight="1" x14ac:dyDescent="0.25">
      <c r="A14" s="43"/>
      <c r="B14" s="43"/>
      <c r="C14" s="43"/>
      <c r="D14" s="41"/>
      <c r="E14" s="43"/>
      <c r="F14" s="43"/>
      <c r="G14" s="41"/>
      <c r="H14" s="43"/>
      <c r="I14" s="42"/>
      <c r="J14" s="102"/>
      <c r="K14" s="43"/>
      <c r="L14" s="42" t="str">
        <f>IF(A14="","",SUMIF(DB_Savings!$C:$C,A14,DB_Savings!$F:$F))</f>
        <v/>
      </c>
      <c r="M14" s="42" t="str">
        <f>IF(A14="","",SUMIF(DB_Withdrawals!$C:$C,A14,DB_Withdrawals!$G:$G))</f>
        <v/>
      </c>
      <c r="N14" s="42" t="str">
        <f t="shared" si="0"/>
        <v/>
      </c>
      <c r="O14" t="str">
        <f t="shared" si="1"/>
        <v/>
      </c>
      <c r="P14" t="str">
        <f>IF(A14="","",MAX(0,N14-System_Config!$B$9))</f>
        <v/>
      </c>
    </row>
    <row r="15" spans="1:20" ht="15" customHeight="1" x14ac:dyDescent="0.25">
      <c r="A15" s="39"/>
      <c r="B15" s="39"/>
      <c r="C15" s="39"/>
      <c r="D15" s="37"/>
      <c r="E15" s="39"/>
      <c r="F15" s="39"/>
      <c r="G15" s="37"/>
      <c r="H15" s="39"/>
      <c r="I15" s="38"/>
      <c r="J15" s="103"/>
      <c r="K15" s="39"/>
      <c r="L15" s="38" t="str">
        <f>IF(A15="","",SUMIF(DB_Savings!$C:$C,A15,DB_Savings!$F:$F))</f>
        <v/>
      </c>
      <c r="M15" s="38" t="str">
        <f>IF(A15="","",SUMIF(DB_Withdrawals!$C:$C,A15,DB_Withdrawals!$G:$G))</f>
        <v/>
      </c>
      <c r="N15" s="38" t="str">
        <f t="shared" si="0"/>
        <v/>
      </c>
      <c r="O15" t="str">
        <f t="shared" si="1"/>
        <v/>
      </c>
      <c r="P15" t="str">
        <f>IF(A15="","",MAX(0,N15-System_Config!$B$9))</f>
        <v/>
      </c>
    </row>
    <row r="16" spans="1:20" ht="15" customHeight="1" x14ac:dyDescent="0.25">
      <c r="A16" s="43"/>
      <c r="B16" s="43"/>
      <c r="C16" s="43"/>
      <c r="D16" s="41"/>
      <c r="E16" s="43"/>
      <c r="F16" s="43"/>
      <c r="G16" s="41"/>
      <c r="H16" s="43"/>
      <c r="I16" s="42"/>
      <c r="J16" s="102"/>
      <c r="K16" s="43"/>
      <c r="L16" s="42" t="str">
        <f>IF(A16="","",SUMIF(DB_Savings!$C:$C,A16,DB_Savings!$F:$F))</f>
        <v/>
      </c>
      <c r="M16" s="42" t="str">
        <f>IF(A16="","",SUMIF(DB_Withdrawals!$C:$C,A16,DB_Withdrawals!$G:$G))</f>
        <v/>
      </c>
      <c r="N16" s="42" t="str">
        <f t="shared" si="0"/>
        <v/>
      </c>
      <c r="O16" t="str">
        <f t="shared" si="1"/>
        <v/>
      </c>
      <c r="P16" t="str">
        <f>IF(A16="","",MAX(0,N16-System_Config!$B$9))</f>
        <v/>
      </c>
    </row>
    <row r="17" spans="1:16" ht="15" customHeight="1" x14ac:dyDescent="0.25">
      <c r="A17" s="39"/>
      <c r="B17" s="39"/>
      <c r="C17" s="39"/>
      <c r="D17" s="37"/>
      <c r="E17" s="39"/>
      <c r="F17" s="39"/>
      <c r="G17" s="37"/>
      <c r="H17" s="39"/>
      <c r="I17" s="38"/>
      <c r="J17" s="103"/>
      <c r="K17" s="39"/>
      <c r="L17" s="38" t="str">
        <f>IF(A17="","",SUMIF(DB_Savings!$C:$C,A17,DB_Savings!$F:$F))</f>
        <v/>
      </c>
      <c r="M17" s="38" t="str">
        <f>IF(A17="","",SUMIF(DB_Withdrawals!$C:$C,A17,DB_Withdrawals!$G:$G))</f>
        <v/>
      </c>
      <c r="N17" s="38" t="str">
        <f t="shared" si="0"/>
        <v/>
      </c>
      <c r="O17" t="str">
        <f t="shared" si="1"/>
        <v/>
      </c>
      <c r="P17" t="str">
        <f>IF(A17="","",MAX(0,N17-System_Config!$B$9))</f>
        <v/>
      </c>
    </row>
    <row r="18" spans="1:16" ht="15" customHeight="1" x14ac:dyDescent="0.25">
      <c r="A18" s="43"/>
      <c r="B18" s="43"/>
      <c r="C18" s="43"/>
      <c r="D18" s="41"/>
      <c r="E18" s="43"/>
      <c r="F18" s="43"/>
      <c r="G18" s="41"/>
      <c r="H18" s="43"/>
      <c r="I18" s="42"/>
      <c r="J18" s="102"/>
      <c r="K18" s="43"/>
      <c r="L18" s="42" t="str">
        <f>IF(A18="","",SUMIF(DB_Savings!$C:$C,A18,DB_Savings!$F:$F))</f>
        <v/>
      </c>
      <c r="M18" s="42" t="str">
        <f>IF(A18="","",SUMIF(DB_Withdrawals!$C:$C,A18,DB_Withdrawals!$G:$G))</f>
        <v/>
      </c>
      <c r="N18" s="42" t="str">
        <f t="shared" si="0"/>
        <v/>
      </c>
      <c r="O18" t="str">
        <f t="shared" si="1"/>
        <v/>
      </c>
      <c r="P18" t="str">
        <f>IF(A18="","",MAX(0,N18-System_Config!$B$9))</f>
        <v/>
      </c>
    </row>
    <row r="19" spans="1:16" ht="15" customHeight="1" x14ac:dyDescent="0.25">
      <c r="A19" s="39"/>
      <c r="B19" s="39"/>
      <c r="C19" s="39"/>
      <c r="D19" s="37"/>
      <c r="E19" s="39"/>
      <c r="F19" s="39"/>
      <c r="G19" s="37"/>
      <c r="H19" s="39"/>
      <c r="I19" s="38"/>
      <c r="J19" s="103"/>
      <c r="K19" s="39"/>
      <c r="L19" s="38" t="str">
        <f>IF(A19="","",SUMIF(DB_Savings!$C:$C,A19,DB_Savings!$F:$F))</f>
        <v/>
      </c>
      <c r="M19" s="38" t="str">
        <f>IF(A19="","",SUMIF(DB_Withdrawals!$C:$C,A19,DB_Withdrawals!$G:$G))</f>
        <v/>
      </c>
      <c r="N19" s="38" t="str">
        <f t="shared" si="0"/>
        <v/>
      </c>
      <c r="O19" t="str">
        <f t="shared" si="1"/>
        <v/>
      </c>
      <c r="P19" t="str">
        <f>IF(A19="","",MAX(0,N19-System_Config!$B$9))</f>
        <v/>
      </c>
    </row>
    <row r="20" spans="1:16" ht="15" customHeight="1" x14ac:dyDescent="0.25">
      <c r="A20" s="43"/>
      <c r="B20" s="43"/>
      <c r="C20" s="43"/>
      <c r="D20" s="41"/>
      <c r="E20" s="43"/>
      <c r="F20" s="43"/>
      <c r="G20" s="41"/>
      <c r="H20" s="43"/>
      <c r="I20" s="42"/>
      <c r="J20" s="102"/>
      <c r="K20" s="43"/>
      <c r="L20" s="42" t="str">
        <f>IF(A20="","",SUMIF(DB_Savings!$C:$C,A20,DB_Savings!$F:$F))</f>
        <v/>
      </c>
      <c r="M20" s="42" t="str">
        <f>IF(A20="","",SUMIF(DB_Withdrawals!$C:$C,A20,DB_Withdrawals!$G:$G))</f>
        <v/>
      </c>
      <c r="N20" s="42" t="str">
        <f t="shared" si="0"/>
        <v/>
      </c>
      <c r="O20" t="str">
        <f t="shared" si="1"/>
        <v/>
      </c>
      <c r="P20" t="str">
        <f>IF(A20="","",MAX(0,N20-System_Config!$B$9))</f>
        <v/>
      </c>
    </row>
    <row r="21" spans="1:16" ht="15" customHeight="1" x14ac:dyDescent="0.25">
      <c r="A21" s="39"/>
      <c r="B21" s="39"/>
      <c r="C21" s="39"/>
      <c r="D21" s="37"/>
      <c r="E21" s="39"/>
      <c r="F21" s="39"/>
      <c r="G21" s="37"/>
      <c r="H21" s="39"/>
      <c r="I21" s="38"/>
      <c r="J21" s="103"/>
      <c r="K21" s="39"/>
      <c r="L21" s="38" t="str">
        <f>IF(A21="","",SUMIF(DB_Savings!$C:$C,A21,DB_Savings!$F:$F))</f>
        <v/>
      </c>
      <c r="M21" s="38" t="str">
        <f>IF(A21="","",SUMIF(DB_Withdrawals!$C:$C,A21,DB_Withdrawals!$G:$G))</f>
        <v/>
      </c>
      <c r="N21" s="38" t="str">
        <f t="shared" si="0"/>
        <v/>
      </c>
      <c r="O21" t="str">
        <f t="shared" si="1"/>
        <v/>
      </c>
      <c r="P21" t="str">
        <f>IF(A21="","",MAX(0,N21-System_Config!$B$9))</f>
        <v/>
      </c>
    </row>
    <row r="22" spans="1:16" ht="15" customHeight="1" x14ac:dyDescent="0.25">
      <c r="A22" s="43"/>
      <c r="B22" s="43"/>
      <c r="C22" s="43"/>
      <c r="D22" s="41"/>
      <c r="E22" s="43"/>
      <c r="F22" s="43"/>
      <c r="G22" s="41"/>
      <c r="H22" s="43"/>
      <c r="I22" s="42"/>
      <c r="J22" s="102"/>
      <c r="K22" s="43"/>
      <c r="L22" s="42" t="str">
        <f>IF(A22="","",SUMIF(DB_Savings!$C:$C,A22,DB_Savings!$F:$F))</f>
        <v/>
      </c>
      <c r="M22" s="42" t="str">
        <f>IF(A22="","",SUMIF(DB_Withdrawals!$C:$C,A22,DB_Withdrawals!$G:$G))</f>
        <v/>
      </c>
      <c r="N22" s="42" t="str">
        <f t="shared" si="0"/>
        <v/>
      </c>
      <c r="O22" t="str">
        <f t="shared" si="1"/>
        <v/>
      </c>
      <c r="P22" t="str">
        <f>IF(A22="","",MAX(0,N22-System_Config!$B$9))</f>
        <v/>
      </c>
    </row>
    <row r="23" spans="1:16" ht="15" customHeight="1" x14ac:dyDescent="0.25">
      <c r="A23" s="39"/>
      <c r="B23" s="39"/>
      <c r="C23" s="39"/>
      <c r="D23" s="37"/>
      <c r="E23" s="39"/>
      <c r="F23" s="39"/>
      <c r="G23" s="37"/>
      <c r="H23" s="39"/>
      <c r="I23" s="38"/>
      <c r="J23" s="103"/>
      <c r="K23" s="39"/>
      <c r="L23" s="38" t="str">
        <f>IF(A23="","",SUMIF(DB_Savings!$C:$C,A23,DB_Savings!$F:$F))</f>
        <v/>
      </c>
      <c r="M23" s="38" t="str">
        <f>IF(A23="","",SUMIF(DB_Withdrawals!$C:$C,A23,DB_Withdrawals!$G:$G))</f>
        <v/>
      </c>
      <c r="N23" s="38" t="str">
        <f t="shared" si="0"/>
        <v/>
      </c>
      <c r="O23" t="str">
        <f t="shared" si="1"/>
        <v/>
      </c>
      <c r="P23" t="str">
        <f>IF(A23="","",MAX(0,N23-System_Config!$B$9))</f>
        <v/>
      </c>
    </row>
    <row r="24" spans="1:16" ht="15" customHeight="1" x14ac:dyDescent="0.25">
      <c r="L24" t="str">
        <f>IF(A24="","",SUMIF(DB_Savings!$C:$C,A24,DB_Savings!$F:$F))</f>
        <v/>
      </c>
      <c r="M24" t="str">
        <f>IF(A24="","",SUMIF(DB_Withdrawals!$C:$C,A24,DB_Withdrawals!$G:$G))</f>
        <v/>
      </c>
      <c r="N24" t="str">
        <f t="shared" si="0"/>
        <v/>
      </c>
      <c r="O24" t="str">
        <f t="shared" si="1"/>
        <v/>
      </c>
      <c r="P24" t="str">
        <f>IF(A24="","",MAX(0,N24-System_Config!$B$9))</f>
        <v/>
      </c>
    </row>
    <row r="25" spans="1:16" ht="15" customHeight="1" x14ac:dyDescent="0.25">
      <c r="L25" t="str">
        <f>IF(A25="","",SUMIF(DB_Savings!$C:$C,A25,DB_Savings!$F:$F))</f>
        <v/>
      </c>
      <c r="M25" t="str">
        <f>IF(A25="","",SUMIF(DB_Withdrawals!$C:$C,A25,DB_Withdrawals!$G:$G))</f>
        <v/>
      </c>
      <c r="N25" t="str">
        <f t="shared" si="0"/>
        <v/>
      </c>
      <c r="O25" t="str">
        <f t="shared" si="1"/>
        <v/>
      </c>
      <c r="P25" t="str">
        <f>IF(A25="","",MAX(0,N25-System_Config!$B$9))</f>
        <v/>
      </c>
    </row>
    <row r="26" spans="1:16" ht="15" customHeight="1" x14ac:dyDescent="0.25">
      <c r="L26" t="str">
        <f>IF(A26="","",SUMIF(DB_Savings!$C:$C,A26,DB_Savings!$F:$F))</f>
        <v/>
      </c>
      <c r="M26" t="str">
        <f>IF(A26="","",SUMIF(DB_Withdrawals!$C:$C,A26,DB_Withdrawals!$G:$G))</f>
        <v/>
      </c>
      <c r="N26" t="str">
        <f t="shared" si="0"/>
        <v/>
      </c>
      <c r="O26" t="str">
        <f t="shared" si="1"/>
        <v/>
      </c>
      <c r="P26" t="str">
        <f>IF(A26="","",MAX(0,N26-System_Config!$B$9))</f>
        <v/>
      </c>
    </row>
    <row r="27" spans="1:16" ht="15" customHeight="1" x14ac:dyDescent="0.25">
      <c r="L27" t="str">
        <f>IF(A27="","",SUMIF(DB_Savings!$C:$C,A27,DB_Savings!$F:$F))</f>
        <v/>
      </c>
      <c r="M27" t="str">
        <f>IF(A27="","",SUMIF(DB_Withdrawals!$C:$C,A27,DB_Withdrawals!$G:$G))</f>
        <v/>
      </c>
      <c r="N27" t="str">
        <f t="shared" si="0"/>
        <v/>
      </c>
      <c r="O27" t="str">
        <f t="shared" si="1"/>
        <v/>
      </c>
      <c r="P27" t="str">
        <f>IF(A27="","",MAX(0,N27-System_Config!$B$9))</f>
        <v/>
      </c>
    </row>
    <row r="28" spans="1:16" ht="15" customHeight="1" x14ac:dyDescent="0.25">
      <c r="L28" t="str">
        <f>IF(A28="","",SUMIF(DB_Savings!$C:$C,A28,DB_Savings!$F:$F))</f>
        <v/>
      </c>
      <c r="M28" t="str">
        <f>IF(A28="","",SUMIF(DB_Withdrawals!$C:$C,A28,DB_Withdrawals!$G:$G))</f>
        <v/>
      </c>
      <c r="N28" t="str">
        <f t="shared" si="0"/>
        <v/>
      </c>
      <c r="O28" t="str">
        <f t="shared" si="1"/>
        <v/>
      </c>
      <c r="P28" t="str">
        <f>IF(A28="","",MAX(0,N28-System_Config!$B$9))</f>
        <v/>
      </c>
    </row>
    <row r="29" spans="1:16" ht="15" customHeight="1" x14ac:dyDescent="0.25">
      <c r="L29" t="str">
        <f>IF(A29="","",SUMIF(DB_Savings!$C:$C,A29,DB_Savings!$F:$F))</f>
        <v/>
      </c>
      <c r="M29" t="str">
        <f>IF(A29="","",SUMIF(DB_Withdrawals!$C:$C,A29,DB_Withdrawals!$G:$G))</f>
        <v/>
      </c>
      <c r="N29" t="str">
        <f t="shared" si="0"/>
        <v/>
      </c>
      <c r="O29" t="str">
        <f t="shared" si="1"/>
        <v/>
      </c>
      <c r="P29" t="str">
        <f>IF(A29="","",MAX(0,N29-System_Config!$B$9))</f>
        <v/>
      </c>
    </row>
    <row r="30" spans="1:16" ht="15" customHeight="1" x14ac:dyDescent="0.25">
      <c r="L30" t="str">
        <f>IF(A30="","",SUMIF(DB_Savings!$C:$C,A30,DB_Savings!$F:$F))</f>
        <v/>
      </c>
      <c r="M30" t="str">
        <f>IF(A30="","",SUMIF(DB_Withdrawals!$C:$C,A30,DB_Withdrawals!$G:$G))</f>
        <v/>
      </c>
      <c r="N30" t="str">
        <f t="shared" si="0"/>
        <v/>
      </c>
      <c r="O30" t="str">
        <f t="shared" si="1"/>
        <v/>
      </c>
      <c r="P30" t="str">
        <f>IF(A30="","",MAX(0,N30-System_Config!$B$9))</f>
        <v/>
      </c>
    </row>
    <row r="31" spans="1:16" ht="15" customHeight="1" x14ac:dyDescent="0.25">
      <c r="L31" t="str">
        <f>IF(A31="","",SUMIF(DB_Savings!$C:$C,A31,DB_Savings!$F:$F))</f>
        <v/>
      </c>
      <c r="M31" t="str">
        <f>IF(A31="","",SUMIF(DB_Withdrawals!$C:$C,A31,DB_Withdrawals!$G:$G))</f>
        <v/>
      </c>
      <c r="N31" t="str">
        <f t="shared" si="0"/>
        <v/>
      </c>
      <c r="O31" t="str">
        <f t="shared" si="1"/>
        <v/>
      </c>
      <c r="P31" t="str">
        <f>IF(A31="","",MAX(0,N31-System_Config!$B$9))</f>
        <v/>
      </c>
    </row>
    <row r="32" spans="1:16" ht="15" customHeight="1" x14ac:dyDescent="0.25">
      <c r="L32" t="str">
        <f>IF(A32="","",SUMIF(DB_Savings!$C:$C,A32,DB_Savings!$F:$F))</f>
        <v/>
      </c>
      <c r="M32" t="str">
        <f>IF(A32="","",SUMIF(DB_Withdrawals!$C:$C,A32,DB_Withdrawals!$G:$G))</f>
        <v/>
      </c>
      <c r="N32" t="str">
        <f t="shared" si="0"/>
        <v/>
      </c>
      <c r="O32" t="str">
        <f t="shared" si="1"/>
        <v/>
      </c>
      <c r="P32" t="str">
        <f>IF(A32="","",MAX(0,N32-System_Config!$B$9))</f>
        <v/>
      </c>
    </row>
    <row r="33" spans="12:16" ht="15" customHeight="1" x14ac:dyDescent="0.25">
      <c r="L33" t="str">
        <f>IF(A33="","",SUMIF(DB_Savings!$C:$C,A33,DB_Savings!$F:$F))</f>
        <v/>
      </c>
      <c r="M33" t="str">
        <f>IF(A33="","",SUMIF(DB_Withdrawals!$C:$C,A33,DB_Withdrawals!$G:$G))</f>
        <v/>
      </c>
      <c r="N33" t="str">
        <f t="shared" si="0"/>
        <v/>
      </c>
      <c r="O33" t="str">
        <f t="shared" si="1"/>
        <v/>
      </c>
      <c r="P33" t="str">
        <f>IF(A33="","",MAX(0,N33-System_Config!$B$9))</f>
        <v/>
      </c>
    </row>
    <row r="34" spans="12:16" ht="15" customHeight="1" x14ac:dyDescent="0.25">
      <c r="L34" t="str">
        <f>IF(A34="","",SUMIF(DB_Savings!$C:$C,A34,DB_Savings!$F:$F))</f>
        <v/>
      </c>
      <c r="M34" t="str">
        <f>IF(A34="","",SUMIF(DB_Withdrawals!$C:$C,A34,DB_Withdrawals!$G:$G))</f>
        <v/>
      </c>
      <c r="N34" t="str">
        <f t="shared" si="0"/>
        <v/>
      </c>
      <c r="O34" t="str">
        <f t="shared" si="1"/>
        <v/>
      </c>
      <c r="P34" t="str">
        <f>IF(A34="","",MAX(0,N34-System_Config!$B$9))</f>
        <v/>
      </c>
    </row>
    <row r="35" spans="12:16" ht="15" customHeight="1" x14ac:dyDescent="0.25">
      <c r="L35" t="str">
        <f>IF(A35="","",SUMIF(DB_Savings!$C:$C,A35,DB_Savings!$F:$F))</f>
        <v/>
      </c>
      <c r="M35" t="str">
        <f>IF(A35="","",SUMIF(DB_Withdrawals!$C:$C,A35,DB_Withdrawals!$G:$G))</f>
        <v/>
      </c>
      <c r="N35" t="str">
        <f t="shared" si="0"/>
        <v/>
      </c>
      <c r="O35" t="str">
        <f t="shared" si="1"/>
        <v/>
      </c>
      <c r="P35" t="str">
        <f>IF(A35="","",MAX(0,N35-System_Config!$B$9))</f>
        <v/>
      </c>
    </row>
    <row r="36" spans="12:16" ht="15" customHeight="1" x14ac:dyDescent="0.25">
      <c r="L36" t="str">
        <f>IF(A36="","",SUMIF(DB_Savings!$C:$C,A36,DB_Savings!$F:$F))</f>
        <v/>
      </c>
      <c r="M36" t="str">
        <f>IF(A36="","",SUMIF(DB_Withdrawals!$C:$C,A36,DB_Withdrawals!$G:$G))</f>
        <v/>
      </c>
      <c r="N36" t="str">
        <f t="shared" si="0"/>
        <v/>
      </c>
      <c r="O36" t="str">
        <f t="shared" si="1"/>
        <v/>
      </c>
      <c r="P36" t="str">
        <f>IF(A36="","",MAX(0,N36-System_Config!$B$9))</f>
        <v/>
      </c>
    </row>
    <row r="37" spans="12:16" ht="15" customHeight="1" x14ac:dyDescent="0.25">
      <c r="L37" t="str">
        <f>IF(A37="","",SUMIF(DB_Savings!$C:$C,A37,DB_Savings!$F:$F))</f>
        <v/>
      </c>
      <c r="M37" t="str">
        <f>IF(A37="","",SUMIF(DB_Withdrawals!$C:$C,A37,DB_Withdrawals!$G:$G))</f>
        <v/>
      </c>
      <c r="N37" t="str">
        <f t="shared" si="0"/>
        <v/>
      </c>
      <c r="O37" t="str">
        <f t="shared" si="1"/>
        <v/>
      </c>
      <c r="P37" t="str">
        <f>IF(A37="","",MAX(0,N37-System_Config!$B$9))</f>
        <v/>
      </c>
    </row>
    <row r="38" spans="12:16" ht="15" customHeight="1" x14ac:dyDescent="0.25">
      <c r="L38" t="str">
        <f>IF(A38="","",SUMIF(DB_Savings!$C:$C,A38,DB_Savings!$F:$F))</f>
        <v/>
      </c>
      <c r="M38" t="str">
        <f>IF(A38="","",SUMIF(DB_Withdrawals!$C:$C,A38,DB_Withdrawals!$G:$G))</f>
        <v/>
      </c>
      <c r="N38" t="str">
        <f t="shared" si="0"/>
        <v/>
      </c>
      <c r="O38" t="str">
        <f t="shared" si="1"/>
        <v/>
      </c>
      <c r="P38" t="str">
        <f>IF(A38="","",MAX(0,N38-System_Config!$B$9))</f>
        <v/>
      </c>
    </row>
    <row r="39" spans="12:16" ht="15" customHeight="1" x14ac:dyDescent="0.25">
      <c r="L39" t="str">
        <f>IF(A39="","",SUMIF(DB_Savings!$C:$C,A39,DB_Savings!$F:$F))</f>
        <v/>
      </c>
      <c r="M39" t="str">
        <f>IF(A39="","",SUMIF(DB_Withdrawals!$C:$C,A39,DB_Withdrawals!$G:$G))</f>
        <v/>
      </c>
      <c r="N39" t="str">
        <f t="shared" si="0"/>
        <v/>
      </c>
      <c r="O39" t="str">
        <f t="shared" si="1"/>
        <v/>
      </c>
      <c r="P39" t="str">
        <f>IF(A39="","",MAX(0,N39-System_Config!$B$9))</f>
        <v/>
      </c>
    </row>
    <row r="40" spans="12:16" ht="15" customHeight="1" x14ac:dyDescent="0.25">
      <c r="L40" t="str">
        <f>IF(A40="","",SUMIF(DB_Savings!$C:$C,A40,DB_Savings!$F:$F))</f>
        <v/>
      </c>
      <c r="M40" t="str">
        <f>IF(A40="","",SUMIF(DB_Withdrawals!$C:$C,A40,DB_Withdrawals!$G:$G))</f>
        <v/>
      </c>
      <c r="N40" t="str">
        <f t="shared" si="0"/>
        <v/>
      </c>
      <c r="O40" t="str">
        <f t="shared" si="1"/>
        <v/>
      </c>
      <c r="P40" t="str">
        <f>IF(A40="","",MAX(0,N40-System_Config!$B$9))</f>
        <v/>
      </c>
    </row>
    <row r="41" spans="12:16" ht="15" customHeight="1" x14ac:dyDescent="0.25">
      <c r="L41" t="str">
        <f>IF(A41="","",SUMIF(DB_Savings!$C:$C,A41,DB_Savings!$F:$F))</f>
        <v/>
      </c>
      <c r="M41" t="str">
        <f>IF(A41="","",SUMIF(DB_Withdrawals!$C:$C,A41,DB_Withdrawals!$G:$G))</f>
        <v/>
      </c>
      <c r="N41" t="str">
        <f t="shared" si="0"/>
        <v/>
      </c>
      <c r="O41" t="str">
        <f t="shared" si="1"/>
        <v/>
      </c>
      <c r="P41" t="str">
        <f>IF(A41="","",MAX(0,N41-System_Config!$B$9))</f>
        <v/>
      </c>
    </row>
    <row r="42" spans="12:16" ht="15" customHeight="1" x14ac:dyDescent="0.25">
      <c r="L42" t="str">
        <f>IF(A42="","",SUMIF(DB_Savings!$C:$C,A42,DB_Savings!$F:$F))</f>
        <v/>
      </c>
      <c r="M42" t="str">
        <f>IF(A42="","",SUMIF(DB_Withdrawals!$C:$C,A42,DB_Withdrawals!$G:$G))</f>
        <v/>
      </c>
      <c r="N42" t="str">
        <f t="shared" si="0"/>
        <v/>
      </c>
      <c r="O42" t="str">
        <f t="shared" si="1"/>
        <v/>
      </c>
      <c r="P42" t="str">
        <f>IF(A42="","",MAX(0,N42-System_Config!$B$9))</f>
        <v/>
      </c>
    </row>
    <row r="43" spans="12:16" ht="15" customHeight="1" x14ac:dyDescent="0.25">
      <c r="L43" t="str">
        <f>IF(A43="","",SUMIF(DB_Savings!$C:$C,A43,DB_Savings!$F:$F))</f>
        <v/>
      </c>
      <c r="M43" t="str">
        <f>IF(A43="","",SUMIF(DB_Withdrawals!$C:$C,A43,DB_Withdrawals!$G:$G))</f>
        <v/>
      </c>
      <c r="N43" t="str">
        <f t="shared" si="0"/>
        <v/>
      </c>
      <c r="O43" t="str">
        <f t="shared" si="1"/>
        <v/>
      </c>
      <c r="P43" t="str">
        <f>IF(A43="","",MAX(0,N43-System_Config!$B$9))</f>
        <v/>
      </c>
    </row>
    <row r="44" spans="12:16" ht="15" customHeight="1" x14ac:dyDescent="0.25">
      <c r="L44" t="str">
        <f>IF(A44="","",SUMIF(DB_Savings!$C:$C,A44,DB_Savings!$F:$F))</f>
        <v/>
      </c>
      <c r="M44" t="str">
        <f>IF(A44="","",SUMIF(DB_Withdrawals!$C:$C,A44,DB_Withdrawals!$G:$G))</f>
        <v/>
      </c>
      <c r="N44" t="str">
        <f t="shared" si="0"/>
        <v/>
      </c>
      <c r="O44" t="str">
        <f t="shared" si="1"/>
        <v/>
      </c>
      <c r="P44" t="str">
        <f>IF(A44="","",MAX(0,N44-System_Config!$B$9))</f>
        <v/>
      </c>
    </row>
    <row r="45" spans="12:16" ht="15" customHeight="1" x14ac:dyDescent="0.25">
      <c r="L45" t="str">
        <f>IF(A45="","",SUMIF(DB_Savings!$C:$C,A45,DB_Savings!$F:$F))</f>
        <v/>
      </c>
      <c r="M45" t="str">
        <f>IF(A45="","",SUMIF(DB_Withdrawals!$C:$C,A45,DB_Withdrawals!$G:$G))</f>
        <v/>
      </c>
      <c r="N45" t="str">
        <f t="shared" si="0"/>
        <v/>
      </c>
      <c r="O45" t="str">
        <f t="shared" si="1"/>
        <v/>
      </c>
      <c r="P45" t="str">
        <f>IF(A45="","",MAX(0,N45-System_Config!$B$9))</f>
        <v/>
      </c>
    </row>
    <row r="46" spans="12:16" ht="15" customHeight="1" x14ac:dyDescent="0.25">
      <c r="L46" t="str">
        <f>IF(A46="","",SUMIF(DB_Savings!$C:$C,A46,DB_Savings!$F:$F))</f>
        <v/>
      </c>
      <c r="M46" t="str">
        <f>IF(A46="","",SUMIF(DB_Withdrawals!$C:$C,A46,DB_Withdrawals!$G:$G))</f>
        <v/>
      </c>
      <c r="N46" t="str">
        <f t="shared" si="0"/>
        <v/>
      </c>
      <c r="O46" t="str">
        <f t="shared" si="1"/>
        <v/>
      </c>
      <c r="P46" t="str">
        <f>IF(A46="","",MAX(0,N46-System_Config!$B$9))</f>
        <v/>
      </c>
    </row>
    <row r="47" spans="12:16" ht="15" customHeight="1" x14ac:dyDescent="0.25">
      <c r="L47" t="str">
        <f>IF(A47="","",SUMIF(DB_Savings!$C:$C,A47,DB_Savings!$F:$F))</f>
        <v/>
      </c>
      <c r="M47" t="str">
        <f>IF(A47="","",SUMIF(DB_Withdrawals!$C:$C,A47,DB_Withdrawals!$G:$G))</f>
        <v/>
      </c>
      <c r="N47" t="str">
        <f t="shared" si="0"/>
        <v/>
      </c>
      <c r="O47" t="str">
        <f t="shared" si="1"/>
        <v/>
      </c>
      <c r="P47" t="str">
        <f>IF(A47="","",MAX(0,N47-System_Config!$B$9))</f>
        <v/>
      </c>
    </row>
    <row r="48" spans="12:16" ht="15" customHeight="1" x14ac:dyDescent="0.25">
      <c r="L48" t="str">
        <f>IF(A48="","",SUMIF(DB_Savings!$C:$C,A48,DB_Savings!$F:$F))</f>
        <v/>
      </c>
      <c r="M48" t="str">
        <f>IF(A48="","",SUMIF(DB_Withdrawals!$C:$C,A48,DB_Withdrawals!$G:$G))</f>
        <v/>
      </c>
      <c r="N48" t="str">
        <f t="shared" si="0"/>
        <v/>
      </c>
      <c r="O48" t="str">
        <f t="shared" si="1"/>
        <v/>
      </c>
      <c r="P48" t="str">
        <f>IF(A48="","",MAX(0,N48-System_Config!$B$9))</f>
        <v/>
      </c>
    </row>
    <row r="49" spans="12:16" ht="15" customHeight="1" x14ac:dyDescent="0.25">
      <c r="L49" t="str">
        <f>IF(A49="","",SUMIF(DB_Savings!$C:$C,A49,DB_Savings!$F:$F))</f>
        <v/>
      </c>
      <c r="M49" t="str">
        <f>IF(A49="","",SUMIF(DB_Withdrawals!$C:$C,A49,DB_Withdrawals!$G:$G))</f>
        <v/>
      </c>
      <c r="N49" t="str">
        <f t="shared" si="0"/>
        <v/>
      </c>
      <c r="O49" t="str">
        <f t="shared" si="1"/>
        <v/>
      </c>
      <c r="P49" t="str">
        <f>IF(A49="","",MAX(0,N49-System_Config!$B$9))</f>
        <v/>
      </c>
    </row>
    <row r="50" spans="12:16" ht="15" customHeight="1" x14ac:dyDescent="0.25">
      <c r="L50" t="str">
        <f>IF(A50="","",SUMIF(DB_Savings!$C:$C,A50,DB_Savings!$F:$F))</f>
        <v/>
      </c>
      <c r="M50" t="str">
        <f>IF(A50="","",SUMIF(DB_Withdrawals!$C:$C,A50,DB_Withdrawals!$G:$G))</f>
        <v/>
      </c>
      <c r="N50" t="str">
        <f t="shared" si="0"/>
        <v/>
      </c>
      <c r="O50" t="str">
        <f t="shared" si="1"/>
        <v/>
      </c>
      <c r="P50" t="str">
        <f>IF(A50="","",MAX(0,N50-System_Config!$B$9))</f>
        <v/>
      </c>
    </row>
    <row r="51" spans="12:16" ht="15" customHeight="1" x14ac:dyDescent="0.25">
      <c r="L51" t="str">
        <f>IF(A51="","",SUMIF(DB_Savings!$C:$C,A51,DB_Savings!$F:$F))</f>
        <v/>
      </c>
      <c r="M51" t="str">
        <f>IF(A51="","",SUMIF(DB_Withdrawals!$C:$C,A51,DB_Withdrawals!$G:$G))</f>
        <v/>
      </c>
      <c r="N51" t="str">
        <f t="shared" si="0"/>
        <v/>
      </c>
      <c r="O51" t="str">
        <f t="shared" si="1"/>
        <v/>
      </c>
      <c r="P51" t="str">
        <f>IF(A51="","",MAX(0,N51-System_Config!$B$9))</f>
        <v/>
      </c>
    </row>
    <row r="52" spans="12:16" ht="15" customHeight="1" x14ac:dyDescent="0.25">
      <c r="L52" t="str">
        <f>IF(A52="","",SUMIF(DB_Savings!$C:$C,A52,DB_Savings!$F:$F))</f>
        <v/>
      </c>
      <c r="M52" t="str">
        <f>IF(A52="","",SUMIF(DB_Withdrawals!$C:$C,A52,DB_Withdrawals!$G:$G))</f>
        <v/>
      </c>
      <c r="N52" t="str">
        <f t="shared" si="0"/>
        <v/>
      </c>
      <c r="O52" t="str">
        <f t="shared" si="1"/>
        <v/>
      </c>
      <c r="P52" t="str">
        <f>IF(A52="","",MAX(0,N52-System_Config!$B$9))</f>
        <v/>
      </c>
    </row>
    <row r="53" spans="12:16" ht="15" customHeight="1" x14ac:dyDescent="0.25">
      <c r="L53" t="str">
        <f>IF(A53="","",SUMIF(DB_Savings!$C:$C,A53,DB_Savings!$F:$F))</f>
        <v/>
      </c>
      <c r="M53" t="str">
        <f>IF(A53="","",SUMIF(DB_Withdrawals!$C:$C,A53,DB_Withdrawals!$G:$G))</f>
        <v/>
      </c>
      <c r="N53" t="str">
        <f t="shared" si="0"/>
        <v/>
      </c>
      <c r="O53" t="str">
        <f t="shared" si="1"/>
        <v/>
      </c>
      <c r="P53" t="str">
        <f>IF(A53="","",MAX(0,N53-System_Config!$B$9))</f>
        <v/>
      </c>
    </row>
    <row r="54" spans="12:16" ht="15" customHeight="1" x14ac:dyDescent="0.25">
      <c r="L54" t="str">
        <f>IF(A54="","",SUMIF(DB_Savings!$C:$C,A54,DB_Savings!$F:$F))</f>
        <v/>
      </c>
      <c r="M54" t="str">
        <f>IF(A54="","",SUMIF(DB_Withdrawals!$C:$C,A54,DB_Withdrawals!$G:$G))</f>
        <v/>
      </c>
      <c r="N54" t="str">
        <f t="shared" si="0"/>
        <v/>
      </c>
      <c r="O54" t="str">
        <f t="shared" si="1"/>
        <v/>
      </c>
      <c r="P54" t="str">
        <f>IF(A54="","",MAX(0,N54-System_Config!$B$9))</f>
        <v/>
      </c>
    </row>
    <row r="55" spans="12:16" ht="15" customHeight="1" x14ac:dyDescent="0.25">
      <c r="L55" t="str">
        <f>IF(A55="","",SUMIF(DB_Savings!$C:$C,A55,DB_Savings!$F:$F))</f>
        <v/>
      </c>
      <c r="M55" t="str">
        <f>IF(A55="","",SUMIF(DB_Withdrawals!$C:$C,A55,DB_Withdrawals!$G:$G))</f>
        <v/>
      </c>
      <c r="N55" t="str">
        <f t="shared" si="0"/>
        <v/>
      </c>
      <c r="O55" t="str">
        <f t="shared" si="1"/>
        <v/>
      </c>
      <c r="P55" t="str">
        <f>IF(A55="","",MAX(0,N55-System_Config!$B$9))</f>
        <v/>
      </c>
    </row>
    <row r="56" spans="12:16" ht="15" customHeight="1" x14ac:dyDescent="0.25">
      <c r="L56" t="str">
        <f>IF(A56="","",SUMIF(DB_Savings!$C:$C,A56,DB_Savings!$F:$F))</f>
        <v/>
      </c>
      <c r="M56" t="str">
        <f>IF(A56="","",SUMIF(DB_Withdrawals!$C:$C,A56,DB_Withdrawals!$G:$G))</f>
        <v/>
      </c>
      <c r="N56" t="str">
        <f t="shared" si="0"/>
        <v/>
      </c>
      <c r="O56" t="str">
        <f t="shared" si="1"/>
        <v/>
      </c>
      <c r="P56" t="str">
        <f>IF(A56="","",MAX(0,N56-System_Config!$B$9))</f>
        <v/>
      </c>
    </row>
    <row r="57" spans="12:16" ht="15" customHeight="1" x14ac:dyDescent="0.25">
      <c r="L57" t="str">
        <f>IF(A57="","",SUMIF(DB_Savings!$C:$C,A57,DB_Savings!$F:$F))</f>
        <v/>
      </c>
      <c r="M57" t="str">
        <f>IF(A57="","",SUMIF(DB_Withdrawals!$C:$C,A57,DB_Withdrawals!$G:$G))</f>
        <v/>
      </c>
      <c r="N57" t="str">
        <f t="shared" si="0"/>
        <v/>
      </c>
      <c r="O57" t="str">
        <f t="shared" si="1"/>
        <v/>
      </c>
      <c r="P57" t="str">
        <f>IF(A57="","",MAX(0,N57-System_Config!$B$9))</f>
        <v/>
      </c>
    </row>
    <row r="58" spans="12:16" ht="15" customHeight="1" x14ac:dyDescent="0.25">
      <c r="L58" t="str">
        <f>IF(A58="","",SUMIF(DB_Savings!$C:$C,A58,DB_Savings!$F:$F))</f>
        <v/>
      </c>
      <c r="M58" t="str">
        <f>IF(A58="","",SUMIF(DB_Withdrawals!$C:$C,A58,DB_Withdrawals!$G:$G))</f>
        <v/>
      </c>
      <c r="N58" t="str">
        <f t="shared" si="0"/>
        <v/>
      </c>
      <c r="O58" t="str">
        <f t="shared" si="1"/>
        <v/>
      </c>
      <c r="P58" t="str">
        <f>IF(A58="","",MAX(0,N58-System_Config!$B$9))</f>
        <v/>
      </c>
    </row>
    <row r="59" spans="12:16" ht="15" customHeight="1" x14ac:dyDescent="0.25">
      <c r="L59" t="str">
        <f>IF(A59="","",SUMIF(DB_Savings!$C:$C,A59,DB_Savings!$F:$F))</f>
        <v/>
      </c>
      <c r="M59" t="str">
        <f>IF(A59="","",SUMIF(DB_Withdrawals!$C:$C,A59,DB_Withdrawals!$G:$G))</f>
        <v/>
      </c>
      <c r="N59" t="str">
        <f t="shared" si="0"/>
        <v/>
      </c>
      <c r="O59" t="str">
        <f t="shared" si="1"/>
        <v/>
      </c>
      <c r="P59" t="str">
        <f>IF(A59="","",MAX(0,N59-System_Config!$B$9))</f>
        <v/>
      </c>
    </row>
    <row r="60" spans="12:16" ht="15" customHeight="1" x14ac:dyDescent="0.25">
      <c r="L60" t="str">
        <f>IF(A60="","",SUMIF(DB_Savings!$C:$C,A60,DB_Savings!$F:$F))</f>
        <v/>
      </c>
      <c r="M60" t="str">
        <f>IF(A60="","",SUMIF(DB_Withdrawals!$C:$C,A60,DB_Withdrawals!$G:$G))</f>
        <v/>
      </c>
      <c r="N60" t="str">
        <f t="shared" si="0"/>
        <v/>
      </c>
      <c r="O60" t="str">
        <f t="shared" si="1"/>
        <v/>
      </c>
      <c r="P60" t="str">
        <f>IF(A60="","",MAX(0,N60-System_Config!$B$9))</f>
        <v/>
      </c>
    </row>
    <row r="61" spans="12:16" ht="15" customHeight="1" x14ac:dyDescent="0.25">
      <c r="L61" t="str">
        <f>IF(A61="","",SUMIF(DB_Savings!$C:$C,A61,DB_Savings!$F:$F))</f>
        <v/>
      </c>
      <c r="M61" t="str">
        <f>IF(A61="","",SUMIF(DB_Withdrawals!$C:$C,A61,DB_Withdrawals!$G:$G))</f>
        <v/>
      </c>
      <c r="N61" t="str">
        <f t="shared" si="0"/>
        <v/>
      </c>
      <c r="O61" t="str">
        <f t="shared" si="1"/>
        <v/>
      </c>
      <c r="P61" t="str">
        <f>IF(A61="","",MAX(0,N61-System_Config!$B$9))</f>
        <v/>
      </c>
    </row>
    <row r="62" spans="12:16" ht="15" customHeight="1" x14ac:dyDescent="0.25">
      <c r="L62" t="str">
        <f>IF(A62="","",SUMIF(DB_Savings!$C:$C,A62,DB_Savings!$F:$F))</f>
        <v/>
      </c>
      <c r="M62" t="str">
        <f>IF(A62="","",SUMIF(DB_Withdrawals!$C:$C,A62,DB_Withdrawals!$G:$G))</f>
        <v/>
      </c>
      <c r="N62" t="str">
        <f t="shared" si="0"/>
        <v/>
      </c>
      <c r="O62" t="str">
        <f t="shared" si="1"/>
        <v/>
      </c>
      <c r="P62" t="str">
        <f>IF(A62="","",MAX(0,N62-System_Config!$B$9))</f>
        <v/>
      </c>
    </row>
    <row r="63" spans="12:16" ht="15" customHeight="1" x14ac:dyDescent="0.25">
      <c r="L63" t="str">
        <f>IF(A63="","",SUMIF(DB_Savings!$C:$C,A63,DB_Savings!$F:$F))</f>
        <v/>
      </c>
      <c r="M63" t="str">
        <f>IF(A63="","",SUMIF(DB_Withdrawals!$C:$C,A63,DB_Withdrawals!$G:$G))</f>
        <v/>
      </c>
      <c r="N63" t="str">
        <f t="shared" si="0"/>
        <v/>
      </c>
      <c r="O63" t="str">
        <f t="shared" si="1"/>
        <v/>
      </c>
      <c r="P63" t="str">
        <f>IF(A63="","",MAX(0,N63-System_Config!$B$9))</f>
        <v/>
      </c>
    </row>
    <row r="64" spans="12:16" ht="15" customHeight="1" x14ac:dyDescent="0.25">
      <c r="L64" t="str">
        <f>IF(A64="","",SUMIF(DB_Savings!$C:$C,A64,DB_Savings!$F:$F))</f>
        <v/>
      </c>
      <c r="M64" t="str">
        <f>IF(A64="","",SUMIF(DB_Withdrawals!$C:$C,A64,DB_Withdrawals!$G:$G))</f>
        <v/>
      </c>
      <c r="N64" t="str">
        <f t="shared" si="0"/>
        <v/>
      </c>
      <c r="O64" t="str">
        <f t="shared" si="1"/>
        <v/>
      </c>
      <c r="P64" t="str">
        <f>IF(A64="","",MAX(0,N64-System_Config!$B$9))</f>
        <v/>
      </c>
    </row>
    <row r="65" spans="12:16" ht="15" customHeight="1" x14ac:dyDescent="0.25">
      <c r="L65" t="str">
        <f>IF(A65="","",SUMIF(DB_Savings!$C:$C,A65,DB_Savings!$F:$F))</f>
        <v/>
      </c>
      <c r="M65" t="str">
        <f>IF(A65="","",SUMIF(DB_Withdrawals!$C:$C,A65,DB_Withdrawals!$G:$G))</f>
        <v/>
      </c>
      <c r="N65" t="str">
        <f t="shared" si="0"/>
        <v/>
      </c>
      <c r="O65" t="str">
        <f t="shared" si="1"/>
        <v/>
      </c>
      <c r="P65" t="str">
        <f>IF(A65="","",MAX(0,N65-System_Config!$B$9))</f>
        <v/>
      </c>
    </row>
    <row r="66" spans="12:16" ht="15" customHeight="1" x14ac:dyDescent="0.25">
      <c r="L66" t="str">
        <f>IF(A66="","",SUMIF(DB_Savings!$C:$C,A66,DB_Savings!$F:$F))</f>
        <v/>
      </c>
      <c r="M66" t="str">
        <f>IF(A66="","",SUMIF(DB_Withdrawals!$C:$C,A66,DB_Withdrawals!$G:$G))</f>
        <v/>
      </c>
      <c r="N66" t="str">
        <f t="shared" si="0"/>
        <v/>
      </c>
      <c r="O66" t="str">
        <f t="shared" si="1"/>
        <v/>
      </c>
      <c r="P66" t="str">
        <f>IF(A66="","",MAX(0,N66-System_Config!$B$9))</f>
        <v/>
      </c>
    </row>
    <row r="67" spans="12:16" ht="15" customHeight="1" x14ac:dyDescent="0.25">
      <c r="L67" t="str">
        <f>IF(A67="","",SUMIF(DB_Savings!$C:$C,A67,DB_Savings!$F:$F))</f>
        <v/>
      </c>
      <c r="M67" t="str">
        <f>IF(A67="","",SUMIF(DB_Withdrawals!$C:$C,A67,DB_Withdrawals!$G:$G))</f>
        <v/>
      </c>
      <c r="N67" t="str">
        <f t="shared" si="0"/>
        <v/>
      </c>
      <c r="O67" t="str">
        <f t="shared" si="1"/>
        <v/>
      </c>
      <c r="P67" t="str">
        <f>IF(A67="","",MAX(0,N67-System_Config!$B$9))</f>
        <v/>
      </c>
    </row>
    <row r="68" spans="12:16" ht="15" customHeight="1" x14ac:dyDescent="0.25">
      <c r="L68" t="str">
        <f>IF(A68="","",SUMIF(DB_Savings!$C:$C,A68,DB_Savings!$F:$F))</f>
        <v/>
      </c>
      <c r="M68" t="str">
        <f>IF(A68="","",SUMIF(DB_Withdrawals!$C:$C,A68,DB_Withdrawals!$G:$G))</f>
        <v/>
      </c>
      <c r="N68" t="str">
        <f t="shared" ref="N68:N131" si="2">IF(A68="","",I68+L68-M68)</f>
        <v/>
      </c>
      <c r="O68" t="str">
        <f t="shared" ref="O68:O131" si="3">IF(A68="","",TRUE())</f>
        <v/>
      </c>
      <c r="P68" t="str">
        <f>IF(A68="","",MAX(0,N68-System_Config!$B$9))</f>
        <v/>
      </c>
    </row>
    <row r="69" spans="12:16" ht="15" customHeight="1" x14ac:dyDescent="0.25">
      <c r="L69" t="str">
        <f>IF(A69="","",SUMIF(DB_Savings!$C:$C,A69,DB_Savings!$F:$F))</f>
        <v/>
      </c>
      <c r="M69" t="str">
        <f>IF(A69="","",SUMIF(DB_Withdrawals!$C:$C,A69,DB_Withdrawals!$G:$G))</f>
        <v/>
      </c>
      <c r="N69" t="str">
        <f t="shared" si="2"/>
        <v/>
      </c>
      <c r="O69" t="str">
        <f t="shared" si="3"/>
        <v/>
      </c>
      <c r="P69" t="str">
        <f>IF(A69="","",MAX(0,N69-System_Config!$B$9))</f>
        <v/>
      </c>
    </row>
    <row r="70" spans="12:16" ht="15" customHeight="1" x14ac:dyDescent="0.25">
      <c r="L70" t="str">
        <f>IF(A70="","",SUMIF(DB_Savings!$C:$C,A70,DB_Savings!$F:$F))</f>
        <v/>
      </c>
      <c r="M70" t="str">
        <f>IF(A70="","",SUMIF(DB_Withdrawals!$C:$C,A70,DB_Withdrawals!$G:$G))</f>
        <v/>
      </c>
      <c r="N70" t="str">
        <f t="shared" si="2"/>
        <v/>
      </c>
      <c r="O70" t="str">
        <f t="shared" si="3"/>
        <v/>
      </c>
      <c r="P70" t="str">
        <f>IF(A70="","",MAX(0,N70-System_Config!$B$9))</f>
        <v/>
      </c>
    </row>
    <row r="71" spans="12:16" ht="15" customHeight="1" x14ac:dyDescent="0.25">
      <c r="L71" t="str">
        <f>IF(A71="","",SUMIF(DB_Savings!$C:$C,A71,DB_Savings!$F:$F))</f>
        <v/>
      </c>
      <c r="M71" t="str">
        <f>IF(A71="","",SUMIF(DB_Withdrawals!$C:$C,A71,DB_Withdrawals!$G:$G))</f>
        <v/>
      </c>
      <c r="N71" t="str">
        <f t="shared" si="2"/>
        <v/>
      </c>
      <c r="O71" t="str">
        <f t="shared" si="3"/>
        <v/>
      </c>
      <c r="P71" t="str">
        <f>IF(A71="","",MAX(0,N71-System_Config!$B$9))</f>
        <v/>
      </c>
    </row>
    <row r="72" spans="12:16" ht="15" customHeight="1" x14ac:dyDescent="0.25">
      <c r="L72" t="str">
        <f>IF(A72="","",SUMIF(DB_Savings!$C:$C,A72,DB_Savings!$F:$F))</f>
        <v/>
      </c>
      <c r="M72" t="str">
        <f>IF(A72="","",SUMIF(DB_Withdrawals!$C:$C,A72,DB_Withdrawals!$G:$G))</f>
        <v/>
      </c>
      <c r="N72" t="str">
        <f t="shared" si="2"/>
        <v/>
      </c>
      <c r="O72" t="str">
        <f t="shared" si="3"/>
        <v/>
      </c>
      <c r="P72" t="str">
        <f>IF(A72="","",MAX(0,N72-System_Config!$B$9))</f>
        <v/>
      </c>
    </row>
    <row r="73" spans="12:16" ht="15" customHeight="1" x14ac:dyDescent="0.25">
      <c r="L73" t="str">
        <f>IF(A73="","",SUMIF(DB_Savings!$C:$C,A73,DB_Savings!$F:$F))</f>
        <v/>
      </c>
      <c r="M73" t="str">
        <f>IF(A73="","",SUMIF(DB_Withdrawals!$C:$C,A73,DB_Withdrawals!$G:$G))</f>
        <v/>
      </c>
      <c r="N73" t="str">
        <f t="shared" si="2"/>
        <v/>
      </c>
      <c r="O73" t="str">
        <f t="shared" si="3"/>
        <v/>
      </c>
      <c r="P73" t="str">
        <f>IF(A73="","",MAX(0,N73-System_Config!$B$9))</f>
        <v/>
      </c>
    </row>
    <row r="74" spans="12:16" ht="15" customHeight="1" x14ac:dyDescent="0.25">
      <c r="L74" t="str">
        <f>IF(A74="","",SUMIF(DB_Savings!$C:$C,A74,DB_Savings!$F:$F))</f>
        <v/>
      </c>
      <c r="M74" t="str">
        <f>IF(A74="","",SUMIF(DB_Withdrawals!$C:$C,A74,DB_Withdrawals!$G:$G))</f>
        <v/>
      </c>
      <c r="N74" t="str">
        <f t="shared" si="2"/>
        <v/>
      </c>
      <c r="O74" t="str">
        <f t="shared" si="3"/>
        <v/>
      </c>
      <c r="P74" t="str">
        <f>IF(A74="","",MAX(0,N74-System_Config!$B$9))</f>
        <v/>
      </c>
    </row>
    <row r="75" spans="12:16" ht="15" customHeight="1" x14ac:dyDescent="0.25">
      <c r="L75" t="str">
        <f>IF(A75="","",SUMIF(DB_Savings!$C:$C,A75,DB_Savings!$F:$F))</f>
        <v/>
      </c>
      <c r="M75" t="str">
        <f>IF(A75="","",SUMIF(DB_Withdrawals!$C:$C,A75,DB_Withdrawals!$G:$G))</f>
        <v/>
      </c>
      <c r="N75" t="str">
        <f t="shared" si="2"/>
        <v/>
      </c>
      <c r="O75" t="str">
        <f t="shared" si="3"/>
        <v/>
      </c>
      <c r="P75" t="str">
        <f>IF(A75="","",MAX(0,N75-System_Config!$B$9))</f>
        <v/>
      </c>
    </row>
    <row r="76" spans="12:16" ht="15" customHeight="1" x14ac:dyDescent="0.25">
      <c r="L76" t="str">
        <f>IF(A76="","",SUMIF(DB_Savings!$C:$C,A76,DB_Savings!$F:$F))</f>
        <v/>
      </c>
      <c r="M76" t="str">
        <f>IF(A76="","",SUMIF(DB_Withdrawals!$C:$C,A76,DB_Withdrawals!$G:$G))</f>
        <v/>
      </c>
      <c r="N76" t="str">
        <f t="shared" si="2"/>
        <v/>
      </c>
      <c r="O76" t="str">
        <f t="shared" si="3"/>
        <v/>
      </c>
      <c r="P76" t="str">
        <f>IF(A76="","",MAX(0,N76-System_Config!$B$9))</f>
        <v/>
      </c>
    </row>
    <row r="77" spans="12:16" ht="15" customHeight="1" x14ac:dyDescent="0.25">
      <c r="L77" t="str">
        <f>IF(A77="","",SUMIF(DB_Savings!$C:$C,A77,DB_Savings!$F:$F))</f>
        <v/>
      </c>
      <c r="M77" t="str">
        <f>IF(A77="","",SUMIF(DB_Withdrawals!$C:$C,A77,DB_Withdrawals!$G:$G))</f>
        <v/>
      </c>
      <c r="N77" t="str">
        <f t="shared" si="2"/>
        <v/>
      </c>
      <c r="O77" t="str">
        <f t="shared" si="3"/>
        <v/>
      </c>
      <c r="P77" t="str">
        <f>IF(A77="","",MAX(0,N77-System_Config!$B$9))</f>
        <v/>
      </c>
    </row>
    <row r="78" spans="12:16" ht="15" customHeight="1" x14ac:dyDescent="0.25">
      <c r="L78" t="str">
        <f>IF(A78="","",SUMIF(DB_Savings!$C:$C,A78,DB_Savings!$F:$F))</f>
        <v/>
      </c>
      <c r="M78" t="str">
        <f>IF(A78="","",SUMIF(DB_Withdrawals!$C:$C,A78,DB_Withdrawals!$G:$G))</f>
        <v/>
      </c>
      <c r="N78" t="str">
        <f t="shared" si="2"/>
        <v/>
      </c>
      <c r="O78" t="str">
        <f t="shared" si="3"/>
        <v/>
      </c>
      <c r="P78" t="str">
        <f>IF(A78="","",MAX(0,N78-System_Config!$B$9))</f>
        <v/>
      </c>
    </row>
    <row r="79" spans="12:16" ht="15" customHeight="1" x14ac:dyDescent="0.25">
      <c r="L79" t="str">
        <f>IF(A79="","",SUMIF(DB_Savings!$C:$C,A79,DB_Savings!$F:$F))</f>
        <v/>
      </c>
      <c r="M79" t="str">
        <f>IF(A79="","",SUMIF(DB_Withdrawals!$C:$C,A79,DB_Withdrawals!$G:$G))</f>
        <v/>
      </c>
      <c r="N79" t="str">
        <f t="shared" si="2"/>
        <v/>
      </c>
      <c r="O79" t="str">
        <f t="shared" si="3"/>
        <v/>
      </c>
      <c r="P79" t="str">
        <f>IF(A79="","",MAX(0,N79-System_Config!$B$9))</f>
        <v/>
      </c>
    </row>
    <row r="80" spans="12:16" ht="15" customHeight="1" x14ac:dyDescent="0.25">
      <c r="L80" t="str">
        <f>IF(A80="","",SUMIF(DB_Savings!$C:$C,A80,DB_Savings!$F:$F))</f>
        <v/>
      </c>
      <c r="M80" t="str">
        <f>IF(A80="","",SUMIF(DB_Withdrawals!$C:$C,A80,DB_Withdrawals!$G:$G))</f>
        <v/>
      </c>
      <c r="N80" t="str">
        <f t="shared" si="2"/>
        <v/>
      </c>
      <c r="O80" t="str">
        <f t="shared" si="3"/>
        <v/>
      </c>
      <c r="P80" t="str">
        <f>IF(A80="","",MAX(0,N80-System_Config!$B$9))</f>
        <v/>
      </c>
    </row>
    <row r="81" spans="12:16" ht="15" customHeight="1" x14ac:dyDescent="0.25">
      <c r="L81" t="str">
        <f>IF(A81="","",SUMIF(DB_Savings!$C:$C,A81,DB_Savings!$F:$F))</f>
        <v/>
      </c>
      <c r="M81" t="str">
        <f>IF(A81="","",SUMIF(DB_Withdrawals!$C:$C,A81,DB_Withdrawals!$G:$G))</f>
        <v/>
      </c>
      <c r="N81" t="str">
        <f t="shared" si="2"/>
        <v/>
      </c>
      <c r="O81" t="str">
        <f t="shared" si="3"/>
        <v/>
      </c>
      <c r="P81" t="str">
        <f>IF(A81="","",MAX(0,N81-System_Config!$B$9))</f>
        <v/>
      </c>
    </row>
    <row r="82" spans="12:16" ht="15" customHeight="1" x14ac:dyDescent="0.25">
      <c r="L82" t="str">
        <f>IF(A82="","",SUMIF(DB_Savings!$C:$C,A82,DB_Savings!$F:$F))</f>
        <v/>
      </c>
      <c r="M82" t="str">
        <f>IF(A82="","",SUMIF(DB_Withdrawals!$C:$C,A82,DB_Withdrawals!$G:$G))</f>
        <v/>
      </c>
      <c r="N82" t="str">
        <f t="shared" si="2"/>
        <v/>
      </c>
      <c r="O82" t="str">
        <f t="shared" si="3"/>
        <v/>
      </c>
      <c r="P82" t="str">
        <f>IF(A82="","",MAX(0,N82-System_Config!$B$9))</f>
        <v/>
      </c>
    </row>
    <row r="83" spans="12:16" ht="15" customHeight="1" x14ac:dyDescent="0.25">
      <c r="L83" t="str">
        <f>IF(A83="","",SUMIF(DB_Savings!$C:$C,A83,DB_Savings!$F:$F))</f>
        <v/>
      </c>
      <c r="M83" t="str">
        <f>IF(A83="","",SUMIF(DB_Withdrawals!$C:$C,A83,DB_Withdrawals!$G:$G))</f>
        <v/>
      </c>
      <c r="N83" t="str">
        <f t="shared" si="2"/>
        <v/>
      </c>
      <c r="O83" t="str">
        <f t="shared" si="3"/>
        <v/>
      </c>
      <c r="P83" t="str">
        <f>IF(A83="","",MAX(0,N83-System_Config!$B$9))</f>
        <v/>
      </c>
    </row>
    <row r="84" spans="12:16" ht="15" customHeight="1" x14ac:dyDescent="0.25">
      <c r="L84" t="str">
        <f>IF(A84="","",SUMIF(DB_Savings!$C:$C,A84,DB_Savings!$F:$F))</f>
        <v/>
      </c>
      <c r="M84" t="str">
        <f>IF(A84="","",SUMIF(DB_Withdrawals!$C:$C,A84,DB_Withdrawals!$G:$G))</f>
        <v/>
      </c>
      <c r="N84" t="str">
        <f t="shared" si="2"/>
        <v/>
      </c>
      <c r="O84" t="str">
        <f t="shared" si="3"/>
        <v/>
      </c>
      <c r="P84" t="str">
        <f>IF(A84="","",MAX(0,N84-System_Config!$B$9))</f>
        <v/>
      </c>
    </row>
    <row r="85" spans="12:16" ht="15" customHeight="1" x14ac:dyDescent="0.25">
      <c r="L85" t="str">
        <f>IF(A85="","",SUMIF(DB_Savings!$C:$C,A85,DB_Savings!$F:$F))</f>
        <v/>
      </c>
      <c r="M85" t="str">
        <f>IF(A85="","",SUMIF(DB_Withdrawals!$C:$C,A85,DB_Withdrawals!$G:$G))</f>
        <v/>
      </c>
      <c r="N85" t="str">
        <f t="shared" si="2"/>
        <v/>
      </c>
      <c r="O85" t="str">
        <f t="shared" si="3"/>
        <v/>
      </c>
      <c r="P85" t="str">
        <f>IF(A85="","",MAX(0,N85-System_Config!$B$9))</f>
        <v/>
      </c>
    </row>
    <row r="86" spans="12:16" ht="15" customHeight="1" x14ac:dyDescent="0.25">
      <c r="L86" t="str">
        <f>IF(A86="","",SUMIF(DB_Savings!$C:$C,A86,DB_Savings!$F:$F))</f>
        <v/>
      </c>
      <c r="M86" t="str">
        <f>IF(A86="","",SUMIF(DB_Withdrawals!$C:$C,A86,DB_Withdrawals!$G:$G))</f>
        <v/>
      </c>
      <c r="N86" t="str">
        <f t="shared" si="2"/>
        <v/>
      </c>
      <c r="O86" t="str">
        <f t="shared" si="3"/>
        <v/>
      </c>
      <c r="P86" t="str">
        <f>IF(A86="","",MAX(0,N86-System_Config!$B$9))</f>
        <v/>
      </c>
    </row>
    <row r="87" spans="12:16" ht="15" customHeight="1" x14ac:dyDescent="0.25">
      <c r="L87" t="str">
        <f>IF(A87="","",SUMIF(DB_Savings!$C:$C,A87,DB_Savings!$F:$F))</f>
        <v/>
      </c>
      <c r="M87" t="str">
        <f>IF(A87="","",SUMIF(DB_Withdrawals!$C:$C,A87,DB_Withdrawals!$G:$G))</f>
        <v/>
      </c>
      <c r="N87" t="str">
        <f t="shared" si="2"/>
        <v/>
      </c>
      <c r="O87" t="str">
        <f t="shared" si="3"/>
        <v/>
      </c>
      <c r="P87" t="str">
        <f>IF(A87="","",MAX(0,N87-System_Config!$B$9))</f>
        <v/>
      </c>
    </row>
    <row r="88" spans="12:16" ht="15" customHeight="1" x14ac:dyDescent="0.25">
      <c r="L88" t="str">
        <f>IF(A88="","",SUMIF(DB_Savings!$C:$C,A88,DB_Savings!$F:$F))</f>
        <v/>
      </c>
      <c r="M88" t="str">
        <f>IF(A88="","",SUMIF(DB_Withdrawals!$C:$C,A88,DB_Withdrawals!$G:$G))</f>
        <v/>
      </c>
      <c r="N88" t="str">
        <f t="shared" si="2"/>
        <v/>
      </c>
      <c r="O88" t="str">
        <f t="shared" si="3"/>
        <v/>
      </c>
      <c r="P88" t="str">
        <f>IF(A88="","",MAX(0,N88-System_Config!$B$9))</f>
        <v/>
      </c>
    </row>
    <row r="89" spans="12:16" ht="15" customHeight="1" x14ac:dyDescent="0.25">
      <c r="L89" t="str">
        <f>IF(A89="","",SUMIF(DB_Savings!$C:$C,A89,DB_Savings!$F:$F))</f>
        <v/>
      </c>
      <c r="M89" t="str">
        <f>IF(A89="","",SUMIF(DB_Withdrawals!$C:$C,A89,DB_Withdrawals!$G:$G))</f>
        <v/>
      </c>
      <c r="N89" t="str">
        <f t="shared" si="2"/>
        <v/>
      </c>
      <c r="O89" t="str">
        <f t="shared" si="3"/>
        <v/>
      </c>
      <c r="P89" t="str">
        <f>IF(A89="","",MAX(0,N89-System_Config!$B$9))</f>
        <v/>
      </c>
    </row>
    <row r="90" spans="12:16" ht="15" customHeight="1" x14ac:dyDescent="0.25">
      <c r="L90" t="str">
        <f>IF(A90="","",SUMIF(DB_Savings!$C:$C,A90,DB_Savings!$F:$F))</f>
        <v/>
      </c>
      <c r="M90" t="str">
        <f>IF(A90="","",SUMIF(DB_Withdrawals!$C:$C,A90,DB_Withdrawals!$G:$G))</f>
        <v/>
      </c>
      <c r="N90" t="str">
        <f t="shared" si="2"/>
        <v/>
      </c>
      <c r="O90" t="str">
        <f t="shared" si="3"/>
        <v/>
      </c>
      <c r="P90" t="str">
        <f>IF(A90="","",MAX(0,N90-System_Config!$B$9))</f>
        <v/>
      </c>
    </row>
    <row r="91" spans="12:16" ht="15" customHeight="1" x14ac:dyDescent="0.25">
      <c r="L91" t="str">
        <f>IF(A91="","",SUMIF(DB_Savings!$C:$C,A91,DB_Savings!$F:$F))</f>
        <v/>
      </c>
      <c r="M91" t="str">
        <f>IF(A91="","",SUMIF(DB_Withdrawals!$C:$C,A91,DB_Withdrawals!$G:$G))</f>
        <v/>
      </c>
      <c r="N91" t="str">
        <f t="shared" si="2"/>
        <v/>
      </c>
      <c r="O91" t="str">
        <f t="shared" si="3"/>
        <v/>
      </c>
      <c r="P91" t="str">
        <f>IF(A91="","",MAX(0,N91-System_Config!$B$9))</f>
        <v/>
      </c>
    </row>
    <row r="92" spans="12:16" ht="15" customHeight="1" x14ac:dyDescent="0.25">
      <c r="L92" t="str">
        <f>IF(A92="","",SUMIF(DB_Savings!$C:$C,A92,DB_Savings!$F:$F))</f>
        <v/>
      </c>
      <c r="M92" t="str">
        <f>IF(A92="","",SUMIF(DB_Withdrawals!$C:$C,A92,DB_Withdrawals!$G:$G))</f>
        <v/>
      </c>
      <c r="N92" t="str">
        <f t="shared" si="2"/>
        <v/>
      </c>
      <c r="O92" t="str">
        <f t="shared" si="3"/>
        <v/>
      </c>
      <c r="P92" t="str">
        <f>IF(A92="","",MAX(0,N92-System_Config!$B$9))</f>
        <v/>
      </c>
    </row>
    <row r="93" spans="12:16" ht="15" customHeight="1" x14ac:dyDescent="0.25">
      <c r="L93" t="str">
        <f>IF(A93="","",SUMIF(DB_Savings!$C:$C,A93,DB_Savings!$F:$F))</f>
        <v/>
      </c>
      <c r="M93" t="str">
        <f>IF(A93="","",SUMIF(DB_Withdrawals!$C:$C,A93,DB_Withdrawals!$G:$G))</f>
        <v/>
      </c>
      <c r="N93" t="str">
        <f t="shared" si="2"/>
        <v/>
      </c>
      <c r="O93" t="str">
        <f t="shared" si="3"/>
        <v/>
      </c>
      <c r="P93" t="str">
        <f>IF(A93="","",MAX(0,N93-System_Config!$B$9))</f>
        <v/>
      </c>
    </row>
    <row r="94" spans="12:16" ht="15" customHeight="1" x14ac:dyDescent="0.25">
      <c r="L94" t="str">
        <f>IF(A94="","",SUMIF(DB_Savings!$C:$C,A94,DB_Savings!$F:$F))</f>
        <v/>
      </c>
      <c r="M94" t="str">
        <f>IF(A94="","",SUMIF(DB_Withdrawals!$C:$C,A94,DB_Withdrawals!$G:$G))</f>
        <v/>
      </c>
      <c r="N94" t="str">
        <f t="shared" si="2"/>
        <v/>
      </c>
      <c r="O94" t="str">
        <f t="shared" si="3"/>
        <v/>
      </c>
      <c r="P94" t="str">
        <f>IF(A94="","",MAX(0,N94-System_Config!$B$9))</f>
        <v/>
      </c>
    </row>
    <row r="95" spans="12:16" ht="15" customHeight="1" x14ac:dyDescent="0.25">
      <c r="L95" t="str">
        <f>IF(A95="","",SUMIF(DB_Savings!$C:$C,A95,DB_Savings!$F:$F))</f>
        <v/>
      </c>
      <c r="M95" t="str">
        <f>IF(A95="","",SUMIF(DB_Withdrawals!$C:$C,A95,DB_Withdrawals!$G:$G))</f>
        <v/>
      </c>
      <c r="N95" t="str">
        <f t="shared" si="2"/>
        <v/>
      </c>
      <c r="O95" t="str">
        <f t="shared" si="3"/>
        <v/>
      </c>
      <c r="P95" t="str">
        <f>IF(A95="","",MAX(0,N95-System_Config!$B$9))</f>
        <v/>
      </c>
    </row>
    <row r="96" spans="12:16" ht="15" customHeight="1" x14ac:dyDescent="0.25">
      <c r="L96" t="str">
        <f>IF(A96="","",SUMIF(DB_Savings!$C:$C,A96,DB_Savings!$F:$F))</f>
        <v/>
      </c>
      <c r="M96" t="str">
        <f>IF(A96="","",SUMIF(DB_Withdrawals!$C:$C,A96,DB_Withdrawals!$G:$G))</f>
        <v/>
      </c>
      <c r="N96" t="str">
        <f t="shared" si="2"/>
        <v/>
      </c>
      <c r="O96" t="str">
        <f t="shared" si="3"/>
        <v/>
      </c>
      <c r="P96" t="str">
        <f>IF(A96="","",MAX(0,N96-System_Config!$B$9))</f>
        <v/>
      </c>
    </row>
    <row r="97" spans="12:16" ht="15" customHeight="1" x14ac:dyDescent="0.25">
      <c r="L97" t="str">
        <f>IF(A97="","",SUMIF(DB_Savings!$C:$C,A97,DB_Savings!$F:$F))</f>
        <v/>
      </c>
      <c r="M97" t="str">
        <f>IF(A97="","",SUMIF(DB_Withdrawals!$C:$C,A97,DB_Withdrawals!$G:$G))</f>
        <v/>
      </c>
      <c r="N97" t="str">
        <f t="shared" si="2"/>
        <v/>
      </c>
      <c r="O97" t="str">
        <f t="shared" si="3"/>
        <v/>
      </c>
      <c r="P97" t="str">
        <f>IF(A97="","",MAX(0,N97-System_Config!$B$9))</f>
        <v/>
      </c>
    </row>
    <row r="98" spans="12:16" ht="15" customHeight="1" x14ac:dyDescent="0.25">
      <c r="L98" t="str">
        <f>IF(A98="","",SUMIF(DB_Savings!$C:$C,A98,DB_Savings!$F:$F))</f>
        <v/>
      </c>
      <c r="M98" t="str">
        <f>IF(A98="","",SUMIF(DB_Withdrawals!$C:$C,A98,DB_Withdrawals!$G:$G))</f>
        <v/>
      </c>
      <c r="N98" t="str">
        <f t="shared" si="2"/>
        <v/>
      </c>
      <c r="O98" t="str">
        <f t="shared" si="3"/>
        <v/>
      </c>
      <c r="P98" t="str">
        <f>IF(A98="","",MAX(0,N98-System_Config!$B$9))</f>
        <v/>
      </c>
    </row>
    <row r="99" spans="12:16" ht="15" customHeight="1" x14ac:dyDescent="0.25">
      <c r="L99" t="str">
        <f>IF(A99="","",SUMIF(DB_Savings!$C:$C,A99,DB_Savings!$F:$F))</f>
        <v/>
      </c>
      <c r="M99" t="str">
        <f>IF(A99="","",SUMIF(DB_Withdrawals!$C:$C,A99,DB_Withdrawals!$G:$G))</f>
        <v/>
      </c>
      <c r="N99" t="str">
        <f t="shared" si="2"/>
        <v/>
      </c>
      <c r="O99" t="str">
        <f t="shared" si="3"/>
        <v/>
      </c>
      <c r="P99" t="str">
        <f>IF(A99="","",MAX(0,N99-System_Config!$B$9))</f>
        <v/>
      </c>
    </row>
    <row r="100" spans="12:16" ht="15" customHeight="1" x14ac:dyDescent="0.25">
      <c r="L100" t="str">
        <f>IF(A100="","",SUMIF(DB_Savings!$C:$C,A100,DB_Savings!$F:$F))</f>
        <v/>
      </c>
      <c r="M100" t="str">
        <f>IF(A100="","",SUMIF(DB_Withdrawals!$C:$C,A100,DB_Withdrawals!$G:$G))</f>
        <v/>
      </c>
      <c r="N100" t="str">
        <f t="shared" si="2"/>
        <v/>
      </c>
      <c r="O100" t="str">
        <f t="shared" si="3"/>
        <v/>
      </c>
      <c r="P100" t="str">
        <f>IF(A100="","",MAX(0,N100-System_Config!$B$9))</f>
        <v/>
      </c>
    </row>
    <row r="101" spans="12:16" ht="15" customHeight="1" x14ac:dyDescent="0.25">
      <c r="L101" t="str">
        <f>IF(A101="","",SUMIF(DB_Savings!$C:$C,A101,DB_Savings!$F:$F))</f>
        <v/>
      </c>
      <c r="M101" t="str">
        <f>IF(A101="","",SUMIF(DB_Withdrawals!$C:$C,A101,DB_Withdrawals!$G:$G))</f>
        <v/>
      </c>
      <c r="N101" t="str">
        <f t="shared" si="2"/>
        <v/>
      </c>
      <c r="O101" t="str">
        <f t="shared" si="3"/>
        <v/>
      </c>
      <c r="P101" t="str">
        <f>IF(A101="","",MAX(0,N101-System_Config!$B$9))</f>
        <v/>
      </c>
    </row>
    <row r="102" spans="12:16" ht="15" customHeight="1" x14ac:dyDescent="0.25">
      <c r="L102" t="str">
        <f>IF(A102="","",SUMIF(DB_Savings!$C:$C,A102,DB_Savings!$F:$F))</f>
        <v/>
      </c>
      <c r="M102" t="str">
        <f>IF(A102="","",SUMIF(DB_Withdrawals!$C:$C,A102,DB_Withdrawals!$G:$G))</f>
        <v/>
      </c>
      <c r="N102" t="str">
        <f t="shared" si="2"/>
        <v/>
      </c>
      <c r="O102" t="str">
        <f t="shared" si="3"/>
        <v/>
      </c>
      <c r="P102" t="str">
        <f>IF(A102="","",MAX(0,N102-System_Config!$B$9))</f>
        <v/>
      </c>
    </row>
    <row r="103" spans="12:16" ht="15" customHeight="1" x14ac:dyDescent="0.25">
      <c r="L103" t="str">
        <f>IF(A103="","",SUMIF(DB_Savings!$C:$C,A103,DB_Savings!$F:$F))</f>
        <v/>
      </c>
      <c r="M103" t="str">
        <f>IF(A103="","",SUMIF(DB_Withdrawals!$C:$C,A103,DB_Withdrawals!$G:$G))</f>
        <v/>
      </c>
      <c r="N103" t="str">
        <f t="shared" si="2"/>
        <v/>
      </c>
      <c r="O103" t="str">
        <f t="shared" si="3"/>
        <v/>
      </c>
      <c r="P103" t="str">
        <f>IF(A103="","",MAX(0,N103-System_Config!$B$9))</f>
        <v/>
      </c>
    </row>
    <row r="104" spans="12:16" ht="15" customHeight="1" x14ac:dyDescent="0.25">
      <c r="L104" t="str">
        <f>IF(A104="","",SUMIF(DB_Savings!$C:$C,A104,DB_Savings!$F:$F))</f>
        <v/>
      </c>
      <c r="M104" t="str">
        <f>IF(A104="","",SUMIF(DB_Withdrawals!$C:$C,A104,DB_Withdrawals!$G:$G))</f>
        <v/>
      </c>
      <c r="N104" t="str">
        <f t="shared" si="2"/>
        <v/>
      </c>
      <c r="O104" t="str">
        <f t="shared" si="3"/>
        <v/>
      </c>
      <c r="P104" t="str">
        <f>IF(A104="","",MAX(0,N104-System_Config!$B$9))</f>
        <v/>
      </c>
    </row>
    <row r="105" spans="12:16" ht="15" customHeight="1" x14ac:dyDescent="0.25">
      <c r="L105" t="str">
        <f>IF(A105="","",SUMIF(DB_Savings!$C:$C,A105,DB_Savings!$F:$F))</f>
        <v/>
      </c>
      <c r="M105" t="str">
        <f>IF(A105="","",SUMIF(DB_Withdrawals!$C:$C,A105,DB_Withdrawals!$G:$G))</f>
        <v/>
      </c>
      <c r="N105" t="str">
        <f t="shared" si="2"/>
        <v/>
      </c>
      <c r="O105" t="str">
        <f t="shared" si="3"/>
        <v/>
      </c>
      <c r="P105" t="str">
        <f>IF(A105="","",MAX(0,N105-System_Config!$B$9))</f>
        <v/>
      </c>
    </row>
    <row r="106" spans="12:16" ht="15" customHeight="1" x14ac:dyDescent="0.25">
      <c r="L106" t="str">
        <f>IF(A106="","",SUMIF(DB_Savings!$C:$C,A106,DB_Savings!$F:$F))</f>
        <v/>
      </c>
      <c r="M106" t="str">
        <f>IF(A106="","",SUMIF(DB_Withdrawals!$C:$C,A106,DB_Withdrawals!$G:$G))</f>
        <v/>
      </c>
      <c r="N106" t="str">
        <f t="shared" si="2"/>
        <v/>
      </c>
      <c r="O106" t="str">
        <f t="shared" si="3"/>
        <v/>
      </c>
      <c r="P106" t="str">
        <f>IF(A106="","",MAX(0,N106-System_Config!$B$9))</f>
        <v/>
      </c>
    </row>
    <row r="107" spans="12:16" ht="15" customHeight="1" x14ac:dyDescent="0.25">
      <c r="L107" t="str">
        <f>IF(A107="","",SUMIF(DB_Savings!$C:$C,A107,DB_Savings!$F:$F))</f>
        <v/>
      </c>
      <c r="M107" t="str">
        <f>IF(A107="","",SUMIF(DB_Withdrawals!$C:$C,A107,DB_Withdrawals!$G:$G))</f>
        <v/>
      </c>
      <c r="N107" t="str">
        <f t="shared" si="2"/>
        <v/>
      </c>
      <c r="O107" t="str">
        <f t="shared" si="3"/>
        <v/>
      </c>
      <c r="P107" t="str">
        <f>IF(A107="","",MAX(0,N107-System_Config!$B$9))</f>
        <v/>
      </c>
    </row>
    <row r="108" spans="12:16" ht="15" customHeight="1" x14ac:dyDescent="0.25">
      <c r="L108" t="str">
        <f>IF(A108="","",SUMIF(DB_Savings!$C:$C,A108,DB_Savings!$F:$F))</f>
        <v/>
      </c>
      <c r="M108" t="str">
        <f>IF(A108="","",SUMIF(DB_Withdrawals!$C:$C,A108,DB_Withdrawals!$G:$G))</f>
        <v/>
      </c>
      <c r="N108" t="str">
        <f t="shared" si="2"/>
        <v/>
      </c>
      <c r="O108" t="str">
        <f t="shared" si="3"/>
        <v/>
      </c>
      <c r="P108" t="str">
        <f>IF(A108="","",MAX(0,N108-System_Config!$B$9))</f>
        <v/>
      </c>
    </row>
    <row r="109" spans="12:16" ht="15" customHeight="1" x14ac:dyDescent="0.25">
      <c r="L109" t="str">
        <f>IF(A109="","",SUMIF(DB_Savings!$C:$C,A109,DB_Savings!$F:$F))</f>
        <v/>
      </c>
      <c r="M109" t="str">
        <f>IF(A109="","",SUMIF(DB_Withdrawals!$C:$C,A109,DB_Withdrawals!$G:$G))</f>
        <v/>
      </c>
      <c r="N109" t="str">
        <f t="shared" si="2"/>
        <v/>
      </c>
      <c r="O109" t="str">
        <f t="shared" si="3"/>
        <v/>
      </c>
      <c r="P109" t="str">
        <f>IF(A109="","",MAX(0,N109-System_Config!$B$9))</f>
        <v/>
      </c>
    </row>
    <row r="110" spans="12:16" ht="15" customHeight="1" x14ac:dyDescent="0.25">
      <c r="L110" t="str">
        <f>IF(A110="","",SUMIF(DB_Savings!$C:$C,A110,DB_Savings!$F:$F))</f>
        <v/>
      </c>
      <c r="M110" t="str">
        <f>IF(A110="","",SUMIF(DB_Withdrawals!$C:$C,A110,DB_Withdrawals!$G:$G))</f>
        <v/>
      </c>
      <c r="N110" t="str">
        <f t="shared" si="2"/>
        <v/>
      </c>
      <c r="O110" t="str">
        <f t="shared" si="3"/>
        <v/>
      </c>
      <c r="P110" t="str">
        <f>IF(A110="","",MAX(0,N110-System_Config!$B$9))</f>
        <v/>
      </c>
    </row>
    <row r="111" spans="12:16" ht="15" customHeight="1" x14ac:dyDescent="0.25">
      <c r="L111" t="str">
        <f>IF(A111="","",SUMIF(DB_Savings!$C:$C,A111,DB_Savings!$F:$F))</f>
        <v/>
      </c>
      <c r="M111" t="str">
        <f>IF(A111="","",SUMIF(DB_Withdrawals!$C:$C,A111,DB_Withdrawals!$G:$G))</f>
        <v/>
      </c>
      <c r="N111" t="str">
        <f t="shared" si="2"/>
        <v/>
      </c>
      <c r="O111" t="str">
        <f t="shared" si="3"/>
        <v/>
      </c>
      <c r="P111" t="str">
        <f>IF(A111="","",MAX(0,N111-System_Config!$B$9))</f>
        <v/>
      </c>
    </row>
    <row r="112" spans="12:16" ht="15" customHeight="1" x14ac:dyDescent="0.25">
      <c r="L112" t="str">
        <f>IF(A112="","",SUMIF(DB_Savings!$C:$C,A112,DB_Savings!$F:$F))</f>
        <v/>
      </c>
      <c r="M112" t="str">
        <f>IF(A112="","",SUMIF(DB_Withdrawals!$C:$C,A112,DB_Withdrawals!$G:$G))</f>
        <v/>
      </c>
      <c r="N112" t="str">
        <f t="shared" si="2"/>
        <v/>
      </c>
      <c r="O112" t="str">
        <f t="shared" si="3"/>
        <v/>
      </c>
      <c r="P112" t="str">
        <f>IF(A112="","",MAX(0,N112-System_Config!$B$9))</f>
        <v/>
      </c>
    </row>
    <row r="113" spans="12:16" ht="15" customHeight="1" x14ac:dyDescent="0.25">
      <c r="L113" t="str">
        <f>IF(A113="","",SUMIF(DB_Savings!$C:$C,A113,DB_Savings!$F:$F))</f>
        <v/>
      </c>
      <c r="M113" t="str">
        <f>IF(A113="","",SUMIF(DB_Withdrawals!$C:$C,A113,DB_Withdrawals!$G:$G))</f>
        <v/>
      </c>
      <c r="N113" t="str">
        <f t="shared" si="2"/>
        <v/>
      </c>
      <c r="O113" t="str">
        <f t="shared" si="3"/>
        <v/>
      </c>
      <c r="P113" t="str">
        <f>IF(A113="","",MAX(0,N113-System_Config!$B$9))</f>
        <v/>
      </c>
    </row>
    <row r="114" spans="12:16" ht="15" customHeight="1" x14ac:dyDescent="0.25">
      <c r="L114" t="str">
        <f>IF(A114="","",SUMIF(DB_Savings!$C:$C,A114,DB_Savings!$F:$F))</f>
        <v/>
      </c>
      <c r="M114" t="str">
        <f>IF(A114="","",SUMIF(DB_Withdrawals!$C:$C,A114,DB_Withdrawals!$G:$G))</f>
        <v/>
      </c>
      <c r="N114" t="str">
        <f t="shared" si="2"/>
        <v/>
      </c>
      <c r="O114" t="str">
        <f t="shared" si="3"/>
        <v/>
      </c>
      <c r="P114" t="str">
        <f>IF(A114="","",MAX(0,N114-System_Config!$B$9))</f>
        <v/>
      </c>
    </row>
    <row r="115" spans="12:16" ht="15" customHeight="1" x14ac:dyDescent="0.25">
      <c r="L115" t="str">
        <f>IF(A115="","",SUMIF(DB_Savings!$C:$C,A115,DB_Savings!$F:$F))</f>
        <v/>
      </c>
      <c r="M115" t="str">
        <f>IF(A115="","",SUMIF(DB_Withdrawals!$C:$C,A115,DB_Withdrawals!$G:$G))</f>
        <v/>
      </c>
      <c r="N115" t="str">
        <f t="shared" si="2"/>
        <v/>
      </c>
      <c r="O115" t="str">
        <f t="shared" si="3"/>
        <v/>
      </c>
      <c r="P115" t="str">
        <f>IF(A115="","",MAX(0,N115-System_Config!$B$9))</f>
        <v/>
      </c>
    </row>
    <row r="116" spans="12:16" ht="15" customHeight="1" x14ac:dyDescent="0.25">
      <c r="L116" t="str">
        <f>IF(A116="","",SUMIF(DB_Savings!$C:$C,A116,DB_Savings!$F:$F))</f>
        <v/>
      </c>
      <c r="M116" t="str">
        <f>IF(A116="","",SUMIF(DB_Withdrawals!$C:$C,A116,DB_Withdrawals!$G:$G))</f>
        <v/>
      </c>
      <c r="N116" t="str">
        <f t="shared" si="2"/>
        <v/>
      </c>
      <c r="O116" t="str">
        <f t="shared" si="3"/>
        <v/>
      </c>
      <c r="P116" t="str">
        <f>IF(A116="","",MAX(0,N116-System_Config!$B$9))</f>
        <v/>
      </c>
    </row>
    <row r="117" spans="12:16" ht="15" customHeight="1" x14ac:dyDescent="0.25">
      <c r="L117" t="str">
        <f>IF(A117="","",SUMIF(DB_Savings!$C:$C,A117,DB_Savings!$F:$F))</f>
        <v/>
      </c>
      <c r="M117" t="str">
        <f>IF(A117="","",SUMIF(DB_Withdrawals!$C:$C,A117,DB_Withdrawals!$G:$G))</f>
        <v/>
      </c>
      <c r="N117" t="str">
        <f t="shared" si="2"/>
        <v/>
      </c>
      <c r="O117" t="str">
        <f t="shared" si="3"/>
        <v/>
      </c>
      <c r="P117" t="str">
        <f>IF(A117="","",MAX(0,N117-System_Config!$B$9))</f>
        <v/>
      </c>
    </row>
    <row r="118" spans="12:16" ht="15" customHeight="1" x14ac:dyDescent="0.25">
      <c r="L118" t="str">
        <f>IF(A118="","",SUMIF(DB_Savings!$C:$C,A118,DB_Savings!$F:$F))</f>
        <v/>
      </c>
      <c r="M118" t="str">
        <f>IF(A118="","",SUMIF(DB_Withdrawals!$C:$C,A118,DB_Withdrawals!$G:$G))</f>
        <v/>
      </c>
      <c r="N118" t="str">
        <f t="shared" si="2"/>
        <v/>
      </c>
      <c r="O118" t="str">
        <f t="shared" si="3"/>
        <v/>
      </c>
      <c r="P118" t="str">
        <f>IF(A118="","",MAX(0,N118-System_Config!$B$9))</f>
        <v/>
      </c>
    </row>
    <row r="119" spans="12:16" ht="15" customHeight="1" x14ac:dyDescent="0.25">
      <c r="L119" t="str">
        <f>IF(A119="","",SUMIF(DB_Savings!$C:$C,A119,DB_Savings!$F:$F))</f>
        <v/>
      </c>
      <c r="M119" t="str">
        <f>IF(A119="","",SUMIF(DB_Withdrawals!$C:$C,A119,DB_Withdrawals!$G:$G))</f>
        <v/>
      </c>
      <c r="N119" t="str">
        <f t="shared" si="2"/>
        <v/>
      </c>
      <c r="O119" t="str">
        <f t="shared" si="3"/>
        <v/>
      </c>
      <c r="P119" t="str">
        <f>IF(A119="","",MAX(0,N119-System_Config!$B$9))</f>
        <v/>
      </c>
    </row>
    <row r="120" spans="12:16" ht="15" customHeight="1" x14ac:dyDescent="0.25">
      <c r="L120" t="str">
        <f>IF(A120="","",SUMIF(DB_Savings!$C:$C,A120,DB_Savings!$F:$F))</f>
        <v/>
      </c>
      <c r="M120" t="str">
        <f>IF(A120="","",SUMIF(DB_Withdrawals!$C:$C,A120,DB_Withdrawals!$G:$G))</f>
        <v/>
      </c>
      <c r="N120" t="str">
        <f t="shared" si="2"/>
        <v/>
      </c>
      <c r="O120" t="str">
        <f t="shared" si="3"/>
        <v/>
      </c>
      <c r="P120" t="str">
        <f>IF(A120="","",MAX(0,N120-System_Config!$B$9))</f>
        <v/>
      </c>
    </row>
    <row r="121" spans="12:16" ht="15" customHeight="1" x14ac:dyDescent="0.25">
      <c r="L121" t="str">
        <f>IF(A121="","",SUMIF(DB_Savings!$C:$C,A121,DB_Savings!$F:$F))</f>
        <v/>
      </c>
      <c r="M121" t="str">
        <f>IF(A121="","",SUMIF(DB_Withdrawals!$C:$C,A121,DB_Withdrawals!$G:$G))</f>
        <v/>
      </c>
      <c r="N121" t="str">
        <f t="shared" si="2"/>
        <v/>
      </c>
      <c r="O121" t="str">
        <f t="shared" si="3"/>
        <v/>
      </c>
      <c r="P121" t="str">
        <f>IF(A121="","",MAX(0,N121-System_Config!$B$9))</f>
        <v/>
      </c>
    </row>
    <row r="122" spans="12:16" ht="15" customHeight="1" x14ac:dyDescent="0.25">
      <c r="L122" t="str">
        <f>IF(A122="","",SUMIF(DB_Savings!$C:$C,A122,DB_Savings!$F:$F))</f>
        <v/>
      </c>
      <c r="M122" t="str">
        <f>IF(A122="","",SUMIF(DB_Withdrawals!$C:$C,A122,DB_Withdrawals!$G:$G))</f>
        <v/>
      </c>
      <c r="N122" t="str">
        <f t="shared" si="2"/>
        <v/>
      </c>
      <c r="O122" t="str">
        <f t="shared" si="3"/>
        <v/>
      </c>
      <c r="P122" t="str">
        <f>IF(A122="","",MAX(0,N122-System_Config!$B$9))</f>
        <v/>
      </c>
    </row>
    <row r="123" spans="12:16" ht="15" customHeight="1" x14ac:dyDescent="0.25">
      <c r="L123" t="str">
        <f>IF(A123="","",SUMIF(DB_Savings!$C:$C,A123,DB_Savings!$F:$F))</f>
        <v/>
      </c>
      <c r="M123" t="str">
        <f>IF(A123="","",SUMIF(DB_Withdrawals!$C:$C,A123,DB_Withdrawals!$G:$G))</f>
        <v/>
      </c>
      <c r="N123" t="str">
        <f t="shared" si="2"/>
        <v/>
      </c>
      <c r="O123" t="str">
        <f t="shared" si="3"/>
        <v/>
      </c>
      <c r="P123" t="str">
        <f>IF(A123="","",MAX(0,N123-System_Config!$B$9))</f>
        <v/>
      </c>
    </row>
    <row r="124" spans="12:16" ht="15" customHeight="1" x14ac:dyDescent="0.25">
      <c r="L124" t="str">
        <f>IF(A124="","",SUMIF(DB_Savings!$C:$C,A124,DB_Savings!$F:$F))</f>
        <v/>
      </c>
      <c r="M124" t="str">
        <f>IF(A124="","",SUMIF(DB_Withdrawals!$C:$C,A124,DB_Withdrawals!$G:$G))</f>
        <v/>
      </c>
      <c r="N124" t="str">
        <f t="shared" si="2"/>
        <v/>
      </c>
      <c r="O124" t="str">
        <f t="shared" si="3"/>
        <v/>
      </c>
      <c r="P124" t="str">
        <f>IF(A124="","",MAX(0,N124-System_Config!$B$9))</f>
        <v/>
      </c>
    </row>
    <row r="125" spans="12:16" ht="15" customHeight="1" x14ac:dyDescent="0.25">
      <c r="L125" t="str">
        <f>IF(A125="","",SUMIF(DB_Savings!$C:$C,A125,DB_Savings!$F:$F))</f>
        <v/>
      </c>
      <c r="M125" t="str">
        <f>IF(A125="","",SUMIF(DB_Withdrawals!$C:$C,A125,DB_Withdrawals!$G:$G))</f>
        <v/>
      </c>
      <c r="N125" t="str">
        <f t="shared" si="2"/>
        <v/>
      </c>
      <c r="O125" t="str">
        <f t="shared" si="3"/>
        <v/>
      </c>
      <c r="P125" t="str">
        <f>IF(A125="","",MAX(0,N125-System_Config!$B$9))</f>
        <v/>
      </c>
    </row>
    <row r="126" spans="12:16" ht="15" customHeight="1" x14ac:dyDescent="0.25">
      <c r="L126" t="str">
        <f>IF(A126="","",SUMIF(DB_Savings!$C:$C,A126,DB_Savings!$F:$F))</f>
        <v/>
      </c>
      <c r="M126" t="str">
        <f>IF(A126="","",SUMIF(DB_Withdrawals!$C:$C,A126,DB_Withdrawals!$G:$G))</f>
        <v/>
      </c>
      <c r="N126" t="str">
        <f t="shared" si="2"/>
        <v/>
      </c>
      <c r="O126" t="str">
        <f t="shared" si="3"/>
        <v/>
      </c>
      <c r="P126" t="str">
        <f>IF(A126="","",MAX(0,N126-System_Config!$B$9))</f>
        <v/>
      </c>
    </row>
    <row r="127" spans="12:16" ht="15" customHeight="1" x14ac:dyDescent="0.25">
      <c r="L127" t="str">
        <f>IF(A127="","",SUMIF(DB_Savings!$C:$C,A127,DB_Savings!$F:$F))</f>
        <v/>
      </c>
      <c r="M127" t="str">
        <f>IF(A127="","",SUMIF(DB_Withdrawals!$C:$C,A127,DB_Withdrawals!$G:$G))</f>
        <v/>
      </c>
      <c r="N127" t="str">
        <f t="shared" si="2"/>
        <v/>
      </c>
      <c r="O127" t="str">
        <f t="shared" si="3"/>
        <v/>
      </c>
      <c r="P127" t="str">
        <f>IF(A127="","",MAX(0,N127-System_Config!$B$9))</f>
        <v/>
      </c>
    </row>
    <row r="128" spans="12:16" ht="15" customHeight="1" x14ac:dyDescent="0.25">
      <c r="L128" t="str">
        <f>IF(A128="","",SUMIF(DB_Savings!$C:$C,A128,DB_Savings!$F:$F))</f>
        <v/>
      </c>
      <c r="M128" t="str">
        <f>IF(A128="","",SUMIF(DB_Withdrawals!$C:$C,A128,DB_Withdrawals!$G:$G))</f>
        <v/>
      </c>
      <c r="N128" t="str">
        <f t="shared" si="2"/>
        <v/>
      </c>
      <c r="O128" t="str">
        <f t="shared" si="3"/>
        <v/>
      </c>
      <c r="P128" t="str">
        <f>IF(A128="","",MAX(0,N128-System_Config!$B$9))</f>
        <v/>
      </c>
    </row>
    <row r="129" spans="12:16" ht="15" customHeight="1" x14ac:dyDescent="0.25">
      <c r="L129" t="str">
        <f>IF(A129="","",SUMIF(DB_Savings!$C:$C,A129,DB_Savings!$F:$F))</f>
        <v/>
      </c>
      <c r="M129" t="str">
        <f>IF(A129="","",SUMIF(DB_Withdrawals!$C:$C,A129,DB_Withdrawals!$G:$G))</f>
        <v/>
      </c>
      <c r="N129" t="str">
        <f t="shared" si="2"/>
        <v/>
      </c>
      <c r="O129" t="str">
        <f t="shared" si="3"/>
        <v/>
      </c>
      <c r="P129" t="str">
        <f>IF(A129="","",MAX(0,N129-System_Config!$B$9))</f>
        <v/>
      </c>
    </row>
    <row r="130" spans="12:16" ht="15" customHeight="1" x14ac:dyDescent="0.25">
      <c r="L130" t="str">
        <f>IF(A130="","",SUMIF(DB_Savings!$C:$C,A130,DB_Savings!$F:$F))</f>
        <v/>
      </c>
      <c r="M130" t="str">
        <f>IF(A130="","",SUMIF(DB_Withdrawals!$C:$C,A130,DB_Withdrawals!$G:$G))</f>
        <v/>
      </c>
      <c r="N130" t="str">
        <f t="shared" si="2"/>
        <v/>
      </c>
      <c r="O130" t="str">
        <f t="shared" si="3"/>
        <v/>
      </c>
      <c r="P130" t="str">
        <f>IF(A130="","",MAX(0,N130-System_Config!$B$9))</f>
        <v/>
      </c>
    </row>
    <row r="131" spans="12:16" ht="15" customHeight="1" x14ac:dyDescent="0.25">
      <c r="L131" t="str">
        <f>IF(A131="","",SUMIF(DB_Savings!$C:$C,A131,DB_Savings!$F:$F))</f>
        <v/>
      </c>
      <c r="M131" t="str">
        <f>IF(A131="","",SUMIF(DB_Withdrawals!$C:$C,A131,DB_Withdrawals!$G:$G))</f>
        <v/>
      </c>
      <c r="N131" t="str">
        <f t="shared" si="2"/>
        <v/>
      </c>
      <c r="O131" t="str">
        <f t="shared" si="3"/>
        <v/>
      </c>
      <c r="P131" t="str">
        <f>IF(A131="","",MAX(0,N131-System_Config!$B$9))</f>
        <v/>
      </c>
    </row>
    <row r="132" spans="12:16" ht="15" customHeight="1" x14ac:dyDescent="0.25">
      <c r="L132" t="str">
        <f>IF(A132="","",SUMIF(DB_Savings!$C:$C,A132,DB_Savings!$F:$F))</f>
        <v/>
      </c>
      <c r="M132" t="str">
        <f>IF(A132="","",SUMIF(DB_Withdrawals!$C:$C,A132,DB_Withdrawals!$G:$G))</f>
        <v/>
      </c>
      <c r="N132" t="str">
        <f t="shared" ref="N132:N195" si="4">IF(A132="","",I132+L132-M132)</f>
        <v/>
      </c>
      <c r="O132" t="str">
        <f t="shared" ref="O132:O195" si="5">IF(A132="","",TRUE())</f>
        <v/>
      </c>
      <c r="P132" t="str">
        <f>IF(A132="","",MAX(0,N132-System_Config!$B$9))</f>
        <v/>
      </c>
    </row>
    <row r="133" spans="12:16" ht="15" customHeight="1" x14ac:dyDescent="0.25">
      <c r="L133" t="str">
        <f>IF(A133="","",SUMIF(DB_Savings!$C:$C,A133,DB_Savings!$F:$F))</f>
        <v/>
      </c>
      <c r="M133" t="str">
        <f>IF(A133="","",SUMIF(DB_Withdrawals!$C:$C,A133,DB_Withdrawals!$G:$G))</f>
        <v/>
      </c>
      <c r="N133" t="str">
        <f t="shared" si="4"/>
        <v/>
      </c>
      <c r="O133" t="str">
        <f t="shared" si="5"/>
        <v/>
      </c>
      <c r="P133" t="str">
        <f>IF(A133="","",MAX(0,N133-System_Config!$B$9))</f>
        <v/>
      </c>
    </row>
    <row r="134" spans="12:16" ht="15" customHeight="1" x14ac:dyDescent="0.25">
      <c r="L134" t="str">
        <f>IF(A134="","",SUMIF(DB_Savings!$C:$C,A134,DB_Savings!$F:$F))</f>
        <v/>
      </c>
      <c r="M134" t="str">
        <f>IF(A134="","",SUMIF(DB_Withdrawals!$C:$C,A134,DB_Withdrawals!$G:$G))</f>
        <v/>
      </c>
      <c r="N134" t="str">
        <f t="shared" si="4"/>
        <v/>
      </c>
      <c r="O134" t="str">
        <f t="shared" si="5"/>
        <v/>
      </c>
      <c r="P134" t="str">
        <f>IF(A134="","",MAX(0,N134-System_Config!$B$9))</f>
        <v/>
      </c>
    </row>
    <row r="135" spans="12:16" ht="15" customHeight="1" x14ac:dyDescent="0.25">
      <c r="L135" t="str">
        <f>IF(A135="","",SUMIF(DB_Savings!$C:$C,A135,DB_Savings!$F:$F))</f>
        <v/>
      </c>
      <c r="M135" t="str">
        <f>IF(A135="","",SUMIF(DB_Withdrawals!$C:$C,A135,DB_Withdrawals!$G:$G))</f>
        <v/>
      </c>
      <c r="N135" t="str">
        <f t="shared" si="4"/>
        <v/>
      </c>
      <c r="O135" t="str">
        <f t="shared" si="5"/>
        <v/>
      </c>
      <c r="P135" t="str">
        <f>IF(A135="","",MAX(0,N135-System_Config!$B$9))</f>
        <v/>
      </c>
    </row>
    <row r="136" spans="12:16" ht="15" customHeight="1" x14ac:dyDescent="0.25">
      <c r="L136" t="str">
        <f>IF(A136="","",SUMIF(DB_Savings!$C:$C,A136,DB_Savings!$F:$F))</f>
        <v/>
      </c>
      <c r="M136" t="str">
        <f>IF(A136="","",SUMIF(DB_Withdrawals!$C:$C,A136,DB_Withdrawals!$G:$G))</f>
        <v/>
      </c>
      <c r="N136" t="str">
        <f t="shared" si="4"/>
        <v/>
      </c>
      <c r="O136" t="str">
        <f t="shared" si="5"/>
        <v/>
      </c>
      <c r="P136" t="str">
        <f>IF(A136="","",MAX(0,N136-System_Config!$B$9))</f>
        <v/>
      </c>
    </row>
    <row r="137" spans="12:16" ht="15" customHeight="1" x14ac:dyDescent="0.25">
      <c r="L137" t="str">
        <f>IF(A137="","",SUMIF(DB_Savings!$C:$C,A137,DB_Savings!$F:$F))</f>
        <v/>
      </c>
      <c r="M137" t="str">
        <f>IF(A137="","",SUMIF(DB_Withdrawals!$C:$C,A137,DB_Withdrawals!$G:$G))</f>
        <v/>
      </c>
      <c r="N137" t="str">
        <f t="shared" si="4"/>
        <v/>
      </c>
      <c r="O137" t="str">
        <f t="shared" si="5"/>
        <v/>
      </c>
      <c r="P137" t="str">
        <f>IF(A137="","",MAX(0,N137-System_Config!$B$9))</f>
        <v/>
      </c>
    </row>
    <row r="138" spans="12:16" ht="15" customHeight="1" x14ac:dyDescent="0.25">
      <c r="L138" t="str">
        <f>IF(A138="","",SUMIF(DB_Savings!$C:$C,A138,DB_Savings!$F:$F))</f>
        <v/>
      </c>
      <c r="M138" t="str">
        <f>IF(A138="","",SUMIF(DB_Withdrawals!$C:$C,A138,DB_Withdrawals!$G:$G))</f>
        <v/>
      </c>
      <c r="N138" t="str">
        <f t="shared" si="4"/>
        <v/>
      </c>
      <c r="O138" t="str">
        <f t="shared" si="5"/>
        <v/>
      </c>
      <c r="P138" t="str">
        <f>IF(A138="","",MAX(0,N138-System_Config!$B$9))</f>
        <v/>
      </c>
    </row>
    <row r="139" spans="12:16" ht="15" customHeight="1" x14ac:dyDescent="0.25">
      <c r="L139" t="str">
        <f>IF(A139="","",SUMIF(DB_Savings!$C:$C,A139,DB_Savings!$F:$F))</f>
        <v/>
      </c>
      <c r="M139" t="str">
        <f>IF(A139="","",SUMIF(DB_Withdrawals!$C:$C,A139,DB_Withdrawals!$G:$G))</f>
        <v/>
      </c>
      <c r="N139" t="str">
        <f t="shared" si="4"/>
        <v/>
      </c>
      <c r="O139" t="str">
        <f t="shared" si="5"/>
        <v/>
      </c>
      <c r="P139" t="str">
        <f>IF(A139="","",MAX(0,N139-System_Config!$B$9))</f>
        <v/>
      </c>
    </row>
    <row r="140" spans="12:16" ht="15" customHeight="1" x14ac:dyDescent="0.25">
      <c r="L140" t="str">
        <f>IF(A140="","",SUMIF(DB_Savings!$C:$C,A140,DB_Savings!$F:$F))</f>
        <v/>
      </c>
      <c r="M140" t="str">
        <f>IF(A140="","",SUMIF(DB_Withdrawals!$C:$C,A140,DB_Withdrawals!$G:$G))</f>
        <v/>
      </c>
      <c r="N140" t="str">
        <f t="shared" si="4"/>
        <v/>
      </c>
      <c r="O140" t="str">
        <f t="shared" si="5"/>
        <v/>
      </c>
      <c r="P140" t="str">
        <f>IF(A140="","",MAX(0,N140-System_Config!$B$9))</f>
        <v/>
      </c>
    </row>
    <row r="141" spans="12:16" ht="15" customHeight="1" x14ac:dyDescent="0.25">
      <c r="L141" t="str">
        <f>IF(A141="","",SUMIF(DB_Savings!$C:$C,A141,DB_Savings!$F:$F))</f>
        <v/>
      </c>
      <c r="M141" t="str">
        <f>IF(A141="","",SUMIF(DB_Withdrawals!$C:$C,A141,DB_Withdrawals!$G:$G))</f>
        <v/>
      </c>
      <c r="N141" t="str">
        <f t="shared" si="4"/>
        <v/>
      </c>
      <c r="O141" t="str">
        <f t="shared" si="5"/>
        <v/>
      </c>
      <c r="P141" t="str">
        <f>IF(A141="","",MAX(0,N141-System_Config!$B$9))</f>
        <v/>
      </c>
    </row>
    <row r="142" spans="12:16" ht="15" customHeight="1" x14ac:dyDescent="0.25">
      <c r="L142" t="str">
        <f>IF(A142="","",SUMIF(DB_Savings!$C:$C,A142,DB_Savings!$F:$F))</f>
        <v/>
      </c>
      <c r="M142" t="str">
        <f>IF(A142="","",SUMIF(DB_Withdrawals!$C:$C,A142,DB_Withdrawals!$G:$G))</f>
        <v/>
      </c>
      <c r="N142" t="str">
        <f t="shared" si="4"/>
        <v/>
      </c>
      <c r="O142" t="str">
        <f t="shared" si="5"/>
        <v/>
      </c>
      <c r="P142" t="str">
        <f>IF(A142="","",MAX(0,N142-System_Config!$B$9))</f>
        <v/>
      </c>
    </row>
    <row r="143" spans="12:16" ht="15" customHeight="1" x14ac:dyDescent="0.25">
      <c r="L143" t="str">
        <f>IF(A143="","",SUMIF(DB_Savings!$C:$C,A143,DB_Savings!$F:$F))</f>
        <v/>
      </c>
      <c r="M143" t="str">
        <f>IF(A143="","",SUMIF(DB_Withdrawals!$C:$C,A143,DB_Withdrawals!$G:$G))</f>
        <v/>
      </c>
      <c r="N143" t="str">
        <f t="shared" si="4"/>
        <v/>
      </c>
      <c r="O143" t="str">
        <f t="shared" si="5"/>
        <v/>
      </c>
      <c r="P143" t="str">
        <f>IF(A143="","",MAX(0,N143-System_Config!$B$9))</f>
        <v/>
      </c>
    </row>
    <row r="144" spans="12:16" ht="15" customHeight="1" x14ac:dyDescent="0.25">
      <c r="L144" t="str">
        <f>IF(A144="","",SUMIF(DB_Savings!$C:$C,A144,DB_Savings!$F:$F))</f>
        <v/>
      </c>
      <c r="M144" t="str">
        <f>IF(A144="","",SUMIF(DB_Withdrawals!$C:$C,A144,DB_Withdrawals!$G:$G))</f>
        <v/>
      </c>
      <c r="N144" t="str">
        <f t="shared" si="4"/>
        <v/>
      </c>
      <c r="O144" t="str">
        <f t="shared" si="5"/>
        <v/>
      </c>
      <c r="P144" t="str">
        <f>IF(A144="","",MAX(0,N144-System_Config!$B$9))</f>
        <v/>
      </c>
    </row>
    <row r="145" spans="12:16" ht="15" customHeight="1" x14ac:dyDescent="0.25">
      <c r="L145" t="str">
        <f>IF(A145="","",SUMIF(DB_Savings!$C:$C,A145,DB_Savings!$F:$F))</f>
        <v/>
      </c>
      <c r="M145" t="str">
        <f>IF(A145="","",SUMIF(DB_Withdrawals!$C:$C,A145,DB_Withdrawals!$G:$G))</f>
        <v/>
      </c>
      <c r="N145" t="str">
        <f t="shared" si="4"/>
        <v/>
      </c>
      <c r="O145" t="str">
        <f t="shared" si="5"/>
        <v/>
      </c>
      <c r="P145" t="str">
        <f>IF(A145="","",MAX(0,N145-System_Config!$B$9))</f>
        <v/>
      </c>
    </row>
    <row r="146" spans="12:16" ht="15" customHeight="1" x14ac:dyDescent="0.25">
      <c r="L146" t="str">
        <f>IF(A146="","",SUMIF(DB_Savings!$C:$C,A146,DB_Savings!$F:$F))</f>
        <v/>
      </c>
      <c r="M146" t="str">
        <f>IF(A146="","",SUMIF(DB_Withdrawals!$C:$C,A146,DB_Withdrawals!$G:$G))</f>
        <v/>
      </c>
      <c r="N146" t="str">
        <f t="shared" si="4"/>
        <v/>
      </c>
      <c r="O146" t="str">
        <f t="shared" si="5"/>
        <v/>
      </c>
      <c r="P146" t="str">
        <f>IF(A146="","",MAX(0,N146-System_Config!$B$9))</f>
        <v/>
      </c>
    </row>
    <row r="147" spans="12:16" ht="15" customHeight="1" x14ac:dyDescent="0.25">
      <c r="L147" t="str">
        <f>IF(A147="","",SUMIF(DB_Savings!$C:$C,A147,DB_Savings!$F:$F))</f>
        <v/>
      </c>
      <c r="M147" t="str">
        <f>IF(A147="","",SUMIF(DB_Withdrawals!$C:$C,A147,DB_Withdrawals!$G:$G))</f>
        <v/>
      </c>
      <c r="N147" t="str">
        <f t="shared" si="4"/>
        <v/>
      </c>
      <c r="O147" t="str">
        <f t="shared" si="5"/>
        <v/>
      </c>
      <c r="P147" t="str">
        <f>IF(A147="","",MAX(0,N147-System_Config!$B$9))</f>
        <v/>
      </c>
    </row>
    <row r="148" spans="12:16" ht="15" customHeight="1" x14ac:dyDescent="0.25">
      <c r="L148" t="str">
        <f>IF(A148="","",SUMIF(DB_Savings!$C:$C,A148,DB_Savings!$F:$F))</f>
        <v/>
      </c>
      <c r="M148" t="str">
        <f>IF(A148="","",SUMIF(DB_Withdrawals!$C:$C,A148,DB_Withdrawals!$G:$G))</f>
        <v/>
      </c>
      <c r="N148" t="str">
        <f t="shared" si="4"/>
        <v/>
      </c>
      <c r="O148" t="str">
        <f t="shared" si="5"/>
        <v/>
      </c>
      <c r="P148" t="str">
        <f>IF(A148="","",MAX(0,N148-System_Config!$B$9))</f>
        <v/>
      </c>
    </row>
    <row r="149" spans="12:16" ht="15" customHeight="1" x14ac:dyDescent="0.25">
      <c r="L149" t="str">
        <f>IF(A149="","",SUMIF(DB_Savings!$C:$C,A149,DB_Savings!$F:$F))</f>
        <v/>
      </c>
      <c r="M149" t="str">
        <f>IF(A149="","",SUMIF(DB_Withdrawals!$C:$C,A149,DB_Withdrawals!$G:$G))</f>
        <v/>
      </c>
      <c r="N149" t="str">
        <f t="shared" si="4"/>
        <v/>
      </c>
      <c r="O149" t="str">
        <f t="shared" si="5"/>
        <v/>
      </c>
      <c r="P149" t="str">
        <f>IF(A149="","",MAX(0,N149-System_Config!$B$9))</f>
        <v/>
      </c>
    </row>
    <row r="150" spans="12:16" ht="15" customHeight="1" x14ac:dyDescent="0.25">
      <c r="L150" t="str">
        <f>IF(A150="","",SUMIF(DB_Savings!$C:$C,A150,DB_Savings!$F:$F))</f>
        <v/>
      </c>
      <c r="M150" t="str">
        <f>IF(A150="","",SUMIF(DB_Withdrawals!$C:$C,A150,DB_Withdrawals!$G:$G))</f>
        <v/>
      </c>
      <c r="N150" t="str">
        <f t="shared" si="4"/>
        <v/>
      </c>
      <c r="O150" t="str">
        <f t="shared" si="5"/>
        <v/>
      </c>
      <c r="P150" t="str">
        <f>IF(A150="","",MAX(0,N150-System_Config!$B$9))</f>
        <v/>
      </c>
    </row>
    <row r="151" spans="12:16" ht="15" customHeight="1" x14ac:dyDescent="0.25">
      <c r="L151" t="str">
        <f>IF(A151="","",SUMIF(DB_Savings!$C:$C,A151,DB_Savings!$F:$F))</f>
        <v/>
      </c>
      <c r="M151" t="str">
        <f>IF(A151="","",SUMIF(DB_Withdrawals!$C:$C,A151,DB_Withdrawals!$G:$G))</f>
        <v/>
      </c>
      <c r="N151" t="str">
        <f t="shared" si="4"/>
        <v/>
      </c>
      <c r="O151" t="str">
        <f t="shared" si="5"/>
        <v/>
      </c>
      <c r="P151" t="str">
        <f>IF(A151="","",MAX(0,N151-System_Config!$B$9))</f>
        <v/>
      </c>
    </row>
    <row r="152" spans="12:16" ht="15" customHeight="1" x14ac:dyDescent="0.25">
      <c r="L152" t="str">
        <f>IF(A152="","",SUMIF(DB_Savings!$C:$C,A152,DB_Savings!$F:$F))</f>
        <v/>
      </c>
      <c r="M152" t="str">
        <f>IF(A152="","",SUMIF(DB_Withdrawals!$C:$C,A152,DB_Withdrawals!$G:$G))</f>
        <v/>
      </c>
      <c r="N152" t="str">
        <f t="shared" si="4"/>
        <v/>
      </c>
      <c r="O152" t="str">
        <f t="shared" si="5"/>
        <v/>
      </c>
      <c r="P152" t="str">
        <f>IF(A152="","",MAX(0,N152-System_Config!$B$9))</f>
        <v/>
      </c>
    </row>
    <row r="153" spans="12:16" ht="15" customHeight="1" x14ac:dyDescent="0.25">
      <c r="L153" t="str">
        <f>IF(A153="","",SUMIF(DB_Savings!$C:$C,A153,DB_Savings!$F:$F))</f>
        <v/>
      </c>
      <c r="M153" t="str">
        <f>IF(A153="","",SUMIF(DB_Withdrawals!$C:$C,A153,DB_Withdrawals!$G:$G))</f>
        <v/>
      </c>
      <c r="N153" t="str">
        <f t="shared" si="4"/>
        <v/>
      </c>
      <c r="O153" t="str">
        <f t="shared" si="5"/>
        <v/>
      </c>
      <c r="P153" t="str">
        <f>IF(A153="","",MAX(0,N153-System_Config!$B$9))</f>
        <v/>
      </c>
    </row>
    <row r="154" spans="12:16" ht="15" customHeight="1" x14ac:dyDescent="0.25">
      <c r="L154" t="str">
        <f>IF(A154="","",SUMIF(DB_Savings!$C:$C,A154,DB_Savings!$F:$F))</f>
        <v/>
      </c>
      <c r="M154" t="str">
        <f>IF(A154="","",SUMIF(DB_Withdrawals!$C:$C,A154,DB_Withdrawals!$G:$G))</f>
        <v/>
      </c>
      <c r="N154" t="str">
        <f t="shared" si="4"/>
        <v/>
      </c>
      <c r="O154" t="str">
        <f t="shared" si="5"/>
        <v/>
      </c>
      <c r="P154" t="str">
        <f>IF(A154="","",MAX(0,N154-System_Config!$B$9))</f>
        <v/>
      </c>
    </row>
    <row r="155" spans="12:16" ht="15" customHeight="1" x14ac:dyDescent="0.25">
      <c r="L155" t="str">
        <f>IF(A155="","",SUMIF(DB_Savings!$C:$C,A155,DB_Savings!$F:$F))</f>
        <v/>
      </c>
      <c r="M155" t="str">
        <f>IF(A155="","",SUMIF(DB_Withdrawals!$C:$C,A155,DB_Withdrawals!$G:$G))</f>
        <v/>
      </c>
      <c r="N155" t="str">
        <f t="shared" si="4"/>
        <v/>
      </c>
      <c r="O155" t="str">
        <f t="shared" si="5"/>
        <v/>
      </c>
      <c r="P155" t="str">
        <f>IF(A155="","",MAX(0,N155-System_Config!$B$9))</f>
        <v/>
      </c>
    </row>
    <row r="156" spans="12:16" ht="15" customHeight="1" x14ac:dyDescent="0.25">
      <c r="L156" t="str">
        <f>IF(A156="","",SUMIF(DB_Savings!$C:$C,A156,DB_Savings!$F:$F))</f>
        <v/>
      </c>
      <c r="M156" t="str">
        <f>IF(A156="","",SUMIF(DB_Withdrawals!$C:$C,A156,DB_Withdrawals!$G:$G))</f>
        <v/>
      </c>
      <c r="N156" t="str">
        <f t="shared" si="4"/>
        <v/>
      </c>
      <c r="O156" t="str">
        <f t="shared" si="5"/>
        <v/>
      </c>
      <c r="P156" t="str">
        <f>IF(A156="","",MAX(0,N156-System_Config!$B$9))</f>
        <v/>
      </c>
    </row>
    <row r="157" spans="12:16" ht="15" customHeight="1" x14ac:dyDescent="0.25">
      <c r="L157" t="str">
        <f>IF(A157="","",SUMIF(DB_Savings!$C:$C,A157,DB_Savings!$F:$F))</f>
        <v/>
      </c>
      <c r="M157" t="str">
        <f>IF(A157="","",SUMIF(DB_Withdrawals!$C:$C,A157,DB_Withdrawals!$G:$G))</f>
        <v/>
      </c>
      <c r="N157" t="str">
        <f t="shared" si="4"/>
        <v/>
      </c>
      <c r="O157" t="str">
        <f t="shared" si="5"/>
        <v/>
      </c>
      <c r="P157" t="str">
        <f>IF(A157="","",MAX(0,N157-System_Config!$B$9))</f>
        <v/>
      </c>
    </row>
    <row r="158" spans="12:16" ht="15" customHeight="1" x14ac:dyDescent="0.25">
      <c r="L158" t="str">
        <f>IF(A158="","",SUMIF(DB_Savings!$C:$C,A158,DB_Savings!$F:$F))</f>
        <v/>
      </c>
      <c r="M158" t="str">
        <f>IF(A158="","",SUMIF(DB_Withdrawals!$C:$C,A158,DB_Withdrawals!$G:$G))</f>
        <v/>
      </c>
      <c r="N158" t="str">
        <f t="shared" si="4"/>
        <v/>
      </c>
      <c r="O158" t="str">
        <f t="shared" si="5"/>
        <v/>
      </c>
      <c r="P158" t="str">
        <f>IF(A158="","",MAX(0,N158-System_Config!$B$9))</f>
        <v/>
      </c>
    </row>
    <row r="159" spans="12:16" ht="15" customHeight="1" x14ac:dyDescent="0.25">
      <c r="L159" t="str">
        <f>IF(A159="","",SUMIF(DB_Savings!$C:$C,A159,DB_Savings!$F:$F))</f>
        <v/>
      </c>
      <c r="M159" t="str">
        <f>IF(A159="","",SUMIF(DB_Withdrawals!$C:$C,A159,DB_Withdrawals!$G:$G))</f>
        <v/>
      </c>
      <c r="N159" t="str">
        <f t="shared" si="4"/>
        <v/>
      </c>
      <c r="O159" t="str">
        <f t="shared" si="5"/>
        <v/>
      </c>
      <c r="P159" t="str">
        <f>IF(A159="","",MAX(0,N159-System_Config!$B$9))</f>
        <v/>
      </c>
    </row>
    <row r="160" spans="12:16" ht="15" customHeight="1" x14ac:dyDescent="0.25">
      <c r="L160" t="str">
        <f>IF(A160="","",SUMIF(DB_Savings!$C:$C,A160,DB_Savings!$F:$F))</f>
        <v/>
      </c>
      <c r="M160" t="str">
        <f>IF(A160="","",SUMIF(DB_Withdrawals!$C:$C,A160,DB_Withdrawals!$G:$G))</f>
        <v/>
      </c>
      <c r="N160" t="str">
        <f t="shared" si="4"/>
        <v/>
      </c>
      <c r="O160" t="str">
        <f t="shared" si="5"/>
        <v/>
      </c>
      <c r="P160" t="str">
        <f>IF(A160="","",MAX(0,N160-System_Config!$B$9))</f>
        <v/>
      </c>
    </row>
    <row r="161" spans="12:16" ht="15" customHeight="1" x14ac:dyDescent="0.25">
      <c r="L161" t="str">
        <f>IF(A161="","",SUMIF(DB_Savings!$C:$C,A161,DB_Savings!$F:$F))</f>
        <v/>
      </c>
      <c r="M161" t="str">
        <f>IF(A161="","",SUMIF(DB_Withdrawals!$C:$C,A161,DB_Withdrawals!$G:$G))</f>
        <v/>
      </c>
      <c r="N161" t="str">
        <f t="shared" si="4"/>
        <v/>
      </c>
      <c r="O161" t="str">
        <f t="shared" si="5"/>
        <v/>
      </c>
      <c r="P161" t="str">
        <f>IF(A161="","",MAX(0,N161-System_Config!$B$9))</f>
        <v/>
      </c>
    </row>
    <row r="162" spans="12:16" ht="15" customHeight="1" x14ac:dyDescent="0.25">
      <c r="L162" t="str">
        <f>IF(A162="","",SUMIF(DB_Savings!$C:$C,A162,DB_Savings!$F:$F))</f>
        <v/>
      </c>
      <c r="M162" t="str">
        <f>IF(A162="","",SUMIF(DB_Withdrawals!$C:$C,A162,DB_Withdrawals!$G:$G))</f>
        <v/>
      </c>
      <c r="N162" t="str">
        <f t="shared" si="4"/>
        <v/>
      </c>
      <c r="O162" t="str">
        <f t="shared" si="5"/>
        <v/>
      </c>
      <c r="P162" t="str">
        <f>IF(A162="","",MAX(0,N162-System_Config!$B$9))</f>
        <v/>
      </c>
    </row>
    <row r="163" spans="12:16" ht="15" customHeight="1" x14ac:dyDescent="0.25">
      <c r="L163" t="str">
        <f>IF(A163="","",SUMIF(DB_Savings!$C:$C,A163,DB_Savings!$F:$F))</f>
        <v/>
      </c>
      <c r="M163" t="str">
        <f>IF(A163="","",SUMIF(DB_Withdrawals!$C:$C,A163,DB_Withdrawals!$G:$G))</f>
        <v/>
      </c>
      <c r="N163" t="str">
        <f t="shared" si="4"/>
        <v/>
      </c>
      <c r="O163" t="str">
        <f t="shared" si="5"/>
        <v/>
      </c>
      <c r="P163" t="str">
        <f>IF(A163="","",MAX(0,N163-System_Config!$B$9))</f>
        <v/>
      </c>
    </row>
    <row r="164" spans="12:16" ht="15" customHeight="1" x14ac:dyDescent="0.25">
      <c r="L164" t="str">
        <f>IF(A164="","",SUMIF(DB_Savings!$C:$C,A164,DB_Savings!$F:$F))</f>
        <v/>
      </c>
      <c r="M164" t="str">
        <f>IF(A164="","",SUMIF(DB_Withdrawals!$C:$C,A164,DB_Withdrawals!$G:$G))</f>
        <v/>
      </c>
      <c r="N164" t="str">
        <f t="shared" si="4"/>
        <v/>
      </c>
      <c r="O164" t="str">
        <f t="shared" si="5"/>
        <v/>
      </c>
      <c r="P164" t="str">
        <f>IF(A164="","",MAX(0,N164-System_Config!$B$9))</f>
        <v/>
      </c>
    </row>
    <row r="165" spans="12:16" ht="15" customHeight="1" x14ac:dyDescent="0.25">
      <c r="L165" t="str">
        <f>IF(A165="","",SUMIF(DB_Savings!$C:$C,A165,DB_Savings!$F:$F))</f>
        <v/>
      </c>
      <c r="M165" t="str">
        <f>IF(A165="","",SUMIF(DB_Withdrawals!$C:$C,A165,DB_Withdrawals!$G:$G))</f>
        <v/>
      </c>
      <c r="N165" t="str">
        <f t="shared" si="4"/>
        <v/>
      </c>
      <c r="O165" t="str">
        <f t="shared" si="5"/>
        <v/>
      </c>
      <c r="P165" t="str">
        <f>IF(A165="","",MAX(0,N165-System_Config!$B$9))</f>
        <v/>
      </c>
    </row>
    <row r="166" spans="12:16" ht="15" customHeight="1" x14ac:dyDescent="0.25">
      <c r="L166" t="str">
        <f>IF(A166="","",SUMIF(DB_Savings!$C:$C,A166,DB_Savings!$F:$F))</f>
        <v/>
      </c>
      <c r="M166" t="str">
        <f>IF(A166="","",SUMIF(DB_Withdrawals!$C:$C,A166,DB_Withdrawals!$G:$G))</f>
        <v/>
      </c>
      <c r="N166" t="str">
        <f t="shared" si="4"/>
        <v/>
      </c>
      <c r="O166" t="str">
        <f t="shared" si="5"/>
        <v/>
      </c>
      <c r="P166" t="str">
        <f>IF(A166="","",MAX(0,N166-System_Config!$B$9))</f>
        <v/>
      </c>
    </row>
    <row r="167" spans="12:16" ht="15" customHeight="1" x14ac:dyDescent="0.25">
      <c r="L167" t="str">
        <f>IF(A167="","",SUMIF(DB_Savings!$C:$C,A167,DB_Savings!$F:$F))</f>
        <v/>
      </c>
      <c r="M167" t="str">
        <f>IF(A167="","",SUMIF(DB_Withdrawals!$C:$C,A167,DB_Withdrawals!$G:$G))</f>
        <v/>
      </c>
      <c r="N167" t="str">
        <f t="shared" si="4"/>
        <v/>
      </c>
      <c r="O167" t="str">
        <f t="shared" si="5"/>
        <v/>
      </c>
      <c r="P167" t="str">
        <f>IF(A167="","",MAX(0,N167-System_Config!$B$9))</f>
        <v/>
      </c>
    </row>
    <row r="168" spans="12:16" ht="15" customHeight="1" x14ac:dyDescent="0.25">
      <c r="L168" t="str">
        <f>IF(A168="","",SUMIF(DB_Savings!$C:$C,A168,DB_Savings!$F:$F))</f>
        <v/>
      </c>
      <c r="M168" t="str">
        <f>IF(A168="","",SUMIF(DB_Withdrawals!$C:$C,A168,DB_Withdrawals!$G:$G))</f>
        <v/>
      </c>
      <c r="N168" t="str">
        <f t="shared" si="4"/>
        <v/>
      </c>
      <c r="O168" t="str">
        <f t="shared" si="5"/>
        <v/>
      </c>
      <c r="P168" t="str">
        <f>IF(A168="","",MAX(0,N168-System_Config!$B$9))</f>
        <v/>
      </c>
    </row>
    <row r="169" spans="12:16" ht="15" customHeight="1" x14ac:dyDescent="0.25">
      <c r="L169" t="str">
        <f>IF(A169="","",SUMIF(DB_Savings!$C:$C,A169,DB_Savings!$F:$F))</f>
        <v/>
      </c>
      <c r="M169" t="str">
        <f>IF(A169="","",SUMIF(DB_Withdrawals!$C:$C,A169,DB_Withdrawals!$G:$G))</f>
        <v/>
      </c>
      <c r="N169" t="str">
        <f t="shared" si="4"/>
        <v/>
      </c>
      <c r="O169" t="str">
        <f t="shared" si="5"/>
        <v/>
      </c>
      <c r="P169" t="str">
        <f>IF(A169="","",MAX(0,N169-System_Config!$B$9))</f>
        <v/>
      </c>
    </row>
    <row r="170" spans="12:16" ht="15" customHeight="1" x14ac:dyDescent="0.25">
      <c r="L170" t="str">
        <f>IF(A170="","",SUMIF(DB_Savings!$C:$C,A170,DB_Savings!$F:$F))</f>
        <v/>
      </c>
      <c r="M170" t="str">
        <f>IF(A170="","",SUMIF(DB_Withdrawals!$C:$C,A170,DB_Withdrawals!$G:$G))</f>
        <v/>
      </c>
      <c r="N170" t="str">
        <f t="shared" si="4"/>
        <v/>
      </c>
      <c r="O170" t="str">
        <f t="shared" si="5"/>
        <v/>
      </c>
      <c r="P170" t="str">
        <f>IF(A170="","",MAX(0,N170-System_Config!$B$9))</f>
        <v/>
      </c>
    </row>
    <row r="171" spans="12:16" ht="15" customHeight="1" x14ac:dyDescent="0.25">
      <c r="L171" t="str">
        <f>IF(A171="","",SUMIF(DB_Savings!$C:$C,A171,DB_Savings!$F:$F))</f>
        <v/>
      </c>
      <c r="M171" t="str">
        <f>IF(A171="","",SUMIF(DB_Withdrawals!$C:$C,A171,DB_Withdrawals!$G:$G))</f>
        <v/>
      </c>
      <c r="N171" t="str">
        <f t="shared" si="4"/>
        <v/>
      </c>
      <c r="O171" t="str">
        <f t="shared" si="5"/>
        <v/>
      </c>
      <c r="P171" t="str">
        <f>IF(A171="","",MAX(0,N171-System_Config!$B$9))</f>
        <v/>
      </c>
    </row>
    <row r="172" spans="12:16" ht="15" customHeight="1" x14ac:dyDescent="0.25">
      <c r="L172" t="str">
        <f>IF(A172="","",SUMIF(DB_Savings!$C:$C,A172,DB_Savings!$F:$F))</f>
        <v/>
      </c>
      <c r="M172" t="str">
        <f>IF(A172="","",SUMIF(DB_Withdrawals!$C:$C,A172,DB_Withdrawals!$G:$G))</f>
        <v/>
      </c>
      <c r="N172" t="str">
        <f t="shared" si="4"/>
        <v/>
      </c>
      <c r="O172" t="str">
        <f t="shared" si="5"/>
        <v/>
      </c>
      <c r="P172" t="str">
        <f>IF(A172="","",MAX(0,N172-System_Config!$B$9))</f>
        <v/>
      </c>
    </row>
    <row r="173" spans="12:16" ht="15" customHeight="1" x14ac:dyDescent="0.25">
      <c r="L173" t="str">
        <f>IF(A173="","",SUMIF(DB_Savings!$C:$C,A173,DB_Savings!$F:$F))</f>
        <v/>
      </c>
      <c r="M173" t="str">
        <f>IF(A173="","",SUMIF(DB_Withdrawals!$C:$C,A173,DB_Withdrawals!$G:$G))</f>
        <v/>
      </c>
      <c r="N173" t="str">
        <f t="shared" si="4"/>
        <v/>
      </c>
      <c r="O173" t="str">
        <f t="shared" si="5"/>
        <v/>
      </c>
      <c r="P173" t="str">
        <f>IF(A173="","",MAX(0,N173-System_Config!$B$9))</f>
        <v/>
      </c>
    </row>
    <row r="174" spans="12:16" ht="15" customHeight="1" x14ac:dyDescent="0.25">
      <c r="L174" t="str">
        <f>IF(A174="","",SUMIF(DB_Savings!$C:$C,A174,DB_Savings!$F:$F))</f>
        <v/>
      </c>
      <c r="M174" t="str">
        <f>IF(A174="","",SUMIF(DB_Withdrawals!$C:$C,A174,DB_Withdrawals!$G:$G))</f>
        <v/>
      </c>
      <c r="N174" t="str">
        <f t="shared" si="4"/>
        <v/>
      </c>
      <c r="O174" t="str">
        <f t="shared" si="5"/>
        <v/>
      </c>
      <c r="P174" t="str">
        <f>IF(A174="","",MAX(0,N174-System_Config!$B$9))</f>
        <v/>
      </c>
    </row>
    <row r="175" spans="12:16" ht="15" customHeight="1" x14ac:dyDescent="0.25">
      <c r="L175" t="str">
        <f>IF(A175="","",SUMIF(DB_Savings!$C:$C,A175,DB_Savings!$F:$F))</f>
        <v/>
      </c>
      <c r="M175" t="str">
        <f>IF(A175="","",SUMIF(DB_Withdrawals!$C:$C,A175,DB_Withdrawals!$G:$G))</f>
        <v/>
      </c>
      <c r="N175" t="str">
        <f t="shared" si="4"/>
        <v/>
      </c>
      <c r="O175" t="str">
        <f t="shared" si="5"/>
        <v/>
      </c>
      <c r="P175" t="str">
        <f>IF(A175="","",MAX(0,N175-System_Config!$B$9))</f>
        <v/>
      </c>
    </row>
    <row r="176" spans="12:16" ht="15" customHeight="1" x14ac:dyDescent="0.25">
      <c r="L176" t="str">
        <f>IF(A176="","",SUMIF(DB_Savings!$C:$C,A176,DB_Savings!$F:$F))</f>
        <v/>
      </c>
      <c r="M176" t="str">
        <f>IF(A176="","",SUMIF(DB_Withdrawals!$C:$C,A176,DB_Withdrawals!$G:$G))</f>
        <v/>
      </c>
      <c r="N176" t="str">
        <f t="shared" si="4"/>
        <v/>
      </c>
      <c r="O176" t="str">
        <f t="shared" si="5"/>
        <v/>
      </c>
      <c r="P176" t="str">
        <f>IF(A176="","",MAX(0,N176-System_Config!$B$9))</f>
        <v/>
      </c>
    </row>
    <row r="177" spans="12:16" ht="15" customHeight="1" x14ac:dyDescent="0.25">
      <c r="L177" t="str">
        <f>IF(A177="","",SUMIF(DB_Savings!$C:$C,A177,DB_Savings!$F:$F))</f>
        <v/>
      </c>
      <c r="M177" t="str">
        <f>IF(A177="","",SUMIF(DB_Withdrawals!$C:$C,A177,DB_Withdrawals!$G:$G))</f>
        <v/>
      </c>
      <c r="N177" t="str">
        <f t="shared" si="4"/>
        <v/>
      </c>
      <c r="O177" t="str">
        <f t="shared" si="5"/>
        <v/>
      </c>
      <c r="P177" t="str">
        <f>IF(A177="","",MAX(0,N177-System_Config!$B$9))</f>
        <v/>
      </c>
    </row>
    <row r="178" spans="12:16" ht="15" customHeight="1" x14ac:dyDescent="0.25">
      <c r="L178" t="str">
        <f>IF(A178="","",SUMIF(DB_Savings!$C:$C,A178,DB_Savings!$F:$F))</f>
        <v/>
      </c>
      <c r="M178" t="str">
        <f>IF(A178="","",SUMIF(DB_Withdrawals!$C:$C,A178,DB_Withdrawals!$G:$G))</f>
        <v/>
      </c>
      <c r="N178" t="str">
        <f t="shared" si="4"/>
        <v/>
      </c>
      <c r="O178" t="str">
        <f t="shared" si="5"/>
        <v/>
      </c>
      <c r="P178" t="str">
        <f>IF(A178="","",MAX(0,N178-System_Config!$B$9))</f>
        <v/>
      </c>
    </row>
    <row r="179" spans="12:16" ht="15" customHeight="1" x14ac:dyDescent="0.25">
      <c r="L179" t="str">
        <f>IF(A179="","",SUMIF(DB_Savings!$C:$C,A179,DB_Savings!$F:$F))</f>
        <v/>
      </c>
      <c r="M179" t="str">
        <f>IF(A179="","",SUMIF(DB_Withdrawals!$C:$C,A179,DB_Withdrawals!$G:$G))</f>
        <v/>
      </c>
      <c r="N179" t="str">
        <f t="shared" si="4"/>
        <v/>
      </c>
      <c r="O179" t="str">
        <f t="shared" si="5"/>
        <v/>
      </c>
      <c r="P179" t="str">
        <f>IF(A179="","",MAX(0,N179-System_Config!$B$9))</f>
        <v/>
      </c>
    </row>
    <row r="180" spans="12:16" ht="15" customHeight="1" x14ac:dyDescent="0.25">
      <c r="L180" t="str">
        <f>IF(A180="","",SUMIF(DB_Savings!$C:$C,A180,DB_Savings!$F:$F))</f>
        <v/>
      </c>
      <c r="M180" t="str">
        <f>IF(A180="","",SUMIF(DB_Withdrawals!$C:$C,A180,DB_Withdrawals!$G:$G))</f>
        <v/>
      </c>
      <c r="N180" t="str">
        <f t="shared" si="4"/>
        <v/>
      </c>
      <c r="O180" t="str">
        <f t="shared" si="5"/>
        <v/>
      </c>
      <c r="P180" t="str">
        <f>IF(A180="","",MAX(0,N180-System_Config!$B$9))</f>
        <v/>
      </c>
    </row>
    <row r="181" spans="12:16" ht="15" customHeight="1" x14ac:dyDescent="0.25">
      <c r="L181" t="str">
        <f>IF(A181="","",SUMIF(DB_Savings!$C:$C,A181,DB_Savings!$F:$F))</f>
        <v/>
      </c>
      <c r="M181" t="str">
        <f>IF(A181="","",SUMIF(DB_Withdrawals!$C:$C,A181,DB_Withdrawals!$G:$G))</f>
        <v/>
      </c>
      <c r="N181" t="str">
        <f t="shared" si="4"/>
        <v/>
      </c>
      <c r="O181" t="str">
        <f t="shared" si="5"/>
        <v/>
      </c>
      <c r="P181" t="str">
        <f>IF(A181="","",MAX(0,N181-System_Config!$B$9))</f>
        <v/>
      </c>
    </row>
    <row r="182" spans="12:16" ht="15" customHeight="1" x14ac:dyDescent="0.25">
      <c r="L182" t="str">
        <f>IF(A182="","",SUMIF(DB_Savings!$C:$C,A182,DB_Savings!$F:$F))</f>
        <v/>
      </c>
      <c r="M182" t="str">
        <f>IF(A182="","",SUMIF(DB_Withdrawals!$C:$C,A182,DB_Withdrawals!$G:$G))</f>
        <v/>
      </c>
      <c r="N182" t="str">
        <f t="shared" si="4"/>
        <v/>
      </c>
      <c r="O182" t="str">
        <f t="shared" si="5"/>
        <v/>
      </c>
      <c r="P182" t="str">
        <f>IF(A182="","",MAX(0,N182-System_Config!$B$9))</f>
        <v/>
      </c>
    </row>
    <row r="183" spans="12:16" ht="15" customHeight="1" x14ac:dyDescent="0.25">
      <c r="L183" t="str">
        <f>IF(A183="","",SUMIF(DB_Savings!$C:$C,A183,DB_Savings!$F:$F))</f>
        <v/>
      </c>
      <c r="M183" t="str">
        <f>IF(A183="","",SUMIF(DB_Withdrawals!$C:$C,A183,DB_Withdrawals!$G:$G))</f>
        <v/>
      </c>
      <c r="N183" t="str">
        <f t="shared" si="4"/>
        <v/>
      </c>
      <c r="O183" t="str">
        <f t="shared" si="5"/>
        <v/>
      </c>
      <c r="P183" t="str">
        <f>IF(A183="","",MAX(0,N183-System_Config!$B$9))</f>
        <v/>
      </c>
    </row>
    <row r="184" spans="12:16" ht="15" customHeight="1" x14ac:dyDescent="0.25">
      <c r="L184" t="str">
        <f>IF(A184="","",SUMIF(DB_Savings!$C:$C,A184,DB_Savings!$F:$F))</f>
        <v/>
      </c>
      <c r="M184" t="str">
        <f>IF(A184="","",SUMIF(DB_Withdrawals!$C:$C,A184,DB_Withdrawals!$G:$G))</f>
        <v/>
      </c>
      <c r="N184" t="str">
        <f t="shared" si="4"/>
        <v/>
      </c>
      <c r="O184" t="str">
        <f t="shared" si="5"/>
        <v/>
      </c>
      <c r="P184" t="str">
        <f>IF(A184="","",MAX(0,N184-System_Config!$B$9))</f>
        <v/>
      </c>
    </row>
    <row r="185" spans="12:16" ht="15" customHeight="1" x14ac:dyDescent="0.25">
      <c r="L185" t="str">
        <f>IF(A185="","",SUMIF(DB_Savings!$C:$C,A185,DB_Savings!$F:$F))</f>
        <v/>
      </c>
      <c r="M185" t="str">
        <f>IF(A185="","",SUMIF(DB_Withdrawals!$C:$C,A185,DB_Withdrawals!$G:$G))</f>
        <v/>
      </c>
      <c r="N185" t="str">
        <f t="shared" si="4"/>
        <v/>
      </c>
      <c r="O185" t="str">
        <f t="shared" si="5"/>
        <v/>
      </c>
      <c r="P185" t="str">
        <f>IF(A185="","",MAX(0,N185-System_Config!$B$9))</f>
        <v/>
      </c>
    </row>
    <row r="186" spans="12:16" ht="15" customHeight="1" x14ac:dyDescent="0.25">
      <c r="L186" t="str">
        <f>IF(A186="","",SUMIF(DB_Savings!$C:$C,A186,DB_Savings!$F:$F))</f>
        <v/>
      </c>
      <c r="M186" t="str">
        <f>IF(A186="","",SUMIF(DB_Withdrawals!$C:$C,A186,DB_Withdrawals!$G:$G))</f>
        <v/>
      </c>
      <c r="N186" t="str">
        <f t="shared" si="4"/>
        <v/>
      </c>
      <c r="O186" t="str">
        <f t="shared" si="5"/>
        <v/>
      </c>
      <c r="P186" t="str">
        <f>IF(A186="","",MAX(0,N186-System_Config!$B$9))</f>
        <v/>
      </c>
    </row>
    <row r="187" spans="12:16" ht="15" customHeight="1" x14ac:dyDescent="0.25">
      <c r="L187" t="str">
        <f>IF(A187="","",SUMIF(DB_Savings!$C:$C,A187,DB_Savings!$F:$F))</f>
        <v/>
      </c>
      <c r="M187" t="str">
        <f>IF(A187="","",SUMIF(DB_Withdrawals!$C:$C,A187,DB_Withdrawals!$G:$G))</f>
        <v/>
      </c>
      <c r="N187" t="str">
        <f t="shared" si="4"/>
        <v/>
      </c>
      <c r="O187" t="str">
        <f t="shared" si="5"/>
        <v/>
      </c>
      <c r="P187" t="str">
        <f>IF(A187="","",MAX(0,N187-System_Config!$B$9))</f>
        <v/>
      </c>
    </row>
    <row r="188" spans="12:16" ht="15" customHeight="1" x14ac:dyDescent="0.25">
      <c r="L188" t="str">
        <f>IF(A188="","",SUMIF(DB_Savings!$C:$C,A188,DB_Savings!$F:$F))</f>
        <v/>
      </c>
      <c r="M188" t="str">
        <f>IF(A188="","",SUMIF(DB_Withdrawals!$C:$C,A188,DB_Withdrawals!$G:$G))</f>
        <v/>
      </c>
      <c r="N188" t="str">
        <f t="shared" si="4"/>
        <v/>
      </c>
      <c r="O188" t="str">
        <f t="shared" si="5"/>
        <v/>
      </c>
      <c r="P188" t="str">
        <f>IF(A188="","",MAX(0,N188-System_Config!$B$9))</f>
        <v/>
      </c>
    </row>
    <row r="189" spans="12:16" ht="15" customHeight="1" x14ac:dyDescent="0.25">
      <c r="L189" t="str">
        <f>IF(A189="","",SUMIF(DB_Savings!$C:$C,A189,DB_Savings!$F:$F))</f>
        <v/>
      </c>
      <c r="M189" t="str">
        <f>IF(A189="","",SUMIF(DB_Withdrawals!$C:$C,A189,DB_Withdrawals!$G:$G))</f>
        <v/>
      </c>
      <c r="N189" t="str">
        <f t="shared" si="4"/>
        <v/>
      </c>
      <c r="O189" t="str">
        <f t="shared" si="5"/>
        <v/>
      </c>
      <c r="P189" t="str">
        <f>IF(A189="","",MAX(0,N189-System_Config!$B$9))</f>
        <v/>
      </c>
    </row>
    <row r="190" spans="12:16" ht="15" customHeight="1" x14ac:dyDescent="0.25">
      <c r="L190" t="str">
        <f>IF(A190="","",SUMIF(DB_Savings!$C:$C,A190,DB_Savings!$F:$F))</f>
        <v/>
      </c>
      <c r="M190" t="str">
        <f>IF(A190="","",SUMIF(DB_Withdrawals!$C:$C,A190,DB_Withdrawals!$G:$G))</f>
        <v/>
      </c>
      <c r="N190" t="str">
        <f t="shared" si="4"/>
        <v/>
      </c>
      <c r="O190" t="str">
        <f t="shared" si="5"/>
        <v/>
      </c>
      <c r="P190" t="str">
        <f>IF(A190="","",MAX(0,N190-System_Config!$B$9))</f>
        <v/>
      </c>
    </row>
    <row r="191" spans="12:16" ht="15" customHeight="1" x14ac:dyDescent="0.25">
      <c r="L191" t="str">
        <f>IF(A191="","",SUMIF(DB_Savings!$C:$C,A191,DB_Savings!$F:$F))</f>
        <v/>
      </c>
      <c r="M191" t="str">
        <f>IF(A191="","",SUMIF(DB_Withdrawals!$C:$C,A191,DB_Withdrawals!$G:$G))</f>
        <v/>
      </c>
      <c r="N191" t="str">
        <f t="shared" si="4"/>
        <v/>
      </c>
      <c r="O191" t="str">
        <f t="shared" si="5"/>
        <v/>
      </c>
      <c r="P191" t="str">
        <f>IF(A191="","",MAX(0,N191-System_Config!$B$9))</f>
        <v/>
      </c>
    </row>
    <row r="192" spans="12:16" ht="15" customHeight="1" x14ac:dyDescent="0.25">
      <c r="L192" t="str">
        <f>IF(A192="","",SUMIF(DB_Savings!$C:$C,A192,DB_Savings!$F:$F))</f>
        <v/>
      </c>
      <c r="M192" t="str">
        <f>IF(A192="","",SUMIF(DB_Withdrawals!$C:$C,A192,DB_Withdrawals!$G:$G))</f>
        <v/>
      </c>
      <c r="N192" t="str">
        <f t="shared" si="4"/>
        <v/>
      </c>
      <c r="O192" t="str">
        <f t="shared" si="5"/>
        <v/>
      </c>
      <c r="P192" t="str">
        <f>IF(A192="","",MAX(0,N192-System_Config!$B$9))</f>
        <v/>
      </c>
    </row>
    <row r="193" spans="12:16" ht="15" customHeight="1" x14ac:dyDescent="0.25">
      <c r="L193" t="str">
        <f>IF(A193="","",SUMIF(DB_Savings!$C:$C,A193,DB_Savings!$F:$F))</f>
        <v/>
      </c>
      <c r="M193" t="str">
        <f>IF(A193="","",SUMIF(DB_Withdrawals!$C:$C,A193,DB_Withdrawals!$G:$G))</f>
        <v/>
      </c>
      <c r="N193" t="str">
        <f t="shared" si="4"/>
        <v/>
      </c>
      <c r="O193" t="str">
        <f t="shared" si="5"/>
        <v/>
      </c>
      <c r="P193" t="str">
        <f>IF(A193="","",MAX(0,N193-System_Config!$B$9))</f>
        <v/>
      </c>
    </row>
    <row r="194" spans="12:16" ht="15" customHeight="1" x14ac:dyDescent="0.25">
      <c r="L194" t="str">
        <f>IF(A194="","",SUMIF(DB_Savings!$C:$C,A194,DB_Savings!$F:$F))</f>
        <v/>
      </c>
      <c r="M194" t="str">
        <f>IF(A194="","",SUMIF(DB_Withdrawals!$C:$C,A194,DB_Withdrawals!$G:$G))</f>
        <v/>
      </c>
      <c r="N194" t="str">
        <f t="shared" si="4"/>
        <v/>
      </c>
      <c r="O194" t="str">
        <f t="shared" si="5"/>
        <v/>
      </c>
      <c r="P194" t="str">
        <f>IF(A194="","",MAX(0,N194-System_Config!$B$9))</f>
        <v/>
      </c>
    </row>
    <row r="195" spans="12:16" ht="15" customHeight="1" x14ac:dyDescent="0.25">
      <c r="L195" t="str">
        <f>IF(A195="","",SUMIF(DB_Savings!$C:$C,A195,DB_Savings!$F:$F))</f>
        <v/>
      </c>
      <c r="M195" t="str">
        <f>IF(A195="","",SUMIF(DB_Withdrawals!$C:$C,A195,DB_Withdrawals!$G:$G))</f>
        <v/>
      </c>
      <c r="N195" t="str">
        <f t="shared" si="4"/>
        <v/>
      </c>
      <c r="O195" t="str">
        <f t="shared" si="5"/>
        <v/>
      </c>
      <c r="P195" t="str">
        <f>IF(A195="","",MAX(0,N195-System_Config!$B$9))</f>
        <v/>
      </c>
    </row>
    <row r="196" spans="12:16" ht="15" customHeight="1" x14ac:dyDescent="0.25">
      <c r="L196" t="str">
        <f>IF(A196="","",SUMIF(DB_Savings!$C:$C,A196,DB_Savings!$F:$F))</f>
        <v/>
      </c>
      <c r="M196" t="str">
        <f>IF(A196="","",SUMIF(DB_Withdrawals!$C:$C,A196,DB_Withdrawals!$G:$G))</f>
        <v/>
      </c>
      <c r="N196" t="str">
        <f t="shared" ref="N196:N259" si="6">IF(A196="","",I196+L196-M196)</f>
        <v/>
      </c>
      <c r="O196" t="str">
        <f t="shared" ref="O196:O259" si="7">IF(A196="","",TRUE())</f>
        <v/>
      </c>
      <c r="P196" t="str">
        <f>IF(A196="","",MAX(0,N196-System_Config!$B$9))</f>
        <v/>
      </c>
    </row>
    <row r="197" spans="12:16" ht="15" customHeight="1" x14ac:dyDescent="0.25">
      <c r="L197" t="str">
        <f>IF(A197="","",SUMIF(DB_Savings!$C:$C,A197,DB_Savings!$F:$F))</f>
        <v/>
      </c>
      <c r="M197" t="str">
        <f>IF(A197="","",SUMIF(DB_Withdrawals!$C:$C,A197,DB_Withdrawals!$G:$G))</f>
        <v/>
      </c>
      <c r="N197" t="str">
        <f t="shared" si="6"/>
        <v/>
      </c>
      <c r="O197" t="str">
        <f t="shared" si="7"/>
        <v/>
      </c>
      <c r="P197" t="str">
        <f>IF(A197="","",MAX(0,N197-System_Config!$B$9))</f>
        <v/>
      </c>
    </row>
    <row r="198" spans="12:16" ht="15" customHeight="1" x14ac:dyDescent="0.25">
      <c r="L198" t="str">
        <f>IF(A198="","",SUMIF(DB_Savings!$C:$C,A198,DB_Savings!$F:$F))</f>
        <v/>
      </c>
      <c r="M198" t="str">
        <f>IF(A198="","",SUMIF(DB_Withdrawals!$C:$C,A198,DB_Withdrawals!$G:$G))</f>
        <v/>
      </c>
      <c r="N198" t="str">
        <f t="shared" si="6"/>
        <v/>
      </c>
      <c r="O198" t="str">
        <f t="shared" si="7"/>
        <v/>
      </c>
      <c r="P198" t="str">
        <f>IF(A198="","",MAX(0,N198-System_Config!$B$9))</f>
        <v/>
      </c>
    </row>
    <row r="199" spans="12:16" ht="15" customHeight="1" x14ac:dyDescent="0.25">
      <c r="L199" t="str">
        <f>IF(A199="","",SUMIF(DB_Savings!$C:$C,A199,DB_Savings!$F:$F))</f>
        <v/>
      </c>
      <c r="M199" t="str">
        <f>IF(A199="","",SUMIF(DB_Withdrawals!$C:$C,A199,DB_Withdrawals!$G:$G))</f>
        <v/>
      </c>
      <c r="N199" t="str">
        <f t="shared" si="6"/>
        <v/>
      </c>
      <c r="O199" t="str">
        <f t="shared" si="7"/>
        <v/>
      </c>
      <c r="P199" t="str">
        <f>IF(A199="","",MAX(0,N199-System_Config!$B$9))</f>
        <v/>
      </c>
    </row>
    <row r="200" spans="12:16" ht="15" customHeight="1" x14ac:dyDescent="0.25">
      <c r="L200" t="str">
        <f>IF(A200="","",SUMIF(DB_Savings!$C:$C,A200,DB_Savings!$F:$F))</f>
        <v/>
      </c>
      <c r="M200" t="str">
        <f>IF(A200="","",SUMIF(DB_Withdrawals!$C:$C,A200,DB_Withdrawals!$G:$G))</f>
        <v/>
      </c>
      <c r="N200" t="str">
        <f t="shared" si="6"/>
        <v/>
      </c>
      <c r="O200" t="str">
        <f t="shared" si="7"/>
        <v/>
      </c>
      <c r="P200" t="str">
        <f>IF(A200="","",MAX(0,N200-System_Config!$B$9))</f>
        <v/>
      </c>
    </row>
    <row r="201" spans="12:16" ht="15" customHeight="1" x14ac:dyDescent="0.25">
      <c r="L201" t="str">
        <f>IF(A201="","",SUMIF(DB_Savings!$C:$C,A201,DB_Savings!$F:$F))</f>
        <v/>
      </c>
      <c r="M201" t="str">
        <f>IF(A201="","",SUMIF(DB_Withdrawals!$C:$C,A201,DB_Withdrawals!$G:$G))</f>
        <v/>
      </c>
      <c r="N201" t="str">
        <f t="shared" si="6"/>
        <v/>
      </c>
      <c r="O201" t="str">
        <f t="shared" si="7"/>
        <v/>
      </c>
      <c r="P201" t="str">
        <f>IF(A201="","",MAX(0,N201-System_Config!$B$9))</f>
        <v/>
      </c>
    </row>
    <row r="202" spans="12:16" ht="15" customHeight="1" x14ac:dyDescent="0.25">
      <c r="L202" t="str">
        <f>IF(A202="","",SUMIF(DB_Savings!$C:$C,A202,DB_Savings!$F:$F))</f>
        <v/>
      </c>
      <c r="M202" t="str">
        <f>IF(A202="","",SUMIF(DB_Withdrawals!$C:$C,A202,DB_Withdrawals!$G:$G))</f>
        <v/>
      </c>
      <c r="N202" t="str">
        <f t="shared" si="6"/>
        <v/>
      </c>
      <c r="O202" t="str">
        <f t="shared" si="7"/>
        <v/>
      </c>
      <c r="P202" t="str">
        <f>IF(A202="","",MAX(0,N202-System_Config!$B$9))</f>
        <v/>
      </c>
    </row>
    <row r="203" spans="12:16" ht="15" customHeight="1" x14ac:dyDescent="0.25">
      <c r="L203" t="str">
        <f>IF(A203="","",SUMIF(DB_Savings!$C:$C,A203,DB_Savings!$F:$F))</f>
        <v/>
      </c>
      <c r="M203" t="str">
        <f>IF(A203="","",SUMIF(DB_Withdrawals!$C:$C,A203,DB_Withdrawals!$G:$G))</f>
        <v/>
      </c>
      <c r="N203" t="str">
        <f t="shared" si="6"/>
        <v/>
      </c>
      <c r="O203" t="str">
        <f t="shared" si="7"/>
        <v/>
      </c>
      <c r="P203" t="str">
        <f>IF(A203="","",MAX(0,N203-System_Config!$B$9))</f>
        <v/>
      </c>
    </row>
    <row r="204" spans="12:16" ht="15" customHeight="1" x14ac:dyDescent="0.25">
      <c r="L204" t="str">
        <f>IF(A204="","",SUMIF(DB_Savings!$C:$C,A204,DB_Savings!$F:$F))</f>
        <v/>
      </c>
      <c r="M204" t="str">
        <f>IF(A204="","",SUMIF(DB_Withdrawals!$C:$C,A204,DB_Withdrawals!$G:$G))</f>
        <v/>
      </c>
      <c r="N204" t="str">
        <f t="shared" si="6"/>
        <v/>
      </c>
      <c r="O204" t="str">
        <f t="shared" si="7"/>
        <v/>
      </c>
      <c r="P204" t="str">
        <f>IF(A204="","",MAX(0,N204-System_Config!$B$9))</f>
        <v/>
      </c>
    </row>
    <row r="205" spans="12:16" ht="15" customHeight="1" x14ac:dyDescent="0.25">
      <c r="L205" t="str">
        <f>IF(A205="","",SUMIF(DB_Savings!$C:$C,A205,DB_Savings!$F:$F))</f>
        <v/>
      </c>
      <c r="M205" t="str">
        <f>IF(A205="","",SUMIF(DB_Withdrawals!$C:$C,A205,DB_Withdrawals!$G:$G))</f>
        <v/>
      </c>
      <c r="N205" t="str">
        <f t="shared" si="6"/>
        <v/>
      </c>
      <c r="O205" t="str">
        <f t="shared" si="7"/>
        <v/>
      </c>
      <c r="P205" t="str">
        <f>IF(A205="","",MAX(0,N205-System_Config!$B$9))</f>
        <v/>
      </c>
    </row>
    <row r="206" spans="12:16" ht="15" customHeight="1" x14ac:dyDescent="0.25">
      <c r="L206" t="str">
        <f>IF(A206="","",SUMIF(DB_Savings!$C:$C,A206,DB_Savings!$F:$F))</f>
        <v/>
      </c>
      <c r="M206" t="str">
        <f>IF(A206="","",SUMIF(DB_Withdrawals!$C:$C,A206,DB_Withdrawals!$G:$G))</f>
        <v/>
      </c>
      <c r="N206" t="str">
        <f t="shared" si="6"/>
        <v/>
      </c>
      <c r="O206" t="str">
        <f t="shared" si="7"/>
        <v/>
      </c>
      <c r="P206" t="str">
        <f>IF(A206="","",MAX(0,N206-System_Config!$B$9))</f>
        <v/>
      </c>
    </row>
    <row r="207" spans="12:16" ht="15" customHeight="1" x14ac:dyDescent="0.25">
      <c r="L207" t="str">
        <f>IF(A207="","",SUMIF(DB_Savings!$C:$C,A207,DB_Savings!$F:$F))</f>
        <v/>
      </c>
      <c r="M207" t="str">
        <f>IF(A207="","",SUMIF(DB_Withdrawals!$C:$C,A207,DB_Withdrawals!$G:$G))</f>
        <v/>
      </c>
      <c r="N207" t="str">
        <f t="shared" si="6"/>
        <v/>
      </c>
      <c r="O207" t="str">
        <f t="shared" si="7"/>
        <v/>
      </c>
      <c r="P207" t="str">
        <f>IF(A207="","",MAX(0,N207-System_Config!$B$9))</f>
        <v/>
      </c>
    </row>
    <row r="208" spans="12:16" ht="15" customHeight="1" x14ac:dyDescent="0.25">
      <c r="L208" t="str">
        <f>IF(A208="","",SUMIF(DB_Savings!$C:$C,A208,DB_Savings!$F:$F))</f>
        <v/>
      </c>
      <c r="M208" t="str">
        <f>IF(A208="","",SUMIF(DB_Withdrawals!$C:$C,A208,DB_Withdrawals!$G:$G))</f>
        <v/>
      </c>
      <c r="N208" t="str">
        <f t="shared" si="6"/>
        <v/>
      </c>
      <c r="O208" t="str">
        <f t="shared" si="7"/>
        <v/>
      </c>
      <c r="P208" t="str">
        <f>IF(A208="","",MAX(0,N208-System_Config!$B$9))</f>
        <v/>
      </c>
    </row>
    <row r="209" spans="12:16" ht="15" customHeight="1" x14ac:dyDescent="0.25">
      <c r="L209" t="str">
        <f>IF(A209="","",SUMIF(DB_Savings!$C:$C,A209,DB_Savings!$F:$F))</f>
        <v/>
      </c>
      <c r="M209" t="str">
        <f>IF(A209="","",SUMIF(DB_Withdrawals!$C:$C,A209,DB_Withdrawals!$G:$G))</f>
        <v/>
      </c>
      <c r="N209" t="str">
        <f t="shared" si="6"/>
        <v/>
      </c>
      <c r="O209" t="str">
        <f t="shared" si="7"/>
        <v/>
      </c>
      <c r="P209" t="str">
        <f>IF(A209="","",MAX(0,N209-System_Config!$B$9))</f>
        <v/>
      </c>
    </row>
    <row r="210" spans="12:16" ht="15" customHeight="1" x14ac:dyDescent="0.25">
      <c r="L210" t="str">
        <f>IF(A210="","",SUMIF(DB_Savings!$C:$C,A210,DB_Savings!$F:$F))</f>
        <v/>
      </c>
      <c r="M210" t="str">
        <f>IF(A210="","",SUMIF(DB_Withdrawals!$C:$C,A210,DB_Withdrawals!$G:$G))</f>
        <v/>
      </c>
      <c r="N210" t="str">
        <f t="shared" si="6"/>
        <v/>
      </c>
      <c r="O210" t="str">
        <f t="shared" si="7"/>
        <v/>
      </c>
      <c r="P210" t="str">
        <f>IF(A210="","",MAX(0,N210-System_Config!$B$9))</f>
        <v/>
      </c>
    </row>
    <row r="211" spans="12:16" ht="15" customHeight="1" x14ac:dyDescent="0.25">
      <c r="L211" t="str">
        <f>IF(A211="","",SUMIF(DB_Savings!$C:$C,A211,DB_Savings!$F:$F))</f>
        <v/>
      </c>
      <c r="M211" t="str">
        <f>IF(A211="","",SUMIF(DB_Withdrawals!$C:$C,A211,DB_Withdrawals!$G:$G))</f>
        <v/>
      </c>
      <c r="N211" t="str">
        <f t="shared" si="6"/>
        <v/>
      </c>
      <c r="O211" t="str">
        <f t="shared" si="7"/>
        <v/>
      </c>
      <c r="P211" t="str">
        <f>IF(A211="","",MAX(0,N211-System_Config!$B$9))</f>
        <v/>
      </c>
    </row>
    <row r="212" spans="12:16" ht="15" customHeight="1" x14ac:dyDescent="0.25">
      <c r="L212" t="str">
        <f>IF(A212="","",SUMIF(DB_Savings!$C:$C,A212,DB_Savings!$F:$F))</f>
        <v/>
      </c>
      <c r="M212" t="str">
        <f>IF(A212="","",SUMIF(DB_Withdrawals!$C:$C,A212,DB_Withdrawals!$G:$G))</f>
        <v/>
      </c>
      <c r="N212" t="str">
        <f t="shared" si="6"/>
        <v/>
      </c>
      <c r="O212" t="str">
        <f t="shared" si="7"/>
        <v/>
      </c>
      <c r="P212" t="str">
        <f>IF(A212="","",MAX(0,N212-System_Config!$B$9))</f>
        <v/>
      </c>
    </row>
    <row r="213" spans="12:16" ht="15" customHeight="1" x14ac:dyDescent="0.25">
      <c r="L213" t="str">
        <f>IF(A213="","",SUMIF(DB_Savings!$C:$C,A213,DB_Savings!$F:$F))</f>
        <v/>
      </c>
      <c r="M213" t="str">
        <f>IF(A213="","",SUMIF(DB_Withdrawals!$C:$C,A213,DB_Withdrawals!$G:$G))</f>
        <v/>
      </c>
      <c r="N213" t="str">
        <f t="shared" si="6"/>
        <v/>
      </c>
      <c r="O213" t="str">
        <f t="shared" si="7"/>
        <v/>
      </c>
      <c r="P213" t="str">
        <f>IF(A213="","",MAX(0,N213-System_Config!$B$9))</f>
        <v/>
      </c>
    </row>
    <row r="214" spans="12:16" ht="15" customHeight="1" x14ac:dyDescent="0.25">
      <c r="L214" t="str">
        <f>IF(A214="","",SUMIF(DB_Savings!$C:$C,A214,DB_Savings!$F:$F))</f>
        <v/>
      </c>
      <c r="M214" t="str">
        <f>IF(A214="","",SUMIF(DB_Withdrawals!$C:$C,A214,DB_Withdrawals!$G:$G))</f>
        <v/>
      </c>
      <c r="N214" t="str">
        <f t="shared" si="6"/>
        <v/>
      </c>
      <c r="O214" t="str">
        <f t="shared" si="7"/>
        <v/>
      </c>
      <c r="P214" t="str">
        <f>IF(A214="","",MAX(0,N214-System_Config!$B$9))</f>
        <v/>
      </c>
    </row>
    <row r="215" spans="12:16" ht="15" customHeight="1" x14ac:dyDescent="0.25">
      <c r="L215" t="str">
        <f>IF(A215="","",SUMIF(DB_Savings!$C:$C,A215,DB_Savings!$F:$F))</f>
        <v/>
      </c>
      <c r="M215" t="str">
        <f>IF(A215="","",SUMIF(DB_Withdrawals!$C:$C,A215,DB_Withdrawals!$G:$G))</f>
        <v/>
      </c>
      <c r="N215" t="str">
        <f t="shared" si="6"/>
        <v/>
      </c>
      <c r="O215" t="str">
        <f t="shared" si="7"/>
        <v/>
      </c>
      <c r="P215" t="str">
        <f>IF(A215="","",MAX(0,N215-System_Config!$B$9))</f>
        <v/>
      </c>
    </row>
    <row r="216" spans="12:16" ht="15" customHeight="1" x14ac:dyDescent="0.25">
      <c r="L216" t="str">
        <f>IF(A216="","",SUMIF(DB_Savings!$C:$C,A216,DB_Savings!$F:$F))</f>
        <v/>
      </c>
      <c r="M216" t="str">
        <f>IF(A216="","",SUMIF(DB_Withdrawals!$C:$C,A216,DB_Withdrawals!$G:$G))</f>
        <v/>
      </c>
      <c r="N216" t="str">
        <f t="shared" si="6"/>
        <v/>
      </c>
      <c r="O216" t="str">
        <f t="shared" si="7"/>
        <v/>
      </c>
      <c r="P216" t="str">
        <f>IF(A216="","",MAX(0,N216-System_Config!$B$9))</f>
        <v/>
      </c>
    </row>
    <row r="217" spans="12:16" ht="15" customHeight="1" x14ac:dyDescent="0.25">
      <c r="L217" t="str">
        <f>IF(A217="","",SUMIF(DB_Savings!$C:$C,A217,DB_Savings!$F:$F))</f>
        <v/>
      </c>
      <c r="M217" t="str">
        <f>IF(A217="","",SUMIF(DB_Withdrawals!$C:$C,A217,DB_Withdrawals!$G:$G))</f>
        <v/>
      </c>
      <c r="N217" t="str">
        <f t="shared" si="6"/>
        <v/>
      </c>
      <c r="O217" t="str">
        <f t="shared" si="7"/>
        <v/>
      </c>
      <c r="P217" t="str">
        <f>IF(A217="","",MAX(0,N217-System_Config!$B$9))</f>
        <v/>
      </c>
    </row>
    <row r="218" spans="12:16" ht="15" customHeight="1" x14ac:dyDescent="0.25">
      <c r="L218" t="str">
        <f>IF(A218="","",SUMIF(DB_Savings!$C:$C,A218,DB_Savings!$F:$F))</f>
        <v/>
      </c>
      <c r="M218" t="str">
        <f>IF(A218="","",SUMIF(DB_Withdrawals!$C:$C,A218,DB_Withdrawals!$G:$G))</f>
        <v/>
      </c>
      <c r="N218" t="str">
        <f t="shared" si="6"/>
        <v/>
      </c>
      <c r="O218" t="str">
        <f t="shared" si="7"/>
        <v/>
      </c>
      <c r="P218" t="str">
        <f>IF(A218="","",MAX(0,N218-System_Config!$B$9))</f>
        <v/>
      </c>
    </row>
    <row r="219" spans="12:16" ht="15" customHeight="1" x14ac:dyDescent="0.25">
      <c r="L219" t="str">
        <f>IF(A219="","",SUMIF(DB_Savings!$C:$C,A219,DB_Savings!$F:$F))</f>
        <v/>
      </c>
      <c r="M219" t="str">
        <f>IF(A219="","",SUMIF(DB_Withdrawals!$C:$C,A219,DB_Withdrawals!$G:$G))</f>
        <v/>
      </c>
      <c r="N219" t="str">
        <f t="shared" si="6"/>
        <v/>
      </c>
      <c r="O219" t="str">
        <f t="shared" si="7"/>
        <v/>
      </c>
      <c r="P219" t="str">
        <f>IF(A219="","",MAX(0,N219-System_Config!$B$9))</f>
        <v/>
      </c>
    </row>
    <row r="220" spans="12:16" ht="15" customHeight="1" x14ac:dyDescent="0.25">
      <c r="L220" t="str">
        <f>IF(A220="","",SUMIF(DB_Savings!$C:$C,A220,DB_Savings!$F:$F))</f>
        <v/>
      </c>
      <c r="M220" t="str">
        <f>IF(A220="","",SUMIF(DB_Withdrawals!$C:$C,A220,DB_Withdrawals!$G:$G))</f>
        <v/>
      </c>
      <c r="N220" t="str">
        <f t="shared" si="6"/>
        <v/>
      </c>
      <c r="O220" t="str">
        <f t="shared" si="7"/>
        <v/>
      </c>
      <c r="P220" t="str">
        <f>IF(A220="","",MAX(0,N220-System_Config!$B$9))</f>
        <v/>
      </c>
    </row>
    <row r="221" spans="12:16" ht="15" customHeight="1" x14ac:dyDescent="0.25">
      <c r="L221" t="str">
        <f>IF(A221="","",SUMIF(DB_Savings!$C:$C,A221,DB_Savings!$F:$F))</f>
        <v/>
      </c>
      <c r="M221" t="str">
        <f>IF(A221="","",SUMIF(DB_Withdrawals!$C:$C,A221,DB_Withdrawals!$G:$G))</f>
        <v/>
      </c>
      <c r="N221" t="str">
        <f t="shared" si="6"/>
        <v/>
      </c>
      <c r="O221" t="str">
        <f t="shared" si="7"/>
        <v/>
      </c>
      <c r="P221" t="str">
        <f>IF(A221="","",MAX(0,N221-System_Config!$B$9))</f>
        <v/>
      </c>
    </row>
    <row r="222" spans="12:16" ht="15" customHeight="1" x14ac:dyDescent="0.25">
      <c r="L222" t="str">
        <f>IF(A222="","",SUMIF(DB_Savings!$C:$C,A222,DB_Savings!$F:$F))</f>
        <v/>
      </c>
      <c r="M222" t="str">
        <f>IF(A222="","",SUMIF(DB_Withdrawals!$C:$C,A222,DB_Withdrawals!$G:$G))</f>
        <v/>
      </c>
      <c r="N222" t="str">
        <f t="shared" si="6"/>
        <v/>
      </c>
      <c r="O222" t="str">
        <f t="shared" si="7"/>
        <v/>
      </c>
      <c r="P222" t="str">
        <f>IF(A222="","",MAX(0,N222-System_Config!$B$9))</f>
        <v/>
      </c>
    </row>
    <row r="223" spans="12:16" ht="15" customHeight="1" x14ac:dyDescent="0.25">
      <c r="L223" t="str">
        <f>IF(A223="","",SUMIF(DB_Savings!$C:$C,A223,DB_Savings!$F:$F))</f>
        <v/>
      </c>
      <c r="M223" t="str">
        <f>IF(A223="","",SUMIF(DB_Withdrawals!$C:$C,A223,DB_Withdrawals!$G:$G))</f>
        <v/>
      </c>
      <c r="N223" t="str">
        <f t="shared" si="6"/>
        <v/>
      </c>
      <c r="O223" t="str">
        <f t="shared" si="7"/>
        <v/>
      </c>
      <c r="P223" t="str">
        <f>IF(A223="","",MAX(0,N223-System_Config!$B$9))</f>
        <v/>
      </c>
    </row>
    <row r="224" spans="12:16" ht="15" customHeight="1" x14ac:dyDescent="0.25">
      <c r="L224" t="str">
        <f>IF(A224="","",SUMIF(DB_Savings!$C:$C,A224,DB_Savings!$F:$F))</f>
        <v/>
      </c>
      <c r="M224" t="str">
        <f>IF(A224="","",SUMIF(DB_Withdrawals!$C:$C,A224,DB_Withdrawals!$G:$G))</f>
        <v/>
      </c>
      <c r="N224" t="str">
        <f t="shared" si="6"/>
        <v/>
      </c>
      <c r="O224" t="str">
        <f t="shared" si="7"/>
        <v/>
      </c>
      <c r="P224" t="str">
        <f>IF(A224="","",MAX(0,N224-System_Config!$B$9))</f>
        <v/>
      </c>
    </row>
    <row r="225" spans="12:16" ht="15" customHeight="1" x14ac:dyDescent="0.25">
      <c r="L225" t="str">
        <f>IF(A225="","",SUMIF(DB_Savings!$C:$C,A225,DB_Savings!$F:$F))</f>
        <v/>
      </c>
      <c r="M225" t="str">
        <f>IF(A225="","",SUMIF(DB_Withdrawals!$C:$C,A225,DB_Withdrawals!$G:$G))</f>
        <v/>
      </c>
      <c r="N225" t="str">
        <f t="shared" si="6"/>
        <v/>
      </c>
      <c r="O225" t="str">
        <f t="shared" si="7"/>
        <v/>
      </c>
      <c r="P225" t="str">
        <f>IF(A225="","",MAX(0,N225-System_Config!$B$9))</f>
        <v/>
      </c>
    </row>
    <row r="226" spans="12:16" ht="15" customHeight="1" x14ac:dyDescent="0.25">
      <c r="L226" t="str">
        <f>IF(A226="","",SUMIF(DB_Savings!$C:$C,A226,DB_Savings!$F:$F))</f>
        <v/>
      </c>
      <c r="M226" t="str">
        <f>IF(A226="","",SUMIF(DB_Withdrawals!$C:$C,A226,DB_Withdrawals!$G:$G))</f>
        <v/>
      </c>
      <c r="N226" t="str">
        <f t="shared" si="6"/>
        <v/>
      </c>
      <c r="O226" t="str">
        <f t="shared" si="7"/>
        <v/>
      </c>
      <c r="P226" t="str">
        <f>IF(A226="","",MAX(0,N226-System_Config!$B$9))</f>
        <v/>
      </c>
    </row>
    <row r="227" spans="12:16" ht="15" customHeight="1" x14ac:dyDescent="0.25">
      <c r="L227" t="str">
        <f>IF(A227="","",SUMIF(DB_Savings!$C:$C,A227,DB_Savings!$F:$F))</f>
        <v/>
      </c>
      <c r="M227" t="str">
        <f>IF(A227="","",SUMIF(DB_Withdrawals!$C:$C,A227,DB_Withdrawals!$G:$G))</f>
        <v/>
      </c>
      <c r="N227" t="str">
        <f t="shared" si="6"/>
        <v/>
      </c>
      <c r="O227" t="str">
        <f t="shared" si="7"/>
        <v/>
      </c>
      <c r="P227" t="str">
        <f>IF(A227="","",MAX(0,N227-System_Config!$B$9))</f>
        <v/>
      </c>
    </row>
    <row r="228" spans="12:16" ht="15" customHeight="1" x14ac:dyDescent="0.25">
      <c r="L228" t="str">
        <f>IF(A228="","",SUMIF(DB_Savings!$C:$C,A228,DB_Savings!$F:$F))</f>
        <v/>
      </c>
      <c r="M228" t="str">
        <f>IF(A228="","",SUMIF(DB_Withdrawals!$C:$C,A228,DB_Withdrawals!$G:$G))</f>
        <v/>
      </c>
      <c r="N228" t="str">
        <f t="shared" si="6"/>
        <v/>
      </c>
      <c r="O228" t="str">
        <f t="shared" si="7"/>
        <v/>
      </c>
      <c r="P228" t="str">
        <f>IF(A228="","",MAX(0,N228-System_Config!$B$9))</f>
        <v/>
      </c>
    </row>
    <row r="229" spans="12:16" ht="15" customHeight="1" x14ac:dyDescent="0.25">
      <c r="L229" t="str">
        <f>IF(A229="","",SUMIF(DB_Savings!$C:$C,A229,DB_Savings!$F:$F))</f>
        <v/>
      </c>
      <c r="M229" t="str">
        <f>IF(A229="","",SUMIF(DB_Withdrawals!$C:$C,A229,DB_Withdrawals!$G:$G))</f>
        <v/>
      </c>
      <c r="N229" t="str">
        <f t="shared" si="6"/>
        <v/>
      </c>
      <c r="O229" t="str">
        <f t="shared" si="7"/>
        <v/>
      </c>
      <c r="P229" t="str">
        <f>IF(A229="","",MAX(0,N229-System_Config!$B$9))</f>
        <v/>
      </c>
    </row>
    <row r="230" spans="12:16" ht="15" customHeight="1" x14ac:dyDescent="0.25">
      <c r="L230" t="str">
        <f>IF(A230="","",SUMIF(DB_Savings!$C:$C,A230,DB_Savings!$F:$F))</f>
        <v/>
      </c>
      <c r="M230" t="str">
        <f>IF(A230="","",SUMIF(DB_Withdrawals!$C:$C,A230,DB_Withdrawals!$G:$G))</f>
        <v/>
      </c>
      <c r="N230" t="str">
        <f t="shared" si="6"/>
        <v/>
      </c>
      <c r="O230" t="str">
        <f t="shared" si="7"/>
        <v/>
      </c>
      <c r="P230" t="str">
        <f>IF(A230="","",MAX(0,N230-System_Config!$B$9))</f>
        <v/>
      </c>
    </row>
    <row r="231" spans="12:16" ht="15" customHeight="1" x14ac:dyDescent="0.25">
      <c r="L231" t="str">
        <f>IF(A231="","",SUMIF(DB_Savings!$C:$C,A231,DB_Savings!$F:$F))</f>
        <v/>
      </c>
      <c r="M231" t="str">
        <f>IF(A231="","",SUMIF(DB_Withdrawals!$C:$C,A231,DB_Withdrawals!$G:$G))</f>
        <v/>
      </c>
      <c r="N231" t="str">
        <f t="shared" si="6"/>
        <v/>
      </c>
      <c r="O231" t="str">
        <f t="shared" si="7"/>
        <v/>
      </c>
      <c r="P231" t="str">
        <f>IF(A231="","",MAX(0,N231-System_Config!$B$9))</f>
        <v/>
      </c>
    </row>
    <row r="232" spans="12:16" ht="15" customHeight="1" x14ac:dyDescent="0.25">
      <c r="L232" t="str">
        <f>IF(A232="","",SUMIF(DB_Savings!$C:$C,A232,DB_Savings!$F:$F))</f>
        <v/>
      </c>
      <c r="M232" t="str">
        <f>IF(A232="","",SUMIF(DB_Withdrawals!$C:$C,A232,DB_Withdrawals!$G:$G))</f>
        <v/>
      </c>
      <c r="N232" t="str">
        <f t="shared" si="6"/>
        <v/>
      </c>
      <c r="O232" t="str">
        <f t="shared" si="7"/>
        <v/>
      </c>
      <c r="P232" t="str">
        <f>IF(A232="","",MAX(0,N232-System_Config!$B$9))</f>
        <v/>
      </c>
    </row>
    <row r="233" spans="12:16" ht="15" customHeight="1" x14ac:dyDescent="0.25">
      <c r="L233" t="str">
        <f>IF(A233="","",SUMIF(DB_Savings!$C:$C,A233,DB_Savings!$F:$F))</f>
        <v/>
      </c>
      <c r="M233" t="str">
        <f>IF(A233="","",SUMIF(DB_Withdrawals!$C:$C,A233,DB_Withdrawals!$G:$G))</f>
        <v/>
      </c>
      <c r="N233" t="str">
        <f t="shared" si="6"/>
        <v/>
      </c>
      <c r="O233" t="str">
        <f t="shared" si="7"/>
        <v/>
      </c>
      <c r="P233" t="str">
        <f>IF(A233="","",MAX(0,N233-System_Config!$B$9))</f>
        <v/>
      </c>
    </row>
    <row r="234" spans="12:16" ht="15" customHeight="1" x14ac:dyDescent="0.25">
      <c r="L234" t="str">
        <f>IF(A234="","",SUMIF(DB_Savings!$C:$C,A234,DB_Savings!$F:$F))</f>
        <v/>
      </c>
      <c r="M234" t="str">
        <f>IF(A234="","",SUMIF(DB_Withdrawals!$C:$C,A234,DB_Withdrawals!$G:$G))</f>
        <v/>
      </c>
      <c r="N234" t="str">
        <f t="shared" si="6"/>
        <v/>
      </c>
      <c r="O234" t="str">
        <f t="shared" si="7"/>
        <v/>
      </c>
      <c r="P234" t="str">
        <f>IF(A234="","",MAX(0,N234-System_Config!$B$9))</f>
        <v/>
      </c>
    </row>
    <row r="235" spans="12:16" ht="15" customHeight="1" x14ac:dyDescent="0.25">
      <c r="L235" t="str">
        <f>IF(A235="","",SUMIF(DB_Savings!$C:$C,A235,DB_Savings!$F:$F))</f>
        <v/>
      </c>
      <c r="M235" t="str">
        <f>IF(A235="","",SUMIF(DB_Withdrawals!$C:$C,A235,DB_Withdrawals!$G:$G))</f>
        <v/>
      </c>
      <c r="N235" t="str">
        <f t="shared" si="6"/>
        <v/>
      </c>
      <c r="O235" t="str">
        <f t="shared" si="7"/>
        <v/>
      </c>
      <c r="P235" t="str">
        <f>IF(A235="","",MAX(0,N235-System_Config!$B$9))</f>
        <v/>
      </c>
    </row>
    <row r="236" spans="12:16" ht="15" customHeight="1" x14ac:dyDescent="0.25">
      <c r="L236" t="str">
        <f>IF(A236="","",SUMIF(DB_Savings!$C:$C,A236,DB_Savings!$F:$F))</f>
        <v/>
      </c>
      <c r="M236" t="str">
        <f>IF(A236="","",SUMIF(DB_Withdrawals!$C:$C,A236,DB_Withdrawals!$G:$G))</f>
        <v/>
      </c>
      <c r="N236" t="str">
        <f t="shared" si="6"/>
        <v/>
      </c>
      <c r="O236" t="str">
        <f t="shared" si="7"/>
        <v/>
      </c>
      <c r="P236" t="str">
        <f>IF(A236="","",MAX(0,N236-System_Config!$B$9))</f>
        <v/>
      </c>
    </row>
    <row r="237" spans="12:16" ht="15" customHeight="1" x14ac:dyDescent="0.25">
      <c r="L237" t="str">
        <f>IF(A237="","",SUMIF(DB_Savings!$C:$C,A237,DB_Savings!$F:$F))</f>
        <v/>
      </c>
      <c r="M237" t="str">
        <f>IF(A237="","",SUMIF(DB_Withdrawals!$C:$C,A237,DB_Withdrawals!$G:$G))</f>
        <v/>
      </c>
      <c r="N237" t="str">
        <f t="shared" si="6"/>
        <v/>
      </c>
      <c r="O237" t="str">
        <f t="shared" si="7"/>
        <v/>
      </c>
      <c r="P237" t="str">
        <f>IF(A237="","",MAX(0,N237-System_Config!$B$9))</f>
        <v/>
      </c>
    </row>
    <row r="238" spans="12:16" ht="15" customHeight="1" x14ac:dyDescent="0.25">
      <c r="L238" t="str">
        <f>IF(A238="","",SUMIF(DB_Savings!$C:$C,A238,DB_Savings!$F:$F))</f>
        <v/>
      </c>
      <c r="M238" t="str">
        <f>IF(A238="","",SUMIF(DB_Withdrawals!$C:$C,A238,DB_Withdrawals!$G:$G))</f>
        <v/>
      </c>
      <c r="N238" t="str">
        <f t="shared" si="6"/>
        <v/>
      </c>
      <c r="O238" t="str">
        <f t="shared" si="7"/>
        <v/>
      </c>
      <c r="P238" t="str">
        <f>IF(A238="","",MAX(0,N238-System_Config!$B$9))</f>
        <v/>
      </c>
    </row>
    <row r="239" spans="12:16" ht="15" customHeight="1" x14ac:dyDescent="0.25">
      <c r="L239" t="str">
        <f>IF(A239="","",SUMIF(DB_Savings!$C:$C,A239,DB_Savings!$F:$F))</f>
        <v/>
      </c>
      <c r="M239" t="str">
        <f>IF(A239="","",SUMIF(DB_Withdrawals!$C:$C,A239,DB_Withdrawals!$G:$G))</f>
        <v/>
      </c>
      <c r="N239" t="str">
        <f t="shared" si="6"/>
        <v/>
      </c>
      <c r="O239" t="str">
        <f t="shared" si="7"/>
        <v/>
      </c>
      <c r="P239" t="str">
        <f>IF(A239="","",MAX(0,N239-System_Config!$B$9))</f>
        <v/>
      </c>
    </row>
    <row r="240" spans="12:16" ht="15" customHeight="1" x14ac:dyDescent="0.25">
      <c r="L240" t="str">
        <f>IF(A240="","",SUMIF(DB_Savings!$C:$C,A240,DB_Savings!$F:$F))</f>
        <v/>
      </c>
      <c r="M240" t="str">
        <f>IF(A240="","",SUMIF(DB_Withdrawals!$C:$C,A240,DB_Withdrawals!$G:$G))</f>
        <v/>
      </c>
      <c r="N240" t="str">
        <f t="shared" si="6"/>
        <v/>
      </c>
      <c r="O240" t="str">
        <f t="shared" si="7"/>
        <v/>
      </c>
      <c r="P240" t="str">
        <f>IF(A240="","",MAX(0,N240-System_Config!$B$9))</f>
        <v/>
      </c>
    </row>
    <row r="241" spans="12:16" ht="15" customHeight="1" x14ac:dyDescent="0.25">
      <c r="L241" t="str">
        <f>IF(A241="","",SUMIF(DB_Savings!$C:$C,A241,DB_Savings!$F:$F))</f>
        <v/>
      </c>
      <c r="M241" t="str">
        <f>IF(A241="","",SUMIF(DB_Withdrawals!$C:$C,A241,DB_Withdrawals!$G:$G))</f>
        <v/>
      </c>
      <c r="N241" t="str">
        <f t="shared" si="6"/>
        <v/>
      </c>
      <c r="O241" t="str">
        <f t="shared" si="7"/>
        <v/>
      </c>
      <c r="P241" t="str">
        <f>IF(A241="","",MAX(0,N241-System_Config!$B$9))</f>
        <v/>
      </c>
    </row>
    <row r="242" spans="12:16" ht="15" customHeight="1" x14ac:dyDescent="0.25">
      <c r="L242" t="str">
        <f>IF(A242="","",SUMIF(DB_Savings!$C:$C,A242,DB_Savings!$F:$F))</f>
        <v/>
      </c>
      <c r="M242" t="str">
        <f>IF(A242="","",SUMIF(DB_Withdrawals!$C:$C,A242,DB_Withdrawals!$G:$G))</f>
        <v/>
      </c>
      <c r="N242" t="str">
        <f t="shared" si="6"/>
        <v/>
      </c>
      <c r="O242" t="str">
        <f t="shared" si="7"/>
        <v/>
      </c>
      <c r="P242" t="str">
        <f>IF(A242="","",MAX(0,N242-System_Config!$B$9))</f>
        <v/>
      </c>
    </row>
    <row r="243" spans="12:16" ht="15" customHeight="1" x14ac:dyDescent="0.25">
      <c r="L243" t="str">
        <f>IF(A243="","",SUMIF(DB_Savings!$C:$C,A243,DB_Savings!$F:$F))</f>
        <v/>
      </c>
      <c r="M243" t="str">
        <f>IF(A243="","",SUMIF(DB_Withdrawals!$C:$C,A243,DB_Withdrawals!$G:$G))</f>
        <v/>
      </c>
      <c r="N243" t="str">
        <f t="shared" si="6"/>
        <v/>
      </c>
      <c r="O243" t="str">
        <f t="shared" si="7"/>
        <v/>
      </c>
      <c r="P243" t="str">
        <f>IF(A243="","",MAX(0,N243-System_Config!$B$9))</f>
        <v/>
      </c>
    </row>
    <row r="244" spans="12:16" ht="15" customHeight="1" x14ac:dyDescent="0.25">
      <c r="L244" t="str">
        <f>IF(A244="","",SUMIF(DB_Savings!$C:$C,A244,DB_Savings!$F:$F))</f>
        <v/>
      </c>
      <c r="M244" t="str">
        <f>IF(A244="","",SUMIF(DB_Withdrawals!$C:$C,A244,DB_Withdrawals!$G:$G))</f>
        <v/>
      </c>
      <c r="N244" t="str">
        <f t="shared" si="6"/>
        <v/>
      </c>
      <c r="O244" t="str">
        <f t="shared" si="7"/>
        <v/>
      </c>
      <c r="P244" t="str">
        <f>IF(A244="","",MAX(0,N244-System_Config!$B$9))</f>
        <v/>
      </c>
    </row>
    <row r="245" spans="12:16" ht="15" customHeight="1" x14ac:dyDescent="0.25">
      <c r="L245" t="str">
        <f>IF(A245="","",SUMIF(DB_Savings!$C:$C,A245,DB_Savings!$F:$F))</f>
        <v/>
      </c>
      <c r="M245" t="str">
        <f>IF(A245="","",SUMIF(DB_Withdrawals!$C:$C,A245,DB_Withdrawals!$G:$G))</f>
        <v/>
      </c>
      <c r="N245" t="str">
        <f t="shared" si="6"/>
        <v/>
      </c>
      <c r="O245" t="str">
        <f t="shared" si="7"/>
        <v/>
      </c>
      <c r="P245" t="str">
        <f>IF(A245="","",MAX(0,N245-System_Config!$B$9))</f>
        <v/>
      </c>
    </row>
    <row r="246" spans="12:16" ht="15" customHeight="1" x14ac:dyDescent="0.25">
      <c r="L246" t="str">
        <f>IF(A246="","",SUMIF(DB_Savings!$C:$C,A246,DB_Savings!$F:$F))</f>
        <v/>
      </c>
      <c r="M246" t="str">
        <f>IF(A246="","",SUMIF(DB_Withdrawals!$C:$C,A246,DB_Withdrawals!$G:$G))</f>
        <v/>
      </c>
      <c r="N246" t="str">
        <f t="shared" si="6"/>
        <v/>
      </c>
      <c r="O246" t="str">
        <f t="shared" si="7"/>
        <v/>
      </c>
      <c r="P246" t="str">
        <f>IF(A246="","",MAX(0,N246-System_Config!$B$9))</f>
        <v/>
      </c>
    </row>
    <row r="247" spans="12:16" ht="15" customHeight="1" x14ac:dyDescent="0.25">
      <c r="L247" t="str">
        <f>IF(A247="","",SUMIF(DB_Savings!$C:$C,A247,DB_Savings!$F:$F))</f>
        <v/>
      </c>
      <c r="M247" t="str">
        <f>IF(A247="","",SUMIF(DB_Withdrawals!$C:$C,A247,DB_Withdrawals!$G:$G))</f>
        <v/>
      </c>
      <c r="N247" t="str">
        <f t="shared" si="6"/>
        <v/>
      </c>
      <c r="O247" t="str">
        <f t="shared" si="7"/>
        <v/>
      </c>
      <c r="P247" t="str">
        <f>IF(A247="","",MAX(0,N247-System_Config!$B$9))</f>
        <v/>
      </c>
    </row>
    <row r="248" spans="12:16" ht="15" customHeight="1" x14ac:dyDescent="0.25">
      <c r="L248" t="str">
        <f>IF(A248="","",SUMIF(DB_Savings!$C:$C,A248,DB_Savings!$F:$F))</f>
        <v/>
      </c>
      <c r="M248" t="str">
        <f>IF(A248="","",SUMIF(DB_Withdrawals!$C:$C,A248,DB_Withdrawals!$G:$G))</f>
        <v/>
      </c>
      <c r="N248" t="str">
        <f t="shared" si="6"/>
        <v/>
      </c>
      <c r="O248" t="str">
        <f t="shared" si="7"/>
        <v/>
      </c>
      <c r="P248" t="str">
        <f>IF(A248="","",MAX(0,N248-System_Config!$B$9))</f>
        <v/>
      </c>
    </row>
    <row r="249" spans="12:16" ht="15" customHeight="1" x14ac:dyDescent="0.25">
      <c r="L249" t="str">
        <f>IF(A249="","",SUMIF(DB_Savings!$C:$C,A249,DB_Savings!$F:$F))</f>
        <v/>
      </c>
      <c r="M249" t="str">
        <f>IF(A249="","",SUMIF(DB_Withdrawals!$C:$C,A249,DB_Withdrawals!$G:$G))</f>
        <v/>
      </c>
      <c r="N249" t="str">
        <f t="shared" si="6"/>
        <v/>
      </c>
      <c r="O249" t="str">
        <f t="shared" si="7"/>
        <v/>
      </c>
      <c r="P249" t="str">
        <f>IF(A249="","",MAX(0,N249-System_Config!$B$9))</f>
        <v/>
      </c>
    </row>
    <row r="250" spans="12:16" ht="15" customHeight="1" x14ac:dyDescent="0.25">
      <c r="L250" t="str">
        <f>IF(A250="","",SUMIF(DB_Savings!$C:$C,A250,DB_Savings!$F:$F))</f>
        <v/>
      </c>
      <c r="M250" t="str">
        <f>IF(A250="","",SUMIF(DB_Withdrawals!$C:$C,A250,DB_Withdrawals!$G:$G))</f>
        <v/>
      </c>
      <c r="N250" t="str">
        <f t="shared" si="6"/>
        <v/>
      </c>
      <c r="O250" t="str">
        <f t="shared" si="7"/>
        <v/>
      </c>
      <c r="P250" t="str">
        <f>IF(A250="","",MAX(0,N250-System_Config!$B$9))</f>
        <v/>
      </c>
    </row>
    <row r="251" spans="12:16" ht="15" customHeight="1" x14ac:dyDescent="0.25">
      <c r="L251" t="str">
        <f>IF(A251="","",SUMIF(DB_Savings!$C:$C,A251,DB_Savings!$F:$F))</f>
        <v/>
      </c>
      <c r="M251" t="str">
        <f>IF(A251="","",SUMIF(DB_Withdrawals!$C:$C,A251,DB_Withdrawals!$G:$G))</f>
        <v/>
      </c>
      <c r="N251" t="str">
        <f t="shared" si="6"/>
        <v/>
      </c>
      <c r="O251" t="str">
        <f t="shared" si="7"/>
        <v/>
      </c>
      <c r="P251" t="str">
        <f>IF(A251="","",MAX(0,N251-System_Config!$B$9))</f>
        <v/>
      </c>
    </row>
    <row r="252" spans="12:16" ht="15" customHeight="1" x14ac:dyDescent="0.25">
      <c r="L252" t="str">
        <f>IF(A252="","",SUMIF(DB_Savings!$C:$C,A252,DB_Savings!$F:$F))</f>
        <v/>
      </c>
      <c r="M252" t="str">
        <f>IF(A252="","",SUMIF(DB_Withdrawals!$C:$C,A252,DB_Withdrawals!$G:$G))</f>
        <v/>
      </c>
      <c r="N252" t="str">
        <f t="shared" si="6"/>
        <v/>
      </c>
      <c r="O252" t="str">
        <f t="shared" si="7"/>
        <v/>
      </c>
      <c r="P252" t="str">
        <f>IF(A252="","",MAX(0,N252-System_Config!$B$9))</f>
        <v/>
      </c>
    </row>
    <row r="253" spans="12:16" ht="15" customHeight="1" x14ac:dyDescent="0.25">
      <c r="L253" t="str">
        <f>IF(A253="","",SUMIF(DB_Savings!$C:$C,A253,DB_Savings!$F:$F))</f>
        <v/>
      </c>
      <c r="M253" t="str">
        <f>IF(A253="","",SUMIF(DB_Withdrawals!$C:$C,A253,DB_Withdrawals!$G:$G))</f>
        <v/>
      </c>
      <c r="N253" t="str">
        <f t="shared" si="6"/>
        <v/>
      </c>
      <c r="O253" t="str">
        <f t="shared" si="7"/>
        <v/>
      </c>
      <c r="P253" t="str">
        <f>IF(A253="","",MAX(0,N253-System_Config!$B$9))</f>
        <v/>
      </c>
    </row>
    <row r="254" spans="12:16" ht="15" customHeight="1" x14ac:dyDescent="0.25">
      <c r="L254" t="str">
        <f>IF(A254="","",SUMIF(DB_Savings!$C:$C,A254,DB_Savings!$F:$F))</f>
        <v/>
      </c>
      <c r="M254" t="str">
        <f>IF(A254="","",SUMIF(DB_Withdrawals!$C:$C,A254,DB_Withdrawals!$G:$G))</f>
        <v/>
      </c>
      <c r="N254" t="str">
        <f t="shared" si="6"/>
        <v/>
      </c>
      <c r="O254" t="str">
        <f t="shared" si="7"/>
        <v/>
      </c>
      <c r="P254" t="str">
        <f>IF(A254="","",MAX(0,N254-System_Config!$B$9))</f>
        <v/>
      </c>
    </row>
    <row r="255" spans="12:16" ht="15" customHeight="1" x14ac:dyDescent="0.25">
      <c r="L255" t="str">
        <f>IF(A255="","",SUMIF(DB_Savings!$C:$C,A255,DB_Savings!$F:$F))</f>
        <v/>
      </c>
      <c r="M255" t="str">
        <f>IF(A255="","",SUMIF(DB_Withdrawals!$C:$C,A255,DB_Withdrawals!$G:$G))</f>
        <v/>
      </c>
      <c r="N255" t="str">
        <f t="shared" si="6"/>
        <v/>
      </c>
      <c r="O255" t="str">
        <f t="shared" si="7"/>
        <v/>
      </c>
      <c r="P255" t="str">
        <f>IF(A255="","",MAX(0,N255-System_Config!$B$9))</f>
        <v/>
      </c>
    </row>
    <row r="256" spans="12:16" ht="15" customHeight="1" x14ac:dyDescent="0.25">
      <c r="L256" t="str">
        <f>IF(A256="","",SUMIF(DB_Savings!$C:$C,A256,DB_Savings!$F:$F))</f>
        <v/>
      </c>
      <c r="M256" t="str">
        <f>IF(A256="","",SUMIF(DB_Withdrawals!$C:$C,A256,DB_Withdrawals!$G:$G))</f>
        <v/>
      </c>
      <c r="N256" t="str">
        <f t="shared" si="6"/>
        <v/>
      </c>
      <c r="O256" t="str">
        <f t="shared" si="7"/>
        <v/>
      </c>
      <c r="P256" t="str">
        <f>IF(A256="","",MAX(0,N256-System_Config!$B$9))</f>
        <v/>
      </c>
    </row>
    <row r="257" spans="12:16" ht="15" customHeight="1" x14ac:dyDescent="0.25">
      <c r="L257" t="str">
        <f>IF(A257="","",SUMIF(DB_Savings!$C:$C,A257,DB_Savings!$F:$F))</f>
        <v/>
      </c>
      <c r="M257" t="str">
        <f>IF(A257="","",SUMIF(DB_Withdrawals!$C:$C,A257,DB_Withdrawals!$G:$G))</f>
        <v/>
      </c>
      <c r="N257" t="str">
        <f t="shared" si="6"/>
        <v/>
      </c>
      <c r="O257" t="str">
        <f t="shared" si="7"/>
        <v/>
      </c>
      <c r="P257" t="str">
        <f>IF(A257="","",MAX(0,N257-System_Config!$B$9))</f>
        <v/>
      </c>
    </row>
    <row r="258" spans="12:16" ht="15" customHeight="1" x14ac:dyDescent="0.25">
      <c r="L258" t="str">
        <f>IF(A258="","",SUMIF(DB_Savings!$C:$C,A258,DB_Savings!$F:$F))</f>
        <v/>
      </c>
      <c r="M258" t="str">
        <f>IF(A258="","",SUMIF(DB_Withdrawals!$C:$C,A258,DB_Withdrawals!$G:$G))</f>
        <v/>
      </c>
      <c r="N258" t="str">
        <f t="shared" si="6"/>
        <v/>
      </c>
      <c r="O258" t="str">
        <f t="shared" si="7"/>
        <v/>
      </c>
      <c r="P258" t="str">
        <f>IF(A258="","",MAX(0,N258-System_Config!$B$9))</f>
        <v/>
      </c>
    </row>
    <row r="259" spans="12:16" ht="15" customHeight="1" x14ac:dyDescent="0.25">
      <c r="L259" t="str">
        <f>IF(A259="","",SUMIF(DB_Savings!$C:$C,A259,DB_Savings!$F:$F))</f>
        <v/>
      </c>
      <c r="M259" t="str">
        <f>IF(A259="","",SUMIF(DB_Withdrawals!$C:$C,A259,DB_Withdrawals!$G:$G))</f>
        <v/>
      </c>
      <c r="N259" t="str">
        <f t="shared" si="6"/>
        <v/>
      </c>
      <c r="O259" t="str">
        <f t="shared" si="7"/>
        <v/>
      </c>
      <c r="P259" t="str">
        <f>IF(A259="","",MAX(0,N259-System_Config!$B$9))</f>
        <v/>
      </c>
    </row>
    <row r="260" spans="12:16" ht="15" customHeight="1" x14ac:dyDescent="0.25">
      <c r="L260" t="str">
        <f>IF(A260="","",SUMIF(DB_Savings!$C:$C,A260,DB_Savings!$F:$F))</f>
        <v/>
      </c>
      <c r="M260" t="str">
        <f>IF(A260="","",SUMIF(DB_Withdrawals!$C:$C,A260,DB_Withdrawals!$G:$G))</f>
        <v/>
      </c>
      <c r="N260" t="str">
        <f t="shared" ref="N260:N323" si="8">IF(A260="","",I260+L260-M260)</f>
        <v/>
      </c>
      <c r="O260" t="str">
        <f t="shared" ref="O260:O323" si="9">IF(A260="","",TRUE())</f>
        <v/>
      </c>
      <c r="P260" t="str">
        <f>IF(A260="","",MAX(0,N260-System_Config!$B$9))</f>
        <v/>
      </c>
    </row>
    <row r="261" spans="12:16" ht="15" customHeight="1" x14ac:dyDescent="0.25">
      <c r="L261" t="str">
        <f>IF(A261="","",SUMIF(DB_Savings!$C:$C,A261,DB_Savings!$F:$F))</f>
        <v/>
      </c>
      <c r="M261" t="str">
        <f>IF(A261="","",SUMIF(DB_Withdrawals!$C:$C,A261,DB_Withdrawals!$G:$G))</f>
        <v/>
      </c>
      <c r="N261" t="str">
        <f t="shared" si="8"/>
        <v/>
      </c>
      <c r="O261" t="str">
        <f t="shared" si="9"/>
        <v/>
      </c>
      <c r="P261" t="str">
        <f>IF(A261="","",MAX(0,N261-System_Config!$B$9))</f>
        <v/>
      </c>
    </row>
    <row r="262" spans="12:16" ht="15" customHeight="1" x14ac:dyDescent="0.25">
      <c r="L262" t="str">
        <f>IF(A262="","",SUMIF(DB_Savings!$C:$C,A262,DB_Savings!$F:$F))</f>
        <v/>
      </c>
      <c r="M262" t="str">
        <f>IF(A262="","",SUMIF(DB_Withdrawals!$C:$C,A262,DB_Withdrawals!$G:$G))</f>
        <v/>
      </c>
      <c r="N262" t="str">
        <f t="shared" si="8"/>
        <v/>
      </c>
      <c r="O262" t="str">
        <f t="shared" si="9"/>
        <v/>
      </c>
      <c r="P262" t="str">
        <f>IF(A262="","",MAX(0,N262-System_Config!$B$9))</f>
        <v/>
      </c>
    </row>
    <row r="263" spans="12:16" ht="15" customHeight="1" x14ac:dyDescent="0.25">
      <c r="L263" t="str">
        <f>IF(A263="","",SUMIF(DB_Savings!$C:$C,A263,DB_Savings!$F:$F))</f>
        <v/>
      </c>
      <c r="M263" t="str">
        <f>IF(A263="","",SUMIF(DB_Withdrawals!$C:$C,A263,DB_Withdrawals!$G:$G))</f>
        <v/>
      </c>
      <c r="N263" t="str">
        <f t="shared" si="8"/>
        <v/>
      </c>
      <c r="O263" t="str">
        <f t="shared" si="9"/>
        <v/>
      </c>
      <c r="P263" t="str">
        <f>IF(A263="","",MAX(0,N263-System_Config!$B$9))</f>
        <v/>
      </c>
    </row>
    <row r="264" spans="12:16" ht="15" customHeight="1" x14ac:dyDescent="0.25">
      <c r="L264" t="str">
        <f>IF(A264="","",SUMIF(DB_Savings!$C:$C,A264,DB_Savings!$F:$F))</f>
        <v/>
      </c>
      <c r="M264" t="str">
        <f>IF(A264="","",SUMIF(DB_Withdrawals!$C:$C,A264,DB_Withdrawals!$G:$G))</f>
        <v/>
      </c>
      <c r="N264" t="str">
        <f t="shared" si="8"/>
        <v/>
      </c>
      <c r="O264" t="str">
        <f t="shared" si="9"/>
        <v/>
      </c>
      <c r="P264" t="str">
        <f>IF(A264="","",MAX(0,N264-System_Config!$B$9))</f>
        <v/>
      </c>
    </row>
    <row r="265" spans="12:16" ht="15" customHeight="1" x14ac:dyDescent="0.25">
      <c r="L265" t="str">
        <f>IF(A265="","",SUMIF(DB_Savings!$C:$C,A265,DB_Savings!$F:$F))</f>
        <v/>
      </c>
      <c r="M265" t="str">
        <f>IF(A265="","",SUMIF(DB_Withdrawals!$C:$C,A265,DB_Withdrawals!$G:$G))</f>
        <v/>
      </c>
      <c r="N265" t="str">
        <f t="shared" si="8"/>
        <v/>
      </c>
      <c r="O265" t="str">
        <f t="shared" si="9"/>
        <v/>
      </c>
      <c r="P265" t="str">
        <f>IF(A265="","",MAX(0,N265-System_Config!$B$9))</f>
        <v/>
      </c>
    </row>
    <row r="266" spans="12:16" ht="15" customHeight="1" x14ac:dyDescent="0.25">
      <c r="L266" t="str">
        <f>IF(A266="","",SUMIF(DB_Savings!$C:$C,A266,DB_Savings!$F:$F))</f>
        <v/>
      </c>
      <c r="M266" t="str">
        <f>IF(A266="","",SUMIF(DB_Withdrawals!$C:$C,A266,DB_Withdrawals!$G:$G))</f>
        <v/>
      </c>
      <c r="N266" t="str">
        <f t="shared" si="8"/>
        <v/>
      </c>
      <c r="O266" t="str">
        <f t="shared" si="9"/>
        <v/>
      </c>
      <c r="P266" t="str">
        <f>IF(A266="","",MAX(0,N266-System_Config!$B$9))</f>
        <v/>
      </c>
    </row>
    <row r="267" spans="12:16" ht="15" customHeight="1" x14ac:dyDescent="0.25">
      <c r="L267" t="str">
        <f>IF(A267="","",SUMIF(DB_Savings!$C:$C,A267,DB_Savings!$F:$F))</f>
        <v/>
      </c>
      <c r="M267" t="str">
        <f>IF(A267="","",SUMIF(DB_Withdrawals!$C:$C,A267,DB_Withdrawals!$G:$G))</f>
        <v/>
      </c>
      <c r="N267" t="str">
        <f t="shared" si="8"/>
        <v/>
      </c>
      <c r="O267" t="str">
        <f t="shared" si="9"/>
        <v/>
      </c>
      <c r="P267" t="str">
        <f>IF(A267="","",MAX(0,N267-System_Config!$B$9))</f>
        <v/>
      </c>
    </row>
    <row r="268" spans="12:16" ht="15" customHeight="1" x14ac:dyDescent="0.25">
      <c r="L268" t="str">
        <f>IF(A268="","",SUMIF(DB_Savings!$C:$C,A268,DB_Savings!$F:$F))</f>
        <v/>
      </c>
      <c r="M268" t="str">
        <f>IF(A268="","",SUMIF(DB_Withdrawals!$C:$C,A268,DB_Withdrawals!$G:$G))</f>
        <v/>
      </c>
      <c r="N268" t="str">
        <f t="shared" si="8"/>
        <v/>
      </c>
      <c r="O268" t="str">
        <f t="shared" si="9"/>
        <v/>
      </c>
      <c r="P268" t="str">
        <f>IF(A268="","",MAX(0,N268-System_Config!$B$9))</f>
        <v/>
      </c>
    </row>
    <row r="269" spans="12:16" ht="15" customHeight="1" x14ac:dyDescent="0.25">
      <c r="L269" t="str">
        <f>IF(A269="","",SUMIF(DB_Savings!$C:$C,A269,DB_Savings!$F:$F))</f>
        <v/>
      </c>
      <c r="M269" t="str">
        <f>IF(A269="","",SUMIF(DB_Withdrawals!$C:$C,A269,DB_Withdrawals!$G:$G))</f>
        <v/>
      </c>
      <c r="N269" t="str">
        <f t="shared" si="8"/>
        <v/>
      </c>
      <c r="O269" t="str">
        <f t="shared" si="9"/>
        <v/>
      </c>
      <c r="P269" t="str">
        <f>IF(A269="","",MAX(0,N269-System_Config!$B$9))</f>
        <v/>
      </c>
    </row>
    <row r="270" spans="12:16" ht="15" customHeight="1" x14ac:dyDescent="0.25">
      <c r="L270" t="str">
        <f>IF(A270="","",SUMIF(DB_Savings!$C:$C,A270,DB_Savings!$F:$F))</f>
        <v/>
      </c>
      <c r="M270" t="str">
        <f>IF(A270="","",SUMIF(DB_Withdrawals!$C:$C,A270,DB_Withdrawals!$G:$G))</f>
        <v/>
      </c>
      <c r="N270" t="str">
        <f t="shared" si="8"/>
        <v/>
      </c>
      <c r="O270" t="str">
        <f t="shared" si="9"/>
        <v/>
      </c>
      <c r="P270" t="str">
        <f>IF(A270="","",MAX(0,N270-System_Config!$B$9))</f>
        <v/>
      </c>
    </row>
    <row r="271" spans="12:16" ht="15" customHeight="1" x14ac:dyDescent="0.25">
      <c r="L271" t="str">
        <f>IF(A271="","",SUMIF(DB_Savings!$C:$C,A271,DB_Savings!$F:$F))</f>
        <v/>
      </c>
      <c r="M271" t="str">
        <f>IF(A271="","",SUMIF(DB_Withdrawals!$C:$C,A271,DB_Withdrawals!$G:$G))</f>
        <v/>
      </c>
      <c r="N271" t="str">
        <f t="shared" si="8"/>
        <v/>
      </c>
      <c r="O271" t="str">
        <f t="shared" si="9"/>
        <v/>
      </c>
      <c r="P271" t="str">
        <f>IF(A271="","",MAX(0,N271-System_Config!$B$9))</f>
        <v/>
      </c>
    </row>
    <row r="272" spans="12:16" ht="15" customHeight="1" x14ac:dyDescent="0.25">
      <c r="L272" t="str">
        <f>IF(A272="","",SUMIF(DB_Savings!$C:$C,A272,DB_Savings!$F:$F))</f>
        <v/>
      </c>
      <c r="M272" t="str">
        <f>IF(A272="","",SUMIF(DB_Withdrawals!$C:$C,A272,DB_Withdrawals!$G:$G))</f>
        <v/>
      </c>
      <c r="N272" t="str">
        <f t="shared" si="8"/>
        <v/>
      </c>
      <c r="O272" t="str">
        <f t="shared" si="9"/>
        <v/>
      </c>
      <c r="P272" t="str">
        <f>IF(A272="","",MAX(0,N272-System_Config!$B$9))</f>
        <v/>
      </c>
    </row>
    <row r="273" spans="12:16" ht="15" customHeight="1" x14ac:dyDescent="0.25">
      <c r="L273" t="str">
        <f>IF(A273="","",SUMIF(DB_Savings!$C:$C,A273,DB_Savings!$F:$F))</f>
        <v/>
      </c>
      <c r="M273" t="str">
        <f>IF(A273="","",SUMIF(DB_Withdrawals!$C:$C,A273,DB_Withdrawals!$G:$G))</f>
        <v/>
      </c>
      <c r="N273" t="str">
        <f t="shared" si="8"/>
        <v/>
      </c>
      <c r="O273" t="str">
        <f t="shared" si="9"/>
        <v/>
      </c>
      <c r="P273" t="str">
        <f>IF(A273="","",MAX(0,N273-System_Config!$B$9))</f>
        <v/>
      </c>
    </row>
    <row r="274" spans="12:16" ht="15" customHeight="1" x14ac:dyDescent="0.25">
      <c r="L274" t="str">
        <f>IF(A274="","",SUMIF(DB_Savings!$C:$C,A274,DB_Savings!$F:$F))</f>
        <v/>
      </c>
      <c r="M274" t="str">
        <f>IF(A274="","",SUMIF(DB_Withdrawals!$C:$C,A274,DB_Withdrawals!$G:$G))</f>
        <v/>
      </c>
      <c r="N274" t="str">
        <f t="shared" si="8"/>
        <v/>
      </c>
      <c r="O274" t="str">
        <f t="shared" si="9"/>
        <v/>
      </c>
      <c r="P274" t="str">
        <f>IF(A274="","",MAX(0,N274-System_Config!$B$9))</f>
        <v/>
      </c>
    </row>
    <row r="275" spans="12:16" ht="15" customHeight="1" x14ac:dyDescent="0.25">
      <c r="L275" t="str">
        <f>IF(A275="","",SUMIF(DB_Savings!$C:$C,A275,DB_Savings!$F:$F))</f>
        <v/>
      </c>
      <c r="M275" t="str">
        <f>IF(A275="","",SUMIF(DB_Withdrawals!$C:$C,A275,DB_Withdrawals!$G:$G))</f>
        <v/>
      </c>
      <c r="N275" t="str">
        <f t="shared" si="8"/>
        <v/>
      </c>
      <c r="O275" t="str">
        <f t="shared" si="9"/>
        <v/>
      </c>
      <c r="P275" t="str">
        <f>IF(A275="","",MAX(0,N275-System_Config!$B$9))</f>
        <v/>
      </c>
    </row>
    <row r="276" spans="12:16" ht="15" customHeight="1" x14ac:dyDescent="0.25">
      <c r="L276" t="str">
        <f>IF(A276="","",SUMIF(DB_Savings!$C:$C,A276,DB_Savings!$F:$F))</f>
        <v/>
      </c>
      <c r="M276" t="str">
        <f>IF(A276="","",SUMIF(DB_Withdrawals!$C:$C,A276,DB_Withdrawals!$G:$G))</f>
        <v/>
      </c>
      <c r="N276" t="str">
        <f t="shared" si="8"/>
        <v/>
      </c>
      <c r="O276" t="str">
        <f t="shared" si="9"/>
        <v/>
      </c>
      <c r="P276" t="str">
        <f>IF(A276="","",MAX(0,N276-System_Config!$B$9))</f>
        <v/>
      </c>
    </row>
    <row r="277" spans="12:16" ht="15" customHeight="1" x14ac:dyDescent="0.25">
      <c r="L277" t="str">
        <f>IF(A277="","",SUMIF(DB_Savings!$C:$C,A277,DB_Savings!$F:$F))</f>
        <v/>
      </c>
      <c r="M277" t="str">
        <f>IF(A277="","",SUMIF(DB_Withdrawals!$C:$C,A277,DB_Withdrawals!$G:$G))</f>
        <v/>
      </c>
      <c r="N277" t="str">
        <f t="shared" si="8"/>
        <v/>
      </c>
      <c r="O277" t="str">
        <f t="shared" si="9"/>
        <v/>
      </c>
      <c r="P277" t="str">
        <f>IF(A277="","",MAX(0,N277-System_Config!$B$9))</f>
        <v/>
      </c>
    </row>
    <row r="278" spans="12:16" ht="15" customHeight="1" x14ac:dyDescent="0.25">
      <c r="L278" t="str">
        <f>IF(A278="","",SUMIF(DB_Savings!$C:$C,A278,DB_Savings!$F:$F))</f>
        <v/>
      </c>
      <c r="M278" t="str">
        <f>IF(A278="","",SUMIF(DB_Withdrawals!$C:$C,A278,DB_Withdrawals!$G:$G))</f>
        <v/>
      </c>
      <c r="N278" t="str">
        <f t="shared" si="8"/>
        <v/>
      </c>
      <c r="O278" t="str">
        <f t="shared" si="9"/>
        <v/>
      </c>
      <c r="P278" t="str">
        <f>IF(A278="","",MAX(0,N278-System_Config!$B$9))</f>
        <v/>
      </c>
    </row>
    <row r="279" spans="12:16" ht="15" customHeight="1" x14ac:dyDescent="0.25">
      <c r="L279" t="str">
        <f>IF(A279="","",SUMIF(DB_Savings!$C:$C,A279,DB_Savings!$F:$F))</f>
        <v/>
      </c>
      <c r="M279" t="str">
        <f>IF(A279="","",SUMIF(DB_Withdrawals!$C:$C,A279,DB_Withdrawals!$G:$G))</f>
        <v/>
      </c>
      <c r="N279" t="str">
        <f t="shared" si="8"/>
        <v/>
      </c>
      <c r="O279" t="str">
        <f t="shared" si="9"/>
        <v/>
      </c>
      <c r="P279" t="str">
        <f>IF(A279="","",MAX(0,N279-System_Config!$B$9))</f>
        <v/>
      </c>
    </row>
    <row r="280" spans="12:16" ht="15" customHeight="1" x14ac:dyDescent="0.25">
      <c r="L280" t="str">
        <f>IF(A280="","",SUMIF(DB_Savings!$C:$C,A280,DB_Savings!$F:$F))</f>
        <v/>
      </c>
      <c r="M280" t="str">
        <f>IF(A280="","",SUMIF(DB_Withdrawals!$C:$C,A280,DB_Withdrawals!$G:$G))</f>
        <v/>
      </c>
      <c r="N280" t="str">
        <f t="shared" si="8"/>
        <v/>
      </c>
      <c r="O280" t="str">
        <f t="shared" si="9"/>
        <v/>
      </c>
      <c r="P280" t="str">
        <f>IF(A280="","",MAX(0,N280-System_Config!$B$9))</f>
        <v/>
      </c>
    </row>
    <row r="281" spans="12:16" ht="15" customHeight="1" x14ac:dyDescent="0.25">
      <c r="L281" t="str">
        <f>IF(A281="","",SUMIF(DB_Savings!$C:$C,A281,DB_Savings!$F:$F))</f>
        <v/>
      </c>
      <c r="M281" t="str">
        <f>IF(A281="","",SUMIF(DB_Withdrawals!$C:$C,A281,DB_Withdrawals!$G:$G))</f>
        <v/>
      </c>
      <c r="N281" t="str">
        <f t="shared" si="8"/>
        <v/>
      </c>
      <c r="O281" t="str">
        <f t="shared" si="9"/>
        <v/>
      </c>
      <c r="P281" t="str">
        <f>IF(A281="","",MAX(0,N281-System_Config!$B$9))</f>
        <v/>
      </c>
    </row>
    <row r="282" spans="12:16" ht="15" customHeight="1" x14ac:dyDescent="0.25">
      <c r="L282" t="str">
        <f>IF(A282="","",SUMIF(DB_Savings!$C:$C,A282,DB_Savings!$F:$F))</f>
        <v/>
      </c>
      <c r="M282" t="str">
        <f>IF(A282="","",SUMIF(DB_Withdrawals!$C:$C,A282,DB_Withdrawals!$G:$G))</f>
        <v/>
      </c>
      <c r="N282" t="str">
        <f t="shared" si="8"/>
        <v/>
      </c>
      <c r="O282" t="str">
        <f t="shared" si="9"/>
        <v/>
      </c>
      <c r="P282" t="str">
        <f>IF(A282="","",MAX(0,N282-System_Config!$B$9))</f>
        <v/>
      </c>
    </row>
    <row r="283" spans="12:16" ht="15" customHeight="1" x14ac:dyDescent="0.25">
      <c r="L283" t="str">
        <f>IF(A283="","",SUMIF(DB_Savings!$C:$C,A283,DB_Savings!$F:$F))</f>
        <v/>
      </c>
      <c r="M283" t="str">
        <f>IF(A283="","",SUMIF(DB_Withdrawals!$C:$C,A283,DB_Withdrawals!$G:$G))</f>
        <v/>
      </c>
      <c r="N283" t="str">
        <f t="shared" si="8"/>
        <v/>
      </c>
      <c r="O283" t="str">
        <f t="shared" si="9"/>
        <v/>
      </c>
      <c r="P283" t="str">
        <f>IF(A283="","",MAX(0,N283-System_Config!$B$9))</f>
        <v/>
      </c>
    </row>
    <row r="284" spans="12:16" ht="15" customHeight="1" x14ac:dyDescent="0.25">
      <c r="L284" t="str">
        <f>IF(A284="","",SUMIF(DB_Savings!$C:$C,A284,DB_Savings!$F:$F))</f>
        <v/>
      </c>
      <c r="M284" t="str">
        <f>IF(A284="","",SUMIF(DB_Withdrawals!$C:$C,A284,DB_Withdrawals!$G:$G))</f>
        <v/>
      </c>
      <c r="N284" t="str">
        <f t="shared" si="8"/>
        <v/>
      </c>
      <c r="O284" t="str">
        <f t="shared" si="9"/>
        <v/>
      </c>
      <c r="P284" t="str">
        <f>IF(A284="","",MAX(0,N284-System_Config!$B$9))</f>
        <v/>
      </c>
    </row>
    <row r="285" spans="12:16" ht="15" customHeight="1" x14ac:dyDescent="0.25">
      <c r="L285" t="str">
        <f>IF(A285="","",SUMIF(DB_Savings!$C:$C,A285,DB_Savings!$F:$F))</f>
        <v/>
      </c>
      <c r="M285" t="str">
        <f>IF(A285="","",SUMIF(DB_Withdrawals!$C:$C,A285,DB_Withdrawals!$G:$G))</f>
        <v/>
      </c>
      <c r="N285" t="str">
        <f t="shared" si="8"/>
        <v/>
      </c>
      <c r="O285" t="str">
        <f t="shared" si="9"/>
        <v/>
      </c>
      <c r="P285" t="str">
        <f>IF(A285="","",MAX(0,N285-System_Config!$B$9))</f>
        <v/>
      </c>
    </row>
    <row r="286" spans="12:16" ht="15" customHeight="1" x14ac:dyDescent="0.25">
      <c r="L286" t="str">
        <f>IF(A286="","",SUMIF(DB_Savings!$C:$C,A286,DB_Savings!$F:$F))</f>
        <v/>
      </c>
      <c r="M286" t="str">
        <f>IF(A286="","",SUMIF(DB_Withdrawals!$C:$C,A286,DB_Withdrawals!$G:$G))</f>
        <v/>
      </c>
      <c r="N286" t="str">
        <f t="shared" si="8"/>
        <v/>
      </c>
      <c r="O286" t="str">
        <f t="shared" si="9"/>
        <v/>
      </c>
      <c r="P286" t="str">
        <f>IF(A286="","",MAX(0,N286-System_Config!$B$9))</f>
        <v/>
      </c>
    </row>
    <row r="287" spans="12:16" ht="15" customHeight="1" x14ac:dyDescent="0.25">
      <c r="L287" t="str">
        <f>IF(A287="","",SUMIF(DB_Savings!$C:$C,A287,DB_Savings!$F:$F))</f>
        <v/>
      </c>
      <c r="M287" t="str">
        <f>IF(A287="","",SUMIF(DB_Withdrawals!$C:$C,A287,DB_Withdrawals!$G:$G))</f>
        <v/>
      </c>
      <c r="N287" t="str">
        <f t="shared" si="8"/>
        <v/>
      </c>
      <c r="O287" t="str">
        <f t="shared" si="9"/>
        <v/>
      </c>
      <c r="P287" t="str">
        <f>IF(A287="","",MAX(0,N287-System_Config!$B$9))</f>
        <v/>
      </c>
    </row>
    <row r="288" spans="12:16" ht="15" customHeight="1" x14ac:dyDescent="0.25">
      <c r="L288" t="str">
        <f>IF(A288="","",SUMIF(DB_Savings!$C:$C,A288,DB_Savings!$F:$F))</f>
        <v/>
      </c>
      <c r="M288" t="str">
        <f>IF(A288="","",SUMIF(DB_Withdrawals!$C:$C,A288,DB_Withdrawals!$G:$G))</f>
        <v/>
      </c>
      <c r="N288" t="str">
        <f t="shared" si="8"/>
        <v/>
      </c>
      <c r="O288" t="str">
        <f t="shared" si="9"/>
        <v/>
      </c>
      <c r="P288" t="str">
        <f>IF(A288="","",MAX(0,N288-System_Config!$B$9))</f>
        <v/>
      </c>
    </row>
    <row r="289" spans="12:16" ht="15" customHeight="1" x14ac:dyDescent="0.25">
      <c r="L289" t="str">
        <f>IF(A289="","",SUMIF(DB_Savings!$C:$C,A289,DB_Savings!$F:$F))</f>
        <v/>
      </c>
      <c r="M289" t="str">
        <f>IF(A289="","",SUMIF(DB_Withdrawals!$C:$C,A289,DB_Withdrawals!$G:$G))</f>
        <v/>
      </c>
      <c r="N289" t="str">
        <f t="shared" si="8"/>
        <v/>
      </c>
      <c r="O289" t="str">
        <f t="shared" si="9"/>
        <v/>
      </c>
      <c r="P289" t="str">
        <f>IF(A289="","",MAX(0,N289-System_Config!$B$9))</f>
        <v/>
      </c>
    </row>
    <row r="290" spans="12:16" ht="15" customHeight="1" x14ac:dyDescent="0.25">
      <c r="L290" t="str">
        <f>IF(A290="","",SUMIF(DB_Savings!$C:$C,A290,DB_Savings!$F:$F))</f>
        <v/>
      </c>
      <c r="M290" t="str">
        <f>IF(A290="","",SUMIF(DB_Withdrawals!$C:$C,A290,DB_Withdrawals!$G:$G))</f>
        <v/>
      </c>
      <c r="N290" t="str">
        <f t="shared" si="8"/>
        <v/>
      </c>
      <c r="O290" t="str">
        <f t="shared" si="9"/>
        <v/>
      </c>
      <c r="P290" t="str">
        <f>IF(A290="","",MAX(0,N290-System_Config!$B$9))</f>
        <v/>
      </c>
    </row>
    <row r="291" spans="12:16" ht="15" customHeight="1" x14ac:dyDescent="0.25">
      <c r="L291" t="str">
        <f>IF(A291="","",SUMIF(DB_Savings!$C:$C,A291,DB_Savings!$F:$F))</f>
        <v/>
      </c>
      <c r="M291" t="str">
        <f>IF(A291="","",SUMIF(DB_Withdrawals!$C:$C,A291,DB_Withdrawals!$G:$G))</f>
        <v/>
      </c>
      <c r="N291" t="str">
        <f t="shared" si="8"/>
        <v/>
      </c>
      <c r="O291" t="str">
        <f t="shared" si="9"/>
        <v/>
      </c>
      <c r="P291" t="str">
        <f>IF(A291="","",MAX(0,N291-System_Config!$B$9))</f>
        <v/>
      </c>
    </row>
    <row r="292" spans="12:16" ht="15" customHeight="1" x14ac:dyDescent="0.25">
      <c r="L292" t="str">
        <f>IF(A292="","",SUMIF(DB_Savings!$C:$C,A292,DB_Savings!$F:$F))</f>
        <v/>
      </c>
      <c r="M292" t="str">
        <f>IF(A292="","",SUMIF(DB_Withdrawals!$C:$C,A292,DB_Withdrawals!$G:$G))</f>
        <v/>
      </c>
      <c r="N292" t="str">
        <f t="shared" si="8"/>
        <v/>
      </c>
      <c r="O292" t="str">
        <f t="shared" si="9"/>
        <v/>
      </c>
      <c r="P292" t="str">
        <f>IF(A292="","",MAX(0,N292-System_Config!$B$9))</f>
        <v/>
      </c>
    </row>
    <row r="293" spans="12:16" ht="15" customHeight="1" x14ac:dyDescent="0.25">
      <c r="L293" t="str">
        <f>IF(A293="","",SUMIF(DB_Savings!$C:$C,A293,DB_Savings!$F:$F))</f>
        <v/>
      </c>
      <c r="M293" t="str">
        <f>IF(A293="","",SUMIF(DB_Withdrawals!$C:$C,A293,DB_Withdrawals!$G:$G))</f>
        <v/>
      </c>
      <c r="N293" t="str">
        <f t="shared" si="8"/>
        <v/>
      </c>
      <c r="O293" t="str">
        <f t="shared" si="9"/>
        <v/>
      </c>
      <c r="P293" t="str">
        <f>IF(A293="","",MAX(0,N293-System_Config!$B$9))</f>
        <v/>
      </c>
    </row>
    <row r="294" spans="12:16" ht="15" customHeight="1" x14ac:dyDescent="0.25">
      <c r="L294" t="str">
        <f>IF(A294="","",SUMIF(DB_Savings!$C:$C,A294,DB_Savings!$F:$F))</f>
        <v/>
      </c>
      <c r="M294" t="str">
        <f>IF(A294="","",SUMIF(DB_Withdrawals!$C:$C,A294,DB_Withdrawals!$G:$G))</f>
        <v/>
      </c>
      <c r="N294" t="str">
        <f t="shared" si="8"/>
        <v/>
      </c>
      <c r="O294" t="str">
        <f t="shared" si="9"/>
        <v/>
      </c>
      <c r="P294" t="str">
        <f>IF(A294="","",MAX(0,N294-System_Config!$B$9))</f>
        <v/>
      </c>
    </row>
    <row r="295" spans="12:16" ht="15" customHeight="1" x14ac:dyDescent="0.25">
      <c r="L295" t="str">
        <f>IF(A295="","",SUMIF(DB_Savings!$C:$C,A295,DB_Savings!$F:$F))</f>
        <v/>
      </c>
      <c r="M295" t="str">
        <f>IF(A295="","",SUMIF(DB_Withdrawals!$C:$C,A295,DB_Withdrawals!$G:$G))</f>
        <v/>
      </c>
      <c r="N295" t="str">
        <f t="shared" si="8"/>
        <v/>
      </c>
      <c r="O295" t="str">
        <f t="shared" si="9"/>
        <v/>
      </c>
      <c r="P295" t="str">
        <f>IF(A295="","",MAX(0,N295-System_Config!$B$9))</f>
        <v/>
      </c>
    </row>
    <row r="296" spans="12:16" ht="15" customHeight="1" x14ac:dyDescent="0.25">
      <c r="L296" t="str">
        <f>IF(A296="","",SUMIF(DB_Savings!$C:$C,A296,DB_Savings!$F:$F))</f>
        <v/>
      </c>
      <c r="M296" t="str">
        <f>IF(A296="","",SUMIF(DB_Withdrawals!$C:$C,A296,DB_Withdrawals!$G:$G))</f>
        <v/>
      </c>
      <c r="N296" t="str">
        <f t="shared" si="8"/>
        <v/>
      </c>
      <c r="O296" t="str">
        <f t="shared" si="9"/>
        <v/>
      </c>
      <c r="P296" t="str">
        <f>IF(A296="","",MAX(0,N296-System_Config!$B$9))</f>
        <v/>
      </c>
    </row>
    <row r="297" spans="12:16" ht="15" customHeight="1" x14ac:dyDescent="0.25">
      <c r="L297" t="str">
        <f>IF(A297="","",SUMIF(DB_Savings!$C:$C,A297,DB_Savings!$F:$F))</f>
        <v/>
      </c>
      <c r="M297" t="str">
        <f>IF(A297="","",SUMIF(DB_Withdrawals!$C:$C,A297,DB_Withdrawals!$G:$G))</f>
        <v/>
      </c>
      <c r="N297" t="str">
        <f t="shared" si="8"/>
        <v/>
      </c>
      <c r="O297" t="str">
        <f t="shared" si="9"/>
        <v/>
      </c>
      <c r="P297" t="str">
        <f>IF(A297="","",MAX(0,N297-System_Config!$B$9))</f>
        <v/>
      </c>
    </row>
    <row r="298" spans="12:16" ht="15" customHeight="1" x14ac:dyDescent="0.25">
      <c r="L298" t="str">
        <f>IF(A298="","",SUMIF(DB_Savings!$C:$C,A298,DB_Savings!$F:$F))</f>
        <v/>
      </c>
      <c r="M298" t="str">
        <f>IF(A298="","",SUMIF(DB_Withdrawals!$C:$C,A298,DB_Withdrawals!$G:$G))</f>
        <v/>
      </c>
      <c r="N298" t="str">
        <f t="shared" si="8"/>
        <v/>
      </c>
      <c r="O298" t="str">
        <f t="shared" si="9"/>
        <v/>
      </c>
      <c r="P298" t="str">
        <f>IF(A298="","",MAX(0,N298-System_Config!$B$9))</f>
        <v/>
      </c>
    </row>
    <row r="299" spans="12:16" ht="15" customHeight="1" x14ac:dyDescent="0.25">
      <c r="L299" t="str">
        <f>IF(A299="","",SUMIF(DB_Savings!$C:$C,A299,DB_Savings!$F:$F))</f>
        <v/>
      </c>
      <c r="M299" t="str">
        <f>IF(A299="","",SUMIF(DB_Withdrawals!$C:$C,A299,DB_Withdrawals!$G:$G))</f>
        <v/>
      </c>
      <c r="N299" t="str">
        <f t="shared" si="8"/>
        <v/>
      </c>
      <c r="O299" t="str">
        <f t="shared" si="9"/>
        <v/>
      </c>
      <c r="P299" t="str">
        <f>IF(A299="","",MAX(0,N299-System_Config!$B$9))</f>
        <v/>
      </c>
    </row>
    <row r="300" spans="12:16" ht="15" customHeight="1" x14ac:dyDescent="0.25">
      <c r="L300" t="str">
        <f>IF(A300="","",SUMIF(DB_Savings!$C:$C,A300,DB_Savings!$F:$F))</f>
        <v/>
      </c>
      <c r="M300" t="str">
        <f>IF(A300="","",SUMIF(DB_Withdrawals!$C:$C,A300,DB_Withdrawals!$G:$G))</f>
        <v/>
      </c>
      <c r="N300" t="str">
        <f t="shared" si="8"/>
        <v/>
      </c>
      <c r="O300" t="str">
        <f t="shared" si="9"/>
        <v/>
      </c>
      <c r="P300" t="str">
        <f>IF(A300="","",MAX(0,N300-System_Config!$B$9))</f>
        <v/>
      </c>
    </row>
    <row r="301" spans="12:16" ht="15" customHeight="1" x14ac:dyDescent="0.25">
      <c r="L301" t="str">
        <f>IF(A301="","",SUMIF(DB_Savings!$C:$C,A301,DB_Savings!$F:$F))</f>
        <v/>
      </c>
      <c r="M301" t="str">
        <f>IF(A301="","",SUMIF(DB_Withdrawals!$C:$C,A301,DB_Withdrawals!$G:$G))</f>
        <v/>
      </c>
      <c r="N301" t="str">
        <f t="shared" si="8"/>
        <v/>
      </c>
      <c r="O301" t="str">
        <f t="shared" si="9"/>
        <v/>
      </c>
      <c r="P301" t="str">
        <f>IF(A301="","",MAX(0,N301-System_Config!$B$9))</f>
        <v/>
      </c>
    </row>
    <row r="302" spans="12:16" ht="15" customHeight="1" x14ac:dyDescent="0.25">
      <c r="L302" t="str">
        <f>IF(A302="","",SUMIF(DB_Savings!$C:$C,A302,DB_Savings!$F:$F))</f>
        <v/>
      </c>
      <c r="M302" t="str">
        <f>IF(A302="","",SUMIF(DB_Withdrawals!$C:$C,A302,DB_Withdrawals!$G:$G))</f>
        <v/>
      </c>
      <c r="N302" t="str">
        <f t="shared" si="8"/>
        <v/>
      </c>
      <c r="O302" t="str">
        <f t="shared" si="9"/>
        <v/>
      </c>
      <c r="P302" t="str">
        <f>IF(A302="","",MAX(0,N302-System_Config!$B$9))</f>
        <v/>
      </c>
    </row>
    <row r="303" spans="12:16" ht="15" customHeight="1" x14ac:dyDescent="0.25">
      <c r="L303" t="str">
        <f>IF(A303="","",SUMIF(DB_Savings!$C:$C,A303,DB_Savings!$F:$F))</f>
        <v/>
      </c>
      <c r="M303" t="str">
        <f>IF(A303="","",SUMIF(DB_Withdrawals!$C:$C,A303,DB_Withdrawals!$G:$G))</f>
        <v/>
      </c>
      <c r="N303" t="str">
        <f t="shared" si="8"/>
        <v/>
      </c>
      <c r="O303" t="str">
        <f t="shared" si="9"/>
        <v/>
      </c>
      <c r="P303" t="str">
        <f>IF(A303="","",MAX(0,N303-System_Config!$B$9))</f>
        <v/>
      </c>
    </row>
    <row r="304" spans="12:16" ht="15" customHeight="1" x14ac:dyDescent="0.25">
      <c r="L304" t="str">
        <f>IF(A304="","",SUMIF(DB_Savings!$C:$C,A304,DB_Savings!$F:$F))</f>
        <v/>
      </c>
      <c r="M304" t="str">
        <f>IF(A304="","",SUMIF(DB_Withdrawals!$C:$C,A304,DB_Withdrawals!$G:$G))</f>
        <v/>
      </c>
      <c r="N304" t="str">
        <f t="shared" si="8"/>
        <v/>
      </c>
      <c r="O304" t="str">
        <f t="shared" si="9"/>
        <v/>
      </c>
      <c r="P304" t="str">
        <f>IF(A304="","",MAX(0,N304-System_Config!$B$9))</f>
        <v/>
      </c>
    </row>
    <row r="305" spans="12:16" ht="15" customHeight="1" x14ac:dyDescent="0.25">
      <c r="L305" t="str">
        <f>IF(A305="","",SUMIF(DB_Savings!$C:$C,A305,DB_Savings!$F:$F))</f>
        <v/>
      </c>
      <c r="M305" t="str">
        <f>IF(A305="","",SUMIF(DB_Withdrawals!$C:$C,A305,DB_Withdrawals!$G:$G))</f>
        <v/>
      </c>
      <c r="N305" t="str">
        <f t="shared" si="8"/>
        <v/>
      </c>
      <c r="O305" t="str">
        <f t="shared" si="9"/>
        <v/>
      </c>
      <c r="P305" t="str">
        <f>IF(A305="","",MAX(0,N305-System_Config!$B$9))</f>
        <v/>
      </c>
    </row>
    <row r="306" spans="12:16" ht="15" customHeight="1" x14ac:dyDescent="0.25">
      <c r="L306" t="str">
        <f>IF(A306="","",SUMIF(DB_Savings!$C:$C,A306,DB_Savings!$F:$F))</f>
        <v/>
      </c>
      <c r="M306" t="str">
        <f>IF(A306="","",SUMIF(DB_Withdrawals!$C:$C,A306,DB_Withdrawals!$G:$G))</f>
        <v/>
      </c>
      <c r="N306" t="str">
        <f t="shared" si="8"/>
        <v/>
      </c>
      <c r="O306" t="str">
        <f t="shared" si="9"/>
        <v/>
      </c>
      <c r="P306" t="str">
        <f>IF(A306="","",MAX(0,N306-System_Config!$B$9))</f>
        <v/>
      </c>
    </row>
    <row r="307" spans="12:16" ht="15" customHeight="1" x14ac:dyDescent="0.25">
      <c r="L307" t="str">
        <f>IF(A307="","",SUMIF(DB_Savings!$C:$C,A307,DB_Savings!$F:$F))</f>
        <v/>
      </c>
      <c r="M307" t="str">
        <f>IF(A307="","",SUMIF(DB_Withdrawals!$C:$C,A307,DB_Withdrawals!$G:$G))</f>
        <v/>
      </c>
      <c r="N307" t="str">
        <f t="shared" si="8"/>
        <v/>
      </c>
      <c r="O307" t="str">
        <f t="shared" si="9"/>
        <v/>
      </c>
      <c r="P307" t="str">
        <f>IF(A307="","",MAX(0,N307-System_Config!$B$9))</f>
        <v/>
      </c>
    </row>
    <row r="308" spans="12:16" ht="15" customHeight="1" x14ac:dyDescent="0.25">
      <c r="L308" t="str">
        <f>IF(A308="","",SUMIF(DB_Savings!$C:$C,A308,DB_Savings!$F:$F))</f>
        <v/>
      </c>
      <c r="M308" t="str">
        <f>IF(A308="","",SUMIF(DB_Withdrawals!$C:$C,A308,DB_Withdrawals!$G:$G))</f>
        <v/>
      </c>
      <c r="N308" t="str">
        <f t="shared" si="8"/>
        <v/>
      </c>
      <c r="O308" t="str">
        <f t="shared" si="9"/>
        <v/>
      </c>
      <c r="P308" t="str">
        <f>IF(A308="","",MAX(0,N308-System_Config!$B$9))</f>
        <v/>
      </c>
    </row>
    <row r="309" spans="12:16" ht="15" customHeight="1" x14ac:dyDescent="0.25">
      <c r="L309" t="str">
        <f>IF(A309="","",SUMIF(DB_Savings!$C:$C,A309,DB_Savings!$F:$F))</f>
        <v/>
      </c>
      <c r="M309" t="str">
        <f>IF(A309="","",SUMIF(DB_Withdrawals!$C:$C,A309,DB_Withdrawals!$G:$G))</f>
        <v/>
      </c>
      <c r="N309" t="str">
        <f t="shared" si="8"/>
        <v/>
      </c>
      <c r="O309" t="str">
        <f t="shared" si="9"/>
        <v/>
      </c>
      <c r="P309" t="str">
        <f>IF(A309="","",MAX(0,N309-System_Config!$B$9))</f>
        <v/>
      </c>
    </row>
    <row r="310" spans="12:16" ht="15" customHeight="1" x14ac:dyDescent="0.25">
      <c r="L310" t="str">
        <f>IF(A310="","",SUMIF(DB_Savings!$C:$C,A310,DB_Savings!$F:$F))</f>
        <v/>
      </c>
      <c r="M310" t="str">
        <f>IF(A310="","",SUMIF(DB_Withdrawals!$C:$C,A310,DB_Withdrawals!$G:$G))</f>
        <v/>
      </c>
      <c r="N310" t="str">
        <f t="shared" si="8"/>
        <v/>
      </c>
      <c r="O310" t="str">
        <f t="shared" si="9"/>
        <v/>
      </c>
      <c r="P310" t="str">
        <f>IF(A310="","",MAX(0,N310-System_Config!$B$9))</f>
        <v/>
      </c>
    </row>
    <row r="311" spans="12:16" ht="15" customHeight="1" x14ac:dyDescent="0.25">
      <c r="L311" t="str">
        <f>IF(A311="","",SUMIF(DB_Savings!$C:$C,A311,DB_Savings!$F:$F))</f>
        <v/>
      </c>
      <c r="M311" t="str">
        <f>IF(A311="","",SUMIF(DB_Withdrawals!$C:$C,A311,DB_Withdrawals!$G:$G))</f>
        <v/>
      </c>
      <c r="N311" t="str">
        <f t="shared" si="8"/>
        <v/>
      </c>
      <c r="O311" t="str">
        <f t="shared" si="9"/>
        <v/>
      </c>
      <c r="P311" t="str">
        <f>IF(A311="","",MAX(0,N311-System_Config!$B$9))</f>
        <v/>
      </c>
    </row>
    <row r="312" spans="12:16" ht="15" customHeight="1" x14ac:dyDescent="0.25">
      <c r="L312" t="str">
        <f>IF(A312="","",SUMIF(DB_Savings!$C:$C,A312,DB_Savings!$F:$F))</f>
        <v/>
      </c>
      <c r="M312" t="str">
        <f>IF(A312="","",SUMIF(DB_Withdrawals!$C:$C,A312,DB_Withdrawals!$G:$G))</f>
        <v/>
      </c>
      <c r="N312" t="str">
        <f t="shared" si="8"/>
        <v/>
      </c>
      <c r="O312" t="str">
        <f t="shared" si="9"/>
        <v/>
      </c>
      <c r="P312" t="str">
        <f>IF(A312="","",MAX(0,N312-System_Config!$B$9))</f>
        <v/>
      </c>
    </row>
    <row r="313" spans="12:16" ht="15" customHeight="1" x14ac:dyDescent="0.25">
      <c r="L313" t="str">
        <f>IF(A313="","",SUMIF(DB_Savings!$C:$C,A313,DB_Savings!$F:$F))</f>
        <v/>
      </c>
      <c r="M313" t="str">
        <f>IF(A313="","",SUMIF(DB_Withdrawals!$C:$C,A313,DB_Withdrawals!$G:$G))</f>
        <v/>
      </c>
      <c r="N313" t="str">
        <f t="shared" si="8"/>
        <v/>
      </c>
      <c r="O313" t="str">
        <f t="shared" si="9"/>
        <v/>
      </c>
      <c r="P313" t="str">
        <f>IF(A313="","",MAX(0,N313-System_Config!$B$9))</f>
        <v/>
      </c>
    </row>
    <row r="314" spans="12:16" ht="15" customHeight="1" x14ac:dyDescent="0.25">
      <c r="L314" t="str">
        <f>IF(A314="","",SUMIF(DB_Savings!$C:$C,A314,DB_Savings!$F:$F))</f>
        <v/>
      </c>
      <c r="M314" t="str">
        <f>IF(A314="","",SUMIF(DB_Withdrawals!$C:$C,A314,DB_Withdrawals!$G:$G))</f>
        <v/>
      </c>
      <c r="N314" t="str">
        <f t="shared" si="8"/>
        <v/>
      </c>
      <c r="O314" t="str">
        <f t="shared" si="9"/>
        <v/>
      </c>
      <c r="P314" t="str">
        <f>IF(A314="","",MAX(0,N314-System_Config!$B$9))</f>
        <v/>
      </c>
    </row>
    <row r="315" spans="12:16" ht="15" customHeight="1" x14ac:dyDescent="0.25">
      <c r="L315" t="str">
        <f>IF(A315="","",SUMIF(DB_Savings!$C:$C,A315,DB_Savings!$F:$F))</f>
        <v/>
      </c>
      <c r="M315" t="str">
        <f>IF(A315="","",SUMIF(DB_Withdrawals!$C:$C,A315,DB_Withdrawals!$G:$G))</f>
        <v/>
      </c>
      <c r="N315" t="str">
        <f t="shared" si="8"/>
        <v/>
      </c>
      <c r="O315" t="str">
        <f t="shared" si="9"/>
        <v/>
      </c>
      <c r="P315" t="str">
        <f>IF(A315="","",MAX(0,N315-System_Config!$B$9))</f>
        <v/>
      </c>
    </row>
    <row r="316" spans="12:16" ht="15" customHeight="1" x14ac:dyDescent="0.25">
      <c r="L316" t="str">
        <f>IF(A316="","",SUMIF(DB_Savings!$C:$C,A316,DB_Savings!$F:$F))</f>
        <v/>
      </c>
      <c r="M316" t="str">
        <f>IF(A316="","",SUMIF(DB_Withdrawals!$C:$C,A316,DB_Withdrawals!$G:$G))</f>
        <v/>
      </c>
      <c r="N316" t="str">
        <f t="shared" si="8"/>
        <v/>
      </c>
      <c r="O316" t="str">
        <f t="shared" si="9"/>
        <v/>
      </c>
      <c r="P316" t="str">
        <f>IF(A316="","",MAX(0,N316-System_Config!$B$9))</f>
        <v/>
      </c>
    </row>
    <row r="317" spans="12:16" ht="15" customHeight="1" x14ac:dyDescent="0.25">
      <c r="L317" t="str">
        <f>IF(A317="","",SUMIF(DB_Savings!$C:$C,A317,DB_Savings!$F:$F))</f>
        <v/>
      </c>
      <c r="M317" t="str">
        <f>IF(A317="","",SUMIF(DB_Withdrawals!$C:$C,A317,DB_Withdrawals!$G:$G))</f>
        <v/>
      </c>
      <c r="N317" t="str">
        <f t="shared" si="8"/>
        <v/>
      </c>
      <c r="O317" t="str">
        <f t="shared" si="9"/>
        <v/>
      </c>
      <c r="P317" t="str">
        <f>IF(A317="","",MAX(0,N317-System_Config!$B$9))</f>
        <v/>
      </c>
    </row>
    <row r="318" spans="12:16" ht="15" customHeight="1" x14ac:dyDescent="0.25">
      <c r="L318" t="str">
        <f>IF(A318="","",SUMIF(DB_Savings!$C:$C,A318,DB_Savings!$F:$F))</f>
        <v/>
      </c>
      <c r="M318" t="str">
        <f>IF(A318="","",SUMIF(DB_Withdrawals!$C:$C,A318,DB_Withdrawals!$G:$G))</f>
        <v/>
      </c>
      <c r="N318" t="str">
        <f t="shared" si="8"/>
        <v/>
      </c>
      <c r="O318" t="str">
        <f t="shared" si="9"/>
        <v/>
      </c>
      <c r="P318" t="str">
        <f>IF(A318="","",MAX(0,N318-System_Config!$B$9))</f>
        <v/>
      </c>
    </row>
    <row r="319" spans="12:16" ht="15" customHeight="1" x14ac:dyDescent="0.25">
      <c r="L319" t="str">
        <f>IF(A319="","",SUMIF(DB_Savings!$C:$C,A319,DB_Savings!$F:$F))</f>
        <v/>
      </c>
      <c r="M319" t="str">
        <f>IF(A319="","",SUMIF(DB_Withdrawals!$C:$C,A319,DB_Withdrawals!$G:$G))</f>
        <v/>
      </c>
      <c r="N319" t="str">
        <f t="shared" si="8"/>
        <v/>
      </c>
      <c r="O319" t="str">
        <f t="shared" si="9"/>
        <v/>
      </c>
      <c r="P319" t="str">
        <f>IF(A319="","",MAX(0,N319-System_Config!$B$9))</f>
        <v/>
      </c>
    </row>
    <row r="320" spans="12:16" ht="15" customHeight="1" x14ac:dyDescent="0.25">
      <c r="L320" t="str">
        <f>IF(A320="","",SUMIF(DB_Savings!$C:$C,A320,DB_Savings!$F:$F))</f>
        <v/>
      </c>
      <c r="M320" t="str">
        <f>IF(A320="","",SUMIF(DB_Withdrawals!$C:$C,A320,DB_Withdrawals!$G:$G))</f>
        <v/>
      </c>
      <c r="N320" t="str">
        <f t="shared" si="8"/>
        <v/>
      </c>
      <c r="O320" t="str">
        <f t="shared" si="9"/>
        <v/>
      </c>
      <c r="P320" t="str">
        <f>IF(A320="","",MAX(0,N320-System_Config!$B$9))</f>
        <v/>
      </c>
    </row>
    <row r="321" spans="12:16" ht="15" customHeight="1" x14ac:dyDescent="0.25">
      <c r="L321" t="str">
        <f>IF(A321="","",SUMIF(DB_Savings!$C:$C,A321,DB_Savings!$F:$F))</f>
        <v/>
      </c>
      <c r="M321" t="str">
        <f>IF(A321="","",SUMIF(DB_Withdrawals!$C:$C,A321,DB_Withdrawals!$G:$G))</f>
        <v/>
      </c>
      <c r="N321" t="str">
        <f t="shared" si="8"/>
        <v/>
      </c>
      <c r="O321" t="str">
        <f t="shared" si="9"/>
        <v/>
      </c>
      <c r="P321" t="str">
        <f>IF(A321="","",MAX(0,N321-System_Config!$B$9))</f>
        <v/>
      </c>
    </row>
    <row r="322" spans="12:16" ht="15" customHeight="1" x14ac:dyDescent="0.25">
      <c r="L322" t="str">
        <f>IF(A322="","",SUMIF(DB_Savings!$C:$C,A322,DB_Savings!$F:$F))</f>
        <v/>
      </c>
      <c r="M322" t="str">
        <f>IF(A322="","",SUMIF(DB_Withdrawals!$C:$C,A322,DB_Withdrawals!$G:$G))</f>
        <v/>
      </c>
      <c r="N322" t="str">
        <f t="shared" si="8"/>
        <v/>
      </c>
      <c r="O322" t="str">
        <f t="shared" si="9"/>
        <v/>
      </c>
      <c r="P322" t="str">
        <f>IF(A322="","",MAX(0,N322-System_Config!$B$9))</f>
        <v/>
      </c>
    </row>
    <row r="323" spans="12:16" ht="15" customHeight="1" x14ac:dyDescent="0.25">
      <c r="L323" t="str">
        <f>IF(A323="","",SUMIF(DB_Savings!$C:$C,A323,DB_Savings!$F:$F))</f>
        <v/>
      </c>
      <c r="M323" t="str">
        <f>IF(A323="","",SUMIF(DB_Withdrawals!$C:$C,A323,DB_Withdrawals!$G:$G))</f>
        <v/>
      </c>
      <c r="N323" t="str">
        <f t="shared" si="8"/>
        <v/>
      </c>
      <c r="O323" t="str">
        <f t="shared" si="9"/>
        <v/>
      </c>
      <c r="P323" t="str">
        <f>IF(A323="","",MAX(0,N323-System_Config!$B$9))</f>
        <v/>
      </c>
    </row>
    <row r="324" spans="12:16" ht="15" customHeight="1" x14ac:dyDescent="0.25">
      <c r="L324" t="str">
        <f>IF(A324="","",SUMIF(DB_Savings!$C:$C,A324,DB_Savings!$F:$F))</f>
        <v/>
      </c>
      <c r="M324" t="str">
        <f>IF(A324="","",SUMIF(DB_Withdrawals!$C:$C,A324,DB_Withdrawals!$G:$G))</f>
        <v/>
      </c>
      <c r="N324" t="str">
        <f t="shared" ref="N324:N387" si="10">IF(A324="","",I324+L324-M324)</f>
        <v/>
      </c>
      <c r="O324" t="str">
        <f t="shared" ref="O324:O387" si="11">IF(A324="","",TRUE())</f>
        <v/>
      </c>
      <c r="P324" t="str">
        <f>IF(A324="","",MAX(0,N324-System_Config!$B$9))</f>
        <v/>
      </c>
    </row>
    <row r="325" spans="12:16" ht="15" customHeight="1" x14ac:dyDescent="0.25">
      <c r="L325" t="str">
        <f>IF(A325="","",SUMIF(DB_Savings!$C:$C,A325,DB_Savings!$F:$F))</f>
        <v/>
      </c>
      <c r="M325" t="str">
        <f>IF(A325="","",SUMIF(DB_Withdrawals!$C:$C,A325,DB_Withdrawals!$G:$G))</f>
        <v/>
      </c>
      <c r="N325" t="str">
        <f t="shared" si="10"/>
        <v/>
      </c>
      <c r="O325" t="str">
        <f t="shared" si="11"/>
        <v/>
      </c>
      <c r="P325" t="str">
        <f>IF(A325="","",MAX(0,N325-System_Config!$B$9))</f>
        <v/>
      </c>
    </row>
    <row r="326" spans="12:16" ht="15" customHeight="1" x14ac:dyDescent="0.25">
      <c r="L326" t="str">
        <f>IF(A326="","",SUMIF(DB_Savings!$C:$C,A326,DB_Savings!$F:$F))</f>
        <v/>
      </c>
      <c r="M326" t="str">
        <f>IF(A326="","",SUMIF(DB_Withdrawals!$C:$C,A326,DB_Withdrawals!$G:$G))</f>
        <v/>
      </c>
      <c r="N326" t="str">
        <f t="shared" si="10"/>
        <v/>
      </c>
      <c r="O326" t="str">
        <f t="shared" si="11"/>
        <v/>
      </c>
      <c r="P326" t="str">
        <f>IF(A326="","",MAX(0,N326-System_Config!$B$9))</f>
        <v/>
      </c>
    </row>
    <row r="327" spans="12:16" ht="15" customHeight="1" x14ac:dyDescent="0.25">
      <c r="L327" t="str">
        <f>IF(A327="","",SUMIF(DB_Savings!$C:$C,A327,DB_Savings!$F:$F))</f>
        <v/>
      </c>
      <c r="M327" t="str">
        <f>IF(A327="","",SUMIF(DB_Withdrawals!$C:$C,A327,DB_Withdrawals!$G:$G))</f>
        <v/>
      </c>
      <c r="N327" t="str">
        <f t="shared" si="10"/>
        <v/>
      </c>
      <c r="O327" t="str">
        <f t="shared" si="11"/>
        <v/>
      </c>
      <c r="P327" t="str">
        <f>IF(A327="","",MAX(0,N327-System_Config!$B$9))</f>
        <v/>
      </c>
    </row>
    <row r="328" spans="12:16" ht="15" customHeight="1" x14ac:dyDescent="0.25">
      <c r="L328" t="str">
        <f>IF(A328="","",SUMIF(DB_Savings!$C:$C,A328,DB_Savings!$F:$F))</f>
        <v/>
      </c>
      <c r="M328" t="str">
        <f>IF(A328="","",SUMIF(DB_Withdrawals!$C:$C,A328,DB_Withdrawals!$G:$G))</f>
        <v/>
      </c>
      <c r="N328" t="str">
        <f t="shared" si="10"/>
        <v/>
      </c>
      <c r="O328" t="str">
        <f t="shared" si="11"/>
        <v/>
      </c>
      <c r="P328" t="str">
        <f>IF(A328="","",MAX(0,N328-System_Config!$B$9))</f>
        <v/>
      </c>
    </row>
    <row r="329" spans="12:16" ht="15" customHeight="1" x14ac:dyDescent="0.25">
      <c r="L329" t="str">
        <f>IF(A329="","",SUMIF(DB_Savings!$C:$C,A329,DB_Savings!$F:$F))</f>
        <v/>
      </c>
      <c r="M329" t="str">
        <f>IF(A329="","",SUMIF(DB_Withdrawals!$C:$C,A329,DB_Withdrawals!$G:$G))</f>
        <v/>
      </c>
      <c r="N329" t="str">
        <f t="shared" si="10"/>
        <v/>
      </c>
      <c r="O329" t="str">
        <f t="shared" si="11"/>
        <v/>
      </c>
      <c r="P329" t="str">
        <f>IF(A329="","",MAX(0,N329-System_Config!$B$9))</f>
        <v/>
      </c>
    </row>
    <row r="330" spans="12:16" ht="15" customHeight="1" x14ac:dyDescent="0.25">
      <c r="L330" t="str">
        <f>IF(A330="","",SUMIF(DB_Savings!$C:$C,A330,DB_Savings!$F:$F))</f>
        <v/>
      </c>
      <c r="M330" t="str">
        <f>IF(A330="","",SUMIF(DB_Withdrawals!$C:$C,A330,DB_Withdrawals!$G:$G))</f>
        <v/>
      </c>
      <c r="N330" t="str">
        <f t="shared" si="10"/>
        <v/>
      </c>
      <c r="O330" t="str">
        <f t="shared" si="11"/>
        <v/>
      </c>
      <c r="P330" t="str">
        <f>IF(A330="","",MAX(0,N330-System_Config!$B$9))</f>
        <v/>
      </c>
    </row>
    <row r="331" spans="12:16" ht="15" customHeight="1" x14ac:dyDescent="0.25">
      <c r="L331" t="str">
        <f>IF(A331="","",SUMIF(DB_Savings!$C:$C,A331,DB_Savings!$F:$F))</f>
        <v/>
      </c>
      <c r="M331" t="str">
        <f>IF(A331="","",SUMIF(DB_Withdrawals!$C:$C,A331,DB_Withdrawals!$G:$G))</f>
        <v/>
      </c>
      <c r="N331" t="str">
        <f t="shared" si="10"/>
        <v/>
      </c>
      <c r="O331" t="str">
        <f t="shared" si="11"/>
        <v/>
      </c>
      <c r="P331" t="str">
        <f>IF(A331="","",MAX(0,N331-System_Config!$B$9))</f>
        <v/>
      </c>
    </row>
    <row r="332" spans="12:16" ht="15" customHeight="1" x14ac:dyDescent="0.25">
      <c r="L332" t="str">
        <f>IF(A332="","",SUMIF(DB_Savings!$C:$C,A332,DB_Savings!$F:$F))</f>
        <v/>
      </c>
      <c r="M332" t="str">
        <f>IF(A332="","",SUMIF(DB_Withdrawals!$C:$C,A332,DB_Withdrawals!$G:$G))</f>
        <v/>
      </c>
      <c r="N332" t="str">
        <f t="shared" si="10"/>
        <v/>
      </c>
      <c r="O332" t="str">
        <f t="shared" si="11"/>
        <v/>
      </c>
      <c r="P332" t="str">
        <f>IF(A332="","",MAX(0,N332-System_Config!$B$9))</f>
        <v/>
      </c>
    </row>
    <row r="333" spans="12:16" ht="15" customHeight="1" x14ac:dyDescent="0.25">
      <c r="L333" t="str">
        <f>IF(A333="","",SUMIF(DB_Savings!$C:$C,A333,DB_Savings!$F:$F))</f>
        <v/>
      </c>
      <c r="M333" t="str">
        <f>IF(A333="","",SUMIF(DB_Withdrawals!$C:$C,A333,DB_Withdrawals!$G:$G))</f>
        <v/>
      </c>
      <c r="N333" t="str">
        <f t="shared" si="10"/>
        <v/>
      </c>
      <c r="O333" t="str">
        <f t="shared" si="11"/>
        <v/>
      </c>
      <c r="P333" t="str">
        <f>IF(A333="","",MAX(0,N333-System_Config!$B$9))</f>
        <v/>
      </c>
    </row>
    <row r="334" spans="12:16" ht="15" customHeight="1" x14ac:dyDescent="0.25">
      <c r="L334" t="str">
        <f>IF(A334="","",SUMIF(DB_Savings!$C:$C,A334,DB_Savings!$F:$F))</f>
        <v/>
      </c>
      <c r="M334" t="str">
        <f>IF(A334="","",SUMIF(DB_Withdrawals!$C:$C,A334,DB_Withdrawals!$G:$G))</f>
        <v/>
      </c>
      <c r="N334" t="str">
        <f t="shared" si="10"/>
        <v/>
      </c>
      <c r="O334" t="str">
        <f t="shared" si="11"/>
        <v/>
      </c>
      <c r="P334" t="str">
        <f>IF(A334="","",MAX(0,N334-System_Config!$B$9))</f>
        <v/>
      </c>
    </row>
    <row r="335" spans="12:16" ht="15" customHeight="1" x14ac:dyDescent="0.25">
      <c r="L335" t="str">
        <f>IF(A335="","",SUMIF(DB_Savings!$C:$C,A335,DB_Savings!$F:$F))</f>
        <v/>
      </c>
      <c r="M335" t="str">
        <f>IF(A335="","",SUMIF(DB_Withdrawals!$C:$C,A335,DB_Withdrawals!$G:$G))</f>
        <v/>
      </c>
      <c r="N335" t="str">
        <f t="shared" si="10"/>
        <v/>
      </c>
      <c r="O335" t="str">
        <f t="shared" si="11"/>
        <v/>
      </c>
      <c r="P335" t="str">
        <f>IF(A335="","",MAX(0,N335-System_Config!$B$9))</f>
        <v/>
      </c>
    </row>
    <row r="336" spans="12:16" ht="15" customHeight="1" x14ac:dyDescent="0.25">
      <c r="L336" t="str">
        <f>IF(A336="","",SUMIF(DB_Savings!$C:$C,A336,DB_Savings!$F:$F))</f>
        <v/>
      </c>
      <c r="M336" t="str">
        <f>IF(A336="","",SUMIF(DB_Withdrawals!$C:$C,A336,DB_Withdrawals!$G:$G))</f>
        <v/>
      </c>
      <c r="N336" t="str">
        <f t="shared" si="10"/>
        <v/>
      </c>
      <c r="O336" t="str">
        <f t="shared" si="11"/>
        <v/>
      </c>
      <c r="P336" t="str">
        <f>IF(A336="","",MAX(0,N336-System_Config!$B$9))</f>
        <v/>
      </c>
    </row>
    <row r="337" spans="12:16" ht="15" customHeight="1" x14ac:dyDescent="0.25">
      <c r="L337" t="str">
        <f>IF(A337="","",SUMIF(DB_Savings!$C:$C,A337,DB_Savings!$F:$F))</f>
        <v/>
      </c>
      <c r="M337" t="str">
        <f>IF(A337="","",SUMIF(DB_Withdrawals!$C:$C,A337,DB_Withdrawals!$G:$G))</f>
        <v/>
      </c>
      <c r="N337" t="str">
        <f t="shared" si="10"/>
        <v/>
      </c>
      <c r="O337" t="str">
        <f t="shared" si="11"/>
        <v/>
      </c>
      <c r="P337" t="str">
        <f>IF(A337="","",MAX(0,N337-System_Config!$B$9))</f>
        <v/>
      </c>
    </row>
    <row r="338" spans="12:16" ht="15" customHeight="1" x14ac:dyDescent="0.25">
      <c r="L338" t="str">
        <f>IF(A338="","",SUMIF(DB_Savings!$C:$C,A338,DB_Savings!$F:$F))</f>
        <v/>
      </c>
      <c r="M338" t="str">
        <f>IF(A338="","",SUMIF(DB_Withdrawals!$C:$C,A338,DB_Withdrawals!$G:$G))</f>
        <v/>
      </c>
      <c r="N338" t="str">
        <f t="shared" si="10"/>
        <v/>
      </c>
      <c r="O338" t="str">
        <f t="shared" si="11"/>
        <v/>
      </c>
      <c r="P338" t="str">
        <f>IF(A338="","",MAX(0,N338-System_Config!$B$9))</f>
        <v/>
      </c>
    </row>
    <row r="339" spans="12:16" ht="15" customHeight="1" x14ac:dyDescent="0.25">
      <c r="L339" t="str">
        <f>IF(A339="","",SUMIF(DB_Savings!$C:$C,A339,DB_Savings!$F:$F))</f>
        <v/>
      </c>
      <c r="M339" t="str">
        <f>IF(A339="","",SUMIF(DB_Withdrawals!$C:$C,A339,DB_Withdrawals!$G:$G))</f>
        <v/>
      </c>
      <c r="N339" t="str">
        <f t="shared" si="10"/>
        <v/>
      </c>
      <c r="O339" t="str">
        <f t="shared" si="11"/>
        <v/>
      </c>
      <c r="P339" t="str">
        <f>IF(A339="","",MAX(0,N339-System_Config!$B$9))</f>
        <v/>
      </c>
    </row>
    <row r="340" spans="12:16" ht="15" customHeight="1" x14ac:dyDescent="0.25">
      <c r="L340" t="str">
        <f>IF(A340="","",SUMIF(DB_Savings!$C:$C,A340,DB_Savings!$F:$F))</f>
        <v/>
      </c>
      <c r="M340" t="str">
        <f>IF(A340="","",SUMIF(DB_Withdrawals!$C:$C,A340,DB_Withdrawals!$G:$G))</f>
        <v/>
      </c>
      <c r="N340" t="str">
        <f t="shared" si="10"/>
        <v/>
      </c>
      <c r="O340" t="str">
        <f t="shared" si="11"/>
        <v/>
      </c>
      <c r="P340" t="str">
        <f>IF(A340="","",MAX(0,N340-System_Config!$B$9))</f>
        <v/>
      </c>
    </row>
    <row r="341" spans="12:16" ht="15" customHeight="1" x14ac:dyDescent="0.25">
      <c r="L341" t="str">
        <f>IF(A341="","",SUMIF(DB_Savings!$C:$C,A341,DB_Savings!$F:$F))</f>
        <v/>
      </c>
      <c r="M341" t="str">
        <f>IF(A341="","",SUMIF(DB_Withdrawals!$C:$C,A341,DB_Withdrawals!$G:$G))</f>
        <v/>
      </c>
      <c r="N341" t="str">
        <f t="shared" si="10"/>
        <v/>
      </c>
      <c r="O341" t="str">
        <f t="shared" si="11"/>
        <v/>
      </c>
      <c r="P341" t="str">
        <f>IF(A341="","",MAX(0,N341-System_Config!$B$9))</f>
        <v/>
      </c>
    </row>
    <row r="342" spans="12:16" ht="15" customHeight="1" x14ac:dyDescent="0.25">
      <c r="L342" t="str">
        <f>IF(A342="","",SUMIF(DB_Savings!$C:$C,A342,DB_Savings!$F:$F))</f>
        <v/>
      </c>
      <c r="M342" t="str">
        <f>IF(A342="","",SUMIF(DB_Withdrawals!$C:$C,A342,DB_Withdrawals!$G:$G))</f>
        <v/>
      </c>
      <c r="N342" t="str">
        <f t="shared" si="10"/>
        <v/>
      </c>
      <c r="O342" t="str">
        <f t="shared" si="11"/>
        <v/>
      </c>
      <c r="P342" t="str">
        <f>IF(A342="","",MAX(0,N342-System_Config!$B$9))</f>
        <v/>
      </c>
    </row>
    <row r="343" spans="12:16" ht="15" customHeight="1" x14ac:dyDescent="0.25">
      <c r="L343" t="str">
        <f>IF(A343="","",SUMIF(DB_Savings!$C:$C,A343,DB_Savings!$F:$F))</f>
        <v/>
      </c>
      <c r="M343" t="str">
        <f>IF(A343="","",SUMIF(DB_Withdrawals!$C:$C,A343,DB_Withdrawals!$G:$G))</f>
        <v/>
      </c>
      <c r="N343" t="str">
        <f t="shared" si="10"/>
        <v/>
      </c>
      <c r="O343" t="str">
        <f t="shared" si="11"/>
        <v/>
      </c>
      <c r="P343" t="str">
        <f>IF(A343="","",MAX(0,N343-System_Config!$B$9))</f>
        <v/>
      </c>
    </row>
    <row r="344" spans="12:16" ht="15" customHeight="1" x14ac:dyDescent="0.25">
      <c r="L344" t="str">
        <f>IF(A344="","",SUMIF(DB_Savings!$C:$C,A344,DB_Savings!$F:$F))</f>
        <v/>
      </c>
      <c r="M344" t="str">
        <f>IF(A344="","",SUMIF(DB_Withdrawals!$C:$C,A344,DB_Withdrawals!$G:$G))</f>
        <v/>
      </c>
      <c r="N344" t="str">
        <f t="shared" si="10"/>
        <v/>
      </c>
      <c r="O344" t="str">
        <f t="shared" si="11"/>
        <v/>
      </c>
      <c r="P344" t="str">
        <f>IF(A344="","",MAX(0,N344-System_Config!$B$9))</f>
        <v/>
      </c>
    </row>
    <row r="345" spans="12:16" ht="15" customHeight="1" x14ac:dyDescent="0.25">
      <c r="L345" t="str">
        <f>IF(A345="","",SUMIF(DB_Savings!$C:$C,A345,DB_Savings!$F:$F))</f>
        <v/>
      </c>
      <c r="M345" t="str">
        <f>IF(A345="","",SUMIF(DB_Withdrawals!$C:$C,A345,DB_Withdrawals!$G:$G))</f>
        <v/>
      </c>
      <c r="N345" t="str">
        <f t="shared" si="10"/>
        <v/>
      </c>
      <c r="O345" t="str">
        <f t="shared" si="11"/>
        <v/>
      </c>
      <c r="P345" t="str">
        <f>IF(A345="","",MAX(0,N345-System_Config!$B$9))</f>
        <v/>
      </c>
    </row>
    <row r="346" spans="12:16" ht="15" customHeight="1" x14ac:dyDescent="0.25">
      <c r="L346" t="str">
        <f>IF(A346="","",SUMIF(DB_Savings!$C:$C,A346,DB_Savings!$F:$F))</f>
        <v/>
      </c>
      <c r="M346" t="str">
        <f>IF(A346="","",SUMIF(DB_Withdrawals!$C:$C,A346,DB_Withdrawals!$G:$G))</f>
        <v/>
      </c>
      <c r="N346" t="str">
        <f t="shared" si="10"/>
        <v/>
      </c>
      <c r="O346" t="str">
        <f t="shared" si="11"/>
        <v/>
      </c>
      <c r="P346" t="str">
        <f>IF(A346="","",MAX(0,N346-System_Config!$B$9))</f>
        <v/>
      </c>
    </row>
    <row r="347" spans="12:16" ht="15" customHeight="1" x14ac:dyDescent="0.25">
      <c r="L347" t="str">
        <f>IF(A347="","",SUMIF(DB_Savings!$C:$C,A347,DB_Savings!$F:$F))</f>
        <v/>
      </c>
      <c r="M347" t="str">
        <f>IF(A347="","",SUMIF(DB_Withdrawals!$C:$C,A347,DB_Withdrawals!$G:$G))</f>
        <v/>
      </c>
      <c r="N347" t="str">
        <f t="shared" si="10"/>
        <v/>
      </c>
      <c r="O347" t="str">
        <f t="shared" si="11"/>
        <v/>
      </c>
      <c r="P347" t="str">
        <f>IF(A347="","",MAX(0,N347-System_Config!$B$9))</f>
        <v/>
      </c>
    </row>
    <row r="348" spans="12:16" ht="15" customHeight="1" x14ac:dyDescent="0.25">
      <c r="L348" t="str">
        <f>IF(A348="","",SUMIF(DB_Savings!$C:$C,A348,DB_Savings!$F:$F))</f>
        <v/>
      </c>
      <c r="M348" t="str">
        <f>IF(A348="","",SUMIF(DB_Withdrawals!$C:$C,A348,DB_Withdrawals!$G:$G))</f>
        <v/>
      </c>
      <c r="N348" t="str">
        <f t="shared" si="10"/>
        <v/>
      </c>
      <c r="O348" t="str">
        <f t="shared" si="11"/>
        <v/>
      </c>
      <c r="P348" t="str">
        <f>IF(A348="","",MAX(0,N348-System_Config!$B$9))</f>
        <v/>
      </c>
    </row>
    <row r="349" spans="12:16" ht="15" customHeight="1" x14ac:dyDescent="0.25">
      <c r="L349" t="str">
        <f>IF(A349="","",SUMIF(DB_Savings!$C:$C,A349,DB_Savings!$F:$F))</f>
        <v/>
      </c>
      <c r="M349" t="str">
        <f>IF(A349="","",SUMIF(DB_Withdrawals!$C:$C,A349,DB_Withdrawals!$G:$G))</f>
        <v/>
      </c>
      <c r="N349" t="str">
        <f t="shared" si="10"/>
        <v/>
      </c>
      <c r="O349" t="str">
        <f t="shared" si="11"/>
        <v/>
      </c>
      <c r="P349" t="str">
        <f>IF(A349="","",MAX(0,N349-System_Config!$B$9))</f>
        <v/>
      </c>
    </row>
    <row r="350" spans="12:16" ht="15" customHeight="1" x14ac:dyDescent="0.25">
      <c r="L350" t="str">
        <f>IF(A350="","",SUMIF(DB_Savings!$C:$C,A350,DB_Savings!$F:$F))</f>
        <v/>
      </c>
      <c r="M350" t="str">
        <f>IF(A350="","",SUMIF(DB_Withdrawals!$C:$C,A350,DB_Withdrawals!$G:$G))</f>
        <v/>
      </c>
      <c r="N350" t="str">
        <f t="shared" si="10"/>
        <v/>
      </c>
      <c r="O350" t="str">
        <f t="shared" si="11"/>
        <v/>
      </c>
      <c r="P350" t="str">
        <f>IF(A350="","",MAX(0,N350-System_Config!$B$9))</f>
        <v/>
      </c>
    </row>
    <row r="351" spans="12:16" ht="15" customHeight="1" x14ac:dyDescent="0.25">
      <c r="L351" t="str">
        <f>IF(A351="","",SUMIF(DB_Savings!$C:$C,A351,DB_Savings!$F:$F))</f>
        <v/>
      </c>
      <c r="M351" t="str">
        <f>IF(A351="","",SUMIF(DB_Withdrawals!$C:$C,A351,DB_Withdrawals!$G:$G))</f>
        <v/>
      </c>
      <c r="N351" t="str">
        <f t="shared" si="10"/>
        <v/>
      </c>
      <c r="O351" t="str">
        <f t="shared" si="11"/>
        <v/>
      </c>
      <c r="P351" t="str">
        <f>IF(A351="","",MAX(0,N351-System_Config!$B$9))</f>
        <v/>
      </c>
    </row>
    <row r="352" spans="12:16" ht="15" customHeight="1" x14ac:dyDescent="0.25">
      <c r="L352" t="str">
        <f>IF(A352="","",SUMIF(DB_Savings!$C:$C,A352,DB_Savings!$F:$F))</f>
        <v/>
      </c>
      <c r="M352" t="str">
        <f>IF(A352="","",SUMIF(DB_Withdrawals!$C:$C,A352,DB_Withdrawals!$G:$G))</f>
        <v/>
      </c>
      <c r="N352" t="str">
        <f t="shared" si="10"/>
        <v/>
      </c>
      <c r="O352" t="str">
        <f t="shared" si="11"/>
        <v/>
      </c>
      <c r="P352" t="str">
        <f>IF(A352="","",MAX(0,N352-System_Config!$B$9))</f>
        <v/>
      </c>
    </row>
    <row r="353" spans="12:16" ht="15" customHeight="1" x14ac:dyDescent="0.25">
      <c r="L353" t="str">
        <f>IF(A353="","",SUMIF(DB_Savings!$C:$C,A353,DB_Savings!$F:$F))</f>
        <v/>
      </c>
      <c r="M353" t="str">
        <f>IF(A353="","",SUMIF(DB_Withdrawals!$C:$C,A353,DB_Withdrawals!$G:$G))</f>
        <v/>
      </c>
      <c r="N353" t="str">
        <f t="shared" si="10"/>
        <v/>
      </c>
      <c r="O353" t="str">
        <f t="shared" si="11"/>
        <v/>
      </c>
      <c r="P353" t="str">
        <f>IF(A353="","",MAX(0,N353-System_Config!$B$9))</f>
        <v/>
      </c>
    </row>
    <row r="354" spans="12:16" ht="15" customHeight="1" x14ac:dyDescent="0.25">
      <c r="L354" t="str">
        <f>IF(A354="","",SUMIF(DB_Savings!$C:$C,A354,DB_Savings!$F:$F))</f>
        <v/>
      </c>
      <c r="M354" t="str">
        <f>IF(A354="","",SUMIF(DB_Withdrawals!$C:$C,A354,DB_Withdrawals!$G:$G))</f>
        <v/>
      </c>
      <c r="N354" t="str">
        <f t="shared" si="10"/>
        <v/>
      </c>
      <c r="O354" t="str">
        <f t="shared" si="11"/>
        <v/>
      </c>
      <c r="P354" t="str">
        <f>IF(A354="","",MAX(0,N354-System_Config!$B$9))</f>
        <v/>
      </c>
    </row>
    <row r="355" spans="12:16" ht="15" customHeight="1" x14ac:dyDescent="0.25">
      <c r="L355" t="str">
        <f>IF(A355="","",SUMIF(DB_Savings!$C:$C,A355,DB_Savings!$F:$F))</f>
        <v/>
      </c>
      <c r="M355" t="str">
        <f>IF(A355="","",SUMIF(DB_Withdrawals!$C:$C,A355,DB_Withdrawals!$G:$G))</f>
        <v/>
      </c>
      <c r="N355" t="str">
        <f t="shared" si="10"/>
        <v/>
      </c>
      <c r="O355" t="str">
        <f t="shared" si="11"/>
        <v/>
      </c>
      <c r="P355" t="str">
        <f>IF(A355="","",MAX(0,N355-System_Config!$B$9))</f>
        <v/>
      </c>
    </row>
    <row r="356" spans="12:16" ht="15" customHeight="1" x14ac:dyDescent="0.25">
      <c r="L356" t="str">
        <f>IF(A356="","",SUMIF(DB_Savings!$C:$C,A356,DB_Savings!$F:$F))</f>
        <v/>
      </c>
      <c r="M356" t="str">
        <f>IF(A356="","",SUMIF(DB_Withdrawals!$C:$C,A356,DB_Withdrawals!$G:$G))</f>
        <v/>
      </c>
      <c r="N356" t="str">
        <f t="shared" si="10"/>
        <v/>
      </c>
      <c r="O356" t="str">
        <f t="shared" si="11"/>
        <v/>
      </c>
      <c r="P356" t="str">
        <f>IF(A356="","",MAX(0,N356-System_Config!$B$9))</f>
        <v/>
      </c>
    </row>
    <row r="357" spans="12:16" ht="15" customHeight="1" x14ac:dyDescent="0.25">
      <c r="L357" t="str">
        <f>IF(A357="","",SUMIF(DB_Savings!$C:$C,A357,DB_Savings!$F:$F))</f>
        <v/>
      </c>
      <c r="M357" t="str">
        <f>IF(A357="","",SUMIF(DB_Withdrawals!$C:$C,A357,DB_Withdrawals!$G:$G))</f>
        <v/>
      </c>
      <c r="N357" t="str">
        <f t="shared" si="10"/>
        <v/>
      </c>
      <c r="O357" t="str">
        <f t="shared" si="11"/>
        <v/>
      </c>
      <c r="P357" t="str">
        <f>IF(A357="","",MAX(0,N357-System_Config!$B$9))</f>
        <v/>
      </c>
    </row>
    <row r="358" spans="12:16" ht="15" customHeight="1" x14ac:dyDescent="0.25">
      <c r="L358" t="str">
        <f>IF(A358="","",SUMIF(DB_Savings!$C:$C,A358,DB_Savings!$F:$F))</f>
        <v/>
      </c>
      <c r="M358" t="str">
        <f>IF(A358="","",SUMIF(DB_Withdrawals!$C:$C,A358,DB_Withdrawals!$G:$G))</f>
        <v/>
      </c>
      <c r="N358" t="str">
        <f t="shared" si="10"/>
        <v/>
      </c>
      <c r="O358" t="str">
        <f t="shared" si="11"/>
        <v/>
      </c>
      <c r="P358" t="str">
        <f>IF(A358="","",MAX(0,N358-System_Config!$B$9))</f>
        <v/>
      </c>
    </row>
    <row r="359" spans="12:16" ht="15" customHeight="1" x14ac:dyDescent="0.25">
      <c r="L359" t="str">
        <f>IF(A359="","",SUMIF(DB_Savings!$C:$C,A359,DB_Savings!$F:$F))</f>
        <v/>
      </c>
      <c r="M359" t="str">
        <f>IF(A359="","",SUMIF(DB_Withdrawals!$C:$C,A359,DB_Withdrawals!$G:$G))</f>
        <v/>
      </c>
      <c r="N359" t="str">
        <f t="shared" si="10"/>
        <v/>
      </c>
      <c r="O359" t="str">
        <f t="shared" si="11"/>
        <v/>
      </c>
      <c r="P359" t="str">
        <f>IF(A359="","",MAX(0,N359-System_Config!$B$9))</f>
        <v/>
      </c>
    </row>
    <row r="360" spans="12:16" ht="15" customHeight="1" x14ac:dyDescent="0.25">
      <c r="L360" t="str">
        <f>IF(A360="","",SUMIF(DB_Savings!$C:$C,A360,DB_Savings!$F:$F))</f>
        <v/>
      </c>
      <c r="M360" t="str">
        <f>IF(A360="","",SUMIF(DB_Withdrawals!$C:$C,A360,DB_Withdrawals!$G:$G))</f>
        <v/>
      </c>
      <c r="N360" t="str">
        <f t="shared" si="10"/>
        <v/>
      </c>
      <c r="O360" t="str">
        <f t="shared" si="11"/>
        <v/>
      </c>
      <c r="P360" t="str">
        <f>IF(A360="","",MAX(0,N360-System_Config!$B$9))</f>
        <v/>
      </c>
    </row>
    <row r="361" spans="12:16" ht="15" customHeight="1" x14ac:dyDescent="0.25">
      <c r="L361" t="str">
        <f>IF(A361="","",SUMIF(DB_Savings!$C:$C,A361,DB_Savings!$F:$F))</f>
        <v/>
      </c>
      <c r="M361" t="str">
        <f>IF(A361="","",SUMIF(DB_Withdrawals!$C:$C,A361,DB_Withdrawals!$G:$G))</f>
        <v/>
      </c>
      <c r="N361" t="str">
        <f t="shared" si="10"/>
        <v/>
      </c>
      <c r="O361" t="str">
        <f t="shared" si="11"/>
        <v/>
      </c>
      <c r="P361" t="str">
        <f>IF(A361="","",MAX(0,N361-System_Config!$B$9))</f>
        <v/>
      </c>
    </row>
    <row r="362" spans="12:16" ht="15" customHeight="1" x14ac:dyDescent="0.25">
      <c r="L362" t="str">
        <f>IF(A362="","",SUMIF(DB_Savings!$C:$C,A362,DB_Savings!$F:$F))</f>
        <v/>
      </c>
      <c r="M362" t="str">
        <f>IF(A362="","",SUMIF(DB_Withdrawals!$C:$C,A362,DB_Withdrawals!$G:$G))</f>
        <v/>
      </c>
      <c r="N362" t="str">
        <f t="shared" si="10"/>
        <v/>
      </c>
      <c r="O362" t="str">
        <f t="shared" si="11"/>
        <v/>
      </c>
      <c r="P362" t="str">
        <f>IF(A362="","",MAX(0,N362-System_Config!$B$9))</f>
        <v/>
      </c>
    </row>
    <row r="363" spans="12:16" ht="15" customHeight="1" x14ac:dyDescent="0.25">
      <c r="L363" t="str">
        <f>IF(A363="","",SUMIF(DB_Savings!$C:$C,A363,DB_Savings!$F:$F))</f>
        <v/>
      </c>
      <c r="M363" t="str">
        <f>IF(A363="","",SUMIF(DB_Withdrawals!$C:$C,A363,DB_Withdrawals!$G:$G))</f>
        <v/>
      </c>
      <c r="N363" t="str">
        <f t="shared" si="10"/>
        <v/>
      </c>
      <c r="O363" t="str">
        <f t="shared" si="11"/>
        <v/>
      </c>
      <c r="P363" t="str">
        <f>IF(A363="","",MAX(0,N363-System_Config!$B$9))</f>
        <v/>
      </c>
    </row>
    <row r="364" spans="12:16" ht="15" customHeight="1" x14ac:dyDescent="0.25">
      <c r="L364" t="str">
        <f>IF(A364="","",SUMIF(DB_Savings!$C:$C,A364,DB_Savings!$F:$F))</f>
        <v/>
      </c>
      <c r="M364" t="str">
        <f>IF(A364="","",SUMIF(DB_Withdrawals!$C:$C,A364,DB_Withdrawals!$G:$G))</f>
        <v/>
      </c>
      <c r="N364" t="str">
        <f t="shared" si="10"/>
        <v/>
      </c>
      <c r="O364" t="str">
        <f t="shared" si="11"/>
        <v/>
      </c>
      <c r="P364" t="str">
        <f>IF(A364="","",MAX(0,N364-System_Config!$B$9))</f>
        <v/>
      </c>
    </row>
    <row r="365" spans="12:16" ht="15" customHeight="1" x14ac:dyDescent="0.25">
      <c r="L365" t="str">
        <f>IF(A365="","",SUMIF(DB_Savings!$C:$C,A365,DB_Savings!$F:$F))</f>
        <v/>
      </c>
      <c r="M365" t="str">
        <f>IF(A365="","",SUMIF(DB_Withdrawals!$C:$C,A365,DB_Withdrawals!$G:$G))</f>
        <v/>
      </c>
      <c r="N365" t="str">
        <f t="shared" si="10"/>
        <v/>
      </c>
      <c r="O365" t="str">
        <f t="shared" si="11"/>
        <v/>
      </c>
      <c r="P365" t="str">
        <f>IF(A365="","",MAX(0,N365-System_Config!$B$9))</f>
        <v/>
      </c>
    </row>
    <row r="366" spans="12:16" ht="15" customHeight="1" x14ac:dyDescent="0.25">
      <c r="L366" t="str">
        <f>IF(A366="","",SUMIF(DB_Savings!$C:$C,A366,DB_Savings!$F:$F))</f>
        <v/>
      </c>
      <c r="M366" t="str">
        <f>IF(A366="","",SUMIF(DB_Withdrawals!$C:$C,A366,DB_Withdrawals!$G:$G))</f>
        <v/>
      </c>
      <c r="N366" t="str">
        <f t="shared" si="10"/>
        <v/>
      </c>
      <c r="O366" t="str">
        <f t="shared" si="11"/>
        <v/>
      </c>
      <c r="P366" t="str">
        <f>IF(A366="","",MAX(0,N366-System_Config!$B$9))</f>
        <v/>
      </c>
    </row>
    <row r="367" spans="12:16" ht="15" customHeight="1" x14ac:dyDescent="0.25">
      <c r="L367" t="str">
        <f>IF(A367="","",SUMIF(DB_Savings!$C:$C,A367,DB_Savings!$F:$F))</f>
        <v/>
      </c>
      <c r="M367" t="str">
        <f>IF(A367="","",SUMIF(DB_Withdrawals!$C:$C,A367,DB_Withdrawals!$G:$G))</f>
        <v/>
      </c>
      <c r="N367" t="str">
        <f t="shared" si="10"/>
        <v/>
      </c>
      <c r="O367" t="str">
        <f t="shared" si="11"/>
        <v/>
      </c>
      <c r="P367" t="str">
        <f>IF(A367="","",MAX(0,N367-System_Config!$B$9))</f>
        <v/>
      </c>
    </row>
    <row r="368" spans="12:16" ht="15" customHeight="1" x14ac:dyDescent="0.25">
      <c r="L368" t="str">
        <f>IF(A368="","",SUMIF(DB_Savings!$C:$C,A368,DB_Savings!$F:$F))</f>
        <v/>
      </c>
      <c r="M368" t="str">
        <f>IF(A368="","",SUMIF(DB_Withdrawals!$C:$C,A368,DB_Withdrawals!$G:$G))</f>
        <v/>
      </c>
      <c r="N368" t="str">
        <f t="shared" si="10"/>
        <v/>
      </c>
      <c r="O368" t="str">
        <f t="shared" si="11"/>
        <v/>
      </c>
      <c r="P368" t="str">
        <f>IF(A368="","",MAX(0,N368-System_Config!$B$9))</f>
        <v/>
      </c>
    </row>
    <row r="369" spans="12:16" ht="15" customHeight="1" x14ac:dyDescent="0.25">
      <c r="L369" t="str">
        <f>IF(A369="","",SUMIF(DB_Savings!$C:$C,A369,DB_Savings!$F:$F))</f>
        <v/>
      </c>
      <c r="M369" t="str">
        <f>IF(A369="","",SUMIF(DB_Withdrawals!$C:$C,A369,DB_Withdrawals!$G:$G))</f>
        <v/>
      </c>
      <c r="N369" t="str">
        <f t="shared" si="10"/>
        <v/>
      </c>
      <c r="O369" t="str">
        <f t="shared" si="11"/>
        <v/>
      </c>
      <c r="P369" t="str">
        <f>IF(A369="","",MAX(0,N369-System_Config!$B$9))</f>
        <v/>
      </c>
    </row>
    <row r="370" spans="12:16" ht="15" customHeight="1" x14ac:dyDescent="0.25">
      <c r="L370" t="str">
        <f>IF(A370="","",SUMIF(DB_Savings!$C:$C,A370,DB_Savings!$F:$F))</f>
        <v/>
      </c>
      <c r="M370" t="str">
        <f>IF(A370="","",SUMIF(DB_Withdrawals!$C:$C,A370,DB_Withdrawals!$G:$G))</f>
        <v/>
      </c>
      <c r="N370" t="str">
        <f t="shared" si="10"/>
        <v/>
      </c>
      <c r="O370" t="str">
        <f t="shared" si="11"/>
        <v/>
      </c>
      <c r="P370" t="str">
        <f>IF(A370="","",MAX(0,N370-System_Config!$B$9))</f>
        <v/>
      </c>
    </row>
    <row r="371" spans="12:16" ht="15" customHeight="1" x14ac:dyDescent="0.25">
      <c r="L371" t="str">
        <f>IF(A371="","",SUMIF(DB_Savings!$C:$C,A371,DB_Savings!$F:$F))</f>
        <v/>
      </c>
      <c r="M371" t="str">
        <f>IF(A371="","",SUMIF(DB_Withdrawals!$C:$C,A371,DB_Withdrawals!$G:$G))</f>
        <v/>
      </c>
      <c r="N371" t="str">
        <f t="shared" si="10"/>
        <v/>
      </c>
      <c r="O371" t="str">
        <f t="shared" si="11"/>
        <v/>
      </c>
      <c r="P371" t="str">
        <f>IF(A371="","",MAX(0,N371-System_Config!$B$9))</f>
        <v/>
      </c>
    </row>
    <row r="372" spans="12:16" ht="15" customHeight="1" x14ac:dyDescent="0.25">
      <c r="L372" t="str">
        <f>IF(A372="","",SUMIF(DB_Savings!$C:$C,A372,DB_Savings!$F:$F))</f>
        <v/>
      </c>
      <c r="M372" t="str">
        <f>IF(A372="","",SUMIF(DB_Withdrawals!$C:$C,A372,DB_Withdrawals!$G:$G))</f>
        <v/>
      </c>
      <c r="N372" t="str">
        <f t="shared" si="10"/>
        <v/>
      </c>
      <c r="O372" t="str">
        <f t="shared" si="11"/>
        <v/>
      </c>
      <c r="P372" t="str">
        <f>IF(A372="","",MAX(0,N372-System_Config!$B$9))</f>
        <v/>
      </c>
    </row>
    <row r="373" spans="12:16" ht="15" customHeight="1" x14ac:dyDescent="0.25">
      <c r="L373" t="str">
        <f>IF(A373="","",SUMIF(DB_Savings!$C:$C,A373,DB_Savings!$F:$F))</f>
        <v/>
      </c>
      <c r="M373" t="str">
        <f>IF(A373="","",SUMIF(DB_Withdrawals!$C:$C,A373,DB_Withdrawals!$G:$G))</f>
        <v/>
      </c>
      <c r="N373" t="str">
        <f t="shared" si="10"/>
        <v/>
      </c>
      <c r="O373" t="str">
        <f t="shared" si="11"/>
        <v/>
      </c>
      <c r="P373" t="str">
        <f>IF(A373="","",MAX(0,N373-System_Config!$B$9))</f>
        <v/>
      </c>
    </row>
    <row r="374" spans="12:16" ht="15" customHeight="1" x14ac:dyDescent="0.25">
      <c r="L374" t="str">
        <f>IF(A374="","",SUMIF(DB_Savings!$C:$C,A374,DB_Savings!$F:$F))</f>
        <v/>
      </c>
      <c r="M374" t="str">
        <f>IF(A374="","",SUMIF(DB_Withdrawals!$C:$C,A374,DB_Withdrawals!$G:$G))</f>
        <v/>
      </c>
      <c r="N374" t="str">
        <f t="shared" si="10"/>
        <v/>
      </c>
      <c r="O374" t="str">
        <f t="shared" si="11"/>
        <v/>
      </c>
      <c r="P374" t="str">
        <f>IF(A374="","",MAX(0,N374-System_Config!$B$9))</f>
        <v/>
      </c>
    </row>
    <row r="375" spans="12:16" ht="15" customHeight="1" x14ac:dyDescent="0.25">
      <c r="L375" t="str">
        <f>IF(A375="","",SUMIF(DB_Savings!$C:$C,A375,DB_Savings!$F:$F))</f>
        <v/>
      </c>
      <c r="M375" t="str">
        <f>IF(A375="","",SUMIF(DB_Withdrawals!$C:$C,A375,DB_Withdrawals!$G:$G))</f>
        <v/>
      </c>
      <c r="N375" t="str">
        <f t="shared" si="10"/>
        <v/>
      </c>
      <c r="O375" t="str">
        <f t="shared" si="11"/>
        <v/>
      </c>
      <c r="P375" t="str">
        <f>IF(A375="","",MAX(0,N375-System_Config!$B$9))</f>
        <v/>
      </c>
    </row>
    <row r="376" spans="12:16" ht="15" customHeight="1" x14ac:dyDescent="0.25">
      <c r="L376" t="str">
        <f>IF(A376="","",SUMIF(DB_Savings!$C:$C,A376,DB_Savings!$F:$F))</f>
        <v/>
      </c>
      <c r="M376" t="str">
        <f>IF(A376="","",SUMIF(DB_Withdrawals!$C:$C,A376,DB_Withdrawals!$G:$G))</f>
        <v/>
      </c>
      <c r="N376" t="str">
        <f t="shared" si="10"/>
        <v/>
      </c>
      <c r="O376" t="str">
        <f t="shared" si="11"/>
        <v/>
      </c>
      <c r="P376" t="str">
        <f>IF(A376="","",MAX(0,N376-System_Config!$B$9))</f>
        <v/>
      </c>
    </row>
    <row r="377" spans="12:16" ht="15" customHeight="1" x14ac:dyDescent="0.25">
      <c r="L377" t="str">
        <f>IF(A377="","",SUMIF(DB_Savings!$C:$C,A377,DB_Savings!$F:$F))</f>
        <v/>
      </c>
      <c r="M377" t="str">
        <f>IF(A377="","",SUMIF(DB_Withdrawals!$C:$C,A377,DB_Withdrawals!$G:$G))</f>
        <v/>
      </c>
      <c r="N377" t="str">
        <f t="shared" si="10"/>
        <v/>
      </c>
      <c r="O377" t="str">
        <f t="shared" si="11"/>
        <v/>
      </c>
      <c r="P377" t="str">
        <f>IF(A377="","",MAX(0,N377-System_Config!$B$9))</f>
        <v/>
      </c>
    </row>
    <row r="378" spans="12:16" ht="15" customHeight="1" x14ac:dyDescent="0.25">
      <c r="L378" t="str">
        <f>IF(A378="","",SUMIF(DB_Savings!$C:$C,A378,DB_Savings!$F:$F))</f>
        <v/>
      </c>
      <c r="M378" t="str">
        <f>IF(A378="","",SUMIF(DB_Withdrawals!$C:$C,A378,DB_Withdrawals!$G:$G))</f>
        <v/>
      </c>
      <c r="N378" t="str">
        <f t="shared" si="10"/>
        <v/>
      </c>
      <c r="O378" t="str">
        <f t="shared" si="11"/>
        <v/>
      </c>
      <c r="P378" t="str">
        <f>IF(A378="","",MAX(0,N378-System_Config!$B$9))</f>
        <v/>
      </c>
    </row>
    <row r="379" spans="12:16" ht="15" customHeight="1" x14ac:dyDescent="0.25">
      <c r="L379" t="str">
        <f>IF(A379="","",SUMIF(DB_Savings!$C:$C,A379,DB_Savings!$F:$F))</f>
        <v/>
      </c>
      <c r="M379" t="str">
        <f>IF(A379="","",SUMIF(DB_Withdrawals!$C:$C,A379,DB_Withdrawals!$G:$G))</f>
        <v/>
      </c>
      <c r="N379" t="str">
        <f t="shared" si="10"/>
        <v/>
      </c>
      <c r="O379" t="str">
        <f t="shared" si="11"/>
        <v/>
      </c>
      <c r="P379" t="str">
        <f>IF(A379="","",MAX(0,N379-System_Config!$B$9))</f>
        <v/>
      </c>
    </row>
    <row r="380" spans="12:16" ht="15" customHeight="1" x14ac:dyDescent="0.25">
      <c r="L380" t="str">
        <f>IF(A380="","",SUMIF(DB_Savings!$C:$C,A380,DB_Savings!$F:$F))</f>
        <v/>
      </c>
      <c r="M380" t="str">
        <f>IF(A380="","",SUMIF(DB_Withdrawals!$C:$C,A380,DB_Withdrawals!$G:$G))</f>
        <v/>
      </c>
      <c r="N380" t="str">
        <f t="shared" si="10"/>
        <v/>
      </c>
      <c r="O380" t="str">
        <f t="shared" si="11"/>
        <v/>
      </c>
      <c r="P380" t="str">
        <f>IF(A380="","",MAX(0,N380-System_Config!$B$9))</f>
        <v/>
      </c>
    </row>
    <row r="381" spans="12:16" ht="15" customHeight="1" x14ac:dyDescent="0.25">
      <c r="L381" t="str">
        <f>IF(A381="","",SUMIF(DB_Savings!$C:$C,A381,DB_Savings!$F:$F))</f>
        <v/>
      </c>
      <c r="M381" t="str">
        <f>IF(A381="","",SUMIF(DB_Withdrawals!$C:$C,A381,DB_Withdrawals!$G:$G))</f>
        <v/>
      </c>
      <c r="N381" t="str">
        <f t="shared" si="10"/>
        <v/>
      </c>
      <c r="O381" t="str">
        <f t="shared" si="11"/>
        <v/>
      </c>
      <c r="P381" t="str">
        <f>IF(A381="","",MAX(0,N381-System_Config!$B$9))</f>
        <v/>
      </c>
    </row>
    <row r="382" spans="12:16" ht="15" customHeight="1" x14ac:dyDescent="0.25">
      <c r="L382" t="str">
        <f>IF(A382="","",SUMIF(DB_Savings!$C:$C,A382,DB_Savings!$F:$F))</f>
        <v/>
      </c>
      <c r="M382" t="str">
        <f>IF(A382="","",SUMIF(DB_Withdrawals!$C:$C,A382,DB_Withdrawals!$G:$G))</f>
        <v/>
      </c>
      <c r="N382" t="str">
        <f t="shared" si="10"/>
        <v/>
      </c>
      <c r="O382" t="str">
        <f t="shared" si="11"/>
        <v/>
      </c>
      <c r="P382" t="str">
        <f>IF(A382="","",MAX(0,N382-System_Config!$B$9))</f>
        <v/>
      </c>
    </row>
    <row r="383" spans="12:16" ht="15" customHeight="1" x14ac:dyDescent="0.25">
      <c r="L383" t="str">
        <f>IF(A383="","",SUMIF(DB_Savings!$C:$C,A383,DB_Savings!$F:$F))</f>
        <v/>
      </c>
      <c r="M383" t="str">
        <f>IF(A383="","",SUMIF(DB_Withdrawals!$C:$C,A383,DB_Withdrawals!$G:$G))</f>
        <v/>
      </c>
      <c r="N383" t="str">
        <f t="shared" si="10"/>
        <v/>
      </c>
      <c r="O383" t="str">
        <f t="shared" si="11"/>
        <v/>
      </c>
      <c r="P383" t="str">
        <f>IF(A383="","",MAX(0,N383-System_Config!$B$9))</f>
        <v/>
      </c>
    </row>
    <row r="384" spans="12:16" ht="15" customHeight="1" x14ac:dyDescent="0.25">
      <c r="L384" t="str">
        <f>IF(A384="","",SUMIF(DB_Savings!$C:$C,A384,DB_Savings!$F:$F))</f>
        <v/>
      </c>
      <c r="M384" t="str">
        <f>IF(A384="","",SUMIF(DB_Withdrawals!$C:$C,A384,DB_Withdrawals!$G:$G))</f>
        <v/>
      </c>
      <c r="N384" t="str">
        <f t="shared" si="10"/>
        <v/>
      </c>
      <c r="O384" t="str">
        <f t="shared" si="11"/>
        <v/>
      </c>
      <c r="P384" t="str">
        <f>IF(A384="","",MAX(0,N384-System_Config!$B$9))</f>
        <v/>
      </c>
    </row>
    <row r="385" spans="12:16" ht="15" customHeight="1" x14ac:dyDescent="0.25">
      <c r="L385" t="str">
        <f>IF(A385="","",SUMIF(DB_Savings!$C:$C,A385,DB_Savings!$F:$F))</f>
        <v/>
      </c>
      <c r="M385" t="str">
        <f>IF(A385="","",SUMIF(DB_Withdrawals!$C:$C,A385,DB_Withdrawals!$G:$G))</f>
        <v/>
      </c>
      <c r="N385" t="str">
        <f t="shared" si="10"/>
        <v/>
      </c>
      <c r="O385" t="str">
        <f t="shared" si="11"/>
        <v/>
      </c>
      <c r="P385" t="str">
        <f>IF(A385="","",MAX(0,N385-System_Config!$B$9))</f>
        <v/>
      </c>
    </row>
    <row r="386" spans="12:16" ht="15" customHeight="1" x14ac:dyDescent="0.25">
      <c r="L386" t="str">
        <f>IF(A386="","",SUMIF(DB_Savings!$C:$C,A386,DB_Savings!$F:$F))</f>
        <v/>
      </c>
      <c r="M386" t="str">
        <f>IF(A386="","",SUMIF(DB_Withdrawals!$C:$C,A386,DB_Withdrawals!$G:$G))</f>
        <v/>
      </c>
      <c r="N386" t="str">
        <f t="shared" si="10"/>
        <v/>
      </c>
      <c r="O386" t="str">
        <f t="shared" si="11"/>
        <v/>
      </c>
      <c r="P386" t="str">
        <f>IF(A386="","",MAX(0,N386-System_Config!$B$9))</f>
        <v/>
      </c>
    </row>
    <row r="387" spans="12:16" ht="15" customHeight="1" x14ac:dyDescent="0.25">
      <c r="L387" t="str">
        <f>IF(A387="","",SUMIF(DB_Savings!$C:$C,A387,DB_Savings!$F:$F))</f>
        <v/>
      </c>
      <c r="M387" t="str">
        <f>IF(A387="","",SUMIF(DB_Withdrawals!$C:$C,A387,DB_Withdrawals!$G:$G))</f>
        <v/>
      </c>
      <c r="N387" t="str">
        <f t="shared" si="10"/>
        <v/>
      </c>
      <c r="O387" t="str">
        <f t="shared" si="11"/>
        <v/>
      </c>
      <c r="P387" t="str">
        <f>IF(A387="","",MAX(0,N387-System_Config!$B$9))</f>
        <v/>
      </c>
    </row>
    <row r="388" spans="12:16" ht="15" customHeight="1" x14ac:dyDescent="0.25">
      <c r="L388" t="str">
        <f>IF(A388="","",SUMIF(DB_Savings!$C:$C,A388,DB_Savings!$F:$F))</f>
        <v/>
      </c>
      <c r="M388" t="str">
        <f>IF(A388="","",SUMIF(DB_Withdrawals!$C:$C,A388,DB_Withdrawals!$G:$G))</f>
        <v/>
      </c>
      <c r="N388" t="str">
        <f t="shared" ref="N388:N451" si="12">IF(A388="","",I388+L388-M388)</f>
        <v/>
      </c>
      <c r="O388" t="str">
        <f t="shared" ref="O388:O451" si="13">IF(A388="","",TRUE())</f>
        <v/>
      </c>
      <c r="P388" t="str">
        <f>IF(A388="","",MAX(0,N388-System_Config!$B$9))</f>
        <v/>
      </c>
    </row>
    <row r="389" spans="12:16" ht="15" customHeight="1" x14ac:dyDescent="0.25">
      <c r="L389" t="str">
        <f>IF(A389="","",SUMIF(DB_Savings!$C:$C,A389,DB_Savings!$F:$F))</f>
        <v/>
      </c>
      <c r="M389" t="str">
        <f>IF(A389="","",SUMIF(DB_Withdrawals!$C:$C,A389,DB_Withdrawals!$G:$G))</f>
        <v/>
      </c>
      <c r="N389" t="str">
        <f t="shared" si="12"/>
        <v/>
      </c>
      <c r="O389" t="str">
        <f t="shared" si="13"/>
        <v/>
      </c>
      <c r="P389" t="str">
        <f>IF(A389="","",MAX(0,N389-System_Config!$B$9))</f>
        <v/>
      </c>
    </row>
    <row r="390" spans="12:16" ht="15" customHeight="1" x14ac:dyDescent="0.25">
      <c r="L390" t="str">
        <f>IF(A390="","",SUMIF(DB_Savings!$C:$C,A390,DB_Savings!$F:$F))</f>
        <v/>
      </c>
      <c r="M390" t="str">
        <f>IF(A390="","",SUMIF(DB_Withdrawals!$C:$C,A390,DB_Withdrawals!$G:$G))</f>
        <v/>
      </c>
      <c r="N390" t="str">
        <f t="shared" si="12"/>
        <v/>
      </c>
      <c r="O390" t="str">
        <f t="shared" si="13"/>
        <v/>
      </c>
      <c r="P390" t="str">
        <f>IF(A390="","",MAX(0,N390-System_Config!$B$9))</f>
        <v/>
      </c>
    </row>
    <row r="391" spans="12:16" ht="15" customHeight="1" x14ac:dyDescent="0.25">
      <c r="L391" t="str">
        <f>IF(A391="","",SUMIF(DB_Savings!$C:$C,A391,DB_Savings!$F:$F))</f>
        <v/>
      </c>
      <c r="M391" t="str">
        <f>IF(A391="","",SUMIF(DB_Withdrawals!$C:$C,A391,DB_Withdrawals!$G:$G))</f>
        <v/>
      </c>
      <c r="N391" t="str">
        <f t="shared" si="12"/>
        <v/>
      </c>
      <c r="O391" t="str">
        <f t="shared" si="13"/>
        <v/>
      </c>
      <c r="P391" t="str">
        <f>IF(A391="","",MAX(0,N391-System_Config!$B$9))</f>
        <v/>
      </c>
    </row>
    <row r="392" spans="12:16" ht="15" customHeight="1" x14ac:dyDescent="0.25">
      <c r="L392" t="str">
        <f>IF(A392="","",SUMIF(DB_Savings!$C:$C,A392,DB_Savings!$F:$F))</f>
        <v/>
      </c>
      <c r="M392" t="str">
        <f>IF(A392="","",SUMIF(DB_Withdrawals!$C:$C,A392,DB_Withdrawals!$G:$G))</f>
        <v/>
      </c>
      <c r="N392" t="str">
        <f t="shared" si="12"/>
        <v/>
      </c>
      <c r="O392" t="str">
        <f t="shared" si="13"/>
        <v/>
      </c>
      <c r="P392" t="str">
        <f>IF(A392="","",MAX(0,N392-System_Config!$B$9))</f>
        <v/>
      </c>
    </row>
    <row r="393" spans="12:16" ht="15" customHeight="1" x14ac:dyDescent="0.25">
      <c r="L393" t="str">
        <f>IF(A393="","",SUMIF(DB_Savings!$C:$C,A393,DB_Savings!$F:$F))</f>
        <v/>
      </c>
      <c r="M393" t="str">
        <f>IF(A393="","",SUMIF(DB_Withdrawals!$C:$C,A393,DB_Withdrawals!$G:$G))</f>
        <v/>
      </c>
      <c r="N393" t="str">
        <f t="shared" si="12"/>
        <v/>
      </c>
      <c r="O393" t="str">
        <f t="shared" si="13"/>
        <v/>
      </c>
      <c r="P393" t="str">
        <f>IF(A393="","",MAX(0,N393-System_Config!$B$9))</f>
        <v/>
      </c>
    </row>
    <row r="394" spans="12:16" ht="15" customHeight="1" x14ac:dyDescent="0.25">
      <c r="L394" t="str">
        <f>IF(A394="","",SUMIF(DB_Savings!$C:$C,A394,DB_Savings!$F:$F))</f>
        <v/>
      </c>
      <c r="M394" t="str">
        <f>IF(A394="","",SUMIF(DB_Withdrawals!$C:$C,A394,DB_Withdrawals!$G:$G))</f>
        <v/>
      </c>
      <c r="N394" t="str">
        <f t="shared" si="12"/>
        <v/>
      </c>
      <c r="O394" t="str">
        <f t="shared" si="13"/>
        <v/>
      </c>
      <c r="P394" t="str">
        <f>IF(A394="","",MAX(0,N394-System_Config!$B$9))</f>
        <v/>
      </c>
    </row>
    <row r="395" spans="12:16" ht="15" customHeight="1" x14ac:dyDescent="0.25">
      <c r="L395" t="str">
        <f>IF(A395="","",SUMIF(DB_Savings!$C:$C,A395,DB_Savings!$F:$F))</f>
        <v/>
      </c>
      <c r="M395" t="str">
        <f>IF(A395="","",SUMIF(DB_Withdrawals!$C:$C,A395,DB_Withdrawals!$G:$G))</f>
        <v/>
      </c>
      <c r="N395" t="str">
        <f t="shared" si="12"/>
        <v/>
      </c>
      <c r="O395" t="str">
        <f t="shared" si="13"/>
        <v/>
      </c>
      <c r="P395" t="str">
        <f>IF(A395="","",MAX(0,N395-System_Config!$B$9))</f>
        <v/>
      </c>
    </row>
    <row r="396" spans="12:16" ht="15" customHeight="1" x14ac:dyDescent="0.25">
      <c r="L396" t="str">
        <f>IF(A396="","",SUMIF(DB_Savings!$C:$C,A396,DB_Savings!$F:$F))</f>
        <v/>
      </c>
      <c r="M396" t="str">
        <f>IF(A396="","",SUMIF(DB_Withdrawals!$C:$C,A396,DB_Withdrawals!$G:$G))</f>
        <v/>
      </c>
      <c r="N396" t="str">
        <f t="shared" si="12"/>
        <v/>
      </c>
      <c r="O396" t="str">
        <f t="shared" si="13"/>
        <v/>
      </c>
      <c r="P396" t="str">
        <f>IF(A396="","",MAX(0,N396-System_Config!$B$9))</f>
        <v/>
      </c>
    </row>
    <row r="397" spans="12:16" ht="15" customHeight="1" x14ac:dyDescent="0.25">
      <c r="L397" t="str">
        <f>IF(A397="","",SUMIF(DB_Savings!$C:$C,A397,DB_Savings!$F:$F))</f>
        <v/>
      </c>
      <c r="M397" t="str">
        <f>IF(A397="","",SUMIF(DB_Withdrawals!$C:$C,A397,DB_Withdrawals!$G:$G))</f>
        <v/>
      </c>
      <c r="N397" t="str">
        <f t="shared" si="12"/>
        <v/>
      </c>
      <c r="O397" t="str">
        <f t="shared" si="13"/>
        <v/>
      </c>
      <c r="P397" t="str">
        <f>IF(A397="","",MAX(0,N397-System_Config!$B$9))</f>
        <v/>
      </c>
    </row>
    <row r="398" spans="12:16" ht="15" customHeight="1" x14ac:dyDescent="0.25">
      <c r="L398" t="str">
        <f>IF(A398="","",SUMIF(DB_Savings!$C:$C,A398,DB_Savings!$F:$F))</f>
        <v/>
      </c>
      <c r="M398" t="str">
        <f>IF(A398="","",SUMIF(DB_Withdrawals!$C:$C,A398,DB_Withdrawals!$G:$G))</f>
        <v/>
      </c>
      <c r="N398" t="str">
        <f t="shared" si="12"/>
        <v/>
      </c>
      <c r="O398" t="str">
        <f t="shared" si="13"/>
        <v/>
      </c>
      <c r="P398" t="str">
        <f>IF(A398="","",MAX(0,N398-System_Config!$B$9))</f>
        <v/>
      </c>
    </row>
    <row r="399" spans="12:16" ht="15" customHeight="1" x14ac:dyDescent="0.25">
      <c r="L399" t="str">
        <f>IF(A399="","",SUMIF(DB_Savings!$C:$C,A399,DB_Savings!$F:$F))</f>
        <v/>
      </c>
      <c r="M399" t="str">
        <f>IF(A399="","",SUMIF(DB_Withdrawals!$C:$C,A399,DB_Withdrawals!$G:$G))</f>
        <v/>
      </c>
      <c r="N399" t="str">
        <f t="shared" si="12"/>
        <v/>
      </c>
      <c r="O399" t="str">
        <f t="shared" si="13"/>
        <v/>
      </c>
      <c r="P399" t="str">
        <f>IF(A399="","",MAX(0,N399-System_Config!$B$9))</f>
        <v/>
      </c>
    </row>
    <row r="400" spans="12:16" ht="15" customHeight="1" x14ac:dyDescent="0.25">
      <c r="L400" t="str">
        <f>IF(A400="","",SUMIF(DB_Savings!$C:$C,A400,DB_Savings!$F:$F))</f>
        <v/>
      </c>
      <c r="M400" t="str">
        <f>IF(A400="","",SUMIF(DB_Withdrawals!$C:$C,A400,DB_Withdrawals!$G:$G))</f>
        <v/>
      </c>
      <c r="N400" t="str">
        <f t="shared" si="12"/>
        <v/>
      </c>
      <c r="O400" t="str">
        <f t="shared" si="13"/>
        <v/>
      </c>
      <c r="P400" t="str">
        <f>IF(A400="","",MAX(0,N400-System_Config!$B$9))</f>
        <v/>
      </c>
    </row>
    <row r="401" spans="12:16" ht="15" customHeight="1" x14ac:dyDescent="0.25">
      <c r="L401" t="str">
        <f>IF(A401="","",SUMIF(DB_Savings!$C:$C,A401,DB_Savings!$F:$F))</f>
        <v/>
      </c>
      <c r="M401" t="str">
        <f>IF(A401="","",SUMIF(DB_Withdrawals!$C:$C,A401,DB_Withdrawals!$G:$G))</f>
        <v/>
      </c>
      <c r="N401" t="str">
        <f t="shared" si="12"/>
        <v/>
      </c>
      <c r="O401" t="str">
        <f t="shared" si="13"/>
        <v/>
      </c>
      <c r="P401" t="str">
        <f>IF(A401="","",MAX(0,N401-System_Config!$B$9))</f>
        <v/>
      </c>
    </row>
    <row r="402" spans="12:16" ht="15" customHeight="1" x14ac:dyDescent="0.25">
      <c r="L402" t="str">
        <f>IF(A402="","",SUMIF(DB_Savings!$C:$C,A402,DB_Savings!$F:$F))</f>
        <v/>
      </c>
      <c r="M402" t="str">
        <f>IF(A402="","",SUMIF(DB_Withdrawals!$C:$C,A402,DB_Withdrawals!$G:$G))</f>
        <v/>
      </c>
      <c r="N402" t="str">
        <f t="shared" si="12"/>
        <v/>
      </c>
      <c r="O402" t="str">
        <f t="shared" si="13"/>
        <v/>
      </c>
      <c r="P402" t="str">
        <f>IF(A402="","",MAX(0,N402-System_Config!$B$9))</f>
        <v/>
      </c>
    </row>
    <row r="403" spans="12:16" ht="15" customHeight="1" x14ac:dyDescent="0.25">
      <c r="L403" t="str">
        <f>IF(A403="","",SUMIF(DB_Savings!$C:$C,A403,DB_Savings!$F:$F))</f>
        <v/>
      </c>
      <c r="M403" t="str">
        <f>IF(A403="","",SUMIF(DB_Withdrawals!$C:$C,A403,DB_Withdrawals!$G:$G))</f>
        <v/>
      </c>
      <c r="N403" t="str">
        <f t="shared" si="12"/>
        <v/>
      </c>
      <c r="O403" t="str">
        <f t="shared" si="13"/>
        <v/>
      </c>
      <c r="P403" t="str">
        <f>IF(A403="","",MAX(0,N403-System_Config!$B$9))</f>
        <v/>
      </c>
    </row>
    <row r="404" spans="12:16" ht="15" customHeight="1" x14ac:dyDescent="0.25">
      <c r="L404" t="str">
        <f>IF(A404="","",SUMIF(DB_Savings!$C:$C,A404,DB_Savings!$F:$F))</f>
        <v/>
      </c>
      <c r="M404" t="str">
        <f>IF(A404="","",SUMIF(DB_Withdrawals!$C:$C,A404,DB_Withdrawals!$G:$G))</f>
        <v/>
      </c>
      <c r="N404" t="str">
        <f t="shared" si="12"/>
        <v/>
      </c>
      <c r="O404" t="str">
        <f t="shared" si="13"/>
        <v/>
      </c>
      <c r="P404" t="str">
        <f>IF(A404="","",MAX(0,N404-System_Config!$B$9))</f>
        <v/>
      </c>
    </row>
    <row r="405" spans="12:16" ht="15" customHeight="1" x14ac:dyDescent="0.25">
      <c r="L405" t="str">
        <f>IF(A405="","",SUMIF(DB_Savings!$C:$C,A405,DB_Savings!$F:$F))</f>
        <v/>
      </c>
      <c r="M405" t="str">
        <f>IF(A405="","",SUMIF(DB_Withdrawals!$C:$C,A405,DB_Withdrawals!$G:$G))</f>
        <v/>
      </c>
      <c r="N405" t="str">
        <f t="shared" si="12"/>
        <v/>
      </c>
      <c r="O405" t="str">
        <f t="shared" si="13"/>
        <v/>
      </c>
      <c r="P405" t="str">
        <f>IF(A405="","",MAX(0,N405-System_Config!$B$9))</f>
        <v/>
      </c>
    </row>
    <row r="406" spans="12:16" ht="15" customHeight="1" x14ac:dyDescent="0.25">
      <c r="L406" t="str">
        <f>IF(A406="","",SUMIF(DB_Savings!$C:$C,A406,DB_Savings!$F:$F))</f>
        <v/>
      </c>
      <c r="M406" t="str">
        <f>IF(A406="","",SUMIF(DB_Withdrawals!$C:$C,A406,DB_Withdrawals!$G:$G))</f>
        <v/>
      </c>
      <c r="N406" t="str">
        <f t="shared" si="12"/>
        <v/>
      </c>
      <c r="O406" t="str">
        <f t="shared" si="13"/>
        <v/>
      </c>
      <c r="P406" t="str">
        <f>IF(A406="","",MAX(0,N406-System_Config!$B$9))</f>
        <v/>
      </c>
    </row>
    <row r="407" spans="12:16" ht="15" customHeight="1" x14ac:dyDescent="0.25">
      <c r="L407" t="str">
        <f>IF(A407="","",SUMIF(DB_Savings!$C:$C,A407,DB_Savings!$F:$F))</f>
        <v/>
      </c>
      <c r="M407" t="str">
        <f>IF(A407="","",SUMIF(DB_Withdrawals!$C:$C,A407,DB_Withdrawals!$G:$G))</f>
        <v/>
      </c>
      <c r="N407" t="str">
        <f t="shared" si="12"/>
        <v/>
      </c>
      <c r="O407" t="str">
        <f t="shared" si="13"/>
        <v/>
      </c>
      <c r="P407" t="str">
        <f>IF(A407="","",MAX(0,N407-System_Config!$B$9))</f>
        <v/>
      </c>
    </row>
    <row r="408" spans="12:16" ht="15" customHeight="1" x14ac:dyDescent="0.25">
      <c r="L408" t="str">
        <f>IF(A408="","",SUMIF(DB_Savings!$C:$C,A408,DB_Savings!$F:$F))</f>
        <v/>
      </c>
      <c r="M408" t="str">
        <f>IF(A408="","",SUMIF(DB_Withdrawals!$C:$C,A408,DB_Withdrawals!$G:$G))</f>
        <v/>
      </c>
      <c r="N408" t="str">
        <f t="shared" si="12"/>
        <v/>
      </c>
      <c r="O408" t="str">
        <f t="shared" si="13"/>
        <v/>
      </c>
      <c r="P408" t="str">
        <f>IF(A408="","",MAX(0,N408-System_Config!$B$9))</f>
        <v/>
      </c>
    </row>
    <row r="409" spans="12:16" ht="15" customHeight="1" x14ac:dyDescent="0.25">
      <c r="L409" t="str">
        <f>IF(A409="","",SUMIF(DB_Savings!$C:$C,A409,DB_Savings!$F:$F))</f>
        <v/>
      </c>
      <c r="M409" t="str">
        <f>IF(A409="","",SUMIF(DB_Withdrawals!$C:$C,A409,DB_Withdrawals!$G:$G))</f>
        <v/>
      </c>
      <c r="N409" t="str">
        <f t="shared" si="12"/>
        <v/>
      </c>
      <c r="O409" t="str">
        <f t="shared" si="13"/>
        <v/>
      </c>
      <c r="P409" t="str">
        <f>IF(A409="","",MAX(0,N409-System_Config!$B$9))</f>
        <v/>
      </c>
    </row>
    <row r="410" spans="12:16" ht="15" customHeight="1" x14ac:dyDescent="0.25">
      <c r="L410" t="str">
        <f>IF(A410="","",SUMIF(DB_Savings!$C:$C,A410,DB_Savings!$F:$F))</f>
        <v/>
      </c>
      <c r="M410" t="str">
        <f>IF(A410="","",SUMIF(DB_Withdrawals!$C:$C,A410,DB_Withdrawals!$G:$G))</f>
        <v/>
      </c>
      <c r="N410" t="str">
        <f t="shared" si="12"/>
        <v/>
      </c>
      <c r="O410" t="str">
        <f t="shared" si="13"/>
        <v/>
      </c>
      <c r="P410" t="str">
        <f>IF(A410="","",MAX(0,N410-System_Config!$B$9))</f>
        <v/>
      </c>
    </row>
    <row r="411" spans="12:16" ht="15" customHeight="1" x14ac:dyDescent="0.25">
      <c r="L411" t="str">
        <f>IF(A411="","",SUMIF(DB_Savings!$C:$C,A411,DB_Savings!$F:$F))</f>
        <v/>
      </c>
      <c r="M411" t="str">
        <f>IF(A411="","",SUMIF(DB_Withdrawals!$C:$C,A411,DB_Withdrawals!$G:$G))</f>
        <v/>
      </c>
      <c r="N411" t="str">
        <f t="shared" si="12"/>
        <v/>
      </c>
      <c r="O411" t="str">
        <f t="shared" si="13"/>
        <v/>
      </c>
      <c r="P411" t="str">
        <f>IF(A411="","",MAX(0,N411-System_Config!$B$9))</f>
        <v/>
      </c>
    </row>
    <row r="412" spans="12:16" ht="15" customHeight="1" x14ac:dyDescent="0.25">
      <c r="L412" t="str">
        <f>IF(A412="","",SUMIF(DB_Savings!$C:$C,A412,DB_Savings!$F:$F))</f>
        <v/>
      </c>
      <c r="M412" t="str">
        <f>IF(A412="","",SUMIF(DB_Withdrawals!$C:$C,A412,DB_Withdrawals!$G:$G))</f>
        <v/>
      </c>
      <c r="N412" t="str">
        <f t="shared" si="12"/>
        <v/>
      </c>
      <c r="O412" t="str">
        <f t="shared" si="13"/>
        <v/>
      </c>
      <c r="P412" t="str">
        <f>IF(A412="","",MAX(0,N412-System_Config!$B$9))</f>
        <v/>
      </c>
    </row>
    <row r="413" spans="12:16" ht="15" customHeight="1" x14ac:dyDescent="0.25">
      <c r="L413" t="str">
        <f>IF(A413="","",SUMIF(DB_Savings!$C:$C,A413,DB_Savings!$F:$F))</f>
        <v/>
      </c>
      <c r="M413" t="str">
        <f>IF(A413="","",SUMIF(DB_Withdrawals!$C:$C,A413,DB_Withdrawals!$G:$G))</f>
        <v/>
      </c>
      <c r="N413" t="str">
        <f t="shared" si="12"/>
        <v/>
      </c>
      <c r="O413" t="str">
        <f t="shared" si="13"/>
        <v/>
      </c>
      <c r="P413" t="str">
        <f>IF(A413="","",MAX(0,N413-System_Config!$B$9))</f>
        <v/>
      </c>
    </row>
    <row r="414" spans="12:16" ht="15" customHeight="1" x14ac:dyDescent="0.25">
      <c r="L414" t="str">
        <f>IF(A414="","",SUMIF(DB_Savings!$C:$C,A414,DB_Savings!$F:$F))</f>
        <v/>
      </c>
      <c r="M414" t="str">
        <f>IF(A414="","",SUMIF(DB_Withdrawals!$C:$C,A414,DB_Withdrawals!$G:$G))</f>
        <v/>
      </c>
      <c r="N414" t="str">
        <f t="shared" si="12"/>
        <v/>
      </c>
      <c r="O414" t="str">
        <f t="shared" si="13"/>
        <v/>
      </c>
      <c r="P414" t="str">
        <f>IF(A414="","",MAX(0,N414-System_Config!$B$9))</f>
        <v/>
      </c>
    </row>
    <row r="415" spans="12:16" ht="15" customHeight="1" x14ac:dyDescent="0.25">
      <c r="L415" t="str">
        <f>IF(A415="","",SUMIF(DB_Savings!$C:$C,A415,DB_Savings!$F:$F))</f>
        <v/>
      </c>
      <c r="M415" t="str">
        <f>IF(A415="","",SUMIF(DB_Withdrawals!$C:$C,A415,DB_Withdrawals!$G:$G))</f>
        <v/>
      </c>
      <c r="N415" t="str">
        <f t="shared" si="12"/>
        <v/>
      </c>
      <c r="O415" t="str">
        <f t="shared" si="13"/>
        <v/>
      </c>
      <c r="P415" t="str">
        <f>IF(A415="","",MAX(0,N415-System_Config!$B$9))</f>
        <v/>
      </c>
    </row>
    <row r="416" spans="12:16" ht="15" customHeight="1" x14ac:dyDescent="0.25">
      <c r="L416" t="str">
        <f>IF(A416="","",SUMIF(DB_Savings!$C:$C,A416,DB_Savings!$F:$F))</f>
        <v/>
      </c>
      <c r="M416" t="str">
        <f>IF(A416="","",SUMIF(DB_Withdrawals!$C:$C,A416,DB_Withdrawals!$G:$G))</f>
        <v/>
      </c>
      <c r="N416" t="str">
        <f t="shared" si="12"/>
        <v/>
      </c>
      <c r="O416" t="str">
        <f t="shared" si="13"/>
        <v/>
      </c>
      <c r="P416" t="str">
        <f>IF(A416="","",MAX(0,N416-System_Config!$B$9))</f>
        <v/>
      </c>
    </row>
    <row r="417" spans="12:16" ht="15" customHeight="1" x14ac:dyDescent="0.25">
      <c r="L417" t="str">
        <f>IF(A417="","",SUMIF(DB_Savings!$C:$C,A417,DB_Savings!$F:$F))</f>
        <v/>
      </c>
      <c r="M417" t="str">
        <f>IF(A417="","",SUMIF(DB_Withdrawals!$C:$C,A417,DB_Withdrawals!$G:$G))</f>
        <v/>
      </c>
      <c r="N417" t="str">
        <f t="shared" si="12"/>
        <v/>
      </c>
      <c r="O417" t="str">
        <f t="shared" si="13"/>
        <v/>
      </c>
      <c r="P417" t="str">
        <f>IF(A417="","",MAX(0,N417-System_Config!$B$9))</f>
        <v/>
      </c>
    </row>
    <row r="418" spans="12:16" ht="15" customHeight="1" x14ac:dyDescent="0.25">
      <c r="L418" t="str">
        <f>IF(A418="","",SUMIF(DB_Savings!$C:$C,A418,DB_Savings!$F:$F))</f>
        <v/>
      </c>
      <c r="M418" t="str">
        <f>IF(A418="","",SUMIF(DB_Withdrawals!$C:$C,A418,DB_Withdrawals!$G:$G))</f>
        <v/>
      </c>
      <c r="N418" t="str">
        <f t="shared" si="12"/>
        <v/>
      </c>
      <c r="O418" t="str">
        <f t="shared" si="13"/>
        <v/>
      </c>
      <c r="P418" t="str">
        <f>IF(A418="","",MAX(0,N418-System_Config!$B$9))</f>
        <v/>
      </c>
    </row>
    <row r="419" spans="12:16" ht="15" customHeight="1" x14ac:dyDescent="0.25">
      <c r="L419" t="str">
        <f>IF(A419="","",SUMIF(DB_Savings!$C:$C,A419,DB_Savings!$F:$F))</f>
        <v/>
      </c>
      <c r="M419" t="str">
        <f>IF(A419="","",SUMIF(DB_Withdrawals!$C:$C,A419,DB_Withdrawals!$G:$G))</f>
        <v/>
      </c>
      <c r="N419" t="str">
        <f t="shared" si="12"/>
        <v/>
      </c>
      <c r="O419" t="str">
        <f t="shared" si="13"/>
        <v/>
      </c>
      <c r="P419" t="str">
        <f>IF(A419="","",MAX(0,N419-System_Config!$B$9))</f>
        <v/>
      </c>
    </row>
    <row r="420" spans="12:16" ht="15" customHeight="1" x14ac:dyDescent="0.25">
      <c r="L420" t="str">
        <f>IF(A420="","",SUMIF(DB_Savings!$C:$C,A420,DB_Savings!$F:$F))</f>
        <v/>
      </c>
      <c r="M420" t="str">
        <f>IF(A420="","",SUMIF(DB_Withdrawals!$C:$C,A420,DB_Withdrawals!$G:$G))</f>
        <v/>
      </c>
      <c r="N420" t="str">
        <f t="shared" si="12"/>
        <v/>
      </c>
      <c r="O420" t="str">
        <f t="shared" si="13"/>
        <v/>
      </c>
      <c r="P420" t="str">
        <f>IF(A420="","",MAX(0,N420-System_Config!$B$9))</f>
        <v/>
      </c>
    </row>
    <row r="421" spans="12:16" ht="15" customHeight="1" x14ac:dyDescent="0.25">
      <c r="L421" t="str">
        <f>IF(A421="","",SUMIF(DB_Savings!$C:$C,A421,DB_Savings!$F:$F))</f>
        <v/>
      </c>
      <c r="M421" t="str">
        <f>IF(A421="","",SUMIF(DB_Withdrawals!$C:$C,A421,DB_Withdrawals!$G:$G))</f>
        <v/>
      </c>
      <c r="N421" t="str">
        <f t="shared" si="12"/>
        <v/>
      </c>
      <c r="O421" t="str">
        <f t="shared" si="13"/>
        <v/>
      </c>
      <c r="P421" t="str">
        <f>IF(A421="","",MAX(0,N421-System_Config!$B$9))</f>
        <v/>
      </c>
    </row>
    <row r="422" spans="12:16" ht="15" customHeight="1" x14ac:dyDescent="0.25">
      <c r="L422" t="str">
        <f>IF(A422="","",SUMIF(DB_Savings!$C:$C,A422,DB_Savings!$F:$F))</f>
        <v/>
      </c>
      <c r="M422" t="str">
        <f>IF(A422="","",SUMIF(DB_Withdrawals!$C:$C,A422,DB_Withdrawals!$G:$G))</f>
        <v/>
      </c>
      <c r="N422" t="str">
        <f t="shared" si="12"/>
        <v/>
      </c>
      <c r="O422" t="str">
        <f t="shared" si="13"/>
        <v/>
      </c>
      <c r="P422" t="str">
        <f>IF(A422="","",MAX(0,N422-System_Config!$B$9))</f>
        <v/>
      </c>
    </row>
    <row r="423" spans="12:16" ht="15" customHeight="1" x14ac:dyDescent="0.25">
      <c r="L423" t="str">
        <f>IF(A423="","",SUMIF(DB_Savings!$C:$C,A423,DB_Savings!$F:$F))</f>
        <v/>
      </c>
      <c r="M423" t="str">
        <f>IF(A423="","",SUMIF(DB_Withdrawals!$C:$C,A423,DB_Withdrawals!$G:$G))</f>
        <v/>
      </c>
      <c r="N423" t="str">
        <f t="shared" si="12"/>
        <v/>
      </c>
      <c r="O423" t="str">
        <f t="shared" si="13"/>
        <v/>
      </c>
      <c r="P423" t="str">
        <f>IF(A423="","",MAX(0,N423-System_Config!$B$9))</f>
        <v/>
      </c>
    </row>
    <row r="424" spans="12:16" ht="15" customHeight="1" x14ac:dyDescent="0.25">
      <c r="L424" t="str">
        <f>IF(A424="","",SUMIF(DB_Savings!$C:$C,A424,DB_Savings!$F:$F))</f>
        <v/>
      </c>
      <c r="M424" t="str">
        <f>IF(A424="","",SUMIF(DB_Withdrawals!$C:$C,A424,DB_Withdrawals!$G:$G))</f>
        <v/>
      </c>
      <c r="N424" t="str">
        <f t="shared" si="12"/>
        <v/>
      </c>
      <c r="O424" t="str">
        <f t="shared" si="13"/>
        <v/>
      </c>
      <c r="P424" t="str">
        <f>IF(A424="","",MAX(0,N424-System_Config!$B$9))</f>
        <v/>
      </c>
    </row>
    <row r="425" spans="12:16" ht="15" customHeight="1" x14ac:dyDescent="0.25">
      <c r="L425" t="str">
        <f>IF(A425="","",SUMIF(DB_Savings!$C:$C,A425,DB_Savings!$F:$F))</f>
        <v/>
      </c>
      <c r="M425" t="str">
        <f>IF(A425="","",SUMIF(DB_Withdrawals!$C:$C,A425,DB_Withdrawals!$G:$G))</f>
        <v/>
      </c>
      <c r="N425" t="str">
        <f t="shared" si="12"/>
        <v/>
      </c>
      <c r="O425" t="str">
        <f t="shared" si="13"/>
        <v/>
      </c>
      <c r="P425" t="str">
        <f>IF(A425="","",MAX(0,N425-System_Config!$B$9))</f>
        <v/>
      </c>
    </row>
    <row r="426" spans="12:16" ht="15" customHeight="1" x14ac:dyDescent="0.25">
      <c r="L426" t="str">
        <f>IF(A426="","",SUMIF(DB_Savings!$C:$C,A426,DB_Savings!$F:$F))</f>
        <v/>
      </c>
      <c r="M426" t="str">
        <f>IF(A426="","",SUMIF(DB_Withdrawals!$C:$C,A426,DB_Withdrawals!$G:$G))</f>
        <v/>
      </c>
      <c r="N426" t="str">
        <f t="shared" si="12"/>
        <v/>
      </c>
      <c r="O426" t="str">
        <f t="shared" si="13"/>
        <v/>
      </c>
      <c r="P426" t="str">
        <f>IF(A426="","",MAX(0,N426-System_Config!$B$9))</f>
        <v/>
      </c>
    </row>
    <row r="427" spans="12:16" ht="15" customHeight="1" x14ac:dyDescent="0.25">
      <c r="L427" t="str">
        <f>IF(A427="","",SUMIF(DB_Savings!$C:$C,A427,DB_Savings!$F:$F))</f>
        <v/>
      </c>
      <c r="M427" t="str">
        <f>IF(A427="","",SUMIF(DB_Withdrawals!$C:$C,A427,DB_Withdrawals!$G:$G))</f>
        <v/>
      </c>
      <c r="N427" t="str">
        <f t="shared" si="12"/>
        <v/>
      </c>
      <c r="O427" t="str">
        <f t="shared" si="13"/>
        <v/>
      </c>
      <c r="P427" t="str">
        <f>IF(A427="","",MAX(0,N427-System_Config!$B$9))</f>
        <v/>
      </c>
    </row>
    <row r="428" spans="12:16" ht="15" customHeight="1" x14ac:dyDescent="0.25">
      <c r="L428" t="str">
        <f>IF(A428="","",SUMIF(DB_Savings!$C:$C,A428,DB_Savings!$F:$F))</f>
        <v/>
      </c>
      <c r="M428" t="str">
        <f>IF(A428="","",SUMIF(DB_Withdrawals!$C:$C,A428,DB_Withdrawals!$G:$G))</f>
        <v/>
      </c>
      <c r="N428" t="str">
        <f t="shared" si="12"/>
        <v/>
      </c>
      <c r="O428" t="str">
        <f t="shared" si="13"/>
        <v/>
      </c>
      <c r="P428" t="str">
        <f>IF(A428="","",MAX(0,N428-System_Config!$B$9))</f>
        <v/>
      </c>
    </row>
    <row r="429" spans="12:16" ht="15" customHeight="1" x14ac:dyDescent="0.25">
      <c r="L429" t="str">
        <f>IF(A429="","",SUMIF(DB_Savings!$C:$C,A429,DB_Savings!$F:$F))</f>
        <v/>
      </c>
      <c r="M429" t="str">
        <f>IF(A429="","",SUMIF(DB_Withdrawals!$C:$C,A429,DB_Withdrawals!$G:$G))</f>
        <v/>
      </c>
      <c r="N429" t="str">
        <f t="shared" si="12"/>
        <v/>
      </c>
      <c r="O429" t="str">
        <f t="shared" si="13"/>
        <v/>
      </c>
      <c r="P429" t="str">
        <f>IF(A429="","",MAX(0,N429-System_Config!$B$9))</f>
        <v/>
      </c>
    </row>
    <row r="430" spans="12:16" ht="15" customHeight="1" x14ac:dyDescent="0.25">
      <c r="L430" t="str">
        <f>IF(A430="","",SUMIF(DB_Savings!$C:$C,A430,DB_Savings!$F:$F))</f>
        <v/>
      </c>
      <c r="M430" t="str">
        <f>IF(A430="","",SUMIF(DB_Withdrawals!$C:$C,A430,DB_Withdrawals!$G:$G))</f>
        <v/>
      </c>
      <c r="N430" t="str">
        <f t="shared" si="12"/>
        <v/>
      </c>
      <c r="O430" t="str">
        <f t="shared" si="13"/>
        <v/>
      </c>
      <c r="P430" t="str">
        <f>IF(A430="","",MAX(0,N430-System_Config!$B$9))</f>
        <v/>
      </c>
    </row>
    <row r="431" spans="12:16" ht="15" customHeight="1" x14ac:dyDescent="0.25">
      <c r="L431" t="str">
        <f>IF(A431="","",SUMIF(DB_Savings!$C:$C,A431,DB_Savings!$F:$F))</f>
        <v/>
      </c>
      <c r="M431" t="str">
        <f>IF(A431="","",SUMIF(DB_Withdrawals!$C:$C,A431,DB_Withdrawals!$G:$G))</f>
        <v/>
      </c>
      <c r="N431" t="str">
        <f t="shared" si="12"/>
        <v/>
      </c>
      <c r="O431" t="str">
        <f t="shared" si="13"/>
        <v/>
      </c>
      <c r="P431" t="str">
        <f>IF(A431="","",MAX(0,N431-System_Config!$B$9))</f>
        <v/>
      </c>
    </row>
    <row r="432" spans="12:16" ht="15" customHeight="1" x14ac:dyDescent="0.25">
      <c r="L432" t="str">
        <f>IF(A432="","",SUMIF(DB_Savings!$C:$C,A432,DB_Savings!$F:$F))</f>
        <v/>
      </c>
      <c r="M432" t="str">
        <f>IF(A432="","",SUMIF(DB_Withdrawals!$C:$C,A432,DB_Withdrawals!$G:$G))</f>
        <v/>
      </c>
      <c r="N432" t="str">
        <f t="shared" si="12"/>
        <v/>
      </c>
      <c r="O432" t="str">
        <f t="shared" si="13"/>
        <v/>
      </c>
      <c r="P432" t="str">
        <f>IF(A432="","",MAX(0,N432-System_Config!$B$9))</f>
        <v/>
      </c>
    </row>
    <row r="433" spans="12:16" ht="15" customHeight="1" x14ac:dyDescent="0.25">
      <c r="L433" t="str">
        <f>IF(A433="","",SUMIF(DB_Savings!$C:$C,A433,DB_Savings!$F:$F))</f>
        <v/>
      </c>
      <c r="M433" t="str">
        <f>IF(A433="","",SUMIF(DB_Withdrawals!$C:$C,A433,DB_Withdrawals!$G:$G))</f>
        <v/>
      </c>
      <c r="N433" t="str">
        <f t="shared" si="12"/>
        <v/>
      </c>
      <c r="O433" t="str">
        <f t="shared" si="13"/>
        <v/>
      </c>
      <c r="P433" t="str">
        <f>IF(A433="","",MAX(0,N433-System_Config!$B$9))</f>
        <v/>
      </c>
    </row>
    <row r="434" spans="12:16" ht="15" customHeight="1" x14ac:dyDescent="0.25">
      <c r="L434" t="str">
        <f>IF(A434="","",SUMIF(DB_Savings!$C:$C,A434,DB_Savings!$F:$F))</f>
        <v/>
      </c>
      <c r="M434" t="str">
        <f>IF(A434="","",SUMIF(DB_Withdrawals!$C:$C,A434,DB_Withdrawals!$G:$G))</f>
        <v/>
      </c>
      <c r="N434" t="str">
        <f t="shared" si="12"/>
        <v/>
      </c>
      <c r="O434" t="str">
        <f t="shared" si="13"/>
        <v/>
      </c>
      <c r="P434" t="str">
        <f>IF(A434="","",MAX(0,N434-System_Config!$B$9))</f>
        <v/>
      </c>
    </row>
    <row r="435" spans="12:16" ht="15" customHeight="1" x14ac:dyDescent="0.25">
      <c r="L435" t="str">
        <f>IF(A435="","",SUMIF(DB_Savings!$C:$C,A435,DB_Savings!$F:$F))</f>
        <v/>
      </c>
      <c r="M435" t="str">
        <f>IF(A435="","",SUMIF(DB_Withdrawals!$C:$C,A435,DB_Withdrawals!$G:$G))</f>
        <v/>
      </c>
      <c r="N435" t="str">
        <f t="shared" si="12"/>
        <v/>
      </c>
      <c r="O435" t="str">
        <f t="shared" si="13"/>
        <v/>
      </c>
      <c r="P435" t="str">
        <f>IF(A435="","",MAX(0,N435-System_Config!$B$9))</f>
        <v/>
      </c>
    </row>
    <row r="436" spans="12:16" ht="15" customHeight="1" x14ac:dyDescent="0.25">
      <c r="L436" t="str">
        <f>IF(A436="","",SUMIF(DB_Savings!$C:$C,A436,DB_Savings!$F:$F))</f>
        <v/>
      </c>
      <c r="M436" t="str">
        <f>IF(A436="","",SUMIF(DB_Withdrawals!$C:$C,A436,DB_Withdrawals!$G:$G))</f>
        <v/>
      </c>
      <c r="N436" t="str">
        <f t="shared" si="12"/>
        <v/>
      </c>
      <c r="O436" t="str">
        <f t="shared" si="13"/>
        <v/>
      </c>
      <c r="P436" t="str">
        <f>IF(A436="","",MAX(0,N436-System_Config!$B$9))</f>
        <v/>
      </c>
    </row>
    <row r="437" spans="12:16" ht="15" customHeight="1" x14ac:dyDescent="0.25">
      <c r="L437" t="str">
        <f>IF(A437="","",SUMIF(DB_Savings!$C:$C,A437,DB_Savings!$F:$F))</f>
        <v/>
      </c>
      <c r="M437" t="str">
        <f>IF(A437="","",SUMIF(DB_Withdrawals!$C:$C,A437,DB_Withdrawals!$G:$G))</f>
        <v/>
      </c>
      <c r="N437" t="str">
        <f t="shared" si="12"/>
        <v/>
      </c>
      <c r="O437" t="str">
        <f t="shared" si="13"/>
        <v/>
      </c>
      <c r="P437" t="str">
        <f>IF(A437="","",MAX(0,N437-System_Config!$B$9))</f>
        <v/>
      </c>
    </row>
    <row r="438" spans="12:16" ht="15" customHeight="1" x14ac:dyDescent="0.25">
      <c r="L438" t="str">
        <f>IF(A438="","",SUMIF(DB_Savings!$C:$C,A438,DB_Savings!$F:$F))</f>
        <v/>
      </c>
      <c r="M438" t="str">
        <f>IF(A438="","",SUMIF(DB_Withdrawals!$C:$C,A438,DB_Withdrawals!$G:$G))</f>
        <v/>
      </c>
      <c r="N438" t="str">
        <f t="shared" si="12"/>
        <v/>
      </c>
      <c r="O438" t="str">
        <f t="shared" si="13"/>
        <v/>
      </c>
      <c r="P438" t="str">
        <f>IF(A438="","",MAX(0,N438-System_Config!$B$9))</f>
        <v/>
      </c>
    </row>
    <row r="439" spans="12:16" ht="15" customHeight="1" x14ac:dyDescent="0.25">
      <c r="L439" t="str">
        <f>IF(A439="","",SUMIF(DB_Savings!$C:$C,A439,DB_Savings!$F:$F))</f>
        <v/>
      </c>
      <c r="M439" t="str">
        <f>IF(A439="","",SUMIF(DB_Withdrawals!$C:$C,A439,DB_Withdrawals!$G:$G))</f>
        <v/>
      </c>
      <c r="N439" t="str">
        <f t="shared" si="12"/>
        <v/>
      </c>
      <c r="O439" t="str">
        <f t="shared" si="13"/>
        <v/>
      </c>
      <c r="P439" t="str">
        <f>IF(A439="","",MAX(0,N439-System_Config!$B$9))</f>
        <v/>
      </c>
    </row>
    <row r="440" spans="12:16" ht="15" customHeight="1" x14ac:dyDescent="0.25">
      <c r="L440" t="str">
        <f>IF(A440="","",SUMIF(DB_Savings!$C:$C,A440,DB_Savings!$F:$F))</f>
        <v/>
      </c>
      <c r="M440" t="str">
        <f>IF(A440="","",SUMIF(DB_Withdrawals!$C:$C,A440,DB_Withdrawals!$G:$G))</f>
        <v/>
      </c>
      <c r="N440" t="str">
        <f t="shared" si="12"/>
        <v/>
      </c>
      <c r="O440" t="str">
        <f t="shared" si="13"/>
        <v/>
      </c>
      <c r="P440" t="str">
        <f>IF(A440="","",MAX(0,N440-System_Config!$B$9))</f>
        <v/>
      </c>
    </row>
    <row r="441" spans="12:16" ht="15" customHeight="1" x14ac:dyDescent="0.25">
      <c r="L441" t="str">
        <f>IF(A441="","",SUMIF(DB_Savings!$C:$C,A441,DB_Savings!$F:$F))</f>
        <v/>
      </c>
      <c r="M441" t="str">
        <f>IF(A441="","",SUMIF(DB_Withdrawals!$C:$C,A441,DB_Withdrawals!$G:$G))</f>
        <v/>
      </c>
      <c r="N441" t="str">
        <f t="shared" si="12"/>
        <v/>
      </c>
      <c r="O441" t="str">
        <f t="shared" si="13"/>
        <v/>
      </c>
      <c r="P441" t="str">
        <f>IF(A441="","",MAX(0,N441-System_Config!$B$9))</f>
        <v/>
      </c>
    </row>
    <row r="442" spans="12:16" ht="15" customHeight="1" x14ac:dyDescent="0.25">
      <c r="L442" t="str">
        <f>IF(A442="","",SUMIF(DB_Savings!$C:$C,A442,DB_Savings!$F:$F))</f>
        <v/>
      </c>
      <c r="M442" t="str">
        <f>IF(A442="","",SUMIF(DB_Withdrawals!$C:$C,A442,DB_Withdrawals!$G:$G))</f>
        <v/>
      </c>
      <c r="N442" t="str">
        <f t="shared" si="12"/>
        <v/>
      </c>
      <c r="O442" t="str">
        <f t="shared" si="13"/>
        <v/>
      </c>
      <c r="P442" t="str">
        <f>IF(A442="","",MAX(0,N442-System_Config!$B$9))</f>
        <v/>
      </c>
    </row>
    <row r="443" spans="12:16" ht="15" customHeight="1" x14ac:dyDescent="0.25">
      <c r="L443" t="str">
        <f>IF(A443="","",SUMIF(DB_Savings!$C:$C,A443,DB_Savings!$F:$F))</f>
        <v/>
      </c>
      <c r="M443" t="str">
        <f>IF(A443="","",SUMIF(DB_Withdrawals!$C:$C,A443,DB_Withdrawals!$G:$G))</f>
        <v/>
      </c>
      <c r="N443" t="str">
        <f t="shared" si="12"/>
        <v/>
      </c>
      <c r="O443" t="str">
        <f t="shared" si="13"/>
        <v/>
      </c>
      <c r="P443" t="str">
        <f>IF(A443="","",MAX(0,N443-System_Config!$B$9))</f>
        <v/>
      </c>
    </row>
    <row r="444" spans="12:16" ht="15" customHeight="1" x14ac:dyDescent="0.25">
      <c r="L444" t="str">
        <f>IF(A444="","",SUMIF(DB_Savings!$C:$C,A444,DB_Savings!$F:$F))</f>
        <v/>
      </c>
      <c r="M444" t="str">
        <f>IF(A444="","",SUMIF(DB_Withdrawals!$C:$C,A444,DB_Withdrawals!$G:$G))</f>
        <v/>
      </c>
      <c r="N444" t="str">
        <f t="shared" si="12"/>
        <v/>
      </c>
      <c r="O444" t="str">
        <f t="shared" si="13"/>
        <v/>
      </c>
      <c r="P444" t="str">
        <f>IF(A444="","",MAX(0,N444-System_Config!$B$9))</f>
        <v/>
      </c>
    </row>
    <row r="445" spans="12:16" ht="15" customHeight="1" x14ac:dyDescent="0.25">
      <c r="L445" t="str">
        <f>IF(A445="","",SUMIF(DB_Savings!$C:$C,A445,DB_Savings!$F:$F))</f>
        <v/>
      </c>
      <c r="M445" t="str">
        <f>IF(A445="","",SUMIF(DB_Withdrawals!$C:$C,A445,DB_Withdrawals!$G:$G))</f>
        <v/>
      </c>
      <c r="N445" t="str">
        <f t="shared" si="12"/>
        <v/>
      </c>
      <c r="O445" t="str">
        <f t="shared" si="13"/>
        <v/>
      </c>
      <c r="P445" t="str">
        <f>IF(A445="","",MAX(0,N445-System_Config!$B$9))</f>
        <v/>
      </c>
    </row>
    <row r="446" spans="12:16" ht="15" customHeight="1" x14ac:dyDescent="0.25">
      <c r="L446" t="str">
        <f>IF(A446="","",SUMIF(DB_Savings!$C:$C,A446,DB_Savings!$F:$F))</f>
        <v/>
      </c>
      <c r="M446" t="str">
        <f>IF(A446="","",SUMIF(DB_Withdrawals!$C:$C,A446,DB_Withdrawals!$G:$G))</f>
        <v/>
      </c>
      <c r="N446" t="str">
        <f t="shared" si="12"/>
        <v/>
      </c>
      <c r="O446" t="str">
        <f t="shared" si="13"/>
        <v/>
      </c>
      <c r="P446" t="str">
        <f>IF(A446="","",MAX(0,N446-System_Config!$B$9))</f>
        <v/>
      </c>
    </row>
    <row r="447" spans="12:16" ht="15" customHeight="1" x14ac:dyDescent="0.25">
      <c r="L447" t="str">
        <f>IF(A447="","",SUMIF(DB_Savings!$C:$C,A447,DB_Savings!$F:$F))</f>
        <v/>
      </c>
      <c r="M447" t="str">
        <f>IF(A447="","",SUMIF(DB_Withdrawals!$C:$C,A447,DB_Withdrawals!$G:$G))</f>
        <v/>
      </c>
      <c r="N447" t="str">
        <f t="shared" si="12"/>
        <v/>
      </c>
      <c r="O447" t="str">
        <f t="shared" si="13"/>
        <v/>
      </c>
      <c r="P447" t="str">
        <f>IF(A447="","",MAX(0,N447-System_Config!$B$9))</f>
        <v/>
      </c>
    </row>
    <row r="448" spans="12:16" ht="15" customHeight="1" x14ac:dyDescent="0.25">
      <c r="L448" t="str">
        <f>IF(A448="","",SUMIF(DB_Savings!$C:$C,A448,DB_Savings!$F:$F))</f>
        <v/>
      </c>
      <c r="M448" t="str">
        <f>IF(A448="","",SUMIF(DB_Withdrawals!$C:$C,A448,DB_Withdrawals!$G:$G))</f>
        <v/>
      </c>
      <c r="N448" t="str">
        <f t="shared" si="12"/>
        <v/>
      </c>
      <c r="O448" t="str">
        <f t="shared" si="13"/>
        <v/>
      </c>
      <c r="P448" t="str">
        <f>IF(A448="","",MAX(0,N448-System_Config!$B$9))</f>
        <v/>
      </c>
    </row>
    <row r="449" spans="12:16" ht="15" customHeight="1" x14ac:dyDescent="0.25">
      <c r="L449" t="str">
        <f>IF(A449="","",SUMIF(DB_Savings!$C:$C,A449,DB_Savings!$F:$F))</f>
        <v/>
      </c>
      <c r="M449" t="str">
        <f>IF(A449="","",SUMIF(DB_Withdrawals!$C:$C,A449,DB_Withdrawals!$G:$G))</f>
        <v/>
      </c>
      <c r="N449" t="str">
        <f t="shared" si="12"/>
        <v/>
      </c>
      <c r="O449" t="str">
        <f t="shared" si="13"/>
        <v/>
      </c>
      <c r="P449" t="str">
        <f>IF(A449="","",MAX(0,N449-System_Config!$B$9))</f>
        <v/>
      </c>
    </row>
    <row r="450" spans="12:16" ht="15" customHeight="1" x14ac:dyDescent="0.25">
      <c r="L450" t="str">
        <f>IF(A450="","",SUMIF(DB_Savings!$C:$C,A450,DB_Savings!$F:$F))</f>
        <v/>
      </c>
      <c r="M450" t="str">
        <f>IF(A450="","",SUMIF(DB_Withdrawals!$C:$C,A450,DB_Withdrawals!$G:$G))</f>
        <v/>
      </c>
      <c r="N450" t="str">
        <f t="shared" si="12"/>
        <v/>
      </c>
      <c r="O450" t="str">
        <f t="shared" si="13"/>
        <v/>
      </c>
      <c r="P450" t="str">
        <f>IF(A450="","",MAX(0,N450-System_Config!$B$9))</f>
        <v/>
      </c>
    </row>
    <row r="451" spans="12:16" ht="15" customHeight="1" x14ac:dyDescent="0.25">
      <c r="L451" t="str">
        <f>IF(A451="","",SUMIF(DB_Savings!$C:$C,A451,DB_Savings!$F:$F))</f>
        <v/>
      </c>
      <c r="M451" t="str">
        <f>IF(A451="","",SUMIF(DB_Withdrawals!$C:$C,A451,DB_Withdrawals!$G:$G))</f>
        <v/>
      </c>
      <c r="N451" t="str">
        <f t="shared" si="12"/>
        <v/>
      </c>
      <c r="O451" t="str">
        <f t="shared" si="13"/>
        <v/>
      </c>
      <c r="P451" t="str">
        <f>IF(A451="","",MAX(0,N451-System_Config!$B$9))</f>
        <v/>
      </c>
    </row>
    <row r="452" spans="12:16" ht="15" customHeight="1" x14ac:dyDescent="0.25">
      <c r="L452" t="str">
        <f>IF(A452="","",SUMIF(DB_Savings!$C:$C,A452,DB_Savings!$F:$F))</f>
        <v/>
      </c>
      <c r="M452" t="str">
        <f>IF(A452="","",SUMIF(DB_Withdrawals!$C:$C,A452,DB_Withdrawals!$G:$G))</f>
        <v/>
      </c>
      <c r="N452" t="str">
        <f t="shared" ref="N452:N515" si="14">IF(A452="","",I452+L452-M452)</f>
        <v/>
      </c>
      <c r="O452" t="str">
        <f t="shared" ref="O452:O515" si="15">IF(A452="","",TRUE())</f>
        <v/>
      </c>
      <c r="P452" t="str">
        <f>IF(A452="","",MAX(0,N452-System_Config!$B$9))</f>
        <v/>
      </c>
    </row>
    <row r="453" spans="12:16" ht="15" customHeight="1" x14ac:dyDescent="0.25">
      <c r="L453" t="str">
        <f>IF(A453="","",SUMIF(DB_Savings!$C:$C,A453,DB_Savings!$F:$F))</f>
        <v/>
      </c>
      <c r="M453" t="str">
        <f>IF(A453="","",SUMIF(DB_Withdrawals!$C:$C,A453,DB_Withdrawals!$G:$G))</f>
        <v/>
      </c>
      <c r="N453" t="str">
        <f t="shared" si="14"/>
        <v/>
      </c>
      <c r="O453" t="str">
        <f t="shared" si="15"/>
        <v/>
      </c>
      <c r="P453" t="str">
        <f>IF(A453="","",MAX(0,N453-System_Config!$B$9))</f>
        <v/>
      </c>
    </row>
    <row r="454" spans="12:16" ht="15" customHeight="1" x14ac:dyDescent="0.25">
      <c r="L454" t="str">
        <f>IF(A454="","",SUMIF(DB_Savings!$C:$C,A454,DB_Savings!$F:$F))</f>
        <v/>
      </c>
      <c r="M454" t="str">
        <f>IF(A454="","",SUMIF(DB_Withdrawals!$C:$C,A454,DB_Withdrawals!$G:$G))</f>
        <v/>
      </c>
      <c r="N454" t="str">
        <f t="shared" si="14"/>
        <v/>
      </c>
      <c r="O454" t="str">
        <f t="shared" si="15"/>
        <v/>
      </c>
      <c r="P454" t="str">
        <f>IF(A454="","",MAX(0,N454-System_Config!$B$9))</f>
        <v/>
      </c>
    </row>
    <row r="455" spans="12:16" ht="15" customHeight="1" x14ac:dyDescent="0.25">
      <c r="L455" t="str">
        <f>IF(A455="","",SUMIF(DB_Savings!$C:$C,A455,DB_Savings!$F:$F))</f>
        <v/>
      </c>
      <c r="M455" t="str">
        <f>IF(A455="","",SUMIF(DB_Withdrawals!$C:$C,A455,DB_Withdrawals!$G:$G))</f>
        <v/>
      </c>
      <c r="N455" t="str">
        <f t="shared" si="14"/>
        <v/>
      </c>
      <c r="O455" t="str">
        <f t="shared" si="15"/>
        <v/>
      </c>
      <c r="P455" t="str">
        <f>IF(A455="","",MAX(0,N455-System_Config!$B$9))</f>
        <v/>
      </c>
    </row>
    <row r="456" spans="12:16" ht="15" customHeight="1" x14ac:dyDescent="0.25">
      <c r="L456" t="str">
        <f>IF(A456="","",SUMIF(DB_Savings!$C:$C,A456,DB_Savings!$F:$F))</f>
        <v/>
      </c>
      <c r="M456" t="str">
        <f>IF(A456="","",SUMIF(DB_Withdrawals!$C:$C,A456,DB_Withdrawals!$G:$G))</f>
        <v/>
      </c>
      <c r="N456" t="str">
        <f t="shared" si="14"/>
        <v/>
      </c>
      <c r="O456" t="str">
        <f t="shared" si="15"/>
        <v/>
      </c>
      <c r="P456" t="str">
        <f>IF(A456="","",MAX(0,N456-System_Config!$B$9))</f>
        <v/>
      </c>
    </row>
    <row r="457" spans="12:16" ht="15" customHeight="1" x14ac:dyDescent="0.25">
      <c r="L457" t="str">
        <f>IF(A457="","",SUMIF(DB_Savings!$C:$C,A457,DB_Savings!$F:$F))</f>
        <v/>
      </c>
      <c r="M457" t="str">
        <f>IF(A457="","",SUMIF(DB_Withdrawals!$C:$C,A457,DB_Withdrawals!$G:$G))</f>
        <v/>
      </c>
      <c r="N457" t="str">
        <f t="shared" si="14"/>
        <v/>
      </c>
      <c r="O457" t="str">
        <f t="shared" si="15"/>
        <v/>
      </c>
      <c r="P457" t="str">
        <f>IF(A457="","",MAX(0,N457-System_Config!$B$9))</f>
        <v/>
      </c>
    </row>
    <row r="458" spans="12:16" ht="15" customHeight="1" x14ac:dyDescent="0.25">
      <c r="L458" t="str">
        <f>IF(A458="","",SUMIF(DB_Savings!$C:$C,A458,DB_Savings!$F:$F))</f>
        <v/>
      </c>
      <c r="M458" t="str">
        <f>IF(A458="","",SUMIF(DB_Withdrawals!$C:$C,A458,DB_Withdrawals!$G:$G))</f>
        <v/>
      </c>
      <c r="N458" t="str">
        <f t="shared" si="14"/>
        <v/>
      </c>
      <c r="O458" t="str">
        <f t="shared" si="15"/>
        <v/>
      </c>
      <c r="P458" t="str">
        <f>IF(A458="","",MAX(0,N458-System_Config!$B$9))</f>
        <v/>
      </c>
    </row>
    <row r="459" spans="12:16" ht="15" customHeight="1" x14ac:dyDescent="0.25">
      <c r="L459" t="str">
        <f>IF(A459="","",SUMIF(DB_Savings!$C:$C,A459,DB_Savings!$F:$F))</f>
        <v/>
      </c>
      <c r="M459" t="str">
        <f>IF(A459="","",SUMIF(DB_Withdrawals!$C:$C,A459,DB_Withdrawals!$G:$G))</f>
        <v/>
      </c>
      <c r="N459" t="str">
        <f t="shared" si="14"/>
        <v/>
      </c>
      <c r="O459" t="str">
        <f t="shared" si="15"/>
        <v/>
      </c>
      <c r="P459" t="str">
        <f>IF(A459="","",MAX(0,N459-System_Config!$B$9))</f>
        <v/>
      </c>
    </row>
    <row r="460" spans="12:16" ht="15" customHeight="1" x14ac:dyDescent="0.25">
      <c r="L460" t="str">
        <f>IF(A460="","",SUMIF(DB_Savings!$C:$C,A460,DB_Savings!$F:$F))</f>
        <v/>
      </c>
      <c r="M460" t="str">
        <f>IF(A460="","",SUMIF(DB_Withdrawals!$C:$C,A460,DB_Withdrawals!$G:$G))</f>
        <v/>
      </c>
      <c r="N460" t="str">
        <f t="shared" si="14"/>
        <v/>
      </c>
      <c r="O460" t="str">
        <f t="shared" si="15"/>
        <v/>
      </c>
      <c r="P460" t="str">
        <f>IF(A460="","",MAX(0,N460-System_Config!$B$9))</f>
        <v/>
      </c>
    </row>
    <row r="461" spans="12:16" ht="15" customHeight="1" x14ac:dyDescent="0.25">
      <c r="L461" t="str">
        <f>IF(A461="","",SUMIF(DB_Savings!$C:$C,A461,DB_Savings!$F:$F))</f>
        <v/>
      </c>
      <c r="M461" t="str">
        <f>IF(A461="","",SUMIF(DB_Withdrawals!$C:$C,A461,DB_Withdrawals!$G:$G))</f>
        <v/>
      </c>
      <c r="N461" t="str">
        <f t="shared" si="14"/>
        <v/>
      </c>
      <c r="O461" t="str">
        <f t="shared" si="15"/>
        <v/>
      </c>
      <c r="P461" t="str">
        <f>IF(A461="","",MAX(0,N461-System_Config!$B$9))</f>
        <v/>
      </c>
    </row>
    <row r="462" spans="12:16" ht="15" customHeight="1" x14ac:dyDescent="0.25">
      <c r="L462" t="str">
        <f>IF(A462="","",SUMIF(DB_Savings!$C:$C,A462,DB_Savings!$F:$F))</f>
        <v/>
      </c>
      <c r="M462" t="str">
        <f>IF(A462="","",SUMIF(DB_Withdrawals!$C:$C,A462,DB_Withdrawals!$G:$G))</f>
        <v/>
      </c>
      <c r="N462" t="str">
        <f t="shared" si="14"/>
        <v/>
      </c>
      <c r="O462" t="str">
        <f t="shared" si="15"/>
        <v/>
      </c>
      <c r="P462" t="str">
        <f>IF(A462="","",MAX(0,N462-System_Config!$B$9))</f>
        <v/>
      </c>
    </row>
    <row r="463" spans="12:16" ht="15" customHeight="1" x14ac:dyDescent="0.25">
      <c r="L463" t="str">
        <f>IF(A463="","",SUMIF(DB_Savings!$C:$C,A463,DB_Savings!$F:$F))</f>
        <v/>
      </c>
      <c r="M463" t="str">
        <f>IF(A463="","",SUMIF(DB_Withdrawals!$C:$C,A463,DB_Withdrawals!$G:$G))</f>
        <v/>
      </c>
      <c r="N463" t="str">
        <f t="shared" si="14"/>
        <v/>
      </c>
      <c r="O463" t="str">
        <f t="shared" si="15"/>
        <v/>
      </c>
      <c r="P463" t="str">
        <f>IF(A463="","",MAX(0,N463-System_Config!$B$9))</f>
        <v/>
      </c>
    </row>
    <row r="464" spans="12:16" ht="15" customHeight="1" x14ac:dyDescent="0.25">
      <c r="L464" t="str">
        <f>IF(A464="","",SUMIF(DB_Savings!$C:$C,A464,DB_Savings!$F:$F))</f>
        <v/>
      </c>
      <c r="M464" t="str">
        <f>IF(A464="","",SUMIF(DB_Withdrawals!$C:$C,A464,DB_Withdrawals!$G:$G))</f>
        <v/>
      </c>
      <c r="N464" t="str">
        <f t="shared" si="14"/>
        <v/>
      </c>
      <c r="O464" t="str">
        <f t="shared" si="15"/>
        <v/>
      </c>
      <c r="P464" t="str">
        <f>IF(A464="","",MAX(0,N464-System_Config!$B$9))</f>
        <v/>
      </c>
    </row>
    <row r="465" spans="12:16" ht="15" customHeight="1" x14ac:dyDescent="0.25">
      <c r="L465" t="str">
        <f>IF(A465="","",SUMIF(DB_Savings!$C:$C,A465,DB_Savings!$F:$F))</f>
        <v/>
      </c>
      <c r="M465" t="str">
        <f>IF(A465="","",SUMIF(DB_Withdrawals!$C:$C,A465,DB_Withdrawals!$G:$G))</f>
        <v/>
      </c>
      <c r="N465" t="str">
        <f t="shared" si="14"/>
        <v/>
      </c>
      <c r="O465" t="str">
        <f t="shared" si="15"/>
        <v/>
      </c>
      <c r="P465" t="str">
        <f>IF(A465="","",MAX(0,N465-System_Config!$B$9))</f>
        <v/>
      </c>
    </row>
    <row r="466" spans="12:16" ht="15" customHeight="1" x14ac:dyDescent="0.25">
      <c r="L466" t="str">
        <f>IF(A466="","",SUMIF(DB_Savings!$C:$C,A466,DB_Savings!$F:$F))</f>
        <v/>
      </c>
      <c r="M466" t="str">
        <f>IF(A466="","",SUMIF(DB_Withdrawals!$C:$C,A466,DB_Withdrawals!$G:$G))</f>
        <v/>
      </c>
      <c r="N466" t="str">
        <f t="shared" si="14"/>
        <v/>
      </c>
      <c r="O466" t="str">
        <f t="shared" si="15"/>
        <v/>
      </c>
      <c r="P466" t="str">
        <f>IF(A466="","",MAX(0,N466-System_Config!$B$9))</f>
        <v/>
      </c>
    </row>
    <row r="467" spans="12:16" ht="15" customHeight="1" x14ac:dyDescent="0.25">
      <c r="L467" t="str">
        <f>IF(A467="","",SUMIF(DB_Savings!$C:$C,A467,DB_Savings!$F:$F))</f>
        <v/>
      </c>
      <c r="M467" t="str">
        <f>IF(A467="","",SUMIF(DB_Withdrawals!$C:$C,A467,DB_Withdrawals!$G:$G))</f>
        <v/>
      </c>
      <c r="N467" t="str">
        <f t="shared" si="14"/>
        <v/>
      </c>
      <c r="O467" t="str">
        <f t="shared" si="15"/>
        <v/>
      </c>
      <c r="P467" t="str">
        <f>IF(A467="","",MAX(0,N467-System_Config!$B$9))</f>
        <v/>
      </c>
    </row>
    <row r="468" spans="12:16" ht="15" customHeight="1" x14ac:dyDescent="0.25">
      <c r="L468" t="str">
        <f>IF(A468="","",SUMIF(DB_Savings!$C:$C,A468,DB_Savings!$F:$F))</f>
        <v/>
      </c>
      <c r="M468" t="str">
        <f>IF(A468="","",SUMIF(DB_Withdrawals!$C:$C,A468,DB_Withdrawals!$G:$G))</f>
        <v/>
      </c>
      <c r="N468" t="str">
        <f t="shared" si="14"/>
        <v/>
      </c>
      <c r="O468" t="str">
        <f t="shared" si="15"/>
        <v/>
      </c>
      <c r="P468" t="str">
        <f>IF(A468="","",MAX(0,N468-System_Config!$B$9))</f>
        <v/>
      </c>
    </row>
    <row r="469" spans="12:16" ht="15" customHeight="1" x14ac:dyDescent="0.25">
      <c r="L469" t="str">
        <f>IF(A469="","",SUMIF(DB_Savings!$C:$C,A469,DB_Savings!$F:$F))</f>
        <v/>
      </c>
      <c r="M469" t="str">
        <f>IF(A469="","",SUMIF(DB_Withdrawals!$C:$C,A469,DB_Withdrawals!$G:$G))</f>
        <v/>
      </c>
      <c r="N469" t="str">
        <f t="shared" si="14"/>
        <v/>
      </c>
      <c r="O469" t="str">
        <f t="shared" si="15"/>
        <v/>
      </c>
      <c r="P469" t="str">
        <f>IF(A469="","",MAX(0,N469-System_Config!$B$9))</f>
        <v/>
      </c>
    </row>
    <row r="470" spans="12:16" ht="15" customHeight="1" x14ac:dyDescent="0.25">
      <c r="L470" t="str">
        <f>IF(A470="","",SUMIF(DB_Savings!$C:$C,A470,DB_Savings!$F:$F))</f>
        <v/>
      </c>
      <c r="M470" t="str">
        <f>IF(A470="","",SUMIF(DB_Withdrawals!$C:$C,A470,DB_Withdrawals!$G:$G))</f>
        <v/>
      </c>
      <c r="N470" t="str">
        <f t="shared" si="14"/>
        <v/>
      </c>
      <c r="O470" t="str">
        <f t="shared" si="15"/>
        <v/>
      </c>
      <c r="P470" t="str">
        <f>IF(A470="","",MAX(0,N470-System_Config!$B$9))</f>
        <v/>
      </c>
    </row>
    <row r="471" spans="12:16" ht="15" customHeight="1" x14ac:dyDescent="0.25">
      <c r="L471" t="str">
        <f>IF(A471="","",SUMIF(DB_Savings!$C:$C,A471,DB_Savings!$F:$F))</f>
        <v/>
      </c>
      <c r="M471" t="str">
        <f>IF(A471="","",SUMIF(DB_Withdrawals!$C:$C,A471,DB_Withdrawals!$G:$G))</f>
        <v/>
      </c>
      <c r="N471" t="str">
        <f t="shared" si="14"/>
        <v/>
      </c>
      <c r="O471" t="str">
        <f t="shared" si="15"/>
        <v/>
      </c>
      <c r="P471" t="str">
        <f>IF(A471="","",MAX(0,N471-System_Config!$B$9))</f>
        <v/>
      </c>
    </row>
    <row r="472" spans="12:16" ht="15" customHeight="1" x14ac:dyDescent="0.25">
      <c r="L472" t="str">
        <f>IF(A472="","",SUMIF(DB_Savings!$C:$C,A472,DB_Savings!$F:$F))</f>
        <v/>
      </c>
      <c r="M472" t="str">
        <f>IF(A472="","",SUMIF(DB_Withdrawals!$C:$C,A472,DB_Withdrawals!$G:$G))</f>
        <v/>
      </c>
      <c r="N472" t="str">
        <f t="shared" si="14"/>
        <v/>
      </c>
      <c r="O472" t="str">
        <f t="shared" si="15"/>
        <v/>
      </c>
      <c r="P472" t="str">
        <f>IF(A472="","",MAX(0,N472-System_Config!$B$9))</f>
        <v/>
      </c>
    </row>
    <row r="473" spans="12:16" ht="15" customHeight="1" x14ac:dyDescent="0.25">
      <c r="L473" t="str">
        <f>IF(A473="","",SUMIF(DB_Savings!$C:$C,A473,DB_Savings!$F:$F))</f>
        <v/>
      </c>
      <c r="M473" t="str">
        <f>IF(A473="","",SUMIF(DB_Withdrawals!$C:$C,A473,DB_Withdrawals!$G:$G))</f>
        <v/>
      </c>
      <c r="N473" t="str">
        <f t="shared" si="14"/>
        <v/>
      </c>
      <c r="O473" t="str">
        <f t="shared" si="15"/>
        <v/>
      </c>
      <c r="P473" t="str">
        <f>IF(A473="","",MAX(0,N473-System_Config!$B$9))</f>
        <v/>
      </c>
    </row>
    <row r="474" spans="12:16" ht="15" customHeight="1" x14ac:dyDescent="0.25">
      <c r="L474" t="str">
        <f>IF(A474="","",SUMIF(DB_Savings!$C:$C,A474,DB_Savings!$F:$F))</f>
        <v/>
      </c>
      <c r="M474" t="str">
        <f>IF(A474="","",SUMIF(DB_Withdrawals!$C:$C,A474,DB_Withdrawals!$G:$G))</f>
        <v/>
      </c>
      <c r="N474" t="str">
        <f t="shared" si="14"/>
        <v/>
      </c>
      <c r="O474" t="str">
        <f t="shared" si="15"/>
        <v/>
      </c>
      <c r="P474" t="str">
        <f>IF(A474="","",MAX(0,N474-System_Config!$B$9))</f>
        <v/>
      </c>
    </row>
    <row r="475" spans="12:16" ht="15" customHeight="1" x14ac:dyDescent="0.25">
      <c r="L475" t="str">
        <f>IF(A475="","",SUMIF(DB_Savings!$C:$C,A475,DB_Savings!$F:$F))</f>
        <v/>
      </c>
      <c r="M475" t="str">
        <f>IF(A475="","",SUMIF(DB_Withdrawals!$C:$C,A475,DB_Withdrawals!$G:$G))</f>
        <v/>
      </c>
      <c r="N475" t="str">
        <f t="shared" si="14"/>
        <v/>
      </c>
      <c r="O475" t="str">
        <f t="shared" si="15"/>
        <v/>
      </c>
      <c r="P475" t="str">
        <f>IF(A475="","",MAX(0,N475-System_Config!$B$9))</f>
        <v/>
      </c>
    </row>
    <row r="476" spans="12:16" ht="15" customHeight="1" x14ac:dyDescent="0.25">
      <c r="L476" t="str">
        <f>IF(A476="","",SUMIF(DB_Savings!$C:$C,A476,DB_Savings!$F:$F))</f>
        <v/>
      </c>
      <c r="M476" t="str">
        <f>IF(A476="","",SUMIF(DB_Withdrawals!$C:$C,A476,DB_Withdrawals!$G:$G))</f>
        <v/>
      </c>
      <c r="N476" t="str">
        <f t="shared" si="14"/>
        <v/>
      </c>
      <c r="O476" t="str">
        <f t="shared" si="15"/>
        <v/>
      </c>
      <c r="P476" t="str">
        <f>IF(A476="","",MAX(0,N476-System_Config!$B$9))</f>
        <v/>
      </c>
    </row>
    <row r="477" spans="12:16" ht="15" customHeight="1" x14ac:dyDescent="0.25">
      <c r="L477" t="str">
        <f>IF(A477="","",SUMIF(DB_Savings!$C:$C,A477,DB_Savings!$F:$F))</f>
        <v/>
      </c>
      <c r="M477" t="str">
        <f>IF(A477="","",SUMIF(DB_Withdrawals!$C:$C,A477,DB_Withdrawals!$G:$G))</f>
        <v/>
      </c>
      <c r="N477" t="str">
        <f t="shared" si="14"/>
        <v/>
      </c>
      <c r="O477" t="str">
        <f t="shared" si="15"/>
        <v/>
      </c>
      <c r="P477" t="str">
        <f>IF(A477="","",MAX(0,N477-System_Config!$B$9))</f>
        <v/>
      </c>
    </row>
    <row r="478" spans="12:16" ht="15" customHeight="1" x14ac:dyDescent="0.25">
      <c r="L478" t="str">
        <f>IF(A478="","",SUMIF(DB_Savings!$C:$C,A478,DB_Savings!$F:$F))</f>
        <v/>
      </c>
      <c r="M478" t="str">
        <f>IF(A478="","",SUMIF(DB_Withdrawals!$C:$C,A478,DB_Withdrawals!$G:$G))</f>
        <v/>
      </c>
      <c r="N478" t="str">
        <f t="shared" si="14"/>
        <v/>
      </c>
      <c r="O478" t="str">
        <f t="shared" si="15"/>
        <v/>
      </c>
      <c r="P478" t="str">
        <f>IF(A478="","",MAX(0,N478-System_Config!$B$9))</f>
        <v/>
      </c>
    </row>
    <row r="479" spans="12:16" ht="15" customHeight="1" x14ac:dyDescent="0.25">
      <c r="L479" t="str">
        <f>IF(A479="","",SUMIF(DB_Savings!$C:$C,A479,DB_Savings!$F:$F))</f>
        <v/>
      </c>
      <c r="M479" t="str">
        <f>IF(A479="","",SUMIF(DB_Withdrawals!$C:$C,A479,DB_Withdrawals!$G:$G))</f>
        <v/>
      </c>
      <c r="N479" t="str">
        <f t="shared" si="14"/>
        <v/>
      </c>
      <c r="O479" t="str">
        <f t="shared" si="15"/>
        <v/>
      </c>
      <c r="P479" t="str">
        <f>IF(A479="","",MAX(0,N479-System_Config!$B$9))</f>
        <v/>
      </c>
    </row>
    <row r="480" spans="12:16" ht="15" customHeight="1" x14ac:dyDescent="0.25">
      <c r="L480" t="str">
        <f>IF(A480="","",SUMIF(DB_Savings!$C:$C,A480,DB_Savings!$F:$F))</f>
        <v/>
      </c>
      <c r="M480" t="str">
        <f>IF(A480="","",SUMIF(DB_Withdrawals!$C:$C,A480,DB_Withdrawals!$G:$G))</f>
        <v/>
      </c>
      <c r="N480" t="str">
        <f t="shared" si="14"/>
        <v/>
      </c>
      <c r="O480" t="str">
        <f t="shared" si="15"/>
        <v/>
      </c>
      <c r="P480" t="str">
        <f>IF(A480="","",MAX(0,N480-System_Config!$B$9))</f>
        <v/>
      </c>
    </row>
    <row r="481" spans="12:16" ht="15" customHeight="1" x14ac:dyDescent="0.25">
      <c r="L481" t="str">
        <f>IF(A481="","",SUMIF(DB_Savings!$C:$C,A481,DB_Savings!$F:$F))</f>
        <v/>
      </c>
      <c r="M481" t="str">
        <f>IF(A481="","",SUMIF(DB_Withdrawals!$C:$C,A481,DB_Withdrawals!$G:$G))</f>
        <v/>
      </c>
      <c r="N481" t="str">
        <f t="shared" si="14"/>
        <v/>
      </c>
      <c r="O481" t="str">
        <f t="shared" si="15"/>
        <v/>
      </c>
      <c r="P481" t="str">
        <f>IF(A481="","",MAX(0,N481-System_Config!$B$9))</f>
        <v/>
      </c>
    </row>
    <row r="482" spans="12:16" ht="15" customHeight="1" x14ac:dyDescent="0.25">
      <c r="L482" t="str">
        <f>IF(A482="","",SUMIF(DB_Savings!$C:$C,A482,DB_Savings!$F:$F))</f>
        <v/>
      </c>
      <c r="M482" t="str">
        <f>IF(A482="","",SUMIF(DB_Withdrawals!$C:$C,A482,DB_Withdrawals!$G:$G))</f>
        <v/>
      </c>
      <c r="N482" t="str">
        <f t="shared" si="14"/>
        <v/>
      </c>
      <c r="O482" t="str">
        <f t="shared" si="15"/>
        <v/>
      </c>
      <c r="P482" t="str">
        <f>IF(A482="","",MAX(0,N482-System_Config!$B$9))</f>
        <v/>
      </c>
    </row>
    <row r="483" spans="12:16" ht="15" customHeight="1" x14ac:dyDescent="0.25">
      <c r="L483" t="str">
        <f>IF(A483="","",SUMIF(DB_Savings!$C:$C,A483,DB_Savings!$F:$F))</f>
        <v/>
      </c>
      <c r="M483" t="str">
        <f>IF(A483="","",SUMIF(DB_Withdrawals!$C:$C,A483,DB_Withdrawals!$G:$G))</f>
        <v/>
      </c>
      <c r="N483" t="str">
        <f t="shared" si="14"/>
        <v/>
      </c>
      <c r="O483" t="str">
        <f t="shared" si="15"/>
        <v/>
      </c>
      <c r="P483" t="str">
        <f>IF(A483="","",MAX(0,N483-System_Config!$B$9))</f>
        <v/>
      </c>
    </row>
    <row r="484" spans="12:16" ht="15" customHeight="1" x14ac:dyDescent="0.25">
      <c r="L484" t="str">
        <f>IF(A484="","",SUMIF(DB_Savings!$C:$C,A484,DB_Savings!$F:$F))</f>
        <v/>
      </c>
      <c r="M484" t="str">
        <f>IF(A484="","",SUMIF(DB_Withdrawals!$C:$C,A484,DB_Withdrawals!$G:$G))</f>
        <v/>
      </c>
      <c r="N484" t="str">
        <f t="shared" si="14"/>
        <v/>
      </c>
      <c r="O484" t="str">
        <f t="shared" si="15"/>
        <v/>
      </c>
      <c r="P484" t="str">
        <f>IF(A484="","",MAX(0,N484-System_Config!$B$9))</f>
        <v/>
      </c>
    </row>
    <row r="485" spans="12:16" ht="15" customHeight="1" x14ac:dyDescent="0.25">
      <c r="L485" t="str">
        <f>IF(A485="","",SUMIF(DB_Savings!$C:$C,A485,DB_Savings!$F:$F))</f>
        <v/>
      </c>
      <c r="M485" t="str">
        <f>IF(A485="","",SUMIF(DB_Withdrawals!$C:$C,A485,DB_Withdrawals!$G:$G))</f>
        <v/>
      </c>
      <c r="N485" t="str">
        <f t="shared" si="14"/>
        <v/>
      </c>
      <c r="O485" t="str">
        <f t="shared" si="15"/>
        <v/>
      </c>
      <c r="P485" t="str">
        <f>IF(A485="","",MAX(0,N485-System_Config!$B$9))</f>
        <v/>
      </c>
    </row>
    <row r="486" spans="12:16" ht="15" customHeight="1" x14ac:dyDescent="0.25">
      <c r="L486" t="str">
        <f>IF(A486="","",SUMIF(DB_Savings!$C:$C,A486,DB_Savings!$F:$F))</f>
        <v/>
      </c>
      <c r="M486" t="str">
        <f>IF(A486="","",SUMIF(DB_Withdrawals!$C:$C,A486,DB_Withdrawals!$G:$G))</f>
        <v/>
      </c>
      <c r="N486" t="str">
        <f t="shared" si="14"/>
        <v/>
      </c>
      <c r="O486" t="str">
        <f t="shared" si="15"/>
        <v/>
      </c>
      <c r="P486" t="str">
        <f>IF(A486="","",MAX(0,N486-System_Config!$B$9))</f>
        <v/>
      </c>
    </row>
    <row r="487" spans="12:16" ht="15" customHeight="1" x14ac:dyDescent="0.25">
      <c r="L487" t="str">
        <f>IF(A487="","",SUMIF(DB_Savings!$C:$C,A487,DB_Savings!$F:$F))</f>
        <v/>
      </c>
      <c r="M487" t="str">
        <f>IF(A487="","",SUMIF(DB_Withdrawals!$C:$C,A487,DB_Withdrawals!$G:$G))</f>
        <v/>
      </c>
      <c r="N487" t="str">
        <f t="shared" si="14"/>
        <v/>
      </c>
      <c r="O487" t="str">
        <f t="shared" si="15"/>
        <v/>
      </c>
      <c r="P487" t="str">
        <f>IF(A487="","",MAX(0,N487-System_Config!$B$9))</f>
        <v/>
      </c>
    </row>
    <row r="488" spans="12:16" ht="15" customHeight="1" x14ac:dyDescent="0.25">
      <c r="L488" t="str">
        <f>IF(A488="","",SUMIF(DB_Savings!$C:$C,A488,DB_Savings!$F:$F))</f>
        <v/>
      </c>
      <c r="M488" t="str">
        <f>IF(A488="","",SUMIF(DB_Withdrawals!$C:$C,A488,DB_Withdrawals!$G:$G))</f>
        <v/>
      </c>
      <c r="N488" t="str">
        <f t="shared" si="14"/>
        <v/>
      </c>
      <c r="O488" t="str">
        <f t="shared" si="15"/>
        <v/>
      </c>
      <c r="P488" t="str">
        <f>IF(A488="","",MAX(0,N488-System_Config!$B$9))</f>
        <v/>
      </c>
    </row>
    <row r="489" spans="12:16" ht="15" customHeight="1" x14ac:dyDescent="0.25">
      <c r="L489" t="str">
        <f>IF(A489="","",SUMIF(DB_Savings!$C:$C,A489,DB_Savings!$F:$F))</f>
        <v/>
      </c>
      <c r="M489" t="str">
        <f>IF(A489="","",SUMIF(DB_Withdrawals!$C:$C,A489,DB_Withdrawals!$G:$G))</f>
        <v/>
      </c>
      <c r="N489" t="str">
        <f t="shared" si="14"/>
        <v/>
      </c>
      <c r="O489" t="str">
        <f t="shared" si="15"/>
        <v/>
      </c>
      <c r="P489" t="str">
        <f>IF(A489="","",MAX(0,N489-System_Config!$B$9))</f>
        <v/>
      </c>
    </row>
    <row r="490" spans="12:16" ht="15" customHeight="1" x14ac:dyDescent="0.25">
      <c r="L490" t="str">
        <f>IF(A490="","",SUMIF(DB_Savings!$C:$C,A490,DB_Savings!$F:$F))</f>
        <v/>
      </c>
      <c r="M490" t="str">
        <f>IF(A490="","",SUMIF(DB_Withdrawals!$C:$C,A490,DB_Withdrawals!$G:$G))</f>
        <v/>
      </c>
      <c r="N490" t="str">
        <f t="shared" si="14"/>
        <v/>
      </c>
      <c r="O490" t="str">
        <f t="shared" si="15"/>
        <v/>
      </c>
      <c r="P490" t="str">
        <f>IF(A490="","",MAX(0,N490-System_Config!$B$9))</f>
        <v/>
      </c>
    </row>
    <row r="491" spans="12:16" ht="15" customHeight="1" x14ac:dyDescent="0.25">
      <c r="L491" t="str">
        <f>IF(A491="","",SUMIF(DB_Savings!$C:$C,A491,DB_Savings!$F:$F))</f>
        <v/>
      </c>
      <c r="M491" t="str">
        <f>IF(A491="","",SUMIF(DB_Withdrawals!$C:$C,A491,DB_Withdrawals!$G:$G))</f>
        <v/>
      </c>
      <c r="N491" t="str">
        <f t="shared" si="14"/>
        <v/>
      </c>
      <c r="O491" t="str">
        <f t="shared" si="15"/>
        <v/>
      </c>
      <c r="P491" t="str">
        <f>IF(A491="","",MAX(0,N491-System_Config!$B$9))</f>
        <v/>
      </c>
    </row>
    <row r="492" spans="12:16" ht="15" customHeight="1" x14ac:dyDescent="0.25">
      <c r="L492" t="str">
        <f>IF(A492="","",SUMIF(DB_Savings!$C:$C,A492,DB_Savings!$F:$F))</f>
        <v/>
      </c>
      <c r="M492" t="str">
        <f>IF(A492="","",SUMIF(DB_Withdrawals!$C:$C,A492,DB_Withdrawals!$G:$G))</f>
        <v/>
      </c>
      <c r="N492" t="str">
        <f t="shared" si="14"/>
        <v/>
      </c>
      <c r="O492" t="str">
        <f t="shared" si="15"/>
        <v/>
      </c>
      <c r="P492" t="str">
        <f>IF(A492="","",MAX(0,N492-System_Config!$B$9))</f>
        <v/>
      </c>
    </row>
    <row r="493" spans="12:16" ht="15" customHeight="1" x14ac:dyDescent="0.25">
      <c r="L493" t="str">
        <f>IF(A493="","",SUMIF(DB_Savings!$C:$C,A493,DB_Savings!$F:$F))</f>
        <v/>
      </c>
      <c r="M493" t="str">
        <f>IF(A493="","",SUMIF(DB_Withdrawals!$C:$C,A493,DB_Withdrawals!$G:$G))</f>
        <v/>
      </c>
      <c r="N493" t="str">
        <f t="shared" si="14"/>
        <v/>
      </c>
      <c r="O493" t="str">
        <f t="shared" si="15"/>
        <v/>
      </c>
      <c r="P493" t="str">
        <f>IF(A493="","",MAX(0,N493-System_Config!$B$9))</f>
        <v/>
      </c>
    </row>
    <row r="494" spans="12:16" ht="15" customHeight="1" x14ac:dyDescent="0.25">
      <c r="L494" t="str">
        <f>IF(A494="","",SUMIF(DB_Savings!$C:$C,A494,DB_Savings!$F:$F))</f>
        <v/>
      </c>
      <c r="M494" t="str">
        <f>IF(A494="","",SUMIF(DB_Withdrawals!$C:$C,A494,DB_Withdrawals!$G:$G))</f>
        <v/>
      </c>
      <c r="N494" t="str">
        <f t="shared" si="14"/>
        <v/>
      </c>
      <c r="O494" t="str">
        <f t="shared" si="15"/>
        <v/>
      </c>
      <c r="P494" t="str">
        <f>IF(A494="","",MAX(0,N494-System_Config!$B$9))</f>
        <v/>
      </c>
    </row>
    <row r="495" spans="12:16" ht="15" customHeight="1" x14ac:dyDescent="0.25">
      <c r="L495" t="str">
        <f>IF(A495="","",SUMIF(DB_Savings!$C:$C,A495,DB_Savings!$F:$F))</f>
        <v/>
      </c>
      <c r="M495" t="str">
        <f>IF(A495="","",SUMIF(DB_Withdrawals!$C:$C,A495,DB_Withdrawals!$G:$G))</f>
        <v/>
      </c>
      <c r="N495" t="str">
        <f t="shared" si="14"/>
        <v/>
      </c>
      <c r="O495" t="str">
        <f t="shared" si="15"/>
        <v/>
      </c>
      <c r="P495" t="str">
        <f>IF(A495="","",MAX(0,N495-System_Config!$B$9))</f>
        <v/>
      </c>
    </row>
    <row r="496" spans="12:16" ht="15" customHeight="1" x14ac:dyDescent="0.25">
      <c r="L496" t="str">
        <f>IF(A496="","",SUMIF(DB_Savings!$C:$C,A496,DB_Savings!$F:$F))</f>
        <v/>
      </c>
      <c r="M496" t="str">
        <f>IF(A496="","",SUMIF(DB_Withdrawals!$C:$C,A496,DB_Withdrawals!$G:$G))</f>
        <v/>
      </c>
      <c r="N496" t="str">
        <f t="shared" si="14"/>
        <v/>
      </c>
      <c r="O496" t="str">
        <f t="shared" si="15"/>
        <v/>
      </c>
      <c r="P496" t="str">
        <f>IF(A496="","",MAX(0,N496-System_Config!$B$9))</f>
        <v/>
      </c>
    </row>
    <row r="497" spans="12:16" ht="15" customHeight="1" x14ac:dyDescent="0.25">
      <c r="L497" t="str">
        <f>IF(A497="","",SUMIF(DB_Savings!$C:$C,A497,DB_Savings!$F:$F))</f>
        <v/>
      </c>
      <c r="M497" t="str">
        <f>IF(A497="","",SUMIF(DB_Withdrawals!$C:$C,A497,DB_Withdrawals!$G:$G))</f>
        <v/>
      </c>
      <c r="N497" t="str">
        <f t="shared" si="14"/>
        <v/>
      </c>
      <c r="O497" t="str">
        <f t="shared" si="15"/>
        <v/>
      </c>
      <c r="P497" t="str">
        <f>IF(A497="","",MAX(0,N497-System_Config!$B$9))</f>
        <v/>
      </c>
    </row>
    <row r="498" spans="12:16" ht="15" customHeight="1" x14ac:dyDescent="0.25">
      <c r="L498" t="str">
        <f>IF(A498="","",SUMIF(DB_Savings!$C:$C,A498,DB_Savings!$F:$F))</f>
        <v/>
      </c>
      <c r="M498" t="str">
        <f>IF(A498="","",SUMIF(DB_Withdrawals!$C:$C,A498,DB_Withdrawals!$G:$G))</f>
        <v/>
      </c>
      <c r="N498" t="str">
        <f t="shared" si="14"/>
        <v/>
      </c>
      <c r="O498" t="str">
        <f t="shared" si="15"/>
        <v/>
      </c>
      <c r="P498" t="str">
        <f>IF(A498="","",MAX(0,N498-System_Config!$B$9))</f>
        <v/>
      </c>
    </row>
    <row r="499" spans="12:16" ht="15" customHeight="1" x14ac:dyDescent="0.25">
      <c r="L499" t="str">
        <f>IF(A499="","",SUMIF(DB_Savings!$C:$C,A499,DB_Savings!$F:$F))</f>
        <v/>
      </c>
      <c r="M499" t="str">
        <f>IF(A499="","",SUMIF(DB_Withdrawals!$C:$C,A499,DB_Withdrawals!$G:$G))</f>
        <v/>
      </c>
      <c r="N499" t="str">
        <f t="shared" si="14"/>
        <v/>
      </c>
      <c r="O499" t="str">
        <f t="shared" si="15"/>
        <v/>
      </c>
      <c r="P499" t="str">
        <f>IF(A499="","",MAX(0,N499-System_Config!$B$9))</f>
        <v/>
      </c>
    </row>
    <row r="500" spans="12:16" ht="15" customHeight="1" x14ac:dyDescent="0.25">
      <c r="L500" t="str">
        <f>IF(A500="","",SUMIF(DB_Savings!$C:$C,A500,DB_Savings!$F:$F))</f>
        <v/>
      </c>
      <c r="M500" t="str">
        <f>IF(A500="","",SUMIF(DB_Withdrawals!$C:$C,A500,DB_Withdrawals!$G:$G))</f>
        <v/>
      </c>
      <c r="N500" t="str">
        <f t="shared" si="14"/>
        <v/>
      </c>
      <c r="O500" t="str">
        <f t="shared" si="15"/>
        <v/>
      </c>
      <c r="P500" t="str">
        <f>IF(A500="","",MAX(0,N500-System_Config!$B$9))</f>
        <v/>
      </c>
    </row>
    <row r="501" spans="12:16" ht="15" customHeight="1" x14ac:dyDescent="0.25">
      <c r="L501" t="str">
        <f>IF(A501="","",SUMIF(DB_Savings!$C:$C,A501,DB_Savings!$F:$F))</f>
        <v/>
      </c>
      <c r="M501" t="str">
        <f>IF(A501="","",SUMIF(DB_Withdrawals!$C:$C,A501,DB_Withdrawals!$G:$G))</f>
        <v/>
      </c>
      <c r="N501" t="str">
        <f t="shared" si="14"/>
        <v/>
      </c>
      <c r="O501" t="str">
        <f t="shared" si="15"/>
        <v/>
      </c>
      <c r="P501" t="str">
        <f>IF(A501="","",MAX(0,N501-System_Config!$B$9))</f>
        <v/>
      </c>
    </row>
    <row r="502" spans="12:16" ht="15" customHeight="1" x14ac:dyDescent="0.25">
      <c r="L502" t="str">
        <f>IF(A502="","",SUMIF(DB_Savings!$C:$C,A502,DB_Savings!$F:$F))</f>
        <v/>
      </c>
      <c r="M502" t="str">
        <f>IF(A502="","",SUMIF(DB_Withdrawals!$C:$C,A502,DB_Withdrawals!$G:$G))</f>
        <v/>
      </c>
      <c r="N502" t="str">
        <f t="shared" si="14"/>
        <v/>
      </c>
      <c r="O502" t="str">
        <f t="shared" si="15"/>
        <v/>
      </c>
      <c r="P502" t="str">
        <f>IF(A502="","",MAX(0,N502-System_Config!$B$9))</f>
        <v/>
      </c>
    </row>
    <row r="503" spans="12:16" ht="15" customHeight="1" x14ac:dyDescent="0.25">
      <c r="L503" t="str">
        <f>IF(A503="","",SUMIF(DB_Savings!$C:$C,A503,DB_Savings!$F:$F))</f>
        <v/>
      </c>
      <c r="M503" t="str">
        <f>IF(A503="","",SUMIF(DB_Withdrawals!$C:$C,A503,DB_Withdrawals!$G:$G))</f>
        <v/>
      </c>
      <c r="N503" t="str">
        <f t="shared" si="14"/>
        <v/>
      </c>
      <c r="O503" t="str">
        <f t="shared" si="15"/>
        <v/>
      </c>
      <c r="P503" t="str">
        <f>IF(A503="","",MAX(0,N503-System_Config!$B$9))</f>
        <v/>
      </c>
    </row>
    <row r="504" spans="12:16" ht="15" customHeight="1" x14ac:dyDescent="0.25">
      <c r="L504" t="str">
        <f>IF(A504="","",SUMIF(DB_Savings!$C:$C,A504,DB_Savings!$F:$F))</f>
        <v/>
      </c>
      <c r="M504" t="str">
        <f>IF(A504="","",SUMIF(DB_Withdrawals!$C:$C,A504,DB_Withdrawals!$G:$G))</f>
        <v/>
      </c>
      <c r="N504" t="str">
        <f t="shared" si="14"/>
        <v/>
      </c>
      <c r="O504" t="str">
        <f t="shared" si="15"/>
        <v/>
      </c>
      <c r="P504" t="str">
        <f>IF(A504="","",MAX(0,N504-System_Config!$B$9))</f>
        <v/>
      </c>
    </row>
    <row r="505" spans="12:16" ht="15" customHeight="1" x14ac:dyDescent="0.25">
      <c r="L505" t="str">
        <f>IF(A505="","",SUMIF(DB_Savings!$C:$C,A505,DB_Savings!$F:$F))</f>
        <v/>
      </c>
      <c r="M505" t="str">
        <f>IF(A505="","",SUMIF(DB_Withdrawals!$C:$C,A505,DB_Withdrawals!$G:$G))</f>
        <v/>
      </c>
      <c r="N505" t="str">
        <f t="shared" si="14"/>
        <v/>
      </c>
      <c r="O505" t="str">
        <f t="shared" si="15"/>
        <v/>
      </c>
      <c r="P505" t="str">
        <f>IF(A505="","",MAX(0,N505-System_Config!$B$9))</f>
        <v/>
      </c>
    </row>
    <row r="506" spans="12:16" ht="15" customHeight="1" x14ac:dyDescent="0.25">
      <c r="L506" t="str">
        <f>IF(A506="","",SUMIF(DB_Savings!$C:$C,A506,DB_Savings!$F:$F))</f>
        <v/>
      </c>
      <c r="M506" t="str">
        <f>IF(A506="","",SUMIF(DB_Withdrawals!$C:$C,A506,DB_Withdrawals!$G:$G))</f>
        <v/>
      </c>
      <c r="N506" t="str">
        <f t="shared" si="14"/>
        <v/>
      </c>
      <c r="O506" t="str">
        <f t="shared" si="15"/>
        <v/>
      </c>
      <c r="P506" t="str">
        <f>IF(A506="","",MAX(0,N506-System_Config!$B$9))</f>
        <v/>
      </c>
    </row>
    <row r="507" spans="12:16" ht="15" customHeight="1" x14ac:dyDescent="0.25">
      <c r="L507" t="str">
        <f>IF(A507="","",SUMIF(DB_Savings!$C:$C,A507,DB_Savings!$F:$F))</f>
        <v/>
      </c>
      <c r="M507" t="str">
        <f>IF(A507="","",SUMIF(DB_Withdrawals!$C:$C,A507,DB_Withdrawals!$G:$G))</f>
        <v/>
      </c>
      <c r="N507" t="str">
        <f t="shared" si="14"/>
        <v/>
      </c>
      <c r="O507" t="str">
        <f t="shared" si="15"/>
        <v/>
      </c>
      <c r="P507" t="str">
        <f>IF(A507="","",MAX(0,N507-System_Config!$B$9))</f>
        <v/>
      </c>
    </row>
    <row r="508" spans="12:16" ht="15" customHeight="1" x14ac:dyDescent="0.25">
      <c r="L508" t="str">
        <f>IF(A508="","",SUMIF(DB_Savings!$C:$C,A508,DB_Savings!$F:$F))</f>
        <v/>
      </c>
      <c r="M508" t="str">
        <f>IF(A508="","",SUMIF(DB_Withdrawals!$C:$C,A508,DB_Withdrawals!$G:$G))</f>
        <v/>
      </c>
      <c r="N508" t="str">
        <f t="shared" si="14"/>
        <v/>
      </c>
      <c r="O508" t="str">
        <f t="shared" si="15"/>
        <v/>
      </c>
      <c r="P508" t="str">
        <f>IF(A508="","",MAX(0,N508-System_Config!$B$9))</f>
        <v/>
      </c>
    </row>
    <row r="509" spans="12:16" ht="15" customHeight="1" x14ac:dyDescent="0.25">
      <c r="L509" t="str">
        <f>IF(A509="","",SUMIF(DB_Savings!$C:$C,A509,DB_Savings!$F:$F))</f>
        <v/>
      </c>
      <c r="M509" t="str">
        <f>IF(A509="","",SUMIF(DB_Withdrawals!$C:$C,A509,DB_Withdrawals!$G:$G))</f>
        <v/>
      </c>
      <c r="N509" t="str">
        <f t="shared" si="14"/>
        <v/>
      </c>
      <c r="O509" t="str">
        <f t="shared" si="15"/>
        <v/>
      </c>
      <c r="P509" t="str">
        <f>IF(A509="","",MAX(0,N509-System_Config!$B$9))</f>
        <v/>
      </c>
    </row>
    <row r="510" spans="12:16" ht="15" customHeight="1" x14ac:dyDescent="0.25">
      <c r="L510" t="str">
        <f>IF(A510="","",SUMIF(DB_Savings!$C:$C,A510,DB_Savings!$F:$F))</f>
        <v/>
      </c>
      <c r="M510" t="str">
        <f>IF(A510="","",SUMIF(DB_Withdrawals!$C:$C,A510,DB_Withdrawals!$G:$G))</f>
        <v/>
      </c>
      <c r="N510" t="str">
        <f t="shared" si="14"/>
        <v/>
      </c>
      <c r="O510" t="str">
        <f t="shared" si="15"/>
        <v/>
      </c>
      <c r="P510" t="str">
        <f>IF(A510="","",MAX(0,N510-System_Config!$B$9))</f>
        <v/>
      </c>
    </row>
    <row r="511" spans="12:16" ht="15" customHeight="1" x14ac:dyDescent="0.25">
      <c r="L511" t="str">
        <f>IF(A511="","",SUMIF(DB_Savings!$C:$C,A511,DB_Savings!$F:$F))</f>
        <v/>
      </c>
      <c r="M511" t="str">
        <f>IF(A511="","",SUMIF(DB_Withdrawals!$C:$C,A511,DB_Withdrawals!$G:$G))</f>
        <v/>
      </c>
      <c r="N511" t="str">
        <f t="shared" si="14"/>
        <v/>
      </c>
      <c r="O511" t="str">
        <f t="shared" si="15"/>
        <v/>
      </c>
      <c r="P511" t="str">
        <f>IF(A511="","",MAX(0,N511-System_Config!$B$9))</f>
        <v/>
      </c>
    </row>
    <row r="512" spans="12:16" ht="15" customHeight="1" x14ac:dyDescent="0.25">
      <c r="L512" t="str">
        <f>IF(A512="","",SUMIF(DB_Savings!$C:$C,A512,DB_Savings!$F:$F))</f>
        <v/>
      </c>
      <c r="M512" t="str">
        <f>IF(A512="","",SUMIF(DB_Withdrawals!$C:$C,A512,DB_Withdrawals!$G:$G))</f>
        <v/>
      </c>
      <c r="N512" t="str">
        <f t="shared" si="14"/>
        <v/>
      </c>
      <c r="O512" t="str">
        <f t="shared" si="15"/>
        <v/>
      </c>
      <c r="P512" t="str">
        <f>IF(A512="","",MAX(0,N512-System_Config!$B$9))</f>
        <v/>
      </c>
    </row>
    <row r="513" spans="12:16" ht="15" customHeight="1" x14ac:dyDescent="0.25">
      <c r="L513" t="str">
        <f>IF(A513="","",SUMIF(DB_Savings!$C:$C,A513,DB_Savings!$F:$F))</f>
        <v/>
      </c>
      <c r="M513" t="str">
        <f>IF(A513="","",SUMIF(DB_Withdrawals!$C:$C,A513,DB_Withdrawals!$G:$G))</f>
        <v/>
      </c>
      <c r="N513" t="str">
        <f t="shared" si="14"/>
        <v/>
      </c>
      <c r="O513" t="str">
        <f t="shared" si="15"/>
        <v/>
      </c>
      <c r="P513" t="str">
        <f>IF(A513="","",MAX(0,N513-System_Config!$B$9))</f>
        <v/>
      </c>
    </row>
    <row r="514" spans="12:16" ht="15" customHeight="1" x14ac:dyDescent="0.25">
      <c r="L514" t="str">
        <f>IF(A514="","",SUMIF(DB_Savings!$C:$C,A514,DB_Savings!$F:$F))</f>
        <v/>
      </c>
      <c r="M514" t="str">
        <f>IF(A514="","",SUMIF(DB_Withdrawals!$C:$C,A514,DB_Withdrawals!$G:$G))</f>
        <v/>
      </c>
      <c r="N514" t="str">
        <f t="shared" si="14"/>
        <v/>
      </c>
      <c r="O514" t="str">
        <f t="shared" si="15"/>
        <v/>
      </c>
      <c r="P514" t="str">
        <f>IF(A514="","",MAX(0,N514-System_Config!$B$9))</f>
        <v/>
      </c>
    </row>
    <row r="515" spans="12:16" ht="15" customHeight="1" x14ac:dyDescent="0.25">
      <c r="L515" t="str">
        <f>IF(A515="","",SUMIF(DB_Savings!$C:$C,A515,DB_Savings!$F:$F))</f>
        <v/>
      </c>
      <c r="M515" t="str">
        <f>IF(A515="","",SUMIF(DB_Withdrawals!$C:$C,A515,DB_Withdrawals!$G:$G))</f>
        <v/>
      </c>
      <c r="N515" t="str">
        <f t="shared" si="14"/>
        <v/>
      </c>
      <c r="O515" t="str">
        <f t="shared" si="15"/>
        <v/>
      </c>
      <c r="P515" t="str">
        <f>IF(A515="","",MAX(0,N515-System_Config!$B$9))</f>
        <v/>
      </c>
    </row>
    <row r="516" spans="12:16" ht="15" customHeight="1" x14ac:dyDescent="0.25">
      <c r="L516" t="str">
        <f>IF(A516="","",SUMIF(DB_Savings!$C:$C,A516,DB_Savings!$F:$F))</f>
        <v/>
      </c>
      <c r="M516" t="str">
        <f>IF(A516="","",SUMIF(DB_Withdrawals!$C:$C,A516,DB_Withdrawals!$G:$G))</f>
        <v/>
      </c>
      <c r="N516" t="str">
        <f t="shared" ref="N516:N579" si="16">IF(A516="","",I516+L516-M516)</f>
        <v/>
      </c>
      <c r="O516" t="str">
        <f t="shared" ref="O516:O579" si="17">IF(A516="","",TRUE())</f>
        <v/>
      </c>
      <c r="P516" t="str">
        <f>IF(A516="","",MAX(0,N516-System_Config!$B$9))</f>
        <v/>
      </c>
    </row>
    <row r="517" spans="12:16" ht="15" customHeight="1" x14ac:dyDescent="0.25">
      <c r="L517" t="str">
        <f>IF(A517="","",SUMIF(DB_Savings!$C:$C,A517,DB_Savings!$F:$F))</f>
        <v/>
      </c>
      <c r="M517" t="str">
        <f>IF(A517="","",SUMIF(DB_Withdrawals!$C:$C,A517,DB_Withdrawals!$G:$G))</f>
        <v/>
      </c>
      <c r="N517" t="str">
        <f t="shared" si="16"/>
        <v/>
      </c>
      <c r="O517" t="str">
        <f t="shared" si="17"/>
        <v/>
      </c>
      <c r="P517" t="str">
        <f>IF(A517="","",MAX(0,N517-System_Config!$B$9))</f>
        <v/>
      </c>
    </row>
    <row r="518" spans="12:16" ht="15" customHeight="1" x14ac:dyDescent="0.25">
      <c r="L518" t="str">
        <f>IF(A518="","",SUMIF(DB_Savings!$C:$C,A518,DB_Savings!$F:$F))</f>
        <v/>
      </c>
      <c r="M518" t="str">
        <f>IF(A518="","",SUMIF(DB_Withdrawals!$C:$C,A518,DB_Withdrawals!$G:$G))</f>
        <v/>
      </c>
      <c r="N518" t="str">
        <f t="shared" si="16"/>
        <v/>
      </c>
      <c r="O518" t="str">
        <f t="shared" si="17"/>
        <v/>
      </c>
      <c r="P518" t="str">
        <f>IF(A518="","",MAX(0,N518-System_Config!$B$9))</f>
        <v/>
      </c>
    </row>
    <row r="519" spans="12:16" ht="15" customHeight="1" x14ac:dyDescent="0.25">
      <c r="L519" t="str">
        <f>IF(A519="","",SUMIF(DB_Savings!$C:$C,A519,DB_Savings!$F:$F))</f>
        <v/>
      </c>
      <c r="M519" t="str">
        <f>IF(A519="","",SUMIF(DB_Withdrawals!$C:$C,A519,DB_Withdrawals!$G:$G))</f>
        <v/>
      </c>
      <c r="N519" t="str">
        <f t="shared" si="16"/>
        <v/>
      </c>
      <c r="O519" t="str">
        <f t="shared" si="17"/>
        <v/>
      </c>
      <c r="P519" t="str">
        <f>IF(A519="","",MAX(0,N519-System_Config!$B$9))</f>
        <v/>
      </c>
    </row>
    <row r="520" spans="12:16" ht="15" customHeight="1" x14ac:dyDescent="0.25">
      <c r="L520" t="str">
        <f>IF(A520="","",SUMIF(DB_Savings!$C:$C,A520,DB_Savings!$F:$F))</f>
        <v/>
      </c>
      <c r="M520" t="str">
        <f>IF(A520="","",SUMIF(DB_Withdrawals!$C:$C,A520,DB_Withdrawals!$G:$G))</f>
        <v/>
      </c>
      <c r="N520" t="str">
        <f t="shared" si="16"/>
        <v/>
      </c>
      <c r="O520" t="str">
        <f t="shared" si="17"/>
        <v/>
      </c>
      <c r="P520" t="str">
        <f>IF(A520="","",MAX(0,N520-System_Config!$B$9))</f>
        <v/>
      </c>
    </row>
    <row r="521" spans="12:16" ht="15" customHeight="1" x14ac:dyDescent="0.25">
      <c r="L521" t="str">
        <f>IF(A521="","",SUMIF(DB_Savings!$C:$C,A521,DB_Savings!$F:$F))</f>
        <v/>
      </c>
      <c r="M521" t="str">
        <f>IF(A521="","",SUMIF(DB_Withdrawals!$C:$C,A521,DB_Withdrawals!$G:$G))</f>
        <v/>
      </c>
      <c r="N521" t="str">
        <f t="shared" si="16"/>
        <v/>
      </c>
      <c r="O521" t="str">
        <f t="shared" si="17"/>
        <v/>
      </c>
      <c r="P521" t="str">
        <f>IF(A521="","",MAX(0,N521-System_Config!$B$9))</f>
        <v/>
      </c>
    </row>
    <row r="522" spans="12:16" ht="15" customHeight="1" x14ac:dyDescent="0.25">
      <c r="L522" t="str">
        <f>IF(A522="","",SUMIF(DB_Savings!$C:$C,A522,DB_Savings!$F:$F))</f>
        <v/>
      </c>
      <c r="M522" t="str">
        <f>IF(A522="","",SUMIF(DB_Withdrawals!$C:$C,A522,DB_Withdrawals!$G:$G))</f>
        <v/>
      </c>
      <c r="N522" t="str">
        <f t="shared" si="16"/>
        <v/>
      </c>
      <c r="O522" t="str">
        <f t="shared" si="17"/>
        <v/>
      </c>
      <c r="P522" t="str">
        <f>IF(A522="","",MAX(0,N522-System_Config!$B$9))</f>
        <v/>
      </c>
    </row>
    <row r="523" spans="12:16" ht="15" customHeight="1" x14ac:dyDescent="0.25">
      <c r="L523" t="str">
        <f>IF(A523="","",SUMIF(DB_Savings!$C:$C,A523,DB_Savings!$F:$F))</f>
        <v/>
      </c>
      <c r="M523" t="str">
        <f>IF(A523="","",SUMIF(DB_Withdrawals!$C:$C,A523,DB_Withdrawals!$G:$G))</f>
        <v/>
      </c>
      <c r="N523" t="str">
        <f t="shared" si="16"/>
        <v/>
      </c>
      <c r="O523" t="str">
        <f t="shared" si="17"/>
        <v/>
      </c>
      <c r="P523" t="str">
        <f>IF(A523="","",MAX(0,N523-System_Config!$B$9))</f>
        <v/>
      </c>
    </row>
    <row r="524" spans="12:16" ht="15" customHeight="1" x14ac:dyDescent="0.25">
      <c r="L524" t="str">
        <f>IF(A524="","",SUMIF(DB_Savings!$C:$C,A524,DB_Savings!$F:$F))</f>
        <v/>
      </c>
      <c r="M524" t="str">
        <f>IF(A524="","",SUMIF(DB_Withdrawals!$C:$C,A524,DB_Withdrawals!$G:$G))</f>
        <v/>
      </c>
      <c r="N524" t="str">
        <f t="shared" si="16"/>
        <v/>
      </c>
      <c r="O524" t="str">
        <f t="shared" si="17"/>
        <v/>
      </c>
      <c r="P524" t="str">
        <f>IF(A524="","",MAX(0,N524-System_Config!$B$9))</f>
        <v/>
      </c>
    </row>
    <row r="525" spans="12:16" ht="15" customHeight="1" x14ac:dyDescent="0.25">
      <c r="L525" t="str">
        <f>IF(A525="","",SUMIF(DB_Savings!$C:$C,A525,DB_Savings!$F:$F))</f>
        <v/>
      </c>
      <c r="M525" t="str">
        <f>IF(A525="","",SUMIF(DB_Withdrawals!$C:$C,A525,DB_Withdrawals!$G:$G))</f>
        <v/>
      </c>
      <c r="N525" t="str">
        <f t="shared" si="16"/>
        <v/>
      </c>
      <c r="O525" t="str">
        <f t="shared" si="17"/>
        <v/>
      </c>
      <c r="P525" t="str">
        <f>IF(A525="","",MAX(0,N525-System_Config!$B$9))</f>
        <v/>
      </c>
    </row>
    <row r="526" spans="12:16" ht="15" customHeight="1" x14ac:dyDescent="0.25">
      <c r="L526" t="str">
        <f>IF(A526="","",SUMIF(DB_Savings!$C:$C,A526,DB_Savings!$F:$F))</f>
        <v/>
      </c>
      <c r="M526" t="str">
        <f>IF(A526="","",SUMIF(DB_Withdrawals!$C:$C,A526,DB_Withdrawals!$G:$G))</f>
        <v/>
      </c>
      <c r="N526" t="str">
        <f t="shared" si="16"/>
        <v/>
      </c>
      <c r="O526" t="str">
        <f t="shared" si="17"/>
        <v/>
      </c>
      <c r="P526" t="str">
        <f>IF(A526="","",MAX(0,N526-System_Config!$B$9))</f>
        <v/>
      </c>
    </row>
    <row r="527" spans="12:16" ht="15" customHeight="1" x14ac:dyDescent="0.25">
      <c r="L527" t="str">
        <f>IF(A527="","",SUMIF(DB_Savings!$C:$C,A527,DB_Savings!$F:$F))</f>
        <v/>
      </c>
      <c r="M527" t="str">
        <f>IF(A527="","",SUMIF(DB_Withdrawals!$C:$C,A527,DB_Withdrawals!$G:$G))</f>
        <v/>
      </c>
      <c r="N527" t="str">
        <f t="shared" si="16"/>
        <v/>
      </c>
      <c r="O527" t="str">
        <f t="shared" si="17"/>
        <v/>
      </c>
      <c r="P527" t="str">
        <f>IF(A527="","",MAX(0,N527-System_Config!$B$9))</f>
        <v/>
      </c>
    </row>
    <row r="528" spans="12:16" ht="15" customHeight="1" x14ac:dyDescent="0.25">
      <c r="L528" t="str">
        <f>IF(A528="","",SUMIF(DB_Savings!$C:$C,A528,DB_Savings!$F:$F))</f>
        <v/>
      </c>
      <c r="M528" t="str">
        <f>IF(A528="","",SUMIF(DB_Withdrawals!$C:$C,A528,DB_Withdrawals!$G:$G))</f>
        <v/>
      </c>
      <c r="N528" t="str">
        <f t="shared" si="16"/>
        <v/>
      </c>
      <c r="O528" t="str">
        <f t="shared" si="17"/>
        <v/>
      </c>
      <c r="P528" t="str">
        <f>IF(A528="","",MAX(0,N528-System_Config!$B$9))</f>
        <v/>
      </c>
    </row>
    <row r="529" spans="12:16" ht="15" customHeight="1" x14ac:dyDescent="0.25">
      <c r="L529" t="str">
        <f>IF(A529="","",SUMIF(DB_Savings!$C:$C,A529,DB_Savings!$F:$F))</f>
        <v/>
      </c>
      <c r="M529" t="str">
        <f>IF(A529="","",SUMIF(DB_Withdrawals!$C:$C,A529,DB_Withdrawals!$G:$G))</f>
        <v/>
      </c>
      <c r="N529" t="str">
        <f t="shared" si="16"/>
        <v/>
      </c>
      <c r="O529" t="str">
        <f t="shared" si="17"/>
        <v/>
      </c>
      <c r="P529" t="str">
        <f>IF(A529="","",MAX(0,N529-System_Config!$B$9))</f>
        <v/>
      </c>
    </row>
    <row r="530" spans="12:16" ht="15" customHeight="1" x14ac:dyDescent="0.25">
      <c r="L530" t="str">
        <f>IF(A530="","",SUMIF(DB_Savings!$C:$C,A530,DB_Savings!$F:$F))</f>
        <v/>
      </c>
      <c r="M530" t="str">
        <f>IF(A530="","",SUMIF(DB_Withdrawals!$C:$C,A530,DB_Withdrawals!$G:$G))</f>
        <v/>
      </c>
      <c r="N530" t="str">
        <f t="shared" si="16"/>
        <v/>
      </c>
      <c r="O530" t="str">
        <f t="shared" si="17"/>
        <v/>
      </c>
      <c r="P530" t="str">
        <f>IF(A530="","",MAX(0,N530-System_Config!$B$9))</f>
        <v/>
      </c>
    </row>
    <row r="531" spans="12:16" ht="15" customHeight="1" x14ac:dyDescent="0.25">
      <c r="L531" t="str">
        <f>IF(A531="","",SUMIF(DB_Savings!$C:$C,A531,DB_Savings!$F:$F))</f>
        <v/>
      </c>
      <c r="M531" t="str">
        <f>IF(A531="","",SUMIF(DB_Withdrawals!$C:$C,A531,DB_Withdrawals!$G:$G))</f>
        <v/>
      </c>
      <c r="N531" t="str">
        <f t="shared" si="16"/>
        <v/>
      </c>
      <c r="O531" t="str">
        <f t="shared" si="17"/>
        <v/>
      </c>
      <c r="P531" t="str">
        <f>IF(A531="","",MAX(0,N531-System_Config!$B$9))</f>
        <v/>
      </c>
    </row>
    <row r="532" spans="12:16" ht="15" customHeight="1" x14ac:dyDescent="0.25">
      <c r="L532" t="str">
        <f>IF(A532="","",SUMIF(DB_Savings!$C:$C,A532,DB_Savings!$F:$F))</f>
        <v/>
      </c>
      <c r="M532" t="str">
        <f>IF(A532="","",SUMIF(DB_Withdrawals!$C:$C,A532,DB_Withdrawals!$G:$G))</f>
        <v/>
      </c>
      <c r="N532" t="str">
        <f t="shared" si="16"/>
        <v/>
      </c>
      <c r="O532" t="str">
        <f t="shared" si="17"/>
        <v/>
      </c>
      <c r="P532" t="str">
        <f>IF(A532="","",MAX(0,N532-System_Config!$B$9))</f>
        <v/>
      </c>
    </row>
    <row r="533" spans="12:16" ht="15" customHeight="1" x14ac:dyDescent="0.25">
      <c r="L533" t="str">
        <f>IF(A533="","",SUMIF(DB_Savings!$C:$C,A533,DB_Savings!$F:$F))</f>
        <v/>
      </c>
      <c r="M533" t="str">
        <f>IF(A533="","",SUMIF(DB_Withdrawals!$C:$C,A533,DB_Withdrawals!$G:$G))</f>
        <v/>
      </c>
      <c r="N533" t="str">
        <f t="shared" si="16"/>
        <v/>
      </c>
      <c r="O533" t="str">
        <f t="shared" si="17"/>
        <v/>
      </c>
      <c r="P533" t="str">
        <f>IF(A533="","",MAX(0,N533-System_Config!$B$9))</f>
        <v/>
      </c>
    </row>
    <row r="534" spans="12:16" ht="15" customHeight="1" x14ac:dyDescent="0.25">
      <c r="L534" t="str">
        <f>IF(A534="","",SUMIF(DB_Savings!$C:$C,A534,DB_Savings!$F:$F))</f>
        <v/>
      </c>
      <c r="M534" t="str">
        <f>IF(A534="","",SUMIF(DB_Withdrawals!$C:$C,A534,DB_Withdrawals!$G:$G))</f>
        <v/>
      </c>
      <c r="N534" t="str">
        <f t="shared" si="16"/>
        <v/>
      </c>
      <c r="O534" t="str">
        <f t="shared" si="17"/>
        <v/>
      </c>
      <c r="P534" t="str">
        <f>IF(A534="","",MAX(0,N534-System_Config!$B$9))</f>
        <v/>
      </c>
    </row>
    <row r="535" spans="12:16" ht="15" customHeight="1" x14ac:dyDescent="0.25">
      <c r="L535" t="str">
        <f>IF(A535="","",SUMIF(DB_Savings!$C:$C,A535,DB_Savings!$F:$F))</f>
        <v/>
      </c>
      <c r="M535" t="str">
        <f>IF(A535="","",SUMIF(DB_Withdrawals!$C:$C,A535,DB_Withdrawals!$G:$G))</f>
        <v/>
      </c>
      <c r="N535" t="str">
        <f t="shared" si="16"/>
        <v/>
      </c>
      <c r="O535" t="str">
        <f t="shared" si="17"/>
        <v/>
      </c>
      <c r="P535" t="str">
        <f>IF(A535="","",MAX(0,N535-System_Config!$B$9))</f>
        <v/>
      </c>
    </row>
    <row r="536" spans="12:16" ht="15" customHeight="1" x14ac:dyDescent="0.25">
      <c r="L536" t="str">
        <f>IF(A536="","",SUMIF(DB_Savings!$C:$C,A536,DB_Savings!$F:$F))</f>
        <v/>
      </c>
      <c r="M536" t="str">
        <f>IF(A536="","",SUMIF(DB_Withdrawals!$C:$C,A536,DB_Withdrawals!$G:$G))</f>
        <v/>
      </c>
      <c r="N536" t="str">
        <f t="shared" si="16"/>
        <v/>
      </c>
      <c r="O536" t="str">
        <f t="shared" si="17"/>
        <v/>
      </c>
      <c r="P536" t="str">
        <f>IF(A536="","",MAX(0,N536-System_Config!$B$9))</f>
        <v/>
      </c>
    </row>
    <row r="537" spans="12:16" ht="15" customHeight="1" x14ac:dyDescent="0.25">
      <c r="L537" t="str">
        <f>IF(A537="","",SUMIF(DB_Savings!$C:$C,A537,DB_Savings!$F:$F))</f>
        <v/>
      </c>
      <c r="M537" t="str">
        <f>IF(A537="","",SUMIF(DB_Withdrawals!$C:$C,A537,DB_Withdrawals!$G:$G))</f>
        <v/>
      </c>
      <c r="N537" t="str">
        <f t="shared" si="16"/>
        <v/>
      </c>
      <c r="O537" t="str">
        <f t="shared" si="17"/>
        <v/>
      </c>
      <c r="P537" t="str">
        <f>IF(A537="","",MAX(0,N537-System_Config!$B$9))</f>
        <v/>
      </c>
    </row>
    <row r="538" spans="12:16" ht="15" customHeight="1" x14ac:dyDescent="0.25">
      <c r="L538" t="str">
        <f>IF(A538="","",SUMIF(DB_Savings!$C:$C,A538,DB_Savings!$F:$F))</f>
        <v/>
      </c>
      <c r="M538" t="str">
        <f>IF(A538="","",SUMIF(DB_Withdrawals!$C:$C,A538,DB_Withdrawals!$G:$G))</f>
        <v/>
      </c>
      <c r="N538" t="str">
        <f t="shared" si="16"/>
        <v/>
      </c>
      <c r="O538" t="str">
        <f t="shared" si="17"/>
        <v/>
      </c>
      <c r="P538" t="str">
        <f>IF(A538="","",MAX(0,N538-System_Config!$B$9))</f>
        <v/>
      </c>
    </row>
    <row r="539" spans="12:16" ht="15" customHeight="1" x14ac:dyDescent="0.25">
      <c r="L539" t="str">
        <f>IF(A539="","",SUMIF(DB_Savings!$C:$C,A539,DB_Savings!$F:$F))</f>
        <v/>
      </c>
      <c r="M539" t="str">
        <f>IF(A539="","",SUMIF(DB_Withdrawals!$C:$C,A539,DB_Withdrawals!$G:$G))</f>
        <v/>
      </c>
      <c r="N539" t="str">
        <f t="shared" si="16"/>
        <v/>
      </c>
      <c r="O539" t="str">
        <f t="shared" si="17"/>
        <v/>
      </c>
      <c r="P539" t="str">
        <f>IF(A539="","",MAX(0,N539-System_Config!$B$9))</f>
        <v/>
      </c>
    </row>
    <row r="540" spans="12:16" ht="15" customHeight="1" x14ac:dyDescent="0.25">
      <c r="L540" t="str">
        <f>IF(A540="","",SUMIF(DB_Savings!$C:$C,A540,DB_Savings!$F:$F))</f>
        <v/>
      </c>
      <c r="M540" t="str">
        <f>IF(A540="","",SUMIF(DB_Withdrawals!$C:$C,A540,DB_Withdrawals!$G:$G))</f>
        <v/>
      </c>
      <c r="N540" t="str">
        <f t="shared" si="16"/>
        <v/>
      </c>
      <c r="O540" t="str">
        <f t="shared" si="17"/>
        <v/>
      </c>
      <c r="P540" t="str">
        <f>IF(A540="","",MAX(0,N540-System_Config!$B$9))</f>
        <v/>
      </c>
    </row>
    <row r="541" spans="12:16" ht="15" customHeight="1" x14ac:dyDescent="0.25">
      <c r="L541" t="str">
        <f>IF(A541="","",SUMIF(DB_Savings!$C:$C,A541,DB_Savings!$F:$F))</f>
        <v/>
      </c>
      <c r="M541" t="str">
        <f>IF(A541="","",SUMIF(DB_Withdrawals!$C:$C,A541,DB_Withdrawals!$G:$G))</f>
        <v/>
      </c>
      <c r="N541" t="str">
        <f t="shared" si="16"/>
        <v/>
      </c>
      <c r="O541" t="str">
        <f t="shared" si="17"/>
        <v/>
      </c>
      <c r="P541" t="str">
        <f>IF(A541="","",MAX(0,N541-System_Config!$B$9))</f>
        <v/>
      </c>
    </row>
    <row r="542" spans="12:16" ht="15" customHeight="1" x14ac:dyDescent="0.25">
      <c r="L542" t="str">
        <f>IF(A542="","",SUMIF(DB_Savings!$C:$C,A542,DB_Savings!$F:$F))</f>
        <v/>
      </c>
      <c r="M542" t="str">
        <f>IF(A542="","",SUMIF(DB_Withdrawals!$C:$C,A542,DB_Withdrawals!$G:$G))</f>
        <v/>
      </c>
      <c r="N542" t="str">
        <f t="shared" si="16"/>
        <v/>
      </c>
      <c r="O542" t="str">
        <f t="shared" si="17"/>
        <v/>
      </c>
      <c r="P542" t="str">
        <f>IF(A542="","",MAX(0,N542-System_Config!$B$9))</f>
        <v/>
      </c>
    </row>
    <row r="543" spans="12:16" ht="15" customHeight="1" x14ac:dyDescent="0.25">
      <c r="L543" t="str">
        <f>IF(A543="","",SUMIF(DB_Savings!$C:$C,A543,DB_Savings!$F:$F))</f>
        <v/>
      </c>
      <c r="M543" t="str">
        <f>IF(A543="","",SUMIF(DB_Withdrawals!$C:$C,A543,DB_Withdrawals!$G:$G))</f>
        <v/>
      </c>
      <c r="N543" t="str">
        <f t="shared" si="16"/>
        <v/>
      </c>
      <c r="O543" t="str">
        <f t="shared" si="17"/>
        <v/>
      </c>
      <c r="P543" t="str">
        <f>IF(A543="","",MAX(0,N543-System_Config!$B$9))</f>
        <v/>
      </c>
    </row>
    <row r="544" spans="12:16" ht="15" customHeight="1" x14ac:dyDescent="0.25">
      <c r="L544" t="str">
        <f>IF(A544="","",SUMIF(DB_Savings!$C:$C,A544,DB_Savings!$F:$F))</f>
        <v/>
      </c>
      <c r="M544" t="str">
        <f>IF(A544="","",SUMIF(DB_Withdrawals!$C:$C,A544,DB_Withdrawals!$G:$G))</f>
        <v/>
      </c>
      <c r="N544" t="str">
        <f t="shared" si="16"/>
        <v/>
      </c>
      <c r="O544" t="str">
        <f t="shared" si="17"/>
        <v/>
      </c>
      <c r="P544" t="str">
        <f>IF(A544="","",MAX(0,N544-System_Config!$B$9))</f>
        <v/>
      </c>
    </row>
    <row r="545" spans="12:16" ht="15" customHeight="1" x14ac:dyDescent="0.25">
      <c r="L545" t="str">
        <f>IF(A545="","",SUMIF(DB_Savings!$C:$C,A545,DB_Savings!$F:$F))</f>
        <v/>
      </c>
      <c r="M545" t="str">
        <f>IF(A545="","",SUMIF(DB_Withdrawals!$C:$C,A545,DB_Withdrawals!$G:$G))</f>
        <v/>
      </c>
      <c r="N545" t="str">
        <f t="shared" si="16"/>
        <v/>
      </c>
      <c r="O545" t="str">
        <f t="shared" si="17"/>
        <v/>
      </c>
      <c r="P545" t="str">
        <f>IF(A545="","",MAX(0,N545-System_Config!$B$9))</f>
        <v/>
      </c>
    </row>
    <row r="546" spans="12:16" ht="15" customHeight="1" x14ac:dyDescent="0.25">
      <c r="L546" t="str">
        <f>IF(A546="","",SUMIF(DB_Savings!$C:$C,A546,DB_Savings!$F:$F))</f>
        <v/>
      </c>
      <c r="M546" t="str">
        <f>IF(A546="","",SUMIF(DB_Withdrawals!$C:$C,A546,DB_Withdrawals!$G:$G))</f>
        <v/>
      </c>
      <c r="N546" t="str">
        <f t="shared" si="16"/>
        <v/>
      </c>
      <c r="O546" t="str">
        <f t="shared" si="17"/>
        <v/>
      </c>
      <c r="P546" t="str">
        <f>IF(A546="","",MAX(0,N546-System_Config!$B$9))</f>
        <v/>
      </c>
    </row>
    <row r="547" spans="12:16" ht="15" customHeight="1" x14ac:dyDescent="0.25">
      <c r="L547" t="str">
        <f>IF(A547="","",SUMIF(DB_Savings!$C:$C,A547,DB_Savings!$F:$F))</f>
        <v/>
      </c>
      <c r="M547" t="str">
        <f>IF(A547="","",SUMIF(DB_Withdrawals!$C:$C,A547,DB_Withdrawals!$G:$G))</f>
        <v/>
      </c>
      <c r="N547" t="str">
        <f t="shared" si="16"/>
        <v/>
      </c>
      <c r="O547" t="str">
        <f t="shared" si="17"/>
        <v/>
      </c>
      <c r="P547" t="str">
        <f>IF(A547="","",MAX(0,N547-System_Config!$B$9))</f>
        <v/>
      </c>
    </row>
    <row r="548" spans="12:16" ht="15" customHeight="1" x14ac:dyDescent="0.25">
      <c r="L548" t="str">
        <f>IF(A548="","",SUMIF(DB_Savings!$C:$C,A548,DB_Savings!$F:$F))</f>
        <v/>
      </c>
      <c r="M548" t="str">
        <f>IF(A548="","",SUMIF(DB_Withdrawals!$C:$C,A548,DB_Withdrawals!$G:$G))</f>
        <v/>
      </c>
      <c r="N548" t="str">
        <f t="shared" si="16"/>
        <v/>
      </c>
      <c r="O548" t="str">
        <f t="shared" si="17"/>
        <v/>
      </c>
      <c r="P548" t="str">
        <f>IF(A548="","",MAX(0,N548-System_Config!$B$9))</f>
        <v/>
      </c>
    </row>
    <row r="549" spans="12:16" ht="15" customHeight="1" x14ac:dyDescent="0.25">
      <c r="L549" t="str">
        <f>IF(A549="","",SUMIF(DB_Savings!$C:$C,A549,DB_Savings!$F:$F))</f>
        <v/>
      </c>
      <c r="M549" t="str">
        <f>IF(A549="","",SUMIF(DB_Withdrawals!$C:$C,A549,DB_Withdrawals!$G:$G))</f>
        <v/>
      </c>
      <c r="N549" t="str">
        <f t="shared" si="16"/>
        <v/>
      </c>
      <c r="O549" t="str">
        <f t="shared" si="17"/>
        <v/>
      </c>
      <c r="P549" t="str">
        <f>IF(A549="","",MAX(0,N549-System_Config!$B$9))</f>
        <v/>
      </c>
    </row>
    <row r="550" spans="12:16" ht="15" customHeight="1" x14ac:dyDescent="0.25">
      <c r="L550" t="str">
        <f>IF(A550="","",SUMIF(DB_Savings!$C:$C,A550,DB_Savings!$F:$F))</f>
        <v/>
      </c>
      <c r="M550" t="str">
        <f>IF(A550="","",SUMIF(DB_Withdrawals!$C:$C,A550,DB_Withdrawals!$G:$G))</f>
        <v/>
      </c>
      <c r="N550" t="str">
        <f t="shared" si="16"/>
        <v/>
      </c>
      <c r="O550" t="str">
        <f t="shared" si="17"/>
        <v/>
      </c>
      <c r="P550" t="str">
        <f>IF(A550="","",MAX(0,N550-System_Config!$B$9))</f>
        <v/>
      </c>
    </row>
    <row r="551" spans="12:16" ht="15" customHeight="1" x14ac:dyDescent="0.25">
      <c r="L551" t="str">
        <f>IF(A551="","",SUMIF(DB_Savings!$C:$C,A551,DB_Savings!$F:$F))</f>
        <v/>
      </c>
      <c r="M551" t="str">
        <f>IF(A551="","",SUMIF(DB_Withdrawals!$C:$C,A551,DB_Withdrawals!$G:$G))</f>
        <v/>
      </c>
      <c r="N551" t="str">
        <f t="shared" si="16"/>
        <v/>
      </c>
      <c r="O551" t="str">
        <f t="shared" si="17"/>
        <v/>
      </c>
      <c r="P551" t="str">
        <f>IF(A551="","",MAX(0,N551-System_Config!$B$9))</f>
        <v/>
      </c>
    </row>
    <row r="552" spans="12:16" ht="15" customHeight="1" x14ac:dyDescent="0.25">
      <c r="L552" t="str">
        <f>IF(A552="","",SUMIF(DB_Savings!$C:$C,A552,DB_Savings!$F:$F))</f>
        <v/>
      </c>
      <c r="M552" t="str">
        <f>IF(A552="","",SUMIF(DB_Withdrawals!$C:$C,A552,DB_Withdrawals!$G:$G))</f>
        <v/>
      </c>
      <c r="N552" t="str">
        <f t="shared" si="16"/>
        <v/>
      </c>
      <c r="O552" t="str">
        <f t="shared" si="17"/>
        <v/>
      </c>
      <c r="P552" t="str">
        <f>IF(A552="","",MAX(0,N552-System_Config!$B$9))</f>
        <v/>
      </c>
    </row>
    <row r="553" spans="12:16" ht="15" customHeight="1" x14ac:dyDescent="0.25">
      <c r="L553" t="str">
        <f>IF(A553="","",SUMIF(DB_Savings!$C:$C,A553,DB_Savings!$F:$F))</f>
        <v/>
      </c>
      <c r="M553" t="str">
        <f>IF(A553="","",SUMIF(DB_Withdrawals!$C:$C,A553,DB_Withdrawals!$G:$G))</f>
        <v/>
      </c>
      <c r="N553" t="str">
        <f t="shared" si="16"/>
        <v/>
      </c>
      <c r="O553" t="str">
        <f t="shared" si="17"/>
        <v/>
      </c>
      <c r="P553" t="str">
        <f>IF(A553="","",MAX(0,N553-System_Config!$B$9))</f>
        <v/>
      </c>
    </row>
    <row r="554" spans="12:16" ht="15" customHeight="1" x14ac:dyDescent="0.25">
      <c r="L554" t="str">
        <f>IF(A554="","",SUMIF(DB_Savings!$C:$C,A554,DB_Savings!$F:$F))</f>
        <v/>
      </c>
      <c r="M554" t="str">
        <f>IF(A554="","",SUMIF(DB_Withdrawals!$C:$C,A554,DB_Withdrawals!$G:$G))</f>
        <v/>
      </c>
      <c r="N554" t="str">
        <f t="shared" si="16"/>
        <v/>
      </c>
      <c r="O554" t="str">
        <f t="shared" si="17"/>
        <v/>
      </c>
      <c r="P554" t="str">
        <f>IF(A554="","",MAX(0,N554-System_Config!$B$9))</f>
        <v/>
      </c>
    </row>
    <row r="555" spans="12:16" ht="15" customHeight="1" x14ac:dyDescent="0.25">
      <c r="L555" t="str">
        <f>IF(A555="","",SUMIF(DB_Savings!$C:$C,A555,DB_Savings!$F:$F))</f>
        <v/>
      </c>
      <c r="M555" t="str">
        <f>IF(A555="","",SUMIF(DB_Withdrawals!$C:$C,A555,DB_Withdrawals!$G:$G))</f>
        <v/>
      </c>
      <c r="N555" t="str">
        <f t="shared" si="16"/>
        <v/>
      </c>
      <c r="O555" t="str">
        <f t="shared" si="17"/>
        <v/>
      </c>
      <c r="P555" t="str">
        <f>IF(A555="","",MAX(0,N555-System_Config!$B$9))</f>
        <v/>
      </c>
    </row>
    <row r="556" spans="12:16" ht="15" customHeight="1" x14ac:dyDescent="0.25">
      <c r="L556" t="str">
        <f>IF(A556="","",SUMIF(DB_Savings!$C:$C,A556,DB_Savings!$F:$F))</f>
        <v/>
      </c>
      <c r="M556" t="str">
        <f>IF(A556="","",SUMIF(DB_Withdrawals!$C:$C,A556,DB_Withdrawals!$G:$G))</f>
        <v/>
      </c>
      <c r="N556" t="str">
        <f t="shared" si="16"/>
        <v/>
      </c>
      <c r="O556" t="str">
        <f t="shared" si="17"/>
        <v/>
      </c>
      <c r="P556" t="str">
        <f>IF(A556="","",MAX(0,N556-System_Config!$B$9))</f>
        <v/>
      </c>
    </row>
    <row r="557" spans="12:16" ht="15" customHeight="1" x14ac:dyDescent="0.25">
      <c r="L557" t="str">
        <f>IF(A557="","",SUMIF(DB_Savings!$C:$C,A557,DB_Savings!$F:$F))</f>
        <v/>
      </c>
      <c r="M557" t="str">
        <f>IF(A557="","",SUMIF(DB_Withdrawals!$C:$C,A557,DB_Withdrawals!$G:$G))</f>
        <v/>
      </c>
      <c r="N557" t="str">
        <f t="shared" si="16"/>
        <v/>
      </c>
      <c r="O557" t="str">
        <f t="shared" si="17"/>
        <v/>
      </c>
      <c r="P557" t="str">
        <f>IF(A557="","",MAX(0,N557-System_Config!$B$9))</f>
        <v/>
      </c>
    </row>
    <row r="558" spans="12:16" ht="15" customHeight="1" x14ac:dyDescent="0.25">
      <c r="L558" t="str">
        <f>IF(A558="","",SUMIF(DB_Savings!$C:$C,A558,DB_Savings!$F:$F))</f>
        <v/>
      </c>
      <c r="M558" t="str">
        <f>IF(A558="","",SUMIF(DB_Withdrawals!$C:$C,A558,DB_Withdrawals!$G:$G))</f>
        <v/>
      </c>
      <c r="N558" t="str">
        <f t="shared" si="16"/>
        <v/>
      </c>
      <c r="O558" t="str">
        <f t="shared" si="17"/>
        <v/>
      </c>
      <c r="P558" t="str">
        <f>IF(A558="","",MAX(0,N558-System_Config!$B$9))</f>
        <v/>
      </c>
    </row>
    <row r="559" spans="12:16" ht="15" customHeight="1" x14ac:dyDescent="0.25">
      <c r="L559" t="str">
        <f>IF(A559="","",SUMIF(DB_Savings!$C:$C,A559,DB_Savings!$F:$F))</f>
        <v/>
      </c>
      <c r="M559" t="str">
        <f>IF(A559="","",SUMIF(DB_Withdrawals!$C:$C,A559,DB_Withdrawals!$G:$G))</f>
        <v/>
      </c>
      <c r="N559" t="str">
        <f t="shared" si="16"/>
        <v/>
      </c>
      <c r="O559" t="str">
        <f t="shared" si="17"/>
        <v/>
      </c>
      <c r="P559" t="str">
        <f>IF(A559="","",MAX(0,N559-System_Config!$B$9))</f>
        <v/>
      </c>
    </row>
    <row r="560" spans="12:16" ht="15" customHeight="1" x14ac:dyDescent="0.25">
      <c r="L560" t="str">
        <f>IF(A560="","",SUMIF(DB_Savings!$C:$C,A560,DB_Savings!$F:$F))</f>
        <v/>
      </c>
      <c r="M560" t="str">
        <f>IF(A560="","",SUMIF(DB_Withdrawals!$C:$C,A560,DB_Withdrawals!$G:$G))</f>
        <v/>
      </c>
      <c r="N560" t="str">
        <f t="shared" si="16"/>
        <v/>
      </c>
      <c r="O560" t="str">
        <f t="shared" si="17"/>
        <v/>
      </c>
      <c r="P560" t="str">
        <f>IF(A560="","",MAX(0,N560-System_Config!$B$9))</f>
        <v/>
      </c>
    </row>
    <row r="561" spans="12:16" ht="15" customHeight="1" x14ac:dyDescent="0.25">
      <c r="L561" t="str">
        <f>IF(A561="","",SUMIF(DB_Savings!$C:$C,A561,DB_Savings!$F:$F))</f>
        <v/>
      </c>
      <c r="M561" t="str">
        <f>IF(A561="","",SUMIF(DB_Withdrawals!$C:$C,A561,DB_Withdrawals!$G:$G))</f>
        <v/>
      </c>
      <c r="N561" t="str">
        <f t="shared" si="16"/>
        <v/>
      </c>
      <c r="O561" t="str">
        <f t="shared" si="17"/>
        <v/>
      </c>
      <c r="P561" t="str">
        <f>IF(A561="","",MAX(0,N561-System_Config!$B$9))</f>
        <v/>
      </c>
    </row>
    <row r="562" spans="12:16" ht="15" customHeight="1" x14ac:dyDescent="0.25">
      <c r="L562" t="str">
        <f>IF(A562="","",SUMIF(DB_Savings!$C:$C,A562,DB_Savings!$F:$F))</f>
        <v/>
      </c>
      <c r="M562" t="str">
        <f>IF(A562="","",SUMIF(DB_Withdrawals!$C:$C,A562,DB_Withdrawals!$G:$G))</f>
        <v/>
      </c>
      <c r="N562" t="str">
        <f t="shared" si="16"/>
        <v/>
      </c>
      <c r="O562" t="str">
        <f t="shared" si="17"/>
        <v/>
      </c>
      <c r="P562" t="str">
        <f>IF(A562="","",MAX(0,N562-System_Config!$B$9))</f>
        <v/>
      </c>
    </row>
    <row r="563" spans="12:16" ht="15" customHeight="1" x14ac:dyDescent="0.25">
      <c r="L563" t="str">
        <f>IF(A563="","",SUMIF(DB_Savings!$C:$C,A563,DB_Savings!$F:$F))</f>
        <v/>
      </c>
      <c r="M563" t="str">
        <f>IF(A563="","",SUMIF(DB_Withdrawals!$C:$C,A563,DB_Withdrawals!$G:$G))</f>
        <v/>
      </c>
      <c r="N563" t="str">
        <f t="shared" si="16"/>
        <v/>
      </c>
      <c r="O563" t="str">
        <f t="shared" si="17"/>
        <v/>
      </c>
      <c r="P563" t="str">
        <f>IF(A563="","",MAX(0,N563-System_Config!$B$9))</f>
        <v/>
      </c>
    </row>
    <row r="564" spans="12:16" ht="15" customHeight="1" x14ac:dyDescent="0.25">
      <c r="L564" t="str">
        <f>IF(A564="","",SUMIF(DB_Savings!$C:$C,A564,DB_Savings!$F:$F))</f>
        <v/>
      </c>
      <c r="M564" t="str">
        <f>IF(A564="","",SUMIF(DB_Withdrawals!$C:$C,A564,DB_Withdrawals!$G:$G))</f>
        <v/>
      </c>
      <c r="N564" t="str">
        <f t="shared" si="16"/>
        <v/>
      </c>
      <c r="O564" t="str">
        <f t="shared" si="17"/>
        <v/>
      </c>
      <c r="P564" t="str">
        <f>IF(A564="","",MAX(0,N564-System_Config!$B$9))</f>
        <v/>
      </c>
    </row>
    <row r="565" spans="12:16" ht="15" customHeight="1" x14ac:dyDescent="0.25">
      <c r="L565" t="str">
        <f>IF(A565="","",SUMIF(DB_Savings!$C:$C,A565,DB_Savings!$F:$F))</f>
        <v/>
      </c>
      <c r="M565" t="str">
        <f>IF(A565="","",SUMIF(DB_Withdrawals!$C:$C,A565,DB_Withdrawals!$G:$G))</f>
        <v/>
      </c>
      <c r="N565" t="str">
        <f t="shared" si="16"/>
        <v/>
      </c>
      <c r="O565" t="str">
        <f t="shared" si="17"/>
        <v/>
      </c>
      <c r="P565" t="str">
        <f>IF(A565="","",MAX(0,N565-System_Config!$B$9))</f>
        <v/>
      </c>
    </row>
    <row r="566" spans="12:16" ht="15" customHeight="1" x14ac:dyDescent="0.25">
      <c r="L566" t="str">
        <f>IF(A566="","",SUMIF(DB_Savings!$C:$C,A566,DB_Savings!$F:$F))</f>
        <v/>
      </c>
      <c r="M566" t="str">
        <f>IF(A566="","",SUMIF(DB_Withdrawals!$C:$C,A566,DB_Withdrawals!$G:$G))</f>
        <v/>
      </c>
      <c r="N566" t="str">
        <f t="shared" si="16"/>
        <v/>
      </c>
      <c r="O566" t="str">
        <f t="shared" si="17"/>
        <v/>
      </c>
      <c r="P566" t="str">
        <f>IF(A566="","",MAX(0,N566-System_Config!$B$9))</f>
        <v/>
      </c>
    </row>
    <row r="567" spans="12:16" ht="15" customHeight="1" x14ac:dyDescent="0.25">
      <c r="L567" t="str">
        <f>IF(A567="","",SUMIF(DB_Savings!$C:$C,A567,DB_Savings!$F:$F))</f>
        <v/>
      </c>
      <c r="M567" t="str">
        <f>IF(A567="","",SUMIF(DB_Withdrawals!$C:$C,A567,DB_Withdrawals!$G:$G))</f>
        <v/>
      </c>
      <c r="N567" t="str">
        <f t="shared" si="16"/>
        <v/>
      </c>
      <c r="O567" t="str">
        <f t="shared" si="17"/>
        <v/>
      </c>
      <c r="P567" t="str">
        <f>IF(A567="","",MAX(0,N567-System_Config!$B$9))</f>
        <v/>
      </c>
    </row>
    <row r="568" spans="12:16" ht="15" customHeight="1" x14ac:dyDescent="0.25">
      <c r="L568" t="str">
        <f>IF(A568="","",SUMIF(DB_Savings!$C:$C,A568,DB_Savings!$F:$F))</f>
        <v/>
      </c>
      <c r="M568" t="str">
        <f>IF(A568="","",SUMIF(DB_Withdrawals!$C:$C,A568,DB_Withdrawals!$G:$G))</f>
        <v/>
      </c>
      <c r="N568" t="str">
        <f t="shared" si="16"/>
        <v/>
      </c>
      <c r="O568" t="str">
        <f t="shared" si="17"/>
        <v/>
      </c>
      <c r="P568" t="str">
        <f>IF(A568="","",MAX(0,N568-System_Config!$B$9))</f>
        <v/>
      </c>
    </row>
    <row r="569" spans="12:16" ht="15" customHeight="1" x14ac:dyDescent="0.25">
      <c r="L569" t="str">
        <f>IF(A569="","",SUMIF(DB_Savings!$C:$C,A569,DB_Savings!$F:$F))</f>
        <v/>
      </c>
      <c r="M569" t="str">
        <f>IF(A569="","",SUMIF(DB_Withdrawals!$C:$C,A569,DB_Withdrawals!$G:$G))</f>
        <v/>
      </c>
      <c r="N569" t="str">
        <f t="shared" si="16"/>
        <v/>
      </c>
      <c r="O569" t="str">
        <f t="shared" si="17"/>
        <v/>
      </c>
      <c r="P569" t="str">
        <f>IF(A569="","",MAX(0,N569-System_Config!$B$9))</f>
        <v/>
      </c>
    </row>
    <row r="570" spans="12:16" ht="15" customHeight="1" x14ac:dyDescent="0.25">
      <c r="L570" t="str">
        <f>IF(A570="","",SUMIF(DB_Savings!$C:$C,A570,DB_Savings!$F:$F))</f>
        <v/>
      </c>
      <c r="M570" t="str">
        <f>IF(A570="","",SUMIF(DB_Withdrawals!$C:$C,A570,DB_Withdrawals!$G:$G))</f>
        <v/>
      </c>
      <c r="N570" t="str">
        <f t="shared" si="16"/>
        <v/>
      </c>
      <c r="O570" t="str">
        <f t="shared" si="17"/>
        <v/>
      </c>
      <c r="P570" t="str">
        <f>IF(A570="","",MAX(0,N570-System_Config!$B$9))</f>
        <v/>
      </c>
    </row>
    <row r="571" spans="12:16" ht="15" customHeight="1" x14ac:dyDescent="0.25">
      <c r="L571" t="str">
        <f>IF(A571="","",SUMIF(DB_Savings!$C:$C,A571,DB_Savings!$F:$F))</f>
        <v/>
      </c>
      <c r="M571" t="str">
        <f>IF(A571="","",SUMIF(DB_Withdrawals!$C:$C,A571,DB_Withdrawals!$G:$G))</f>
        <v/>
      </c>
      <c r="N571" t="str">
        <f t="shared" si="16"/>
        <v/>
      </c>
      <c r="O571" t="str">
        <f t="shared" si="17"/>
        <v/>
      </c>
      <c r="P571" t="str">
        <f>IF(A571="","",MAX(0,N571-System_Config!$B$9))</f>
        <v/>
      </c>
    </row>
    <row r="572" spans="12:16" ht="15" customHeight="1" x14ac:dyDescent="0.25">
      <c r="L572" t="str">
        <f>IF(A572="","",SUMIF(DB_Savings!$C:$C,A572,DB_Savings!$F:$F))</f>
        <v/>
      </c>
      <c r="M572" t="str">
        <f>IF(A572="","",SUMIF(DB_Withdrawals!$C:$C,A572,DB_Withdrawals!$G:$G))</f>
        <v/>
      </c>
      <c r="N572" t="str">
        <f t="shared" si="16"/>
        <v/>
      </c>
      <c r="O572" t="str">
        <f t="shared" si="17"/>
        <v/>
      </c>
      <c r="P572" t="str">
        <f>IF(A572="","",MAX(0,N572-System_Config!$B$9))</f>
        <v/>
      </c>
    </row>
    <row r="573" spans="12:16" ht="15" customHeight="1" x14ac:dyDescent="0.25">
      <c r="L573" t="str">
        <f>IF(A573="","",SUMIF(DB_Savings!$C:$C,A573,DB_Savings!$F:$F))</f>
        <v/>
      </c>
      <c r="M573" t="str">
        <f>IF(A573="","",SUMIF(DB_Withdrawals!$C:$C,A573,DB_Withdrawals!$G:$G))</f>
        <v/>
      </c>
      <c r="N573" t="str">
        <f t="shared" si="16"/>
        <v/>
      </c>
      <c r="O573" t="str">
        <f t="shared" si="17"/>
        <v/>
      </c>
      <c r="P573" t="str">
        <f>IF(A573="","",MAX(0,N573-System_Config!$B$9))</f>
        <v/>
      </c>
    </row>
    <row r="574" spans="12:16" ht="15" customHeight="1" x14ac:dyDescent="0.25">
      <c r="L574" t="str">
        <f>IF(A574="","",SUMIF(DB_Savings!$C:$C,A574,DB_Savings!$F:$F))</f>
        <v/>
      </c>
      <c r="M574" t="str">
        <f>IF(A574="","",SUMIF(DB_Withdrawals!$C:$C,A574,DB_Withdrawals!$G:$G))</f>
        <v/>
      </c>
      <c r="N574" t="str">
        <f t="shared" si="16"/>
        <v/>
      </c>
      <c r="O574" t="str">
        <f t="shared" si="17"/>
        <v/>
      </c>
      <c r="P574" t="str">
        <f>IF(A574="","",MAX(0,N574-System_Config!$B$9))</f>
        <v/>
      </c>
    </row>
    <row r="575" spans="12:16" ht="15" customHeight="1" x14ac:dyDescent="0.25">
      <c r="L575" t="str">
        <f>IF(A575="","",SUMIF(DB_Savings!$C:$C,A575,DB_Savings!$F:$F))</f>
        <v/>
      </c>
      <c r="M575" t="str">
        <f>IF(A575="","",SUMIF(DB_Withdrawals!$C:$C,A575,DB_Withdrawals!$G:$G))</f>
        <v/>
      </c>
      <c r="N575" t="str">
        <f t="shared" si="16"/>
        <v/>
      </c>
      <c r="O575" t="str">
        <f t="shared" si="17"/>
        <v/>
      </c>
      <c r="P575" t="str">
        <f>IF(A575="","",MAX(0,N575-System_Config!$B$9))</f>
        <v/>
      </c>
    </row>
    <row r="576" spans="12:16" ht="15" customHeight="1" x14ac:dyDescent="0.25">
      <c r="L576" t="str">
        <f>IF(A576="","",SUMIF(DB_Savings!$C:$C,A576,DB_Savings!$F:$F))</f>
        <v/>
      </c>
      <c r="M576" t="str">
        <f>IF(A576="","",SUMIF(DB_Withdrawals!$C:$C,A576,DB_Withdrawals!$G:$G))</f>
        <v/>
      </c>
      <c r="N576" t="str">
        <f t="shared" si="16"/>
        <v/>
      </c>
      <c r="O576" t="str">
        <f t="shared" si="17"/>
        <v/>
      </c>
      <c r="P576" t="str">
        <f>IF(A576="","",MAX(0,N576-System_Config!$B$9))</f>
        <v/>
      </c>
    </row>
    <row r="577" spans="12:16" ht="15" customHeight="1" x14ac:dyDescent="0.25">
      <c r="L577" t="str">
        <f>IF(A577="","",SUMIF(DB_Savings!$C:$C,A577,DB_Savings!$F:$F))</f>
        <v/>
      </c>
      <c r="M577" t="str">
        <f>IF(A577="","",SUMIF(DB_Withdrawals!$C:$C,A577,DB_Withdrawals!$G:$G))</f>
        <v/>
      </c>
      <c r="N577" t="str">
        <f t="shared" si="16"/>
        <v/>
      </c>
      <c r="O577" t="str">
        <f t="shared" si="17"/>
        <v/>
      </c>
      <c r="P577" t="str">
        <f>IF(A577="","",MAX(0,N577-System_Config!$B$9))</f>
        <v/>
      </c>
    </row>
    <row r="578" spans="12:16" ht="15" customHeight="1" x14ac:dyDescent="0.25">
      <c r="L578" t="str">
        <f>IF(A578="","",SUMIF(DB_Savings!$C:$C,A578,DB_Savings!$F:$F))</f>
        <v/>
      </c>
      <c r="M578" t="str">
        <f>IF(A578="","",SUMIF(DB_Withdrawals!$C:$C,A578,DB_Withdrawals!$G:$G))</f>
        <v/>
      </c>
      <c r="N578" t="str">
        <f t="shared" si="16"/>
        <v/>
      </c>
      <c r="O578" t="str">
        <f t="shared" si="17"/>
        <v/>
      </c>
      <c r="P578" t="str">
        <f>IF(A578="","",MAX(0,N578-System_Config!$B$9))</f>
        <v/>
      </c>
    </row>
    <row r="579" spans="12:16" ht="15" customHeight="1" x14ac:dyDescent="0.25">
      <c r="L579" t="str">
        <f>IF(A579="","",SUMIF(DB_Savings!$C:$C,A579,DB_Savings!$F:$F))</f>
        <v/>
      </c>
      <c r="M579" t="str">
        <f>IF(A579="","",SUMIF(DB_Withdrawals!$C:$C,A579,DB_Withdrawals!$G:$G))</f>
        <v/>
      </c>
      <c r="N579" t="str">
        <f t="shared" si="16"/>
        <v/>
      </c>
      <c r="O579" t="str">
        <f t="shared" si="17"/>
        <v/>
      </c>
      <c r="P579" t="str">
        <f>IF(A579="","",MAX(0,N579-System_Config!$B$9))</f>
        <v/>
      </c>
    </row>
    <row r="580" spans="12:16" ht="15" customHeight="1" x14ac:dyDescent="0.25">
      <c r="L580" t="str">
        <f>IF(A580="","",SUMIF(DB_Savings!$C:$C,A580,DB_Savings!$F:$F))</f>
        <v/>
      </c>
      <c r="M580" t="str">
        <f>IF(A580="","",SUMIF(DB_Withdrawals!$C:$C,A580,DB_Withdrawals!$G:$G))</f>
        <v/>
      </c>
      <c r="N580" t="str">
        <f t="shared" ref="N580:N643" si="18">IF(A580="","",I580+L580-M580)</f>
        <v/>
      </c>
      <c r="O580" t="str">
        <f t="shared" ref="O580:O643" si="19">IF(A580="","",TRUE())</f>
        <v/>
      </c>
      <c r="P580" t="str">
        <f>IF(A580="","",MAX(0,N580-System_Config!$B$9))</f>
        <v/>
      </c>
    </row>
    <row r="581" spans="12:16" ht="15" customHeight="1" x14ac:dyDescent="0.25">
      <c r="L581" t="str">
        <f>IF(A581="","",SUMIF(DB_Savings!$C:$C,A581,DB_Savings!$F:$F))</f>
        <v/>
      </c>
      <c r="M581" t="str">
        <f>IF(A581="","",SUMIF(DB_Withdrawals!$C:$C,A581,DB_Withdrawals!$G:$G))</f>
        <v/>
      </c>
      <c r="N581" t="str">
        <f t="shared" si="18"/>
        <v/>
      </c>
      <c r="O581" t="str">
        <f t="shared" si="19"/>
        <v/>
      </c>
      <c r="P581" t="str">
        <f>IF(A581="","",MAX(0,N581-System_Config!$B$9))</f>
        <v/>
      </c>
    </row>
    <row r="582" spans="12:16" ht="15" customHeight="1" x14ac:dyDescent="0.25">
      <c r="L582" t="str">
        <f>IF(A582="","",SUMIF(DB_Savings!$C:$C,A582,DB_Savings!$F:$F))</f>
        <v/>
      </c>
      <c r="M582" t="str">
        <f>IF(A582="","",SUMIF(DB_Withdrawals!$C:$C,A582,DB_Withdrawals!$G:$G))</f>
        <v/>
      </c>
      <c r="N582" t="str">
        <f t="shared" si="18"/>
        <v/>
      </c>
      <c r="O582" t="str">
        <f t="shared" si="19"/>
        <v/>
      </c>
      <c r="P582" t="str">
        <f>IF(A582="","",MAX(0,N582-System_Config!$B$9))</f>
        <v/>
      </c>
    </row>
    <row r="583" spans="12:16" ht="15" customHeight="1" x14ac:dyDescent="0.25">
      <c r="L583" t="str">
        <f>IF(A583="","",SUMIF(DB_Savings!$C:$C,A583,DB_Savings!$F:$F))</f>
        <v/>
      </c>
      <c r="M583" t="str">
        <f>IF(A583="","",SUMIF(DB_Withdrawals!$C:$C,A583,DB_Withdrawals!$G:$G))</f>
        <v/>
      </c>
      <c r="N583" t="str">
        <f t="shared" si="18"/>
        <v/>
      </c>
      <c r="O583" t="str">
        <f t="shared" si="19"/>
        <v/>
      </c>
      <c r="P583" t="str">
        <f>IF(A583="","",MAX(0,N583-System_Config!$B$9))</f>
        <v/>
      </c>
    </row>
    <row r="584" spans="12:16" ht="15" customHeight="1" x14ac:dyDescent="0.25">
      <c r="L584" t="str">
        <f>IF(A584="","",SUMIF(DB_Savings!$C:$C,A584,DB_Savings!$F:$F))</f>
        <v/>
      </c>
      <c r="M584" t="str">
        <f>IF(A584="","",SUMIF(DB_Withdrawals!$C:$C,A584,DB_Withdrawals!$G:$G))</f>
        <v/>
      </c>
      <c r="N584" t="str">
        <f t="shared" si="18"/>
        <v/>
      </c>
      <c r="O584" t="str">
        <f t="shared" si="19"/>
        <v/>
      </c>
      <c r="P584" t="str">
        <f>IF(A584="","",MAX(0,N584-System_Config!$B$9))</f>
        <v/>
      </c>
    </row>
    <row r="585" spans="12:16" ht="15" customHeight="1" x14ac:dyDescent="0.25">
      <c r="L585" t="str">
        <f>IF(A585="","",SUMIF(DB_Savings!$C:$C,A585,DB_Savings!$F:$F))</f>
        <v/>
      </c>
      <c r="M585" t="str">
        <f>IF(A585="","",SUMIF(DB_Withdrawals!$C:$C,A585,DB_Withdrawals!$G:$G))</f>
        <v/>
      </c>
      <c r="N585" t="str">
        <f t="shared" si="18"/>
        <v/>
      </c>
      <c r="O585" t="str">
        <f t="shared" si="19"/>
        <v/>
      </c>
      <c r="P585" t="str">
        <f>IF(A585="","",MAX(0,N585-System_Config!$B$9))</f>
        <v/>
      </c>
    </row>
    <row r="586" spans="12:16" ht="15" customHeight="1" x14ac:dyDescent="0.25">
      <c r="L586" t="str">
        <f>IF(A586="","",SUMIF(DB_Savings!$C:$C,A586,DB_Savings!$F:$F))</f>
        <v/>
      </c>
      <c r="M586" t="str">
        <f>IF(A586="","",SUMIF(DB_Withdrawals!$C:$C,A586,DB_Withdrawals!$G:$G))</f>
        <v/>
      </c>
      <c r="N586" t="str">
        <f t="shared" si="18"/>
        <v/>
      </c>
      <c r="O586" t="str">
        <f t="shared" si="19"/>
        <v/>
      </c>
      <c r="P586" t="str">
        <f>IF(A586="","",MAX(0,N586-System_Config!$B$9))</f>
        <v/>
      </c>
    </row>
    <row r="587" spans="12:16" ht="15" customHeight="1" x14ac:dyDescent="0.25">
      <c r="L587" t="str">
        <f>IF(A587="","",SUMIF(DB_Savings!$C:$C,A587,DB_Savings!$F:$F))</f>
        <v/>
      </c>
      <c r="M587" t="str">
        <f>IF(A587="","",SUMIF(DB_Withdrawals!$C:$C,A587,DB_Withdrawals!$G:$G))</f>
        <v/>
      </c>
      <c r="N587" t="str">
        <f t="shared" si="18"/>
        <v/>
      </c>
      <c r="O587" t="str">
        <f t="shared" si="19"/>
        <v/>
      </c>
      <c r="P587" t="str">
        <f>IF(A587="","",MAX(0,N587-System_Config!$B$9))</f>
        <v/>
      </c>
    </row>
    <row r="588" spans="12:16" ht="15" customHeight="1" x14ac:dyDescent="0.25">
      <c r="L588" t="str">
        <f>IF(A588="","",SUMIF(DB_Savings!$C:$C,A588,DB_Savings!$F:$F))</f>
        <v/>
      </c>
      <c r="M588" t="str">
        <f>IF(A588="","",SUMIF(DB_Withdrawals!$C:$C,A588,DB_Withdrawals!$G:$G))</f>
        <v/>
      </c>
      <c r="N588" t="str">
        <f t="shared" si="18"/>
        <v/>
      </c>
      <c r="O588" t="str">
        <f t="shared" si="19"/>
        <v/>
      </c>
      <c r="P588" t="str">
        <f>IF(A588="","",MAX(0,N588-System_Config!$B$9))</f>
        <v/>
      </c>
    </row>
    <row r="589" spans="12:16" ht="15" customHeight="1" x14ac:dyDescent="0.25">
      <c r="L589" t="str">
        <f>IF(A589="","",SUMIF(DB_Savings!$C:$C,A589,DB_Savings!$F:$F))</f>
        <v/>
      </c>
      <c r="M589" t="str">
        <f>IF(A589="","",SUMIF(DB_Withdrawals!$C:$C,A589,DB_Withdrawals!$G:$G))</f>
        <v/>
      </c>
      <c r="N589" t="str">
        <f t="shared" si="18"/>
        <v/>
      </c>
      <c r="O589" t="str">
        <f t="shared" si="19"/>
        <v/>
      </c>
      <c r="P589" t="str">
        <f>IF(A589="","",MAX(0,N589-System_Config!$B$9))</f>
        <v/>
      </c>
    </row>
    <row r="590" spans="12:16" ht="15" customHeight="1" x14ac:dyDescent="0.25">
      <c r="L590" t="str">
        <f>IF(A590="","",SUMIF(DB_Savings!$C:$C,A590,DB_Savings!$F:$F))</f>
        <v/>
      </c>
      <c r="M590" t="str">
        <f>IF(A590="","",SUMIF(DB_Withdrawals!$C:$C,A590,DB_Withdrawals!$G:$G))</f>
        <v/>
      </c>
      <c r="N590" t="str">
        <f t="shared" si="18"/>
        <v/>
      </c>
      <c r="O590" t="str">
        <f t="shared" si="19"/>
        <v/>
      </c>
      <c r="P590" t="str">
        <f>IF(A590="","",MAX(0,N590-System_Config!$B$9))</f>
        <v/>
      </c>
    </row>
    <row r="591" spans="12:16" ht="15" customHeight="1" x14ac:dyDescent="0.25">
      <c r="L591" t="str">
        <f>IF(A591="","",SUMIF(DB_Savings!$C:$C,A591,DB_Savings!$F:$F))</f>
        <v/>
      </c>
      <c r="M591" t="str">
        <f>IF(A591="","",SUMIF(DB_Withdrawals!$C:$C,A591,DB_Withdrawals!$G:$G))</f>
        <v/>
      </c>
      <c r="N591" t="str">
        <f t="shared" si="18"/>
        <v/>
      </c>
      <c r="O591" t="str">
        <f t="shared" si="19"/>
        <v/>
      </c>
      <c r="P591" t="str">
        <f>IF(A591="","",MAX(0,N591-System_Config!$B$9))</f>
        <v/>
      </c>
    </row>
    <row r="592" spans="12:16" ht="15" customHeight="1" x14ac:dyDescent="0.25">
      <c r="L592" t="str">
        <f>IF(A592="","",SUMIF(DB_Savings!$C:$C,A592,DB_Savings!$F:$F))</f>
        <v/>
      </c>
      <c r="M592" t="str">
        <f>IF(A592="","",SUMIF(DB_Withdrawals!$C:$C,A592,DB_Withdrawals!$G:$G))</f>
        <v/>
      </c>
      <c r="N592" t="str">
        <f t="shared" si="18"/>
        <v/>
      </c>
      <c r="O592" t="str">
        <f t="shared" si="19"/>
        <v/>
      </c>
      <c r="P592" t="str">
        <f>IF(A592="","",MAX(0,N592-System_Config!$B$9))</f>
        <v/>
      </c>
    </row>
    <row r="593" spans="12:16" ht="15" customHeight="1" x14ac:dyDescent="0.25">
      <c r="L593" t="str">
        <f>IF(A593="","",SUMIF(DB_Savings!$C:$C,A593,DB_Savings!$F:$F))</f>
        <v/>
      </c>
      <c r="M593" t="str">
        <f>IF(A593="","",SUMIF(DB_Withdrawals!$C:$C,A593,DB_Withdrawals!$G:$G))</f>
        <v/>
      </c>
      <c r="N593" t="str">
        <f t="shared" si="18"/>
        <v/>
      </c>
      <c r="O593" t="str">
        <f t="shared" si="19"/>
        <v/>
      </c>
      <c r="P593" t="str">
        <f>IF(A593="","",MAX(0,N593-System_Config!$B$9))</f>
        <v/>
      </c>
    </row>
    <row r="594" spans="12:16" ht="15" customHeight="1" x14ac:dyDescent="0.25">
      <c r="L594" t="str">
        <f>IF(A594="","",SUMIF(DB_Savings!$C:$C,A594,DB_Savings!$F:$F))</f>
        <v/>
      </c>
      <c r="M594" t="str">
        <f>IF(A594="","",SUMIF(DB_Withdrawals!$C:$C,A594,DB_Withdrawals!$G:$G))</f>
        <v/>
      </c>
      <c r="N594" t="str">
        <f t="shared" si="18"/>
        <v/>
      </c>
      <c r="O594" t="str">
        <f t="shared" si="19"/>
        <v/>
      </c>
      <c r="P594" t="str">
        <f>IF(A594="","",MAX(0,N594-System_Config!$B$9))</f>
        <v/>
      </c>
    </row>
    <row r="595" spans="12:16" ht="15" customHeight="1" x14ac:dyDescent="0.25">
      <c r="L595" t="str">
        <f>IF(A595="","",SUMIF(DB_Savings!$C:$C,A595,DB_Savings!$F:$F))</f>
        <v/>
      </c>
      <c r="M595" t="str">
        <f>IF(A595="","",SUMIF(DB_Withdrawals!$C:$C,A595,DB_Withdrawals!$G:$G))</f>
        <v/>
      </c>
      <c r="N595" t="str">
        <f t="shared" si="18"/>
        <v/>
      </c>
      <c r="O595" t="str">
        <f t="shared" si="19"/>
        <v/>
      </c>
      <c r="P595" t="str">
        <f>IF(A595="","",MAX(0,N595-System_Config!$B$9))</f>
        <v/>
      </c>
    </row>
    <row r="596" spans="12:16" ht="15" customHeight="1" x14ac:dyDescent="0.25">
      <c r="L596" t="str">
        <f>IF(A596="","",SUMIF(DB_Savings!$C:$C,A596,DB_Savings!$F:$F))</f>
        <v/>
      </c>
      <c r="M596" t="str">
        <f>IF(A596="","",SUMIF(DB_Withdrawals!$C:$C,A596,DB_Withdrawals!$G:$G))</f>
        <v/>
      </c>
      <c r="N596" t="str">
        <f t="shared" si="18"/>
        <v/>
      </c>
      <c r="O596" t="str">
        <f t="shared" si="19"/>
        <v/>
      </c>
      <c r="P596" t="str">
        <f>IF(A596="","",MAX(0,N596-System_Config!$B$9))</f>
        <v/>
      </c>
    </row>
    <row r="597" spans="12:16" ht="15" customHeight="1" x14ac:dyDescent="0.25">
      <c r="L597" t="str">
        <f>IF(A597="","",SUMIF(DB_Savings!$C:$C,A597,DB_Savings!$F:$F))</f>
        <v/>
      </c>
      <c r="M597" t="str">
        <f>IF(A597="","",SUMIF(DB_Withdrawals!$C:$C,A597,DB_Withdrawals!$G:$G))</f>
        <v/>
      </c>
      <c r="N597" t="str">
        <f t="shared" si="18"/>
        <v/>
      </c>
      <c r="O597" t="str">
        <f t="shared" si="19"/>
        <v/>
      </c>
      <c r="P597" t="str">
        <f>IF(A597="","",MAX(0,N597-System_Config!$B$9))</f>
        <v/>
      </c>
    </row>
    <row r="598" spans="12:16" ht="15" customHeight="1" x14ac:dyDescent="0.25">
      <c r="L598" t="str">
        <f>IF(A598="","",SUMIF(DB_Savings!$C:$C,A598,DB_Savings!$F:$F))</f>
        <v/>
      </c>
      <c r="M598" t="str">
        <f>IF(A598="","",SUMIF(DB_Withdrawals!$C:$C,A598,DB_Withdrawals!$G:$G))</f>
        <v/>
      </c>
      <c r="N598" t="str">
        <f t="shared" si="18"/>
        <v/>
      </c>
      <c r="O598" t="str">
        <f t="shared" si="19"/>
        <v/>
      </c>
      <c r="P598" t="str">
        <f>IF(A598="","",MAX(0,N598-System_Config!$B$9))</f>
        <v/>
      </c>
    </row>
    <row r="599" spans="12:16" ht="15" customHeight="1" x14ac:dyDescent="0.25">
      <c r="L599" t="str">
        <f>IF(A599="","",SUMIF(DB_Savings!$C:$C,A599,DB_Savings!$F:$F))</f>
        <v/>
      </c>
      <c r="M599" t="str">
        <f>IF(A599="","",SUMIF(DB_Withdrawals!$C:$C,A599,DB_Withdrawals!$G:$G))</f>
        <v/>
      </c>
      <c r="N599" t="str">
        <f t="shared" si="18"/>
        <v/>
      </c>
      <c r="O599" t="str">
        <f t="shared" si="19"/>
        <v/>
      </c>
      <c r="P599" t="str">
        <f>IF(A599="","",MAX(0,N599-System_Config!$B$9))</f>
        <v/>
      </c>
    </row>
    <row r="600" spans="12:16" ht="15" customHeight="1" x14ac:dyDescent="0.25">
      <c r="L600" t="str">
        <f>IF(A600="","",SUMIF(DB_Savings!$C:$C,A600,DB_Savings!$F:$F))</f>
        <v/>
      </c>
      <c r="M600" t="str">
        <f>IF(A600="","",SUMIF(DB_Withdrawals!$C:$C,A600,DB_Withdrawals!$G:$G))</f>
        <v/>
      </c>
      <c r="N600" t="str">
        <f t="shared" si="18"/>
        <v/>
      </c>
      <c r="O600" t="str">
        <f t="shared" si="19"/>
        <v/>
      </c>
      <c r="P600" t="str">
        <f>IF(A600="","",MAX(0,N600-System_Config!$B$9))</f>
        <v/>
      </c>
    </row>
    <row r="601" spans="12:16" ht="15" customHeight="1" x14ac:dyDescent="0.25">
      <c r="L601" t="str">
        <f>IF(A601="","",SUMIF(DB_Savings!$C:$C,A601,DB_Savings!$F:$F))</f>
        <v/>
      </c>
      <c r="M601" t="str">
        <f>IF(A601="","",SUMIF(DB_Withdrawals!$C:$C,A601,DB_Withdrawals!$G:$G))</f>
        <v/>
      </c>
      <c r="N601" t="str">
        <f t="shared" si="18"/>
        <v/>
      </c>
      <c r="O601" t="str">
        <f t="shared" si="19"/>
        <v/>
      </c>
      <c r="P601" t="str">
        <f>IF(A601="","",MAX(0,N601-System_Config!$B$9))</f>
        <v/>
      </c>
    </row>
    <row r="602" spans="12:16" ht="15" customHeight="1" x14ac:dyDescent="0.25">
      <c r="L602" t="str">
        <f>IF(A602="","",SUMIF(DB_Savings!$C:$C,A602,DB_Savings!$F:$F))</f>
        <v/>
      </c>
      <c r="M602" t="str">
        <f>IF(A602="","",SUMIF(DB_Withdrawals!$C:$C,A602,DB_Withdrawals!$G:$G))</f>
        <v/>
      </c>
      <c r="N602" t="str">
        <f t="shared" si="18"/>
        <v/>
      </c>
      <c r="O602" t="str">
        <f t="shared" si="19"/>
        <v/>
      </c>
      <c r="P602" t="str">
        <f>IF(A602="","",MAX(0,N602-System_Config!$B$9))</f>
        <v/>
      </c>
    </row>
    <row r="603" spans="12:16" ht="15" customHeight="1" x14ac:dyDescent="0.25">
      <c r="L603" t="str">
        <f>IF(A603="","",SUMIF(DB_Savings!$C:$C,A603,DB_Savings!$F:$F))</f>
        <v/>
      </c>
      <c r="M603" t="str">
        <f>IF(A603="","",SUMIF(DB_Withdrawals!$C:$C,A603,DB_Withdrawals!$G:$G))</f>
        <v/>
      </c>
      <c r="N603" t="str">
        <f t="shared" si="18"/>
        <v/>
      </c>
      <c r="O603" t="str">
        <f t="shared" si="19"/>
        <v/>
      </c>
      <c r="P603" t="str">
        <f>IF(A603="","",MAX(0,N603-System_Config!$B$9))</f>
        <v/>
      </c>
    </row>
    <row r="604" spans="12:16" ht="15" customHeight="1" x14ac:dyDescent="0.25">
      <c r="L604" t="str">
        <f>IF(A604="","",SUMIF(DB_Savings!$C:$C,A604,DB_Savings!$F:$F))</f>
        <v/>
      </c>
      <c r="M604" t="str">
        <f>IF(A604="","",SUMIF(DB_Withdrawals!$C:$C,A604,DB_Withdrawals!$G:$G))</f>
        <v/>
      </c>
      <c r="N604" t="str">
        <f t="shared" si="18"/>
        <v/>
      </c>
      <c r="O604" t="str">
        <f t="shared" si="19"/>
        <v/>
      </c>
      <c r="P604" t="str">
        <f>IF(A604="","",MAX(0,N604-System_Config!$B$9))</f>
        <v/>
      </c>
    </row>
    <row r="605" spans="12:16" ht="15" customHeight="1" x14ac:dyDescent="0.25">
      <c r="L605" t="str">
        <f>IF(A605="","",SUMIF(DB_Savings!$C:$C,A605,DB_Savings!$F:$F))</f>
        <v/>
      </c>
      <c r="M605" t="str">
        <f>IF(A605="","",SUMIF(DB_Withdrawals!$C:$C,A605,DB_Withdrawals!$G:$G))</f>
        <v/>
      </c>
      <c r="N605" t="str">
        <f t="shared" si="18"/>
        <v/>
      </c>
      <c r="O605" t="str">
        <f t="shared" si="19"/>
        <v/>
      </c>
      <c r="P605" t="str">
        <f>IF(A605="","",MAX(0,N605-System_Config!$B$9))</f>
        <v/>
      </c>
    </row>
    <row r="606" spans="12:16" ht="15" customHeight="1" x14ac:dyDescent="0.25">
      <c r="L606" t="str">
        <f>IF(A606="","",SUMIF(DB_Savings!$C:$C,A606,DB_Savings!$F:$F))</f>
        <v/>
      </c>
      <c r="M606" t="str">
        <f>IF(A606="","",SUMIF(DB_Withdrawals!$C:$C,A606,DB_Withdrawals!$G:$G))</f>
        <v/>
      </c>
      <c r="N606" t="str">
        <f t="shared" si="18"/>
        <v/>
      </c>
      <c r="O606" t="str">
        <f t="shared" si="19"/>
        <v/>
      </c>
      <c r="P606" t="str">
        <f>IF(A606="","",MAX(0,N606-System_Config!$B$9))</f>
        <v/>
      </c>
    </row>
    <row r="607" spans="12:16" ht="15" customHeight="1" x14ac:dyDescent="0.25">
      <c r="L607" t="str">
        <f>IF(A607="","",SUMIF(DB_Savings!$C:$C,A607,DB_Savings!$F:$F))</f>
        <v/>
      </c>
      <c r="M607" t="str">
        <f>IF(A607="","",SUMIF(DB_Withdrawals!$C:$C,A607,DB_Withdrawals!$G:$G))</f>
        <v/>
      </c>
      <c r="N607" t="str">
        <f t="shared" si="18"/>
        <v/>
      </c>
      <c r="O607" t="str">
        <f t="shared" si="19"/>
        <v/>
      </c>
      <c r="P607" t="str">
        <f>IF(A607="","",MAX(0,N607-System_Config!$B$9))</f>
        <v/>
      </c>
    </row>
    <row r="608" spans="12:16" ht="15" customHeight="1" x14ac:dyDescent="0.25">
      <c r="L608" t="str">
        <f>IF(A608="","",SUMIF(DB_Savings!$C:$C,A608,DB_Savings!$F:$F))</f>
        <v/>
      </c>
      <c r="M608" t="str">
        <f>IF(A608="","",SUMIF(DB_Withdrawals!$C:$C,A608,DB_Withdrawals!$G:$G))</f>
        <v/>
      </c>
      <c r="N608" t="str">
        <f t="shared" si="18"/>
        <v/>
      </c>
      <c r="O608" t="str">
        <f t="shared" si="19"/>
        <v/>
      </c>
      <c r="P608" t="str">
        <f>IF(A608="","",MAX(0,N608-System_Config!$B$9))</f>
        <v/>
      </c>
    </row>
    <row r="609" spans="12:16" ht="15" customHeight="1" x14ac:dyDescent="0.25">
      <c r="L609" t="str">
        <f>IF(A609="","",SUMIF(DB_Savings!$C:$C,A609,DB_Savings!$F:$F))</f>
        <v/>
      </c>
      <c r="M609" t="str">
        <f>IF(A609="","",SUMIF(DB_Withdrawals!$C:$C,A609,DB_Withdrawals!$G:$G))</f>
        <v/>
      </c>
      <c r="N609" t="str">
        <f t="shared" si="18"/>
        <v/>
      </c>
      <c r="O609" t="str">
        <f t="shared" si="19"/>
        <v/>
      </c>
      <c r="P609" t="str">
        <f>IF(A609="","",MAX(0,N609-System_Config!$B$9))</f>
        <v/>
      </c>
    </row>
    <row r="610" spans="12:16" ht="15" customHeight="1" x14ac:dyDescent="0.25">
      <c r="L610" t="str">
        <f>IF(A610="","",SUMIF(DB_Savings!$C:$C,A610,DB_Savings!$F:$F))</f>
        <v/>
      </c>
      <c r="M610" t="str">
        <f>IF(A610="","",SUMIF(DB_Withdrawals!$C:$C,A610,DB_Withdrawals!$G:$G))</f>
        <v/>
      </c>
      <c r="N610" t="str">
        <f t="shared" si="18"/>
        <v/>
      </c>
      <c r="O610" t="str">
        <f t="shared" si="19"/>
        <v/>
      </c>
      <c r="P610" t="str">
        <f>IF(A610="","",MAX(0,N610-System_Config!$B$9))</f>
        <v/>
      </c>
    </row>
    <row r="611" spans="12:16" ht="15" customHeight="1" x14ac:dyDescent="0.25">
      <c r="L611" t="str">
        <f>IF(A611="","",SUMIF(DB_Savings!$C:$C,A611,DB_Savings!$F:$F))</f>
        <v/>
      </c>
      <c r="M611" t="str">
        <f>IF(A611="","",SUMIF(DB_Withdrawals!$C:$C,A611,DB_Withdrawals!$G:$G))</f>
        <v/>
      </c>
      <c r="N611" t="str">
        <f t="shared" si="18"/>
        <v/>
      </c>
      <c r="O611" t="str">
        <f t="shared" si="19"/>
        <v/>
      </c>
      <c r="P611" t="str">
        <f>IF(A611="","",MAX(0,N611-System_Config!$B$9))</f>
        <v/>
      </c>
    </row>
    <row r="612" spans="12:16" ht="15" customHeight="1" x14ac:dyDescent="0.25">
      <c r="L612" t="str">
        <f>IF(A612="","",SUMIF(DB_Savings!$C:$C,A612,DB_Savings!$F:$F))</f>
        <v/>
      </c>
      <c r="M612" t="str">
        <f>IF(A612="","",SUMIF(DB_Withdrawals!$C:$C,A612,DB_Withdrawals!$G:$G))</f>
        <v/>
      </c>
      <c r="N612" t="str">
        <f t="shared" si="18"/>
        <v/>
      </c>
      <c r="O612" t="str">
        <f t="shared" si="19"/>
        <v/>
      </c>
      <c r="P612" t="str">
        <f>IF(A612="","",MAX(0,N612-System_Config!$B$9))</f>
        <v/>
      </c>
    </row>
    <row r="613" spans="12:16" ht="15" customHeight="1" x14ac:dyDescent="0.25">
      <c r="L613" t="str">
        <f>IF(A613="","",SUMIF(DB_Savings!$C:$C,A613,DB_Savings!$F:$F))</f>
        <v/>
      </c>
      <c r="M613" t="str">
        <f>IF(A613="","",SUMIF(DB_Withdrawals!$C:$C,A613,DB_Withdrawals!$G:$G))</f>
        <v/>
      </c>
      <c r="N613" t="str">
        <f t="shared" si="18"/>
        <v/>
      </c>
      <c r="O613" t="str">
        <f t="shared" si="19"/>
        <v/>
      </c>
      <c r="P613" t="str">
        <f>IF(A613="","",MAX(0,N613-System_Config!$B$9))</f>
        <v/>
      </c>
    </row>
    <row r="614" spans="12:16" ht="15" customHeight="1" x14ac:dyDescent="0.25">
      <c r="L614" t="str">
        <f>IF(A614="","",SUMIF(DB_Savings!$C:$C,A614,DB_Savings!$F:$F))</f>
        <v/>
      </c>
      <c r="M614" t="str">
        <f>IF(A614="","",SUMIF(DB_Withdrawals!$C:$C,A614,DB_Withdrawals!$G:$G))</f>
        <v/>
      </c>
      <c r="N614" t="str">
        <f t="shared" si="18"/>
        <v/>
      </c>
      <c r="O614" t="str">
        <f t="shared" si="19"/>
        <v/>
      </c>
      <c r="P614" t="str">
        <f>IF(A614="","",MAX(0,N614-System_Config!$B$9))</f>
        <v/>
      </c>
    </row>
    <row r="615" spans="12:16" ht="15" customHeight="1" x14ac:dyDescent="0.25">
      <c r="L615" t="str">
        <f>IF(A615="","",SUMIF(DB_Savings!$C:$C,A615,DB_Savings!$F:$F))</f>
        <v/>
      </c>
      <c r="M615" t="str">
        <f>IF(A615="","",SUMIF(DB_Withdrawals!$C:$C,A615,DB_Withdrawals!$G:$G))</f>
        <v/>
      </c>
      <c r="N615" t="str">
        <f t="shared" si="18"/>
        <v/>
      </c>
      <c r="O615" t="str">
        <f t="shared" si="19"/>
        <v/>
      </c>
      <c r="P615" t="str">
        <f>IF(A615="","",MAX(0,N615-System_Config!$B$9))</f>
        <v/>
      </c>
    </row>
    <row r="616" spans="12:16" ht="15" customHeight="1" x14ac:dyDescent="0.25">
      <c r="L616" t="str">
        <f>IF(A616="","",SUMIF(DB_Savings!$C:$C,A616,DB_Savings!$F:$F))</f>
        <v/>
      </c>
      <c r="M616" t="str">
        <f>IF(A616="","",SUMIF(DB_Withdrawals!$C:$C,A616,DB_Withdrawals!$G:$G))</f>
        <v/>
      </c>
      <c r="N616" t="str">
        <f t="shared" si="18"/>
        <v/>
      </c>
      <c r="O616" t="str">
        <f t="shared" si="19"/>
        <v/>
      </c>
      <c r="P616" t="str">
        <f>IF(A616="","",MAX(0,N616-System_Config!$B$9))</f>
        <v/>
      </c>
    </row>
    <row r="617" spans="12:16" ht="15" customHeight="1" x14ac:dyDescent="0.25">
      <c r="L617" t="str">
        <f>IF(A617="","",SUMIF(DB_Savings!$C:$C,A617,DB_Savings!$F:$F))</f>
        <v/>
      </c>
      <c r="M617" t="str">
        <f>IF(A617="","",SUMIF(DB_Withdrawals!$C:$C,A617,DB_Withdrawals!$G:$G))</f>
        <v/>
      </c>
      <c r="N617" t="str">
        <f t="shared" si="18"/>
        <v/>
      </c>
      <c r="O617" t="str">
        <f t="shared" si="19"/>
        <v/>
      </c>
      <c r="P617" t="str">
        <f>IF(A617="","",MAX(0,N617-System_Config!$B$9))</f>
        <v/>
      </c>
    </row>
    <row r="618" spans="12:16" ht="15" customHeight="1" x14ac:dyDescent="0.25">
      <c r="L618" t="str">
        <f>IF(A618="","",SUMIF(DB_Savings!$C:$C,A618,DB_Savings!$F:$F))</f>
        <v/>
      </c>
      <c r="M618" t="str">
        <f>IF(A618="","",SUMIF(DB_Withdrawals!$C:$C,A618,DB_Withdrawals!$G:$G))</f>
        <v/>
      </c>
      <c r="N618" t="str">
        <f t="shared" si="18"/>
        <v/>
      </c>
      <c r="O618" t="str">
        <f t="shared" si="19"/>
        <v/>
      </c>
      <c r="P618" t="str">
        <f>IF(A618="","",MAX(0,N618-System_Config!$B$9))</f>
        <v/>
      </c>
    </row>
    <row r="619" spans="12:16" ht="15" customHeight="1" x14ac:dyDescent="0.25">
      <c r="L619" t="str">
        <f>IF(A619="","",SUMIF(DB_Savings!$C:$C,A619,DB_Savings!$F:$F))</f>
        <v/>
      </c>
      <c r="M619" t="str">
        <f>IF(A619="","",SUMIF(DB_Withdrawals!$C:$C,A619,DB_Withdrawals!$G:$G))</f>
        <v/>
      </c>
      <c r="N619" t="str">
        <f t="shared" si="18"/>
        <v/>
      </c>
      <c r="O619" t="str">
        <f t="shared" si="19"/>
        <v/>
      </c>
      <c r="P619" t="str">
        <f>IF(A619="","",MAX(0,N619-System_Config!$B$9))</f>
        <v/>
      </c>
    </row>
    <row r="620" spans="12:16" ht="15" customHeight="1" x14ac:dyDescent="0.25">
      <c r="L620" t="str">
        <f>IF(A620="","",SUMIF(DB_Savings!$C:$C,A620,DB_Savings!$F:$F))</f>
        <v/>
      </c>
      <c r="M620" t="str">
        <f>IF(A620="","",SUMIF(DB_Withdrawals!$C:$C,A620,DB_Withdrawals!$G:$G))</f>
        <v/>
      </c>
      <c r="N620" t="str">
        <f t="shared" si="18"/>
        <v/>
      </c>
      <c r="O620" t="str">
        <f t="shared" si="19"/>
        <v/>
      </c>
      <c r="P620" t="str">
        <f>IF(A620="","",MAX(0,N620-System_Config!$B$9))</f>
        <v/>
      </c>
    </row>
    <row r="621" spans="12:16" ht="15" customHeight="1" x14ac:dyDescent="0.25">
      <c r="L621" t="str">
        <f>IF(A621="","",SUMIF(DB_Savings!$C:$C,A621,DB_Savings!$F:$F))</f>
        <v/>
      </c>
      <c r="M621" t="str">
        <f>IF(A621="","",SUMIF(DB_Withdrawals!$C:$C,A621,DB_Withdrawals!$G:$G))</f>
        <v/>
      </c>
      <c r="N621" t="str">
        <f t="shared" si="18"/>
        <v/>
      </c>
      <c r="O621" t="str">
        <f t="shared" si="19"/>
        <v/>
      </c>
      <c r="P621" t="str">
        <f>IF(A621="","",MAX(0,N621-System_Config!$B$9))</f>
        <v/>
      </c>
    </row>
    <row r="622" spans="12:16" ht="15" customHeight="1" x14ac:dyDescent="0.25">
      <c r="L622" t="str">
        <f>IF(A622="","",SUMIF(DB_Savings!$C:$C,A622,DB_Savings!$F:$F))</f>
        <v/>
      </c>
      <c r="M622" t="str">
        <f>IF(A622="","",SUMIF(DB_Withdrawals!$C:$C,A622,DB_Withdrawals!$G:$G))</f>
        <v/>
      </c>
      <c r="N622" t="str">
        <f t="shared" si="18"/>
        <v/>
      </c>
      <c r="O622" t="str">
        <f t="shared" si="19"/>
        <v/>
      </c>
      <c r="P622" t="str">
        <f>IF(A622="","",MAX(0,N622-System_Config!$B$9))</f>
        <v/>
      </c>
    </row>
    <row r="623" spans="12:16" ht="15" customHeight="1" x14ac:dyDescent="0.25">
      <c r="L623" t="str">
        <f>IF(A623="","",SUMIF(DB_Savings!$C:$C,A623,DB_Savings!$F:$F))</f>
        <v/>
      </c>
      <c r="M623" t="str">
        <f>IF(A623="","",SUMIF(DB_Withdrawals!$C:$C,A623,DB_Withdrawals!$G:$G))</f>
        <v/>
      </c>
      <c r="N623" t="str">
        <f t="shared" si="18"/>
        <v/>
      </c>
      <c r="O623" t="str">
        <f t="shared" si="19"/>
        <v/>
      </c>
      <c r="P623" t="str">
        <f>IF(A623="","",MAX(0,N623-System_Config!$B$9))</f>
        <v/>
      </c>
    </row>
    <row r="624" spans="12:16" ht="15" customHeight="1" x14ac:dyDescent="0.25">
      <c r="L624" t="str">
        <f>IF(A624="","",SUMIF(DB_Savings!$C:$C,A624,DB_Savings!$F:$F))</f>
        <v/>
      </c>
      <c r="M624" t="str">
        <f>IF(A624="","",SUMIF(DB_Withdrawals!$C:$C,A624,DB_Withdrawals!$G:$G))</f>
        <v/>
      </c>
      <c r="N624" t="str">
        <f t="shared" si="18"/>
        <v/>
      </c>
      <c r="O624" t="str">
        <f t="shared" si="19"/>
        <v/>
      </c>
      <c r="P624" t="str">
        <f>IF(A624="","",MAX(0,N624-System_Config!$B$9))</f>
        <v/>
      </c>
    </row>
    <row r="625" spans="12:16" ht="15" customHeight="1" x14ac:dyDescent="0.25">
      <c r="L625" t="str">
        <f>IF(A625="","",SUMIF(DB_Savings!$C:$C,A625,DB_Savings!$F:$F))</f>
        <v/>
      </c>
      <c r="M625" t="str">
        <f>IF(A625="","",SUMIF(DB_Withdrawals!$C:$C,A625,DB_Withdrawals!$G:$G))</f>
        <v/>
      </c>
      <c r="N625" t="str">
        <f t="shared" si="18"/>
        <v/>
      </c>
      <c r="O625" t="str">
        <f t="shared" si="19"/>
        <v/>
      </c>
      <c r="P625" t="str">
        <f>IF(A625="","",MAX(0,N625-System_Config!$B$9))</f>
        <v/>
      </c>
    </row>
    <row r="626" spans="12:16" ht="15" customHeight="1" x14ac:dyDescent="0.25">
      <c r="L626" t="str">
        <f>IF(A626="","",SUMIF(DB_Savings!$C:$C,A626,DB_Savings!$F:$F))</f>
        <v/>
      </c>
      <c r="M626" t="str">
        <f>IF(A626="","",SUMIF(DB_Withdrawals!$C:$C,A626,DB_Withdrawals!$G:$G))</f>
        <v/>
      </c>
      <c r="N626" t="str">
        <f t="shared" si="18"/>
        <v/>
      </c>
      <c r="O626" t="str">
        <f t="shared" si="19"/>
        <v/>
      </c>
      <c r="P626" t="str">
        <f>IF(A626="","",MAX(0,N626-System_Config!$B$9))</f>
        <v/>
      </c>
    </row>
    <row r="627" spans="12:16" ht="15" customHeight="1" x14ac:dyDescent="0.25">
      <c r="L627" t="str">
        <f>IF(A627="","",SUMIF(DB_Savings!$C:$C,A627,DB_Savings!$F:$F))</f>
        <v/>
      </c>
      <c r="M627" t="str">
        <f>IF(A627="","",SUMIF(DB_Withdrawals!$C:$C,A627,DB_Withdrawals!$G:$G))</f>
        <v/>
      </c>
      <c r="N627" t="str">
        <f t="shared" si="18"/>
        <v/>
      </c>
      <c r="O627" t="str">
        <f t="shared" si="19"/>
        <v/>
      </c>
      <c r="P627" t="str">
        <f>IF(A627="","",MAX(0,N627-System_Config!$B$9))</f>
        <v/>
      </c>
    </row>
    <row r="628" spans="12:16" ht="15" customHeight="1" x14ac:dyDescent="0.25">
      <c r="L628" t="str">
        <f>IF(A628="","",SUMIF(DB_Savings!$C:$C,A628,DB_Savings!$F:$F))</f>
        <v/>
      </c>
      <c r="M628" t="str">
        <f>IF(A628="","",SUMIF(DB_Withdrawals!$C:$C,A628,DB_Withdrawals!$G:$G))</f>
        <v/>
      </c>
      <c r="N628" t="str">
        <f t="shared" si="18"/>
        <v/>
      </c>
      <c r="O628" t="str">
        <f t="shared" si="19"/>
        <v/>
      </c>
      <c r="P628" t="str">
        <f>IF(A628="","",MAX(0,N628-System_Config!$B$9))</f>
        <v/>
      </c>
    </row>
    <row r="629" spans="12:16" ht="15" customHeight="1" x14ac:dyDescent="0.25">
      <c r="L629" t="str">
        <f>IF(A629="","",SUMIF(DB_Savings!$C:$C,A629,DB_Savings!$F:$F))</f>
        <v/>
      </c>
      <c r="M629" t="str">
        <f>IF(A629="","",SUMIF(DB_Withdrawals!$C:$C,A629,DB_Withdrawals!$G:$G))</f>
        <v/>
      </c>
      <c r="N629" t="str">
        <f t="shared" si="18"/>
        <v/>
      </c>
      <c r="O629" t="str">
        <f t="shared" si="19"/>
        <v/>
      </c>
      <c r="P629" t="str">
        <f>IF(A629="","",MAX(0,N629-System_Config!$B$9))</f>
        <v/>
      </c>
    </row>
    <row r="630" spans="12:16" ht="15" customHeight="1" x14ac:dyDescent="0.25">
      <c r="L630" t="str">
        <f>IF(A630="","",SUMIF(DB_Savings!$C:$C,A630,DB_Savings!$F:$F))</f>
        <v/>
      </c>
      <c r="M630" t="str">
        <f>IF(A630="","",SUMIF(DB_Withdrawals!$C:$C,A630,DB_Withdrawals!$G:$G))</f>
        <v/>
      </c>
      <c r="N630" t="str">
        <f t="shared" si="18"/>
        <v/>
      </c>
      <c r="O630" t="str">
        <f t="shared" si="19"/>
        <v/>
      </c>
      <c r="P630" t="str">
        <f>IF(A630="","",MAX(0,N630-System_Config!$B$9))</f>
        <v/>
      </c>
    </row>
    <row r="631" spans="12:16" ht="15" customHeight="1" x14ac:dyDescent="0.25">
      <c r="L631" t="str">
        <f>IF(A631="","",SUMIF(DB_Savings!$C:$C,A631,DB_Savings!$F:$F))</f>
        <v/>
      </c>
      <c r="M631" t="str">
        <f>IF(A631="","",SUMIF(DB_Withdrawals!$C:$C,A631,DB_Withdrawals!$G:$G))</f>
        <v/>
      </c>
      <c r="N631" t="str">
        <f t="shared" si="18"/>
        <v/>
      </c>
      <c r="O631" t="str">
        <f t="shared" si="19"/>
        <v/>
      </c>
      <c r="P631" t="str">
        <f>IF(A631="","",MAX(0,N631-System_Config!$B$9))</f>
        <v/>
      </c>
    </row>
    <row r="632" spans="12:16" ht="15" customHeight="1" x14ac:dyDescent="0.25">
      <c r="L632" t="str">
        <f>IF(A632="","",SUMIF(DB_Savings!$C:$C,A632,DB_Savings!$F:$F))</f>
        <v/>
      </c>
      <c r="M632" t="str">
        <f>IF(A632="","",SUMIF(DB_Withdrawals!$C:$C,A632,DB_Withdrawals!$G:$G))</f>
        <v/>
      </c>
      <c r="N632" t="str">
        <f t="shared" si="18"/>
        <v/>
      </c>
      <c r="O632" t="str">
        <f t="shared" si="19"/>
        <v/>
      </c>
      <c r="P632" t="str">
        <f>IF(A632="","",MAX(0,N632-System_Config!$B$9))</f>
        <v/>
      </c>
    </row>
    <row r="633" spans="12:16" ht="15" customHeight="1" x14ac:dyDescent="0.25">
      <c r="L633" t="str">
        <f>IF(A633="","",SUMIF(DB_Savings!$C:$C,A633,DB_Savings!$F:$F))</f>
        <v/>
      </c>
      <c r="M633" t="str">
        <f>IF(A633="","",SUMIF(DB_Withdrawals!$C:$C,A633,DB_Withdrawals!$G:$G))</f>
        <v/>
      </c>
      <c r="N633" t="str">
        <f t="shared" si="18"/>
        <v/>
      </c>
      <c r="O633" t="str">
        <f t="shared" si="19"/>
        <v/>
      </c>
      <c r="P633" t="str">
        <f>IF(A633="","",MAX(0,N633-System_Config!$B$9))</f>
        <v/>
      </c>
    </row>
    <row r="634" spans="12:16" ht="15" customHeight="1" x14ac:dyDescent="0.25">
      <c r="L634" t="str">
        <f>IF(A634="","",SUMIF(DB_Savings!$C:$C,A634,DB_Savings!$F:$F))</f>
        <v/>
      </c>
      <c r="M634" t="str">
        <f>IF(A634="","",SUMIF(DB_Withdrawals!$C:$C,A634,DB_Withdrawals!$G:$G))</f>
        <v/>
      </c>
      <c r="N634" t="str">
        <f t="shared" si="18"/>
        <v/>
      </c>
      <c r="O634" t="str">
        <f t="shared" si="19"/>
        <v/>
      </c>
      <c r="P634" t="str">
        <f>IF(A634="","",MAX(0,N634-System_Config!$B$9))</f>
        <v/>
      </c>
    </row>
    <row r="635" spans="12:16" ht="15" customHeight="1" x14ac:dyDescent="0.25">
      <c r="L635" t="str">
        <f>IF(A635="","",SUMIF(DB_Savings!$C:$C,A635,DB_Savings!$F:$F))</f>
        <v/>
      </c>
      <c r="M635" t="str">
        <f>IF(A635="","",SUMIF(DB_Withdrawals!$C:$C,A635,DB_Withdrawals!$G:$G))</f>
        <v/>
      </c>
      <c r="N635" t="str">
        <f t="shared" si="18"/>
        <v/>
      </c>
      <c r="O635" t="str">
        <f t="shared" si="19"/>
        <v/>
      </c>
      <c r="P635" t="str">
        <f>IF(A635="","",MAX(0,N635-System_Config!$B$9))</f>
        <v/>
      </c>
    </row>
    <row r="636" spans="12:16" ht="15" customHeight="1" x14ac:dyDescent="0.25">
      <c r="L636" t="str">
        <f>IF(A636="","",SUMIF(DB_Savings!$C:$C,A636,DB_Savings!$F:$F))</f>
        <v/>
      </c>
      <c r="M636" t="str">
        <f>IF(A636="","",SUMIF(DB_Withdrawals!$C:$C,A636,DB_Withdrawals!$G:$G))</f>
        <v/>
      </c>
      <c r="N636" t="str">
        <f t="shared" si="18"/>
        <v/>
      </c>
      <c r="O636" t="str">
        <f t="shared" si="19"/>
        <v/>
      </c>
      <c r="P636" t="str">
        <f>IF(A636="","",MAX(0,N636-System_Config!$B$9))</f>
        <v/>
      </c>
    </row>
    <row r="637" spans="12:16" ht="15" customHeight="1" x14ac:dyDescent="0.25">
      <c r="L637" t="str">
        <f>IF(A637="","",SUMIF(DB_Savings!$C:$C,A637,DB_Savings!$F:$F))</f>
        <v/>
      </c>
      <c r="M637" t="str">
        <f>IF(A637="","",SUMIF(DB_Withdrawals!$C:$C,A637,DB_Withdrawals!$G:$G))</f>
        <v/>
      </c>
      <c r="N637" t="str">
        <f t="shared" si="18"/>
        <v/>
      </c>
      <c r="O637" t="str">
        <f t="shared" si="19"/>
        <v/>
      </c>
      <c r="P637" t="str">
        <f>IF(A637="","",MAX(0,N637-System_Config!$B$9))</f>
        <v/>
      </c>
    </row>
    <row r="638" spans="12:16" ht="15" customHeight="1" x14ac:dyDescent="0.25">
      <c r="L638" t="str">
        <f>IF(A638="","",SUMIF(DB_Savings!$C:$C,A638,DB_Savings!$F:$F))</f>
        <v/>
      </c>
      <c r="M638" t="str">
        <f>IF(A638="","",SUMIF(DB_Withdrawals!$C:$C,A638,DB_Withdrawals!$G:$G))</f>
        <v/>
      </c>
      <c r="N638" t="str">
        <f t="shared" si="18"/>
        <v/>
      </c>
      <c r="O638" t="str">
        <f t="shared" si="19"/>
        <v/>
      </c>
      <c r="P638" t="str">
        <f>IF(A638="","",MAX(0,N638-System_Config!$B$9))</f>
        <v/>
      </c>
    </row>
    <row r="639" spans="12:16" ht="15" customHeight="1" x14ac:dyDescent="0.25">
      <c r="L639" t="str">
        <f>IF(A639="","",SUMIF(DB_Savings!$C:$C,A639,DB_Savings!$F:$F))</f>
        <v/>
      </c>
      <c r="M639" t="str">
        <f>IF(A639="","",SUMIF(DB_Withdrawals!$C:$C,A639,DB_Withdrawals!$G:$G))</f>
        <v/>
      </c>
      <c r="N639" t="str">
        <f t="shared" si="18"/>
        <v/>
      </c>
      <c r="O639" t="str">
        <f t="shared" si="19"/>
        <v/>
      </c>
      <c r="P639" t="str">
        <f>IF(A639="","",MAX(0,N639-System_Config!$B$9))</f>
        <v/>
      </c>
    </row>
    <row r="640" spans="12:16" ht="15" customHeight="1" x14ac:dyDescent="0.25">
      <c r="L640" t="str">
        <f>IF(A640="","",SUMIF(DB_Savings!$C:$C,A640,DB_Savings!$F:$F))</f>
        <v/>
      </c>
      <c r="M640" t="str">
        <f>IF(A640="","",SUMIF(DB_Withdrawals!$C:$C,A640,DB_Withdrawals!$G:$G))</f>
        <v/>
      </c>
      <c r="N640" t="str">
        <f t="shared" si="18"/>
        <v/>
      </c>
      <c r="O640" t="str">
        <f t="shared" si="19"/>
        <v/>
      </c>
      <c r="P640" t="str">
        <f>IF(A640="","",MAX(0,N640-System_Config!$B$9))</f>
        <v/>
      </c>
    </row>
    <row r="641" spans="12:16" ht="15" customHeight="1" x14ac:dyDescent="0.25">
      <c r="L641" t="str">
        <f>IF(A641="","",SUMIF(DB_Savings!$C:$C,A641,DB_Savings!$F:$F))</f>
        <v/>
      </c>
      <c r="M641" t="str">
        <f>IF(A641="","",SUMIF(DB_Withdrawals!$C:$C,A641,DB_Withdrawals!$G:$G))</f>
        <v/>
      </c>
      <c r="N641" t="str">
        <f t="shared" si="18"/>
        <v/>
      </c>
      <c r="O641" t="str">
        <f t="shared" si="19"/>
        <v/>
      </c>
      <c r="P641" t="str">
        <f>IF(A641="","",MAX(0,N641-System_Config!$B$9))</f>
        <v/>
      </c>
    </row>
    <row r="642" spans="12:16" ht="15" customHeight="1" x14ac:dyDescent="0.25">
      <c r="L642" t="str">
        <f>IF(A642="","",SUMIF(DB_Savings!$C:$C,A642,DB_Savings!$F:$F))</f>
        <v/>
      </c>
      <c r="M642" t="str">
        <f>IF(A642="","",SUMIF(DB_Withdrawals!$C:$C,A642,DB_Withdrawals!$G:$G))</f>
        <v/>
      </c>
      <c r="N642" t="str">
        <f t="shared" si="18"/>
        <v/>
      </c>
      <c r="O642" t="str">
        <f t="shared" si="19"/>
        <v/>
      </c>
      <c r="P642" t="str">
        <f>IF(A642="","",MAX(0,N642-System_Config!$B$9))</f>
        <v/>
      </c>
    </row>
    <row r="643" spans="12:16" ht="15" customHeight="1" x14ac:dyDescent="0.25">
      <c r="L643" t="str">
        <f>IF(A643="","",SUMIF(DB_Savings!$C:$C,A643,DB_Savings!$F:$F))</f>
        <v/>
      </c>
      <c r="M643" t="str">
        <f>IF(A643="","",SUMIF(DB_Withdrawals!$C:$C,A643,DB_Withdrawals!$G:$G))</f>
        <v/>
      </c>
      <c r="N643" t="str">
        <f t="shared" si="18"/>
        <v/>
      </c>
      <c r="O643" t="str">
        <f t="shared" si="19"/>
        <v/>
      </c>
      <c r="P643" t="str">
        <f>IF(A643="","",MAX(0,N643-System_Config!$B$9))</f>
        <v/>
      </c>
    </row>
    <row r="644" spans="12:16" ht="15" customHeight="1" x14ac:dyDescent="0.25">
      <c r="L644" t="str">
        <f>IF(A644="","",SUMIF(DB_Savings!$C:$C,A644,DB_Savings!$F:$F))</f>
        <v/>
      </c>
      <c r="M644" t="str">
        <f>IF(A644="","",SUMIF(DB_Withdrawals!$C:$C,A644,DB_Withdrawals!$G:$G))</f>
        <v/>
      </c>
      <c r="N644" t="str">
        <f t="shared" ref="N644:N707" si="20">IF(A644="","",I644+L644-M644)</f>
        <v/>
      </c>
      <c r="O644" t="str">
        <f t="shared" ref="O644:O707" si="21">IF(A644="","",TRUE())</f>
        <v/>
      </c>
      <c r="P644" t="str">
        <f>IF(A644="","",MAX(0,N644-System_Config!$B$9))</f>
        <v/>
      </c>
    </row>
    <row r="645" spans="12:16" ht="15" customHeight="1" x14ac:dyDescent="0.25">
      <c r="L645" t="str">
        <f>IF(A645="","",SUMIF(DB_Savings!$C:$C,A645,DB_Savings!$F:$F))</f>
        <v/>
      </c>
      <c r="M645" t="str">
        <f>IF(A645="","",SUMIF(DB_Withdrawals!$C:$C,A645,DB_Withdrawals!$G:$G))</f>
        <v/>
      </c>
      <c r="N645" t="str">
        <f t="shared" si="20"/>
        <v/>
      </c>
      <c r="O645" t="str">
        <f t="shared" si="21"/>
        <v/>
      </c>
      <c r="P645" t="str">
        <f>IF(A645="","",MAX(0,N645-System_Config!$B$9))</f>
        <v/>
      </c>
    </row>
    <row r="646" spans="12:16" ht="15" customHeight="1" x14ac:dyDescent="0.25">
      <c r="L646" t="str">
        <f>IF(A646="","",SUMIF(DB_Savings!$C:$C,A646,DB_Savings!$F:$F))</f>
        <v/>
      </c>
      <c r="M646" t="str">
        <f>IF(A646="","",SUMIF(DB_Withdrawals!$C:$C,A646,DB_Withdrawals!$G:$G))</f>
        <v/>
      </c>
      <c r="N646" t="str">
        <f t="shared" si="20"/>
        <v/>
      </c>
      <c r="O646" t="str">
        <f t="shared" si="21"/>
        <v/>
      </c>
      <c r="P646" t="str">
        <f>IF(A646="","",MAX(0,N646-System_Config!$B$9))</f>
        <v/>
      </c>
    </row>
    <row r="647" spans="12:16" ht="15" customHeight="1" x14ac:dyDescent="0.25">
      <c r="L647" t="str">
        <f>IF(A647="","",SUMIF(DB_Savings!$C:$C,A647,DB_Savings!$F:$F))</f>
        <v/>
      </c>
      <c r="M647" t="str">
        <f>IF(A647="","",SUMIF(DB_Withdrawals!$C:$C,A647,DB_Withdrawals!$G:$G))</f>
        <v/>
      </c>
      <c r="N647" t="str">
        <f t="shared" si="20"/>
        <v/>
      </c>
      <c r="O647" t="str">
        <f t="shared" si="21"/>
        <v/>
      </c>
      <c r="P647" t="str">
        <f>IF(A647="","",MAX(0,N647-System_Config!$B$9))</f>
        <v/>
      </c>
    </row>
    <row r="648" spans="12:16" ht="15" customHeight="1" x14ac:dyDescent="0.25">
      <c r="L648" t="str">
        <f>IF(A648="","",SUMIF(DB_Savings!$C:$C,A648,DB_Savings!$F:$F))</f>
        <v/>
      </c>
      <c r="M648" t="str">
        <f>IF(A648="","",SUMIF(DB_Withdrawals!$C:$C,A648,DB_Withdrawals!$G:$G))</f>
        <v/>
      </c>
      <c r="N648" t="str">
        <f t="shared" si="20"/>
        <v/>
      </c>
      <c r="O648" t="str">
        <f t="shared" si="21"/>
        <v/>
      </c>
      <c r="P648" t="str">
        <f>IF(A648="","",MAX(0,N648-System_Config!$B$9))</f>
        <v/>
      </c>
    </row>
    <row r="649" spans="12:16" ht="15" customHeight="1" x14ac:dyDescent="0.25">
      <c r="L649" t="str">
        <f>IF(A649="","",SUMIF(DB_Savings!$C:$C,A649,DB_Savings!$F:$F))</f>
        <v/>
      </c>
      <c r="M649" t="str">
        <f>IF(A649="","",SUMIF(DB_Withdrawals!$C:$C,A649,DB_Withdrawals!$G:$G))</f>
        <v/>
      </c>
      <c r="N649" t="str">
        <f t="shared" si="20"/>
        <v/>
      </c>
      <c r="O649" t="str">
        <f t="shared" si="21"/>
        <v/>
      </c>
      <c r="P649" t="str">
        <f>IF(A649="","",MAX(0,N649-System_Config!$B$9))</f>
        <v/>
      </c>
    </row>
    <row r="650" spans="12:16" ht="15" customHeight="1" x14ac:dyDescent="0.25">
      <c r="L650" t="str">
        <f>IF(A650="","",SUMIF(DB_Savings!$C:$C,A650,DB_Savings!$F:$F))</f>
        <v/>
      </c>
      <c r="M650" t="str">
        <f>IF(A650="","",SUMIF(DB_Withdrawals!$C:$C,A650,DB_Withdrawals!$G:$G))</f>
        <v/>
      </c>
      <c r="N650" t="str">
        <f t="shared" si="20"/>
        <v/>
      </c>
      <c r="O650" t="str">
        <f t="shared" si="21"/>
        <v/>
      </c>
      <c r="P650" t="str">
        <f>IF(A650="","",MAX(0,N650-System_Config!$B$9))</f>
        <v/>
      </c>
    </row>
    <row r="651" spans="12:16" ht="15" customHeight="1" x14ac:dyDescent="0.25">
      <c r="L651" t="str">
        <f>IF(A651="","",SUMIF(DB_Savings!$C:$C,A651,DB_Savings!$F:$F))</f>
        <v/>
      </c>
      <c r="M651" t="str">
        <f>IF(A651="","",SUMIF(DB_Withdrawals!$C:$C,A651,DB_Withdrawals!$G:$G))</f>
        <v/>
      </c>
      <c r="N651" t="str">
        <f t="shared" si="20"/>
        <v/>
      </c>
      <c r="O651" t="str">
        <f t="shared" si="21"/>
        <v/>
      </c>
      <c r="P651" t="str">
        <f>IF(A651="","",MAX(0,N651-System_Config!$B$9))</f>
        <v/>
      </c>
    </row>
    <row r="652" spans="12:16" ht="15" customHeight="1" x14ac:dyDescent="0.25">
      <c r="L652" t="str">
        <f>IF(A652="","",SUMIF(DB_Savings!$C:$C,A652,DB_Savings!$F:$F))</f>
        <v/>
      </c>
      <c r="M652" t="str">
        <f>IF(A652="","",SUMIF(DB_Withdrawals!$C:$C,A652,DB_Withdrawals!$G:$G))</f>
        <v/>
      </c>
      <c r="N652" t="str">
        <f t="shared" si="20"/>
        <v/>
      </c>
      <c r="O652" t="str">
        <f t="shared" si="21"/>
        <v/>
      </c>
      <c r="P652" t="str">
        <f>IF(A652="","",MAX(0,N652-System_Config!$B$9))</f>
        <v/>
      </c>
    </row>
    <row r="653" spans="12:16" ht="15" customHeight="1" x14ac:dyDescent="0.25">
      <c r="L653" t="str">
        <f>IF(A653="","",SUMIF(DB_Savings!$C:$C,A653,DB_Savings!$F:$F))</f>
        <v/>
      </c>
      <c r="M653" t="str">
        <f>IF(A653="","",SUMIF(DB_Withdrawals!$C:$C,A653,DB_Withdrawals!$G:$G))</f>
        <v/>
      </c>
      <c r="N653" t="str">
        <f t="shared" si="20"/>
        <v/>
      </c>
      <c r="O653" t="str">
        <f t="shared" si="21"/>
        <v/>
      </c>
      <c r="P653" t="str">
        <f>IF(A653="","",MAX(0,N653-System_Config!$B$9))</f>
        <v/>
      </c>
    </row>
    <row r="654" spans="12:16" ht="15" customHeight="1" x14ac:dyDescent="0.25">
      <c r="L654" t="str">
        <f>IF(A654="","",SUMIF(DB_Savings!$C:$C,A654,DB_Savings!$F:$F))</f>
        <v/>
      </c>
      <c r="M654" t="str">
        <f>IF(A654="","",SUMIF(DB_Withdrawals!$C:$C,A654,DB_Withdrawals!$G:$G))</f>
        <v/>
      </c>
      <c r="N654" t="str">
        <f t="shared" si="20"/>
        <v/>
      </c>
      <c r="O654" t="str">
        <f t="shared" si="21"/>
        <v/>
      </c>
      <c r="P654" t="str">
        <f>IF(A654="","",MAX(0,N654-System_Config!$B$9))</f>
        <v/>
      </c>
    </row>
    <row r="655" spans="12:16" ht="15" customHeight="1" x14ac:dyDescent="0.25">
      <c r="L655" t="str">
        <f>IF(A655="","",SUMIF(DB_Savings!$C:$C,A655,DB_Savings!$F:$F))</f>
        <v/>
      </c>
      <c r="M655" t="str">
        <f>IF(A655="","",SUMIF(DB_Withdrawals!$C:$C,A655,DB_Withdrawals!$G:$G))</f>
        <v/>
      </c>
      <c r="N655" t="str">
        <f t="shared" si="20"/>
        <v/>
      </c>
      <c r="O655" t="str">
        <f t="shared" si="21"/>
        <v/>
      </c>
      <c r="P655" t="str">
        <f>IF(A655="","",MAX(0,N655-System_Config!$B$9))</f>
        <v/>
      </c>
    </row>
    <row r="656" spans="12:16" ht="15" customHeight="1" x14ac:dyDescent="0.25">
      <c r="L656" t="str">
        <f>IF(A656="","",SUMIF(DB_Savings!$C:$C,A656,DB_Savings!$F:$F))</f>
        <v/>
      </c>
      <c r="M656" t="str">
        <f>IF(A656="","",SUMIF(DB_Withdrawals!$C:$C,A656,DB_Withdrawals!$G:$G))</f>
        <v/>
      </c>
      <c r="N656" t="str">
        <f t="shared" si="20"/>
        <v/>
      </c>
      <c r="O656" t="str">
        <f t="shared" si="21"/>
        <v/>
      </c>
      <c r="P656" t="str">
        <f>IF(A656="","",MAX(0,N656-System_Config!$B$9))</f>
        <v/>
      </c>
    </row>
    <row r="657" spans="12:16" ht="15" customHeight="1" x14ac:dyDescent="0.25">
      <c r="L657" t="str">
        <f>IF(A657="","",SUMIF(DB_Savings!$C:$C,A657,DB_Savings!$F:$F))</f>
        <v/>
      </c>
      <c r="M657" t="str">
        <f>IF(A657="","",SUMIF(DB_Withdrawals!$C:$C,A657,DB_Withdrawals!$G:$G))</f>
        <v/>
      </c>
      <c r="N657" t="str">
        <f t="shared" si="20"/>
        <v/>
      </c>
      <c r="O657" t="str">
        <f t="shared" si="21"/>
        <v/>
      </c>
      <c r="P657" t="str">
        <f>IF(A657="","",MAX(0,N657-System_Config!$B$9))</f>
        <v/>
      </c>
    </row>
    <row r="658" spans="12:16" ht="15" customHeight="1" x14ac:dyDescent="0.25">
      <c r="L658" t="str">
        <f>IF(A658="","",SUMIF(DB_Savings!$C:$C,A658,DB_Savings!$F:$F))</f>
        <v/>
      </c>
      <c r="M658" t="str">
        <f>IF(A658="","",SUMIF(DB_Withdrawals!$C:$C,A658,DB_Withdrawals!$G:$G))</f>
        <v/>
      </c>
      <c r="N658" t="str">
        <f t="shared" si="20"/>
        <v/>
      </c>
      <c r="O658" t="str">
        <f t="shared" si="21"/>
        <v/>
      </c>
      <c r="P658" t="str">
        <f>IF(A658="","",MAX(0,N658-System_Config!$B$9))</f>
        <v/>
      </c>
    </row>
    <row r="659" spans="12:16" ht="15" customHeight="1" x14ac:dyDescent="0.25">
      <c r="L659" t="str">
        <f>IF(A659="","",SUMIF(DB_Savings!$C:$C,A659,DB_Savings!$F:$F))</f>
        <v/>
      </c>
      <c r="M659" t="str">
        <f>IF(A659="","",SUMIF(DB_Withdrawals!$C:$C,A659,DB_Withdrawals!$G:$G))</f>
        <v/>
      </c>
      <c r="N659" t="str">
        <f t="shared" si="20"/>
        <v/>
      </c>
      <c r="O659" t="str">
        <f t="shared" si="21"/>
        <v/>
      </c>
      <c r="P659" t="str">
        <f>IF(A659="","",MAX(0,N659-System_Config!$B$9))</f>
        <v/>
      </c>
    </row>
    <row r="660" spans="12:16" ht="15" customHeight="1" x14ac:dyDescent="0.25">
      <c r="L660" t="str">
        <f>IF(A660="","",SUMIF(DB_Savings!$C:$C,A660,DB_Savings!$F:$F))</f>
        <v/>
      </c>
      <c r="M660" t="str">
        <f>IF(A660="","",SUMIF(DB_Withdrawals!$C:$C,A660,DB_Withdrawals!$G:$G))</f>
        <v/>
      </c>
      <c r="N660" t="str">
        <f t="shared" si="20"/>
        <v/>
      </c>
      <c r="O660" t="str">
        <f t="shared" si="21"/>
        <v/>
      </c>
      <c r="P660" t="str">
        <f>IF(A660="","",MAX(0,N660-System_Config!$B$9))</f>
        <v/>
      </c>
    </row>
    <row r="661" spans="12:16" ht="15" customHeight="1" x14ac:dyDescent="0.25">
      <c r="L661" t="str">
        <f>IF(A661="","",SUMIF(DB_Savings!$C:$C,A661,DB_Savings!$F:$F))</f>
        <v/>
      </c>
      <c r="M661" t="str">
        <f>IF(A661="","",SUMIF(DB_Withdrawals!$C:$C,A661,DB_Withdrawals!$G:$G))</f>
        <v/>
      </c>
      <c r="N661" t="str">
        <f t="shared" si="20"/>
        <v/>
      </c>
      <c r="O661" t="str">
        <f t="shared" si="21"/>
        <v/>
      </c>
      <c r="P661" t="str">
        <f>IF(A661="","",MAX(0,N661-System_Config!$B$9))</f>
        <v/>
      </c>
    </row>
    <row r="662" spans="12:16" ht="15" customHeight="1" x14ac:dyDescent="0.25">
      <c r="L662" t="str">
        <f>IF(A662="","",SUMIF(DB_Savings!$C:$C,A662,DB_Savings!$F:$F))</f>
        <v/>
      </c>
      <c r="M662" t="str">
        <f>IF(A662="","",SUMIF(DB_Withdrawals!$C:$C,A662,DB_Withdrawals!$G:$G))</f>
        <v/>
      </c>
      <c r="N662" t="str">
        <f t="shared" si="20"/>
        <v/>
      </c>
      <c r="O662" t="str">
        <f t="shared" si="21"/>
        <v/>
      </c>
      <c r="P662" t="str">
        <f>IF(A662="","",MAX(0,N662-System_Config!$B$9))</f>
        <v/>
      </c>
    </row>
    <row r="663" spans="12:16" ht="15" customHeight="1" x14ac:dyDescent="0.25">
      <c r="L663" t="str">
        <f>IF(A663="","",SUMIF(DB_Savings!$C:$C,A663,DB_Savings!$F:$F))</f>
        <v/>
      </c>
      <c r="M663" t="str">
        <f>IF(A663="","",SUMIF(DB_Withdrawals!$C:$C,A663,DB_Withdrawals!$G:$G))</f>
        <v/>
      </c>
      <c r="N663" t="str">
        <f t="shared" si="20"/>
        <v/>
      </c>
      <c r="O663" t="str">
        <f t="shared" si="21"/>
        <v/>
      </c>
      <c r="P663" t="str">
        <f>IF(A663="","",MAX(0,N663-System_Config!$B$9))</f>
        <v/>
      </c>
    </row>
    <row r="664" spans="12:16" ht="15" customHeight="1" x14ac:dyDescent="0.25">
      <c r="L664" t="str">
        <f>IF(A664="","",SUMIF(DB_Savings!$C:$C,A664,DB_Savings!$F:$F))</f>
        <v/>
      </c>
      <c r="M664" t="str">
        <f>IF(A664="","",SUMIF(DB_Withdrawals!$C:$C,A664,DB_Withdrawals!$G:$G))</f>
        <v/>
      </c>
      <c r="N664" t="str">
        <f t="shared" si="20"/>
        <v/>
      </c>
      <c r="O664" t="str">
        <f t="shared" si="21"/>
        <v/>
      </c>
      <c r="P664" t="str">
        <f>IF(A664="","",MAX(0,N664-System_Config!$B$9))</f>
        <v/>
      </c>
    </row>
    <row r="665" spans="12:16" ht="15" customHeight="1" x14ac:dyDescent="0.25">
      <c r="L665" t="str">
        <f>IF(A665="","",SUMIF(DB_Savings!$C:$C,A665,DB_Savings!$F:$F))</f>
        <v/>
      </c>
      <c r="M665" t="str">
        <f>IF(A665="","",SUMIF(DB_Withdrawals!$C:$C,A665,DB_Withdrawals!$G:$G))</f>
        <v/>
      </c>
      <c r="N665" t="str">
        <f t="shared" si="20"/>
        <v/>
      </c>
      <c r="O665" t="str">
        <f t="shared" si="21"/>
        <v/>
      </c>
      <c r="P665" t="str">
        <f>IF(A665="","",MAX(0,N665-System_Config!$B$9))</f>
        <v/>
      </c>
    </row>
    <row r="666" spans="12:16" ht="15" customHeight="1" x14ac:dyDescent="0.25">
      <c r="L666" t="str">
        <f>IF(A666="","",SUMIF(DB_Savings!$C:$C,A666,DB_Savings!$F:$F))</f>
        <v/>
      </c>
      <c r="M666" t="str">
        <f>IF(A666="","",SUMIF(DB_Withdrawals!$C:$C,A666,DB_Withdrawals!$G:$G))</f>
        <v/>
      </c>
      <c r="N666" t="str">
        <f t="shared" si="20"/>
        <v/>
      </c>
      <c r="O666" t="str">
        <f t="shared" si="21"/>
        <v/>
      </c>
      <c r="P666" t="str">
        <f>IF(A666="","",MAX(0,N666-System_Config!$B$9))</f>
        <v/>
      </c>
    </row>
    <row r="667" spans="12:16" ht="15" customHeight="1" x14ac:dyDescent="0.25">
      <c r="L667" t="str">
        <f>IF(A667="","",SUMIF(DB_Savings!$C:$C,A667,DB_Savings!$F:$F))</f>
        <v/>
      </c>
      <c r="M667" t="str">
        <f>IF(A667="","",SUMIF(DB_Withdrawals!$C:$C,A667,DB_Withdrawals!$G:$G))</f>
        <v/>
      </c>
      <c r="N667" t="str">
        <f t="shared" si="20"/>
        <v/>
      </c>
      <c r="O667" t="str">
        <f t="shared" si="21"/>
        <v/>
      </c>
      <c r="P667" t="str">
        <f>IF(A667="","",MAX(0,N667-System_Config!$B$9))</f>
        <v/>
      </c>
    </row>
    <row r="668" spans="12:16" ht="15" customHeight="1" x14ac:dyDescent="0.25">
      <c r="L668" t="str">
        <f>IF(A668="","",SUMIF(DB_Savings!$C:$C,A668,DB_Savings!$F:$F))</f>
        <v/>
      </c>
      <c r="M668" t="str">
        <f>IF(A668="","",SUMIF(DB_Withdrawals!$C:$C,A668,DB_Withdrawals!$G:$G))</f>
        <v/>
      </c>
      <c r="N668" t="str">
        <f t="shared" si="20"/>
        <v/>
      </c>
      <c r="O668" t="str">
        <f t="shared" si="21"/>
        <v/>
      </c>
      <c r="P668" t="str">
        <f>IF(A668="","",MAX(0,N668-System_Config!$B$9))</f>
        <v/>
      </c>
    </row>
    <row r="669" spans="12:16" ht="15" customHeight="1" x14ac:dyDescent="0.25">
      <c r="L669" t="str">
        <f>IF(A669="","",SUMIF(DB_Savings!$C:$C,A669,DB_Savings!$F:$F))</f>
        <v/>
      </c>
      <c r="M669" t="str">
        <f>IF(A669="","",SUMIF(DB_Withdrawals!$C:$C,A669,DB_Withdrawals!$G:$G))</f>
        <v/>
      </c>
      <c r="N669" t="str">
        <f t="shared" si="20"/>
        <v/>
      </c>
      <c r="O669" t="str">
        <f t="shared" si="21"/>
        <v/>
      </c>
      <c r="P669" t="str">
        <f>IF(A669="","",MAX(0,N669-System_Config!$B$9))</f>
        <v/>
      </c>
    </row>
    <row r="670" spans="12:16" ht="15" customHeight="1" x14ac:dyDescent="0.25">
      <c r="L670" t="str">
        <f>IF(A670="","",SUMIF(DB_Savings!$C:$C,A670,DB_Savings!$F:$F))</f>
        <v/>
      </c>
      <c r="M670" t="str">
        <f>IF(A670="","",SUMIF(DB_Withdrawals!$C:$C,A670,DB_Withdrawals!$G:$G))</f>
        <v/>
      </c>
      <c r="N670" t="str">
        <f t="shared" si="20"/>
        <v/>
      </c>
      <c r="O670" t="str">
        <f t="shared" si="21"/>
        <v/>
      </c>
      <c r="P670" t="str">
        <f>IF(A670="","",MAX(0,N670-System_Config!$B$9))</f>
        <v/>
      </c>
    </row>
    <row r="671" spans="12:16" ht="15" customHeight="1" x14ac:dyDescent="0.25">
      <c r="L671" t="str">
        <f>IF(A671="","",SUMIF(DB_Savings!$C:$C,A671,DB_Savings!$F:$F))</f>
        <v/>
      </c>
      <c r="M671" t="str">
        <f>IF(A671="","",SUMIF(DB_Withdrawals!$C:$C,A671,DB_Withdrawals!$G:$G))</f>
        <v/>
      </c>
      <c r="N671" t="str">
        <f t="shared" si="20"/>
        <v/>
      </c>
      <c r="O671" t="str">
        <f t="shared" si="21"/>
        <v/>
      </c>
      <c r="P671" t="str">
        <f>IF(A671="","",MAX(0,N671-System_Config!$B$9))</f>
        <v/>
      </c>
    </row>
    <row r="672" spans="12:16" ht="15" customHeight="1" x14ac:dyDescent="0.25">
      <c r="L672" t="str">
        <f>IF(A672="","",SUMIF(DB_Savings!$C:$C,A672,DB_Savings!$F:$F))</f>
        <v/>
      </c>
      <c r="M672" t="str">
        <f>IF(A672="","",SUMIF(DB_Withdrawals!$C:$C,A672,DB_Withdrawals!$G:$G))</f>
        <v/>
      </c>
      <c r="N672" t="str">
        <f t="shared" si="20"/>
        <v/>
      </c>
      <c r="O672" t="str">
        <f t="shared" si="21"/>
        <v/>
      </c>
      <c r="P672" t="str">
        <f>IF(A672="","",MAX(0,N672-System_Config!$B$9))</f>
        <v/>
      </c>
    </row>
    <row r="673" spans="12:16" ht="15" customHeight="1" x14ac:dyDescent="0.25">
      <c r="L673" t="str">
        <f>IF(A673="","",SUMIF(DB_Savings!$C:$C,A673,DB_Savings!$F:$F))</f>
        <v/>
      </c>
      <c r="M673" t="str">
        <f>IF(A673="","",SUMIF(DB_Withdrawals!$C:$C,A673,DB_Withdrawals!$G:$G))</f>
        <v/>
      </c>
      <c r="N673" t="str">
        <f t="shared" si="20"/>
        <v/>
      </c>
      <c r="O673" t="str">
        <f t="shared" si="21"/>
        <v/>
      </c>
      <c r="P673" t="str">
        <f>IF(A673="","",MAX(0,N673-System_Config!$B$9))</f>
        <v/>
      </c>
    </row>
    <row r="674" spans="12:16" ht="15" customHeight="1" x14ac:dyDescent="0.25">
      <c r="L674" t="str">
        <f>IF(A674="","",SUMIF(DB_Savings!$C:$C,A674,DB_Savings!$F:$F))</f>
        <v/>
      </c>
      <c r="M674" t="str">
        <f>IF(A674="","",SUMIF(DB_Withdrawals!$C:$C,A674,DB_Withdrawals!$G:$G))</f>
        <v/>
      </c>
      <c r="N674" t="str">
        <f t="shared" si="20"/>
        <v/>
      </c>
      <c r="O674" t="str">
        <f t="shared" si="21"/>
        <v/>
      </c>
      <c r="P674" t="str">
        <f>IF(A674="","",MAX(0,N674-System_Config!$B$9))</f>
        <v/>
      </c>
    </row>
    <row r="675" spans="12:16" ht="15" customHeight="1" x14ac:dyDescent="0.25">
      <c r="L675" t="str">
        <f>IF(A675="","",SUMIF(DB_Savings!$C:$C,A675,DB_Savings!$F:$F))</f>
        <v/>
      </c>
      <c r="M675" t="str">
        <f>IF(A675="","",SUMIF(DB_Withdrawals!$C:$C,A675,DB_Withdrawals!$G:$G))</f>
        <v/>
      </c>
      <c r="N675" t="str">
        <f t="shared" si="20"/>
        <v/>
      </c>
      <c r="O675" t="str">
        <f t="shared" si="21"/>
        <v/>
      </c>
      <c r="P675" t="str">
        <f>IF(A675="","",MAX(0,N675-System_Config!$B$9))</f>
        <v/>
      </c>
    </row>
    <row r="676" spans="12:16" ht="15" customHeight="1" x14ac:dyDescent="0.25">
      <c r="L676" t="str">
        <f>IF(A676="","",SUMIF(DB_Savings!$C:$C,A676,DB_Savings!$F:$F))</f>
        <v/>
      </c>
      <c r="M676" t="str">
        <f>IF(A676="","",SUMIF(DB_Withdrawals!$C:$C,A676,DB_Withdrawals!$G:$G))</f>
        <v/>
      </c>
      <c r="N676" t="str">
        <f t="shared" si="20"/>
        <v/>
      </c>
      <c r="O676" t="str">
        <f t="shared" si="21"/>
        <v/>
      </c>
      <c r="P676" t="str">
        <f>IF(A676="","",MAX(0,N676-System_Config!$B$9))</f>
        <v/>
      </c>
    </row>
    <row r="677" spans="12:16" ht="15" customHeight="1" x14ac:dyDescent="0.25">
      <c r="L677" t="str">
        <f>IF(A677="","",SUMIF(DB_Savings!$C:$C,A677,DB_Savings!$F:$F))</f>
        <v/>
      </c>
      <c r="M677" t="str">
        <f>IF(A677="","",SUMIF(DB_Withdrawals!$C:$C,A677,DB_Withdrawals!$G:$G))</f>
        <v/>
      </c>
      <c r="N677" t="str">
        <f t="shared" si="20"/>
        <v/>
      </c>
      <c r="O677" t="str">
        <f t="shared" si="21"/>
        <v/>
      </c>
      <c r="P677" t="str">
        <f>IF(A677="","",MAX(0,N677-System_Config!$B$9))</f>
        <v/>
      </c>
    </row>
    <row r="678" spans="12:16" ht="15" customHeight="1" x14ac:dyDescent="0.25">
      <c r="L678" t="str">
        <f>IF(A678="","",SUMIF(DB_Savings!$C:$C,A678,DB_Savings!$F:$F))</f>
        <v/>
      </c>
      <c r="M678" t="str">
        <f>IF(A678="","",SUMIF(DB_Withdrawals!$C:$C,A678,DB_Withdrawals!$G:$G))</f>
        <v/>
      </c>
      <c r="N678" t="str">
        <f t="shared" si="20"/>
        <v/>
      </c>
      <c r="O678" t="str">
        <f t="shared" si="21"/>
        <v/>
      </c>
      <c r="P678" t="str">
        <f>IF(A678="","",MAX(0,N678-System_Config!$B$9))</f>
        <v/>
      </c>
    </row>
    <row r="679" spans="12:16" ht="15" customHeight="1" x14ac:dyDescent="0.25">
      <c r="L679" t="str">
        <f>IF(A679="","",SUMIF(DB_Savings!$C:$C,A679,DB_Savings!$F:$F))</f>
        <v/>
      </c>
      <c r="M679" t="str">
        <f>IF(A679="","",SUMIF(DB_Withdrawals!$C:$C,A679,DB_Withdrawals!$G:$G))</f>
        <v/>
      </c>
      <c r="N679" t="str">
        <f t="shared" si="20"/>
        <v/>
      </c>
      <c r="O679" t="str">
        <f t="shared" si="21"/>
        <v/>
      </c>
      <c r="P679" t="str">
        <f>IF(A679="","",MAX(0,N679-System_Config!$B$9))</f>
        <v/>
      </c>
    </row>
    <row r="680" spans="12:16" ht="15" customHeight="1" x14ac:dyDescent="0.25">
      <c r="L680" t="str">
        <f>IF(A680="","",SUMIF(DB_Savings!$C:$C,A680,DB_Savings!$F:$F))</f>
        <v/>
      </c>
      <c r="M680" t="str">
        <f>IF(A680="","",SUMIF(DB_Withdrawals!$C:$C,A680,DB_Withdrawals!$G:$G))</f>
        <v/>
      </c>
      <c r="N680" t="str">
        <f t="shared" si="20"/>
        <v/>
      </c>
      <c r="O680" t="str">
        <f t="shared" si="21"/>
        <v/>
      </c>
      <c r="P680" t="str">
        <f>IF(A680="","",MAX(0,N680-System_Config!$B$9))</f>
        <v/>
      </c>
    </row>
    <row r="681" spans="12:16" ht="15" customHeight="1" x14ac:dyDescent="0.25">
      <c r="L681" t="str">
        <f>IF(A681="","",SUMIF(DB_Savings!$C:$C,A681,DB_Savings!$F:$F))</f>
        <v/>
      </c>
      <c r="M681" t="str">
        <f>IF(A681="","",SUMIF(DB_Withdrawals!$C:$C,A681,DB_Withdrawals!$G:$G))</f>
        <v/>
      </c>
      <c r="N681" t="str">
        <f t="shared" si="20"/>
        <v/>
      </c>
      <c r="O681" t="str">
        <f t="shared" si="21"/>
        <v/>
      </c>
      <c r="P681" t="str">
        <f>IF(A681="","",MAX(0,N681-System_Config!$B$9))</f>
        <v/>
      </c>
    </row>
    <row r="682" spans="12:16" ht="15" customHeight="1" x14ac:dyDescent="0.25">
      <c r="L682" t="str">
        <f>IF(A682="","",SUMIF(DB_Savings!$C:$C,A682,DB_Savings!$F:$F))</f>
        <v/>
      </c>
      <c r="M682" t="str">
        <f>IF(A682="","",SUMIF(DB_Withdrawals!$C:$C,A682,DB_Withdrawals!$G:$G))</f>
        <v/>
      </c>
      <c r="N682" t="str">
        <f t="shared" si="20"/>
        <v/>
      </c>
      <c r="O682" t="str">
        <f t="shared" si="21"/>
        <v/>
      </c>
      <c r="P682" t="str">
        <f>IF(A682="","",MAX(0,N682-System_Config!$B$9))</f>
        <v/>
      </c>
    </row>
    <row r="683" spans="12:16" ht="15" customHeight="1" x14ac:dyDescent="0.25">
      <c r="L683" t="str">
        <f>IF(A683="","",SUMIF(DB_Savings!$C:$C,A683,DB_Savings!$F:$F))</f>
        <v/>
      </c>
      <c r="M683" t="str">
        <f>IF(A683="","",SUMIF(DB_Withdrawals!$C:$C,A683,DB_Withdrawals!$G:$G))</f>
        <v/>
      </c>
      <c r="N683" t="str">
        <f t="shared" si="20"/>
        <v/>
      </c>
      <c r="O683" t="str">
        <f t="shared" si="21"/>
        <v/>
      </c>
      <c r="P683" t="str">
        <f>IF(A683="","",MAX(0,N683-System_Config!$B$9))</f>
        <v/>
      </c>
    </row>
    <row r="684" spans="12:16" ht="15" customHeight="1" x14ac:dyDescent="0.25">
      <c r="L684" t="str">
        <f>IF(A684="","",SUMIF(DB_Savings!$C:$C,A684,DB_Savings!$F:$F))</f>
        <v/>
      </c>
      <c r="M684" t="str">
        <f>IF(A684="","",SUMIF(DB_Withdrawals!$C:$C,A684,DB_Withdrawals!$G:$G))</f>
        <v/>
      </c>
      <c r="N684" t="str">
        <f t="shared" si="20"/>
        <v/>
      </c>
      <c r="O684" t="str">
        <f t="shared" si="21"/>
        <v/>
      </c>
      <c r="P684" t="str">
        <f>IF(A684="","",MAX(0,N684-System_Config!$B$9))</f>
        <v/>
      </c>
    </row>
    <row r="685" spans="12:16" ht="15" customHeight="1" x14ac:dyDescent="0.25">
      <c r="L685" t="str">
        <f>IF(A685="","",SUMIF(DB_Savings!$C:$C,A685,DB_Savings!$F:$F))</f>
        <v/>
      </c>
      <c r="M685" t="str">
        <f>IF(A685="","",SUMIF(DB_Withdrawals!$C:$C,A685,DB_Withdrawals!$G:$G))</f>
        <v/>
      </c>
      <c r="N685" t="str">
        <f t="shared" si="20"/>
        <v/>
      </c>
      <c r="O685" t="str">
        <f t="shared" si="21"/>
        <v/>
      </c>
      <c r="P685" t="str">
        <f>IF(A685="","",MAX(0,N685-System_Config!$B$9))</f>
        <v/>
      </c>
    </row>
    <row r="686" spans="12:16" ht="15" customHeight="1" x14ac:dyDescent="0.25">
      <c r="L686" t="str">
        <f>IF(A686="","",SUMIF(DB_Savings!$C:$C,A686,DB_Savings!$F:$F))</f>
        <v/>
      </c>
      <c r="M686" t="str">
        <f>IF(A686="","",SUMIF(DB_Withdrawals!$C:$C,A686,DB_Withdrawals!$G:$G))</f>
        <v/>
      </c>
      <c r="N686" t="str">
        <f t="shared" si="20"/>
        <v/>
      </c>
      <c r="O686" t="str">
        <f t="shared" si="21"/>
        <v/>
      </c>
      <c r="P686" t="str">
        <f>IF(A686="","",MAX(0,N686-System_Config!$B$9))</f>
        <v/>
      </c>
    </row>
    <row r="687" spans="12:16" ht="15" customHeight="1" x14ac:dyDescent="0.25">
      <c r="L687" t="str">
        <f>IF(A687="","",SUMIF(DB_Savings!$C:$C,A687,DB_Savings!$F:$F))</f>
        <v/>
      </c>
      <c r="M687" t="str">
        <f>IF(A687="","",SUMIF(DB_Withdrawals!$C:$C,A687,DB_Withdrawals!$G:$G))</f>
        <v/>
      </c>
      <c r="N687" t="str">
        <f t="shared" si="20"/>
        <v/>
      </c>
      <c r="O687" t="str">
        <f t="shared" si="21"/>
        <v/>
      </c>
      <c r="P687" t="str">
        <f>IF(A687="","",MAX(0,N687-System_Config!$B$9))</f>
        <v/>
      </c>
    </row>
    <row r="688" spans="12:16" ht="15" customHeight="1" x14ac:dyDescent="0.25">
      <c r="L688" t="str">
        <f>IF(A688="","",SUMIF(DB_Savings!$C:$C,A688,DB_Savings!$F:$F))</f>
        <v/>
      </c>
      <c r="M688" t="str">
        <f>IF(A688="","",SUMIF(DB_Withdrawals!$C:$C,A688,DB_Withdrawals!$G:$G))</f>
        <v/>
      </c>
      <c r="N688" t="str">
        <f t="shared" si="20"/>
        <v/>
      </c>
      <c r="O688" t="str">
        <f t="shared" si="21"/>
        <v/>
      </c>
      <c r="P688" t="str">
        <f>IF(A688="","",MAX(0,N688-System_Config!$B$9))</f>
        <v/>
      </c>
    </row>
    <row r="689" spans="12:16" ht="15" customHeight="1" x14ac:dyDescent="0.25">
      <c r="L689" t="str">
        <f>IF(A689="","",SUMIF(DB_Savings!$C:$C,A689,DB_Savings!$F:$F))</f>
        <v/>
      </c>
      <c r="M689" t="str">
        <f>IF(A689="","",SUMIF(DB_Withdrawals!$C:$C,A689,DB_Withdrawals!$G:$G))</f>
        <v/>
      </c>
      <c r="N689" t="str">
        <f t="shared" si="20"/>
        <v/>
      </c>
      <c r="O689" t="str">
        <f t="shared" si="21"/>
        <v/>
      </c>
      <c r="P689" t="str">
        <f>IF(A689="","",MAX(0,N689-System_Config!$B$9))</f>
        <v/>
      </c>
    </row>
    <row r="690" spans="12:16" ht="15" customHeight="1" x14ac:dyDescent="0.25">
      <c r="L690" t="str">
        <f>IF(A690="","",SUMIF(DB_Savings!$C:$C,A690,DB_Savings!$F:$F))</f>
        <v/>
      </c>
      <c r="M690" t="str">
        <f>IF(A690="","",SUMIF(DB_Withdrawals!$C:$C,A690,DB_Withdrawals!$G:$G))</f>
        <v/>
      </c>
      <c r="N690" t="str">
        <f t="shared" si="20"/>
        <v/>
      </c>
      <c r="O690" t="str">
        <f t="shared" si="21"/>
        <v/>
      </c>
      <c r="P690" t="str">
        <f>IF(A690="","",MAX(0,N690-System_Config!$B$9))</f>
        <v/>
      </c>
    </row>
    <row r="691" spans="12:16" ht="15" customHeight="1" x14ac:dyDescent="0.25">
      <c r="L691" t="str">
        <f>IF(A691="","",SUMIF(DB_Savings!$C:$C,A691,DB_Savings!$F:$F))</f>
        <v/>
      </c>
      <c r="M691" t="str">
        <f>IF(A691="","",SUMIF(DB_Withdrawals!$C:$C,A691,DB_Withdrawals!$G:$G))</f>
        <v/>
      </c>
      <c r="N691" t="str">
        <f t="shared" si="20"/>
        <v/>
      </c>
      <c r="O691" t="str">
        <f t="shared" si="21"/>
        <v/>
      </c>
      <c r="P691" t="str">
        <f>IF(A691="","",MAX(0,N691-System_Config!$B$9))</f>
        <v/>
      </c>
    </row>
    <row r="692" spans="12:16" ht="15" customHeight="1" x14ac:dyDescent="0.25">
      <c r="L692" t="str">
        <f>IF(A692="","",SUMIF(DB_Savings!$C:$C,A692,DB_Savings!$F:$F))</f>
        <v/>
      </c>
      <c r="M692" t="str">
        <f>IF(A692="","",SUMIF(DB_Withdrawals!$C:$C,A692,DB_Withdrawals!$G:$G))</f>
        <v/>
      </c>
      <c r="N692" t="str">
        <f t="shared" si="20"/>
        <v/>
      </c>
      <c r="O692" t="str">
        <f t="shared" si="21"/>
        <v/>
      </c>
      <c r="P692" t="str">
        <f>IF(A692="","",MAX(0,N692-System_Config!$B$9))</f>
        <v/>
      </c>
    </row>
    <row r="693" spans="12:16" ht="15" customHeight="1" x14ac:dyDescent="0.25">
      <c r="L693" t="str">
        <f>IF(A693="","",SUMIF(DB_Savings!$C:$C,A693,DB_Savings!$F:$F))</f>
        <v/>
      </c>
      <c r="M693" t="str">
        <f>IF(A693="","",SUMIF(DB_Withdrawals!$C:$C,A693,DB_Withdrawals!$G:$G))</f>
        <v/>
      </c>
      <c r="N693" t="str">
        <f t="shared" si="20"/>
        <v/>
      </c>
      <c r="O693" t="str">
        <f t="shared" si="21"/>
        <v/>
      </c>
      <c r="P693" t="str">
        <f>IF(A693="","",MAX(0,N693-System_Config!$B$9))</f>
        <v/>
      </c>
    </row>
    <row r="694" spans="12:16" ht="15" customHeight="1" x14ac:dyDescent="0.25">
      <c r="L694" t="str">
        <f>IF(A694="","",SUMIF(DB_Savings!$C:$C,A694,DB_Savings!$F:$F))</f>
        <v/>
      </c>
      <c r="M694" t="str">
        <f>IF(A694="","",SUMIF(DB_Withdrawals!$C:$C,A694,DB_Withdrawals!$G:$G))</f>
        <v/>
      </c>
      <c r="N694" t="str">
        <f t="shared" si="20"/>
        <v/>
      </c>
      <c r="O694" t="str">
        <f t="shared" si="21"/>
        <v/>
      </c>
      <c r="P694" t="str">
        <f>IF(A694="","",MAX(0,N694-System_Config!$B$9))</f>
        <v/>
      </c>
    </row>
    <row r="695" spans="12:16" ht="15" customHeight="1" x14ac:dyDescent="0.25">
      <c r="L695" t="str">
        <f>IF(A695="","",SUMIF(DB_Savings!$C:$C,A695,DB_Savings!$F:$F))</f>
        <v/>
      </c>
      <c r="M695" t="str">
        <f>IF(A695="","",SUMIF(DB_Withdrawals!$C:$C,A695,DB_Withdrawals!$G:$G))</f>
        <v/>
      </c>
      <c r="N695" t="str">
        <f t="shared" si="20"/>
        <v/>
      </c>
      <c r="O695" t="str">
        <f t="shared" si="21"/>
        <v/>
      </c>
      <c r="P695" t="str">
        <f>IF(A695="","",MAX(0,N695-System_Config!$B$9))</f>
        <v/>
      </c>
    </row>
    <row r="696" spans="12:16" ht="15" customHeight="1" x14ac:dyDescent="0.25">
      <c r="L696" t="str">
        <f>IF(A696="","",SUMIF(DB_Savings!$C:$C,A696,DB_Savings!$F:$F))</f>
        <v/>
      </c>
      <c r="M696" t="str">
        <f>IF(A696="","",SUMIF(DB_Withdrawals!$C:$C,A696,DB_Withdrawals!$G:$G))</f>
        <v/>
      </c>
      <c r="N696" t="str">
        <f t="shared" si="20"/>
        <v/>
      </c>
      <c r="O696" t="str">
        <f t="shared" si="21"/>
        <v/>
      </c>
      <c r="P696" t="str">
        <f>IF(A696="","",MAX(0,N696-System_Config!$B$9))</f>
        <v/>
      </c>
    </row>
    <row r="697" spans="12:16" ht="15" customHeight="1" x14ac:dyDescent="0.25">
      <c r="L697" t="str">
        <f>IF(A697="","",SUMIF(DB_Savings!$C:$C,A697,DB_Savings!$F:$F))</f>
        <v/>
      </c>
      <c r="M697" t="str">
        <f>IF(A697="","",SUMIF(DB_Withdrawals!$C:$C,A697,DB_Withdrawals!$G:$G))</f>
        <v/>
      </c>
      <c r="N697" t="str">
        <f t="shared" si="20"/>
        <v/>
      </c>
      <c r="O697" t="str">
        <f t="shared" si="21"/>
        <v/>
      </c>
      <c r="P697" t="str">
        <f>IF(A697="","",MAX(0,N697-System_Config!$B$9))</f>
        <v/>
      </c>
    </row>
    <row r="698" spans="12:16" ht="15" customHeight="1" x14ac:dyDescent="0.25">
      <c r="L698" t="str">
        <f>IF(A698="","",SUMIF(DB_Savings!$C:$C,A698,DB_Savings!$F:$F))</f>
        <v/>
      </c>
      <c r="M698" t="str">
        <f>IF(A698="","",SUMIF(DB_Withdrawals!$C:$C,A698,DB_Withdrawals!$G:$G))</f>
        <v/>
      </c>
      <c r="N698" t="str">
        <f t="shared" si="20"/>
        <v/>
      </c>
      <c r="O698" t="str">
        <f t="shared" si="21"/>
        <v/>
      </c>
      <c r="P698" t="str">
        <f>IF(A698="","",MAX(0,N698-System_Config!$B$9))</f>
        <v/>
      </c>
    </row>
    <row r="699" spans="12:16" ht="15" customHeight="1" x14ac:dyDescent="0.25">
      <c r="L699" t="str">
        <f>IF(A699="","",SUMIF(DB_Savings!$C:$C,A699,DB_Savings!$F:$F))</f>
        <v/>
      </c>
      <c r="M699" t="str">
        <f>IF(A699="","",SUMIF(DB_Withdrawals!$C:$C,A699,DB_Withdrawals!$G:$G))</f>
        <v/>
      </c>
      <c r="N699" t="str">
        <f t="shared" si="20"/>
        <v/>
      </c>
      <c r="O699" t="str">
        <f t="shared" si="21"/>
        <v/>
      </c>
      <c r="P699" t="str">
        <f>IF(A699="","",MAX(0,N699-System_Config!$B$9))</f>
        <v/>
      </c>
    </row>
    <row r="700" spans="12:16" ht="15" customHeight="1" x14ac:dyDescent="0.25">
      <c r="L700" t="str">
        <f>IF(A700="","",SUMIF(DB_Savings!$C:$C,A700,DB_Savings!$F:$F))</f>
        <v/>
      </c>
      <c r="M700" t="str">
        <f>IF(A700="","",SUMIF(DB_Withdrawals!$C:$C,A700,DB_Withdrawals!$G:$G))</f>
        <v/>
      </c>
      <c r="N700" t="str">
        <f t="shared" si="20"/>
        <v/>
      </c>
      <c r="O700" t="str">
        <f t="shared" si="21"/>
        <v/>
      </c>
      <c r="P700" t="str">
        <f>IF(A700="","",MAX(0,N700-System_Config!$B$9))</f>
        <v/>
      </c>
    </row>
    <row r="701" spans="12:16" ht="15" customHeight="1" x14ac:dyDescent="0.25">
      <c r="L701" t="str">
        <f>IF(A701="","",SUMIF(DB_Savings!$C:$C,A701,DB_Savings!$F:$F))</f>
        <v/>
      </c>
      <c r="M701" t="str">
        <f>IF(A701="","",SUMIF(DB_Withdrawals!$C:$C,A701,DB_Withdrawals!$G:$G))</f>
        <v/>
      </c>
      <c r="N701" t="str">
        <f t="shared" si="20"/>
        <v/>
      </c>
      <c r="O701" t="str">
        <f t="shared" si="21"/>
        <v/>
      </c>
      <c r="P701" t="str">
        <f>IF(A701="","",MAX(0,N701-System_Config!$B$9))</f>
        <v/>
      </c>
    </row>
    <row r="702" spans="12:16" ht="15" customHeight="1" x14ac:dyDescent="0.25">
      <c r="L702" t="str">
        <f>IF(A702="","",SUMIF(DB_Savings!$C:$C,A702,DB_Savings!$F:$F))</f>
        <v/>
      </c>
      <c r="M702" t="str">
        <f>IF(A702="","",SUMIF(DB_Withdrawals!$C:$C,A702,DB_Withdrawals!$G:$G))</f>
        <v/>
      </c>
      <c r="N702" t="str">
        <f t="shared" si="20"/>
        <v/>
      </c>
      <c r="O702" t="str">
        <f t="shared" si="21"/>
        <v/>
      </c>
      <c r="P702" t="str">
        <f>IF(A702="","",MAX(0,N702-System_Config!$B$9))</f>
        <v/>
      </c>
    </row>
    <row r="703" spans="12:16" ht="15" customHeight="1" x14ac:dyDescent="0.25">
      <c r="L703" t="str">
        <f>IF(A703="","",SUMIF(DB_Savings!$C:$C,A703,DB_Savings!$F:$F))</f>
        <v/>
      </c>
      <c r="M703" t="str">
        <f>IF(A703="","",SUMIF(DB_Withdrawals!$C:$C,A703,DB_Withdrawals!$G:$G))</f>
        <v/>
      </c>
      <c r="N703" t="str">
        <f t="shared" si="20"/>
        <v/>
      </c>
      <c r="O703" t="str">
        <f t="shared" si="21"/>
        <v/>
      </c>
      <c r="P703" t="str">
        <f>IF(A703="","",MAX(0,N703-System_Config!$B$9))</f>
        <v/>
      </c>
    </row>
    <row r="704" spans="12:16" ht="15" customHeight="1" x14ac:dyDescent="0.25">
      <c r="L704" t="str">
        <f>IF(A704="","",SUMIF(DB_Savings!$C:$C,A704,DB_Savings!$F:$F))</f>
        <v/>
      </c>
      <c r="M704" t="str">
        <f>IF(A704="","",SUMIF(DB_Withdrawals!$C:$C,A704,DB_Withdrawals!$G:$G))</f>
        <v/>
      </c>
      <c r="N704" t="str">
        <f t="shared" si="20"/>
        <v/>
      </c>
      <c r="O704" t="str">
        <f t="shared" si="21"/>
        <v/>
      </c>
      <c r="P704" t="str">
        <f>IF(A704="","",MAX(0,N704-System_Config!$B$9))</f>
        <v/>
      </c>
    </row>
    <row r="705" spans="12:16" ht="15" customHeight="1" x14ac:dyDescent="0.25">
      <c r="L705" t="str">
        <f>IF(A705="","",SUMIF(DB_Savings!$C:$C,A705,DB_Savings!$F:$F))</f>
        <v/>
      </c>
      <c r="M705" t="str">
        <f>IF(A705="","",SUMIF(DB_Withdrawals!$C:$C,A705,DB_Withdrawals!$G:$G))</f>
        <v/>
      </c>
      <c r="N705" t="str">
        <f t="shared" si="20"/>
        <v/>
      </c>
      <c r="O705" t="str">
        <f t="shared" si="21"/>
        <v/>
      </c>
      <c r="P705" t="str">
        <f>IF(A705="","",MAX(0,N705-System_Config!$B$9))</f>
        <v/>
      </c>
    </row>
    <row r="706" spans="12:16" ht="15" customHeight="1" x14ac:dyDescent="0.25">
      <c r="L706" t="str">
        <f>IF(A706="","",SUMIF(DB_Savings!$C:$C,A706,DB_Savings!$F:$F))</f>
        <v/>
      </c>
      <c r="M706" t="str">
        <f>IF(A706="","",SUMIF(DB_Withdrawals!$C:$C,A706,DB_Withdrawals!$G:$G))</f>
        <v/>
      </c>
      <c r="N706" t="str">
        <f t="shared" si="20"/>
        <v/>
      </c>
      <c r="O706" t="str">
        <f t="shared" si="21"/>
        <v/>
      </c>
      <c r="P706" t="str">
        <f>IF(A706="","",MAX(0,N706-System_Config!$B$9))</f>
        <v/>
      </c>
    </row>
    <row r="707" spans="12:16" ht="15" customHeight="1" x14ac:dyDescent="0.25">
      <c r="L707" t="str">
        <f>IF(A707="","",SUMIF(DB_Savings!$C:$C,A707,DB_Savings!$F:$F))</f>
        <v/>
      </c>
      <c r="M707" t="str">
        <f>IF(A707="","",SUMIF(DB_Withdrawals!$C:$C,A707,DB_Withdrawals!$G:$G))</f>
        <v/>
      </c>
      <c r="N707" t="str">
        <f t="shared" si="20"/>
        <v/>
      </c>
      <c r="O707" t="str">
        <f t="shared" si="21"/>
        <v/>
      </c>
      <c r="P707" t="str">
        <f>IF(A707="","",MAX(0,N707-System_Config!$B$9))</f>
        <v/>
      </c>
    </row>
    <row r="708" spans="12:16" ht="15" customHeight="1" x14ac:dyDescent="0.25">
      <c r="L708" t="str">
        <f>IF(A708="","",SUMIF(DB_Savings!$C:$C,A708,DB_Savings!$F:$F))</f>
        <v/>
      </c>
      <c r="M708" t="str">
        <f>IF(A708="","",SUMIF(DB_Withdrawals!$C:$C,A708,DB_Withdrawals!$G:$G))</f>
        <v/>
      </c>
      <c r="N708" t="str">
        <f t="shared" ref="N708:N771" si="22">IF(A708="","",I708+L708-M708)</f>
        <v/>
      </c>
      <c r="O708" t="str">
        <f t="shared" ref="O708:O771" si="23">IF(A708="","",TRUE())</f>
        <v/>
      </c>
      <c r="P708" t="str">
        <f>IF(A708="","",MAX(0,N708-System_Config!$B$9))</f>
        <v/>
      </c>
    </row>
    <row r="709" spans="12:16" ht="15" customHeight="1" x14ac:dyDescent="0.25">
      <c r="L709" t="str">
        <f>IF(A709="","",SUMIF(DB_Savings!$C:$C,A709,DB_Savings!$F:$F))</f>
        <v/>
      </c>
      <c r="M709" t="str">
        <f>IF(A709="","",SUMIF(DB_Withdrawals!$C:$C,A709,DB_Withdrawals!$G:$G))</f>
        <v/>
      </c>
      <c r="N709" t="str">
        <f t="shared" si="22"/>
        <v/>
      </c>
      <c r="O709" t="str">
        <f t="shared" si="23"/>
        <v/>
      </c>
      <c r="P709" t="str">
        <f>IF(A709="","",MAX(0,N709-System_Config!$B$9))</f>
        <v/>
      </c>
    </row>
    <row r="710" spans="12:16" ht="15" customHeight="1" x14ac:dyDescent="0.25">
      <c r="L710" t="str">
        <f>IF(A710="","",SUMIF(DB_Savings!$C:$C,A710,DB_Savings!$F:$F))</f>
        <v/>
      </c>
      <c r="M710" t="str">
        <f>IF(A710="","",SUMIF(DB_Withdrawals!$C:$C,A710,DB_Withdrawals!$G:$G))</f>
        <v/>
      </c>
      <c r="N710" t="str">
        <f t="shared" si="22"/>
        <v/>
      </c>
      <c r="O710" t="str">
        <f t="shared" si="23"/>
        <v/>
      </c>
      <c r="P710" t="str">
        <f>IF(A710="","",MAX(0,N710-System_Config!$B$9))</f>
        <v/>
      </c>
    </row>
    <row r="711" spans="12:16" ht="15" customHeight="1" x14ac:dyDescent="0.25">
      <c r="L711" t="str">
        <f>IF(A711="","",SUMIF(DB_Savings!$C:$C,A711,DB_Savings!$F:$F))</f>
        <v/>
      </c>
      <c r="M711" t="str">
        <f>IF(A711="","",SUMIF(DB_Withdrawals!$C:$C,A711,DB_Withdrawals!$G:$G))</f>
        <v/>
      </c>
      <c r="N711" t="str">
        <f t="shared" si="22"/>
        <v/>
      </c>
      <c r="O711" t="str">
        <f t="shared" si="23"/>
        <v/>
      </c>
      <c r="P711" t="str">
        <f>IF(A711="","",MAX(0,N711-System_Config!$B$9))</f>
        <v/>
      </c>
    </row>
    <row r="712" spans="12:16" ht="15" customHeight="1" x14ac:dyDescent="0.25">
      <c r="L712" t="str">
        <f>IF(A712="","",SUMIF(DB_Savings!$C:$C,A712,DB_Savings!$F:$F))</f>
        <v/>
      </c>
      <c r="M712" t="str">
        <f>IF(A712="","",SUMIF(DB_Withdrawals!$C:$C,A712,DB_Withdrawals!$G:$G))</f>
        <v/>
      </c>
      <c r="N712" t="str">
        <f t="shared" si="22"/>
        <v/>
      </c>
      <c r="O712" t="str">
        <f t="shared" si="23"/>
        <v/>
      </c>
      <c r="P712" t="str">
        <f>IF(A712="","",MAX(0,N712-System_Config!$B$9))</f>
        <v/>
      </c>
    </row>
    <row r="713" spans="12:16" ht="15" customHeight="1" x14ac:dyDescent="0.25">
      <c r="L713" t="str">
        <f>IF(A713="","",SUMIF(DB_Savings!$C:$C,A713,DB_Savings!$F:$F))</f>
        <v/>
      </c>
      <c r="M713" t="str">
        <f>IF(A713="","",SUMIF(DB_Withdrawals!$C:$C,A713,DB_Withdrawals!$G:$G))</f>
        <v/>
      </c>
      <c r="N713" t="str">
        <f t="shared" si="22"/>
        <v/>
      </c>
      <c r="O713" t="str">
        <f t="shared" si="23"/>
        <v/>
      </c>
      <c r="P713" t="str">
        <f>IF(A713="","",MAX(0,N713-System_Config!$B$9))</f>
        <v/>
      </c>
    </row>
    <row r="714" spans="12:16" ht="15" customHeight="1" x14ac:dyDescent="0.25">
      <c r="L714" t="str">
        <f>IF(A714="","",SUMIF(DB_Savings!$C:$C,A714,DB_Savings!$F:$F))</f>
        <v/>
      </c>
      <c r="M714" t="str">
        <f>IF(A714="","",SUMIF(DB_Withdrawals!$C:$C,A714,DB_Withdrawals!$G:$G))</f>
        <v/>
      </c>
      <c r="N714" t="str">
        <f t="shared" si="22"/>
        <v/>
      </c>
      <c r="O714" t="str">
        <f t="shared" si="23"/>
        <v/>
      </c>
      <c r="P714" t="str">
        <f>IF(A714="","",MAX(0,N714-System_Config!$B$9))</f>
        <v/>
      </c>
    </row>
    <row r="715" spans="12:16" ht="15" customHeight="1" x14ac:dyDescent="0.25">
      <c r="L715" t="str">
        <f>IF(A715="","",SUMIF(DB_Savings!$C:$C,A715,DB_Savings!$F:$F))</f>
        <v/>
      </c>
      <c r="M715" t="str">
        <f>IF(A715="","",SUMIF(DB_Withdrawals!$C:$C,A715,DB_Withdrawals!$G:$G))</f>
        <v/>
      </c>
      <c r="N715" t="str">
        <f t="shared" si="22"/>
        <v/>
      </c>
      <c r="O715" t="str">
        <f t="shared" si="23"/>
        <v/>
      </c>
      <c r="P715" t="str">
        <f>IF(A715="","",MAX(0,N715-System_Config!$B$9))</f>
        <v/>
      </c>
    </row>
    <row r="716" spans="12:16" ht="15" customHeight="1" x14ac:dyDescent="0.25">
      <c r="L716" t="str">
        <f>IF(A716="","",SUMIF(DB_Savings!$C:$C,A716,DB_Savings!$F:$F))</f>
        <v/>
      </c>
      <c r="M716" t="str">
        <f>IF(A716="","",SUMIF(DB_Withdrawals!$C:$C,A716,DB_Withdrawals!$G:$G))</f>
        <v/>
      </c>
      <c r="N716" t="str">
        <f t="shared" si="22"/>
        <v/>
      </c>
      <c r="O716" t="str">
        <f t="shared" si="23"/>
        <v/>
      </c>
      <c r="P716" t="str">
        <f>IF(A716="","",MAX(0,N716-System_Config!$B$9))</f>
        <v/>
      </c>
    </row>
    <row r="717" spans="12:16" ht="15" customHeight="1" x14ac:dyDescent="0.25">
      <c r="L717" t="str">
        <f>IF(A717="","",SUMIF(DB_Savings!$C:$C,A717,DB_Savings!$F:$F))</f>
        <v/>
      </c>
      <c r="M717" t="str">
        <f>IF(A717="","",SUMIF(DB_Withdrawals!$C:$C,A717,DB_Withdrawals!$G:$G))</f>
        <v/>
      </c>
      <c r="N717" t="str">
        <f t="shared" si="22"/>
        <v/>
      </c>
      <c r="O717" t="str">
        <f t="shared" si="23"/>
        <v/>
      </c>
      <c r="P717" t="str">
        <f>IF(A717="","",MAX(0,N717-System_Config!$B$9))</f>
        <v/>
      </c>
    </row>
    <row r="718" spans="12:16" ht="15" customHeight="1" x14ac:dyDescent="0.25">
      <c r="L718" t="str">
        <f>IF(A718="","",SUMIF(DB_Savings!$C:$C,A718,DB_Savings!$F:$F))</f>
        <v/>
      </c>
      <c r="M718" t="str">
        <f>IF(A718="","",SUMIF(DB_Withdrawals!$C:$C,A718,DB_Withdrawals!$G:$G))</f>
        <v/>
      </c>
      <c r="N718" t="str">
        <f t="shared" si="22"/>
        <v/>
      </c>
      <c r="O718" t="str">
        <f t="shared" si="23"/>
        <v/>
      </c>
      <c r="P718" t="str">
        <f>IF(A718="","",MAX(0,N718-System_Config!$B$9))</f>
        <v/>
      </c>
    </row>
    <row r="719" spans="12:16" ht="15" customHeight="1" x14ac:dyDescent="0.25">
      <c r="L719" t="str">
        <f>IF(A719="","",SUMIF(DB_Savings!$C:$C,A719,DB_Savings!$F:$F))</f>
        <v/>
      </c>
      <c r="M719" t="str">
        <f>IF(A719="","",SUMIF(DB_Withdrawals!$C:$C,A719,DB_Withdrawals!$G:$G))</f>
        <v/>
      </c>
      <c r="N719" t="str">
        <f t="shared" si="22"/>
        <v/>
      </c>
      <c r="O719" t="str">
        <f t="shared" si="23"/>
        <v/>
      </c>
      <c r="P719" t="str">
        <f>IF(A719="","",MAX(0,N719-System_Config!$B$9))</f>
        <v/>
      </c>
    </row>
    <row r="720" spans="12:16" ht="15" customHeight="1" x14ac:dyDescent="0.25">
      <c r="L720" t="str">
        <f>IF(A720="","",SUMIF(DB_Savings!$C:$C,A720,DB_Savings!$F:$F))</f>
        <v/>
      </c>
      <c r="M720" t="str">
        <f>IF(A720="","",SUMIF(DB_Withdrawals!$C:$C,A720,DB_Withdrawals!$G:$G))</f>
        <v/>
      </c>
      <c r="N720" t="str">
        <f t="shared" si="22"/>
        <v/>
      </c>
      <c r="O720" t="str">
        <f t="shared" si="23"/>
        <v/>
      </c>
      <c r="P720" t="str">
        <f>IF(A720="","",MAX(0,N720-System_Config!$B$9))</f>
        <v/>
      </c>
    </row>
    <row r="721" spans="12:16" ht="15" customHeight="1" x14ac:dyDescent="0.25">
      <c r="L721" t="str">
        <f>IF(A721="","",SUMIF(DB_Savings!$C:$C,A721,DB_Savings!$F:$F))</f>
        <v/>
      </c>
      <c r="M721" t="str">
        <f>IF(A721="","",SUMIF(DB_Withdrawals!$C:$C,A721,DB_Withdrawals!$G:$G))</f>
        <v/>
      </c>
      <c r="N721" t="str">
        <f t="shared" si="22"/>
        <v/>
      </c>
      <c r="O721" t="str">
        <f t="shared" si="23"/>
        <v/>
      </c>
      <c r="P721" t="str">
        <f>IF(A721="","",MAX(0,N721-System_Config!$B$9))</f>
        <v/>
      </c>
    </row>
    <row r="722" spans="12:16" ht="15" customHeight="1" x14ac:dyDescent="0.25">
      <c r="L722" t="str">
        <f>IF(A722="","",SUMIF(DB_Savings!$C:$C,A722,DB_Savings!$F:$F))</f>
        <v/>
      </c>
      <c r="M722" t="str">
        <f>IF(A722="","",SUMIF(DB_Withdrawals!$C:$C,A722,DB_Withdrawals!$G:$G))</f>
        <v/>
      </c>
      <c r="N722" t="str">
        <f t="shared" si="22"/>
        <v/>
      </c>
      <c r="O722" t="str">
        <f t="shared" si="23"/>
        <v/>
      </c>
      <c r="P722" t="str">
        <f>IF(A722="","",MAX(0,N722-System_Config!$B$9))</f>
        <v/>
      </c>
    </row>
    <row r="723" spans="12:16" ht="15" customHeight="1" x14ac:dyDescent="0.25">
      <c r="L723" t="str">
        <f>IF(A723="","",SUMIF(DB_Savings!$C:$C,A723,DB_Savings!$F:$F))</f>
        <v/>
      </c>
      <c r="M723" t="str">
        <f>IF(A723="","",SUMIF(DB_Withdrawals!$C:$C,A723,DB_Withdrawals!$G:$G))</f>
        <v/>
      </c>
      <c r="N723" t="str">
        <f t="shared" si="22"/>
        <v/>
      </c>
      <c r="O723" t="str">
        <f t="shared" si="23"/>
        <v/>
      </c>
      <c r="P723" t="str">
        <f>IF(A723="","",MAX(0,N723-System_Config!$B$9))</f>
        <v/>
      </c>
    </row>
    <row r="724" spans="12:16" ht="15" customHeight="1" x14ac:dyDescent="0.25">
      <c r="L724" t="str">
        <f>IF(A724="","",SUMIF(DB_Savings!$C:$C,A724,DB_Savings!$F:$F))</f>
        <v/>
      </c>
      <c r="M724" t="str">
        <f>IF(A724="","",SUMIF(DB_Withdrawals!$C:$C,A724,DB_Withdrawals!$G:$G))</f>
        <v/>
      </c>
      <c r="N724" t="str">
        <f t="shared" si="22"/>
        <v/>
      </c>
      <c r="O724" t="str">
        <f t="shared" si="23"/>
        <v/>
      </c>
      <c r="P724" t="str">
        <f>IF(A724="","",MAX(0,N724-System_Config!$B$9))</f>
        <v/>
      </c>
    </row>
    <row r="725" spans="12:16" ht="15" customHeight="1" x14ac:dyDescent="0.25">
      <c r="L725" t="str">
        <f>IF(A725="","",SUMIF(DB_Savings!$C:$C,A725,DB_Savings!$F:$F))</f>
        <v/>
      </c>
      <c r="M725" t="str">
        <f>IF(A725="","",SUMIF(DB_Withdrawals!$C:$C,A725,DB_Withdrawals!$G:$G))</f>
        <v/>
      </c>
      <c r="N725" t="str">
        <f t="shared" si="22"/>
        <v/>
      </c>
      <c r="O725" t="str">
        <f t="shared" si="23"/>
        <v/>
      </c>
      <c r="P725" t="str">
        <f>IF(A725="","",MAX(0,N725-System_Config!$B$9))</f>
        <v/>
      </c>
    </row>
    <row r="726" spans="12:16" ht="15" customHeight="1" x14ac:dyDescent="0.25">
      <c r="L726" t="str">
        <f>IF(A726="","",SUMIF(DB_Savings!$C:$C,A726,DB_Savings!$F:$F))</f>
        <v/>
      </c>
      <c r="M726" t="str">
        <f>IF(A726="","",SUMIF(DB_Withdrawals!$C:$C,A726,DB_Withdrawals!$G:$G))</f>
        <v/>
      </c>
      <c r="N726" t="str">
        <f t="shared" si="22"/>
        <v/>
      </c>
      <c r="O726" t="str">
        <f t="shared" si="23"/>
        <v/>
      </c>
      <c r="P726" t="str">
        <f>IF(A726="","",MAX(0,N726-System_Config!$B$9))</f>
        <v/>
      </c>
    </row>
    <row r="727" spans="12:16" ht="15" customHeight="1" x14ac:dyDescent="0.25">
      <c r="L727" t="str">
        <f>IF(A727="","",SUMIF(DB_Savings!$C:$C,A727,DB_Savings!$F:$F))</f>
        <v/>
      </c>
      <c r="M727" t="str">
        <f>IF(A727="","",SUMIF(DB_Withdrawals!$C:$C,A727,DB_Withdrawals!$G:$G))</f>
        <v/>
      </c>
      <c r="N727" t="str">
        <f t="shared" si="22"/>
        <v/>
      </c>
      <c r="O727" t="str">
        <f t="shared" si="23"/>
        <v/>
      </c>
      <c r="P727" t="str">
        <f>IF(A727="","",MAX(0,N727-System_Config!$B$9))</f>
        <v/>
      </c>
    </row>
    <row r="728" spans="12:16" ht="15" customHeight="1" x14ac:dyDescent="0.25">
      <c r="L728" t="str">
        <f>IF(A728="","",SUMIF(DB_Savings!$C:$C,A728,DB_Savings!$F:$F))</f>
        <v/>
      </c>
      <c r="M728" t="str">
        <f>IF(A728="","",SUMIF(DB_Withdrawals!$C:$C,A728,DB_Withdrawals!$G:$G))</f>
        <v/>
      </c>
      <c r="N728" t="str">
        <f t="shared" si="22"/>
        <v/>
      </c>
      <c r="O728" t="str">
        <f t="shared" si="23"/>
        <v/>
      </c>
      <c r="P728" t="str">
        <f>IF(A728="","",MAX(0,N728-System_Config!$B$9))</f>
        <v/>
      </c>
    </row>
    <row r="729" spans="12:16" ht="15" customHeight="1" x14ac:dyDescent="0.25">
      <c r="L729" t="str">
        <f>IF(A729="","",SUMIF(DB_Savings!$C:$C,A729,DB_Savings!$F:$F))</f>
        <v/>
      </c>
      <c r="M729" t="str">
        <f>IF(A729="","",SUMIF(DB_Withdrawals!$C:$C,A729,DB_Withdrawals!$G:$G))</f>
        <v/>
      </c>
      <c r="N729" t="str">
        <f t="shared" si="22"/>
        <v/>
      </c>
      <c r="O729" t="str">
        <f t="shared" si="23"/>
        <v/>
      </c>
      <c r="P729" t="str">
        <f>IF(A729="","",MAX(0,N729-System_Config!$B$9))</f>
        <v/>
      </c>
    </row>
    <row r="730" spans="12:16" ht="15" customHeight="1" x14ac:dyDescent="0.25">
      <c r="L730" t="str">
        <f>IF(A730="","",SUMIF(DB_Savings!$C:$C,A730,DB_Savings!$F:$F))</f>
        <v/>
      </c>
      <c r="M730" t="str">
        <f>IF(A730="","",SUMIF(DB_Withdrawals!$C:$C,A730,DB_Withdrawals!$G:$G))</f>
        <v/>
      </c>
      <c r="N730" t="str">
        <f t="shared" si="22"/>
        <v/>
      </c>
      <c r="O730" t="str">
        <f t="shared" si="23"/>
        <v/>
      </c>
      <c r="P730" t="str">
        <f>IF(A730="","",MAX(0,N730-System_Config!$B$9))</f>
        <v/>
      </c>
    </row>
    <row r="731" spans="12:16" ht="15" customHeight="1" x14ac:dyDescent="0.25">
      <c r="L731" t="str">
        <f>IF(A731="","",SUMIF(DB_Savings!$C:$C,A731,DB_Savings!$F:$F))</f>
        <v/>
      </c>
      <c r="M731" t="str">
        <f>IF(A731="","",SUMIF(DB_Withdrawals!$C:$C,A731,DB_Withdrawals!$G:$G))</f>
        <v/>
      </c>
      <c r="N731" t="str">
        <f t="shared" si="22"/>
        <v/>
      </c>
      <c r="O731" t="str">
        <f t="shared" si="23"/>
        <v/>
      </c>
      <c r="P731" t="str">
        <f>IF(A731="","",MAX(0,N731-System_Config!$B$9))</f>
        <v/>
      </c>
    </row>
    <row r="732" spans="12:16" ht="15" customHeight="1" x14ac:dyDescent="0.25">
      <c r="L732" t="str">
        <f>IF(A732="","",SUMIF(DB_Savings!$C:$C,A732,DB_Savings!$F:$F))</f>
        <v/>
      </c>
      <c r="M732" t="str">
        <f>IF(A732="","",SUMIF(DB_Withdrawals!$C:$C,A732,DB_Withdrawals!$G:$G))</f>
        <v/>
      </c>
      <c r="N732" t="str">
        <f t="shared" si="22"/>
        <v/>
      </c>
      <c r="O732" t="str">
        <f t="shared" si="23"/>
        <v/>
      </c>
      <c r="P732" t="str">
        <f>IF(A732="","",MAX(0,N732-System_Config!$B$9))</f>
        <v/>
      </c>
    </row>
    <row r="733" spans="12:16" ht="15" customHeight="1" x14ac:dyDescent="0.25">
      <c r="L733" t="str">
        <f>IF(A733="","",SUMIF(DB_Savings!$C:$C,A733,DB_Savings!$F:$F))</f>
        <v/>
      </c>
      <c r="M733" t="str">
        <f>IF(A733="","",SUMIF(DB_Withdrawals!$C:$C,A733,DB_Withdrawals!$G:$G))</f>
        <v/>
      </c>
      <c r="N733" t="str">
        <f t="shared" si="22"/>
        <v/>
      </c>
      <c r="O733" t="str">
        <f t="shared" si="23"/>
        <v/>
      </c>
      <c r="P733" t="str">
        <f>IF(A733="","",MAX(0,N733-System_Config!$B$9))</f>
        <v/>
      </c>
    </row>
    <row r="734" spans="12:16" ht="15" customHeight="1" x14ac:dyDescent="0.25">
      <c r="L734" t="str">
        <f>IF(A734="","",SUMIF(DB_Savings!$C:$C,A734,DB_Savings!$F:$F))</f>
        <v/>
      </c>
      <c r="M734" t="str">
        <f>IF(A734="","",SUMIF(DB_Withdrawals!$C:$C,A734,DB_Withdrawals!$G:$G))</f>
        <v/>
      </c>
      <c r="N734" t="str">
        <f t="shared" si="22"/>
        <v/>
      </c>
      <c r="O734" t="str">
        <f t="shared" si="23"/>
        <v/>
      </c>
      <c r="P734" t="str">
        <f>IF(A734="","",MAX(0,N734-System_Config!$B$9))</f>
        <v/>
      </c>
    </row>
    <row r="735" spans="12:16" ht="15" customHeight="1" x14ac:dyDescent="0.25">
      <c r="L735" t="str">
        <f>IF(A735="","",SUMIF(DB_Savings!$C:$C,A735,DB_Savings!$F:$F))</f>
        <v/>
      </c>
      <c r="M735" t="str">
        <f>IF(A735="","",SUMIF(DB_Withdrawals!$C:$C,A735,DB_Withdrawals!$G:$G))</f>
        <v/>
      </c>
      <c r="N735" t="str">
        <f t="shared" si="22"/>
        <v/>
      </c>
      <c r="O735" t="str">
        <f t="shared" si="23"/>
        <v/>
      </c>
      <c r="P735" t="str">
        <f>IF(A735="","",MAX(0,N735-System_Config!$B$9))</f>
        <v/>
      </c>
    </row>
    <row r="736" spans="12:16" ht="15" customHeight="1" x14ac:dyDescent="0.25">
      <c r="L736" t="str">
        <f>IF(A736="","",SUMIF(DB_Savings!$C:$C,A736,DB_Savings!$F:$F))</f>
        <v/>
      </c>
      <c r="M736" t="str">
        <f>IF(A736="","",SUMIF(DB_Withdrawals!$C:$C,A736,DB_Withdrawals!$G:$G))</f>
        <v/>
      </c>
      <c r="N736" t="str">
        <f t="shared" si="22"/>
        <v/>
      </c>
      <c r="O736" t="str">
        <f t="shared" si="23"/>
        <v/>
      </c>
      <c r="P736" t="str">
        <f>IF(A736="","",MAX(0,N736-System_Config!$B$9))</f>
        <v/>
      </c>
    </row>
    <row r="737" spans="12:16" ht="15" customHeight="1" x14ac:dyDescent="0.25">
      <c r="L737" t="str">
        <f>IF(A737="","",SUMIF(DB_Savings!$C:$C,A737,DB_Savings!$F:$F))</f>
        <v/>
      </c>
      <c r="M737" t="str">
        <f>IF(A737="","",SUMIF(DB_Withdrawals!$C:$C,A737,DB_Withdrawals!$G:$G))</f>
        <v/>
      </c>
      <c r="N737" t="str">
        <f t="shared" si="22"/>
        <v/>
      </c>
      <c r="O737" t="str">
        <f t="shared" si="23"/>
        <v/>
      </c>
      <c r="P737" t="str">
        <f>IF(A737="","",MAX(0,N737-System_Config!$B$9))</f>
        <v/>
      </c>
    </row>
    <row r="738" spans="12:16" ht="15" customHeight="1" x14ac:dyDescent="0.25">
      <c r="L738" t="str">
        <f>IF(A738="","",SUMIF(DB_Savings!$C:$C,A738,DB_Savings!$F:$F))</f>
        <v/>
      </c>
      <c r="M738" t="str">
        <f>IF(A738="","",SUMIF(DB_Withdrawals!$C:$C,A738,DB_Withdrawals!$G:$G))</f>
        <v/>
      </c>
      <c r="N738" t="str">
        <f t="shared" si="22"/>
        <v/>
      </c>
      <c r="O738" t="str">
        <f t="shared" si="23"/>
        <v/>
      </c>
      <c r="P738" t="str">
        <f>IF(A738="","",MAX(0,N738-System_Config!$B$9))</f>
        <v/>
      </c>
    </row>
    <row r="739" spans="12:16" ht="15" customHeight="1" x14ac:dyDescent="0.25">
      <c r="L739" t="str">
        <f>IF(A739="","",SUMIF(DB_Savings!$C:$C,A739,DB_Savings!$F:$F))</f>
        <v/>
      </c>
      <c r="M739" t="str">
        <f>IF(A739="","",SUMIF(DB_Withdrawals!$C:$C,A739,DB_Withdrawals!$G:$G))</f>
        <v/>
      </c>
      <c r="N739" t="str">
        <f t="shared" si="22"/>
        <v/>
      </c>
      <c r="O739" t="str">
        <f t="shared" si="23"/>
        <v/>
      </c>
      <c r="P739" t="str">
        <f>IF(A739="","",MAX(0,N739-System_Config!$B$9))</f>
        <v/>
      </c>
    </row>
    <row r="740" spans="12:16" ht="15" customHeight="1" x14ac:dyDescent="0.25">
      <c r="L740" t="str">
        <f>IF(A740="","",SUMIF(DB_Savings!$C:$C,A740,DB_Savings!$F:$F))</f>
        <v/>
      </c>
      <c r="M740" t="str">
        <f>IF(A740="","",SUMIF(DB_Withdrawals!$C:$C,A740,DB_Withdrawals!$G:$G))</f>
        <v/>
      </c>
      <c r="N740" t="str">
        <f t="shared" si="22"/>
        <v/>
      </c>
      <c r="O740" t="str">
        <f t="shared" si="23"/>
        <v/>
      </c>
      <c r="P740" t="str">
        <f>IF(A740="","",MAX(0,N740-System_Config!$B$9))</f>
        <v/>
      </c>
    </row>
    <row r="741" spans="12:16" ht="15" customHeight="1" x14ac:dyDescent="0.25">
      <c r="L741" t="str">
        <f>IF(A741="","",SUMIF(DB_Savings!$C:$C,A741,DB_Savings!$F:$F))</f>
        <v/>
      </c>
      <c r="M741" t="str">
        <f>IF(A741="","",SUMIF(DB_Withdrawals!$C:$C,A741,DB_Withdrawals!$G:$G))</f>
        <v/>
      </c>
      <c r="N741" t="str">
        <f t="shared" si="22"/>
        <v/>
      </c>
      <c r="O741" t="str">
        <f t="shared" si="23"/>
        <v/>
      </c>
      <c r="P741" t="str">
        <f>IF(A741="","",MAX(0,N741-System_Config!$B$9))</f>
        <v/>
      </c>
    </row>
    <row r="742" spans="12:16" ht="15" customHeight="1" x14ac:dyDescent="0.25">
      <c r="L742" t="str">
        <f>IF(A742="","",SUMIF(DB_Savings!$C:$C,A742,DB_Savings!$F:$F))</f>
        <v/>
      </c>
      <c r="M742" t="str">
        <f>IF(A742="","",SUMIF(DB_Withdrawals!$C:$C,A742,DB_Withdrawals!$G:$G))</f>
        <v/>
      </c>
      <c r="N742" t="str">
        <f t="shared" si="22"/>
        <v/>
      </c>
      <c r="O742" t="str">
        <f t="shared" si="23"/>
        <v/>
      </c>
      <c r="P742" t="str">
        <f>IF(A742="","",MAX(0,N742-System_Config!$B$9))</f>
        <v/>
      </c>
    </row>
    <row r="743" spans="12:16" ht="15" customHeight="1" x14ac:dyDescent="0.25">
      <c r="L743" t="str">
        <f>IF(A743="","",SUMIF(DB_Savings!$C:$C,A743,DB_Savings!$F:$F))</f>
        <v/>
      </c>
      <c r="M743" t="str">
        <f>IF(A743="","",SUMIF(DB_Withdrawals!$C:$C,A743,DB_Withdrawals!$G:$G))</f>
        <v/>
      </c>
      <c r="N743" t="str">
        <f t="shared" si="22"/>
        <v/>
      </c>
      <c r="O743" t="str">
        <f t="shared" si="23"/>
        <v/>
      </c>
      <c r="P743" t="str">
        <f>IF(A743="","",MAX(0,N743-System_Config!$B$9))</f>
        <v/>
      </c>
    </row>
    <row r="744" spans="12:16" ht="15" customHeight="1" x14ac:dyDescent="0.25">
      <c r="L744" t="str">
        <f>IF(A744="","",SUMIF(DB_Savings!$C:$C,A744,DB_Savings!$F:$F))</f>
        <v/>
      </c>
      <c r="M744" t="str">
        <f>IF(A744="","",SUMIF(DB_Withdrawals!$C:$C,A744,DB_Withdrawals!$G:$G))</f>
        <v/>
      </c>
      <c r="N744" t="str">
        <f t="shared" si="22"/>
        <v/>
      </c>
      <c r="O744" t="str">
        <f t="shared" si="23"/>
        <v/>
      </c>
      <c r="P744" t="str">
        <f>IF(A744="","",MAX(0,N744-System_Config!$B$9))</f>
        <v/>
      </c>
    </row>
    <row r="745" spans="12:16" ht="15" customHeight="1" x14ac:dyDescent="0.25">
      <c r="L745" t="str">
        <f>IF(A745="","",SUMIF(DB_Savings!$C:$C,A745,DB_Savings!$F:$F))</f>
        <v/>
      </c>
      <c r="M745" t="str">
        <f>IF(A745="","",SUMIF(DB_Withdrawals!$C:$C,A745,DB_Withdrawals!$G:$G))</f>
        <v/>
      </c>
      <c r="N745" t="str">
        <f t="shared" si="22"/>
        <v/>
      </c>
      <c r="O745" t="str">
        <f t="shared" si="23"/>
        <v/>
      </c>
      <c r="P745" t="str">
        <f>IF(A745="","",MAX(0,N745-System_Config!$B$9))</f>
        <v/>
      </c>
    </row>
    <row r="746" spans="12:16" ht="15" customHeight="1" x14ac:dyDescent="0.25">
      <c r="L746" t="str">
        <f>IF(A746="","",SUMIF(DB_Savings!$C:$C,A746,DB_Savings!$F:$F))</f>
        <v/>
      </c>
      <c r="M746" t="str">
        <f>IF(A746="","",SUMIF(DB_Withdrawals!$C:$C,A746,DB_Withdrawals!$G:$G))</f>
        <v/>
      </c>
      <c r="N746" t="str">
        <f t="shared" si="22"/>
        <v/>
      </c>
      <c r="O746" t="str">
        <f t="shared" si="23"/>
        <v/>
      </c>
      <c r="P746" t="str">
        <f>IF(A746="","",MAX(0,N746-System_Config!$B$9))</f>
        <v/>
      </c>
    </row>
    <row r="747" spans="12:16" ht="15" customHeight="1" x14ac:dyDescent="0.25">
      <c r="L747" t="str">
        <f>IF(A747="","",SUMIF(DB_Savings!$C:$C,A747,DB_Savings!$F:$F))</f>
        <v/>
      </c>
      <c r="M747" t="str">
        <f>IF(A747="","",SUMIF(DB_Withdrawals!$C:$C,A747,DB_Withdrawals!$G:$G))</f>
        <v/>
      </c>
      <c r="N747" t="str">
        <f t="shared" si="22"/>
        <v/>
      </c>
      <c r="O747" t="str">
        <f t="shared" si="23"/>
        <v/>
      </c>
      <c r="P747" t="str">
        <f>IF(A747="","",MAX(0,N747-System_Config!$B$9))</f>
        <v/>
      </c>
    </row>
    <row r="748" spans="12:16" ht="15" customHeight="1" x14ac:dyDescent="0.25">
      <c r="L748" t="str">
        <f>IF(A748="","",SUMIF(DB_Savings!$C:$C,A748,DB_Savings!$F:$F))</f>
        <v/>
      </c>
      <c r="M748" t="str">
        <f>IF(A748="","",SUMIF(DB_Withdrawals!$C:$C,A748,DB_Withdrawals!$G:$G))</f>
        <v/>
      </c>
      <c r="N748" t="str">
        <f t="shared" si="22"/>
        <v/>
      </c>
      <c r="O748" t="str">
        <f t="shared" si="23"/>
        <v/>
      </c>
      <c r="P748" t="str">
        <f>IF(A748="","",MAX(0,N748-System_Config!$B$9))</f>
        <v/>
      </c>
    </row>
    <row r="749" spans="12:16" ht="15" customHeight="1" x14ac:dyDescent="0.25">
      <c r="L749" t="str">
        <f>IF(A749="","",SUMIF(DB_Savings!$C:$C,A749,DB_Savings!$F:$F))</f>
        <v/>
      </c>
      <c r="M749" t="str">
        <f>IF(A749="","",SUMIF(DB_Withdrawals!$C:$C,A749,DB_Withdrawals!$G:$G))</f>
        <v/>
      </c>
      <c r="N749" t="str">
        <f t="shared" si="22"/>
        <v/>
      </c>
      <c r="O749" t="str">
        <f t="shared" si="23"/>
        <v/>
      </c>
      <c r="P749" t="str">
        <f>IF(A749="","",MAX(0,N749-System_Config!$B$9))</f>
        <v/>
      </c>
    </row>
    <row r="750" spans="12:16" ht="15" customHeight="1" x14ac:dyDescent="0.25">
      <c r="L750" t="str">
        <f>IF(A750="","",SUMIF(DB_Savings!$C:$C,A750,DB_Savings!$F:$F))</f>
        <v/>
      </c>
      <c r="M750" t="str">
        <f>IF(A750="","",SUMIF(DB_Withdrawals!$C:$C,A750,DB_Withdrawals!$G:$G))</f>
        <v/>
      </c>
      <c r="N750" t="str">
        <f t="shared" si="22"/>
        <v/>
      </c>
      <c r="O750" t="str">
        <f t="shared" si="23"/>
        <v/>
      </c>
      <c r="P750" t="str">
        <f>IF(A750="","",MAX(0,N750-System_Config!$B$9))</f>
        <v/>
      </c>
    </row>
    <row r="751" spans="12:16" ht="15" customHeight="1" x14ac:dyDescent="0.25">
      <c r="L751" t="str">
        <f>IF(A751="","",SUMIF(DB_Savings!$C:$C,A751,DB_Savings!$F:$F))</f>
        <v/>
      </c>
      <c r="M751" t="str">
        <f>IF(A751="","",SUMIF(DB_Withdrawals!$C:$C,A751,DB_Withdrawals!$G:$G))</f>
        <v/>
      </c>
      <c r="N751" t="str">
        <f t="shared" si="22"/>
        <v/>
      </c>
      <c r="O751" t="str">
        <f t="shared" si="23"/>
        <v/>
      </c>
      <c r="P751" t="str">
        <f>IF(A751="","",MAX(0,N751-System_Config!$B$9))</f>
        <v/>
      </c>
    </row>
    <row r="752" spans="12:16" ht="15" customHeight="1" x14ac:dyDescent="0.25">
      <c r="L752" t="str">
        <f>IF(A752="","",SUMIF(DB_Savings!$C:$C,A752,DB_Savings!$F:$F))</f>
        <v/>
      </c>
      <c r="M752" t="str">
        <f>IF(A752="","",SUMIF(DB_Withdrawals!$C:$C,A752,DB_Withdrawals!$G:$G))</f>
        <v/>
      </c>
      <c r="N752" t="str">
        <f t="shared" si="22"/>
        <v/>
      </c>
      <c r="O752" t="str">
        <f t="shared" si="23"/>
        <v/>
      </c>
      <c r="P752" t="str">
        <f>IF(A752="","",MAX(0,N752-System_Config!$B$9))</f>
        <v/>
      </c>
    </row>
    <row r="753" spans="12:16" ht="15" customHeight="1" x14ac:dyDescent="0.25">
      <c r="L753" t="str">
        <f>IF(A753="","",SUMIF(DB_Savings!$C:$C,A753,DB_Savings!$F:$F))</f>
        <v/>
      </c>
      <c r="M753" t="str">
        <f>IF(A753="","",SUMIF(DB_Withdrawals!$C:$C,A753,DB_Withdrawals!$G:$G))</f>
        <v/>
      </c>
      <c r="N753" t="str">
        <f t="shared" si="22"/>
        <v/>
      </c>
      <c r="O753" t="str">
        <f t="shared" si="23"/>
        <v/>
      </c>
      <c r="P753" t="str">
        <f>IF(A753="","",MAX(0,N753-System_Config!$B$9))</f>
        <v/>
      </c>
    </row>
    <row r="754" spans="12:16" ht="15" customHeight="1" x14ac:dyDescent="0.25">
      <c r="L754" t="str">
        <f>IF(A754="","",SUMIF(DB_Savings!$C:$C,A754,DB_Savings!$F:$F))</f>
        <v/>
      </c>
      <c r="M754" t="str">
        <f>IF(A754="","",SUMIF(DB_Withdrawals!$C:$C,A754,DB_Withdrawals!$G:$G))</f>
        <v/>
      </c>
      <c r="N754" t="str">
        <f t="shared" si="22"/>
        <v/>
      </c>
      <c r="O754" t="str">
        <f t="shared" si="23"/>
        <v/>
      </c>
      <c r="P754" t="str">
        <f>IF(A754="","",MAX(0,N754-System_Config!$B$9))</f>
        <v/>
      </c>
    </row>
    <row r="755" spans="12:16" ht="15" customHeight="1" x14ac:dyDescent="0.25">
      <c r="L755" t="str">
        <f>IF(A755="","",SUMIF(DB_Savings!$C:$C,A755,DB_Savings!$F:$F))</f>
        <v/>
      </c>
      <c r="M755" t="str">
        <f>IF(A755="","",SUMIF(DB_Withdrawals!$C:$C,A755,DB_Withdrawals!$G:$G))</f>
        <v/>
      </c>
      <c r="N755" t="str">
        <f t="shared" si="22"/>
        <v/>
      </c>
      <c r="O755" t="str">
        <f t="shared" si="23"/>
        <v/>
      </c>
      <c r="P755" t="str">
        <f>IF(A755="","",MAX(0,N755-System_Config!$B$9))</f>
        <v/>
      </c>
    </row>
    <row r="756" spans="12:16" ht="15" customHeight="1" x14ac:dyDescent="0.25">
      <c r="L756" t="str">
        <f>IF(A756="","",SUMIF(DB_Savings!$C:$C,A756,DB_Savings!$F:$F))</f>
        <v/>
      </c>
      <c r="M756" t="str">
        <f>IF(A756="","",SUMIF(DB_Withdrawals!$C:$C,A756,DB_Withdrawals!$G:$G))</f>
        <v/>
      </c>
      <c r="N756" t="str">
        <f t="shared" si="22"/>
        <v/>
      </c>
      <c r="O756" t="str">
        <f t="shared" si="23"/>
        <v/>
      </c>
      <c r="P756" t="str">
        <f>IF(A756="","",MAX(0,N756-System_Config!$B$9))</f>
        <v/>
      </c>
    </row>
    <row r="757" spans="12:16" ht="15" customHeight="1" x14ac:dyDescent="0.25">
      <c r="L757" t="str">
        <f>IF(A757="","",SUMIF(DB_Savings!$C:$C,A757,DB_Savings!$F:$F))</f>
        <v/>
      </c>
      <c r="M757" t="str">
        <f>IF(A757="","",SUMIF(DB_Withdrawals!$C:$C,A757,DB_Withdrawals!$G:$G))</f>
        <v/>
      </c>
      <c r="N757" t="str">
        <f t="shared" si="22"/>
        <v/>
      </c>
      <c r="O757" t="str">
        <f t="shared" si="23"/>
        <v/>
      </c>
      <c r="P757" t="str">
        <f>IF(A757="","",MAX(0,N757-System_Config!$B$9))</f>
        <v/>
      </c>
    </row>
    <row r="758" spans="12:16" ht="15" customHeight="1" x14ac:dyDescent="0.25">
      <c r="L758" t="str">
        <f>IF(A758="","",SUMIF(DB_Savings!$C:$C,A758,DB_Savings!$F:$F))</f>
        <v/>
      </c>
      <c r="M758" t="str">
        <f>IF(A758="","",SUMIF(DB_Withdrawals!$C:$C,A758,DB_Withdrawals!$G:$G))</f>
        <v/>
      </c>
      <c r="N758" t="str">
        <f t="shared" si="22"/>
        <v/>
      </c>
      <c r="O758" t="str">
        <f t="shared" si="23"/>
        <v/>
      </c>
      <c r="P758" t="str">
        <f>IF(A758="","",MAX(0,N758-System_Config!$B$9))</f>
        <v/>
      </c>
    </row>
    <row r="759" spans="12:16" ht="15" customHeight="1" x14ac:dyDescent="0.25">
      <c r="L759" t="str">
        <f>IF(A759="","",SUMIF(DB_Savings!$C:$C,A759,DB_Savings!$F:$F))</f>
        <v/>
      </c>
      <c r="M759" t="str">
        <f>IF(A759="","",SUMIF(DB_Withdrawals!$C:$C,A759,DB_Withdrawals!$G:$G))</f>
        <v/>
      </c>
      <c r="N759" t="str">
        <f t="shared" si="22"/>
        <v/>
      </c>
      <c r="O759" t="str">
        <f t="shared" si="23"/>
        <v/>
      </c>
      <c r="P759" t="str">
        <f>IF(A759="","",MAX(0,N759-System_Config!$B$9))</f>
        <v/>
      </c>
    </row>
    <row r="760" spans="12:16" ht="15" customHeight="1" x14ac:dyDescent="0.25">
      <c r="L760" t="str">
        <f>IF(A760="","",SUMIF(DB_Savings!$C:$C,A760,DB_Savings!$F:$F))</f>
        <v/>
      </c>
      <c r="M760" t="str">
        <f>IF(A760="","",SUMIF(DB_Withdrawals!$C:$C,A760,DB_Withdrawals!$G:$G))</f>
        <v/>
      </c>
      <c r="N760" t="str">
        <f t="shared" si="22"/>
        <v/>
      </c>
      <c r="O760" t="str">
        <f t="shared" si="23"/>
        <v/>
      </c>
      <c r="P760" t="str">
        <f>IF(A760="","",MAX(0,N760-System_Config!$B$9))</f>
        <v/>
      </c>
    </row>
    <row r="761" spans="12:16" ht="15" customHeight="1" x14ac:dyDescent="0.25">
      <c r="L761" t="str">
        <f>IF(A761="","",SUMIF(DB_Savings!$C:$C,A761,DB_Savings!$F:$F))</f>
        <v/>
      </c>
      <c r="M761" t="str">
        <f>IF(A761="","",SUMIF(DB_Withdrawals!$C:$C,A761,DB_Withdrawals!$G:$G))</f>
        <v/>
      </c>
      <c r="N761" t="str">
        <f t="shared" si="22"/>
        <v/>
      </c>
      <c r="O761" t="str">
        <f t="shared" si="23"/>
        <v/>
      </c>
      <c r="P761" t="str">
        <f>IF(A761="","",MAX(0,N761-System_Config!$B$9))</f>
        <v/>
      </c>
    </row>
    <row r="762" spans="12:16" ht="15" customHeight="1" x14ac:dyDescent="0.25">
      <c r="L762" t="str">
        <f>IF(A762="","",SUMIF(DB_Savings!$C:$C,A762,DB_Savings!$F:$F))</f>
        <v/>
      </c>
      <c r="M762" t="str">
        <f>IF(A762="","",SUMIF(DB_Withdrawals!$C:$C,A762,DB_Withdrawals!$G:$G))</f>
        <v/>
      </c>
      <c r="N762" t="str">
        <f t="shared" si="22"/>
        <v/>
      </c>
      <c r="O762" t="str">
        <f t="shared" si="23"/>
        <v/>
      </c>
      <c r="P762" t="str">
        <f>IF(A762="","",MAX(0,N762-System_Config!$B$9))</f>
        <v/>
      </c>
    </row>
    <row r="763" spans="12:16" ht="15" customHeight="1" x14ac:dyDescent="0.25">
      <c r="L763" t="str">
        <f>IF(A763="","",SUMIF(DB_Savings!$C:$C,A763,DB_Savings!$F:$F))</f>
        <v/>
      </c>
      <c r="M763" t="str">
        <f>IF(A763="","",SUMIF(DB_Withdrawals!$C:$C,A763,DB_Withdrawals!$G:$G))</f>
        <v/>
      </c>
      <c r="N763" t="str">
        <f t="shared" si="22"/>
        <v/>
      </c>
      <c r="O763" t="str">
        <f t="shared" si="23"/>
        <v/>
      </c>
      <c r="P763" t="str">
        <f>IF(A763="","",MAX(0,N763-System_Config!$B$9))</f>
        <v/>
      </c>
    </row>
    <row r="764" spans="12:16" ht="15" customHeight="1" x14ac:dyDescent="0.25">
      <c r="L764" t="str">
        <f>IF(A764="","",SUMIF(DB_Savings!$C:$C,A764,DB_Savings!$F:$F))</f>
        <v/>
      </c>
      <c r="M764" t="str">
        <f>IF(A764="","",SUMIF(DB_Withdrawals!$C:$C,A764,DB_Withdrawals!$G:$G))</f>
        <v/>
      </c>
      <c r="N764" t="str">
        <f t="shared" si="22"/>
        <v/>
      </c>
      <c r="O764" t="str">
        <f t="shared" si="23"/>
        <v/>
      </c>
      <c r="P764" t="str">
        <f>IF(A764="","",MAX(0,N764-System_Config!$B$9))</f>
        <v/>
      </c>
    </row>
    <row r="765" spans="12:16" ht="15" customHeight="1" x14ac:dyDescent="0.25">
      <c r="L765" t="str">
        <f>IF(A765="","",SUMIF(DB_Savings!$C:$C,A765,DB_Savings!$F:$F))</f>
        <v/>
      </c>
      <c r="M765" t="str">
        <f>IF(A765="","",SUMIF(DB_Withdrawals!$C:$C,A765,DB_Withdrawals!$G:$G))</f>
        <v/>
      </c>
      <c r="N765" t="str">
        <f t="shared" si="22"/>
        <v/>
      </c>
      <c r="O765" t="str">
        <f t="shared" si="23"/>
        <v/>
      </c>
      <c r="P765" t="str">
        <f>IF(A765="","",MAX(0,N765-System_Config!$B$9))</f>
        <v/>
      </c>
    </row>
    <row r="766" spans="12:16" ht="15" customHeight="1" x14ac:dyDescent="0.25">
      <c r="L766" t="str">
        <f>IF(A766="","",SUMIF(DB_Savings!$C:$C,A766,DB_Savings!$F:$F))</f>
        <v/>
      </c>
      <c r="M766" t="str">
        <f>IF(A766="","",SUMIF(DB_Withdrawals!$C:$C,A766,DB_Withdrawals!$G:$G))</f>
        <v/>
      </c>
      <c r="N766" t="str">
        <f t="shared" si="22"/>
        <v/>
      </c>
      <c r="O766" t="str">
        <f t="shared" si="23"/>
        <v/>
      </c>
      <c r="P766" t="str">
        <f>IF(A766="","",MAX(0,N766-System_Config!$B$9))</f>
        <v/>
      </c>
    </row>
    <row r="767" spans="12:16" ht="15" customHeight="1" x14ac:dyDescent="0.25">
      <c r="L767" t="str">
        <f>IF(A767="","",SUMIF(DB_Savings!$C:$C,A767,DB_Savings!$F:$F))</f>
        <v/>
      </c>
      <c r="M767" t="str">
        <f>IF(A767="","",SUMIF(DB_Withdrawals!$C:$C,A767,DB_Withdrawals!$G:$G))</f>
        <v/>
      </c>
      <c r="N767" t="str">
        <f t="shared" si="22"/>
        <v/>
      </c>
      <c r="O767" t="str">
        <f t="shared" si="23"/>
        <v/>
      </c>
      <c r="P767" t="str">
        <f>IF(A767="","",MAX(0,N767-System_Config!$B$9))</f>
        <v/>
      </c>
    </row>
    <row r="768" spans="12:16" ht="15" customHeight="1" x14ac:dyDescent="0.25">
      <c r="L768" t="str">
        <f>IF(A768="","",SUMIF(DB_Savings!$C:$C,A768,DB_Savings!$F:$F))</f>
        <v/>
      </c>
      <c r="M768" t="str">
        <f>IF(A768="","",SUMIF(DB_Withdrawals!$C:$C,A768,DB_Withdrawals!$G:$G))</f>
        <v/>
      </c>
      <c r="N768" t="str">
        <f t="shared" si="22"/>
        <v/>
      </c>
      <c r="O768" t="str">
        <f t="shared" si="23"/>
        <v/>
      </c>
      <c r="P768" t="str">
        <f>IF(A768="","",MAX(0,N768-System_Config!$B$9))</f>
        <v/>
      </c>
    </row>
    <row r="769" spans="12:16" ht="15" customHeight="1" x14ac:dyDescent="0.25">
      <c r="L769" t="str">
        <f>IF(A769="","",SUMIF(DB_Savings!$C:$C,A769,DB_Savings!$F:$F))</f>
        <v/>
      </c>
      <c r="M769" t="str">
        <f>IF(A769="","",SUMIF(DB_Withdrawals!$C:$C,A769,DB_Withdrawals!$G:$G))</f>
        <v/>
      </c>
      <c r="N769" t="str">
        <f t="shared" si="22"/>
        <v/>
      </c>
      <c r="O769" t="str">
        <f t="shared" si="23"/>
        <v/>
      </c>
      <c r="P769" t="str">
        <f>IF(A769="","",MAX(0,N769-System_Config!$B$9))</f>
        <v/>
      </c>
    </row>
    <row r="770" spans="12:16" ht="15" customHeight="1" x14ac:dyDescent="0.25">
      <c r="L770" t="str">
        <f>IF(A770="","",SUMIF(DB_Savings!$C:$C,A770,DB_Savings!$F:$F))</f>
        <v/>
      </c>
      <c r="M770" t="str">
        <f>IF(A770="","",SUMIF(DB_Withdrawals!$C:$C,A770,DB_Withdrawals!$G:$G))</f>
        <v/>
      </c>
      <c r="N770" t="str">
        <f t="shared" si="22"/>
        <v/>
      </c>
      <c r="O770" t="str">
        <f t="shared" si="23"/>
        <v/>
      </c>
      <c r="P770" t="str">
        <f>IF(A770="","",MAX(0,N770-System_Config!$B$9))</f>
        <v/>
      </c>
    </row>
    <row r="771" spans="12:16" ht="15" customHeight="1" x14ac:dyDescent="0.25">
      <c r="L771" t="str">
        <f>IF(A771="","",SUMIF(DB_Savings!$C:$C,A771,DB_Savings!$F:$F))</f>
        <v/>
      </c>
      <c r="M771" t="str">
        <f>IF(A771="","",SUMIF(DB_Withdrawals!$C:$C,A771,DB_Withdrawals!$G:$G))</f>
        <v/>
      </c>
      <c r="N771" t="str">
        <f t="shared" si="22"/>
        <v/>
      </c>
      <c r="O771" t="str">
        <f t="shared" si="23"/>
        <v/>
      </c>
      <c r="P771" t="str">
        <f>IF(A771="","",MAX(0,N771-System_Config!$B$9))</f>
        <v/>
      </c>
    </row>
    <row r="772" spans="12:16" ht="15" customHeight="1" x14ac:dyDescent="0.25">
      <c r="L772" t="str">
        <f>IF(A772="","",SUMIF(DB_Savings!$C:$C,A772,DB_Savings!$F:$F))</f>
        <v/>
      </c>
      <c r="M772" t="str">
        <f>IF(A772="","",SUMIF(DB_Withdrawals!$C:$C,A772,DB_Withdrawals!$G:$G))</f>
        <v/>
      </c>
      <c r="N772" t="str">
        <f t="shared" ref="N772:N835" si="24">IF(A772="","",I772+L772-M772)</f>
        <v/>
      </c>
      <c r="O772" t="str">
        <f t="shared" ref="O772:O835" si="25">IF(A772="","",TRUE())</f>
        <v/>
      </c>
      <c r="P772" t="str">
        <f>IF(A772="","",MAX(0,N772-System_Config!$B$9))</f>
        <v/>
      </c>
    </row>
    <row r="773" spans="12:16" ht="15" customHeight="1" x14ac:dyDescent="0.25">
      <c r="L773" t="str">
        <f>IF(A773="","",SUMIF(DB_Savings!$C:$C,A773,DB_Savings!$F:$F))</f>
        <v/>
      </c>
      <c r="M773" t="str">
        <f>IF(A773="","",SUMIF(DB_Withdrawals!$C:$C,A773,DB_Withdrawals!$G:$G))</f>
        <v/>
      </c>
      <c r="N773" t="str">
        <f t="shared" si="24"/>
        <v/>
      </c>
      <c r="O773" t="str">
        <f t="shared" si="25"/>
        <v/>
      </c>
      <c r="P773" t="str">
        <f>IF(A773="","",MAX(0,N773-System_Config!$B$9))</f>
        <v/>
      </c>
    </row>
    <row r="774" spans="12:16" ht="15" customHeight="1" x14ac:dyDescent="0.25">
      <c r="L774" t="str">
        <f>IF(A774="","",SUMIF(DB_Savings!$C:$C,A774,DB_Savings!$F:$F))</f>
        <v/>
      </c>
      <c r="M774" t="str">
        <f>IF(A774="","",SUMIF(DB_Withdrawals!$C:$C,A774,DB_Withdrawals!$G:$G))</f>
        <v/>
      </c>
      <c r="N774" t="str">
        <f t="shared" si="24"/>
        <v/>
      </c>
      <c r="O774" t="str">
        <f t="shared" si="25"/>
        <v/>
      </c>
      <c r="P774" t="str">
        <f>IF(A774="","",MAX(0,N774-System_Config!$B$9))</f>
        <v/>
      </c>
    </row>
    <row r="775" spans="12:16" ht="15" customHeight="1" x14ac:dyDescent="0.25">
      <c r="L775" t="str">
        <f>IF(A775="","",SUMIF(DB_Savings!$C:$C,A775,DB_Savings!$F:$F))</f>
        <v/>
      </c>
      <c r="M775" t="str">
        <f>IF(A775="","",SUMIF(DB_Withdrawals!$C:$C,A775,DB_Withdrawals!$G:$G))</f>
        <v/>
      </c>
      <c r="N775" t="str">
        <f t="shared" si="24"/>
        <v/>
      </c>
      <c r="O775" t="str">
        <f t="shared" si="25"/>
        <v/>
      </c>
      <c r="P775" t="str">
        <f>IF(A775="","",MAX(0,N775-System_Config!$B$9))</f>
        <v/>
      </c>
    </row>
    <row r="776" spans="12:16" ht="15" customHeight="1" x14ac:dyDescent="0.25">
      <c r="L776" t="str">
        <f>IF(A776="","",SUMIF(DB_Savings!$C:$C,A776,DB_Savings!$F:$F))</f>
        <v/>
      </c>
      <c r="M776" t="str">
        <f>IF(A776="","",SUMIF(DB_Withdrawals!$C:$C,A776,DB_Withdrawals!$G:$G))</f>
        <v/>
      </c>
      <c r="N776" t="str">
        <f t="shared" si="24"/>
        <v/>
      </c>
      <c r="O776" t="str">
        <f t="shared" si="25"/>
        <v/>
      </c>
      <c r="P776" t="str">
        <f>IF(A776="","",MAX(0,N776-System_Config!$B$9))</f>
        <v/>
      </c>
    </row>
    <row r="777" spans="12:16" ht="15" customHeight="1" x14ac:dyDescent="0.25">
      <c r="L777" t="str">
        <f>IF(A777="","",SUMIF(DB_Savings!$C:$C,A777,DB_Savings!$F:$F))</f>
        <v/>
      </c>
      <c r="M777" t="str">
        <f>IF(A777="","",SUMIF(DB_Withdrawals!$C:$C,A777,DB_Withdrawals!$G:$G))</f>
        <v/>
      </c>
      <c r="N777" t="str">
        <f t="shared" si="24"/>
        <v/>
      </c>
      <c r="O777" t="str">
        <f t="shared" si="25"/>
        <v/>
      </c>
      <c r="P777" t="str">
        <f>IF(A777="","",MAX(0,N777-System_Config!$B$9))</f>
        <v/>
      </c>
    </row>
    <row r="778" spans="12:16" ht="15" customHeight="1" x14ac:dyDescent="0.25">
      <c r="L778" t="str">
        <f>IF(A778="","",SUMIF(DB_Savings!$C:$C,A778,DB_Savings!$F:$F))</f>
        <v/>
      </c>
      <c r="M778" t="str">
        <f>IF(A778="","",SUMIF(DB_Withdrawals!$C:$C,A778,DB_Withdrawals!$G:$G))</f>
        <v/>
      </c>
      <c r="N778" t="str">
        <f t="shared" si="24"/>
        <v/>
      </c>
      <c r="O778" t="str">
        <f t="shared" si="25"/>
        <v/>
      </c>
      <c r="P778" t="str">
        <f>IF(A778="","",MAX(0,N778-System_Config!$B$9))</f>
        <v/>
      </c>
    </row>
    <row r="779" spans="12:16" ht="15" customHeight="1" x14ac:dyDescent="0.25">
      <c r="L779" t="str">
        <f>IF(A779="","",SUMIF(DB_Savings!$C:$C,A779,DB_Savings!$F:$F))</f>
        <v/>
      </c>
      <c r="M779" t="str">
        <f>IF(A779="","",SUMIF(DB_Withdrawals!$C:$C,A779,DB_Withdrawals!$G:$G))</f>
        <v/>
      </c>
      <c r="N779" t="str">
        <f t="shared" si="24"/>
        <v/>
      </c>
      <c r="O779" t="str">
        <f t="shared" si="25"/>
        <v/>
      </c>
      <c r="P779" t="str">
        <f>IF(A779="","",MAX(0,N779-System_Config!$B$9))</f>
        <v/>
      </c>
    </row>
    <row r="780" spans="12:16" ht="15" customHeight="1" x14ac:dyDescent="0.25">
      <c r="L780" t="str">
        <f>IF(A780="","",SUMIF(DB_Savings!$C:$C,A780,DB_Savings!$F:$F))</f>
        <v/>
      </c>
      <c r="M780" t="str">
        <f>IF(A780="","",SUMIF(DB_Withdrawals!$C:$C,A780,DB_Withdrawals!$G:$G))</f>
        <v/>
      </c>
      <c r="N780" t="str">
        <f t="shared" si="24"/>
        <v/>
      </c>
      <c r="O780" t="str">
        <f t="shared" si="25"/>
        <v/>
      </c>
      <c r="P780" t="str">
        <f>IF(A780="","",MAX(0,N780-System_Config!$B$9))</f>
        <v/>
      </c>
    </row>
    <row r="781" spans="12:16" ht="15" customHeight="1" x14ac:dyDescent="0.25">
      <c r="L781" t="str">
        <f>IF(A781="","",SUMIF(DB_Savings!$C:$C,A781,DB_Savings!$F:$F))</f>
        <v/>
      </c>
      <c r="M781" t="str">
        <f>IF(A781="","",SUMIF(DB_Withdrawals!$C:$C,A781,DB_Withdrawals!$G:$G))</f>
        <v/>
      </c>
      <c r="N781" t="str">
        <f t="shared" si="24"/>
        <v/>
      </c>
      <c r="O781" t="str">
        <f t="shared" si="25"/>
        <v/>
      </c>
      <c r="P781" t="str">
        <f>IF(A781="","",MAX(0,N781-System_Config!$B$9))</f>
        <v/>
      </c>
    </row>
    <row r="782" spans="12:16" ht="15" customHeight="1" x14ac:dyDescent="0.25">
      <c r="L782" t="str">
        <f>IF(A782="","",SUMIF(DB_Savings!$C:$C,A782,DB_Savings!$F:$F))</f>
        <v/>
      </c>
      <c r="M782" t="str">
        <f>IF(A782="","",SUMIF(DB_Withdrawals!$C:$C,A782,DB_Withdrawals!$G:$G))</f>
        <v/>
      </c>
      <c r="N782" t="str">
        <f t="shared" si="24"/>
        <v/>
      </c>
      <c r="O782" t="str">
        <f t="shared" si="25"/>
        <v/>
      </c>
      <c r="P782" t="str">
        <f>IF(A782="","",MAX(0,N782-System_Config!$B$9))</f>
        <v/>
      </c>
    </row>
    <row r="783" spans="12:16" ht="15" customHeight="1" x14ac:dyDescent="0.25">
      <c r="L783" t="str">
        <f>IF(A783="","",SUMIF(DB_Savings!$C:$C,A783,DB_Savings!$F:$F))</f>
        <v/>
      </c>
      <c r="M783" t="str">
        <f>IF(A783="","",SUMIF(DB_Withdrawals!$C:$C,A783,DB_Withdrawals!$G:$G))</f>
        <v/>
      </c>
      <c r="N783" t="str">
        <f t="shared" si="24"/>
        <v/>
      </c>
      <c r="O783" t="str">
        <f t="shared" si="25"/>
        <v/>
      </c>
      <c r="P783" t="str">
        <f>IF(A783="","",MAX(0,N783-System_Config!$B$9))</f>
        <v/>
      </c>
    </row>
    <row r="784" spans="12:16" ht="15" customHeight="1" x14ac:dyDescent="0.25">
      <c r="L784" t="str">
        <f>IF(A784="","",SUMIF(DB_Savings!$C:$C,A784,DB_Savings!$F:$F))</f>
        <v/>
      </c>
      <c r="M784" t="str">
        <f>IF(A784="","",SUMIF(DB_Withdrawals!$C:$C,A784,DB_Withdrawals!$G:$G))</f>
        <v/>
      </c>
      <c r="N784" t="str">
        <f t="shared" si="24"/>
        <v/>
      </c>
      <c r="O784" t="str">
        <f t="shared" si="25"/>
        <v/>
      </c>
      <c r="P784" t="str">
        <f>IF(A784="","",MAX(0,N784-System_Config!$B$9))</f>
        <v/>
      </c>
    </row>
    <row r="785" spans="12:16" ht="15" customHeight="1" x14ac:dyDescent="0.25">
      <c r="L785" t="str">
        <f>IF(A785="","",SUMIF(DB_Savings!$C:$C,A785,DB_Savings!$F:$F))</f>
        <v/>
      </c>
      <c r="M785" t="str">
        <f>IF(A785="","",SUMIF(DB_Withdrawals!$C:$C,A785,DB_Withdrawals!$G:$G))</f>
        <v/>
      </c>
      <c r="N785" t="str">
        <f t="shared" si="24"/>
        <v/>
      </c>
      <c r="O785" t="str">
        <f t="shared" si="25"/>
        <v/>
      </c>
      <c r="P785" t="str">
        <f>IF(A785="","",MAX(0,N785-System_Config!$B$9))</f>
        <v/>
      </c>
    </row>
    <row r="786" spans="12:16" ht="15" customHeight="1" x14ac:dyDescent="0.25">
      <c r="L786" t="str">
        <f>IF(A786="","",SUMIF(DB_Savings!$C:$C,A786,DB_Savings!$F:$F))</f>
        <v/>
      </c>
      <c r="M786" t="str">
        <f>IF(A786="","",SUMIF(DB_Withdrawals!$C:$C,A786,DB_Withdrawals!$G:$G))</f>
        <v/>
      </c>
      <c r="N786" t="str">
        <f t="shared" si="24"/>
        <v/>
      </c>
      <c r="O786" t="str">
        <f t="shared" si="25"/>
        <v/>
      </c>
      <c r="P786" t="str">
        <f>IF(A786="","",MAX(0,N786-System_Config!$B$9))</f>
        <v/>
      </c>
    </row>
    <row r="787" spans="12:16" ht="15" customHeight="1" x14ac:dyDescent="0.25">
      <c r="L787" t="str">
        <f>IF(A787="","",SUMIF(DB_Savings!$C:$C,A787,DB_Savings!$F:$F))</f>
        <v/>
      </c>
      <c r="M787" t="str">
        <f>IF(A787="","",SUMIF(DB_Withdrawals!$C:$C,A787,DB_Withdrawals!$G:$G))</f>
        <v/>
      </c>
      <c r="N787" t="str">
        <f t="shared" si="24"/>
        <v/>
      </c>
      <c r="O787" t="str">
        <f t="shared" si="25"/>
        <v/>
      </c>
      <c r="P787" t="str">
        <f>IF(A787="","",MAX(0,N787-System_Config!$B$9))</f>
        <v/>
      </c>
    </row>
    <row r="788" spans="12:16" ht="15" customHeight="1" x14ac:dyDescent="0.25">
      <c r="L788" t="str">
        <f>IF(A788="","",SUMIF(DB_Savings!$C:$C,A788,DB_Savings!$F:$F))</f>
        <v/>
      </c>
      <c r="M788" t="str">
        <f>IF(A788="","",SUMIF(DB_Withdrawals!$C:$C,A788,DB_Withdrawals!$G:$G))</f>
        <v/>
      </c>
      <c r="N788" t="str">
        <f t="shared" si="24"/>
        <v/>
      </c>
      <c r="O788" t="str">
        <f t="shared" si="25"/>
        <v/>
      </c>
      <c r="P788" t="str">
        <f>IF(A788="","",MAX(0,N788-System_Config!$B$9))</f>
        <v/>
      </c>
    </row>
    <row r="789" spans="12:16" ht="15" customHeight="1" x14ac:dyDescent="0.25">
      <c r="L789" t="str">
        <f>IF(A789="","",SUMIF(DB_Savings!$C:$C,A789,DB_Savings!$F:$F))</f>
        <v/>
      </c>
      <c r="M789" t="str">
        <f>IF(A789="","",SUMIF(DB_Withdrawals!$C:$C,A789,DB_Withdrawals!$G:$G))</f>
        <v/>
      </c>
      <c r="N789" t="str">
        <f t="shared" si="24"/>
        <v/>
      </c>
      <c r="O789" t="str">
        <f t="shared" si="25"/>
        <v/>
      </c>
      <c r="P789" t="str">
        <f>IF(A789="","",MAX(0,N789-System_Config!$B$9))</f>
        <v/>
      </c>
    </row>
    <row r="790" spans="12:16" ht="15" customHeight="1" x14ac:dyDescent="0.25">
      <c r="L790" t="str">
        <f>IF(A790="","",SUMIF(DB_Savings!$C:$C,A790,DB_Savings!$F:$F))</f>
        <v/>
      </c>
      <c r="M790" t="str">
        <f>IF(A790="","",SUMIF(DB_Withdrawals!$C:$C,A790,DB_Withdrawals!$G:$G))</f>
        <v/>
      </c>
      <c r="N790" t="str">
        <f t="shared" si="24"/>
        <v/>
      </c>
      <c r="O790" t="str">
        <f t="shared" si="25"/>
        <v/>
      </c>
      <c r="P790" t="str">
        <f>IF(A790="","",MAX(0,N790-System_Config!$B$9))</f>
        <v/>
      </c>
    </row>
    <row r="791" spans="12:16" ht="15" customHeight="1" x14ac:dyDescent="0.25">
      <c r="L791" t="str">
        <f>IF(A791="","",SUMIF(DB_Savings!$C:$C,A791,DB_Savings!$F:$F))</f>
        <v/>
      </c>
      <c r="M791" t="str">
        <f>IF(A791="","",SUMIF(DB_Withdrawals!$C:$C,A791,DB_Withdrawals!$G:$G))</f>
        <v/>
      </c>
      <c r="N791" t="str">
        <f t="shared" si="24"/>
        <v/>
      </c>
      <c r="O791" t="str">
        <f t="shared" si="25"/>
        <v/>
      </c>
      <c r="P791" t="str">
        <f>IF(A791="","",MAX(0,N791-System_Config!$B$9))</f>
        <v/>
      </c>
    </row>
    <row r="792" spans="12:16" ht="15" customHeight="1" x14ac:dyDescent="0.25">
      <c r="L792" t="str">
        <f>IF(A792="","",SUMIF(DB_Savings!$C:$C,A792,DB_Savings!$F:$F))</f>
        <v/>
      </c>
      <c r="M792" t="str">
        <f>IF(A792="","",SUMIF(DB_Withdrawals!$C:$C,A792,DB_Withdrawals!$G:$G))</f>
        <v/>
      </c>
      <c r="N792" t="str">
        <f t="shared" si="24"/>
        <v/>
      </c>
      <c r="O792" t="str">
        <f t="shared" si="25"/>
        <v/>
      </c>
      <c r="P792" t="str">
        <f>IF(A792="","",MAX(0,N792-System_Config!$B$9))</f>
        <v/>
      </c>
    </row>
    <row r="793" spans="12:16" ht="15" customHeight="1" x14ac:dyDescent="0.25">
      <c r="L793" t="str">
        <f>IF(A793="","",SUMIF(DB_Savings!$C:$C,A793,DB_Savings!$F:$F))</f>
        <v/>
      </c>
      <c r="M793" t="str">
        <f>IF(A793="","",SUMIF(DB_Withdrawals!$C:$C,A793,DB_Withdrawals!$G:$G))</f>
        <v/>
      </c>
      <c r="N793" t="str">
        <f t="shared" si="24"/>
        <v/>
      </c>
      <c r="O793" t="str">
        <f t="shared" si="25"/>
        <v/>
      </c>
      <c r="P793" t="str">
        <f>IF(A793="","",MAX(0,N793-System_Config!$B$9))</f>
        <v/>
      </c>
    </row>
    <row r="794" spans="12:16" ht="15" customHeight="1" x14ac:dyDescent="0.25">
      <c r="L794" t="str">
        <f>IF(A794="","",SUMIF(DB_Savings!$C:$C,A794,DB_Savings!$F:$F))</f>
        <v/>
      </c>
      <c r="M794" t="str">
        <f>IF(A794="","",SUMIF(DB_Withdrawals!$C:$C,A794,DB_Withdrawals!$G:$G))</f>
        <v/>
      </c>
      <c r="N794" t="str">
        <f t="shared" si="24"/>
        <v/>
      </c>
      <c r="O794" t="str">
        <f t="shared" si="25"/>
        <v/>
      </c>
      <c r="P794" t="str">
        <f>IF(A794="","",MAX(0,N794-System_Config!$B$9))</f>
        <v/>
      </c>
    </row>
    <row r="795" spans="12:16" ht="15" customHeight="1" x14ac:dyDescent="0.25">
      <c r="L795" t="str">
        <f>IF(A795="","",SUMIF(DB_Savings!$C:$C,A795,DB_Savings!$F:$F))</f>
        <v/>
      </c>
      <c r="M795" t="str">
        <f>IF(A795="","",SUMIF(DB_Withdrawals!$C:$C,A795,DB_Withdrawals!$G:$G))</f>
        <v/>
      </c>
      <c r="N795" t="str">
        <f t="shared" si="24"/>
        <v/>
      </c>
      <c r="O795" t="str">
        <f t="shared" si="25"/>
        <v/>
      </c>
      <c r="P795" t="str">
        <f>IF(A795="","",MAX(0,N795-System_Config!$B$9))</f>
        <v/>
      </c>
    </row>
    <row r="796" spans="12:16" ht="15" customHeight="1" x14ac:dyDescent="0.25">
      <c r="L796" t="str">
        <f>IF(A796="","",SUMIF(DB_Savings!$C:$C,A796,DB_Savings!$F:$F))</f>
        <v/>
      </c>
      <c r="M796" t="str">
        <f>IF(A796="","",SUMIF(DB_Withdrawals!$C:$C,A796,DB_Withdrawals!$G:$G))</f>
        <v/>
      </c>
      <c r="N796" t="str">
        <f t="shared" si="24"/>
        <v/>
      </c>
      <c r="O796" t="str">
        <f t="shared" si="25"/>
        <v/>
      </c>
      <c r="P796" t="str">
        <f>IF(A796="","",MAX(0,N796-System_Config!$B$9))</f>
        <v/>
      </c>
    </row>
    <row r="797" spans="12:16" ht="15" customHeight="1" x14ac:dyDescent="0.25">
      <c r="L797" t="str">
        <f>IF(A797="","",SUMIF(DB_Savings!$C:$C,A797,DB_Savings!$F:$F))</f>
        <v/>
      </c>
      <c r="M797" t="str">
        <f>IF(A797="","",SUMIF(DB_Withdrawals!$C:$C,A797,DB_Withdrawals!$G:$G))</f>
        <v/>
      </c>
      <c r="N797" t="str">
        <f t="shared" si="24"/>
        <v/>
      </c>
      <c r="O797" t="str">
        <f t="shared" si="25"/>
        <v/>
      </c>
      <c r="P797" t="str">
        <f>IF(A797="","",MAX(0,N797-System_Config!$B$9))</f>
        <v/>
      </c>
    </row>
    <row r="798" spans="12:16" ht="15" customHeight="1" x14ac:dyDescent="0.25">
      <c r="L798" t="str">
        <f>IF(A798="","",SUMIF(DB_Savings!$C:$C,A798,DB_Savings!$F:$F))</f>
        <v/>
      </c>
      <c r="M798" t="str">
        <f>IF(A798="","",SUMIF(DB_Withdrawals!$C:$C,A798,DB_Withdrawals!$G:$G))</f>
        <v/>
      </c>
      <c r="N798" t="str">
        <f t="shared" si="24"/>
        <v/>
      </c>
      <c r="O798" t="str">
        <f t="shared" si="25"/>
        <v/>
      </c>
      <c r="P798" t="str">
        <f>IF(A798="","",MAX(0,N798-System_Config!$B$9))</f>
        <v/>
      </c>
    </row>
    <row r="799" spans="12:16" ht="15" customHeight="1" x14ac:dyDescent="0.25">
      <c r="L799" t="str">
        <f>IF(A799="","",SUMIF(DB_Savings!$C:$C,A799,DB_Savings!$F:$F))</f>
        <v/>
      </c>
      <c r="M799" t="str">
        <f>IF(A799="","",SUMIF(DB_Withdrawals!$C:$C,A799,DB_Withdrawals!$G:$G))</f>
        <v/>
      </c>
      <c r="N799" t="str">
        <f t="shared" si="24"/>
        <v/>
      </c>
      <c r="O799" t="str">
        <f t="shared" si="25"/>
        <v/>
      </c>
      <c r="P799" t="str">
        <f>IF(A799="","",MAX(0,N799-System_Config!$B$9))</f>
        <v/>
      </c>
    </row>
    <row r="800" spans="12:16" ht="15" customHeight="1" x14ac:dyDescent="0.25">
      <c r="L800" t="str">
        <f>IF(A800="","",SUMIF(DB_Savings!$C:$C,A800,DB_Savings!$F:$F))</f>
        <v/>
      </c>
      <c r="M800" t="str">
        <f>IF(A800="","",SUMIF(DB_Withdrawals!$C:$C,A800,DB_Withdrawals!$G:$G))</f>
        <v/>
      </c>
      <c r="N800" t="str">
        <f t="shared" si="24"/>
        <v/>
      </c>
      <c r="O800" t="str">
        <f t="shared" si="25"/>
        <v/>
      </c>
      <c r="P800" t="str">
        <f>IF(A800="","",MAX(0,N800-System_Config!$B$9))</f>
        <v/>
      </c>
    </row>
    <row r="801" spans="12:16" ht="15" customHeight="1" x14ac:dyDescent="0.25">
      <c r="L801" t="str">
        <f>IF(A801="","",SUMIF(DB_Savings!$C:$C,A801,DB_Savings!$F:$F))</f>
        <v/>
      </c>
      <c r="M801" t="str">
        <f>IF(A801="","",SUMIF(DB_Withdrawals!$C:$C,A801,DB_Withdrawals!$G:$G))</f>
        <v/>
      </c>
      <c r="N801" t="str">
        <f t="shared" si="24"/>
        <v/>
      </c>
      <c r="O801" t="str">
        <f t="shared" si="25"/>
        <v/>
      </c>
      <c r="P801" t="str">
        <f>IF(A801="","",MAX(0,N801-System_Config!$B$9))</f>
        <v/>
      </c>
    </row>
    <row r="802" spans="12:16" ht="15" customHeight="1" x14ac:dyDescent="0.25">
      <c r="L802" t="str">
        <f>IF(A802="","",SUMIF(DB_Savings!$C:$C,A802,DB_Savings!$F:$F))</f>
        <v/>
      </c>
      <c r="M802" t="str">
        <f>IF(A802="","",SUMIF(DB_Withdrawals!$C:$C,A802,DB_Withdrawals!$G:$G))</f>
        <v/>
      </c>
      <c r="N802" t="str">
        <f t="shared" si="24"/>
        <v/>
      </c>
      <c r="O802" t="str">
        <f t="shared" si="25"/>
        <v/>
      </c>
      <c r="P802" t="str">
        <f>IF(A802="","",MAX(0,N802-System_Config!$B$9))</f>
        <v/>
      </c>
    </row>
    <row r="803" spans="12:16" ht="15" customHeight="1" x14ac:dyDescent="0.25">
      <c r="L803" t="str">
        <f>IF(A803="","",SUMIF(DB_Savings!$C:$C,A803,DB_Savings!$F:$F))</f>
        <v/>
      </c>
      <c r="M803" t="str">
        <f>IF(A803="","",SUMIF(DB_Withdrawals!$C:$C,A803,DB_Withdrawals!$G:$G))</f>
        <v/>
      </c>
      <c r="N803" t="str">
        <f t="shared" si="24"/>
        <v/>
      </c>
      <c r="O803" t="str">
        <f t="shared" si="25"/>
        <v/>
      </c>
      <c r="P803" t="str">
        <f>IF(A803="","",MAX(0,N803-System_Config!$B$9))</f>
        <v/>
      </c>
    </row>
    <row r="804" spans="12:16" ht="15" customHeight="1" x14ac:dyDescent="0.25">
      <c r="L804" t="str">
        <f>IF(A804="","",SUMIF(DB_Savings!$C:$C,A804,DB_Savings!$F:$F))</f>
        <v/>
      </c>
      <c r="M804" t="str">
        <f>IF(A804="","",SUMIF(DB_Withdrawals!$C:$C,A804,DB_Withdrawals!$G:$G))</f>
        <v/>
      </c>
      <c r="N804" t="str">
        <f t="shared" si="24"/>
        <v/>
      </c>
      <c r="O804" t="str">
        <f t="shared" si="25"/>
        <v/>
      </c>
      <c r="P804" t="str">
        <f>IF(A804="","",MAX(0,N804-System_Config!$B$9))</f>
        <v/>
      </c>
    </row>
    <row r="805" spans="12:16" ht="15" customHeight="1" x14ac:dyDescent="0.25">
      <c r="L805" t="str">
        <f>IF(A805="","",SUMIF(DB_Savings!$C:$C,A805,DB_Savings!$F:$F))</f>
        <v/>
      </c>
      <c r="M805" t="str">
        <f>IF(A805="","",SUMIF(DB_Withdrawals!$C:$C,A805,DB_Withdrawals!$G:$G))</f>
        <v/>
      </c>
      <c r="N805" t="str">
        <f t="shared" si="24"/>
        <v/>
      </c>
      <c r="O805" t="str">
        <f t="shared" si="25"/>
        <v/>
      </c>
      <c r="P805" t="str">
        <f>IF(A805="","",MAX(0,N805-System_Config!$B$9))</f>
        <v/>
      </c>
    </row>
    <row r="806" spans="12:16" ht="15" customHeight="1" x14ac:dyDescent="0.25">
      <c r="L806" t="str">
        <f>IF(A806="","",SUMIF(DB_Savings!$C:$C,A806,DB_Savings!$F:$F))</f>
        <v/>
      </c>
      <c r="M806" t="str">
        <f>IF(A806="","",SUMIF(DB_Withdrawals!$C:$C,A806,DB_Withdrawals!$G:$G))</f>
        <v/>
      </c>
      <c r="N806" t="str">
        <f t="shared" si="24"/>
        <v/>
      </c>
      <c r="O806" t="str">
        <f t="shared" si="25"/>
        <v/>
      </c>
      <c r="P806" t="str">
        <f>IF(A806="","",MAX(0,N806-System_Config!$B$9))</f>
        <v/>
      </c>
    </row>
    <row r="807" spans="12:16" ht="15" customHeight="1" x14ac:dyDescent="0.25">
      <c r="L807" t="str">
        <f>IF(A807="","",SUMIF(DB_Savings!$C:$C,A807,DB_Savings!$F:$F))</f>
        <v/>
      </c>
      <c r="M807" t="str">
        <f>IF(A807="","",SUMIF(DB_Withdrawals!$C:$C,A807,DB_Withdrawals!$G:$G))</f>
        <v/>
      </c>
      <c r="N807" t="str">
        <f t="shared" si="24"/>
        <v/>
      </c>
      <c r="O807" t="str">
        <f t="shared" si="25"/>
        <v/>
      </c>
      <c r="P807" t="str">
        <f>IF(A807="","",MAX(0,N807-System_Config!$B$9))</f>
        <v/>
      </c>
    </row>
    <row r="808" spans="12:16" ht="15" customHeight="1" x14ac:dyDescent="0.25">
      <c r="L808" t="str">
        <f>IF(A808="","",SUMIF(DB_Savings!$C:$C,A808,DB_Savings!$F:$F))</f>
        <v/>
      </c>
      <c r="M808" t="str">
        <f>IF(A808="","",SUMIF(DB_Withdrawals!$C:$C,A808,DB_Withdrawals!$G:$G))</f>
        <v/>
      </c>
      <c r="N808" t="str">
        <f t="shared" si="24"/>
        <v/>
      </c>
      <c r="O808" t="str">
        <f t="shared" si="25"/>
        <v/>
      </c>
      <c r="P808" t="str">
        <f>IF(A808="","",MAX(0,N808-System_Config!$B$9))</f>
        <v/>
      </c>
    </row>
    <row r="809" spans="12:16" ht="15" customHeight="1" x14ac:dyDescent="0.25">
      <c r="L809" t="str">
        <f>IF(A809="","",SUMIF(DB_Savings!$C:$C,A809,DB_Savings!$F:$F))</f>
        <v/>
      </c>
      <c r="M809" t="str">
        <f>IF(A809="","",SUMIF(DB_Withdrawals!$C:$C,A809,DB_Withdrawals!$G:$G))</f>
        <v/>
      </c>
      <c r="N809" t="str">
        <f t="shared" si="24"/>
        <v/>
      </c>
      <c r="O809" t="str">
        <f t="shared" si="25"/>
        <v/>
      </c>
      <c r="P809" t="str">
        <f>IF(A809="","",MAX(0,N809-System_Config!$B$9))</f>
        <v/>
      </c>
    </row>
    <row r="810" spans="12:16" ht="15" customHeight="1" x14ac:dyDescent="0.25">
      <c r="L810" t="str">
        <f>IF(A810="","",SUMIF(DB_Savings!$C:$C,A810,DB_Savings!$F:$F))</f>
        <v/>
      </c>
      <c r="M810" t="str">
        <f>IF(A810="","",SUMIF(DB_Withdrawals!$C:$C,A810,DB_Withdrawals!$G:$G))</f>
        <v/>
      </c>
      <c r="N810" t="str">
        <f t="shared" si="24"/>
        <v/>
      </c>
      <c r="O810" t="str">
        <f t="shared" si="25"/>
        <v/>
      </c>
      <c r="P810" t="str">
        <f>IF(A810="","",MAX(0,N810-System_Config!$B$9))</f>
        <v/>
      </c>
    </row>
    <row r="811" spans="12:16" ht="15" customHeight="1" x14ac:dyDescent="0.25">
      <c r="L811" t="str">
        <f>IF(A811="","",SUMIF(DB_Savings!$C:$C,A811,DB_Savings!$F:$F))</f>
        <v/>
      </c>
      <c r="M811" t="str">
        <f>IF(A811="","",SUMIF(DB_Withdrawals!$C:$C,A811,DB_Withdrawals!$G:$G))</f>
        <v/>
      </c>
      <c r="N811" t="str">
        <f t="shared" si="24"/>
        <v/>
      </c>
      <c r="O811" t="str">
        <f t="shared" si="25"/>
        <v/>
      </c>
      <c r="P811" t="str">
        <f>IF(A811="","",MAX(0,N811-System_Config!$B$9))</f>
        <v/>
      </c>
    </row>
    <row r="812" spans="12:16" ht="15" customHeight="1" x14ac:dyDescent="0.25">
      <c r="L812" t="str">
        <f>IF(A812="","",SUMIF(DB_Savings!$C:$C,A812,DB_Savings!$F:$F))</f>
        <v/>
      </c>
      <c r="M812" t="str">
        <f>IF(A812="","",SUMIF(DB_Withdrawals!$C:$C,A812,DB_Withdrawals!$G:$G))</f>
        <v/>
      </c>
      <c r="N812" t="str">
        <f t="shared" si="24"/>
        <v/>
      </c>
      <c r="O812" t="str">
        <f t="shared" si="25"/>
        <v/>
      </c>
      <c r="P812" t="str">
        <f>IF(A812="","",MAX(0,N812-System_Config!$B$9))</f>
        <v/>
      </c>
    </row>
    <row r="813" spans="12:16" ht="15" customHeight="1" x14ac:dyDescent="0.25">
      <c r="L813" t="str">
        <f>IF(A813="","",SUMIF(DB_Savings!$C:$C,A813,DB_Savings!$F:$F))</f>
        <v/>
      </c>
      <c r="M813" t="str">
        <f>IF(A813="","",SUMIF(DB_Withdrawals!$C:$C,A813,DB_Withdrawals!$G:$G))</f>
        <v/>
      </c>
      <c r="N813" t="str">
        <f t="shared" si="24"/>
        <v/>
      </c>
      <c r="O813" t="str">
        <f t="shared" si="25"/>
        <v/>
      </c>
      <c r="P813" t="str">
        <f>IF(A813="","",MAX(0,N813-System_Config!$B$9))</f>
        <v/>
      </c>
    </row>
    <row r="814" spans="12:16" ht="15" customHeight="1" x14ac:dyDescent="0.25">
      <c r="L814" t="str">
        <f>IF(A814="","",SUMIF(DB_Savings!$C:$C,A814,DB_Savings!$F:$F))</f>
        <v/>
      </c>
      <c r="M814" t="str">
        <f>IF(A814="","",SUMIF(DB_Withdrawals!$C:$C,A814,DB_Withdrawals!$G:$G))</f>
        <v/>
      </c>
      <c r="N814" t="str">
        <f t="shared" si="24"/>
        <v/>
      </c>
      <c r="O814" t="str">
        <f t="shared" si="25"/>
        <v/>
      </c>
      <c r="P814" t="str">
        <f>IF(A814="","",MAX(0,N814-System_Config!$B$9))</f>
        <v/>
      </c>
    </row>
    <row r="815" spans="12:16" ht="15" customHeight="1" x14ac:dyDescent="0.25">
      <c r="L815" t="str">
        <f>IF(A815="","",SUMIF(DB_Savings!$C:$C,A815,DB_Savings!$F:$F))</f>
        <v/>
      </c>
      <c r="M815" t="str">
        <f>IF(A815="","",SUMIF(DB_Withdrawals!$C:$C,A815,DB_Withdrawals!$G:$G))</f>
        <v/>
      </c>
      <c r="N815" t="str">
        <f t="shared" si="24"/>
        <v/>
      </c>
      <c r="O815" t="str">
        <f t="shared" si="25"/>
        <v/>
      </c>
      <c r="P815" t="str">
        <f>IF(A815="","",MAX(0,N815-System_Config!$B$9))</f>
        <v/>
      </c>
    </row>
    <row r="816" spans="12:16" ht="15" customHeight="1" x14ac:dyDescent="0.25">
      <c r="L816" t="str">
        <f>IF(A816="","",SUMIF(DB_Savings!$C:$C,A816,DB_Savings!$F:$F))</f>
        <v/>
      </c>
      <c r="M816" t="str">
        <f>IF(A816="","",SUMIF(DB_Withdrawals!$C:$C,A816,DB_Withdrawals!$G:$G))</f>
        <v/>
      </c>
      <c r="N816" t="str">
        <f t="shared" si="24"/>
        <v/>
      </c>
      <c r="O816" t="str">
        <f t="shared" si="25"/>
        <v/>
      </c>
      <c r="P816" t="str">
        <f>IF(A816="","",MAX(0,N816-System_Config!$B$9))</f>
        <v/>
      </c>
    </row>
    <row r="817" spans="12:16" ht="15" customHeight="1" x14ac:dyDescent="0.25">
      <c r="L817" t="str">
        <f>IF(A817="","",SUMIF(DB_Savings!$C:$C,A817,DB_Savings!$F:$F))</f>
        <v/>
      </c>
      <c r="M817" t="str">
        <f>IF(A817="","",SUMIF(DB_Withdrawals!$C:$C,A817,DB_Withdrawals!$G:$G))</f>
        <v/>
      </c>
      <c r="N817" t="str">
        <f t="shared" si="24"/>
        <v/>
      </c>
      <c r="O817" t="str">
        <f t="shared" si="25"/>
        <v/>
      </c>
      <c r="P817" t="str">
        <f>IF(A817="","",MAX(0,N817-System_Config!$B$9))</f>
        <v/>
      </c>
    </row>
    <row r="818" spans="12:16" ht="15" customHeight="1" x14ac:dyDescent="0.25">
      <c r="L818" t="str">
        <f>IF(A818="","",SUMIF(DB_Savings!$C:$C,A818,DB_Savings!$F:$F))</f>
        <v/>
      </c>
      <c r="M818" t="str">
        <f>IF(A818="","",SUMIF(DB_Withdrawals!$C:$C,A818,DB_Withdrawals!$G:$G))</f>
        <v/>
      </c>
      <c r="N818" t="str">
        <f t="shared" si="24"/>
        <v/>
      </c>
      <c r="O818" t="str">
        <f t="shared" si="25"/>
        <v/>
      </c>
      <c r="P818" t="str">
        <f>IF(A818="","",MAX(0,N818-System_Config!$B$9))</f>
        <v/>
      </c>
    </row>
    <row r="819" spans="12:16" ht="15" customHeight="1" x14ac:dyDescent="0.25">
      <c r="L819" t="str">
        <f>IF(A819="","",SUMIF(DB_Savings!$C:$C,A819,DB_Savings!$F:$F))</f>
        <v/>
      </c>
      <c r="M819" t="str">
        <f>IF(A819="","",SUMIF(DB_Withdrawals!$C:$C,A819,DB_Withdrawals!$G:$G))</f>
        <v/>
      </c>
      <c r="N819" t="str">
        <f t="shared" si="24"/>
        <v/>
      </c>
      <c r="O819" t="str">
        <f t="shared" si="25"/>
        <v/>
      </c>
      <c r="P819" t="str">
        <f>IF(A819="","",MAX(0,N819-System_Config!$B$9))</f>
        <v/>
      </c>
    </row>
    <row r="820" spans="12:16" ht="15" customHeight="1" x14ac:dyDescent="0.25">
      <c r="L820" t="str">
        <f>IF(A820="","",SUMIF(DB_Savings!$C:$C,A820,DB_Savings!$F:$F))</f>
        <v/>
      </c>
      <c r="M820" t="str">
        <f>IF(A820="","",SUMIF(DB_Withdrawals!$C:$C,A820,DB_Withdrawals!$G:$G))</f>
        <v/>
      </c>
      <c r="N820" t="str">
        <f t="shared" si="24"/>
        <v/>
      </c>
      <c r="O820" t="str">
        <f t="shared" si="25"/>
        <v/>
      </c>
      <c r="P820" t="str">
        <f>IF(A820="","",MAX(0,N820-System_Config!$B$9))</f>
        <v/>
      </c>
    </row>
    <row r="821" spans="12:16" ht="15" customHeight="1" x14ac:dyDescent="0.25">
      <c r="L821" t="str">
        <f>IF(A821="","",SUMIF(DB_Savings!$C:$C,A821,DB_Savings!$F:$F))</f>
        <v/>
      </c>
      <c r="M821" t="str">
        <f>IF(A821="","",SUMIF(DB_Withdrawals!$C:$C,A821,DB_Withdrawals!$G:$G))</f>
        <v/>
      </c>
      <c r="N821" t="str">
        <f t="shared" si="24"/>
        <v/>
      </c>
      <c r="O821" t="str">
        <f t="shared" si="25"/>
        <v/>
      </c>
      <c r="P821" t="str">
        <f>IF(A821="","",MAX(0,N821-System_Config!$B$9))</f>
        <v/>
      </c>
    </row>
    <row r="822" spans="12:16" ht="15" customHeight="1" x14ac:dyDescent="0.25">
      <c r="L822" t="str">
        <f>IF(A822="","",SUMIF(DB_Savings!$C:$C,A822,DB_Savings!$F:$F))</f>
        <v/>
      </c>
      <c r="M822" t="str">
        <f>IF(A822="","",SUMIF(DB_Withdrawals!$C:$C,A822,DB_Withdrawals!$G:$G))</f>
        <v/>
      </c>
      <c r="N822" t="str">
        <f t="shared" si="24"/>
        <v/>
      </c>
      <c r="O822" t="str">
        <f t="shared" si="25"/>
        <v/>
      </c>
      <c r="P822" t="str">
        <f>IF(A822="","",MAX(0,N822-System_Config!$B$9))</f>
        <v/>
      </c>
    </row>
    <row r="823" spans="12:16" ht="15" customHeight="1" x14ac:dyDescent="0.25">
      <c r="L823" t="str">
        <f>IF(A823="","",SUMIF(DB_Savings!$C:$C,A823,DB_Savings!$F:$F))</f>
        <v/>
      </c>
      <c r="M823" t="str">
        <f>IF(A823="","",SUMIF(DB_Withdrawals!$C:$C,A823,DB_Withdrawals!$G:$G))</f>
        <v/>
      </c>
      <c r="N823" t="str">
        <f t="shared" si="24"/>
        <v/>
      </c>
      <c r="O823" t="str">
        <f t="shared" si="25"/>
        <v/>
      </c>
      <c r="P823" t="str">
        <f>IF(A823="","",MAX(0,N823-System_Config!$B$9))</f>
        <v/>
      </c>
    </row>
    <row r="824" spans="12:16" ht="15" customHeight="1" x14ac:dyDescent="0.25">
      <c r="L824" t="str">
        <f>IF(A824="","",SUMIF(DB_Savings!$C:$C,A824,DB_Savings!$F:$F))</f>
        <v/>
      </c>
      <c r="M824" t="str">
        <f>IF(A824="","",SUMIF(DB_Withdrawals!$C:$C,A824,DB_Withdrawals!$G:$G))</f>
        <v/>
      </c>
      <c r="N824" t="str">
        <f t="shared" si="24"/>
        <v/>
      </c>
      <c r="O824" t="str">
        <f t="shared" si="25"/>
        <v/>
      </c>
      <c r="P824" t="str">
        <f>IF(A824="","",MAX(0,N824-System_Config!$B$9))</f>
        <v/>
      </c>
    </row>
    <row r="825" spans="12:16" ht="15" customHeight="1" x14ac:dyDescent="0.25">
      <c r="L825" t="str">
        <f>IF(A825="","",SUMIF(DB_Savings!$C:$C,A825,DB_Savings!$F:$F))</f>
        <v/>
      </c>
      <c r="M825" t="str">
        <f>IF(A825="","",SUMIF(DB_Withdrawals!$C:$C,A825,DB_Withdrawals!$G:$G))</f>
        <v/>
      </c>
      <c r="N825" t="str">
        <f t="shared" si="24"/>
        <v/>
      </c>
      <c r="O825" t="str">
        <f t="shared" si="25"/>
        <v/>
      </c>
      <c r="P825" t="str">
        <f>IF(A825="","",MAX(0,N825-System_Config!$B$9))</f>
        <v/>
      </c>
    </row>
    <row r="826" spans="12:16" ht="15" customHeight="1" x14ac:dyDescent="0.25">
      <c r="L826" t="str">
        <f>IF(A826="","",SUMIF(DB_Savings!$C:$C,A826,DB_Savings!$F:$F))</f>
        <v/>
      </c>
      <c r="M826" t="str">
        <f>IF(A826="","",SUMIF(DB_Withdrawals!$C:$C,A826,DB_Withdrawals!$G:$G))</f>
        <v/>
      </c>
      <c r="N826" t="str">
        <f t="shared" si="24"/>
        <v/>
      </c>
      <c r="O826" t="str">
        <f t="shared" si="25"/>
        <v/>
      </c>
      <c r="P826" t="str">
        <f>IF(A826="","",MAX(0,N826-System_Config!$B$9))</f>
        <v/>
      </c>
    </row>
    <row r="827" spans="12:16" ht="15" customHeight="1" x14ac:dyDescent="0.25">
      <c r="L827" t="str">
        <f>IF(A827="","",SUMIF(DB_Savings!$C:$C,A827,DB_Savings!$F:$F))</f>
        <v/>
      </c>
      <c r="M827" t="str">
        <f>IF(A827="","",SUMIF(DB_Withdrawals!$C:$C,A827,DB_Withdrawals!$G:$G))</f>
        <v/>
      </c>
      <c r="N827" t="str">
        <f t="shared" si="24"/>
        <v/>
      </c>
      <c r="O827" t="str">
        <f t="shared" si="25"/>
        <v/>
      </c>
      <c r="P827" t="str">
        <f>IF(A827="","",MAX(0,N827-System_Config!$B$9))</f>
        <v/>
      </c>
    </row>
    <row r="828" spans="12:16" ht="15" customHeight="1" x14ac:dyDescent="0.25">
      <c r="L828" t="str">
        <f>IF(A828="","",SUMIF(DB_Savings!$C:$C,A828,DB_Savings!$F:$F))</f>
        <v/>
      </c>
      <c r="M828" t="str">
        <f>IF(A828="","",SUMIF(DB_Withdrawals!$C:$C,A828,DB_Withdrawals!$G:$G))</f>
        <v/>
      </c>
      <c r="N828" t="str">
        <f t="shared" si="24"/>
        <v/>
      </c>
      <c r="O828" t="str">
        <f t="shared" si="25"/>
        <v/>
      </c>
      <c r="P828" t="str">
        <f>IF(A828="","",MAX(0,N828-System_Config!$B$9))</f>
        <v/>
      </c>
    </row>
    <row r="829" spans="12:16" ht="15" customHeight="1" x14ac:dyDescent="0.25">
      <c r="L829" t="str">
        <f>IF(A829="","",SUMIF(DB_Savings!$C:$C,A829,DB_Savings!$F:$F))</f>
        <v/>
      </c>
      <c r="M829" t="str">
        <f>IF(A829="","",SUMIF(DB_Withdrawals!$C:$C,A829,DB_Withdrawals!$G:$G))</f>
        <v/>
      </c>
      <c r="N829" t="str">
        <f t="shared" si="24"/>
        <v/>
      </c>
      <c r="O829" t="str">
        <f t="shared" si="25"/>
        <v/>
      </c>
      <c r="P829" t="str">
        <f>IF(A829="","",MAX(0,N829-System_Config!$B$9))</f>
        <v/>
      </c>
    </row>
    <row r="830" spans="12:16" ht="15" customHeight="1" x14ac:dyDescent="0.25">
      <c r="L830" t="str">
        <f>IF(A830="","",SUMIF(DB_Savings!$C:$C,A830,DB_Savings!$F:$F))</f>
        <v/>
      </c>
      <c r="M830" t="str">
        <f>IF(A830="","",SUMIF(DB_Withdrawals!$C:$C,A830,DB_Withdrawals!$G:$G))</f>
        <v/>
      </c>
      <c r="N830" t="str">
        <f t="shared" si="24"/>
        <v/>
      </c>
      <c r="O830" t="str">
        <f t="shared" si="25"/>
        <v/>
      </c>
      <c r="P830" t="str">
        <f>IF(A830="","",MAX(0,N830-System_Config!$B$9))</f>
        <v/>
      </c>
    </row>
    <row r="831" spans="12:16" ht="15" customHeight="1" x14ac:dyDescent="0.25">
      <c r="L831" t="str">
        <f>IF(A831="","",SUMIF(DB_Savings!$C:$C,A831,DB_Savings!$F:$F))</f>
        <v/>
      </c>
      <c r="M831" t="str">
        <f>IF(A831="","",SUMIF(DB_Withdrawals!$C:$C,A831,DB_Withdrawals!$G:$G))</f>
        <v/>
      </c>
      <c r="N831" t="str">
        <f t="shared" si="24"/>
        <v/>
      </c>
      <c r="O831" t="str">
        <f t="shared" si="25"/>
        <v/>
      </c>
      <c r="P831" t="str">
        <f>IF(A831="","",MAX(0,N831-System_Config!$B$9))</f>
        <v/>
      </c>
    </row>
    <row r="832" spans="12:16" ht="15" customHeight="1" x14ac:dyDescent="0.25">
      <c r="L832" t="str">
        <f>IF(A832="","",SUMIF(DB_Savings!$C:$C,A832,DB_Savings!$F:$F))</f>
        <v/>
      </c>
      <c r="M832" t="str">
        <f>IF(A832="","",SUMIF(DB_Withdrawals!$C:$C,A832,DB_Withdrawals!$G:$G))</f>
        <v/>
      </c>
      <c r="N832" t="str">
        <f t="shared" si="24"/>
        <v/>
      </c>
      <c r="O832" t="str">
        <f t="shared" si="25"/>
        <v/>
      </c>
      <c r="P832" t="str">
        <f>IF(A832="","",MAX(0,N832-System_Config!$B$9))</f>
        <v/>
      </c>
    </row>
    <row r="833" spans="12:16" ht="15" customHeight="1" x14ac:dyDescent="0.25">
      <c r="L833" t="str">
        <f>IF(A833="","",SUMIF(DB_Savings!$C:$C,A833,DB_Savings!$F:$F))</f>
        <v/>
      </c>
      <c r="M833" t="str">
        <f>IF(A833="","",SUMIF(DB_Withdrawals!$C:$C,A833,DB_Withdrawals!$G:$G))</f>
        <v/>
      </c>
      <c r="N833" t="str">
        <f t="shared" si="24"/>
        <v/>
      </c>
      <c r="O833" t="str">
        <f t="shared" si="25"/>
        <v/>
      </c>
      <c r="P833" t="str">
        <f>IF(A833="","",MAX(0,N833-System_Config!$B$9))</f>
        <v/>
      </c>
    </row>
    <row r="834" spans="12:16" ht="15" customHeight="1" x14ac:dyDescent="0.25">
      <c r="L834" t="str">
        <f>IF(A834="","",SUMIF(DB_Savings!$C:$C,A834,DB_Savings!$F:$F))</f>
        <v/>
      </c>
      <c r="M834" t="str">
        <f>IF(A834="","",SUMIF(DB_Withdrawals!$C:$C,A834,DB_Withdrawals!$G:$G))</f>
        <v/>
      </c>
      <c r="N834" t="str">
        <f t="shared" si="24"/>
        <v/>
      </c>
      <c r="O834" t="str">
        <f t="shared" si="25"/>
        <v/>
      </c>
      <c r="P834" t="str">
        <f>IF(A834="","",MAX(0,N834-System_Config!$B$9))</f>
        <v/>
      </c>
    </row>
    <row r="835" spans="12:16" ht="15" customHeight="1" x14ac:dyDescent="0.25">
      <c r="L835" t="str">
        <f>IF(A835="","",SUMIF(DB_Savings!$C:$C,A835,DB_Savings!$F:$F))</f>
        <v/>
      </c>
      <c r="M835" t="str">
        <f>IF(A835="","",SUMIF(DB_Withdrawals!$C:$C,A835,DB_Withdrawals!$G:$G))</f>
        <v/>
      </c>
      <c r="N835" t="str">
        <f t="shared" si="24"/>
        <v/>
      </c>
      <c r="O835" t="str">
        <f t="shared" si="25"/>
        <v/>
      </c>
      <c r="P835" t="str">
        <f>IF(A835="","",MAX(0,N835-System_Config!$B$9))</f>
        <v/>
      </c>
    </row>
    <row r="836" spans="12:16" ht="15" customHeight="1" x14ac:dyDescent="0.25">
      <c r="L836" t="str">
        <f>IF(A836="","",SUMIF(DB_Savings!$C:$C,A836,DB_Savings!$F:$F))</f>
        <v/>
      </c>
      <c r="M836" t="str">
        <f>IF(A836="","",SUMIF(DB_Withdrawals!$C:$C,A836,DB_Withdrawals!$G:$G))</f>
        <v/>
      </c>
      <c r="N836" t="str">
        <f t="shared" ref="N836:N899" si="26">IF(A836="","",I836+L836-M836)</f>
        <v/>
      </c>
      <c r="O836" t="str">
        <f t="shared" ref="O836:O899" si="27">IF(A836="","",TRUE())</f>
        <v/>
      </c>
      <c r="P836" t="str">
        <f>IF(A836="","",MAX(0,N836-System_Config!$B$9))</f>
        <v/>
      </c>
    </row>
    <row r="837" spans="12:16" ht="15" customHeight="1" x14ac:dyDescent="0.25">
      <c r="L837" t="str">
        <f>IF(A837="","",SUMIF(DB_Savings!$C:$C,A837,DB_Savings!$F:$F))</f>
        <v/>
      </c>
      <c r="M837" t="str">
        <f>IF(A837="","",SUMIF(DB_Withdrawals!$C:$C,A837,DB_Withdrawals!$G:$G))</f>
        <v/>
      </c>
      <c r="N837" t="str">
        <f t="shared" si="26"/>
        <v/>
      </c>
      <c r="O837" t="str">
        <f t="shared" si="27"/>
        <v/>
      </c>
      <c r="P837" t="str">
        <f>IF(A837="","",MAX(0,N837-System_Config!$B$9))</f>
        <v/>
      </c>
    </row>
    <row r="838" spans="12:16" ht="15" customHeight="1" x14ac:dyDescent="0.25">
      <c r="L838" t="str">
        <f>IF(A838="","",SUMIF(DB_Savings!$C:$C,A838,DB_Savings!$F:$F))</f>
        <v/>
      </c>
      <c r="M838" t="str">
        <f>IF(A838="","",SUMIF(DB_Withdrawals!$C:$C,A838,DB_Withdrawals!$G:$G))</f>
        <v/>
      </c>
      <c r="N838" t="str">
        <f t="shared" si="26"/>
        <v/>
      </c>
      <c r="O838" t="str">
        <f t="shared" si="27"/>
        <v/>
      </c>
      <c r="P838" t="str">
        <f>IF(A838="","",MAX(0,N838-System_Config!$B$9))</f>
        <v/>
      </c>
    </row>
    <row r="839" spans="12:16" ht="15" customHeight="1" x14ac:dyDescent="0.25">
      <c r="L839" t="str">
        <f>IF(A839="","",SUMIF(DB_Savings!$C:$C,A839,DB_Savings!$F:$F))</f>
        <v/>
      </c>
      <c r="M839" t="str">
        <f>IF(A839="","",SUMIF(DB_Withdrawals!$C:$C,A839,DB_Withdrawals!$G:$G))</f>
        <v/>
      </c>
      <c r="N839" t="str">
        <f t="shared" si="26"/>
        <v/>
      </c>
      <c r="O839" t="str">
        <f t="shared" si="27"/>
        <v/>
      </c>
      <c r="P839" t="str">
        <f>IF(A839="","",MAX(0,N839-System_Config!$B$9))</f>
        <v/>
      </c>
    </row>
    <row r="840" spans="12:16" ht="15" customHeight="1" x14ac:dyDescent="0.25">
      <c r="L840" t="str">
        <f>IF(A840="","",SUMIF(DB_Savings!$C:$C,A840,DB_Savings!$F:$F))</f>
        <v/>
      </c>
      <c r="M840" t="str">
        <f>IF(A840="","",SUMIF(DB_Withdrawals!$C:$C,A840,DB_Withdrawals!$G:$G))</f>
        <v/>
      </c>
      <c r="N840" t="str">
        <f t="shared" si="26"/>
        <v/>
      </c>
      <c r="O840" t="str">
        <f t="shared" si="27"/>
        <v/>
      </c>
      <c r="P840" t="str">
        <f>IF(A840="","",MAX(0,N840-System_Config!$B$9))</f>
        <v/>
      </c>
    </row>
    <row r="841" spans="12:16" ht="15" customHeight="1" x14ac:dyDescent="0.25">
      <c r="L841" t="str">
        <f>IF(A841="","",SUMIF(DB_Savings!$C:$C,A841,DB_Savings!$F:$F))</f>
        <v/>
      </c>
      <c r="M841" t="str">
        <f>IF(A841="","",SUMIF(DB_Withdrawals!$C:$C,A841,DB_Withdrawals!$G:$G))</f>
        <v/>
      </c>
      <c r="N841" t="str">
        <f t="shared" si="26"/>
        <v/>
      </c>
      <c r="O841" t="str">
        <f t="shared" si="27"/>
        <v/>
      </c>
      <c r="P841" t="str">
        <f>IF(A841="","",MAX(0,N841-System_Config!$B$9))</f>
        <v/>
      </c>
    </row>
    <row r="842" spans="12:16" ht="15" customHeight="1" x14ac:dyDescent="0.25">
      <c r="L842" t="str">
        <f>IF(A842="","",SUMIF(DB_Savings!$C:$C,A842,DB_Savings!$F:$F))</f>
        <v/>
      </c>
      <c r="M842" t="str">
        <f>IF(A842="","",SUMIF(DB_Withdrawals!$C:$C,A842,DB_Withdrawals!$G:$G))</f>
        <v/>
      </c>
      <c r="N842" t="str">
        <f t="shared" si="26"/>
        <v/>
      </c>
      <c r="O842" t="str">
        <f t="shared" si="27"/>
        <v/>
      </c>
      <c r="P842" t="str">
        <f>IF(A842="","",MAX(0,N842-System_Config!$B$9))</f>
        <v/>
      </c>
    </row>
    <row r="843" spans="12:16" ht="15" customHeight="1" x14ac:dyDescent="0.25">
      <c r="L843" t="str">
        <f>IF(A843="","",SUMIF(DB_Savings!$C:$C,A843,DB_Savings!$F:$F))</f>
        <v/>
      </c>
      <c r="M843" t="str">
        <f>IF(A843="","",SUMIF(DB_Withdrawals!$C:$C,A843,DB_Withdrawals!$G:$G))</f>
        <v/>
      </c>
      <c r="N843" t="str">
        <f t="shared" si="26"/>
        <v/>
      </c>
      <c r="O843" t="str">
        <f t="shared" si="27"/>
        <v/>
      </c>
      <c r="P843" t="str">
        <f>IF(A843="","",MAX(0,N843-System_Config!$B$9))</f>
        <v/>
      </c>
    </row>
    <row r="844" spans="12:16" ht="15" customHeight="1" x14ac:dyDescent="0.25">
      <c r="L844" t="str">
        <f>IF(A844="","",SUMIF(DB_Savings!$C:$C,A844,DB_Savings!$F:$F))</f>
        <v/>
      </c>
      <c r="M844" t="str">
        <f>IF(A844="","",SUMIF(DB_Withdrawals!$C:$C,A844,DB_Withdrawals!$G:$G))</f>
        <v/>
      </c>
      <c r="N844" t="str">
        <f t="shared" si="26"/>
        <v/>
      </c>
      <c r="O844" t="str">
        <f t="shared" si="27"/>
        <v/>
      </c>
      <c r="P844" t="str">
        <f>IF(A844="","",MAX(0,N844-System_Config!$B$9))</f>
        <v/>
      </c>
    </row>
    <row r="845" spans="12:16" ht="15" customHeight="1" x14ac:dyDescent="0.25">
      <c r="L845" t="str">
        <f>IF(A845="","",SUMIF(DB_Savings!$C:$C,A845,DB_Savings!$F:$F))</f>
        <v/>
      </c>
      <c r="M845" t="str">
        <f>IF(A845="","",SUMIF(DB_Withdrawals!$C:$C,A845,DB_Withdrawals!$G:$G))</f>
        <v/>
      </c>
      <c r="N845" t="str">
        <f t="shared" si="26"/>
        <v/>
      </c>
      <c r="O845" t="str">
        <f t="shared" si="27"/>
        <v/>
      </c>
      <c r="P845" t="str">
        <f>IF(A845="","",MAX(0,N845-System_Config!$B$9))</f>
        <v/>
      </c>
    </row>
    <row r="846" spans="12:16" ht="15" customHeight="1" x14ac:dyDescent="0.25">
      <c r="L846" t="str">
        <f>IF(A846="","",SUMIF(DB_Savings!$C:$C,A846,DB_Savings!$F:$F))</f>
        <v/>
      </c>
      <c r="M846" t="str">
        <f>IF(A846="","",SUMIF(DB_Withdrawals!$C:$C,A846,DB_Withdrawals!$G:$G))</f>
        <v/>
      </c>
      <c r="N846" t="str">
        <f t="shared" si="26"/>
        <v/>
      </c>
      <c r="O846" t="str">
        <f t="shared" si="27"/>
        <v/>
      </c>
      <c r="P846" t="str">
        <f>IF(A846="","",MAX(0,N846-System_Config!$B$9))</f>
        <v/>
      </c>
    </row>
    <row r="847" spans="12:16" ht="15" customHeight="1" x14ac:dyDescent="0.25">
      <c r="L847" t="str">
        <f>IF(A847="","",SUMIF(DB_Savings!$C:$C,A847,DB_Savings!$F:$F))</f>
        <v/>
      </c>
      <c r="M847" t="str">
        <f>IF(A847="","",SUMIF(DB_Withdrawals!$C:$C,A847,DB_Withdrawals!$G:$G))</f>
        <v/>
      </c>
      <c r="N847" t="str">
        <f t="shared" si="26"/>
        <v/>
      </c>
      <c r="O847" t="str">
        <f t="shared" si="27"/>
        <v/>
      </c>
      <c r="P847" t="str">
        <f>IF(A847="","",MAX(0,N847-System_Config!$B$9))</f>
        <v/>
      </c>
    </row>
    <row r="848" spans="12:16" ht="15" customHeight="1" x14ac:dyDescent="0.25">
      <c r="L848" t="str">
        <f>IF(A848="","",SUMIF(DB_Savings!$C:$C,A848,DB_Savings!$F:$F))</f>
        <v/>
      </c>
      <c r="M848" t="str">
        <f>IF(A848="","",SUMIF(DB_Withdrawals!$C:$C,A848,DB_Withdrawals!$G:$G))</f>
        <v/>
      </c>
      <c r="N848" t="str">
        <f t="shared" si="26"/>
        <v/>
      </c>
      <c r="O848" t="str">
        <f t="shared" si="27"/>
        <v/>
      </c>
      <c r="P848" t="str">
        <f>IF(A848="","",MAX(0,N848-System_Config!$B$9))</f>
        <v/>
      </c>
    </row>
    <row r="849" spans="12:16" ht="15" customHeight="1" x14ac:dyDescent="0.25">
      <c r="L849" t="str">
        <f>IF(A849="","",SUMIF(DB_Savings!$C:$C,A849,DB_Savings!$F:$F))</f>
        <v/>
      </c>
      <c r="M849" t="str">
        <f>IF(A849="","",SUMIF(DB_Withdrawals!$C:$C,A849,DB_Withdrawals!$G:$G))</f>
        <v/>
      </c>
      <c r="N849" t="str">
        <f t="shared" si="26"/>
        <v/>
      </c>
      <c r="O849" t="str">
        <f t="shared" si="27"/>
        <v/>
      </c>
      <c r="P849" t="str">
        <f>IF(A849="","",MAX(0,N849-System_Config!$B$9))</f>
        <v/>
      </c>
    </row>
    <row r="850" spans="12:16" ht="15" customHeight="1" x14ac:dyDescent="0.25">
      <c r="L850" t="str">
        <f>IF(A850="","",SUMIF(DB_Savings!$C:$C,A850,DB_Savings!$F:$F))</f>
        <v/>
      </c>
      <c r="M850" t="str">
        <f>IF(A850="","",SUMIF(DB_Withdrawals!$C:$C,A850,DB_Withdrawals!$G:$G))</f>
        <v/>
      </c>
      <c r="N850" t="str">
        <f t="shared" si="26"/>
        <v/>
      </c>
      <c r="O850" t="str">
        <f t="shared" si="27"/>
        <v/>
      </c>
      <c r="P850" t="str">
        <f>IF(A850="","",MAX(0,N850-System_Config!$B$9))</f>
        <v/>
      </c>
    </row>
    <row r="851" spans="12:16" ht="15" customHeight="1" x14ac:dyDescent="0.25">
      <c r="L851" t="str">
        <f>IF(A851="","",SUMIF(DB_Savings!$C:$C,A851,DB_Savings!$F:$F))</f>
        <v/>
      </c>
      <c r="M851" t="str">
        <f>IF(A851="","",SUMIF(DB_Withdrawals!$C:$C,A851,DB_Withdrawals!$G:$G))</f>
        <v/>
      </c>
      <c r="N851" t="str">
        <f t="shared" si="26"/>
        <v/>
      </c>
      <c r="O851" t="str">
        <f t="shared" si="27"/>
        <v/>
      </c>
      <c r="P851" t="str">
        <f>IF(A851="","",MAX(0,N851-System_Config!$B$9))</f>
        <v/>
      </c>
    </row>
    <row r="852" spans="12:16" ht="15" customHeight="1" x14ac:dyDescent="0.25">
      <c r="L852" t="str">
        <f>IF(A852="","",SUMIF(DB_Savings!$C:$C,A852,DB_Savings!$F:$F))</f>
        <v/>
      </c>
      <c r="M852" t="str">
        <f>IF(A852="","",SUMIF(DB_Withdrawals!$C:$C,A852,DB_Withdrawals!$G:$G))</f>
        <v/>
      </c>
      <c r="N852" t="str">
        <f t="shared" si="26"/>
        <v/>
      </c>
      <c r="O852" t="str">
        <f t="shared" si="27"/>
        <v/>
      </c>
      <c r="P852" t="str">
        <f>IF(A852="","",MAX(0,N852-System_Config!$B$9))</f>
        <v/>
      </c>
    </row>
    <row r="853" spans="12:16" ht="15" customHeight="1" x14ac:dyDescent="0.25">
      <c r="L853" t="str">
        <f>IF(A853="","",SUMIF(DB_Savings!$C:$C,A853,DB_Savings!$F:$F))</f>
        <v/>
      </c>
      <c r="M853" t="str">
        <f>IF(A853="","",SUMIF(DB_Withdrawals!$C:$C,A853,DB_Withdrawals!$G:$G))</f>
        <v/>
      </c>
      <c r="N853" t="str">
        <f t="shared" si="26"/>
        <v/>
      </c>
      <c r="O853" t="str">
        <f t="shared" si="27"/>
        <v/>
      </c>
      <c r="P853" t="str">
        <f>IF(A853="","",MAX(0,N853-System_Config!$B$9))</f>
        <v/>
      </c>
    </row>
    <row r="854" spans="12:16" ht="15" customHeight="1" x14ac:dyDescent="0.25">
      <c r="L854" t="str">
        <f>IF(A854="","",SUMIF(DB_Savings!$C:$C,A854,DB_Savings!$F:$F))</f>
        <v/>
      </c>
      <c r="M854" t="str">
        <f>IF(A854="","",SUMIF(DB_Withdrawals!$C:$C,A854,DB_Withdrawals!$G:$G))</f>
        <v/>
      </c>
      <c r="N854" t="str">
        <f t="shared" si="26"/>
        <v/>
      </c>
      <c r="O854" t="str">
        <f t="shared" si="27"/>
        <v/>
      </c>
      <c r="P854" t="str">
        <f>IF(A854="","",MAX(0,N854-System_Config!$B$9))</f>
        <v/>
      </c>
    </row>
    <row r="855" spans="12:16" ht="15" customHeight="1" x14ac:dyDescent="0.25">
      <c r="L855" t="str">
        <f>IF(A855="","",SUMIF(DB_Savings!$C:$C,A855,DB_Savings!$F:$F))</f>
        <v/>
      </c>
      <c r="M855" t="str">
        <f>IF(A855="","",SUMIF(DB_Withdrawals!$C:$C,A855,DB_Withdrawals!$G:$G))</f>
        <v/>
      </c>
      <c r="N855" t="str">
        <f t="shared" si="26"/>
        <v/>
      </c>
      <c r="O855" t="str">
        <f t="shared" si="27"/>
        <v/>
      </c>
      <c r="P855" t="str">
        <f>IF(A855="","",MAX(0,N855-System_Config!$B$9))</f>
        <v/>
      </c>
    </row>
    <row r="856" spans="12:16" ht="15" customHeight="1" x14ac:dyDescent="0.25">
      <c r="L856" t="str">
        <f>IF(A856="","",SUMIF(DB_Savings!$C:$C,A856,DB_Savings!$F:$F))</f>
        <v/>
      </c>
      <c r="M856" t="str">
        <f>IF(A856="","",SUMIF(DB_Withdrawals!$C:$C,A856,DB_Withdrawals!$G:$G))</f>
        <v/>
      </c>
      <c r="N856" t="str">
        <f t="shared" si="26"/>
        <v/>
      </c>
      <c r="O856" t="str">
        <f t="shared" si="27"/>
        <v/>
      </c>
      <c r="P856" t="str">
        <f>IF(A856="","",MAX(0,N856-System_Config!$B$9))</f>
        <v/>
      </c>
    </row>
    <row r="857" spans="12:16" ht="15" customHeight="1" x14ac:dyDescent="0.25">
      <c r="L857" t="str">
        <f>IF(A857="","",SUMIF(DB_Savings!$C:$C,A857,DB_Savings!$F:$F))</f>
        <v/>
      </c>
      <c r="M857" t="str">
        <f>IF(A857="","",SUMIF(DB_Withdrawals!$C:$C,A857,DB_Withdrawals!$G:$G))</f>
        <v/>
      </c>
      <c r="N857" t="str">
        <f t="shared" si="26"/>
        <v/>
      </c>
      <c r="O857" t="str">
        <f t="shared" si="27"/>
        <v/>
      </c>
      <c r="P857" t="str">
        <f>IF(A857="","",MAX(0,N857-System_Config!$B$9))</f>
        <v/>
      </c>
    </row>
    <row r="858" spans="12:16" ht="15" customHeight="1" x14ac:dyDescent="0.25">
      <c r="L858" t="str">
        <f>IF(A858="","",SUMIF(DB_Savings!$C:$C,A858,DB_Savings!$F:$F))</f>
        <v/>
      </c>
      <c r="M858" t="str">
        <f>IF(A858="","",SUMIF(DB_Withdrawals!$C:$C,A858,DB_Withdrawals!$G:$G))</f>
        <v/>
      </c>
      <c r="N858" t="str">
        <f t="shared" si="26"/>
        <v/>
      </c>
      <c r="O858" t="str">
        <f t="shared" si="27"/>
        <v/>
      </c>
      <c r="P858" t="str">
        <f>IF(A858="","",MAX(0,N858-System_Config!$B$9))</f>
        <v/>
      </c>
    </row>
    <row r="859" spans="12:16" ht="15" customHeight="1" x14ac:dyDescent="0.25">
      <c r="L859" t="str">
        <f>IF(A859="","",SUMIF(DB_Savings!$C:$C,A859,DB_Savings!$F:$F))</f>
        <v/>
      </c>
      <c r="M859" t="str">
        <f>IF(A859="","",SUMIF(DB_Withdrawals!$C:$C,A859,DB_Withdrawals!$G:$G))</f>
        <v/>
      </c>
      <c r="N859" t="str">
        <f t="shared" si="26"/>
        <v/>
      </c>
      <c r="O859" t="str">
        <f t="shared" si="27"/>
        <v/>
      </c>
      <c r="P859" t="str">
        <f>IF(A859="","",MAX(0,N859-System_Config!$B$9))</f>
        <v/>
      </c>
    </row>
    <row r="860" spans="12:16" ht="15" customHeight="1" x14ac:dyDescent="0.25">
      <c r="L860" t="str">
        <f>IF(A860="","",SUMIF(DB_Savings!$C:$C,A860,DB_Savings!$F:$F))</f>
        <v/>
      </c>
      <c r="M860" t="str">
        <f>IF(A860="","",SUMIF(DB_Withdrawals!$C:$C,A860,DB_Withdrawals!$G:$G))</f>
        <v/>
      </c>
      <c r="N860" t="str">
        <f t="shared" si="26"/>
        <v/>
      </c>
      <c r="O860" t="str">
        <f t="shared" si="27"/>
        <v/>
      </c>
      <c r="P860" t="str">
        <f>IF(A860="","",MAX(0,N860-System_Config!$B$9))</f>
        <v/>
      </c>
    </row>
    <row r="861" spans="12:16" ht="15" customHeight="1" x14ac:dyDescent="0.25">
      <c r="L861" t="str">
        <f>IF(A861="","",SUMIF(DB_Savings!$C:$C,A861,DB_Savings!$F:$F))</f>
        <v/>
      </c>
      <c r="M861" t="str">
        <f>IF(A861="","",SUMIF(DB_Withdrawals!$C:$C,A861,DB_Withdrawals!$G:$G))</f>
        <v/>
      </c>
      <c r="N861" t="str">
        <f t="shared" si="26"/>
        <v/>
      </c>
      <c r="O861" t="str">
        <f t="shared" si="27"/>
        <v/>
      </c>
      <c r="P861" t="str">
        <f>IF(A861="","",MAX(0,N861-System_Config!$B$9))</f>
        <v/>
      </c>
    </row>
    <row r="862" spans="12:16" ht="15" customHeight="1" x14ac:dyDescent="0.25">
      <c r="L862" t="str">
        <f>IF(A862="","",SUMIF(DB_Savings!$C:$C,A862,DB_Savings!$F:$F))</f>
        <v/>
      </c>
      <c r="M862" t="str">
        <f>IF(A862="","",SUMIF(DB_Withdrawals!$C:$C,A862,DB_Withdrawals!$G:$G))</f>
        <v/>
      </c>
      <c r="N862" t="str">
        <f t="shared" si="26"/>
        <v/>
      </c>
      <c r="O862" t="str">
        <f t="shared" si="27"/>
        <v/>
      </c>
      <c r="P862" t="str">
        <f>IF(A862="","",MAX(0,N862-System_Config!$B$9))</f>
        <v/>
      </c>
    </row>
    <row r="863" spans="12:16" ht="15" customHeight="1" x14ac:dyDescent="0.25">
      <c r="L863" t="str">
        <f>IF(A863="","",SUMIF(DB_Savings!$C:$C,A863,DB_Savings!$F:$F))</f>
        <v/>
      </c>
      <c r="M863" t="str">
        <f>IF(A863="","",SUMIF(DB_Withdrawals!$C:$C,A863,DB_Withdrawals!$G:$G))</f>
        <v/>
      </c>
      <c r="N863" t="str">
        <f t="shared" si="26"/>
        <v/>
      </c>
      <c r="O863" t="str">
        <f t="shared" si="27"/>
        <v/>
      </c>
      <c r="P863" t="str">
        <f>IF(A863="","",MAX(0,N863-System_Config!$B$9))</f>
        <v/>
      </c>
    </row>
    <row r="864" spans="12:16" ht="15" customHeight="1" x14ac:dyDescent="0.25">
      <c r="L864" t="str">
        <f>IF(A864="","",SUMIF(DB_Savings!$C:$C,A864,DB_Savings!$F:$F))</f>
        <v/>
      </c>
      <c r="M864" t="str">
        <f>IF(A864="","",SUMIF(DB_Withdrawals!$C:$C,A864,DB_Withdrawals!$G:$G))</f>
        <v/>
      </c>
      <c r="N864" t="str">
        <f t="shared" si="26"/>
        <v/>
      </c>
      <c r="O864" t="str">
        <f t="shared" si="27"/>
        <v/>
      </c>
      <c r="P864" t="str">
        <f>IF(A864="","",MAX(0,N864-System_Config!$B$9))</f>
        <v/>
      </c>
    </row>
    <row r="865" spans="12:16" ht="15" customHeight="1" x14ac:dyDescent="0.25">
      <c r="L865" t="str">
        <f>IF(A865="","",SUMIF(DB_Savings!$C:$C,A865,DB_Savings!$F:$F))</f>
        <v/>
      </c>
      <c r="M865" t="str">
        <f>IF(A865="","",SUMIF(DB_Withdrawals!$C:$C,A865,DB_Withdrawals!$G:$G))</f>
        <v/>
      </c>
      <c r="N865" t="str">
        <f t="shared" si="26"/>
        <v/>
      </c>
      <c r="O865" t="str">
        <f t="shared" si="27"/>
        <v/>
      </c>
      <c r="P865" t="str">
        <f>IF(A865="","",MAX(0,N865-System_Config!$B$9))</f>
        <v/>
      </c>
    </row>
    <row r="866" spans="12:16" ht="15" customHeight="1" x14ac:dyDescent="0.25">
      <c r="L866" t="str">
        <f>IF(A866="","",SUMIF(DB_Savings!$C:$C,A866,DB_Savings!$F:$F))</f>
        <v/>
      </c>
      <c r="M866" t="str">
        <f>IF(A866="","",SUMIF(DB_Withdrawals!$C:$C,A866,DB_Withdrawals!$G:$G))</f>
        <v/>
      </c>
      <c r="N866" t="str">
        <f t="shared" si="26"/>
        <v/>
      </c>
      <c r="O866" t="str">
        <f t="shared" si="27"/>
        <v/>
      </c>
      <c r="P866" t="str">
        <f>IF(A866="","",MAX(0,N866-System_Config!$B$9))</f>
        <v/>
      </c>
    </row>
    <row r="867" spans="12:16" ht="15" customHeight="1" x14ac:dyDescent="0.25">
      <c r="L867" t="str">
        <f>IF(A867="","",SUMIF(DB_Savings!$C:$C,A867,DB_Savings!$F:$F))</f>
        <v/>
      </c>
      <c r="M867" t="str">
        <f>IF(A867="","",SUMIF(DB_Withdrawals!$C:$C,A867,DB_Withdrawals!$G:$G))</f>
        <v/>
      </c>
      <c r="N867" t="str">
        <f t="shared" si="26"/>
        <v/>
      </c>
      <c r="O867" t="str">
        <f t="shared" si="27"/>
        <v/>
      </c>
      <c r="P867" t="str">
        <f>IF(A867="","",MAX(0,N867-System_Config!$B$9))</f>
        <v/>
      </c>
    </row>
    <row r="868" spans="12:16" ht="15" customHeight="1" x14ac:dyDescent="0.25">
      <c r="L868" t="str">
        <f>IF(A868="","",SUMIF(DB_Savings!$C:$C,A868,DB_Savings!$F:$F))</f>
        <v/>
      </c>
      <c r="M868" t="str">
        <f>IF(A868="","",SUMIF(DB_Withdrawals!$C:$C,A868,DB_Withdrawals!$G:$G))</f>
        <v/>
      </c>
      <c r="N868" t="str">
        <f t="shared" si="26"/>
        <v/>
      </c>
      <c r="O868" t="str">
        <f t="shared" si="27"/>
        <v/>
      </c>
      <c r="P868" t="str">
        <f>IF(A868="","",MAX(0,N868-System_Config!$B$9))</f>
        <v/>
      </c>
    </row>
    <row r="869" spans="12:16" ht="15" customHeight="1" x14ac:dyDescent="0.25">
      <c r="L869" t="str">
        <f>IF(A869="","",SUMIF(DB_Savings!$C:$C,A869,DB_Savings!$F:$F))</f>
        <v/>
      </c>
      <c r="M869" t="str">
        <f>IF(A869="","",SUMIF(DB_Withdrawals!$C:$C,A869,DB_Withdrawals!$G:$G))</f>
        <v/>
      </c>
      <c r="N869" t="str">
        <f t="shared" si="26"/>
        <v/>
      </c>
      <c r="O869" t="str">
        <f t="shared" si="27"/>
        <v/>
      </c>
      <c r="P869" t="str">
        <f>IF(A869="","",MAX(0,N869-System_Config!$B$9))</f>
        <v/>
      </c>
    </row>
    <row r="870" spans="12:16" ht="15" customHeight="1" x14ac:dyDescent="0.25">
      <c r="L870" t="str">
        <f>IF(A870="","",SUMIF(DB_Savings!$C:$C,A870,DB_Savings!$F:$F))</f>
        <v/>
      </c>
      <c r="M870" t="str">
        <f>IF(A870="","",SUMIF(DB_Withdrawals!$C:$C,A870,DB_Withdrawals!$G:$G))</f>
        <v/>
      </c>
      <c r="N870" t="str">
        <f t="shared" si="26"/>
        <v/>
      </c>
      <c r="O870" t="str">
        <f t="shared" si="27"/>
        <v/>
      </c>
      <c r="P870" t="str">
        <f>IF(A870="","",MAX(0,N870-System_Config!$B$9))</f>
        <v/>
      </c>
    </row>
    <row r="871" spans="12:16" ht="15" customHeight="1" x14ac:dyDescent="0.25">
      <c r="L871" t="str">
        <f>IF(A871="","",SUMIF(DB_Savings!$C:$C,A871,DB_Savings!$F:$F))</f>
        <v/>
      </c>
      <c r="M871" t="str">
        <f>IF(A871="","",SUMIF(DB_Withdrawals!$C:$C,A871,DB_Withdrawals!$G:$G))</f>
        <v/>
      </c>
      <c r="N871" t="str">
        <f t="shared" si="26"/>
        <v/>
      </c>
      <c r="O871" t="str">
        <f t="shared" si="27"/>
        <v/>
      </c>
      <c r="P871" t="str">
        <f>IF(A871="","",MAX(0,N871-System_Config!$B$9))</f>
        <v/>
      </c>
    </row>
    <row r="872" spans="12:16" ht="15" customHeight="1" x14ac:dyDescent="0.25">
      <c r="L872" t="str">
        <f>IF(A872="","",SUMIF(DB_Savings!$C:$C,A872,DB_Savings!$F:$F))</f>
        <v/>
      </c>
      <c r="M872" t="str">
        <f>IF(A872="","",SUMIF(DB_Withdrawals!$C:$C,A872,DB_Withdrawals!$G:$G))</f>
        <v/>
      </c>
      <c r="N872" t="str">
        <f t="shared" si="26"/>
        <v/>
      </c>
      <c r="O872" t="str">
        <f t="shared" si="27"/>
        <v/>
      </c>
      <c r="P872" t="str">
        <f>IF(A872="","",MAX(0,N872-System_Config!$B$9))</f>
        <v/>
      </c>
    </row>
    <row r="873" spans="12:16" ht="15" customHeight="1" x14ac:dyDescent="0.25">
      <c r="L873" t="str">
        <f>IF(A873="","",SUMIF(DB_Savings!$C:$C,A873,DB_Savings!$F:$F))</f>
        <v/>
      </c>
      <c r="M873" t="str">
        <f>IF(A873="","",SUMIF(DB_Withdrawals!$C:$C,A873,DB_Withdrawals!$G:$G))</f>
        <v/>
      </c>
      <c r="N873" t="str">
        <f t="shared" si="26"/>
        <v/>
      </c>
      <c r="O873" t="str">
        <f t="shared" si="27"/>
        <v/>
      </c>
      <c r="P873" t="str">
        <f>IF(A873="","",MAX(0,N873-System_Config!$B$9))</f>
        <v/>
      </c>
    </row>
    <row r="874" spans="12:16" ht="15" customHeight="1" x14ac:dyDescent="0.25">
      <c r="L874" t="str">
        <f>IF(A874="","",SUMIF(DB_Savings!$C:$C,A874,DB_Savings!$F:$F))</f>
        <v/>
      </c>
      <c r="M874" t="str">
        <f>IF(A874="","",SUMIF(DB_Withdrawals!$C:$C,A874,DB_Withdrawals!$G:$G))</f>
        <v/>
      </c>
      <c r="N874" t="str">
        <f t="shared" si="26"/>
        <v/>
      </c>
      <c r="O874" t="str">
        <f t="shared" si="27"/>
        <v/>
      </c>
      <c r="P874" t="str">
        <f>IF(A874="","",MAX(0,N874-System_Config!$B$9))</f>
        <v/>
      </c>
    </row>
    <row r="875" spans="12:16" ht="15" customHeight="1" x14ac:dyDescent="0.25">
      <c r="L875" t="str">
        <f>IF(A875="","",SUMIF(DB_Savings!$C:$C,A875,DB_Savings!$F:$F))</f>
        <v/>
      </c>
      <c r="M875" t="str">
        <f>IF(A875="","",SUMIF(DB_Withdrawals!$C:$C,A875,DB_Withdrawals!$G:$G))</f>
        <v/>
      </c>
      <c r="N875" t="str">
        <f t="shared" si="26"/>
        <v/>
      </c>
      <c r="O875" t="str">
        <f t="shared" si="27"/>
        <v/>
      </c>
      <c r="P875" t="str">
        <f>IF(A875="","",MAX(0,N875-System_Config!$B$9))</f>
        <v/>
      </c>
    </row>
    <row r="876" spans="12:16" ht="15" customHeight="1" x14ac:dyDescent="0.25">
      <c r="L876" t="str">
        <f>IF(A876="","",SUMIF(DB_Savings!$C:$C,A876,DB_Savings!$F:$F))</f>
        <v/>
      </c>
      <c r="M876" t="str">
        <f>IF(A876="","",SUMIF(DB_Withdrawals!$C:$C,A876,DB_Withdrawals!$G:$G))</f>
        <v/>
      </c>
      <c r="N876" t="str">
        <f t="shared" si="26"/>
        <v/>
      </c>
      <c r="O876" t="str">
        <f t="shared" si="27"/>
        <v/>
      </c>
      <c r="P876" t="str">
        <f>IF(A876="","",MAX(0,N876-System_Config!$B$9))</f>
        <v/>
      </c>
    </row>
    <row r="877" spans="12:16" ht="15" customHeight="1" x14ac:dyDescent="0.25">
      <c r="L877" t="str">
        <f>IF(A877="","",SUMIF(DB_Savings!$C:$C,A877,DB_Savings!$F:$F))</f>
        <v/>
      </c>
      <c r="M877" t="str">
        <f>IF(A877="","",SUMIF(DB_Withdrawals!$C:$C,A877,DB_Withdrawals!$G:$G))</f>
        <v/>
      </c>
      <c r="N877" t="str">
        <f t="shared" si="26"/>
        <v/>
      </c>
      <c r="O877" t="str">
        <f t="shared" si="27"/>
        <v/>
      </c>
      <c r="P877" t="str">
        <f>IF(A877="","",MAX(0,N877-System_Config!$B$9))</f>
        <v/>
      </c>
    </row>
    <row r="878" spans="12:16" ht="15" customHeight="1" x14ac:dyDescent="0.25">
      <c r="L878" t="str">
        <f>IF(A878="","",SUMIF(DB_Savings!$C:$C,A878,DB_Savings!$F:$F))</f>
        <v/>
      </c>
      <c r="M878" t="str">
        <f>IF(A878="","",SUMIF(DB_Withdrawals!$C:$C,A878,DB_Withdrawals!$G:$G))</f>
        <v/>
      </c>
      <c r="N878" t="str">
        <f t="shared" si="26"/>
        <v/>
      </c>
      <c r="O878" t="str">
        <f t="shared" si="27"/>
        <v/>
      </c>
      <c r="P878" t="str">
        <f>IF(A878="","",MAX(0,N878-System_Config!$B$9))</f>
        <v/>
      </c>
    </row>
    <row r="879" spans="12:16" ht="15" customHeight="1" x14ac:dyDescent="0.25">
      <c r="L879" t="str">
        <f>IF(A879="","",SUMIF(DB_Savings!$C:$C,A879,DB_Savings!$F:$F))</f>
        <v/>
      </c>
      <c r="M879" t="str">
        <f>IF(A879="","",SUMIF(DB_Withdrawals!$C:$C,A879,DB_Withdrawals!$G:$G))</f>
        <v/>
      </c>
      <c r="N879" t="str">
        <f t="shared" si="26"/>
        <v/>
      </c>
      <c r="O879" t="str">
        <f t="shared" si="27"/>
        <v/>
      </c>
      <c r="P879" t="str">
        <f>IF(A879="","",MAX(0,N879-System_Config!$B$9))</f>
        <v/>
      </c>
    </row>
    <row r="880" spans="12:16" ht="15" customHeight="1" x14ac:dyDescent="0.25">
      <c r="L880" t="str">
        <f>IF(A880="","",SUMIF(DB_Savings!$C:$C,A880,DB_Savings!$F:$F))</f>
        <v/>
      </c>
      <c r="M880" t="str">
        <f>IF(A880="","",SUMIF(DB_Withdrawals!$C:$C,A880,DB_Withdrawals!$G:$G))</f>
        <v/>
      </c>
      <c r="N880" t="str">
        <f t="shared" si="26"/>
        <v/>
      </c>
      <c r="O880" t="str">
        <f t="shared" si="27"/>
        <v/>
      </c>
      <c r="P880" t="str">
        <f>IF(A880="","",MAX(0,N880-System_Config!$B$9))</f>
        <v/>
      </c>
    </row>
    <row r="881" spans="12:16" ht="15" customHeight="1" x14ac:dyDescent="0.25">
      <c r="L881" t="str">
        <f>IF(A881="","",SUMIF(DB_Savings!$C:$C,A881,DB_Savings!$F:$F))</f>
        <v/>
      </c>
      <c r="M881" t="str">
        <f>IF(A881="","",SUMIF(DB_Withdrawals!$C:$C,A881,DB_Withdrawals!$G:$G))</f>
        <v/>
      </c>
      <c r="N881" t="str">
        <f t="shared" si="26"/>
        <v/>
      </c>
      <c r="O881" t="str">
        <f t="shared" si="27"/>
        <v/>
      </c>
      <c r="P881" t="str">
        <f>IF(A881="","",MAX(0,N881-System_Config!$B$9))</f>
        <v/>
      </c>
    </row>
    <row r="882" spans="12:16" ht="15" customHeight="1" x14ac:dyDescent="0.25">
      <c r="L882" t="str">
        <f>IF(A882="","",SUMIF(DB_Savings!$C:$C,A882,DB_Savings!$F:$F))</f>
        <v/>
      </c>
      <c r="M882" t="str">
        <f>IF(A882="","",SUMIF(DB_Withdrawals!$C:$C,A882,DB_Withdrawals!$G:$G))</f>
        <v/>
      </c>
      <c r="N882" t="str">
        <f t="shared" si="26"/>
        <v/>
      </c>
      <c r="O882" t="str">
        <f t="shared" si="27"/>
        <v/>
      </c>
      <c r="P882" t="str">
        <f>IF(A882="","",MAX(0,N882-System_Config!$B$9))</f>
        <v/>
      </c>
    </row>
    <row r="883" spans="12:16" ht="15" customHeight="1" x14ac:dyDescent="0.25">
      <c r="L883" t="str">
        <f>IF(A883="","",SUMIF(DB_Savings!$C:$C,A883,DB_Savings!$F:$F))</f>
        <v/>
      </c>
      <c r="M883" t="str">
        <f>IF(A883="","",SUMIF(DB_Withdrawals!$C:$C,A883,DB_Withdrawals!$G:$G))</f>
        <v/>
      </c>
      <c r="N883" t="str">
        <f t="shared" si="26"/>
        <v/>
      </c>
      <c r="O883" t="str">
        <f t="shared" si="27"/>
        <v/>
      </c>
      <c r="P883" t="str">
        <f>IF(A883="","",MAX(0,N883-System_Config!$B$9))</f>
        <v/>
      </c>
    </row>
    <row r="884" spans="12:16" ht="15" customHeight="1" x14ac:dyDescent="0.25">
      <c r="L884" t="str">
        <f>IF(A884="","",SUMIF(DB_Savings!$C:$C,A884,DB_Savings!$F:$F))</f>
        <v/>
      </c>
      <c r="M884" t="str">
        <f>IF(A884="","",SUMIF(DB_Withdrawals!$C:$C,A884,DB_Withdrawals!$G:$G))</f>
        <v/>
      </c>
      <c r="N884" t="str">
        <f t="shared" si="26"/>
        <v/>
      </c>
      <c r="O884" t="str">
        <f t="shared" si="27"/>
        <v/>
      </c>
      <c r="P884" t="str">
        <f>IF(A884="","",MAX(0,N884-System_Config!$B$9))</f>
        <v/>
      </c>
    </row>
    <row r="885" spans="12:16" ht="15" customHeight="1" x14ac:dyDescent="0.25">
      <c r="L885" t="str">
        <f>IF(A885="","",SUMIF(DB_Savings!$C:$C,A885,DB_Savings!$F:$F))</f>
        <v/>
      </c>
      <c r="M885" t="str">
        <f>IF(A885="","",SUMIF(DB_Withdrawals!$C:$C,A885,DB_Withdrawals!$G:$G))</f>
        <v/>
      </c>
      <c r="N885" t="str">
        <f t="shared" si="26"/>
        <v/>
      </c>
      <c r="O885" t="str">
        <f t="shared" si="27"/>
        <v/>
      </c>
      <c r="P885" t="str">
        <f>IF(A885="","",MAX(0,N885-System_Config!$B$9))</f>
        <v/>
      </c>
    </row>
    <row r="886" spans="12:16" ht="15" customHeight="1" x14ac:dyDescent="0.25">
      <c r="L886" t="str">
        <f>IF(A886="","",SUMIF(DB_Savings!$C:$C,A886,DB_Savings!$F:$F))</f>
        <v/>
      </c>
      <c r="M886" t="str">
        <f>IF(A886="","",SUMIF(DB_Withdrawals!$C:$C,A886,DB_Withdrawals!$G:$G))</f>
        <v/>
      </c>
      <c r="N886" t="str">
        <f t="shared" si="26"/>
        <v/>
      </c>
      <c r="O886" t="str">
        <f t="shared" si="27"/>
        <v/>
      </c>
      <c r="P886" t="str">
        <f>IF(A886="","",MAX(0,N886-System_Config!$B$9))</f>
        <v/>
      </c>
    </row>
    <row r="887" spans="12:16" ht="15" customHeight="1" x14ac:dyDescent="0.25">
      <c r="L887" t="str">
        <f>IF(A887="","",SUMIF(DB_Savings!$C:$C,A887,DB_Savings!$F:$F))</f>
        <v/>
      </c>
      <c r="M887" t="str">
        <f>IF(A887="","",SUMIF(DB_Withdrawals!$C:$C,A887,DB_Withdrawals!$G:$G))</f>
        <v/>
      </c>
      <c r="N887" t="str">
        <f t="shared" si="26"/>
        <v/>
      </c>
      <c r="O887" t="str">
        <f t="shared" si="27"/>
        <v/>
      </c>
      <c r="P887" t="str">
        <f>IF(A887="","",MAX(0,N887-System_Config!$B$9))</f>
        <v/>
      </c>
    </row>
    <row r="888" spans="12:16" ht="15" customHeight="1" x14ac:dyDescent="0.25">
      <c r="L888" t="str">
        <f>IF(A888="","",SUMIF(DB_Savings!$C:$C,A888,DB_Savings!$F:$F))</f>
        <v/>
      </c>
      <c r="M888" t="str">
        <f>IF(A888="","",SUMIF(DB_Withdrawals!$C:$C,A888,DB_Withdrawals!$G:$G))</f>
        <v/>
      </c>
      <c r="N888" t="str">
        <f t="shared" si="26"/>
        <v/>
      </c>
      <c r="O888" t="str">
        <f t="shared" si="27"/>
        <v/>
      </c>
      <c r="P888" t="str">
        <f>IF(A888="","",MAX(0,N888-System_Config!$B$9))</f>
        <v/>
      </c>
    </row>
    <row r="889" spans="12:16" ht="15" customHeight="1" x14ac:dyDescent="0.25">
      <c r="L889" t="str">
        <f>IF(A889="","",SUMIF(DB_Savings!$C:$C,A889,DB_Savings!$F:$F))</f>
        <v/>
      </c>
      <c r="M889" t="str">
        <f>IF(A889="","",SUMIF(DB_Withdrawals!$C:$C,A889,DB_Withdrawals!$G:$G))</f>
        <v/>
      </c>
      <c r="N889" t="str">
        <f t="shared" si="26"/>
        <v/>
      </c>
      <c r="O889" t="str">
        <f t="shared" si="27"/>
        <v/>
      </c>
      <c r="P889" t="str">
        <f>IF(A889="","",MAX(0,N889-System_Config!$B$9))</f>
        <v/>
      </c>
    </row>
    <row r="890" spans="12:16" ht="15" customHeight="1" x14ac:dyDescent="0.25">
      <c r="L890" t="str">
        <f>IF(A890="","",SUMIF(DB_Savings!$C:$C,A890,DB_Savings!$F:$F))</f>
        <v/>
      </c>
      <c r="M890" t="str">
        <f>IF(A890="","",SUMIF(DB_Withdrawals!$C:$C,A890,DB_Withdrawals!$G:$G))</f>
        <v/>
      </c>
      <c r="N890" t="str">
        <f t="shared" si="26"/>
        <v/>
      </c>
      <c r="O890" t="str">
        <f t="shared" si="27"/>
        <v/>
      </c>
      <c r="P890" t="str">
        <f>IF(A890="","",MAX(0,N890-System_Config!$B$9))</f>
        <v/>
      </c>
    </row>
    <row r="891" spans="12:16" ht="15" customHeight="1" x14ac:dyDescent="0.25">
      <c r="L891" t="str">
        <f>IF(A891="","",SUMIF(DB_Savings!$C:$C,A891,DB_Savings!$F:$F))</f>
        <v/>
      </c>
      <c r="M891" t="str">
        <f>IF(A891="","",SUMIF(DB_Withdrawals!$C:$C,A891,DB_Withdrawals!$G:$G))</f>
        <v/>
      </c>
      <c r="N891" t="str">
        <f t="shared" si="26"/>
        <v/>
      </c>
      <c r="O891" t="str">
        <f t="shared" si="27"/>
        <v/>
      </c>
      <c r="P891" t="str">
        <f>IF(A891="","",MAX(0,N891-System_Config!$B$9))</f>
        <v/>
      </c>
    </row>
    <row r="892" spans="12:16" ht="15" customHeight="1" x14ac:dyDescent="0.25">
      <c r="L892" t="str">
        <f>IF(A892="","",SUMIF(DB_Savings!$C:$C,A892,DB_Savings!$F:$F))</f>
        <v/>
      </c>
      <c r="M892" t="str">
        <f>IF(A892="","",SUMIF(DB_Withdrawals!$C:$C,A892,DB_Withdrawals!$G:$G))</f>
        <v/>
      </c>
      <c r="N892" t="str">
        <f t="shared" si="26"/>
        <v/>
      </c>
      <c r="O892" t="str">
        <f t="shared" si="27"/>
        <v/>
      </c>
      <c r="P892" t="str">
        <f>IF(A892="","",MAX(0,N892-System_Config!$B$9))</f>
        <v/>
      </c>
    </row>
    <row r="893" spans="12:16" ht="15" customHeight="1" x14ac:dyDescent="0.25">
      <c r="L893" t="str">
        <f>IF(A893="","",SUMIF(DB_Savings!$C:$C,A893,DB_Savings!$F:$F))</f>
        <v/>
      </c>
      <c r="M893" t="str">
        <f>IF(A893="","",SUMIF(DB_Withdrawals!$C:$C,A893,DB_Withdrawals!$G:$G))</f>
        <v/>
      </c>
      <c r="N893" t="str">
        <f t="shared" si="26"/>
        <v/>
      </c>
      <c r="O893" t="str">
        <f t="shared" si="27"/>
        <v/>
      </c>
      <c r="P893" t="str">
        <f>IF(A893="","",MAX(0,N893-System_Config!$B$9))</f>
        <v/>
      </c>
    </row>
    <row r="894" spans="12:16" ht="15" customHeight="1" x14ac:dyDescent="0.25">
      <c r="L894" t="str">
        <f>IF(A894="","",SUMIF(DB_Savings!$C:$C,A894,DB_Savings!$F:$F))</f>
        <v/>
      </c>
      <c r="M894" t="str">
        <f>IF(A894="","",SUMIF(DB_Withdrawals!$C:$C,A894,DB_Withdrawals!$G:$G))</f>
        <v/>
      </c>
      <c r="N894" t="str">
        <f t="shared" si="26"/>
        <v/>
      </c>
      <c r="O894" t="str">
        <f t="shared" si="27"/>
        <v/>
      </c>
      <c r="P894" t="str">
        <f>IF(A894="","",MAX(0,N894-System_Config!$B$9))</f>
        <v/>
      </c>
    </row>
    <row r="895" spans="12:16" ht="15" customHeight="1" x14ac:dyDescent="0.25">
      <c r="L895" t="str">
        <f>IF(A895="","",SUMIF(DB_Savings!$C:$C,A895,DB_Savings!$F:$F))</f>
        <v/>
      </c>
      <c r="M895" t="str">
        <f>IF(A895="","",SUMIF(DB_Withdrawals!$C:$C,A895,DB_Withdrawals!$G:$G))</f>
        <v/>
      </c>
      <c r="N895" t="str">
        <f t="shared" si="26"/>
        <v/>
      </c>
      <c r="O895" t="str">
        <f t="shared" si="27"/>
        <v/>
      </c>
      <c r="P895" t="str">
        <f>IF(A895="","",MAX(0,N895-System_Config!$B$9))</f>
        <v/>
      </c>
    </row>
    <row r="896" spans="12:16" ht="15" customHeight="1" x14ac:dyDescent="0.25">
      <c r="L896" t="str">
        <f>IF(A896="","",SUMIF(DB_Savings!$C:$C,A896,DB_Savings!$F:$F))</f>
        <v/>
      </c>
      <c r="M896" t="str">
        <f>IF(A896="","",SUMIF(DB_Withdrawals!$C:$C,A896,DB_Withdrawals!$G:$G))</f>
        <v/>
      </c>
      <c r="N896" t="str">
        <f t="shared" si="26"/>
        <v/>
      </c>
      <c r="O896" t="str">
        <f t="shared" si="27"/>
        <v/>
      </c>
      <c r="P896" t="str">
        <f>IF(A896="","",MAX(0,N896-System_Config!$B$9))</f>
        <v/>
      </c>
    </row>
    <row r="897" spans="12:16" ht="15" customHeight="1" x14ac:dyDescent="0.25">
      <c r="L897" t="str">
        <f>IF(A897="","",SUMIF(DB_Savings!$C:$C,A897,DB_Savings!$F:$F))</f>
        <v/>
      </c>
      <c r="M897" t="str">
        <f>IF(A897="","",SUMIF(DB_Withdrawals!$C:$C,A897,DB_Withdrawals!$G:$G))</f>
        <v/>
      </c>
      <c r="N897" t="str">
        <f t="shared" si="26"/>
        <v/>
      </c>
      <c r="O897" t="str">
        <f t="shared" si="27"/>
        <v/>
      </c>
      <c r="P897" t="str">
        <f>IF(A897="","",MAX(0,N897-System_Config!$B$9))</f>
        <v/>
      </c>
    </row>
    <row r="898" spans="12:16" ht="15" customHeight="1" x14ac:dyDescent="0.25">
      <c r="L898" t="str">
        <f>IF(A898="","",SUMIF(DB_Savings!$C:$C,A898,DB_Savings!$F:$F))</f>
        <v/>
      </c>
      <c r="M898" t="str">
        <f>IF(A898="","",SUMIF(DB_Withdrawals!$C:$C,A898,DB_Withdrawals!$G:$G))</f>
        <v/>
      </c>
      <c r="N898" t="str">
        <f t="shared" si="26"/>
        <v/>
      </c>
      <c r="O898" t="str">
        <f t="shared" si="27"/>
        <v/>
      </c>
      <c r="P898" t="str">
        <f>IF(A898="","",MAX(0,N898-System_Config!$B$9))</f>
        <v/>
      </c>
    </row>
    <row r="899" spans="12:16" ht="15" customHeight="1" x14ac:dyDescent="0.25">
      <c r="L899" t="str">
        <f>IF(A899="","",SUMIF(DB_Savings!$C:$C,A899,DB_Savings!$F:$F))</f>
        <v/>
      </c>
      <c r="M899" t="str">
        <f>IF(A899="","",SUMIF(DB_Withdrawals!$C:$C,A899,DB_Withdrawals!$G:$G))</f>
        <v/>
      </c>
      <c r="N899" t="str">
        <f t="shared" si="26"/>
        <v/>
      </c>
      <c r="O899" t="str">
        <f t="shared" si="27"/>
        <v/>
      </c>
      <c r="P899" t="str">
        <f>IF(A899="","",MAX(0,N899-System_Config!$B$9))</f>
        <v/>
      </c>
    </row>
    <row r="900" spans="12:16" ht="15" customHeight="1" x14ac:dyDescent="0.25">
      <c r="L900" t="str">
        <f>IF(A900="","",SUMIF(DB_Savings!$C:$C,A900,DB_Savings!$F:$F))</f>
        <v/>
      </c>
      <c r="M900" t="str">
        <f>IF(A900="","",SUMIF(DB_Withdrawals!$C:$C,A900,DB_Withdrawals!$G:$G))</f>
        <v/>
      </c>
      <c r="N900" t="str">
        <f t="shared" ref="N900:N963" si="28">IF(A900="","",I900+L900-M900)</f>
        <v/>
      </c>
      <c r="O900" t="str">
        <f t="shared" ref="O900:O963" si="29">IF(A900="","",TRUE())</f>
        <v/>
      </c>
      <c r="P900" t="str">
        <f>IF(A900="","",MAX(0,N900-System_Config!$B$9))</f>
        <v/>
      </c>
    </row>
    <row r="901" spans="12:16" ht="15" customHeight="1" x14ac:dyDescent="0.25">
      <c r="L901" t="str">
        <f>IF(A901="","",SUMIF(DB_Savings!$C:$C,A901,DB_Savings!$F:$F))</f>
        <v/>
      </c>
      <c r="M901" t="str">
        <f>IF(A901="","",SUMIF(DB_Withdrawals!$C:$C,A901,DB_Withdrawals!$G:$G))</f>
        <v/>
      </c>
      <c r="N901" t="str">
        <f t="shared" si="28"/>
        <v/>
      </c>
      <c r="O901" t="str">
        <f t="shared" si="29"/>
        <v/>
      </c>
      <c r="P901" t="str">
        <f>IF(A901="","",MAX(0,N901-System_Config!$B$9))</f>
        <v/>
      </c>
    </row>
    <row r="902" spans="12:16" ht="15" customHeight="1" x14ac:dyDescent="0.25">
      <c r="L902" t="str">
        <f>IF(A902="","",SUMIF(DB_Savings!$C:$C,A902,DB_Savings!$F:$F))</f>
        <v/>
      </c>
      <c r="M902" t="str">
        <f>IF(A902="","",SUMIF(DB_Withdrawals!$C:$C,A902,DB_Withdrawals!$G:$G))</f>
        <v/>
      </c>
      <c r="N902" t="str">
        <f t="shared" si="28"/>
        <v/>
      </c>
      <c r="O902" t="str">
        <f t="shared" si="29"/>
        <v/>
      </c>
      <c r="P902" t="str">
        <f>IF(A902="","",MAX(0,N902-System_Config!$B$9))</f>
        <v/>
      </c>
    </row>
    <row r="903" spans="12:16" ht="15" customHeight="1" x14ac:dyDescent="0.25">
      <c r="L903" t="str">
        <f>IF(A903="","",SUMIF(DB_Savings!$C:$C,A903,DB_Savings!$F:$F))</f>
        <v/>
      </c>
      <c r="M903" t="str">
        <f>IF(A903="","",SUMIF(DB_Withdrawals!$C:$C,A903,DB_Withdrawals!$G:$G))</f>
        <v/>
      </c>
      <c r="N903" t="str">
        <f t="shared" si="28"/>
        <v/>
      </c>
      <c r="O903" t="str">
        <f t="shared" si="29"/>
        <v/>
      </c>
      <c r="P903" t="str">
        <f>IF(A903="","",MAX(0,N903-System_Config!$B$9))</f>
        <v/>
      </c>
    </row>
    <row r="904" spans="12:16" ht="15" customHeight="1" x14ac:dyDescent="0.25">
      <c r="L904" t="str">
        <f>IF(A904="","",SUMIF(DB_Savings!$C:$C,A904,DB_Savings!$F:$F))</f>
        <v/>
      </c>
      <c r="M904" t="str">
        <f>IF(A904="","",SUMIF(DB_Withdrawals!$C:$C,A904,DB_Withdrawals!$G:$G))</f>
        <v/>
      </c>
      <c r="N904" t="str">
        <f t="shared" si="28"/>
        <v/>
      </c>
      <c r="O904" t="str">
        <f t="shared" si="29"/>
        <v/>
      </c>
      <c r="P904" t="str">
        <f>IF(A904="","",MAX(0,N904-System_Config!$B$9))</f>
        <v/>
      </c>
    </row>
    <row r="905" spans="12:16" ht="15" customHeight="1" x14ac:dyDescent="0.25">
      <c r="L905" t="str">
        <f>IF(A905="","",SUMIF(DB_Savings!$C:$C,A905,DB_Savings!$F:$F))</f>
        <v/>
      </c>
      <c r="M905" t="str">
        <f>IF(A905="","",SUMIF(DB_Withdrawals!$C:$C,A905,DB_Withdrawals!$G:$G))</f>
        <v/>
      </c>
      <c r="N905" t="str">
        <f t="shared" si="28"/>
        <v/>
      </c>
      <c r="O905" t="str">
        <f t="shared" si="29"/>
        <v/>
      </c>
      <c r="P905" t="str">
        <f>IF(A905="","",MAX(0,N905-System_Config!$B$9))</f>
        <v/>
      </c>
    </row>
    <row r="906" spans="12:16" ht="15" customHeight="1" x14ac:dyDescent="0.25">
      <c r="L906" t="str">
        <f>IF(A906="","",SUMIF(DB_Savings!$C:$C,A906,DB_Savings!$F:$F))</f>
        <v/>
      </c>
      <c r="M906" t="str">
        <f>IF(A906="","",SUMIF(DB_Withdrawals!$C:$C,A906,DB_Withdrawals!$G:$G))</f>
        <v/>
      </c>
      <c r="N906" t="str">
        <f t="shared" si="28"/>
        <v/>
      </c>
      <c r="O906" t="str">
        <f t="shared" si="29"/>
        <v/>
      </c>
      <c r="P906" t="str">
        <f>IF(A906="","",MAX(0,N906-System_Config!$B$9))</f>
        <v/>
      </c>
    </row>
    <row r="907" spans="12:16" ht="15" customHeight="1" x14ac:dyDescent="0.25">
      <c r="L907" t="str">
        <f>IF(A907="","",SUMIF(DB_Savings!$C:$C,A907,DB_Savings!$F:$F))</f>
        <v/>
      </c>
      <c r="M907" t="str">
        <f>IF(A907="","",SUMIF(DB_Withdrawals!$C:$C,A907,DB_Withdrawals!$G:$G))</f>
        <v/>
      </c>
      <c r="N907" t="str">
        <f t="shared" si="28"/>
        <v/>
      </c>
      <c r="O907" t="str">
        <f t="shared" si="29"/>
        <v/>
      </c>
      <c r="P907" t="str">
        <f>IF(A907="","",MAX(0,N907-System_Config!$B$9))</f>
        <v/>
      </c>
    </row>
    <row r="908" spans="12:16" ht="15" customHeight="1" x14ac:dyDescent="0.25">
      <c r="L908" t="str">
        <f>IF(A908="","",SUMIF(DB_Savings!$C:$C,A908,DB_Savings!$F:$F))</f>
        <v/>
      </c>
      <c r="M908" t="str">
        <f>IF(A908="","",SUMIF(DB_Withdrawals!$C:$C,A908,DB_Withdrawals!$G:$G))</f>
        <v/>
      </c>
      <c r="N908" t="str">
        <f t="shared" si="28"/>
        <v/>
      </c>
      <c r="O908" t="str">
        <f t="shared" si="29"/>
        <v/>
      </c>
      <c r="P908" t="str">
        <f>IF(A908="","",MAX(0,N908-System_Config!$B$9))</f>
        <v/>
      </c>
    </row>
    <row r="909" spans="12:16" ht="15" customHeight="1" x14ac:dyDescent="0.25">
      <c r="L909" t="str">
        <f>IF(A909="","",SUMIF(DB_Savings!$C:$C,A909,DB_Savings!$F:$F))</f>
        <v/>
      </c>
      <c r="M909" t="str">
        <f>IF(A909="","",SUMIF(DB_Withdrawals!$C:$C,A909,DB_Withdrawals!$G:$G))</f>
        <v/>
      </c>
      <c r="N909" t="str">
        <f t="shared" si="28"/>
        <v/>
      </c>
      <c r="O909" t="str">
        <f t="shared" si="29"/>
        <v/>
      </c>
      <c r="P909" t="str">
        <f>IF(A909="","",MAX(0,N909-System_Config!$B$9))</f>
        <v/>
      </c>
    </row>
    <row r="910" spans="12:16" ht="15" customHeight="1" x14ac:dyDescent="0.25">
      <c r="L910" t="str">
        <f>IF(A910="","",SUMIF(DB_Savings!$C:$C,A910,DB_Savings!$F:$F))</f>
        <v/>
      </c>
      <c r="M910" t="str">
        <f>IF(A910="","",SUMIF(DB_Withdrawals!$C:$C,A910,DB_Withdrawals!$G:$G))</f>
        <v/>
      </c>
      <c r="N910" t="str">
        <f t="shared" si="28"/>
        <v/>
      </c>
      <c r="O910" t="str">
        <f t="shared" si="29"/>
        <v/>
      </c>
      <c r="P910" t="str">
        <f>IF(A910="","",MAX(0,N910-System_Config!$B$9))</f>
        <v/>
      </c>
    </row>
    <row r="911" spans="12:16" ht="15" customHeight="1" x14ac:dyDescent="0.25">
      <c r="L911" t="str">
        <f>IF(A911="","",SUMIF(DB_Savings!$C:$C,A911,DB_Savings!$F:$F))</f>
        <v/>
      </c>
      <c r="M911" t="str">
        <f>IF(A911="","",SUMIF(DB_Withdrawals!$C:$C,A911,DB_Withdrawals!$G:$G))</f>
        <v/>
      </c>
      <c r="N911" t="str">
        <f t="shared" si="28"/>
        <v/>
      </c>
      <c r="O911" t="str">
        <f t="shared" si="29"/>
        <v/>
      </c>
      <c r="P911" t="str">
        <f>IF(A911="","",MAX(0,N911-System_Config!$B$9))</f>
        <v/>
      </c>
    </row>
    <row r="912" spans="12:16" ht="15" customHeight="1" x14ac:dyDescent="0.25">
      <c r="L912" t="str">
        <f>IF(A912="","",SUMIF(DB_Savings!$C:$C,A912,DB_Savings!$F:$F))</f>
        <v/>
      </c>
      <c r="M912" t="str">
        <f>IF(A912="","",SUMIF(DB_Withdrawals!$C:$C,A912,DB_Withdrawals!$G:$G))</f>
        <v/>
      </c>
      <c r="N912" t="str">
        <f t="shared" si="28"/>
        <v/>
      </c>
      <c r="O912" t="str">
        <f t="shared" si="29"/>
        <v/>
      </c>
      <c r="P912" t="str">
        <f>IF(A912="","",MAX(0,N912-System_Config!$B$9))</f>
        <v/>
      </c>
    </row>
    <row r="913" spans="12:16" ht="15" customHeight="1" x14ac:dyDescent="0.25">
      <c r="L913" t="str">
        <f>IF(A913="","",SUMIF(DB_Savings!$C:$C,A913,DB_Savings!$F:$F))</f>
        <v/>
      </c>
      <c r="M913" t="str">
        <f>IF(A913="","",SUMIF(DB_Withdrawals!$C:$C,A913,DB_Withdrawals!$G:$G))</f>
        <v/>
      </c>
      <c r="N913" t="str">
        <f t="shared" si="28"/>
        <v/>
      </c>
      <c r="O913" t="str">
        <f t="shared" si="29"/>
        <v/>
      </c>
      <c r="P913" t="str">
        <f>IF(A913="","",MAX(0,N913-System_Config!$B$9))</f>
        <v/>
      </c>
    </row>
    <row r="914" spans="12:16" ht="15" customHeight="1" x14ac:dyDescent="0.25">
      <c r="L914" t="str">
        <f>IF(A914="","",SUMIF(DB_Savings!$C:$C,A914,DB_Savings!$F:$F))</f>
        <v/>
      </c>
      <c r="M914" t="str">
        <f>IF(A914="","",SUMIF(DB_Withdrawals!$C:$C,A914,DB_Withdrawals!$G:$G))</f>
        <v/>
      </c>
      <c r="N914" t="str">
        <f t="shared" si="28"/>
        <v/>
      </c>
      <c r="O914" t="str">
        <f t="shared" si="29"/>
        <v/>
      </c>
      <c r="P914" t="str">
        <f>IF(A914="","",MAX(0,N914-System_Config!$B$9))</f>
        <v/>
      </c>
    </row>
    <row r="915" spans="12:16" ht="15" customHeight="1" x14ac:dyDescent="0.25">
      <c r="L915" t="str">
        <f>IF(A915="","",SUMIF(DB_Savings!$C:$C,A915,DB_Savings!$F:$F))</f>
        <v/>
      </c>
      <c r="M915" t="str">
        <f>IF(A915="","",SUMIF(DB_Withdrawals!$C:$C,A915,DB_Withdrawals!$G:$G))</f>
        <v/>
      </c>
      <c r="N915" t="str">
        <f t="shared" si="28"/>
        <v/>
      </c>
      <c r="O915" t="str">
        <f t="shared" si="29"/>
        <v/>
      </c>
      <c r="P915" t="str">
        <f>IF(A915="","",MAX(0,N915-System_Config!$B$9))</f>
        <v/>
      </c>
    </row>
    <row r="916" spans="12:16" ht="15" customHeight="1" x14ac:dyDescent="0.25">
      <c r="L916" t="str">
        <f>IF(A916="","",SUMIF(DB_Savings!$C:$C,A916,DB_Savings!$F:$F))</f>
        <v/>
      </c>
      <c r="M916" t="str">
        <f>IF(A916="","",SUMIF(DB_Withdrawals!$C:$C,A916,DB_Withdrawals!$G:$G))</f>
        <v/>
      </c>
      <c r="N916" t="str">
        <f t="shared" si="28"/>
        <v/>
      </c>
      <c r="O916" t="str">
        <f t="shared" si="29"/>
        <v/>
      </c>
      <c r="P916" t="str">
        <f>IF(A916="","",MAX(0,N916-System_Config!$B$9))</f>
        <v/>
      </c>
    </row>
    <row r="917" spans="12:16" ht="15" customHeight="1" x14ac:dyDescent="0.25">
      <c r="L917" t="str">
        <f>IF(A917="","",SUMIF(DB_Savings!$C:$C,A917,DB_Savings!$F:$F))</f>
        <v/>
      </c>
      <c r="M917" t="str">
        <f>IF(A917="","",SUMIF(DB_Withdrawals!$C:$C,A917,DB_Withdrawals!$G:$G))</f>
        <v/>
      </c>
      <c r="N917" t="str">
        <f t="shared" si="28"/>
        <v/>
      </c>
      <c r="O917" t="str">
        <f t="shared" si="29"/>
        <v/>
      </c>
      <c r="P917" t="str">
        <f>IF(A917="","",MAX(0,N917-System_Config!$B$9))</f>
        <v/>
      </c>
    </row>
    <row r="918" spans="12:16" ht="15" customHeight="1" x14ac:dyDescent="0.25">
      <c r="L918" t="str">
        <f>IF(A918="","",SUMIF(DB_Savings!$C:$C,A918,DB_Savings!$F:$F))</f>
        <v/>
      </c>
      <c r="M918" t="str">
        <f>IF(A918="","",SUMIF(DB_Withdrawals!$C:$C,A918,DB_Withdrawals!$G:$G))</f>
        <v/>
      </c>
      <c r="N918" t="str">
        <f t="shared" si="28"/>
        <v/>
      </c>
      <c r="O918" t="str">
        <f t="shared" si="29"/>
        <v/>
      </c>
      <c r="P918" t="str">
        <f>IF(A918="","",MAX(0,N918-System_Config!$B$9))</f>
        <v/>
      </c>
    </row>
    <row r="919" spans="12:16" ht="15" customHeight="1" x14ac:dyDescent="0.25">
      <c r="L919" t="str">
        <f>IF(A919="","",SUMIF(DB_Savings!$C:$C,A919,DB_Savings!$F:$F))</f>
        <v/>
      </c>
      <c r="M919" t="str">
        <f>IF(A919="","",SUMIF(DB_Withdrawals!$C:$C,A919,DB_Withdrawals!$G:$G))</f>
        <v/>
      </c>
      <c r="N919" t="str">
        <f t="shared" si="28"/>
        <v/>
      </c>
      <c r="O919" t="str">
        <f t="shared" si="29"/>
        <v/>
      </c>
      <c r="P919" t="str">
        <f>IF(A919="","",MAX(0,N919-System_Config!$B$9))</f>
        <v/>
      </c>
    </row>
    <row r="920" spans="12:16" ht="15" customHeight="1" x14ac:dyDescent="0.25">
      <c r="L920" t="str">
        <f>IF(A920="","",SUMIF(DB_Savings!$C:$C,A920,DB_Savings!$F:$F))</f>
        <v/>
      </c>
      <c r="M920" t="str">
        <f>IF(A920="","",SUMIF(DB_Withdrawals!$C:$C,A920,DB_Withdrawals!$G:$G))</f>
        <v/>
      </c>
      <c r="N920" t="str">
        <f t="shared" si="28"/>
        <v/>
      </c>
      <c r="O920" t="str">
        <f t="shared" si="29"/>
        <v/>
      </c>
      <c r="P920" t="str">
        <f>IF(A920="","",MAX(0,N920-System_Config!$B$9))</f>
        <v/>
      </c>
    </row>
    <row r="921" spans="12:16" ht="15" customHeight="1" x14ac:dyDescent="0.25">
      <c r="L921" t="str">
        <f>IF(A921="","",SUMIF(DB_Savings!$C:$C,A921,DB_Savings!$F:$F))</f>
        <v/>
      </c>
      <c r="M921" t="str">
        <f>IF(A921="","",SUMIF(DB_Withdrawals!$C:$C,A921,DB_Withdrawals!$G:$G))</f>
        <v/>
      </c>
      <c r="N921" t="str">
        <f t="shared" si="28"/>
        <v/>
      </c>
      <c r="O921" t="str">
        <f t="shared" si="29"/>
        <v/>
      </c>
      <c r="P921" t="str">
        <f>IF(A921="","",MAX(0,N921-System_Config!$B$9))</f>
        <v/>
      </c>
    </row>
    <row r="922" spans="12:16" ht="15" customHeight="1" x14ac:dyDescent="0.25">
      <c r="L922" t="str">
        <f>IF(A922="","",SUMIF(DB_Savings!$C:$C,A922,DB_Savings!$F:$F))</f>
        <v/>
      </c>
      <c r="M922" t="str">
        <f>IF(A922="","",SUMIF(DB_Withdrawals!$C:$C,A922,DB_Withdrawals!$G:$G))</f>
        <v/>
      </c>
      <c r="N922" t="str">
        <f t="shared" si="28"/>
        <v/>
      </c>
      <c r="O922" t="str">
        <f t="shared" si="29"/>
        <v/>
      </c>
      <c r="P922" t="str">
        <f>IF(A922="","",MAX(0,N922-System_Config!$B$9))</f>
        <v/>
      </c>
    </row>
    <row r="923" spans="12:16" ht="15" customHeight="1" x14ac:dyDescent="0.25">
      <c r="L923" t="str">
        <f>IF(A923="","",SUMIF(DB_Savings!$C:$C,A923,DB_Savings!$F:$F))</f>
        <v/>
      </c>
      <c r="M923" t="str">
        <f>IF(A923="","",SUMIF(DB_Withdrawals!$C:$C,A923,DB_Withdrawals!$G:$G))</f>
        <v/>
      </c>
      <c r="N923" t="str">
        <f t="shared" si="28"/>
        <v/>
      </c>
      <c r="O923" t="str">
        <f t="shared" si="29"/>
        <v/>
      </c>
      <c r="P923" t="str">
        <f>IF(A923="","",MAX(0,N923-System_Config!$B$9))</f>
        <v/>
      </c>
    </row>
    <row r="924" spans="12:16" ht="15" customHeight="1" x14ac:dyDescent="0.25">
      <c r="L924" t="str">
        <f>IF(A924="","",SUMIF(DB_Savings!$C:$C,A924,DB_Savings!$F:$F))</f>
        <v/>
      </c>
      <c r="M924" t="str">
        <f>IF(A924="","",SUMIF(DB_Withdrawals!$C:$C,A924,DB_Withdrawals!$G:$G))</f>
        <v/>
      </c>
      <c r="N924" t="str">
        <f t="shared" si="28"/>
        <v/>
      </c>
      <c r="O924" t="str">
        <f t="shared" si="29"/>
        <v/>
      </c>
      <c r="P924" t="str">
        <f>IF(A924="","",MAX(0,N924-System_Config!$B$9))</f>
        <v/>
      </c>
    </row>
    <row r="925" spans="12:16" ht="15" customHeight="1" x14ac:dyDescent="0.25">
      <c r="L925" t="str">
        <f>IF(A925="","",SUMIF(DB_Savings!$C:$C,A925,DB_Savings!$F:$F))</f>
        <v/>
      </c>
      <c r="M925" t="str">
        <f>IF(A925="","",SUMIF(DB_Withdrawals!$C:$C,A925,DB_Withdrawals!$G:$G))</f>
        <v/>
      </c>
      <c r="N925" t="str">
        <f t="shared" si="28"/>
        <v/>
      </c>
      <c r="O925" t="str">
        <f t="shared" si="29"/>
        <v/>
      </c>
      <c r="P925" t="str">
        <f>IF(A925="","",MAX(0,N925-System_Config!$B$9))</f>
        <v/>
      </c>
    </row>
    <row r="926" spans="12:16" ht="15" customHeight="1" x14ac:dyDescent="0.25">
      <c r="L926" t="str">
        <f>IF(A926="","",SUMIF(DB_Savings!$C:$C,A926,DB_Savings!$F:$F))</f>
        <v/>
      </c>
      <c r="M926" t="str">
        <f>IF(A926="","",SUMIF(DB_Withdrawals!$C:$C,A926,DB_Withdrawals!$G:$G))</f>
        <v/>
      </c>
      <c r="N926" t="str">
        <f t="shared" si="28"/>
        <v/>
      </c>
      <c r="O926" t="str">
        <f t="shared" si="29"/>
        <v/>
      </c>
      <c r="P926" t="str">
        <f>IF(A926="","",MAX(0,N926-System_Config!$B$9))</f>
        <v/>
      </c>
    </row>
    <row r="927" spans="12:16" ht="15" customHeight="1" x14ac:dyDescent="0.25">
      <c r="L927" t="str">
        <f>IF(A927="","",SUMIF(DB_Savings!$C:$C,A927,DB_Savings!$F:$F))</f>
        <v/>
      </c>
      <c r="M927" t="str">
        <f>IF(A927="","",SUMIF(DB_Withdrawals!$C:$C,A927,DB_Withdrawals!$G:$G))</f>
        <v/>
      </c>
      <c r="N927" t="str">
        <f t="shared" si="28"/>
        <v/>
      </c>
      <c r="O927" t="str">
        <f t="shared" si="29"/>
        <v/>
      </c>
      <c r="P927" t="str">
        <f>IF(A927="","",MAX(0,N927-System_Config!$B$9))</f>
        <v/>
      </c>
    </row>
    <row r="928" spans="12:16" ht="15" customHeight="1" x14ac:dyDescent="0.25">
      <c r="L928" t="str">
        <f>IF(A928="","",SUMIF(DB_Savings!$C:$C,A928,DB_Savings!$F:$F))</f>
        <v/>
      </c>
      <c r="M928" t="str">
        <f>IF(A928="","",SUMIF(DB_Withdrawals!$C:$C,A928,DB_Withdrawals!$G:$G))</f>
        <v/>
      </c>
      <c r="N928" t="str">
        <f t="shared" si="28"/>
        <v/>
      </c>
      <c r="O928" t="str">
        <f t="shared" si="29"/>
        <v/>
      </c>
      <c r="P928" t="str">
        <f>IF(A928="","",MAX(0,N928-System_Config!$B$9))</f>
        <v/>
      </c>
    </row>
    <row r="929" spans="12:16" ht="15" customHeight="1" x14ac:dyDescent="0.25">
      <c r="L929" t="str">
        <f>IF(A929="","",SUMIF(DB_Savings!$C:$C,A929,DB_Savings!$F:$F))</f>
        <v/>
      </c>
      <c r="M929" t="str">
        <f>IF(A929="","",SUMIF(DB_Withdrawals!$C:$C,A929,DB_Withdrawals!$G:$G))</f>
        <v/>
      </c>
      <c r="N929" t="str">
        <f t="shared" si="28"/>
        <v/>
      </c>
      <c r="O929" t="str">
        <f t="shared" si="29"/>
        <v/>
      </c>
      <c r="P929" t="str">
        <f>IF(A929="","",MAX(0,N929-System_Config!$B$9))</f>
        <v/>
      </c>
    </row>
    <row r="930" spans="12:16" ht="15" customHeight="1" x14ac:dyDescent="0.25">
      <c r="L930" t="str">
        <f>IF(A930="","",SUMIF(DB_Savings!$C:$C,A930,DB_Savings!$F:$F))</f>
        <v/>
      </c>
      <c r="M930" t="str">
        <f>IF(A930="","",SUMIF(DB_Withdrawals!$C:$C,A930,DB_Withdrawals!$G:$G))</f>
        <v/>
      </c>
      <c r="N930" t="str">
        <f t="shared" si="28"/>
        <v/>
      </c>
      <c r="O930" t="str">
        <f t="shared" si="29"/>
        <v/>
      </c>
      <c r="P930" t="str">
        <f>IF(A930="","",MAX(0,N930-System_Config!$B$9))</f>
        <v/>
      </c>
    </row>
    <row r="931" spans="12:16" ht="15" customHeight="1" x14ac:dyDescent="0.25">
      <c r="L931" t="str">
        <f>IF(A931="","",SUMIF(DB_Savings!$C:$C,A931,DB_Savings!$F:$F))</f>
        <v/>
      </c>
      <c r="M931" t="str">
        <f>IF(A931="","",SUMIF(DB_Withdrawals!$C:$C,A931,DB_Withdrawals!$G:$G))</f>
        <v/>
      </c>
      <c r="N931" t="str">
        <f t="shared" si="28"/>
        <v/>
      </c>
      <c r="O931" t="str">
        <f t="shared" si="29"/>
        <v/>
      </c>
      <c r="P931" t="str">
        <f>IF(A931="","",MAX(0,N931-System_Config!$B$9))</f>
        <v/>
      </c>
    </row>
    <row r="932" spans="12:16" ht="15" customHeight="1" x14ac:dyDescent="0.25">
      <c r="L932" t="str">
        <f>IF(A932="","",SUMIF(DB_Savings!$C:$C,A932,DB_Savings!$F:$F))</f>
        <v/>
      </c>
      <c r="M932" t="str">
        <f>IF(A932="","",SUMIF(DB_Withdrawals!$C:$C,A932,DB_Withdrawals!$G:$G))</f>
        <v/>
      </c>
      <c r="N932" t="str">
        <f t="shared" si="28"/>
        <v/>
      </c>
      <c r="O932" t="str">
        <f t="shared" si="29"/>
        <v/>
      </c>
      <c r="P932" t="str">
        <f>IF(A932="","",MAX(0,N932-System_Config!$B$9))</f>
        <v/>
      </c>
    </row>
    <row r="933" spans="12:16" ht="15" customHeight="1" x14ac:dyDescent="0.25">
      <c r="L933" t="str">
        <f>IF(A933="","",SUMIF(DB_Savings!$C:$C,A933,DB_Savings!$F:$F))</f>
        <v/>
      </c>
      <c r="M933" t="str">
        <f>IF(A933="","",SUMIF(DB_Withdrawals!$C:$C,A933,DB_Withdrawals!$G:$G))</f>
        <v/>
      </c>
      <c r="N933" t="str">
        <f t="shared" si="28"/>
        <v/>
      </c>
      <c r="O933" t="str">
        <f t="shared" si="29"/>
        <v/>
      </c>
      <c r="P933" t="str">
        <f>IF(A933="","",MAX(0,N933-System_Config!$B$9))</f>
        <v/>
      </c>
    </row>
    <row r="934" spans="12:16" ht="15" customHeight="1" x14ac:dyDescent="0.25">
      <c r="L934" t="str">
        <f>IF(A934="","",SUMIF(DB_Savings!$C:$C,A934,DB_Savings!$F:$F))</f>
        <v/>
      </c>
      <c r="M934" t="str">
        <f>IF(A934="","",SUMIF(DB_Withdrawals!$C:$C,A934,DB_Withdrawals!$G:$G))</f>
        <v/>
      </c>
      <c r="N934" t="str">
        <f t="shared" si="28"/>
        <v/>
      </c>
      <c r="O934" t="str">
        <f t="shared" si="29"/>
        <v/>
      </c>
      <c r="P934" t="str">
        <f>IF(A934="","",MAX(0,N934-System_Config!$B$9))</f>
        <v/>
      </c>
    </row>
    <row r="935" spans="12:16" ht="15" customHeight="1" x14ac:dyDescent="0.25">
      <c r="L935" t="str">
        <f>IF(A935="","",SUMIF(DB_Savings!$C:$C,A935,DB_Savings!$F:$F))</f>
        <v/>
      </c>
      <c r="M935" t="str">
        <f>IF(A935="","",SUMIF(DB_Withdrawals!$C:$C,A935,DB_Withdrawals!$G:$G))</f>
        <v/>
      </c>
      <c r="N935" t="str">
        <f t="shared" si="28"/>
        <v/>
      </c>
      <c r="O935" t="str">
        <f t="shared" si="29"/>
        <v/>
      </c>
      <c r="P935" t="str">
        <f>IF(A935="","",MAX(0,N935-System_Config!$B$9))</f>
        <v/>
      </c>
    </row>
    <row r="936" spans="12:16" ht="15" customHeight="1" x14ac:dyDescent="0.25">
      <c r="L936" t="str">
        <f>IF(A936="","",SUMIF(DB_Savings!$C:$C,A936,DB_Savings!$F:$F))</f>
        <v/>
      </c>
      <c r="M936" t="str">
        <f>IF(A936="","",SUMIF(DB_Withdrawals!$C:$C,A936,DB_Withdrawals!$G:$G))</f>
        <v/>
      </c>
      <c r="N936" t="str">
        <f t="shared" si="28"/>
        <v/>
      </c>
      <c r="O936" t="str">
        <f t="shared" si="29"/>
        <v/>
      </c>
      <c r="P936" t="str">
        <f>IF(A936="","",MAX(0,N936-System_Config!$B$9))</f>
        <v/>
      </c>
    </row>
    <row r="937" spans="12:16" ht="15" customHeight="1" x14ac:dyDescent="0.25">
      <c r="L937" t="str">
        <f>IF(A937="","",SUMIF(DB_Savings!$C:$C,A937,DB_Savings!$F:$F))</f>
        <v/>
      </c>
      <c r="M937" t="str">
        <f>IF(A937="","",SUMIF(DB_Withdrawals!$C:$C,A937,DB_Withdrawals!$G:$G))</f>
        <v/>
      </c>
      <c r="N937" t="str">
        <f t="shared" si="28"/>
        <v/>
      </c>
      <c r="O937" t="str">
        <f t="shared" si="29"/>
        <v/>
      </c>
      <c r="P937" t="str">
        <f>IF(A937="","",MAX(0,N937-System_Config!$B$9))</f>
        <v/>
      </c>
    </row>
    <row r="938" spans="12:16" ht="15" customHeight="1" x14ac:dyDescent="0.25">
      <c r="L938" t="str">
        <f>IF(A938="","",SUMIF(DB_Savings!$C:$C,A938,DB_Savings!$F:$F))</f>
        <v/>
      </c>
      <c r="M938" t="str">
        <f>IF(A938="","",SUMIF(DB_Withdrawals!$C:$C,A938,DB_Withdrawals!$G:$G))</f>
        <v/>
      </c>
      <c r="N938" t="str">
        <f t="shared" si="28"/>
        <v/>
      </c>
      <c r="O938" t="str">
        <f t="shared" si="29"/>
        <v/>
      </c>
      <c r="P938" t="str">
        <f>IF(A938="","",MAX(0,N938-System_Config!$B$9))</f>
        <v/>
      </c>
    </row>
    <row r="939" spans="12:16" ht="15" customHeight="1" x14ac:dyDescent="0.25">
      <c r="L939" t="str">
        <f>IF(A939="","",SUMIF(DB_Savings!$C:$C,A939,DB_Savings!$F:$F))</f>
        <v/>
      </c>
      <c r="M939" t="str">
        <f>IF(A939="","",SUMIF(DB_Withdrawals!$C:$C,A939,DB_Withdrawals!$G:$G))</f>
        <v/>
      </c>
      <c r="N939" t="str">
        <f t="shared" si="28"/>
        <v/>
      </c>
      <c r="O939" t="str">
        <f t="shared" si="29"/>
        <v/>
      </c>
      <c r="P939" t="str">
        <f>IF(A939="","",MAX(0,N939-System_Config!$B$9))</f>
        <v/>
      </c>
    </row>
    <row r="940" spans="12:16" ht="15" customHeight="1" x14ac:dyDescent="0.25">
      <c r="L940" t="str">
        <f>IF(A940="","",SUMIF(DB_Savings!$C:$C,A940,DB_Savings!$F:$F))</f>
        <v/>
      </c>
      <c r="M940" t="str">
        <f>IF(A940="","",SUMIF(DB_Withdrawals!$C:$C,A940,DB_Withdrawals!$G:$G))</f>
        <v/>
      </c>
      <c r="N940" t="str">
        <f t="shared" si="28"/>
        <v/>
      </c>
      <c r="O940" t="str">
        <f t="shared" si="29"/>
        <v/>
      </c>
      <c r="P940" t="str">
        <f>IF(A940="","",MAX(0,N940-System_Config!$B$9))</f>
        <v/>
      </c>
    </row>
    <row r="941" spans="12:16" ht="15" customHeight="1" x14ac:dyDescent="0.25">
      <c r="L941" t="str">
        <f>IF(A941="","",SUMIF(DB_Savings!$C:$C,A941,DB_Savings!$F:$F))</f>
        <v/>
      </c>
      <c r="M941" t="str">
        <f>IF(A941="","",SUMIF(DB_Withdrawals!$C:$C,A941,DB_Withdrawals!$G:$G))</f>
        <v/>
      </c>
      <c r="N941" t="str">
        <f t="shared" si="28"/>
        <v/>
      </c>
      <c r="O941" t="str">
        <f t="shared" si="29"/>
        <v/>
      </c>
      <c r="P941" t="str">
        <f>IF(A941="","",MAX(0,N941-System_Config!$B$9))</f>
        <v/>
      </c>
    </row>
    <row r="942" spans="12:16" ht="15" customHeight="1" x14ac:dyDescent="0.25">
      <c r="L942" t="str">
        <f>IF(A942="","",SUMIF(DB_Savings!$C:$C,A942,DB_Savings!$F:$F))</f>
        <v/>
      </c>
      <c r="M942" t="str">
        <f>IF(A942="","",SUMIF(DB_Withdrawals!$C:$C,A942,DB_Withdrawals!$G:$G))</f>
        <v/>
      </c>
      <c r="N942" t="str">
        <f t="shared" si="28"/>
        <v/>
      </c>
      <c r="O942" t="str">
        <f t="shared" si="29"/>
        <v/>
      </c>
      <c r="P942" t="str">
        <f>IF(A942="","",MAX(0,N942-System_Config!$B$9))</f>
        <v/>
      </c>
    </row>
    <row r="943" spans="12:16" ht="15" customHeight="1" x14ac:dyDescent="0.25">
      <c r="L943" t="str">
        <f>IF(A943="","",SUMIF(DB_Savings!$C:$C,A943,DB_Savings!$F:$F))</f>
        <v/>
      </c>
      <c r="M943" t="str">
        <f>IF(A943="","",SUMIF(DB_Withdrawals!$C:$C,A943,DB_Withdrawals!$G:$G))</f>
        <v/>
      </c>
      <c r="N943" t="str">
        <f t="shared" si="28"/>
        <v/>
      </c>
      <c r="O943" t="str">
        <f t="shared" si="29"/>
        <v/>
      </c>
      <c r="P943" t="str">
        <f>IF(A943="","",MAX(0,N943-System_Config!$B$9))</f>
        <v/>
      </c>
    </row>
    <row r="944" spans="12:16" ht="15" customHeight="1" x14ac:dyDescent="0.25">
      <c r="L944" t="str">
        <f>IF(A944="","",SUMIF(DB_Savings!$C:$C,A944,DB_Savings!$F:$F))</f>
        <v/>
      </c>
      <c r="M944" t="str">
        <f>IF(A944="","",SUMIF(DB_Withdrawals!$C:$C,A944,DB_Withdrawals!$G:$G))</f>
        <v/>
      </c>
      <c r="N944" t="str">
        <f t="shared" si="28"/>
        <v/>
      </c>
      <c r="O944" t="str">
        <f t="shared" si="29"/>
        <v/>
      </c>
      <c r="P944" t="str">
        <f>IF(A944="","",MAX(0,N944-System_Config!$B$9))</f>
        <v/>
      </c>
    </row>
    <row r="945" spans="12:16" ht="15" customHeight="1" x14ac:dyDescent="0.25">
      <c r="L945" t="str">
        <f>IF(A945="","",SUMIF(DB_Savings!$C:$C,A945,DB_Savings!$F:$F))</f>
        <v/>
      </c>
      <c r="M945" t="str">
        <f>IF(A945="","",SUMIF(DB_Withdrawals!$C:$C,A945,DB_Withdrawals!$G:$G))</f>
        <v/>
      </c>
      <c r="N945" t="str">
        <f t="shared" si="28"/>
        <v/>
      </c>
      <c r="O945" t="str">
        <f t="shared" si="29"/>
        <v/>
      </c>
      <c r="P945" t="str">
        <f>IF(A945="","",MAX(0,N945-System_Config!$B$9))</f>
        <v/>
      </c>
    </row>
    <row r="946" spans="12:16" ht="15" customHeight="1" x14ac:dyDescent="0.25">
      <c r="L946" t="str">
        <f>IF(A946="","",SUMIF(DB_Savings!$C:$C,A946,DB_Savings!$F:$F))</f>
        <v/>
      </c>
      <c r="M946" t="str">
        <f>IF(A946="","",SUMIF(DB_Withdrawals!$C:$C,A946,DB_Withdrawals!$G:$G))</f>
        <v/>
      </c>
      <c r="N946" t="str">
        <f t="shared" si="28"/>
        <v/>
      </c>
      <c r="O946" t="str">
        <f t="shared" si="29"/>
        <v/>
      </c>
      <c r="P946" t="str">
        <f>IF(A946="","",MAX(0,N946-System_Config!$B$9))</f>
        <v/>
      </c>
    </row>
    <row r="947" spans="12:16" ht="15" customHeight="1" x14ac:dyDescent="0.25">
      <c r="L947" t="str">
        <f>IF(A947="","",SUMIF(DB_Savings!$C:$C,A947,DB_Savings!$F:$F))</f>
        <v/>
      </c>
      <c r="M947" t="str">
        <f>IF(A947="","",SUMIF(DB_Withdrawals!$C:$C,A947,DB_Withdrawals!$G:$G))</f>
        <v/>
      </c>
      <c r="N947" t="str">
        <f t="shared" si="28"/>
        <v/>
      </c>
      <c r="O947" t="str">
        <f t="shared" si="29"/>
        <v/>
      </c>
      <c r="P947" t="str">
        <f>IF(A947="","",MAX(0,N947-System_Config!$B$9))</f>
        <v/>
      </c>
    </row>
    <row r="948" spans="12:16" ht="15" customHeight="1" x14ac:dyDescent="0.25">
      <c r="L948" t="str">
        <f>IF(A948="","",SUMIF(DB_Savings!$C:$C,A948,DB_Savings!$F:$F))</f>
        <v/>
      </c>
      <c r="M948" t="str">
        <f>IF(A948="","",SUMIF(DB_Withdrawals!$C:$C,A948,DB_Withdrawals!$G:$G))</f>
        <v/>
      </c>
      <c r="N948" t="str">
        <f t="shared" si="28"/>
        <v/>
      </c>
      <c r="O948" t="str">
        <f t="shared" si="29"/>
        <v/>
      </c>
      <c r="P948" t="str">
        <f>IF(A948="","",MAX(0,N948-System_Config!$B$9))</f>
        <v/>
      </c>
    </row>
    <row r="949" spans="12:16" ht="15" customHeight="1" x14ac:dyDescent="0.25">
      <c r="L949" t="str">
        <f>IF(A949="","",SUMIF(DB_Savings!$C:$C,A949,DB_Savings!$F:$F))</f>
        <v/>
      </c>
      <c r="M949" t="str">
        <f>IF(A949="","",SUMIF(DB_Withdrawals!$C:$C,A949,DB_Withdrawals!$G:$G))</f>
        <v/>
      </c>
      <c r="N949" t="str">
        <f t="shared" si="28"/>
        <v/>
      </c>
      <c r="O949" t="str">
        <f t="shared" si="29"/>
        <v/>
      </c>
      <c r="P949" t="str">
        <f>IF(A949="","",MAX(0,N949-System_Config!$B$9))</f>
        <v/>
      </c>
    </row>
    <row r="950" spans="12:16" ht="15" customHeight="1" x14ac:dyDescent="0.25">
      <c r="L950" t="str">
        <f>IF(A950="","",SUMIF(DB_Savings!$C:$C,A950,DB_Savings!$F:$F))</f>
        <v/>
      </c>
      <c r="M950" t="str">
        <f>IF(A950="","",SUMIF(DB_Withdrawals!$C:$C,A950,DB_Withdrawals!$G:$G))</f>
        <v/>
      </c>
      <c r="N950" t="str">
        <f t="shared" si="28"/>
        <v/>
      </c>
      <c r="O950" t="str">
        <f t="shared" si="29"/>
        <v/>
      </c>
      <c r="P950" t="str">
        <f>IF(A950="","",MAX(0,N950-System_Config!$B$9))</f>
        <v/>
      </c>
    </row>
    <row r="951" spans="12:16" ht="15" customHeight="1" x14ac:dyDescent="0.25">
      <c r="L951" t="str">
        <f>IF(A951="","",SUMIF(DB_Savings!$C:$C,A951,DB_Savings!$F:$F))</f>
        <v/>
      </c>
      <c r="M951" t="str">
        <f>IF(A951="","",SUMIF(DB_Withdrawals!$C:$C,A951,DB_Withdrawals!$G:$G))</f>
        <v/>
      </c>
      <c r="N951" t="str">
        <f t="shared" si="28"/>
        <v/>
      </c>
      <c r="O951" t="str">
        <f t="shared" si="29"/>
        <v/>
      </c>
      <c r="P951" t="str">
        <f>IF(A951="","",MAX(0,N951-System_Config!$B$9))</f>
        <v/>
      </c>
    </row>
    <row r="952" spans="12:16" ht="15" customHeight="1" x14ac:dyDescent="0.25">
      <c r="L952" t="str">
        <f>IF(A952="","",SUMIF(DB_Savings!$C:$C,A952,DB_Savings!$F:$F))</f>
        <v/>
      </c>
      <c r="M952" t="str">
        <f>IF(A952="","",SUMIF(DB_Withdrawals!$C:$C,A952,DB_Withdrawals!$G:$G))</f>
        <v/>
      </c>
      <c r="N952" t="str">
        <f t="shared" si="28"/>
        <v/>
      </c>
      <c r="O952" t="str">
        <f t="shared" si="29"/>
        <v/>
      </c>
      <c r="P952" t="str">
        <f>IF(A952="","",MAX(0,N952-System_Config!$B$9))</f>
        <v/>
      </c>
    </row>
    <row r="953" spans="12:16" ht="15" customHeight="1" x14ac:dyDescent="0.25">
      <c r="L953" t="str">
        <f>IF(A953="","",SUMIF(DB_Savings!$C:$C,A953,DB_Savings!$F:$F))</f>
        <v/>
      </c>
      <c r="M953" t="str">
        <f>IF(A953="","",SUMIF(DB_Withdrawals!$C:$C,A953,DB_Withdrawals!$G:$G))</f>
        <v/>
      </c>
      <c r="N953" t="str">
        <f t="shared" si="28"/>
        <v/>
      </c>
      <c r="O953" t="str">
        <f t="shared" si="29"/>
        <v/>
      </c>
      <c r="P953" t="str">
        <f>IF(A953="","",MAX(0,N953-System_Config!$B$9))</f>
        <v/>
      </c>
    </row>
    <row r="954" spans="12:16" ht="15" customHeight="1" x14ac:dyDescent="0.25">
      <c r="L954" t="str">
        <f>IF(A954="","",SUMIF(DB_Savings!$C:$C,A954,DB_Savings!$F:$F))</f>
        <v/>
      </c>
      <c r="M954" t="str">
        <f>IF(A954="","",SUMIF(DB_Withdrawals!$C:$C,A954,DB_Withdrawals!$G:$G))</f>
        <v/>
      </c>
      <c r="N954" t="str">
        <f t="shared" si="28"/>
        <v/>
      </c>
      <c r="O954" t="str">
        <f t="shared" si="29"/>
        <v/>
      </c>
      <c r="P954" t="str">
        <f>IF(A954="","",MAX(0,N954-System_Config!$B$9))</f>
        <v/>
      </c>
    </row>
    <row r="955" spans="12:16" ht="15" customHeight="1" x14ac:dyDescent="0.25">
      <c r="L955" t="str">
        <f>IF(A955="","",SUMIF(DB_Savings!$C:$C,A955,DB_Savings!$F:$F))</f>
        <v/>
      </c>
      <c r="M955" t="str">
        <f>IF(A955="","",SUMIF(DB_Withdrawals!$C:$C,A955,DB_Withdrawals!$G:$G))</f>
        <v/>
      </c>
      <c r="N955" t="str">
        <f t="shared" si="28"/>
        <v/>
      </c>
      <c r="O955" t="str">
        <f t="shared" si="29"/>
        <v/>
      </c>
      <c r="P955" t="str">
        <f>IF(A955="","",MAX(0,N955-System_Config!$B$9))</f>
        <v/>
      </c>
    </row>
    <row r="956" spans="12:16" ht="15" customHeight="1" x14ac:dyDescent="0.25">
      <c r="L956" t="str">
        <f>IF(A956="","",SUMIF(DB_Savings!$C:$C,A956,DB_Savings!$F:$F))</f>
        <v/>
      </c>
      <c r="M956" t="str">
        <f>IF(A956="","",SUMIF(DB_Withdrawals!$C:$C,A956,DB_Withdrawals!$G:$G))</f>
        <v/>
      </c>
      <c r="N956" t="str">
        <f t="shared" si="28"/>
        <v/>
      </c>
      <c r="O956" t="str">
        <f t="shared" si="29"/>
        <v/>
      </c>
      <c r="P956" t="str">
        <f>IF(A956="","",MAX(0,N956-System_Config!$B$9))</f>
        <v/>
      </c>
    </row>
    <row r="957" spans="12:16" ht="15" customHeight="1" x14ac:dyDescent="0.25">
      <c r="L957" t="str">
        <f>IF(A957="","",SUMIF(DB_Savings!$C:$C,A957,DB_Savings!$F:$F))</f>
        <v/>
      </c>
      <c r="M957" t="str">
        <f>IF(A957="","",SUMIF(DB_Withdrawals!$C:$C,A957,DB_Withdrawals!$G:$G))</f>
        <v/>
      </c>
      <c r="N957" t="str">
        <f t="shared" si="28"/>
        <v/>
      </c>
      <c r="O957" t="str">
        <f t="shared" si="29"/>
        <v/>
      </c>
      <c r="P957" t="str">
        <f>IF(A957="","",MAX(0,N957-System_Config!$B$9))</f>
        <v/>
      </c>
    </row>
    <row r="958" spans="12:16" ht="15" customHeight="1" x14ac:dyDescent="0.25">
      <c r="L958" t="str">
        <f>IF(A958="","",SUMIF(DB_Savings!$C:$C,A958,DB_Savings!$F:$F))</f>
        <v/>
      </c>
      <c r="M958" t="str">
        <f>IF(A958="","",SUMIF(DB_Withdrawals!$C:$C,A958,DB_Withdrawals!$G:$G))</f>
        <v/>
      </c>
      <c r="N958" t="str">
        <f t="shared" si="28"/>
        <v/>
      </c>
      <c r="O958" t="str">
        <f t="shared" si="29"/>
        <v/>
      </c>
      <c r="P958" t="str">
        <f>IF(A958="","",MAX(0,N958-System_Config!$B$9))</f>
        <v/>
      </c>
    </row>
    <row r="959" spans="12:16" ht="15" customHeight="1" x14ac:dyDescent="0.25">
      <c r="L959" t="str">
        <f>IF(A959="","",SUMIF(DB_Savings!$C:$C,A959,DB_Savings!$F:$F))</f>
        <v/>
      </c>
      <c r="M959" t="str">
        <f>IF(A959="","",SUMIF(DB_Withdrawals!$C:$C,A959,DB_Withdrawals!$G:$G))</f>
        <v/>
      </c>
      <c r="N959" t="str">
        <f t="shared" si="28"/>
        <v/>
      </c>
      <c r="O959" t="str">
        <f t="shared" si="29"/>
        <v/>
      </c>
      <c r="P959" t="str">
        <f>IF(A959="","",MAX(0,N959-System_Config!$B$9))</f>
        <v/>
      </c>
    </row>
    <row r="960" spans="12:16" ht="15" customHeight="1" x14ac:dyDescent="0.25">
      <c r="L960" t="str">
        <f>IF(A960="","",SUMIF(DB_Savings!$C:$C,A960,DB_Savings!$F:$F))</f>
        <v/>
      </c>
      <c r="M960" t="str">
        <f>IF(A960="","",SUMIF(DB_Withdrawals!$C:$C,A960,DB_Withdrawals!$G:$G))</f>
        <v/>
      </c>
      <c r="N960" t="str">
        <f t="shared" si="28"/>
        <v/>
      </c>
      <c r="O960" t="str">
        <f t="shared" si="29"/>
        <v/>
      </c>
      <c r="P960" t="str">
        <f>IF(A960="","",MAX(0,N960-System_Config!$B$9))</f>
        <v/>
      </c>
    </row>
    <row r="961" spans="12:16" ht="15" customHeight="1" x14ac:dyDescent="0.25">
      <c r="L961" t="str">
        <f>IF(A961="","",SUMIF(DB_Savings!$C:$C,A961,DB_Savings!$F:$F))</f>
        <v/>
      </c>
      <c r="M961" t="str">
        <f>IF(A961="","",SUMIF(DB_Withdrawals!$C:$C,A961,DB_Withdrawals!$G:$G))</f>
        <v/>
      </c>
      <c r="N961" t="str">
        <f t="shared" si="28"/>
        <v/>
      </c>
      <c r="O961" t="str">
        <f t="shared" si="29"/>
        <v/>
      </c>
      <c r="P961" t="str">
        <f>IF(A961="","",MAX(0,N961-System_Config!$B$9))</f>
        <v/>
      </c>
    </row>
    <row r="962" spans="12:16" ht="15" customHeight="1" x14ac:dyDescent="0.25">
      <c r="L962" t="str">
        <f>IF(A962="","",SUMIF(DB_Savings!$C:$C,A962,DB_Savings!$F:$F))</f>
        <v/>
      </c>
      <c r="M962" t="str">
        <f>IF(A962="","",SUMIF(DB_Withdrawals!$C:$C,A962,DB_Withdrawals!$G:$G))</f>
        <v/>
      </c>
      <c r="N962" t="str">
        <f t="shared" si="28"/>
        <v/>
      </c>
      <c r="O962" t="str">
        <f t="shared" si="29"/>
        <v/>
      </c>
      <c r="P962" t="str">
        <f>IF(A962="","",MAX(0,N962-System_Config!$B$9))</f>
        <v/>
      </c>
    </row>
    <row r="963" spans="12:16" ht="15" customHeight="1" x14ac:dyDescent="0.25">
      <c r="L963" t="str">
        <f>IF(A963="","",SUMIF(DB_Savings!$C:$C,A963,DB_Savings!$F:$F))</f>
        <v/>
      </c>
      <c r="M963" t="str">
        <f>IF(A963="","",SUMIF(DB_Withdrawals!$C:$C,A963,DB_Withdrawals!$G:$G))</f>
        <v/>
      </c>
      <c r="N963" t="str">
        <f t="shared" si="28"/>
        <v/>
      </c>
      <c r="O963" t="str">
        <f t="shared" si="29"/>
        <v/>
      </c>
      <c r="P963" t="str">
        <f>IF(A963="","",MAX(0,N963-System_Config!$B$9))</f>
        <v/>
      </c>
    </row>
    <row r="964" spans="12:16" ht="15" customHeight="1" x14ac:dyDescent="0.25">
      <c r="L964" t="str">
        <f>IF(A964="","",SUMIF(DB_Savings!$C:$C,A964,DB_Savings!$F:$F))</f>
        <v/>
      </c>
      <c r="M964" t="str">
        <f>IF(A964="","",SUMIF(DB_Withdrawals!$C:$C,A964,DB_Withdrawals!$G:$G))</f>
        <v/>
      </c>
      <c r="N964" t="str">
        <f t="shared" ref="N964:N1002" si="30">IF(A964="","",I964+L964-M964)</f>
        <v/>
      </c>
      <c r="O964" t="str">
        <f t="shared" ref="O964:O1002" si="31">IF(A964="","",TRUE())</f>
        <v/>
      </c>
      <c r="P964" t="str">
        <f>IF(A964="","",MAX(0,N964-System_Config!$B$9))</f>
        <v/>
      </c>
    </row>
    <row r="965" spans="12:16" ht="15" customHeight="1" x14ac:dyDescent="0.25">
      <c r="L965" t="str">
        <f>IF(A965="","",SUMIF(DB_Savings!$C:$C,A965,DB_Savings!$F:$F))</f>
        <v/>
      </c>
      <c r="M965" t="str">
        <f>IF(A965="","",SUMIF(DB_Withdrawals!$C:$C,A965,DB_Withdrawals!$G:$G))</f>
        <v/>
      </c>
      <c r="N965" t="str">
        <f t="shared" si="30"/>
        <v/>
      </c>
      <c r="O965" t="str">
        <f t="shared" si="31"/>
        <v/>
      </c>
      <c r="P965" t="str">
        <f>IF(A965="","",MAX(0,N965-System_Config!$B$9))</f>
        <v/>
      </c>
    </row>
    <row r="966" spans="12:16" ht="15" customHeight="1" x14ac:dyDescent="0.25">
      <c r="L966" t="str">
        <f>IF(A966="","",SUMIF(DB_Savings!$C:$C,A966,DB_Savings!$F:$F))</f>
        <v/>
      </c>
      <c r="M966" t="str">
        <f>IF(A966="","",SUMIF(DB_Withdrawals!$C:$C,A966,DB_Withdrawals!$G:$G))</f>
        <v/>
      </c>
      <c r="N966" t="str">
        <f t="shared" si="30"/>
        <v/>
      </c>
      <c r="O966" t="str">
        <f t="shared" si="31"/>
        <v/>
      </c>
      <c r="P966" t="str">
        <f>IF(A966="","",MAX(0,N966-System_Config!$B$9))</f>
        <v/>
      </c>
    </row>
    <row r="967" spans="12:16" ht="15" customHeight="1" x14ac:dyDescent="0.25">
      <c r="L967" t="str">
        <f>IF(A967="","",SUMIF(DB_Savings!$C:$C,A967,DB_Savings!$F:$F))</f>
        <v/>
      </c>
      <c r="M967" t="str">
        <f>IF(A967="","",SUMIF(DB_Withdrawals!$C:$C,A967,DB_Withdrawals!$G:$G))</f>
        <v/>
      </c>
      <c r="N967" t="str">
        <f t="shared" si="30"/>
        <v/>
      </c>
      <c r="O967" t="str">
        <f t="shared" si="31"/>
        <v/>
      </c>
      <c r="P967" t="str">
        <f>IF(A967="","",MAX(0,N967-System_Config!$B$9))</f>
        <v/>
      </c>
    </row>
    <row r="968" spans="12:16" ht="15" customHeight="1" x14ac:dyDescent="0.25">
      <c r="L968" t="str">
        <f>IF(A968="","",SUMIF(DB_Savings!$C:$C,A968,DB_Savings!$F:$F))</f>
        <v/>
      </c>
      <c r="M968" t="str">
        <f>IF(A968="","",SUMIF(DB_Withdrawals!$C:$C,A968,DB_Withdrawals!$G:$G))</f>
        <v/>
      </c>
      <c r="N968" t="str">
        <f t="shared" si="30"/>
        <v/>
      </c>
      <c r="O968" t="str">
        <f t="shared" si="31"/>
        <v/>
      </c>
      <c r="P968" t="str">
        <f>IF(A968="","",MAX(0,N968-System_Config!$B$9))</f>
        <v/>
      </c>
    </row>
    <row r="969" spans="12:16" ht="15" customHeight="1" x14ac:dyDescent="0.25">
      <c r="L969" t="str">
        <f>IF(A969="","",SUMIF(DB_Savings!$C:$C,A969,DB_Savings!$F:$F))</f>
        <v/>
      </c>
      <c r="M969" t="str">
        <f>IF(A969="","",SUMIF(DB_Withdrawals!$C:$C,A969,DB_Withdrawals!$G:$G))</f>
        <v/>
      </c>
      <c r="N969" t="str">
        <f t="shared" si="30"/>
        <v/>
      </c>
      <c r="O969" t="str">
        <f t="shared" si="31"/>
        <v/>
      </c>
      <c r="P969" t="str">
        <f>IF(A969="","",MAX(0,N969-System_Config!$B$9))</f>
        <v/>
      </c>
    </row>
    <row r="970" spans="12:16" ht="15" customHeight="1" x14ac:dyDescent="0.25">
      <c r="L970" t="str">
        <f>IF(A970="","",SUMIF(DB_Savings!$C:$C,A970,DB_Savings!$F:$F))</f>
        <v/>
      </c>
      <c r="M970" t="str">
        <f>IF(A970="","",SUMIF(DB_Withdrawals!$C:$C,A970,DB_Withdrawals!$G:$G))</f>
        <v/>
      </c>
      <c r="N970" t="str">
        <f t="shared" si="30"/>
        <v/>
      </c>
      <c r="O970" t="str">
        <f t="shared" si="31"/>
        <v/>
      </c>
      <c r="P970" t="str">
        <f>IF(A970="","",MAX(0,N970-System_Config!$B$9))</f>
        <v/>
      </c>
    </row>
    <row r="971" spans="12:16" ht="15" customHeight="1" x14ac:dyDescent="0.25">
      <c r="L971" t="str">
        <f>IF(A971="","",SUMIF(DB_Savings!$C:$C,A971,DB_Savings!$F:$F))</f>
        <v/>
      </c>
      <c r="M971" t="str">
        <f>IF(A971="","",SUMIF(DB_Withdrawals!$C:$C,A971,DB_Withdrawals!$G:$G))</f>
        <v/>
      </c>
      <c r="N971" t="str">
        <f t="shared" si="30"/>
        <v/>
      </c>
      <c r="O971" t="str">
        <f t="shared" si="31"/>
        <v/>
      </c>
      <c r="P971" t="str">
        <f>IF(A971="","",MAX(0,N971-System_Config!$B$9))</f>
        <v/>
      </c>
    </row>
    <row r="972" spans="12:16" ht="15" customHeight="1" x14ac:dyDescent="0.25">
      <c r="L972" t="str">
        <f>IF(A972="","",SUMIF(DB_Savings!$C:$C,A972,DB_Savings!$F:$F))</f>
        <v/>
      </c>
      <c r="M972" t="str">
        <f>IF(A972="","",SUMIF(DB_Withdrawals!$C:$C,A972,DB_Withdrawals!$G:$G))</f>
        <v/>
      </c>
      <c r="N972" t="str">
        <f t="shared" si="30"/>
        <v/>
      </c>
      <c r="O972" t="str">
        <f t="shared" si="31"/>
        <v/>
      </c>
      <c r="P972" t="str">
        <f>IF(A972="","",MAX(0,N972-System_Config!$B$9))</f>
        <v/>
      </c>
    </row>
    <row r="973" spans="12:16" ht="15" customHeight="1" x14ac:dyDescent="0.25">
      <c r="L973" t="str">
        <f>IF(A973="","",SUMIF(DB_Savings!$C:$C,A973,DB_Savings!$F:$F))</f>
        <v/>
      </c>
      <c r="M973" t="str">
        <f>IF(A973="","",SUMIF(DB_Withdrawals!$C:$C,A973,DB_Withdrawals!$G:$G))</f>
        <v/>
      </c>
      <c r="N973" t="str">
        <f t="shared" si="30"/>
        <v/>
      </c>
      <c r="O973" t="str">
        <f t="shared" si="31"/>
        <v/>
      </c>
      <c r="P973" t="str">
        <f>IF(A973="","",MAX(0,N973-System_Config!$B$9))</f>
        <v/>
      </c>
    </row>
    <row r="974" spans="12:16" ht="15" customHeight="1" x14ac:dyDescent="0.25">
      <c r="L974" t="str">
        <f>IF(A974="","",SUMIF(DB_Savings!$C:$C,A974,DB_Savings!$F:$F))</f>
        <v/>
      </c>
      <c r="M974" t="str">
        <f>IF(A974="","",SUMIF(DB_Withdrawals!$C:$C,A974,DB_Withdrawals!$G:$G))</f>
        <v/>
      </c>
      <c r="N974" t="str">
        <f t="shared" si="30"/>
        <v/>
      </c>
      <c r="O974" t="str">
        <f t="shared" si="31"/>
        <v/>
      </c>
      <c r="P974" t="str">
        <f>IF(A974="","",MAX(0,N974-System_Config!$B$9))</f>
        <v/>
      </c>
    </row>
    <row r="975" spans="12:16" ht="15" customHeight="1" x14ac:dyDescent="0.25">
      <c r="L975" t="str">
        <f>IF(A975="","",SUMIF(DB_Savings!$C:$C,A975,DB_Savings!$F:$F))</f>
        <v/>
      </c>
      <c r="M975" t="str">
        <f>IF(A975="","",SUMIF(DB_Withdrawals!$C:$C,A975,DB_Withdrawals!$G:$G))</f>
        <v/>
      </c>
      <c r="N975" t="str">
        <f t="shared" si="30"/>
        <v/>
      </c>
      <c r="O975" t="str">
        <f t="shared" si="31"/>
        <v/>
      </c>
      <c r="P975" t="str">
        <f>IF(A975="","",MAX(0,N975-System_Config!$B$9))</f>
        <v/>
      </c>
    </row>
    <row r="976" spans="12:16" ht="15" customHeight="1" x14ac:dyDescent="0.25">
      <c r="L976" t="str">
        <f>IF(A976="","",SUMIF(DB_Savings!$C:$C,A976,DB_Savings!$F:$F))</f>
        <v/>
      </c>
      <c r="M976" t="str">
        <f>IF(A976="","",SUMIF(DB_Withdrawals!$C:$C,A976,DB_Withdrawals!$G:$G))</f>
        <v/>
      </c>
      <c r="N976" t="str">
        <f t="shared" si="30"/>
        <v/>
      </c>
      <c r="O976" t="str">
        <f t="shared" si="31"/>
        <v/>
      </c>
      <c r="P976" t="str">
        <f>IF(A976="","",MAX(0,N976-System_Config!$B$9))</f>
        <v/>
      </c>
    </row>
    <row r="977" spans="12:16" ht="15" customHeight="1" x14ac:dyDescent="0.25">
      <c r="L977" t="str">
        <f>IF(A977="","",SUMIF(DB_Savings!$C:$C,A977,DB_Savings!$F:$F))</f>
        <v/>
      </c>
      <c r="M977" t="str">
        <f>IF(A977="","",SUMIF(DB_Withdrawals!$C:$C,A977,DB_Withdrawals!$G:$G))</f>
        <v/>
      </c>
      <c r="N977" t="str">
        <f t="shared" si="30"/>
        <v/>
      </c>
      <c r="O977" t="str">
        <f t="shared" si="31"/>
        <v/>
      </c>
      <c r="P977" t="str">
        <f>IF(A977="","",MAX(0,N977-System_Config!$B$9))</f>
        <v/>
      </c>
    </row>
    <row r="978" spans="12:16" ht="15" customHeight="1" x14ac:dyDescent="0.25">
      <c r="L978" t="str">
        <f>IF(A978="","",SUMIF(DB_Savings!$C:$C,A978,DB_Savings!$F:$F))</f>
        <v/>
      </c>
      <c r="M978" t="str">
        <f>IF(A978="","",SUMIF(DB_Withdrawals!$C:$C,A978,DB_Withdrawals!$G:$G))</f>
        <v/>
      </c>
      <c r="N978" t="str">
        <f t="shared" si="30"/>
        <v/>
      </c>
      <c r="O978" t="str">
        <f t="shared" si="31"/>
        <v/>
      </c>
      <c r="P978" t="str">
        <f>IF(A978="","",MAX(0,N978-System_Config!$B$9))</f>
        <v/>
      </c>
    </row>
    <row r="979" spans="12:16" ht="15" customHeight="1" x14ac:dyDescent="0.25">
      <c r="L979" t="str">
        <f>IF(A979="","",SUMIF(DB_Savings!$C:$C,A979,DB_Savings!$F:$F))</f>
        <v/>
      </c>
      <c r="M979" t="str">
        <f>IF(A979="","",SUMIF(DB_Withdrawals!$C:$C,A979,DB_Withdrawals!$G:$G))</f>
        <v/>
      </c>
      <c r="N979" t="str">
        <f t="shared" si="30"/>
        <v/>
      </c>
      <c r="O979" t="str">
        <f t="shared" si="31"/>
        <v/>
      </c>
      <c r="P979" t="str">
        <f>IF(A979="","",MAX(0,N979-System_Config!$B$9))</f>
        <v/>
      </c>
    </row>
    <row r="980" spans="12:16" ht="15" customHeight="1" x14ac:dyDescent="0.25">
      <c r="L980" t="str">
        <f>IF(A980="","",SUMIF(DB_Savings!$C:$C,A980,DB_Savings!$F:$F))</f>
        <v/>
      </c>
      <c r="M980" t="str">
        <f>IF(A980="","",SUMIF(DB_Withdrawals!$C:$C,A980,DB_Withdrawals!$G:$G))</f>
        <v/>
      </c>
      <c r="N980" t="str">
        <f t="shared" si="30"/>
        <v/>
      </c>
      <c r="O980" t="str">
        <f t="shared" si="31"/>
        <v/>
      </c>
      <c r="P980" t="str">
        <f>IF(A980="","",MAX(0,N980-System_Config!$B$9))</f>
        <v/>
      </c>
    </row>
    <row r="981" spans="12:16" ht="15" customHeight="1" x14ac:dyDescent="0.25">
      <c r="L981" t="str">
        <f>IF(A981="","",SUMIF(DB_Savings!$C:$C,A981,DB_Savings!$F:$F))</f>
        <v/>
      </c>
      <c r="M981" t="str">
        <f>IF(A981="","",SUMIF(DB_Withdrawals!$C:$C,A981,DB_Withdrawals!$G:$G))</f>
        <v/>
      </c>
      <c r="N981" t="str">
        <f t="shared" si="30"/>
        <v/>
      </c>
      <c r="O981" t="str">
        <f t="shared" si="31"/>
        <v/>
      </c>
      <c r="P981" t="str">
        <f>IF(A981="","",MAX(0,N981-System_Config!$B$9))</f>
        <v/>
      </c>
    </row>
    <row r="982" spans="12:16" ht="15" customHeight="1" x14ac:dyDescent="0.25">
      <c r="L982" t="str">
        <f>IF(A982="","",SUMIF(DB_Savings!$C:$C,A982,DB_Savings!$F:$F))</f>
        <v/>
      </c>
      <c r="M982" t="str">
        <f>IF(A982="","",SUMIF(DB_Withdrawals!$C:$C,A982,DB_Withdrawals!$G:$G))</f>
        <v/>
      </c>
      <c r="N982" t="str">
        <f t="shared" si="30"/>
        <v/>
      </c>
      <c r="O982" t="str">
        <f t="shared" si="31"/>
        <v/>
      </c>
      <c r="P982" t="str">
        <f>IF(A982="","",MAX(0,N982-System_Config!$B$9))</f>
        <v/>
      </c>
    </row>
    <row r="983" spans="12:16" ht="15" customHeight="1" x14ac:dyDescent="0.25">
      <c r="L983" t="str">
        <f>IF(A983="","",SUMIF(DB_Savings!$C:$C,A983,DB_Savings!$F:$F))</f>
        <v/>
      </c>
      <c r="M983" t="str">
        <f>IF(A983="","",SUMIF(DB_Withdrawals!$C:$C,A983,DB_Withdrawals!$G:$G))</f>
        <v/>
      </c>
      <c r="N983" t="str">
        <f t="shared" si="30"/>
        <v/>
      </c>
      <c r="O983" t="str">
        <f t="shared" si="31"/>
        <v/>
      </c>
      <c r="P983" t="str">
        <f>IF(A983="","",MAX(0,N983-System_Config!$B$9))</f>
        <v/>
      </c>
    </row>
    <row r="984" spans="12:16" ht="15" customHeight="1" x14ac:dyDescent="0.25">
      <c r="L984" t="str">
        <f>IF(A984="","",SUMIF(DB_Savings!$C:$C,A984,DB_Savings!$F:$F))</f>
        <v/>
      </c>
      <c r="M984" t="str">
        <f>IF(A984="","",SUMIF(DB_Withdrawals!$C:$C,A984,DB_Withdrawals!$G:$G))</f>
        <v/>
      </c>
      <c r="N984" t="str">
        <f t="shared" si="30"/>
        <v/>
      </c>
      <c r="O984" t="str">
        <f t="shared" si="31"/>
        <v/>
      </c>
      <c r="P984" t="str">
        <f>IF(A984="","",MAX(0,N984-System_Config!$B$9))</f>
        <v/>
      </c>
    </row>
    <row r="985" spans="12:16" ht="15" customHeight="1" x14ac:dyDescent="0.25">
      <c r="L985" t="str">
        <f>IF(A985="","",SUMIF(DB_Savings!$C:$C,A985,DB_Savings!$F:$F))</f>
        <v/>
      </c>
      <c r="M985" t="str">
        <f>IF(A985="","",SUMIF(DB_Withdrawals!$C:$C,A985,DB_Withdrawals!$G:$G))</f>
        <v/>
      </c>
      <c r="N985" t="str">
        <f t="shared" si="30"/>
        <v/>
      </c>
      <c r="O985" t="str">
        <f t="shared" si="31"/>
        <v/>
      </c>
      <c r="P985" t="str">
        <f>IF(A985="","",MAX(0,N985-System_Config!$B$9))</f>
        <v/>
      </c>
    </row>
    <row r="986" spans="12:16" ht="15" customHeight="1" x14ac:dyDescent="0.25">
      <c r="L986" t="str">
        <f>IF(A986="","",SUMIF(DB_Savings!$C:$C,A986,DB_Savings!$F:$F))</f>
        <v/>
      </c>
      <c r="M986" t="str">
        <f>IF(A986="","",SUMIF(DB_Withdrawals!$C:$C,A986,DB_Withdrawals!$G:$G))</f>
        <v/>
      </c>
      <c r="N986" t="str">
        <f t="shared" si="30"/>
        <v/>
      </c>
      <c r="O986" t="str">
        <f t="shared" si="31"/>
        <v/>
      </c>
      <c r="P986" t="str">
        <f>IF(A986="","",MAX(0,N986-System_Config!$B$9))</f>
        <v/>
      </c>
    </row>
    <row r="987" spans="12:16" ht="15" customHeight="1" x14ac:dyDescent="0.25">
      <c r="L987" t="str">
        <f>IF(A987="","",SUMIF(DB_Savings!$C:$C,A987,DB_Savings!$F:$F))</f>
        <v/>
      </c>
      <c r="M987" t="str">
        <f>IF(A987="","",SUMIF(DB_Withdrawals!$C:$C,A987,DB_Withdrawals!$G:$G))</f>
        <v/>
      </c>
      <c r="N987" t="str">
        <f t="shared" si="30"/>
        <v/>
      </c>
      <c r="O987" t="str">
        <f t="shared" si="31"/>
        <v/>
      </c>
      <c r="P987" t="str">
        <f>IF(A987="","",MAX(0,N987-System_Config!$B$9))</f>
        <v/>
      </c>
    </row>
    <row r="988" spans="12:16" ht="15" customHeight="1" x14ac:dyDescent="0.25">
      <c r="L988" t="str">
        <f>IF(A988="","",SUMIF(DB_Savings!$C:$C,A988,DB_Savings!$F:$F))</f>
        <v/>
      </c>
      <c r="M988" t="str">
        <f>IF(A988="","",SUMIF(DB_Withdrawals!$C:$C,A988,DB_Withdrawals!$G:$G))</f>
        <v/>
      </c>
      <c r="N988" t="str">
        <f t="shared" si="30"/>
        <v/>
      </c>
      <c r="O988" t="str">
        <f t="shared" si="31"/>
        <v/>
      </c>
      <c r="P988" t="str">
        <f>IF(A988="","",MAX(0,N988-System_Config!$B$9))</f>
        <v/>
      </c>
    </row>
    <row r="989" spans="12:16" ht="15" customHeight="1" x14ac:dyDescent="0.25">
      <c r="L989" t="str">
        <f>IF(A989="","",SUMIF(DB_Savings!$C:$C,A989,DB_Savings!$F:$F))</f>
        <v/>
      </c>
      <c r="M989" t="str">
        <f>IF(A989="","",SUMIF(DB_Withdrawals!$C:$C,A989,DB_Withdrawals!$G:$G))</f>
        <v/>
      </c>
      <c r="N989" t="str">
        <f t="shared" si="30"/>
        <v/>
      </c>
      <c r="O989" t="str">
        <f t="shared" si="31"/>
        <v/>
      </c>
      <c r="P989" t="str">
        <f>IF(A989="","",MAX(0,N989-System_Config!$B$9))</f>
        <v/>
      </c>
    </row>
    <row r="990" spans="12:16" ht="15" customHeight="1" x14ac:dyDescent="0.25">
      <c r="L990" t="str">
        <f>IF(A990="","",SUMIF(DB_Savings!$C:$C,A990,DB_Savings!$F:$F))</f>
        <v/>
      </c>
      <c r="M990" t="str">
        <f>IF(A990="","",SUMIF(DB_Withdrawals!$C:$C,A990,DB_Withdrawals!$G:$G))</f>
        <v/>
      </c>
      <c r="N990" t="str">
        <f t="shared" si="30"/>
        <v/>
      </c>
      <c r="O990" t="str">
        <f t="shared" si="31"/>
        <v/>
      </c>
      <c r="P990" t="str">
        <f>IF(A990="","",MAX(0,N990-System_Config!$B$9))</f>
        <v/>
      </c>
    </row>
    <row r="991" spans="12:16" ht="15" customHeight="1" x14ac:dyDescent="0.25">
      <c r="L991" t="str">
        <f>IF(A991="","",SUMIF(DB_Savings!$C:$C,A991,DB_Savings!$F:$F))</f>
        <v/>
      </c>
      <c r="M991" t="str">
        <f>IF(A991="","",SUMIF(DB_Withdrawals!$C:$C,A991,DB_Withdrawals!$G:$G))</f>
        <v/>
      </c>
      <c r="N991" t="str">
        <f t="shared" si="30"/>
        <v/>
      </c>
      <c r="O991" t="str">
        <f t="shared" si="31"/>
        <v/>
      </c>
      <c r="P991" t="str">
        <f>IF(A991="","",MAX(0,N991-System_Config!$B$9))</f>
        <v/>
      </c>
    </row>
    <row r="992" spans="12:16" ht="15" customHeight="1" x14ac:dyDescent="0.25">
      <c r="L992" t="str">
        <f>IF(A992="","",SUMIF(DB_Savings!$C:$C,A992,DB_Savings!$F:$F))</f>
        <v/>
      </c>
      <c r="M992" t="str">
        <f>IF(A992="","",SUMIF(DB_Withdrawals!$C:$C,A992,DB_Withdrawals!$G:$G))</f>
        <v/>
      </c>
      <c r="N992" t="str">
        <f t="shared" si="30"/>
        <v/>
      </c>
      <c r="O992" t="str">
        <f t="shared" si="31"/>
        <v/>
      </c>
      <c r="P992" t="str">
        <f>IF(A992="","",MAX(0,N992-System_Config!$B$9))</f>
        <v/>
      </c>
    </row>
    <row r="993" spans="12:16" ht="15" customHeight="1" x14ac:dyDescent="0.25">
      <c r="L993" t="str">
        <f>IF(A993="","",SUMIF(DB_Savings!$C:$C,A993,DB_Savings!$F:$F))</f>
        <v/>
      </c>
      <c r="M993" t="str">
        <f>IF(A993="","",SUMIF(DB_Withdrawals!$C:$C,A993,DB_Withdrawals!$G:$G))</f>
        <v/>
      </c>
      <c r="N993" t="str">
        <f t="shared" si="30"/>
        <v/>
      </c>
      <c r="O993" t="str">
        <f t="shared" si="31"/>
        <v/>
      </c>
      <c r="P993" t="str">
        <f>IF(A993="","",MAX(0,N993-System_Config!$B$9))</f>
        <v/>
      </c>
    </row>
    <row r="994" spans="12:16" ht="15" customHeight="1" x14ac:dyDescent="0.25">
      <c r="L994" t="str">
        <f>IF(A994="","",SUMIF(DB_Savings!$C:$C,A994,DB_Savings!$F:$F))</f>
        <v/>
      </c>
      <c r="M994" t="str">
        <f>IF(A994="","",SUMIF(DB_Withdrawals!$C:$C,A994,DB_Withdrawals!$G:$G))</f>
        <v/>
      </c>
      <c r="N994" t="str">
        <f t="shared" si="30"/>
        <v/>
      </c>
      <c r="O994" t="str">
        <f t="shared" si="31"/>
        <v/>
      </c>
      <c r="P994" t="str">
        <f>IF(A994="","",MAX(0,N994-System_Config!$B$9))</f>
        <v/>
      </c>
    </row>
    <row r="995" spans="12:16" ht="15" customHeight="1" x14ac:dyDescent="0.25">
      <c r="L995" t="str">
        <f>IF(A995="","",SUMIF(DB_Savings!$C:$C,A995,DB_Savings!$F:$F))</f>
        <v/>
      </c>
      <c r="M995" t="str">
        <f>IF(A995="","",SUMIF(DB_Withdrawals!$C:$C,A995,DB_Withdrawals!$G:$G))</f>
        <v/>
      </c>
      <c r="N995" t="str">
        <f t="shared" si="30"/>
        <v/>
      </c>
      <c r="O995" t="str">
        <f t="shared" si="31"/>
        <v/>
      </c>
      <c r="P995" t="str">
        <f>IF(A995="","",MAX(0,N995-System_Config!$B$9))</f>
        <v/>
      </c>
    </row>
    <row r="996" spans="12:16" ht="15" customHeight="1" x14ac:dyDescent="0.25">
      <c r="L996" t="str">
        <f>IF(A996="","",SUMIF(DB_Savings!$C:$C,A996,DB_Savings!$F:$F))</f>
        <v/>
      </c>
      <c r="M996" t="str">
        <f>IF(A996="","",SUMIF(DB_Withdrawals!$C:$C,A996,DB_Withdrawals!$G:$G))</f>
        <v/>
      </c>
      <c r="N996" t="str">
        <f t="shared" si="30"/>
        <v/>
      </c>
      <c r="O996" t="str">
        <f t="shared" si="31"/>
        <v/>
      </c>
      <c r="P996" t="str">
        <f>IF(A996="","",MAX(0,N996-System_Config!$B$9))</f>
        <v/>
      </c>
    </row>
    <row r="997" spans="12:16" ht="15" customHeight="1" x14ac:dyDescent="0.25">
      <c r="L997" t="str">
        <f>IF(A997="","",SUMIF(DB_Savings!$C:$C,A997,DB_Savings!$F:$F))</f>
        <v/>
      </c>
      <c r="M997" t="str">
        <f>IF(A997="","",SUMIF(DB_Withdrawals!$C:$C,A997,DB_Withdrawals!$G:$G))</f>
        <v/>
      </c>
      <c r="N997" t="str">
        <f t="shared" si="30"/>
        <v/>
      </c>
      <c r="O997" t="str">
        <f t="shared" si="31"/>
        <v/>
      </c>
      <c r="P997" t="str">
        <f>IF(A997="","",MAX(0,N997-System_Config!$B$9))</f>
        <v/>
      </c>
    </row>
    <row r="998" spans="12:16" ht="15" customHeight="1" x14ac:dyDescent="0.25">
      <c r="L998" t="str">
        <f>IF(A998="","",SUMIF(DB_Savings!$C:$C,A998,DB_Savings!$F:$F))</f>
        <v/>
      </c>
      <c r="M998" t="str">
        <f>IF(A998="","",SUMIF(DB_Withdrawals!$C:$C,A998,DB_Withdrawals!$G:$G))</f>
        <v/>
      </c>
      <c r="N998" t="str">
        <f t="shared" si="30"/>
        <v/>
      </c>
      <c r="O998" t="str">
        <f t="shared" si="31"/>
        <v/>
      </c>
      <c r="P998" t="str">
        <f>IF(A998="","",MAX(0,N998-System_Config!$B$9))</f>
        <v/>
      </c>
    </row>
    <row r="999" spans="12:16" ht="15" customHeight="1" x14ac:dyDescent="0.25">
      <c r="L999" t="str">
        <f>IF(A999="","",SUMIF(DB_Savings!$C:$C,A999,DB_Savings!$F:$F))</f>
        <v/>
      </c>
      <c r="M999" t="str">
        <f>IF(A999="","",SUMIF(DB_Withdrawals!$C:$C,A999,DB_Withdrawals!$G:$G))</f>
        <v/>
      </c>
      <c r="N999" t="str">
        <f t="shared" si="30"/>
        <v/>
      </c>
      <c r="O999" t="str">
        <f t="shared" si="31"/>
        <v/>
      </c>
      <c r="P999" t="str">
        <f>IF(A999="","",MAX(0,N999-System_Config!$B$9))</f>
        <v/>
      </c>
    </row>
    <row r="1000" spans="12:16" ht="15" customHeight="1" x14ac:dyDescent="0.25">
      <c r="L1000" t="str">
        <f>IF(A1000="","",SUMIF(DB_Savings!$C:$C,A1000,DB_Savings!$F:$F))</f>
        <v/>
      </c>
      <c r="M1000" t="str">
        <f>IF(A1000="","",SUMIF(DB_Withdrawals!$C:$C,A1000,DB_Withdrawals!$G:$G))</f>
        <v/>
      </c>
      <c r="N1000" t="str">
        <f t="shared" si="30"/>
        <v/>
      </c>
      <c r="O1000" t="str">
        <f t="shared" si="31"/>
        <v/>
      </c>
      <c r="P1000" t="str">
        <f>IF(A1000="","",MAX(0,N1000-System_Config!$B$9))</f>
        <v/>
      </c>
    </row>
    <row r="1001" spans="12:16" ht="15" customHeight="1" x14ac:dyDescent="0.25">
      <c r="L1001" t="str">
        <f>IF(A1001="","",SUMIF(DB_Savings!$C:$C,A1001,DB_Savings!$F:$F))</f>
        <v/>
      </c>
      <c r="M1001" t="str">
        <f>IF(A1001="","",SUMIF(DB_Withdrawals!$C:$C,A1001,DB_Withdrawals!$G:$G))</f>
        <v/>
      </c>
      <c r="N1001" t="str">
        <f t="shared" si="30"/>
        <v/>
      </c>
      <c r="O1001" t="str">
        <f t="shared" si="31"/>
        <v/>
      </c>
      <c r="P1001" t="str">
        <f>IF(A1001="","",MAX(0,N1001-System_Config!$B$9))</f>
        <v/>
      </c>
    </row>
    <row r="1002" spans="12:16" ht="15" customHeight="1" x14ac:dyDescent="0.25">
      <c r="L1002" t="str">
        <f>IF(A1002="","",SUMIF(DB_Savings!$C:$C,A1002,DB_Savings!$F:$F))</f>
        <v/>
      </c>
      <c r="M1002" t="str">
        <f>IF(A1002="","",SUMIF(DB_Withdrawals!$C:$C,A1002,DB_Withdrawals!$G:$G))</f>
        <v/>
      </c>
      <c r="N1002" t="str">
        <f t="shared" si="30"/>
        <v/>
      </c>
      <c r="O1002" t="str">
        <f t="shared" si="31"/>
        <v/>
      </c>
      <c r="P1002" t="str">
        <f>IF(A1002="","",MAX(0,N1002-System_Config!$B$9))</f>
        <v/>
      </c>
    </row>
  </sheetData>
  <autoFilter ref="A3:N3" xr:uid="{00000000-0009-0000-0000-000027000000}"/>
  <mergeCells count="2">
    <mergeCell ref="A2:N2"/>
    <mergeCell ref="A1:N1"/>
  </mergeCells>
  <conditionalFormatting sqref="N4:N23">
    <cfRule type="cellIs" dxfId="2" priority="2" operator="greaterThan">
      <formula>0</formula>
    </cfRule>
  </conditionalFormatting>
  <pageMargins left="0.75" right="0.75" top="1" bottom="1" header="0.511811023622047" footer="0.511811023622047"/>
  <pageSetup paperSize="9" orientation="portrait" horizontalDpi="300" verticalDpi="30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tabColor rgb="FF27AE60"/>
  </sheetPr>
  <dimension ref="A1:K5003"/>
  <sheetViews>
    <sheetView zoomScaleNormal="100" workbookViewId="0">
      <pane ySplit="3" topLeftCell="A4" activePane="bottomLeft" state="frozen"/>
      <selection pane="bottomLeft" sqref="A1:J1"/>
    </sheetView>
  </sheetViews>
  <sheetFormatPr defaultColWidth="8.7109375" defaultRowHeight="15" x14ac:dyDescent="0.25"/>
  <cols>
    <col min="1" max="1" width="5" customWidth="1"/>
    <col min="2" max="2" width="20" customWidth="1"/>
    <col min="3" max="3" width="16" customWidth="1"/>
    <col min="4" max="4" width="24" customWidth="1"/>
    <col min="5" max="5" width="13" customWidth="1"/>
    <col min="6" max="6" width="14" customWidth="1"/>
    <col min="7" max="7" width="12" customWidth="1"/>
    <col min="8" max="8" width="10" customWidth="1"/>
    <col min="9" max="10" width="22" customWidth="1"/>
    <col min="11" max="11" width="12" customWidth="1"/>
  </cols>
  <sheetData>
    <row r="1" spans="1:11" ht="31.5" customHeight="1" x14ac:dyDescent="0.25">
      <c r="A1" s="359" t="s">
        <v>405</v>
      </c>
      <c r="B1" s="265"/>
      <c r="C1" s="265"/>
      <c r="D1" s="265"/>
      <c r="E1" s="265"/>
      <c r="F1" s="265"/>
      <c r="G1" s="265"/>
      <c r="H1" s="265"/>
      <c r="I1" s="265"/>
      <c r="J1" s="265"/>
    </row>
    <row r="2" spans="1:11" ht="19.5" customHeight="1" x14ac:dyDescent="0.25">
      <c r="A2" s="357" t="s">
        <v>406</v>
      </c>
      <c r="B2" s="265"/>
      <c r="C2" s="265"/>
      <c r="D2" s="265"/>
      <c r="E2" s="265"/>
      <c r="F2" s="265"/>
      <c r="G2" s="265"/>
      <c r="H2" s="265"/>
      <c r="I2" s="265"/>
      <c r="J2" s="265"/>
    </row>
    <row r="3" spans="1:11" ht="15" customHeight="1" x14ac:dyDescent="0.25">
      <c r="A3" s="104" t="s">
        <v>74</v>
      </c>
      <c r="B3" s="104" t="s">
        <v>407</v>
      </c>
      <c r="C3" s="104" t="s">
        <v>4</v>
      </c>
      <c r="D3" s="104" t="s">
        <v>5</v>
      </c>
      <c r="E3" s="104" t="s">
        <v>78</v>
      </c>
      <c r="F3" s="104" t="s">
        <v>408</v>
      </c>
      <c r="G3" s="104" t="s">
        <v>14</v>
      </c>
      <c r="H3" s="104" t="s">
        <v>13</v>
      </c>
      <c r="I3" s="104" t="s">
        <v>409</v>
      </c>
      <c r="J3" s="104" t="s">
        <v>321</v>
      </c>
      <c r="K3" s="101" t="s">
        <v>16</v>
      </c>
    </row>
    <row r="4" spans="1:11" ht="15" customHeight="1" x14ac:dyDescent="0.25">
      <c r="A4" s="43"/>
      <c r="B4" s="43"/>
      <c r="C4" s="43"/>
      <c r="D4" s="41"/>
      <c r="E4" s="102"/>
      <c r="F4" s="42"/>
      <c r="G4" s="43"/>
      <c r="H4" s="105"/>
      <c r="I4" s="43">
        <f t="shared" ref="I4:I67" si="0">IFERROR(YEAR(E4),"")</f>
        <v>1900</v>
      </c>
      <c r="J4" s="43"/>
      <c r="K4" s="106"/>
    </row>
    <row r="5" spans="1:11" ht="15" customHeight="1" x14ac:dyDescent="0.25">
      <c r="A5" s="39"/>
      <c r="B5" s="39"/>
      <c r="C5" s="39"/>
      <c r="D5" s="37"/>
      <c r="E5" s="103"/>
      <c r="F5" s="38"/>
      <c r="G5" s="39"/>
      <c r="H5" s="105"/>
      <c r="I5" s="39">
        <f t="shared" si="0"/>
        <v>1900</v>
      </c>
      <c r="J5" s="39"/>
      <c r="K5" s="106"/>
    </row>
    <row r="6" spans="1:11" ht="15" customHeight="1" x14ac:dyDescent="0.25">
      <c r="A6" s="43"/>
      <c r="B6" s="43"/>
      <c r="C6" s="43"/>
      <c r="D6" s="41"/>
      <c r="E6" s="102"/>
      <c r="F6" s="42"/>
      <c r="G6" s="43"/>
      <c r="H6" s="105"/>
      <c r="I6" s="43">
        <f t="shared" si="0"/>
        <v>1900</v>
      </c>
      <c r="J6" s="43"/>
      <c r="K6" s="106"/>
    </row>
    <row r="7" spans="1:11" ht="15" customHeight="1" x14ac:dyDescent="0.25">
      <c r="A7" s="39"/>
      <c r="B7" s="39"/>
      <c r="C7" s="39"/>
      <c r="D7" s="37"/>
      <c r="E7" s="103"/>
      <c r="F7" s="38"/>
      <c r="G7" s="39"/>
      <c r="H7" s="105"/>
      <c r="I7" s="39">
        <f t="shared" si="0"/>
        <v>1900</v>
      </c>
      <c r="J7" s="39"/>
      <c r="K7" s="106"/>
    </row>
    <row r="8" spans="1:11" ht="15" customHeight="1" x14ac:dyDescent="0.25">
      <c r="A8" s="43"/>
      <c r="B8" s="43"/>
      <c r="C8" s="43"/>
      <c r="D8" s="41"/>
      <c r="E8" s="102"/>
      <c r="F8" s="42"/>
      <c r="G8" s="43"/>
      <c r="H8" s="105"/>
      <c r="I8" s="43">
        <f t="shared" si="0"/>
        <v>1900</v>
      </c>
      <c r="J8" s="43"/>
      <c r="K8" s="106"/>
    </row>
    <row r="9" spans="1:11" ht="15" customHeight="1" x14ac:dyDescent="0.25">
      <c r="A9" s="39"/>
      <c r="B9" s="39"/>
      <c r="C9" s="39"/>
      <c r="D9" s="37"/>
      <c r="E9" s="103"/>
      <c r="F9" s="38"/>
      <c r="G9" s="39"/>
      <c r="H9" s="105"/>
      <c r="I9" s="39">
        <f t="shared" si="0"/>
        <v>1900</v>
      </c>
      <c r="J9" s="39"/>
      <c r="K9" s="106"/>
    </row>
    <row r="10" spans="1:11" ht="15" customHeight="1" x14ac:dyDescent="0.25">
      <c r="A10" s="43"/>
      <c r="B10" s="43"/>
      <c r="C10" s="43"/>
      <c r="D10" s="41"/>
      <c r="E10" s="102"/>
      <c r="F10" s="42"/>
      <c r="G10" s="43"/>
      <c r="H10" s="105"/>
      <c r="I10" s="43">
        <f t="shared" si="0"/>
        <v>1900</v>
      </c>
      <c r="J10" s="43"/>
      <c r="K10" s="106"/>
    </row>
    <row r="11" spans="1:11" ht="15" customHeight="1" x14ac:dyDescent="0.25">
      <c r="A11" s="39"/>
      <c r="B11" s="39"/>
      <c r="C11" s="39"/>
      <c r="D11" s="37"/>
      <c r="E11" s="103"/>
      <c r="F11" s="38"/>
      <c r="G11" s="39"/>
      <c r="H11" s="105"/>
      <c r="I11" s="39">
        <f t="shared" si="0"/>
        <v>1900</v>
      </c>
      <c r="J11" s="39"/>
      <c r="K11" s="106"/>
    </row>
    <row r="12" spans="1:11" ht="15" customHeight="1" x14ac:dyDescent="0.25">
      <c r="A12" s="43"/>
      <c r="B12" s="43"/>
      <c r="C12" s="43"/>
      <c r="D12" s="41"/>
      <c r="E12" s="102"/>
      <c r="F12" s="42"/>
      <c r="G12" s="43"/>
      <c r="H12" s="105"/>
      <c r="I12" s="43">
        <f t="shared" si="0"/>
        <v>1900</v>
      </c>
      <c r="J12" s="43"/>
      <c r="K12" s="106"/>
    </row>
    <row r="13" spans="1:11" ht="15" customHeight="1" x14ac:dyDescent="0.25">
      <c r="A13" s="39"/>
      <c r="B13" s="39"/>
      <c r="C13" s="39"/>
      <c r="D13" s="37"/>
      <c r="E13" s="103"/>
      <c r="F13" s="38"/>
      <c r="G13" s="39"/>
      <c r="H13" s="105"/>
      <c r="I13" s="39">
        <f t="shared" si="0"/>
        <v>1900</v>
      </c>
      <c r="J13" s="39"/>
      <c r="K13" s="106"/>
    </row>
    <row r="14" spans="1:11" ht="15" customHeight="1" x14ac:dyDescent="0.25">
      <c r="A14" s="43"/>
      <c r="B14" s="43"/>
      <c r="C14" s="43"/>
      <c r="D14" s="41"/>
      <c r="E14" s="102"/>
      <c r="F14" s="42"/>
      <c r="G14" s="43"/>
      <c r="H14" s="105"/>
      <c r="I14" s="43">
        <f t="shared" si="0"/>
        <v>1900</v>
      </c>
      <c r="J14" s="43"/>
      <c r="K14" s="106"/>
    </row>
    <row r="15" spans="1:11" ht="15" customHeight="1" x14ac:dyDescent="0.25">
      <c r="A15" s="39"/>
      <c r="B15" s="39"/>
      <c r="C15" s="39"/>
      <c r="D15" s="37"/>
      <c r="E15" s="103"/>
      <c r="F15" s="38"/>
      <c r="G15" s="39"/>
      <c r="H15" s="105"/>
      <c r="I15" s="39">
        <f t="shared" si="0"/>
        <v>1900</v>
      </c>
      <c r="J15" s="39"/>
      <c r="K15" s="106"/>
    </row>
    <row r="16" spans="1:11" ht="15" customHeight="1" x14ac:dyDescent="0.25">
      <c r="A16" s="43"/>
      <c r="B16" s="43"/>
      <c r="C16" s="43"/>
      <c r="D16" s="41"/>
      <c r="E16" s="102"/>
      <c r="F16" s="42"/>
      <c r="G16" s="43"/>
      <c r="H16" s="105"/>
      <c r="I16" s="43">
        <f t="shared" si="0"/>
        <v>1900</v>
      </c>
      <c r="J16" s="43"/>
      <c r="K16" s="106"/>
    </row>
    <row r="17" spans="1:11" ht="15" customHeight="1" x14ac:dyDescent="0.25">
      <c r="A17" s="39"/>
      <c r="B17" s="39"/>
      <c r="C17" s="39"/>
      <c r="D17" s="37"/>
      <c r="E17" s="103"/>
      <c r="F17" s="38"/>
      <c r="G17" s="39"/>
      <c r="H17" s="105"/>
      <c r="I17" s="39">
        <f t="shared" si="0"/>
        <v>1900</v>
      </c>
      <c r="J17" s="39"/>
      <c r="K17" s="106"/>
    </row>
    <row r="18" spans="1:11" ht="15" customHeight="1" x14ac:dyDescent="0.25">
      <c r="A18" s="43"/>
      <c r="B18" s="43"/>
      <c r="C18" s="43"/>
      <c r="D18" s="41"/>
      <c r="E18" s="102"/>
      <c r="F18" s="42"/>
      <c r="G18" s="43"/>
      <c r="H18" s="105"/>
      <c r="I18" s="43">
        <f t="shared" si="0"/>
        <v>1900</v>
      </c>
      <c r="J18" s="43"/>
      <c r="K18" s="106"/>
    </row>
    <row r="19" spans="1:11" ht="15" customHeight="1" x14ac:dyDescent="0.25">
      <c r="A19" s="39"/>
      <c r="B19" s="39"/>
      <c r="C19" s="39"/>
      <c r="D19" s="37"/>
      <c r="E19" s="103"/>
      <c r="F19" s="38"/>
      <c r="G19" s="39"/>
      <c r="H19" s="105"/>
      <c r="I19" s="39">
        <f t="shared" si="0"/>
        <v>1900</v>
      </c>
      <c r="J19" s="39"/>
      <c r="K19" s="106"/>
    </row>
    <row r="20" spans="1:11" ht="15" customHeight="1" x14ac:dyDescent="0.25">
      <c r="A20" s="43"/>
      <c r="B20" s="43"/>
      <c r="C20" s="43"/>
      <c r="D20" s="41"/>
      <c r="E20" s="102"/>
      <c r="F20" s="42"/>
      <c r="G20" s="43"/>
      <c r="H20" s="105"/>
      <c r="I20" s="43">
        <f t="shared" si="0"/>
        <v>1900</v>
      </c>
      <c r="J20" s="43"/>
      <c r="K20" s="106"/>
    </row>
    <row r="21" spans="1:11" ht="15" customHeight="1" x14ac:dyDescent="0.25">
      <c r="A21" s="39"/>
      <c r="B21" s="39"/>
      <c r="C21" s="39"/>
      <c r="D21" s="37"/>
      <c r="E21" s="103"/>
      <c r="F21" s="38"/>
      <c r="G21" s="39"/>
      <c r="H21" s="105"/>
      <c r="I21" s="39">
        <f t="shared" si="0"/>
        <v>1900</v>
      </c>
      <c r="J21" s="39"/>
      <c r="K21" s="106"/>
    </row>
    <row r="22" spans="1:11" ht="15" customHeight="1" x14ac:dyDescent="0.25">
      <c r="A22" s="43"/>
      <c r="B22" s="43"/>
      <c r="C22" s="43"/>
      <c r="D22" s="41"/>
      <c r="E22" s="102"/>
      <c r="F22" s="42"/>
      <c r="G22" s="43"/>
      <c r="H22" s="105"/>
      <c r="I22" s="43">
        <f t="shared" si="0"/>
        <v>1900</v>
      </c>
      <c r="J22" s="43"/>
      <c r="K22" s="106"/>
    </row>
    <row r="23" spans="1:11" ht="15" customHeight="1" x14ac:dyDescent="0.25">
      <c r="A23" s="39"/>
      <c r="B23" s="39"/>
      <c r="C23" s="39"/>
      <c r="D23" s="37"/>
      <c r="E23" s="103"/>
      <c r="F23" s="38"/>
      <c r="G23" s="39"/>
      <c r="H23" s="105"/>
      <c r="I23" s="39">
        <f t="shared" si="0"/>
        <v>1900</v>
      </c>
      <c r="J23" s="39"/>
      <c r="K23" s="106"/>
    </row>
    <row r="24" spans="1:11" ht="15" customHeight="1" x14ac:dyDescent="0.25">
      <c r="A24" s="43"/>
      <c r="B24" s="43"/>
      <c r="C24" s="43"/>
      <c r="D24" s="41"/>
      <c r="E24" s="102"/>
      <c r="F24" s="42"/>
      <c r="G24" s="43"/>
      <c r="H24" s="105"/>
      <c r="I24" s="43">
        <f t="shared" si="0"/>
        <v>1900</v>
      </c>
      <c r="J24" s="43"/>
      <c r="K24" s="106"/>
    </row>
    <row r="25" spans="1:11" ht="15" customHeight="1" x14ac:dyDescent="0.25">
      <c r="A25" s="39"/>
      <c r="B25" s="39"/>
      <c r="C25" s="39"/>
      <c r="D25" s="37"/>
      <c r="E25" s="103"/>
      <c r="F25" s="38"/>
      <c r="G25" s="39"/>
      <c r="H25" s="105"/>
      <c r="I25" s="39">
        <f t="shared" si="0"/>
        <v>1900</v>
      </c>
      <c r="J25" s="39"/>
      <c r="K25" s="106"/>
    </row>
    <row r="26" spans="1:11" ht="15" customHeight="1" x14ac:dyDescent="0.25">
      <c r="A26" s="43"/>
      <c r="B26" s="43"/>
      <c r="C26" s="43"/>
      <c r="D26" s="41"/>
      <c r="E26" s="102"/>
      <c r="F26" s="42"/>
      <c r="G26" s="43"/>
      <c r="H26" s="105"/>
      <c r="I26" s="43">
        <f t="shared" si="0"/>
        <v>1900</v>
      </c>
      <c r="J26" s="43"/>
      <c r="K26" s="106"/>
    </row>
    <row r="27" spans="1:11" ht="15" customHeight="1" x14ac:dyDescent="0.25">
      <c r="A27" s="39"/>
      <c r="B27" s="39"/>
      <c r="C27" s="39"/>
      <c r="D27" s="37"/>
      <c r="E27" s="103"/>
      <c r="F27" s="38"/>
      <c r="G27" s="39"/>
      <c r="H27" s="105"/>
      <c r="I27" s="39">
        <f t="shared" si="0"/>
        <v>1900</v>
      </c>
      <c r="J27" s="39"/>
      <c r="K27" s="106"/>
    </row>
    <row r="28" spans="1:11" ht="15" customHeight="1" x14ac:dyDescent="0.25">
      <c r="A28" s="43"/>
      <c r="B28" s="43"/>
      <c r="C28" s="43"/>
      <c r="D28" s="41"/>
      <c r="E28" s="102"/>
      <c r="F28" s="42"/>
      <c r="G28" s="43"/>
      <c r="H28" s="105"/>
      <c r="I28" s="43">
        <f t="shared" si="0"/>
        <v>1900</v>
      </c>
      <c r="J28" s="43"/>
      <c r="K28" s="106"/>
    </row>
    <row r="29" spans="1:11" ht="15" customHeight="1" x14ac:dyDescent="0.25">
      <c r="A29" s="39"/>
      <c r="B29" s="39"/>
      <c r="C29" s="39"/>
      <c r="D29" s="37"/>
      <c r="E29" s="103"/>
      <c r="F29" s="38"/>
      <c r="G29" s="39"/>
      <c r="H29" s="105"/>
      <c r="I29" s="39">
        <f t="shared" si="0"/>
        <v>1900</v>
      </c>
      <c r="J29" s="39"/>
      <c r="K29" s="106"/>
    </row>
    <row r="30" spans="1:11" ht="15" customHeight="1" x14ac:dyDescent="0.25">
      <c r="A30" s="43"/>
      <c r="B30" s="43"/>
      <c r="C30" s="43"/>
      <c r="D30" s="41"/>
      <c r="E30" s="102"/>
      <c r="F30" s="42"/>
      <c r="G30" s="43"/>
      <c r="H30" s="105"/>
      <c r="I30" s="43">
        <f t="shared" si="0"/>
        <v>1900</v>
      </c>
      <c r="J30" s="43"/>
      <c r="K30" s="106"/>
    </row>
    <row r="31" spans="1:11" ht="15" customHeight="1" x14ac:dyDescent="0.25">
      <c r="A31" s="39"/>
      <c r="B31" s="39"/>
      <c r="C31" s="39"/>
      <c r="D31" s="37"/>
      <c r="E31" s="103"/>
      <c r="F31" s="38"/>
      <c r="G31" s="39"/>
      <c r="H31" s="105"/>
      <c r="I31" s="39">
        <f t="shared" si="0"/>
        <v>1900</v>
      </c>
      <c r="J31" s="39"/>
      <c r="K31" s="106"/>
    </row>
    <row r="32" spans="1:11" ht="15" customHeight="1" x14ac:dyDescent="0.25">
      <c r="A32" s="43"/>
      <c r="B32" s="43"/>
      <c r="C32" s="43"/>
      <c r="D32" s="41"/>
      <c r="E32" s="102"/>
      <c r="F32" s="42"/>
      <c r="G32" s="43"/>
      <c r="H32" s="105"/>
      <c r="I32" s="43">
        <f t="shared" si="0"/>
        <v>1900</v>
      </c>
      <c r="J32" s="43"/>
      <c r="K32" s="106"/>
    </row>
    <row r="33" spans="1:11" ht="15" customHeight="1" x14ac:dyDescent="0.25">
      <c r="A33" s="39"/>
      <c r="B33" s="39"/>
      <c r="C33" s="39"/>
      <c r="D33" s="37"/>
      <c r="E33" s="103"/>
      <c r="F33" s="38"/>
      <c r="G33" s="39"/>
      <c r="H33" s="105"/>
      <c r="I33" s="39">
        <f t="shared" si="0"/>
        <v>1900</v>
      </c>
      <c r="J33" s="39"/>
      <c r="K33" s="106"/>
    </row>
    <row r="34" spans="1:11" ht="15" customHeight="1" x14ac:dyDescent="0.25">
      <c r="A34" s="43"/>
      <c r="B34" s="43"/>
      <c r="C34" s="43"/>
      <c r="D34" s="41"/>
      <c r="E34" s="102"/>
      <c r="F34" s="42"/>
      <c r="G34" s="43"/>
      <c r="H34" s="105"/>
      <c r="I34" s="43">
        <f t="shared" si="0"/>
        <v>1900</v>
      </c>
      <c r="J34" s="43"/>
      <c r="K34" s="106"/>
    </row>
    <row r="35" spans="1:11" ht="15" customHeight="1" x14ac:dyDescent="0.25">
      <c r="A35" s="39"/>
      <c r="B35" s="39"/>
      <c r="C35" s="39"/>
      <c r="D35" s="37"/>
      <c r="E35" s="103"/>
      <c r="F35" s="38"/>
      <c r="G35" s="39"/>
      <c r="H35" s="105"/>
      <c r="I35" s="39">
        <f t="shared" si="0"/>
        <v>1900</v>
      </c>
      <c r="J35" s="39"/>
      <c r="K35" s="106"/>
    </row>
    <row r="36" spans="1:11" ht="15" customHeight="1" x14ac:dyDescent="0.25">
      <c r="A36" s="43"/>
      <c r="B36" s="43"/>
      <c r="C36" s="43"/>
      <c r="D36" s="41"/>
      <c r="E36" s="102"/>
      <c r="F36" s="42"/>
      <c r="G36" s="43"/>
      <c r="H36" s="105"/>
      <c r="I36" s="43">
        <f t="shared" si="0"/>
        <v>1900</v>
      </c>
      <c r="J36" s="43"/>
      <c r="K36" s="106"/>
    </row>
    <row r="37" spans="1:11" ht="15" customHeight="1" x14ac:dyDescent="0.25">
      <c r="A37" s="39"/>
      <c r="B37" s="39"/>
      <c r="C37" s="39"/>
      <c r="D37" s="37"/>
      <c r="E37" s="103"/>
      <c r="F37" s="38"/>
      <c r="G37" s="39"/>
      <c r="H37" s="105"/>
      <c r="I37" s="39">
        <f t="shared" si="0"/>
        <v>1900</v>
      </c>
      <c r="J37" s="39"/>
      <c r="K37" s="106"/>
    </row>
    <row r="38" spans="1:11" ht="15" customHeight="1" x14ac:dyDescent="0.25">
      <c r="A38" s="43"/>
      <c r="B38" s="43"/>
      <c r="C38" s="43"/>
      <c r="D38" s="41"/>
      <c r="E38" s="102"/>
      <c r="F38" s="42"/>
      <c r="G38" s="43"/>
      <c r="H38" s="105"/>
      <c r="I38" s="43">
        <f t="shared" si="0"/>
        <v>1900</v>
      </c>
      <c r="J38" s="43"/>
      <c r="K38" s="106"/>
    </row>
    <row r="39" spans="1:11" ht="15" customHeight="1" x14ac:dyDescent="0.25">
      <c r="A39" s="39"/>
      <c r="B39" s="39"/>
      <c r="C39" s="39"/>
      <c r="D39" s="37"/>
      <c r="E39" s="103"/>
      <c r="F39" s="38"/>
      <c r="G39" s="39"/>
      <c r="H39" s="105"/>
      <c r="I39" s="39">
        <f t="shared" si="0"/>
        <v>1900</v>
      </c>
      <c r="J39" s="39"/>
      <c r="K39" s="106"/>
    </row>
    <row r="40" spans="1:11" ht="15" customHeight="1" x14ac:dyDescent="0.25">
      <c r="A40" s="43"/>
      <c r="B40" s="43"/>
      <c r="C40" s="43"/>
      <c r="D40" s="41"/>
      <c r="E40" s="102"/>
      <c r="F40" s="42"/>
      <c r="G40" s="43"/>
      <c r="H40" s="105"/>
      <c r="I40" s="43">
        <f t="shared" si="0"/>
        <v>1900</v>
      </c>
      <c r="J40" s="43"/>
      <c r="K40" s="106"/>
    </row>
    <row r="41" spans="1:11" ht="15" customHeight="1" x14ac:dyDescent="0.25">
      <c r="A41" s="39"/>
      <c r="B41" s="39"/>
      <c r="C41" s="39"/>
      <c r="D41" s="37"/>
      <c r="E41" s="103"/>
      <c r="F41" s="38"/>
      <c r="G41" s="39"/>
      <c r="H41" s="105"/>
      <c r="I41" s="39">
        <f t="shared" si="0"/>
        <v>1900</v>
      </c>
      <c r="J41" s="39"/>
      <c r="K41" s="106"/>
    </row>
    <row r="42" spans="1:11" ht="15" customHeight="1" x14ac:dyDescent="0.25">
      <c r="A42" s="43"/>
      <c r="B42" s="43"/>
      <c r="C42" s="43"/>
      <c r="D42" s="41"/>
      <c r="E42" s="102"/>
      <c r="F42" s="42"/>
      <c r="G42" s="43"/>
      <c r="H42" s="105"/>
      <c r="I42" s="43">
        <f t="shared" si="0"/>
        <v>1900</v>
      </c>
      <c r="J42" s="43"/>
      <c r="K42" s="106"/>
    </row>
    <row r="43" spans="1:11" ht="15" customHeight="1" x14ac:dyDescent="0.25">
      <c r="A43" s="39"/>
      <c r="B43" s="39"/>
      <c r="C43" s="39"/>
      <c r="D43" s="37"/>
      <c r="E43" s="103"/>
      <c r="F43" s="38"/>
      <c r="G43" s="39"/>
      <c r="H43" s="105"/>
      <c r="I43" s="39">
        <f t="shared" si="0"/>
        <v>1900</v>
      </c>
      <c r="J43" s="39"/>
      <c r="K43" s="106"/>
    </row>
    <row r="44" spans="1:11" ht="15" customHeight="1" x14ac:dyDescent="0.25">
      <c r="A44" s="43"/>
      <c r="B44" s="43"/>
      <c r="C44" s="43"/>
      <c r="D44" s="41"/>
      <c r="E44" s="102"/>
      <c r="F44" s="42"/>
      <c r="G44" s="43"/>
      <c r="H44" s="105"/>
      <c r="I44" s="43">
        <f t="shared" si="0"/>
        <v>1900</v>
      </c>
      <c r="J44" s="43"/>
      <c r="K44" s="106"/>
    </row>
    <row r="45" spans="1:11" ht="15" customHeight="1" x14ac:dyDescent="0.25">
      <c r="A45" s="39"/>
      <c r="B45" s="39"/>
      <c r="C45" s="39"/>
      <c r="D45" s="37"/>
      <c r="E45" s="103"/>
      <c r="F45" s="38"/>
      <c r="G45" s="39"/>
      <c r="H45" s="105"/>
      <c r="I45" s="39">
        <f t="shared" si="0"/>
        <v>1900</v>
      </c>
      <c r="J45" s="39"/>
      <c r="K45" s="106"/>
    </row>
    <row r="46" spans="1:11" ht="15" customHeight="1" x14ac:dyDescent="0.25">
      <c r="A46" s="43"/>
      <c r="B46" s="43"/>
      <c r="C46" s="43"/>
      <c r="D46" s="41"/>
      <c r="E46" s="102"/>
      <c r="F46" s="42"/>
      <c r="G46" s="43"/>
      <c r="H46" s="105"/>
      <c r="I46" s="43">
        <f t="shared" si="0"/>
        <v>1900</v>
      </c>
      <c r="J46" s="43"/>
      <c r="K46" s="106"/>
    </row>
    <row r="47" spans="1:11" ht="15" customHeight="1" x14ac:dyDescent="0.25">
      <c r="A47" s="39"/>
      <c r="B47" s="39"/>
      <c r="C47" s="39"/>
      <c r="D47" s="37"/>
      <c r="E47" s="103"/>
      <c r="F47" s="38"/>
      <c r="G47" s="39"/>
      <c r="H47" s="105"/>
      <c r="I47" s="39">
        <f t="shared" si="0"/>
        <v>1900</v>
      </c>
      <c r="J47" s="39"/>
      <c r="K47" s="106"/>
    </row>
    <row r="48" spans="1:11" ht="15" customHeight="1" x14ac:dyDescent="0.25">
      <c r="A48" s="43"/>
      <c r="B48" s="43"/>
      <c r="C48" s="43"/>
      <c r="D48" s="41"/>
      <c r="E48" s="102"/>
      <c r="F48" s="42"/>
      <c r="G48" s="43"/>
      <c r="H48" s="105"/>
      <c r="I48" s="43">
        <f t="shared" si="0"/>
        <v>1900</v>
      </c>
      <c r="J48" s="43"/>
      <c r="K48" s="106"/>
    </row>
    <row r="49" spans="1:11" ht="15" customHeight="1" x14ac:dyDescent="0.25">
      <c r="A49" s="39"/>
      <c r="B49" s="39"/>
      <c r="C49" s="39"/>
      <c r="D49" s="37"/>
      <c r="E49" s="103"/>
      <c r="F49" s="38"/>
      <c r="G49" s="39"/>
      <c r="H49" s="105"/>
      <c r="I49" s="39">
        <f t="shared" si="0"/>
        <v>1900</v>
      </c>
      <c r="J49" s="39"/>
      <c r="K49" s="106"/>
    </row>
    <row r="50" spans="1:11" ht="15" customHeight="1" x14ac:dyDescent="0.25">
      <c r="A50" s="43"/>
      <c r="B50" s="43"/>
      <c r="C50" s="43"/>
      <c r="D50" s="41"/>
      <c r="E50" s="102"/>
      <c r="F50" s="42"/>
      <c r="G50" s="43"/>
      <c r="H50" s="105"/>
      <c r="I50" s="43">
        <f t="shared" si="0"/>
        <v>1900</v>
      </c>
      <c r="J50" s="43"/>
      <c r="K50" s="106"/>
    </row>
    <row r="51" spans="1:11" ht="15" customHeight="1" x14ac:dyDescent="0.25">
      <c r="A51" s="39"/>
      <c r="B51" s="39"/>
      <c r="C51" s="39"/>
      <c r="D51" s="37"/>
      <c r="E51" s="103"/>
      <c r="F51" s="38"/>
      <c r="G51" s="39"/>
      <c r="H51" s="105"/>
      <c r="I51" s="39">
        <f t="shared" si="0"/>
        <v>1900</v>
      </c>
      <c r="J51" s="39"/>
      <c r="K51" s="106"/>
    </row>
    <row r="52" spans="1:11" ht="15" customHeight="1" x14ac:dyDescent="0.25">
      <c r="A52" s="43"/>
      <c r="B52" s="43"/>
      <c r="C52" s="43"/>
      <c r="D52" s="41"/>
      <c r="E52" s="102"/>
      <c r="F52" s="42"/>
      <c r="G52" s="43"/>
      <c r="H52" s="105"/>
      <c r="I52" s="43">
        <f t="shared" si="0"/>
        <v>1900</v>
      </c>
      <c r="J52" s="43"/>
      <c r="K52" s="106"/>
    </row>
    <row r="53" spans="1:11" ht="15" customHeight="1" x14ac:dyDescent="0.25">
      <c r="A53" s="39"/>
      <c r="B53" s="39"/>
      <c r="C53" s="39"/>
      <c r="D53" s="37"/>
      <c r="E53" s="103"/>
      <c r="F53" s="38"/>
      <c r="G53" s="39"/>
      <c r="H53" s="105"/>
      <c r="I53" s="39">
        <f t="shared" si="0"/>
        <v>1900</v>
      </c>
      <c r="J53" s="39"/>
      <c r="K53" s="106"/>
    </row>
    <row r="54" spans="1:11" ht="15" customHeight="1" x14ac:dyDescent="0.25">
      <c r="A54" s="43"/>
      <c r="B54" s="43"/>
      <c r="C54" s="43"/>
      <c r="D54" s="41"/>
      <c r="E54" s="102"/>
      <c r="F54" s="42"/>
      <c r="G54" s="43"/>
      <c r="H54" s="105"/>
      <c r="I54" s="43">
        <f t="shared" si="0"/>
        <v>1900</v>
      </c>
      <c r="J54" s="43"/>
      <c r="K54" s="106"/>
    </row>
    <row r="55" spans="1:11" ht="15" customHeight="1" x14ac:dyDescent="0.25">
      <c r="A55" s="39"/>
      <c r="B55" s="39"/>
      <c r="C55" s="39"/>
      <c r="D55" s="37"/>
      <c r="E55" s="103"/>
      <c r="F55" s="38"/>
      <c r="G55" s="39"/>
      <c r="H55" s="105"/>
      <c r="I55" s="39">
        <f t="shared" si="0"/>
        <v>1900</v>
      </c>
      <c r="J55" s="39"/>
      <c r="K55" s="106"/>
    </row>
    <row r="56" spans="1:11" ht="15" customHeight="1" x14ac:dyDescent="0.25">
      <c r="A56" s="43"/>
      <c r="B56" s="43"/>
      <c r="C56" s="43"/>
      <c r="D56" s="41"/>
      <c r="E56" s="102"/>
      <c r="F56" s="42"/>
      <c r="G56" s="43"/>
      <c r="H56" s="105"/>
      <c r="I56" s="43">
        <f t="shared" si="0"/>
        <v>1900</v>
      </c>
      <c r="J56" s="43"/>
      <c r="K56" s="106"/>
    </row>
    <row r="57" spans="1:11" ht="15" customHeight="1" x14ac:dyDescent="0.25">
      <c r="A57" s="39"/>
      <c r="B57" s="39"/>
      <c r="C57" s="39"/>
      <c r="D57" s="37"/>
      <c r="E57" s="103"/>
      <c r="F57" s="38"/>
      <c r="G57" s="39"/>
      <c r="H57" s="105"/>
      <c r="I57" s="39">
        <f t="shared" si="0"/>
        <v>1900</v>
      </c>
      <c r="J57" s="39"/>
      <c r="K57" s="106"/>
    </row>
    <row r="58" spans="1:11" ht="15" customHeight="1" x14ac:dyDescent="0.25">
      <c r="A58" s="43"/>
      <c r="B58" s="43"/>
      <c r="C58" s="43"/>
      <c r="D58" s="41"/>
      <c r="E58" s="102"/>
      <c r="F58" s="42"/>
      <c r="G58" s="43"/>
      <c r="H58" s="105"/>
      <c r="I58" s="43">
        <f t="shared" si="0"/>
        <v>1900</v>
      </c>
      <c r="J58" s="43"/>
      <c r="K58" s="106"/>
    </row>
    <row r="59" spans="1:11" ht="15" customHeight="1" x14ac:dyDescent="0.25">
      <c r="A59" s="39"/>
      <c r="B59" s="39"/>
      <c r="C59" s="39"/>
      <c r="D59" s="37"/>
      <c r="E59" s="103"/>
      <c r="F59" s="38"/>
      <c r="G59" s="39"/>
      <c r="H59" s="105"/>
      <c r="I59" s="39">
        <f t="shared" si="0"/>
        <v>1900</v>
      </c>
      <c r="J59" s="39"/>
      <c r="K59" s="106"/>
    </row>
    <row r="60" spans="1:11" ht="15" customHeight="1" x14ac:dyDescent="0.25">
      <c r="A60" s="43"/>
      <c r="B60" s="43"/>
      <c r="C60" s="43"/>
      <c r="D60" s="41"/>
      <c r="E60" s="102"/>
      <c r="F60" s="42"/>
      <c r="G60" s="43"/>
      <c r="H60" s="105"/>
      <c r="I60" s="43">
        <f t="shared" si="0"/>
        <v>1900</v>
      </c>
      <c r="J60" s="43"/>
      <c r="K60" s="106"/>
    </row>
    <row r="61" spans="1:11" ht="15" customHeight="1" x14ac:dyDescent="0.25">
      <c r="A61" s="39"/>
      <c r="B61" s="39"/>
      <c r="C61" s="39"/>
      <c r="D61" s="37"/>
      <c r="E61" s="103"/>
      <c r="F61" s="38"/>
      <c r="G61" s="39"/>
      <c r="H61" s="105"/>
      <c r="I61" s="39">
        <f t="shared" si="0"/>
        <v>1900</v>
      </c>
      <c r="J61" s="39"/>
      <c r="K61" s="106"/>
    </row>
    <row r="62" spans="1:11" ht="15" customHeight="1" x14ac:dyDescent="0.25">
      <c r="A62" s="43"/>
      <c r="B62" s="43"/>
      <c r="C62" s="43"/>
      <c r="D62" s="41"/>
      <c r="E62" s="102"/>
      <c r="F62" s="42"/>
      <c r="G62" s="43"/>
      <c r="H62" s="105"/>
      <c r="I62" s="43">
        <f t="shared" si="0"/>
        <v>1900</v>
      </c>
      <c r="J62" s="43"/>
      <c r="K62" s="106"/>
    </row>
    <row r="63" spans="1:11" ht="15" customHeight="1" x14ac:dyDescent="0.25">
      <c r="A63" s="39"/>
      <c r="B63" s="39"/>
      <c r="C63" s="39"/>
      <c r="D63" s="37"/>
      <c r="E63" s="103"/>
      <c r="F63" s="38"/>
      <c r="G63" s="39"/>
      <c r="H63" s="105"/>
      <c r="I63" s="39">
        <f t="shared" si="0"/>
        <v>1900</v>
      </c>
      <c r="J63" s="39"/>
      <c r="K63" s="106"/>
    </row>
    <row r="64" spans="1:11" ht="15" customHeight="1" x14ac:dyDescent="0.25">
      <c r="A64" s="43"/>
      <c r="B64" s="43"/>
      <c r="C64" s="43"/>
      <c r="D64" s="41"/>
      <c r="E64" s="102"/>
      <c r="F64" s="42"/>
      <c r="G64" s="43"/>
      <c r="H64" s="105"/>
      <c r="I64" s="43">
        <f t="shared" si="0"/>
        <v>1900</v>
      </c>
      <c r="J64" s="43"/>
      <c r="K64" s="106"/>
    </row>
    <row r="65" spans="1:11" ht="15" customHeight="1" x14ac:dyDescent="0.25">
      <c r="A65" s="39"/>
      <c r="B65" s="39"/>
      <c r="C65" s="39"/>
      <c r="D65" s="37"/>
      <c r="E65" s="103"/>
      <c r="F65" s="38"/>
      <c r="G65" s="39"/>
      <c r="H65" s="105"/>
      <c r="I65" s="39">
        <f t="shared" si="0"/>
        <v>1900</v>
      </c>
      <c r="J65" s="39"/>
      <c r="K65" s="106"/>
    </row>
    <row r="66" spans="1:11" ht="15" customHeight="1" x14ac:dyDescent="0.25">
      <c r="A66" s="43"/>
      <c r="B66" s="43"/>
      <c r="C66" s="43"/>
      <c r="D66" s="41"/>
      <c r="E66" s="102"/>
      <c r="F66" s="42"/>
      <c r="G66" s="43"/>
      <c r="H66" s="105"/>
      <c r="I66" s="43">
        <f t="shared" si="0"/>
        <v>1900</v>
      </c>
      <c r="J66" s="43"/>
      <c r="K66" s="106"/>
    </row>
    <row r="67" spans="1:11" ht="15" customHeight="1" x14ac:dyDescent="0.25">
      <c r="A67" s="39"/>
      <c r="B67" s="39"/>
      <c r="C67" s="39"/>
      <c r="D67" s="37"/>
      <c r="E67" s="103"/>
      <c r="F67" s="38"/>
      <c r="G67" s="39"/>
      <c r="H67" s="105"/>
      <c r="I67" s="39">
        <f t="shared" si="0"/>
        <v>1900</v>
      </c>
      <c r="J67" s="39"/>
      <c r="K67" s="106"/>
    </row>
    <row r="68" spans="1:11" ht="15" customHeight="1" x14ac:dyDescent="0.25">
      <c r="A68" s="43"/>
      <c r="B68" s="43"/>
      <c r="C68" s="43"/>
      <c r="D68" s="41"/>
      <c r="E68" s="102"/>
      <c r="F68" s="42"/>
      <c r="G68" s="43"/>
      <c r="H68" s="105"/>
      <c r="I68" s="43">
        <f t="shared" ref="I68:I131" si="1">IFERROR(YEAR(E68),"")</f>
        <v>1900</v>
      </c>
      <c r="J68" s="43"/>
      <c r="K68" s="106"/>
    </row>
    <row r="69" spans="1:11" ht="15" customHeight="1" x14ac:dyDescent="0.25">
      <c r="A69" s="39"/>
      <c r="B69" s="39"/>
      <c r="C69" s="39"/>
      <c r="D69" s="37"/>
      <c r="E69" s="103"/>
      <c r="F69" s="38"/>
      <c r="G69" s="39"/>
      <c r="H69" s="105"/>
      <c r="I69" s="39">
        <f t="shared" si="1"/>
        <v>1900</v>
      </c>
      <c r="J69" s="39"/>
      <c r="K69" s="106"/>
    </row>
    <row r="70" spans="1:11" ht="15" customHeight="1" x14ac:dyDescent="0.25">
      <c r="A70" s="43"/>
      <c r="B70" s="43"/>
      <c r="C70" s="43"/>
      <c r="D70" s="41"/>
      <c r="E70" s="102"/>
      <c r="F70" s="42"/>
      <c r="G70" s="43"/>
      <c r="H70" s="105"/>
      <c r="I70" s="43">
        <f t="shared" si="1"/>
        <v>1900</v>
      </c>
      <c r="J70" s="43"/>
      <c r="K70" s="106"/>
    </row>
    <row r="71" spans="1:11" ht="15" customHeight="1" x14ac:dyDescent="0.25">
      <c r="A71" s="39"/>
      <c r="B71" s="39"/>
      <c r="C71" s="39"/>
      <c r="D71" s="37"/>
      <c r="E71" s="103"/>
      <c r="F71" s="38"/>
      <c r="G71" s="39"/>
      <c r="H71" s="105"/>
      <c r="I71" s="39">
        <f t="shared" si="1"/>
        <v>1900</v>
      </c>
      <c r="J71" s="39"/>
      <c r="K71" s="106"/>
    </row>
    <row r="72" spans="1:11" ht="15" customHeight="1" x14ac:dyDescent="0.25">
      <c r="A72" s="43"/>
      <c r="B72" s="43"/>
      <c r="C72" s="43"/>
      <c r="D72" s="41"/>
      <c r="E72" s="102"/>
      <c r="F72" s="42"/>
      <c r="G72" s="43"/>
      <c r="H72" s="105"/>
      <c r="I72" s="43">
        <f t="shared" si="1"/>
        <v>1900</v>
      </c>
      <c r="J72" s="43"/>
      <c r="K72" s="106"/>
    </row>
    <row r="73" spans="1:11" ht="15" customHeight="1" x14ac:dyDescent="0.25">
      <c r="A73" s="39"/>
      <c r="B73" s="39"/>
      <c r="C73" s="39"/>
      <c r="D73" s="37"/>
      <c r="E73" s="103"/>
      <c r="F73" s="38"/>
      <c r="G73" s="39"/>
      <c r="H73" s="105"/>
      <c r="I73" s="39">
        <f t="shared" si="1"/>
        <v>1900</v>
      </c>
      <c r="J73" s="39"/>
      <c r="K73" s="106"/>
    </row>
    <row r="74" spans="1:11" ht="15" customHeight="1" x14ac:dyDescent="0.25">
      <c r="A74" s="43"/>
      <c r="B74" s="43"/>
      <c r="C74" s="43"/>
      <c r="D74" s="41"/>
      <c r="E74" s="102"/>
      <c r="F74" s="42"/>
      <c r="G74" s="43"/>
      <c r="H74" s="105"/>
      <c r="I74" s="43">
        <f t="shared" si="1"/>
        <v>1900</v>
      </c>
      <c r="J74" s="43"/>
      <c r="K74" s="106"/>
    </row>
    <row r="75" spans="1:11" ht="15" customHeight="1" x14ac:dyDescent="0.25">
      <c r="A75" s="39"/>
      <c r="B75" s="39"/>
      <c r="C75" s="39"/>
      <c r="D75" s="37"/>
      <c r="E75" s="103"/>
      <c r="F75" s="38"/>
      <c r="G75" s="39"/>
      <c r="H75" s="105"/>
      <c r="I75" s="39">
        <f t="shared" si="1"/>
        <v>1900</v>
      </c>
      <c r="J75" s="39"/>
      <c r="K75" s="106"/>
    </row>
    <row r="76" spans="1:11" ht="15" customHeight="1" x14ac:dyDescent="0.25">
      <c r="A76" s="43"/>
      <c r="B76" s="43"/>
      <c r="C76" s="43"/>
      <c r="D76" s="41"/>
      <c r="E76" s="102"/>
      <c r="F76" s="42"/>
      <c r="G76" s="43"/>
      <c r="H76" s="105"/>
      <c r="I76" s="43">
        <f t="shared" si="1"/>
        <v>1900</v>
      </c>
      <c r="J76" s="43"/>
      <c r="K76" s="106"/>
    </row>
    <row r="77" spans="1:11" ht="15" customHeight="1" x14ac:dyDescent="0.25">
      <c r="A77" s="39"/>
      <c r="B77" s="39"/>
      <c r="C77" s="39"/>
      <c r="D77" s="37"/>
      <c r="E77" s="103"/>
      <c r="F77" s="38"/>
      <c r="G77" s="39"/>
      <c r="H77" s="105"/>
      <c r="I77" s="39">
        <f t="shared" si="1"/>
        <v>1900</v>
      </c>
      <c r="J77" s="39"/>
      <c r="K77" s="106"/>
    </row>
    <row r="78" spans="1:11" ht="15" customHeight="1" x14ac:dyDescent="0.25">
      <c r="A78" s="43"/>
      <c r="B78" s="43"/>
      <c r="C78" s="43"/>
      <c r="D78" s="41"/>
      <c r="E78" s="102"/>
      <c r="F78" s="42"/>
      <c r="G78" s="43"/>
      <c r="H78" s="105"/>
      <c r="I78" s="43">
        <f t="shared" si="1"/>
        <v>1900</v>
      </c>
      <c r="J78" s="43"/>
      <c r="K78" s="106"/>
    </row>
    <row r="79" spans="1:11" ht="15" customHeight="1" x14ac:dyDescent="0.25">
      <c r="A79" s="39"/>
      <c r="B79" s="39"/>
      <c r="C79" s="39"/>
      <c r="D79" s="37"/>
      <c r="E79" s="103"/>
      <c r="F79" s="38"/>
      <c r="G79" s="39"/>
      <c r="H79" s="105"/>
      <c r="I79" s="39">
        <f t="shared" si="1"/>
        <v>1900</v>
      </c>
      <c r="J79" s="39"/>
      <c r="K79" s="106"/>
    </row>
    <row r="80" spans="1:11" ht="15" customHeight="1" x14ac:dyDescent="0.25">
      <c r="A80" s="43"/>
      <c r="B80" s="43"/>
      <c r="C80" s="43"/>
      <c r="D80" s="41"/>
      <c r="E80" s="102"/>
      <c r="F80" s="42"/>
      <c r="G80" s="43"/>
      <c r="H80" s="105"/>
      <c r="I80" s="43">
        <f t="shared" si="1"/>
        <v>1900</v>
      </c>
      <c r="J80" s="43"/>
      <c r="K80" s="106"/>
    </row>
    <row r="81" spans="1:11" ht="15" customHeight="1" x14ac:dyDescent="0.25">
      <c r="A81" s="39"/>
      <c r="B81" s="39"/>
      <c r="C81" s="39"/>
      <c r="D81" s="37"/>
      <c r="E81" s="103"/>
      <c r="F81" s="38"/>
      <c r="G81" s="39"/>
      <c r="H81" s="105"/>
      <c r="I81" s="39">
        <f t="shared" si="1"/>
        <v>1900</v>
      </c>
      <c r="J81" s="39"/>
      <c r="K81" s="106"/>
    </row>
    <row r="82" spans="1:11" ht="15" customHeight="1" x14ac:dyDescent="0.25">
      <c r="A82" s="43"/>
      <c r="B82" s="43"/>
      <c r="C82" s="43"/>
      <c r="D82" s="41"/>
      <c r="E82" s="102"/>
      <c r="F82" s="42"/>
      <c r="G82" s="43"/>
      <c r="H82" s="105"/>
      <c r="I82" s="43">
        <f t="shared" si="1"/>
        <v>1900</v>
      </c>
      <c r="J82" s="43"/>
      <c r="K82" s="106"/>
    </row>
    <row r="83" spans="1:11" ht="15" customHeight="1" x14ac:dyDescent="0.25">
      <c r="A83" s="39"/>
      <c r="B83" s="39"/>
      <c r="C83" s="39"/>
      <c r="D83" s="37"/>
      <c r="E83" s="103"/>
      <c r="F83" s="38"/>
      <c r="G83" s="39"/>
      <c r="H83" s="105"/>
      <c r="I83" s="39">
        <f t="shared" si="1"/>
        <v>1900</v>
      </c>
      <c r="J83" s="39"/>
      <c r="K83" s="106"/>
    </row>
    <row r="84" spans="1:11" ht="15" customHeight="1" x14ac:dyDescent="0.25">
      <c r="A84" s="43"/>
      <c r="B84" s="43"/>
      <c r="C84" s="43"/>
      <c r="D84" s="41"/>
      <c r="E84" s="102"/>
      <c r="F84" s="42"/>
      <c r="G84" s="43"/>
      <c r="H84" s="105"/>
      <c r="I84" s="43">
        <f t="shared" si="1"/>
        <v>1900</v>
      </c>
      <c r="J84" s="43"/>
      <c r="K84" s="106"/>
    </row>
    <row r="85" spans="1:11" ht="15" customHeight="1" x14ac:dyDescent="0.25">
      <c r="A85" s="39"/>
      <c r="B85" s="39"/>
      <c r="C85" s="39"/>
      <c r="D85" s="37"/>
      <c r="E85" s="103"/>
      <c r="F85" s="38"/>
      <c r="G85" s="39"/>
      <c r="H85" s="105"/>
      <c r="I85" s="39">
        <f t="shared" si="1"/>
        <v>1900</v>
      </c>
      <c r="J85" s="39"/>
      <c r="K85" s="106"/>
    </row>
    <row r="86" spans="1:11" ht="15" customHeight="1" x14ac:dyDescent="0.25">
      <c r="A86" s="43"/>
      <c r="B86" s="43"/>
      <c r="C86" s="43"/>
      <c r="D86" s="41"/>
      <c r="E86" s="102"/>
      <c r="F86" s="42"/>
      <c r="G86" s="43"/>
      <c r="H86" s="105"/>
      <c r="I86" s="43">
        <f t="shared" si="1"/>
        <v>1900</v>
      </c>
      <c r="J86" s="43"/>
      <c r="K86" s="106"/>
    </row>
    <row r="87" spans="1:11" ht="15" customHeight="1" x14ac:dyDescent="0.25">
      <c r="A87" s="39"/>
      <c r="B87" s="39"/>
      <c r="C87" s="39"/>
      <c r="D87" s="37"/>
      <c r="E87" s="103"/>
      <c r="F87" s="38"/>
      <c r="G87" s="39"/>
      <c r="H87" s="105"/>
      <c r="I87" s="39">
        <f t="shared" si="1"/>
        <v>1900</v>
      </c>
      <c r="J87" s="39"/>
      <c r="K87" s="106"/>
    </row>
    <row r="88" spans="1:11" ht="15" customHeight="1" x14ac:dyDescent="0.25">
      <c r="A88" s="43"/>
      <c r="B88" s="43"/>
      <c r="C88" s="43"/>
      <c r="D88" s="41"/>
      <c r="E88" s="102"/>
      <c r="F88" s="42"/>
      <c r="G88" s="43"/>
      <c r="H88" s="105"/>
      <c r="I88" s="43">
        <f t="shared" si="1"/>
        <v>1900</v>
      </c>
      <c r="J88" s="43"/>
      <c r="K88" s="106"/>
    </row>
    <row r="89" spans="1:11" ht="15" customHeight="1" x14ac:dyDescent="0.25">
      <c r="A89" s="39"/>
      <c r="B89" s="39"/>
      <c r="C89" s="39"/>
      <c r="D89" s="37"/>
      <c r="E89" s="103"/>
      <c r="F89" s="38"/>
      <c r="G89" s="39"/>
      <c r="H89" s="105"/>
      <c r="I89" s="39">
        <f t="shared" si="1"/>
        <v>1900</v>
      </c>
      <c r="J89" s="39"/>
      <c r="K89" s="106"/>
    </row>
    <row r="90" spans="1:11" ht="15" customHeight="1" x14ac:dyDescent="0.25">
      <c r="A90" s="43"/>
      <c r="B90" s="43"/>
      <c r="C90" s="43"/>
      <c r="D90" s="41"/>
      <c r="E90" s="102"/>
      <c r="F90" s="42"/>
      <c r="G90" s="43"/>
      <c r="H90" s="105"/>
      <c r="I90" s="43">
        <f t="shared" si="1"/>
        <v>1900</v>
      </c>
      <c r="J90" s="43"/>
      <c r="K90" s="106"/>
    </row>
    <row r="91" spans="1:11" ht="15" customHeight="1" x14ac:dyDescent="0.25">
      <c r="A91" s="39"/>
      <c r="B91" s="39"/>
      <c r="C91" s="39"/>
      <c r="D91" s="37"/>
      <c r="E91" s="103"/>
      <c r="F91" s="38"/>
      <c r="G91" s="39"/>
      <c r="H91" s="105"/>
      <c r="I91" s="39">
        <f t="shared" si="1"/>
        <v>1900</v>
      </c>
      <c r="J91" s="39"/>
      <c r="K91" s="106"/>
    </row>
    <row r="92" spans="1:11" ht="15" customHeight="1" x14ac:dyDescent="0.25">
      <c r="A92" s="43"/>
      <c r="B92" s="43"/>
      <c r="C92" s="43"/>
      <c r="D92" s="41"/>
      <c r="E92" s="102"/>
      <c r="F92" s="42"/>
      <c r="G92" s="43"/>
      <c r="H92" s="105"/>
      <c r="I92" s="43">
        <f t="shared" si="1"/>
        <v>1900</v>
      </c>
      <c r="J92" s="43"/>
      <c r="K92" s="106"/>
    </row>
    <row r="93" spans="1:11" ht="15" customHeight="1" x14ac:dyDescent="0.25">
      <c r="A93" s="39"/>
      <c r="B93" s="39"/>
      <c r="C93" s="39"/>
      <c r="D93" s="37"/>
      <c r="E93" s="103"/>
      <c r="F93" s="38"/>
      <c r="G93" s="39"/>
      <c r="H93" s="105"/>
      <c r="I93" s="39">
        <f t="shared" si="1"/>
        <v>1900</v>
      </c>
      <c r="J93" s="39"/>
      <c r="K93" s="106"/>
    </row>
    <row r="94" spans="1:11" ht="15" customHeight="1" x14ac:dyDescent="0.25">
      <c r="A94" s="43"/>
      <c r="B94" s="43"/>
      <c r="C94" s="43"/>
      <c r="D94" s="41"/>
      <c r="E94" s="102"/>
      <c r="F94" s="42"/>
      <c r="G94" s="43"/>
      <c r="H94" s="105"/>
      <c r="I94" s="43">
        <f t="shared" si="1"/>
        <v>1900</v>
      </c>
      <c r="J94" s="43"/>
      <c r="K94" s="106"/>
    </row>
    <row r="95" spans="1:11" ht="15" customHeight="1" x14ac:dyDescent="0.25">
      <c r="A95" s="39"/>
      <c r="B95" s="39"/>
      <c r="C95" s="39"/>
      <c r="D95" s="37"/>
      <c r="E95" s="103"/>
      <c r="F95" s="38"/>
      <c r="G95" s="39"/>
      <c r="H95" s="105"/>
      <c r="I95" s="39">
        <f t="shared" si="1"/>
        <v>1900</v>
      </c>
      <c r="J95" s="39"/>
      <c r="K95" s="106"/>
    </row>
    <row r="96" spans="1:11" ht="15" customHeight="1" x14ac:dyDescent="0.25">
      <c r="A96" s="43"/>
      <c r="B96" s="43"/>
      <c r="C96" s="43"/>
      <c r="D96" s="41"/>
      <c r="E96" s="102"/>
      <c r="F96" s="42"/>
      <c r="G96" s="43"/>
      <c r="H96" s="105"/>
      <c r="I96" s="43">
        <f t="shared" si="1"/>
        <v>1900</v>
      </c>
      <c r="J96" s="43"/>
      <c r="K96" s="106"/>
    </row>
    <row r="97" spans="1:11" ht="15" customHeight="1" x14ac:dyDescent="0.25">
      <c r="A97" s="39"/>
      <c r="B97" s="39"/>
      <c r="C97" s="39"/>
      <c r="D97" s="37"/>
      <c r="E97" s="103"/>
      <c r="F97" s="38"/>
      <c r="G97" s="39"/>
      <c r="H97" s="105"/>
      <c r="I97" s="39">
        <f t="shared" si="1"/>
        <v>1900</v>
      </c>
      <c r="J97" s="39"/>
      <c r="K97" s="106"/>
    </row>
    <row r="98" spans="1:11" x14ac:dyDescent="0.25">
      <c r="I98">
        <f t="shared" si="1"/>
        <v>1900</v>
      </c>
    </row>
    <row r="99" spans="1:11" x14ac:dyDescent="0.25">
      <c r="I99">
        <f t="shared" si="1"/>
        <v>1900</v>
      </c>
    </row>
    <row r="100" spans="1:11" x14ac:dyDescent="0.25">
      <c r="I100">
        <f t="shared" si="1"/>
        <v>1900</v>
      </c>
    </row>
    <row r="101" spans="1:11" x14ac:dyDescent="0.25">
      <c r="I101">
        <f t="shared" si="1"/>
        <v>1900</v>
      </c>
    </row>
    <row r="102" spans="1:11" x14ac:dyDescent="0.25">
      <c r="I102">
        <f t="shared" si="1"/>
        <v>1900</v>
      </c>
    </row>
    <row r="103" spans="1:11" x14ac:dyDescent="0.25">
      <c r="I103">
        <f t="shared" si="1"/>
        <v>1900</v>
      </c>
    </row>
    <row r="104" spans="1:11" x14ac:dyDescent="0.25">
      <c r="I104">
        <f t="shared" si="1"/>
        <v>1900</v>
      </c>
    </row>
    <row r="105" spans="1:11" x14ac:dyDescent="0.25">
      <c r="I105">
        <f t="shared" si="1"/>
        <v>1900</v>
      </c>
    </row>
    <row r="106" spans="1:11" x14ac:dyDescent="0.25">
      <c r="I106">
        <f t="shared" si="1"/>
        <v>1900</v>
      </c>
    </row>
    <row r="107" spans="1:11" x14ac:dyDescent="0.25">
      <c r="I107">
        <f t="shared" si="1"/>
        <v>1900</v>
      </c>
    </row>
    <row r="108" spans="1:11" x14ac:dyDescent="0.25">
      <c r="I108">
        <f t="shared" si="1"/>
        <v>1900</v>
      </c>
    </row>
    <row r="109" spans="1:11" x14ac:dyDescent="0.25">
      <c r="I109">
        <f t="shared" si="1"/>
        <v>1900</v>
      </c>
    </row>
    <row r="110" spans="1:11" x14ac:dyDescent="0.25">
      <c r="I110">
        <f t="shared" si="1"/>
        <v>1900</v>
      </c>
    </row>
    <row r="111" spans="1:11" x14ac:dyDescent="0.25">
      <c r="I111">
        <f t="shared" si="1"/>
        <v>1900</v>
      </c>
    </row>
    <row r="112" spans="1:11" x14ac:dyDescent="0.25">
      <c r="I112">
        <f t="shared" si="1"/>
        <v>1900</v>
      </c>
    </row>
    <row r="113" spans="9:9" x14ac:dyDescent="0.25">
      <c r="I113">
        <f t="shared" si="1"/>
        <v>1900</v>
      </c>
    </row>
    <row r="114" spans="9:9" x14ac:dyDescent="0.25">
      <c r="I114">
        <f t="shared" si="1"/>
        <v>1900</v>
      </c>
    </row>
    <row r="115" spans="9:9" x14ac:dyDescent="0.25">
      <c r="I115">
        <f t="shared" si="1"/>
        <v>1900</v>
      </c>
    </row>
    <row r="116" spans="9:9" x14ac:dyDescent="0.25">
      <c r="I116">
        <f t="shared" si="1"/>
        <v>1900</v>
      </c>
    </row>
    <row r="117" spans="9:9" x14ac:dyDescent="0.25">
      <c r="I117">
        <f t="shared" si="1"/>
        <v>1900</v>
      </c>
    </row>
    <row r="118" spans="9:9" x14ac:dyDescent="0.25">
      <c r="I118">
        <f t="shared" si="1"/>
        <v>1900</v>
      </c>
    </row>
    <row r="119" spans="9:9" x14ac:dyDescent="0.25">
      <c r="I119">
        <f t="shared" si="1"/>
        <v>1900</v>
      </c>
    </row>
    <row r="120" spans="9:9" x14ac:dyDescent="0.25">
      <c r="I120">
        <f t="shared" si="1"/>
        <v>1900</v>
      </c>
    </row>
    <row r="121" spans="9:9" x14ac:dyDescent="0.25">
      <c r="I121">
        <f t="shared" si="1"/>
        <v>1900</v>
      </c>
    </row>
    <row r="122" spans="9:9" x14ac:dyDescent="0.25">
      <c r="I122">
        <f t="shared" si="1"/>
        <v>1900</v>
      </c>
    </row>
    <row r="123" spans="9:9" x14ac:dyDescent="0.25">
      <c r="I123">
        <f t="shared" si="1"/>
        <v>1900</v>
      </c>
    </row>
    <row r="124" spans="9:9" x14ac:dyDescent="0.25">
      <c r="I124">
        <f t="shared" si="1"/>
        <v>1900</v>
      </c>
    </row>
    <row r="125" spans="9:9" x14ac:dyDescent="0.25">
      <c r="I125">
        <f t="shared" si="1"/>
        <v>1900</v>
      </c>
    </row>
    <row r="126" spans="9:9" x14ac:dyDescent="0.25">
      <c r="I126">
        <f t="shared" si="1"/>
        <v>1900</v>
      </c>
    </row>
    <row r="127" spans="9:9" x14ac:dyDescent="0.25">
      <c r="I127">
        <f t="shared" si="1"/>
        <v>1900</v>
      </c>
    </row>
    <row r="128" spans="9:9" x14ac:dyDescent="0.25">
      <c r="I128">
        <f t="shared" si="1"/>
        <v>1900</v>
      </c>
    </row>
    <row r="129" spans="9:9" x14ac:dyDescent="0.25">
      <c r="I129">
        <f t="shared" si="1"/>
        <v>1900</v>
      </c>
    </row>
    <row r="130" spans="9:9" x14ac:dyDescent="0.25">
      <c r="I130">
        <f t="shared" si="1"/>
        <v>1900</v>
      </c>
    </row>
    <row r="131" spans="9:9" x14ac:dyDescent="0.25">
      <c r="I131">
        <f t="shared" si="1"/>
        <v>1900</v>
      </c>
    </row>
    <row r="132" spans="9:9" x14ac:dyDescent="0.25">
      <c r="I132">
        <f t="shared" ref="I132:I195" si="2">IFERROR(YEAR(E132),"")</f>
        <v>1900</v>
      </c>
    </row>
    <row r="133" spans="9:9" x14ac:dyDescent="0.25">
      <c r="I133">
        <f t="shared" si="2"/>
        <v>1900</v>
      </c>
    </row>
    <row r="134" spans="9:9" x14ac:dyDescent="0.25">
      <c r="I134">
        <f t="shared" si="2"/>
        <v>1900</v>
      </c>
    </row>
    <row r="135" spans="9:9" x14ac:dyDescent="0.25">
      <c r="I135">
        <f t="shared" si="2"/>
        <v>1900</v>
      </c>
    </row>
    <row r="136" spans="9:9" x14ac:dyDescent="0.25">
      <c r="I136">
        <f t="shared" si="2"/>
        <v>1900</v>
      </c>
    </row>
    <row r="137" spans="9:9" x14ac:dyDescent="0.25">
      <c r="I137">
        <f t="shared" si="2"/>
        <v>1900</v>
      </c>
    </row>
    <row r="138" spans="9:9" x14ac:dyDescent="0.25">
      <c r="I138">
        <f t="shared" si="2"/>
        <v>1900</v>
      </c>
    </row>
    <row r="139" spans="9:9" x14ac:dyDescent="0.25">
      <c r="I139">
        <f t="shared" si="2"/>
        <v>1900</v>
      </c>
    </row>
    <row r="140" spans="9:9" x14ac:dyDescent="0.25">
      <c r="I140">
        <f t="shared" si="2"/>
        <v>1900</v>
      </c>
    </row>
    <row r="141" spans="9:9" x14ac:dyDescent="0.25">
      <c r="I141">
        <f t="shared" si="2"/>
        <v>1900</v>
      </c>
    </row>
    <row r="142" spans="9:9" x14ac:dyDescent="0.25">
      <c r="I142">
        <f t="shared" si="2"/>
        <v>1900</v>
      </c>
    </row>
    <row r="143" spans="9:9" x14ac:dyDescent="0.25">
      <c r="I143">
        <f t="shared" si="2"/>
        <v>1900</v>
      </c>
    </row>
    <row r="144" spans="9:9" x14ac:dyDescent="0.25">
      <c r="I144">
        <f t="shared" si="2"/>
        <v>1900</v>
      </c>
    </row>
    <row r="145" spans="9:9" x14ac:dyDescent="0.25">
      <c r="I145">
        <f t="shared" si="2"/>
        <v>1900</v>
      </c>
    </row>
    <row r="146" spans="9:9" x14ac:dyDescent="0.25">
      <c r="I146">
        <f t="shared" si="2"/>
        <v>1900</v>
      </c>
    </row>
    <row r="147" spans="9:9" x14ac:dyDescent="0.25">
      <c r="I147">
        <f t="shared" si="2"/>
        <v>1900</v>
      </c>
    </row>
    <row r="148" spans="9:9" x14ac:dyDescent="0.25">
      <c r="I148">
        <f t="shared" si="2"/>
        <v>1900</v>
      </c>
    </row>
    <row r="149" spans="9:9" x14ac:dyDescent="0.25">
      <c r="I149">
        <f t="shared" si="2"/>
        <v>1900</v>
      </c>
    </row>
    <row r="150" spans="9:9" x14ac:dyDescent="0.25">
      <c r="I150">
        <f t="shared" si="2"/>
        <v>1900</v>
      </c>
    </row>
    <row r="151" spans="9:9" x14ac:dyDescent="0.25">
      <c r="I151">
        <f t="shared" si="2"/>
        <v>1900</v>
      </c>
    </row>
    <row r="152" spans="9:9" x14ac:dyDescent="0.25">
      <c r="I152">
        <f t="shared" si="2"/>
        <v>1900</v>
      </c>
    </row>
    <row r="153" spans="9:9" x14ac:dyDescent="0.25">
      <c r="I153">
        <f t="shared" si="2"/>
        <v>1900</v>
      </c>
    </row>
    <row r="154" spans="9:9" x14ac:dyDescent="0.25">
      <c r="I154">
        <f t="shared" si="2"/>
        <v>1900</v>
      </c>
    </row>
    <row r="155" spans="9:9" x14ac:dyDescent="0.25">
      <c r="I155">
        <f t="shared" si="2"/>
        <v>1900</v>
      </c>
    </row>
    <row r="156" spans="9:9" x14ac:dyDescent="0.25">
      <c r="I156">
        <f t="shared" si="2"/>
        <v>1900</v>
      </c>
    </row>
    <row r="157" spans="9:9" x14ac:dyDescent="0.25">
      <c r="I157">
        <f t="shared" si="2"/>
        <v>1900</v>
      </c>
    </row>
    <row r="158" spans="9:9" x14ac:dyDescent="0.25">
      <c r="I158">
        <f t="shared" si="2"/>
        <v>1900</v>
      </c>
    </row>
    <row r="159" spans="9:9" x14ac:dyDescent="0.25">
      <c r="I159">
        <f t="shared" si="2"/>
        <v>1900</v>
      </c>
    </row>
    <row r="160" spans="9:9" x14ac:dyDescent="0.25">
      <c r="I160">
        <f t="shared" si="2"/>
        <v>1900</v>
      </c>
    </row>
    <row r="161" spans="9:9" x14ac:dyDescent="0.25">
      <c r="I161">
        <f t="shared" si="2"/>
        <v>1900</v>
      </c>
    </row>
    <row r="162" spans="9:9" x14ac:dyDescent="0.25">
      <c r="I162">
        <f t="shared" si="2"/>
        <v>1900</v>
      </c>
    </row>
    <row r="163" spans="9:9" x14ac:dyDescent="0.25">
      <c r="I163">
        <f t="shared" si="2"/>
        <v>1900</v>
      </c>
    </row>
    <row r="164" spans="9:9" x14ac:dyDescent="0.25">
      <c r="I164">
        <f t="shared" si="2"/>
        <v>1900</v>
      </c>
    </row>
    <row r="165" spans="9:9" x14ac:dyDescent="0.25">
      <c r="I165">
        <f t="shared" si="2"/>
        <v>1900</v>
      </c>
    </row>
    <row r="166" spans="9:9" x14ac:dyDescent="0.25">
      <c r="I166">
        <f t="shared" si="2"/>
        <v>1900</v>
      </c>
    </row>
    <row r="167" spans="9:9" x14ac:dyDescent="0.25">
      <c r="I167">
        <f t="shared" si="2"/>
        <v>1900</v>
      </c>
    </row>
    <row r="168" spans="9:9" x14ac:dyDescent="0.25">
      <c r="I168">
        <f t="shared" si="2"/>
        <v>1900</v>
      </c>
    </row>
    <row r="169" spans="9:9" x14ac:dyDescent="0.25">
      <c r="I169">
        <f t="shared" si="2"/>
        <v>1900</v>
      </c>
    </row>
    <row r="170" spans="9:9" x14ac:dyDescent="0.25">
      <c r="I170">
        <f t="shared" si="2"/>
        <v>1900</v>
      </c>
    </row>
    <row r="171" spans="9:9" x14ac:dyDescent="0.25">
      <c r="I171">
        <f t="shared" si="2"/>
        <v>1900</v>
      </c>
    </row>
    <row r="172" spans="9:9" x14ac:dyDescent="0.25">
      <c r="I172">
        <f t="shared" si="2"/>
        <v>1900</v>
      </c>
    </row>
    <row r="173" spans="9:9" x14ac:dyDescent="0.25">
      <c r="I173">
        <f t="shared" si="2"/>
        <v>1900</v>
      </c>
    </row>
    <row r="174" spans="9:9" x14ac:dyDescent="0.25">
      <c r="I174">
        <f t="shared" si="2"/>
        <v>1900</v>
      </c>
    </row>
    <row r="175" spans="9:9" x14ac:dyDescent="0.25">
      <c r="I175">
        <f t="shared" si="2"/>
        <v>1900</v>
      </c>
    </row>
    <row r="176" spans="9:9" x14ac:dyDescent="0.25">
      <c r="I176">
        <f t="shared" si="2"/>
        <v>1900</v>
      </c>
    </row>
    <row r="177" spans="9:9" x14ac:dyDescent="0.25">
      <c r="I177">
        <f t="shared" si="2"/>
        <v>1900</v>
      </c>
    </row>
    <row r="178" spans="9:9" x14ac:dyDescent="0.25">
      <c r="I178">
        <f t="shared" si="2"/>
        <v>1900</v>
      </c>
    </row>
    <row r="179" spans="9:9" x14ac:dyDescent="0.25">
      <c r="I179">
        <f t="shared" si="2"/>
        <v>1900</v>
      </c>
    </row>
    <row r="180" spans="9:9" x14ac:dyDescent="0.25">
      <c r="I180">
        <f t="shared" si="2"/>
        <v>1900</v>
      </c>
    </row>
    <row r="181" spans="9:9" x14ac:dyDescent="0.25">
      <c r="I181">
        <f t="shared" si="2"/>
        <v>1900</v>
      </c>
    </row>
    <row r="182" spans="9:9" x14ac:dyDescent="0.25">
      <c r="I182">
        <f t="shared" si="2"/>
        <v>1900</v>
      </c>
    </row>
    <row r="183" spans="9:9" x14ac:dyDescent="0.25">
      <c r="I183">
        <f t="shared" si="2"/>
        <v>1900</v>
      </c>
    </row>
    <row r="184" spans="9:9" x14ac:dyDescent="0.25">
      <c r="I184">
        <f t="shared" si="2"/>
        <v>1900</v>
      </c>
    </row>
    <row r="185" spans="9:9" x14ac:dyDescent="0.25">
      <c r="I185">
        <f t="shared" si="2"/>
        <v>1900</v>
      </c>
    </row>
    <row r="186" spans="9:9" x14ac:dyDescent="0.25">
      <c r="I186">
        <f t="shared" si="2"/>
        <v>1900</v>
      </c>
    </row>
    <row r="187" spans="9:9" x14ac:dyDescent="0.25">
      <c r="I187">
        <f t="shared" si="2"/>
        <v>1900</v>
      </c>
    </row>
    <row r="188" spans="9:9" x14ac:dyDescent="0.25">
      <c r="I188">
        <f t="shared" si="2"/>
        <v>1900</v>
      </c>
    </row>
    <row r="189" spans="9:9" x14ac:dyDescent="0.25">
      <c r="I189">
        <f t="shared" si="2"/>
        <v>1900</v>
      </c>
    </row>
    <row r="190" spans="9:9" x14ac:dyDescent="0.25">
      <c r="I190">
        <f t="shared" si="2"/>
        <v>1900</v>
      </c>
    </row>
    <row r="191" spans="9:9" x14ac:dyDescent="0.25">
      <c r="I191">
        <f t="shared" si="2"/>
        <v>1900</v>
      </c>
    </row>
    <row r="192" spans="9:9" x14ac:dyDescent="0.25">
      <c r="I192">
        <f t="shared" si="2"/>
        <v>1900</v>
      </c>
    </row>
    <row r="193" spans="9:9" x14ac:dyDescent="0.25">
      <c r="I193">
        <f t="shared" si="2"/>
        <v>1900</v>
      </c>
    </row>
    <row r="194" spans="9:9" x14ac:dyDescent="0.25">
      <c r="I194">
        <f t="shared" si="2"/>
        <v>1900</v>
      </c>
    </row>
    <row r="195" spans="9:9" x14ac:dyDescent="0.25">
      <c r="I195">
        <f t="shared" si="2"/>
        <v>1900</v>
      </c>
    </row>
    <row r="196" spans="9:9" x14ac:dyDescent="0.25">
      <c r="I196">
        <f t="shared" ref="I196:I259" si="3">IFERROR(YEAR(E196),"")</f>
        <v>1900</v>
      </c>
    </row>
    <row r="197" spans="9:9" x14ac:dyDescent="0.25">
      <c r="I197">
        <f t="shared" si="3"/>
        <v>1900</v>
      </c>
    </row>
    <row r="198" spans="9:9" x14ac:dyDescent="0.25">
      <c r="I198">
        <f t="shared" si="3"/>
        <v>1900</v>
      </c>
    </row>
    <row r="199" spans="9:9" x14ac:dyDescent="0.25">
      <c r="I199">
        <f t="shared" si="3"/>
        <v>1900</v>
      </c>
    </row>
    <row r="200" spans="9:9" x14ac:dyDescent="0.25">
      <c r="I200">
        <f t="shared" si="3"/>
        <v>1900</v>
      </c>
    </row>
    <row r="201" spans="9:9" x14ac:dyDescent="0.25">
      <c r="I201">
        <f t="shared" si="3"/>
        <v>1900</v>
      </c>
    </row>
    <row r="202" spans="9:9" x14ac:dyDescent="0.25">
      <c r="I202">
        <f t="shared" si="3"/>
        <v>1900</v>
      </c>
    </row>
    <row r="203" spans="9:9" x14ac:dyDescent="0.25">
      <c r="I203">
        <f t="shared" si="3"/>
        <v>1900</v>
      </c>
    </row>
    <row r="204" spans="9:9" x14ac:dyDescent="0.25">
      <c r="I204">
        <f t="shared" si="3"/>
        <v>1900</v>
      </c>
    </row>
    <row r="205" spans="9:9" x14ac:dyDescent="0.25">
      <c r="I205">
        <f t="shared" si="3"/>
        <v>1900</v>
      </c>
    </row>
    <row r="206" spans="9:9" x14ac:dyDescent="0.25">
      <c r="I206">
        <f t="shared" si="3"/>
        <v>1900</v>
      </c>
    </row>
    <row r="207" spans="9:9" x14ac:dyDescent="0.25">
      <c r="I207">
        <f t="shared" si="3"/>
        <v>1900</v>
      </c>
    </row>
    <row r="208" spans="9:9" x14ac:dyDescent="0.25">
      <c r="I208">
        <f t="shared" si="3"/>
        <v>1900</v>
      </c>
    </row>
    <row r="209" spans="9:9" x14ac:dyDescent="0.25">
      <c r="I209">
        <f t="shared" si="3"/>
        <v>1900</v>
      </c>
    </row>
    <row r="210" spans="9:9" x14ac:dyDescent="0.25">
      <c r="I210">
        <f t="shared" si="3"/>
        <v>1900</v>
      </c>
    </row>
    <row r="211" spans="9:9" x14ac:dyDescent="0.25">
      <c r="I211">
        <f t="shared" si="3"/>
        <v>1900</v>
      </c>
    </row>
    <row r="212" spans="9:9" x14ac:dyDescent="0.25">
      <c r="I212">
        <f t="shared" si="3"/>
        <v>1900</v>
      </c>
    </row>
    <row r="213" spans="9:9" x14ac:dyDescent="0.25">
      <c r="I213">
        <f t="shared" si="3"/>
        <v>1900</v>
      </c>
    </row>
    <row r="214" spans="9:9" x14ac:dyDescent="0.25">
      <c r="I214">
        <f t="shared" si="3"/>
        <v>1900</v>
      </c>
    </row>
    <row r="215" spans="9:9" x14ac:dyDescent="0.25">
      <c r="I215">
        <f t="shared" si="3"/>
        <v>1900</v>
      </c>
    </row>
    <row r="216" spans="9:9" x14ac:dyDescent="0.25">
      <c r="I216">
        <f t="shared" si="3"/>
        <v>1900</v>
      </c>
    </row>
    <row r="217" spans="9:9" x14ac:dyDescent="0.25">
      <c r="I217">
        <f t="shared" si="3"/>
        <v>1900</v>
      </c>
    </row>
    <row r="218" spans="9:9" x14ac:dyDescent="0.25">
      <c r="I218">
        <f t="shared" si="3"/>
        <v>1900</v>
      </c>
    </row>
    <row r="219" spans="9:9" x14ac:dyDescent="0.25">
      <c r="I219">
        <f t="shared" si="3"/>
        <v>1900</v>
      </c>
    </row>
    <row r="220" spans="9:9" x14ac:dyDescent="0.25">
      <c r="I220">
        <f t="shared" si="3"/>
        <v>1900</v>
      </c>
    </row>
    <row r="221" spans="9:9" x14ac:dyDescent="0.25">
      <c r="I221">
        <f t="shared" si="3"/>
        <v>1900</v>
      </c>
    </row>
    <row r="222" spans="9:9" x14ac:dyDescent="0.25">
      <c r="I222">
        <f t="shared" si="3"/>
        <v>1900</v>
      </c>
    </row>
    <row r="223" spans="9:9" x14ac:dyDescent="0.25">
      <c r="I223">
        <f t="shared" si="3"/>
        <v>1900</v>
      </c>
    </row>
    <row r="224" spans="9:9" x14ac:dyDescent="0.25">
      <c r="I224">
        <f t="shared" si="3"/>
        <v>1900</v>
      </c>
    </row>
    <row r="225" spans="9:9" x14ac:dyDescent="0.25">
      <c r="I225">
        <f t="shared" si="3"/>
        <v>1900</v>
      </c>
    </row>
    <row r="226" spans="9:9" x14ac:dyDescent="0.25">
      <c r="I226">
        <f t="shared" si="3"/>
        <v>1900</v>
      </c>
    </row>
    <row r="227" spans="9:9" x14ac:dyDescent="0.25">
      <c r="I227">
        <f t="shared" si="3"/>
        <v>1900</v>
      </c>
    </row>
    <row r="228" spans="9:9" x14ac:dyDescent="0.25">
      <c r="I228">
        <f t="shared" si="3"/>
        <v>1900</v>
      </c>
    </row>
    <row r="229" spans="9:9" x14ac:dyDescent="0.25">
      <c r="I229">
        <f t="shared" si="3"/>
        <v>1900</v>
      </c>
    </row>
    <row r="230" spans="9:9" x14ac:dyDescent="0.25">
      <c r="I230">
        <f t="shared" si="3"/>
        <v>1900</v>
      </c>
    </row>
    <row r="231" spans="9:9" x14ac:dyDescent="0.25">
      <c r="I231">
        <f t="shared" si="3"/>
        <v>1900</v>
      </c>
    </row>
    <row r="232" spans="9:9" x14ac:dyDescent="0.25">
      <c r="I232">
        <f t="shared" si="3"/>
        <v>1900</v>
      </c>
    </row>
    <row r="233" spans="9:9" x14ac:dyDescent="0.25">
      <c r="I233">
        <f t="shared" si="3"/>
        <v>1900</v>
      </c>
    </row>
    <row r="234" spans="9:9" x14ac:dyDescent="0.25">
      <c r="I234">
        <f t="shared" si="3"/>
        <v>1900</v>
      </c>
    </row>
    <row r="235" spans="9:9" x14ac:dyDescent="0.25">
      <c r="I235">
        <f t="shared" si="3"/>
        <v>1900</v>
      </c>
    </row>
    <row r="236" spans="9:9" x14ac:dyDescent="0.25">
      <c r="I236">
        <f t="shared" si="3"/>
        <v>1900</v>
      </c>
    </row>
    <row r="237" spans="9:9" x14ac:dyDescent="0.25">
      <c r="I237">
        <f t="shared" si="3"/>
        <v>1900</v>
      </c>
    </row>
    <row r="238" spans="9:9" x14ac:dyDescent="0.25">
      <c r="I238">
        <f t="shared" si="3"/>
        <v>1900</v>
      </c>
    </row>
    <row r="239" spans="9:9" x14ac:dyDescent="0.25">
      <c r="I239">
        <f t="shared" si="3"/>
        <v>1900</v>
      </c>
    </row>
    <row r="240" spans="9:9" x14ac:dyDescent="0.25">
      <c r="I240">
        <f t="shared" si="3"/>
        <v>1900</v>
      </c>
    </row>
    <row r="241" spans="9:9" x14ac:dyDescent="0.25">
      <c r="I241">
        <f t="shared" si="3"/>
        <v>1900</v>
      </c>
    </row>
    <row r="242" spans="9:9" x14ac:dyDescent="0.25">
      <c r="I242">
        <f t="shared" si="3"/>
        <v>1900</v>
      </c>
    </row>
    <row r="243" spans="9:9" x14ac:dyDescent="0.25">
      <c r="I243">
        <f t="shared" si="3"/>
        <v>1900</v>
      </c>
    </row>
    <row r="244" spans="9:9" x14ac:dyDescent="0.25">
      <c r="I244">
        <f t="shared" si="3"/>
        <v>1900</v>
      </c>
    </row>
    <row r="245" spans="9:9" x14ac:dyDescent="0.25">
      <c r="I245">
        <f t="shared" si="3"/>
        <v>1900</v>
      </c>
    </row>
    <row r="246" spans="9:9" x14ac:dyDescent="0.25">
      <c r="I246">
        <f t="shared" si="3"/>
        <v>1900</v>
      </c>
    </row>
    <row r="247" spans="9:9" x14ac:dyDescent="0.25">
      <c r="I247">
        <f t="shared" si="3"/>
        <v>1900</v>
      </c>
    </row>
    <row r="248" spans="9:9" x14ac:dyDescent="0.25">
      <c r="I248">
        <f t="shared" si="3"/>
        <v>1900</v>
      </c>
    </row>
    <row r="249" spans="9:9" x14ac:dyDescent="0.25">
      <c r="I249">
        <f t="shared" si="3"/>
        <v>1900</v>
      </c>
    </row>
    <row r="250" spans="9:9" x14ac:dyDescent="0.25">
      <c r="I250">
        <f t="shared" si="3"/>
        <v>1900</v>
      </c>
    </row>
    <row r="251" spans="9:9" x14ac:dyDescent="0.25">
      <c r="I251">
        <f t="shared" si="3"/>
        <v>1900</v>
      </c>
    </row>
    <row r="252" spans="9:9" x14ac:dyDescent="0.25">
      <c r="I252">
        <f t="shared" si="3"/>
        <v>1900</v>
      </c>
    </row>
    <row r="253" spans="9:9" x14ac:dyDescent="0.25">
      <c r="I253">
        <f t="shared" si="3"/>
        <v>1900</v>
      </c>
    </row>
    <row r="254" spans="9:9" x14ac:dyDescent="0.25">
      <c r="I254">
        <f t="shared" si="3"/>
        <v>1900</v>
      </c>
    </row>
    <row r="255" spans="9:9" x14ac:dyDescent="0.25">
      <c r="I255">
        <f t="shared" si="3"/>
        <v>1900</v>
      </c>
    </row>
    <row r="256" spans="9:9" x14ac:dyDescent="0.25">
      <c r="I256">
        <f t="shared" si="3"/>
        <v>1900</v>
      </c>
    </row>
    <row r="257" spans="9:9" x14ac:dyDescent="0.25">
      <c r="I257">
        <f t="shared" si="3"/>
        <v>1900</v>
      </c>
    </row>
    <row r="258" spans="9:9" x14ac:dyDescent="0.25">
      <c r="I258">
        <f t="shared" si="3"/>
        <v>1900</v>
      </c>
    </row>
    <row r="259" spans="9:9" x14ac:dyDescent="0.25">
      <c r="I259">
        <f t="shared" si="3"/>
        <v>1900</v>
      </c>
    </row>
    <row r="260" spans="9:9" x14ac:dyDescent="0.25">
      <c r="I260">
        <f t="shared" ref="I260:I323" si="4">IFERROR(YEAR(E260),"")</f>
        <v>1900</v>
      </c>
    </row>
    <row r="261" spans="9:9" x14ac:dyDescent="0.25">
      <c r="I261">
        <f t="shared" si="4"/>
        <v>1900</v>
      </c>
    </row>
    <row r="262" spans="9:9" x14ac:dyDescent="0.25">
      <c r="I262">
        <f t="shared" si="4"/>
        <v>1900</v>
      </c>
    </row>
    <row r="263" spans="9:9" x14ac:dyDescent="0.25">
      <c r="I263">
        <f t="shared" si="4"/>
        <v>1900</v>
      </c>
    </row>
    <row r="264" spans="9:9" x14ac:dyDescent="0.25">
      <c r="I264">
        <f t="shared" si="4"/>
        <v>1900</v>
      </c>
    </row>
    <row r="265" spans="9:9" x14ac:dyDescent="0.25">
      <c r="I265">
        <f t="shared" si="4"/>
        <v>1900</v>
      </c>
    </row>
    <row r="266" spans="9:9" x14ac:dyDescent="0.25">
      <c r="I266">
        <f t="shared" si="4"/>
        <v>1900</v>
      </c>
    </row>
    <row r="267" spans="9:9" x14ac:dyDescent="0.25">
      <c r="I267">
        <f t="shared" si="4"/>
        <v>1900</v>
      </c>
    </row>
    <row r="268" spans="9:9" x14ac:dyDescent="0.25">
      <c r="I268">
        <f t="shared" si="4"/>
        <v>1900</v>
      </c>
    </row>
    <row r="269" spans="9:9" x14ac:dyDescent="0.25">
      <c r="I269">
        <f t="shared" si="4"/>
        <v>1900</v>
      </c>
    </row>
    <row r="270" spans="9:9" x14ac:dyDescent="0.25">
      <c r="I270">
        <f t="shared" si="4"/>
        <v>1900</v>
      </c>
    </row>
    <row r="271" spans="9:9" x14ac:dyDescent="0.25">
      <c r="I271">
        <f t="shared" si="4"/>
        <v>1900</v>
      </c>
    </row>
    <row r="272" spans="9:9" x14ac:dyDescent="0.25">
      <c r="I272">
        <f t="shared" si="4"/>
        <v>1900</v>
      </c>
    </row>
    <row r="273" spans="9:9" x14ac:dyDescent="0.25">
      <c r="I273">
        <f t="shared" si="4"/>
        <v>1900</v>
      </c>
    </row>
    <row r="274" spans="9:9" x14ac:dyDescent="0.25">
      <c r="I274">
        <f t="shared" si="4"/>
        <v>1900</v>
      </c>
    </row>
    <row r="275" spans="9:9" x14ac:dyDescent="0.25">
      <c r="I275">
        <f t="shared" si="4"/>
        <v>1900</v>
      </c>
    </row>
    <row r="276" spans="9:9" x14ac:dyDescent="0.25">
      <c r="I276">
        <f t="shared" si="4"/>
        <v>1900</v>
      </c>
    </row>
    <row r="277" spans="9:9" x14ac:dyDescent="0.25">
      <c r="I277">
        <f t="shared" si="4"/>
        <v>1900</v>
      </c>
    </row>
    <row r="278" spans="9:9" x14ac:dyDescent="0.25">
      <c r="I278">
        <f t="shared" si="4"/>
        <v>1900</v>
      </c>
    </row>
    <row r="279" spans="9:9" x14ac:dyDescent="0.25">
      <c r="I279">
        <f t="shared" si="4"/>
        <v>1900</v>
      </c>
    </row>
    <row r="280" spans="9:9" x14ac:dyDescent="0.25">
      <c r="I280">
        <f t="shared" si="4"/>
        <v>1900</v>
      </c>
    </row>
    <row r="281" spans="9:9" x14ac:dyDescent="0.25">
      <c r="I281">
        <f t="shared" si="4"/>
        <v>1900</v>
      </c>
    </row>
    <row r="282" spans="9:9" x14ac:dyDescent="0.25">
      <c r="I282">
        <f t="shared" si="4"/>
        <v>1900</v>
      </c>
    </row>
    <row r="283" spans="9:9" x14ac:dyDescent="0.25">
      <c r="I283">
        <f t="shared" si="4"/>
        <v>1900</v>
      </c>
    </row>
    <row r="284" spans="9:9" x14ac:dyDescent="0.25">
      <c r="I284">
        <f t="shared" si="4"/>
        <v>1900</v>
      </c>
    </row>
    <row r="285" spans="9:9" x14ac:dyDescent="0.25">
      <c r="I285">
        <f t="shared" si="4"/>
        <v>1900</v>
      </c>
    </row>
    <row r="286" spans="9:9" x14ac:dyDescent="0.25">
      <c r="I286">
        <f t="shared" si="4"/>
        <v>1900</v>
      </c>
    </row>
    <row r="287" spans="9:9" x14ac:dyDescent="0.25">
      <c r="I287">
        <f t="shared" si="4"/>
        <v>1900</v>
      </c>
    </row>
    <row r="288" spans="9:9" x14ac:dyDescent="0.25">
      <c r="I288">
        <f t="shared" si="4"/>
        <v>1900</v>
      </c>
    </row>
    <row r="289" spans="9:9" x14ac:dyDescent="0.25">
      <c r="I289">
        <f t="shared" si="4"/>
        <v>1900</v>
      </c>
    </row>
    <row r="290" spans="9:9" x14ac:dyDescent="0.25">
      <c r="I290">
        <f t="shared" si="4"/>
        <v>1900</v>
      </c>
    </row>
    <row r="291" spans="9:9" x14ac:dyDescent="0.25">
      <c r="I291">
        <f t="shared" si="4"/>
        <v>1900</v>
      </c>
    </row>
    <row r="292" spans="9:9" x14ac:dyDescent="0.25">
      <c r="I292">
        <f t="shared" si="4"/>
        <v>1900</v>
      </c>
    </row>
    <row r="293" spans="9:9" x14ac:dyDescent="0.25">
      <c r="I293">
        <f t="shared" si="4"/>
        <v>1900</v>
      </c>
    </row>
    <row r="294" spans="9:9" x14ac:dyDescent="0.25">
      <c r="I294">
        <f t="shared" si="4"/>
        <v>1900</v>
      </c>
    </row>
    <row r="295" spans="9:9" x14ac:dyDescent="0.25">
      <c r="I295">
        <f t="shared" si="4"/>
        <v>1900</v>
      </c>
    </row>
    <row r="296" spans="9:9" x14ac:dyDescent="0.25">
      <c r="I296">
        <f t="shared" si="4"/>
        <v>1900</v>
      </c>
    </row>
    <row r="297" spans="9:9" x14ac:dyDescent="0.25">
      <c r="I297">
        <f t="shared" si="4"/>
        <v>1900</v>
      </c>
    </row>
    <row r="298" spans="9:9" x14ac:dyDescent="0.25">
      <c r="I298">
        <f t="shared" si="4"/>
        <v>1900</v>
      </c>
    </row>
    <row r="299" spans="9:9" x14ac:dyDescent="0.25">
      <c r="I299">
        <f t="shared" si="4"/>
        <v>1900</v>
      </c>
    </row>
    <row r="300" spans="9:9" x14ac:dyDescent="0.25">
      <c r="I300">
        <f t="shared" si="4"/>
        <v>1900</v>
      </c>
    </row>
    <row r="301" spans="9:9" x14ac:dyDescent="0.25">
      <c r="I301">
        <f t="shared" si="4"/>
        <v>1900</v>
      </c>
    </row>
    <row r="302" spans="9:9" x14ac:dyDescent="0.25">
      <c r="I302">
        <f t="shared" si="4"/>
        <v>1900</v>
      </c>
    </row>
    <row r="303" spans="9:9" x14ac:dyDescent="0.25">
      <c r="I303">
        <f t="shared" si="4"/>
        <v>1900</v>
      </c>
    </row>
    <row r="304" spans="9:9" x14ac:dyDescent="0.25">
      <c r="I304">
        <f t="shared" si="4"/>
        <v>1900</v>
      </c>
    </row>
    <row r="305" spans="9:9" x14ac:dyDescent="0.25">
      <c r="I305">
        <f t="shared" si="4"/>
        <v>1900</v>
      </c>
    </row>
    <row r="306" spans="9:9" x14ac:dyDescent="0.25">
      <c r="I306">
        <f t="shared" si="4"/>
        <v>1900</v>
      </c>
    </row>
    <row r="307" spans="9:9" x14ac:dyDescent="0.25">
      <c r="I307">
        <f t="shared" si="4"/>
        <v>1900</v>
      </c>
    </row>
    <row r="308" spans="9:9" x14ac:dyDescent="0.25">
      <c r="I308">
        <f t="shared" si="4"/>
        <v>1900</v>
      </c>
    </row>
    <row r="309" spans="9:9" x14ac:dyDescent="0.25">
      <c r="I309">
        <f t="shared" si="4"/>
        <v>1900</v>
      </c>
    </row>
    <row r="310" spans="9:9" x14ac:dyDescent="0.25">
      <c r="I310">
        <f t="shared" si="4"/>
        <v>1900</v>
      </c>
    </row>
    <row r="311" spans="9:9" x14ac:dyDescent="0.25">
      <c r="I311">
        <f t="shared" si="4"/>
        <v>1900</v>
      </c>
    </row>
    <row r="312" spans="9:9" x14ac:dyDescent="0.25">
      <c r="I312">
        <f t="shared" si="4"/>
        <v>1900</v>
      </c>
    </row>
    <row r="313" spans="9:9" x14ac:dyDescent="0.25">
      <c r="I313">
        <f t="shared" si="4"/>
        <v>1900</v>
      </c>
    </row>
    <row r="314" spans="9:9" x14ac:dyDescent="0.25">
      <c r="I314">
        <f t="shared" si="4"/>
        <v>1900</v>
      </c>
    </row>
    <row r="315" spans="9:9" x14ac:dyDescent="0.25">
      <c r="I315">
        <f t="shared" si="4"/>
        <v>1900</v>
      </c>
    </row>
    <row r="316" spans="9:9" x14ac:dyDescent="0.25">
      <c r="I316">
        <f t="shared" si="4"/>
        <v>1900</v>
      </c>
    </row>
    <row r="317" spans="9:9" x14ac:dyDescent="0.25">
      <c r="I317">
        <f t="shared" si="4"/>
        <v>1900</v>
      </c>
    </row>
    <row r="318" spans="9:9" x14ac:dyDescent="0.25">
      <c r="I318">
        <f t="shared" si="4"/>
        <v>1900</v>
      </c>
    </row>
    <row r="319" spans="9:9" x14ac:dyDescent="0.25">
      <c r="I319">
        <f t="shared" si="4"/>
        <v>1900</v>
      </c>
    </row>
    <row r="320" spans="9:9" x14ac:dyDescent="0.25">
      <c r="I320">
        <f t="shared" si="4"/>
        <v>1900</v>
      </c>
    </row>
    <row r="321" spans="9:9" x14ac:dyDescent="0.25">
      <c r="I321">
        <f t="shared" si="4"/>
        <v>1900</v>
      </c>
    </row>
    <row r="322" spans="9:9" x14ac:dyDescent="0.25">
      <c r="I322">
        <f t="shared" si="4"/>
        <v>1900</v>
      </c>
    </row>
    <row r="323" spans="9:9" x14ac:dyDescent="0.25">
      <c r="I323">
        <f t="shared" si="4"/>
        <v>1900</v>
      </c>
    </row>
    <row r="324" spans="9:9" x14ac:dyDescent="0.25">
      <c r="I324">
        <f t="shared" ref="I324:I387" si="5">IFERROR(YEAR(E324),"")</f>
        <v>1900</v>
      </c>
    </row>
    <row r="325" spans="9:9" x14ac:dyDescent="0.25">
      <c r="I325">
        <f t="shared" si="5"/>
        <v>1900</v>
      </c>
    </row>
    <row r="326" spans="9:9" x14ac:dyDescent="0.25">
      <c r="I326">
        <f t="shared" si="5"/>
        <v>1900</v>
      </c>
    </row>
    <row r="327" spans="9:9" x14ac:dyDescent="0.25">
      <c r="I327">
        <f t="shared" si="5"/>
        <v>1900</v>
      </c>
    </row>
    <row r="328" spans="9:9" x14ac:dyDescent="0.25">
      <c r="I328">
        <f t="shared" si="5"/>
        <v>1900</v>
      </c>
    </row>
    <row r="329" spans="9:9" x14ac:dyDescent="0.25">
      <c r="I329">
        <f t="shared" si="5"/>
        <v>1900</v>
      </c>
    </row>
    <row r="330" spans="9:9" x14ac:dyDescent="0.25">
      <c r="I330">
        <f t="shared" si="5"/>
        <v>1900</v>
      </c>
    </row>
    <row r="331" spans="9:9" x14ac:dyDescent="0.25">
      <c r="I331">
        <f t="shared" si="5"/>
        <v>1900</v>
      </c>
    </row>
    <row r="332" spans="9:9" x14ac:dyDescent="0.25">
      <c r="I332">
        <f t="shared" si="5"/>
        <v>1900</v>
      </c>
    </row>
    <row r="333" spans="9:9" x14ac:dyDescent="0.25">
      <c r="I333">
        <f t="shared" si="5"/>
        <v>1900</v>
      </c>
    </row>
    <row r="334" spans="9:9" x14ac:dyDescent="0.25">
      <c r="I334">
        <f t="shared" si="5"/>
        <v>1900</v>
      </c>
    </row>
    <row r="335" spans="9:9" x14ac:dyDescent="0.25">
      <c r="I335">
        <f t="shared" si="5"/>
        <v>1900</v>
      </c>
    </row>
    <row r="336" spans="9:9" x14ac:dyDescent="0.25">
      <c r="I336">
        <f t="shared" si="5"/>
        <v>1900</v>
      </c>
    </row>
    <row r="337" spans="9:9" x14ac:dyDescent="0.25">
      <c r="I337">
        <f t="shared" si="5"/>
        <v>1900</v>
      </c>
    </row>
    <row r="338" spans="9:9" x14ac:dyDescent="0.25">
      <c r="I338">
        <f t="shared" si="5"/>
        <v>1900</v>
      </c>
    </row>
    <row r="339" spans="9:9" x14ac:dyDescent="0.25">
      <c r="I339">
        <f t="shared" si="5"/>
        <v>1900</v>
      </c>
    </row>
    <row r="340" spans="9:9" x14ac:dyDescent="0.25">
      <c r="I340">
        <f t="shared" si="5"/>
        <v>1900</v>
      </c>
    </row>
    <row r="341" spans="9:9" x14ac:dyDescent="0.25">
      <c r="I341">
        <f t="shared" si="5"/>
        <v>1900</v>
      </c>
    </row>
    <row r="342" spans="9:9" x14ac:dyDescent="0.25">
      <c r="I342">
        <f t="shared" si="5"/>
        <v>1900</v>
      </c>
    </row>
    <row r="343" spans="9:9" x14ac:dyDescent="0.25">
      <c r="I343">
        <f t="shared" si="5"/>
        <v>1900</v>
      </c>
    </row>
    <row r="344" spans="9:9" x14ac:dyDescent="0.25">
      <c r="I344">
        <f t="shared" si="5"/>
        <v>1900</v>
      </c>
    </row>
    <row r="345" spans="9:9" x14ac:dyDescent="0.25">
      <c r="I345">
        <f t="shared" si="5"/>
        <v>1900</v>
      </c>
    </row>
    <row r="346" spans="9:9" x14ac:dyDescent="0.25">
      <c r="I346">
        <f t="shared" si="5"/>
        <v>1900</v>
      </c>
    </row>
    <row r="347" spans="9:9" x14ac:dyDescent="0.25">
      <c r="I347">
        <f t="shared" si="5"/>
        <v>1900</v>
      </c>
    </row>
    <row r="348" spans="9:9" x14ac:dyDescent="0.25">
      <c r="I348">
        <f t="shared" si="5"/>
        <v>1900</v>
      </c>
    </row>
    <row r="349" spans="9:9" x14ac:dyDescent="0.25">
      <c r="I349">
        <f t="shared" si="5"/>
        <v>1900</v>
      </c>
    </row>
    <row r="350" spans="9:9" x14ac:dyDescent="0.25">
      <c r="I350">
        <f t="shared" si="5"/>
        <v>1900</v>
      </c>
    </row>
    <row r="351" spans="9:9" x14ac:dyDescent="0.25">
      <c r="I351">
        <f t="shared" si="5"/>
        <v>1900</v>
      </c>
    </row>
    <row r="352" spans="9:9" x14ac:dyDescent="0.25">
      <c r="I352">
        <f t="shared" si="5"/>
        <v>1900</v>
      </c>
    </row>
    <row r="353" spans="9:9" x14ac:dyDescent="0.25">
      <c r="I353">
        <f t="shared" si="5"/>
        <v>1900</v>
      </c>
    </row>
    <row r="354" spans="9:9" x14ac:dyDescent="0.25">
      <c r="I354">
        <f t="shared" si="5"/>
        <v>1900</v>
      </c>
    </row>
    <row r="355" spans="9:9" x14ac:dyDescent="0.25">
      <c r="I355">
        <f t="shared" si="5"/>
        <v>1900</v>
      </c>
    </row>
    <row r="356" spans="9:9" x14ac:dyDescent="0.25">
      <c r="I356">
        <f t="shared" si="5"/>
        <v>1900</v>
      </c>
    </row>
    <row r="357" spans="9:9" x14ac:dyDescent="0.25">
      <c r="I357">
        <f t="shared" si="5"/>
        <v>1900</v>
      </c>
    </row>
    <row r="358" spans="9:9" x14ac:dyDescent="0.25">
      <c r="I358">
        <f t="shared" si="5"/>
        <v>1900</v>
      </c>
    </row>
    <row r="359" spans="9:9" x14ac:dyDescent="0.25">
      <c r="I359">
        <f t="shared" si="5"/>
        <v>1900</v>
      </c>
    </row>
    <row r="360" spans="9:9" x14ac:dyDescent="0.25">
      <c r="I360">
        <f t="shared" si="5"/>
        <v>1900</v>
      </c>
    </row>
    <row r="361" spans="9:9" x14ac:dyDescent="0.25">
      <c r="I361">
        <f t="shared" si="5"/>
        <v>1900</v>
      </c>
    </row>
    <row r="362" spans="9:9" x14ac:dyDescent="0.25">
      <c r="I362">
        <f t="shared" si="5"/>
        <v>1900</v>
      </c>
    </row>
    <row r="363" spans="9:9" x14ac:dyDescent="0.25">
      <c r="I363">
        <f t="shared" si="5"/>
        <v>1900</v>
      </c>
    </row>
    <row r="364" spans="9:9" x14ac:dyDescent="0.25">
      <c r="I364">
        <f t="shared" si="5"/>
        <v>1900</v>
      </c>
    </row>
    <row r="365" spans="9:9" x14ac:dyDescent="0.25">
      <c r="I365">
        <f t="shared" si="5"/>
        <v>1900</v>
      </c>
    </row>
    <row r="366" spans="9:9" x14ac:dyDescent="0.25">
      <c r="I366">
        <f t="shared" si="5"/>
        <v>1900</v>
      </c>
    </row>
    <row r="367" spans="9:9" x14ac:dyDescent="0.25">
      <c r="I367">
        <f t="shared" si="5"/>
        <v>1900</v>
      </c>
    </row>
    <row r="368" spans="9:9" x14ac:dyDescent="0.25">
      <c r="I368">
        <f t="shared" si="5"/>
        <v>1900</v>
      </c>
    </row>
    <row r="369" spans="9:9" x14ac:dyDescent="0.25">
      <c r="I369">
        <f t="shared" si="5"/>
        <v>1900</v>
      </c>
    </row>
    <row r="370" spans="9:9" x14ac:dyDescent="0.25">
      <c r="I370">
        <f t="shared" si="5"/>
        <v>1900</v>
      </c>
    </row>
    <row r="371" spans="9:9" x14ac:dyDescent="0.25">
      <c r="I371">
        <f t="shared" si="5"/>
        <v>1900</v>
      </c>
    </row>
    <row r="372" spans="9:9" x14ac:dyDescent="0.25">
      <c r="I372">
        <f t="shared" si="5"/>
        <v>1900</v>
      </c>
    </row>
    <row r="373" spans="9:9" x14ac:dyDescent="0.25">
      <c r="I373">
        <f t="shared" si="5"/>
        <v>1900</v>
      </c>
    </row>
    <row r="374" spans="9:9" x14ac:dyDescent="0.25">
      <c r="I374">
        <f t="shared" si="5"/>
        <v>1900</v>
      </c>
    </row>
    <row r="375" spans="9:9" x14ac:dyDescent="0.25">
      <c r="I375">
        <f t="shared" si="5"/>
        <v>1900</v>
      </c>
    </row>
    <row r="376" spans="9:9" x14ac:dyDescent="0.25">
      <c r="I376">
        <f t="shared" si="5"/>
        <v>1900</v>
      </c>
    </row>
    <row r="377" spans="9:9" x14ac:dyDescent="0.25">
      <c r="I377">
        <f t="shared" si="5"/>
        <v>1900</v>
      </c>
    </row>
    <row r="378" spans="9:9" x14ac:dyDescent="0.25">
      <c r="I378">
        <f t="shared" si="5"/>
        <v>1900</v>
      </c>
    </row>
    <row r="379" spans="9:9" x14ac:dyDescent="0.25">
      <c r="I379">
        <f t="shared" si="5"/>
        <v>1900</v>
      </c>
    </row>
    <row r="380" spans="9:9" x14ac:dyDescent="0.25">
      <c r="I380">
        <f t="shared" si="5"/>
        <v>1900</v>
      </c>
    </row>
    <row r="381" spans="9:9" x14ac:dyDescent="0.25">
      <c r="I381">
        <f t="shared" si="5"/>
        <v>1900</v>
      </c>
    </row>
    <row r="382" spans="9:9" x14ac:dyDescent="0.25">
      <c r="I382">
        <f t="shared" si="5"/>
        <v>1900</v>
      </c>
    </row>
    <row r="383" spans="9:9" x14ac:dyDescent="0.25">
      <c r="I383">
        <f t="shared" si="5"/>
        <v>1900</v>
      </c>
    </row>
    <row r="384" spans="9:9" x14ac:dyDescent="0.25">
      <c r="I384">
        <f t="shared" si="5"/>
        <v>1900</v>
      </c>
    </row>
    <row r="385" spans="9:9" x14ac:dyDescent="0.25">
      <c r="I385">
        <f t="shared" si="5"/>
        <v>1900</v>
      </c>
    </row>
    <row r="386" spans="9:9" x14ac:dyDescent="0.25">
      <c r="I386">
        <f t="shared" si="5"/>
        <v>1900</v>
      </c>
    </row>
    <row r="387" spans="9:9" x14ac:dyDescent="0.25">
      <c r="I387">
        <f t="shared" si="5"/>
        <v>1900</v>
      </c>
    </row>
    <row r="388" spans="9:9" x14ac:dyDescent="0.25">
      <c r="I388">
        <f t="shared" ref="I388:I451" si="6">IFERROR(YEAR(E388),"")</f>
        <v>1900</v>
      </c>
    </row>
    <row r="389" spans="9:9" x14ac:dyDescent="0.25">
      <c r="I389">
        <f t="shared" si="6"/>
        <v>1900</v>
      </c>
    </row>
    <row r="390" spans="9:9" x14ac:dyDescent="0.25">
      <c r="I390">
        <f t="shared" si="6"/>
        <v>1900</v>
      </c>
    </row>
    <row r="391" spans="9:9" x14ac:dyDescent="0.25">
      <c r="I391">
        <f t="shared" si="6"/>
        <v>1900</v>
      </c>
    </row>
    <row r="392" spans="9:9" x14ac:dyDescent="0.25">
      <c r="I392">
        <f t="shared" si="6"/>
        <v>1900</v>
      </c>
    </row>
    <row r="393" spans="9:9" x14ac:dyDescent="0.25">
      <c r="I393">
        <f t="shared" si="6"/>
        <v>1900</v>
      </c>
    </row>
    <row r="394" spans="9:9" x14ac:dyDescent="0.25">
      <c r="I394">
        <f t="shared" si="6"/>
        <v>1900</v>
      </c>
    </row>
    <row r="395" spans="9:9" x14ac:dyDescent="0.25">
      <c r="I395">
        <f t="shared" si="6"/>
        <v>1900</v>
      </c>
    </row>
    <row r="396" spans="9:9" x14ac:dyDescent="0.25">
      <c r="I396">
        <f t="shared" si="6"/>
        <v>1900</v>
      </c>
    </row>
    <row r="397" spans="9:9" x14ac:dyDescent="0.25">
      <c r="I397">
        <f t="shared" si="6"/>
        <v>1900</v>
      </c>
    </row>
    <row r="398" spans="9:9" x14ac:dyDescent="0.25">
      <c r="I398">
        <f t="shared" si="6"/>
        <v>1900</v>
      </c>
    </row>
    <row r="399" spans="9:9" x14ac:dyDescent="0.25">
      <c r="I399">
        <f t="shared" si="6"/>
        <v>1900</v>
      </c>
    </row>
    <row r="400" spans="9:9" x14ac:dyDescent="0.25">
      <c r="I400">
        <f t="shared" si="6"/>
        <v>1900</v>
      </c>
    </row>
    <row r="401" spans="9:9" x14ac:dyDescent="0.25">
      <c r="I401">
        <f t="shared" si="6"/>
        <v>1900</v>
      </c>
    </row>
    <row r="402" spans="9:9" x14ac:dyDescent="0.25">
      <c r="I402">
        <f t="shared" si="6"/>
        <v>1900</v>
      </c>
    </row>
    <row r="403" spans="9:9" x14ac:dyDescent="0.25">
      <c r="I403">
        <f t="shared" si="6"/>
        <v>1900</v>
      </c>
    </row>
    <row r="404" spans="9:9" x14ac:dyDescent="0.25">
      <c r="I404">
        <f t="shared" si="6"/>
        <v>1900</v>
      </c>
    </row>
    <row r="405" spans="9:9" x14ac:dyDescent="0.25">
      <c r="I405">
        <f t="shared" si="6"/>
        <v>1900</v>
      </c>
    </row>
    <row r="406" spans="9:9" x14ac:dyDescent="0.25">
      <c r="I406">
        <f t="shared" si="6"/>
        <v>1900</v>
      </c>
    </row>
    <row r="407" spans="9:9" x14ac:dyDescent="0.25">
      <c r="I407">
        <f t="shared" si="6"/>
        <v>1900</v>
      </c>
    </row>
    <row r="408" spans="9:9" x14ac:dyDescent="0.25">
      <c r="I408">
        <f t="shared" si="6"/>
        <v>1900</v>
      </c>
    </row>
    <row r="409" spans="9:9" x14ac:dyDescent="0.25">
      <c r="I409">
        <f t="shared" si="6"/>
        <v>1900</v>
      </c>
    </row>
    <row r="410" spans="9:9" x14ac:dyDescent="0.25">
      <c r="I410">
        <f t="shared" si="6"/>
        <v>1900</v>
      </c>
    </row>
    <row r="411" spans="9:9" x14ac:dyDescent="0.25">
      <c r="I411">
        <f t="shared" si="6"/>
        <v>1900</v>
      </c>
    </row>
    <row r="412" spans="9:9" x14ac:dyDescent="0.25">
      <c r="I412">
        <f t="shared" si="6"/>
        <v>1900</v>
      </c>
    </row>
    <row r="413" spans="9:9" x14ac:dyDescent="0.25">
      <c r="I413">
        <f t="shared" si="6"/>
        <v>1900</v>
      </c>
    </row>
    <row r="414" spans="9:9" x14ac:dyDescent="0.25">
      <c r="I414">
        <f t="shared" si="6"/>
        <v>1900</v>
      </c>
    </row>
    <row r="415" spans="9:9" x14ac:dyDescent="0.25">
      <c r="I415">
        <f t="shared" si="6"/>
        <v>1900</v>
      </c>
    </row>
    <row r="416" spans="9:9" x14ac:dyDescent="0.25">
      <c r="I416">
        <f t="shared" si="6"/>
        <v>1900</v>
      </c>
    </row>
    <row r="417" spans="9:9" x14ac:dyDescent="0.25">
      <c r="I417">
        <f t="shared" si="6"/>
        <v>1900</v>
      </c>
    </row>
    <row r="418" spans="9:9" x14ac:dyDescent="0.25">
      <c r="I418">
        <f t="shared" si="6"/>
        <v>1900</v>
      </c>
    </row>
    <row r="419" spans="9:9" x14ac:dyDescent="0.25">
      <c r="I419">
        <f t="shared" si="6"/>
        <v>1900</v>
      </c>
    </row>
    <row r="420" spans="9:9" x14ac:dyDescent="0.25">
      <c r="I420">
        <f t="shared" si="6"/>
        <v>1900</v>
      </c>
    </row>
    <row r="421" spans="9:9" x14ac:dyDescent="0.25">
      <c r="I421">
        <f t="shared" si="6"/>
        <v>1900</v>
      </c>
    </row>
    <row r="422" spans="9:9" x14ac:dyDescent="0.25">
      <c r="I422">
        <f t="shared" si="6"/>
        <v>1900</v>
      </c>
    </row>
    <row r="423" spans="9:9" x14ac:dyDescent="0.25">
      <c r="I423">
        <f t="shared" si="6"/>
        <v>1900</v>
      </c>
    </row>
    <row r="424" spans="9:9" x14ac:dyDescent="0.25">
      <c r="I424">
        <f t="shared" si="6"/>
        <v>1900</v>
      </c>
    </row>
    <row r="425" spans="9:9" x14ac:dyDescent="0.25">
      <c r="I425">
        <f t="shared" si="6"/>
        <v>1900</v>
      </c>
    </row>
    <row r="426" spans="9:9" x14ac:dyDescent="0.25">
      <c r="I426">
        <f t="shared" si="6"/>
        <v>1900</v>
      </c>
    </row>
    <row r="427" spans="9:9" x14ac:dyDescent="0.25">
      <c r="I427">
        <f t="shared" si="6"/>
        <v>1900</v>
      </c>
    </row>
    <row r="428" spans="9:9" x14ac:dyDescent="0.25">
      <c r="I428">
        <f t="shared" si="6"/>
        <v>1900</v>
      </c>
    </row>
    <row r="429" spans="9:9" x14ac:dyDescent="0.25">
      <c r="I429">
        <f t="shared" si="6"/>
        <v>1900</v>
      </c>
    </row>
    <row r="430" spans="9:9" x14ac:dyDescent="0.25">
      <c r="I430">
        <f t="shared" si="6"/>
        <v>1900</v>
      </c>
    </row>
    <row r="431" spans="9:9" x14ac:dyDescent="0.25">
      <c r="I431">
        <f t="shared" si="6"/>
        <v>1900</v>
      </c>
    </row>
    <row r="432" spans="9:9" x14ac:dyDescent="0.25">
      <c r="I432">
        <f t="shared" si="6"/>
        <v>1900</v>
      </c>
    </row>
    <row r="433" spans="9:9" x14ac:dyDescent="0.25">
      <c r="I433">
        <f t="shared" si="6"/>
        <v>1900</v>
      </c>
    </row>
    <row r="434" spans="9:9" x14ac:dyDescent="0.25">
      <c r="I434">
        <f t="shared" si="6"/>
        <v>1900</v>
      </c>
    </row>
    <row r="435" spans="9:9" x14ac:dyDescent="0.25">
      <c r="I435">
        <f t="shared" si="6"/>
        <v>1900</v>
      </c>
    </row>
    <row r="436" spans="9:9" x14ac:dyDescent="0.25">
      <c r="I436">
        <f t="shared" si="6"/>
        <v>1900</v>
      </c>
    </row>
    <row r="437" spans="9:9" x14ac:dyDescent="0.25">
      <c r="I437">
        <f t="shared" si="6"/>
        <v>1900</v>
      </c>
    </row>
    <row r="438" spans="9:9" x14ac:dyDescent="0.25">
      <c r="I438">
        <f t="shared" si="6"/>
        <v>1900</v>
      </c>
    </row>
    <row r="439" spans="9:9" x14ac:dyDescent="0.25">
      <c r="I439">
        <f t="shared" si="6"/>
        <v>1900</v>
      </c>
    </row>
    <row r="440" spans="9:9" x14ac:dyDescent="0.25">
      <c r="I440">
        <f t="shared" si="6"/>
        <v>1900</v>
      </c>
    </row>
    <row r="441" spans="9:9" x14ac:dyDescent="0.25">
      <c r="I441">
        <f t="shared" si="6"/>
        <v>1900</v>
      </c>
    </row>
    <row r="442" spans="9:9" x14ac:dyDescent="0.25">
      <c r="I442">
        <f t="shared" si="6"/>
        <v>1900</v>
      </c>
    </row>
    <row r="443" spans="9:9" x14ac:dyDescent="0.25">
      <c r="I443">
        <f t="shared" si="6"/>
        <v>1900</v>
      </c>
    </row>
    <row r="444" spans="9:9" x14ac:dyDescent="0.25">
      <c r="I444">
        <f t="shared" si="6"/>
        <v>1900</v>
      </c>
    </row>
    <row r="445" spans="9:9" x14ac:dyDescent="0.25">
      <c r="I445">
        <f t="shared" si="6"/>
        <v>1900</v>
      </c>
    </row>
    <row r="446" spans="9:9" x14ac:dyDescent="0.25">
      <c r="I446">
        <f t="shared" si="6"/>
        <v>1900</v>
      </c>
    </row>
    <row r="447" spans="9:9" x14ac:dyDescent="0.25">
      <c r="I447">
        <f t="shared" si="6"/>
        <v>1900</v>
      </c>
    </row>
    <row r="448" spans="9:9" x14ac:dyDescent="0.25">
      <c r="I448">
        <f t="shared" si="6"/>
        <v>1900</v>
      </c>
    </row>
    <row r="449" spans="9:9" x14ac:dyDescent="0.25">
      <c r="I449">
        <f t="shared" si="6"/>
        <v>1900</v>
      </c>
    </row>
    <row r="450" spans="9:9" x14ac:dyDescent="0.25">
      <c r="I450">
        <f t="shared" si="6"/>
        <v>1900</v>
      </c>
    </row>
    <row r="451" spans="9:9" x14ac:dyDescent="0.25">
      <c r="I451">
        <f t="shared" si="6"/>
        <v>1900</v>
      </c>
    </row>
    <row r="452" spans="9:9" x14ac:dyDescent="0.25">
      <c r="I452">
        <f t="shared" ref="I452:I515" si="7">IFERROR(YEAR(E452),"")</f>
        <v>1900</v>
      </c>
    </row>
    <row r="453" spans="9:9" x14ac:dyDescent="0.25">
      <c r="I453">
        <f t="shared" si="7"/>
        <v>1900</v>
      </c>
    </row>
    <row r="454" spans="9:9" x14ac:dyDescent="0.25">
      <c r="I454">
        <f t="shared" si="7"/>
        <v>1900</v>
      </c>
    </row>
    <row r="455" spans="9:9" x14ac:dyDescent="0.25">
      <c r="I455">
        <f t="shared" si="7"/>
        <v>1900</v>
      </c>
    </row>
    <row r="456" spans="9:9" x14ac:dyDescent="0.25">
      <c r="I456">
        <f t="shared" si="7"/>
        <v>1900</v>
      </c>
    </row>
    <row r="457" spans="9:9" x14ac:dyDescent="0.25">
      <c r="I457">
        <f t="shared" si="7"/>
        <v>1900</v>
      </c>
    </row>
    <row r="458" spans="9:9" x14ac:dyDescent="0.25">
      <c r="I458">
        <f t="shared" si="7"/>
        <v>1900</v>
      </c>
    </row>
    <row r="459" spans="9:9" x14ac:dyDescent="0.25">
      <c r="I459">
        <f t="shared" si="7"/>
        <v>1900</v>
      </c>
    </row>
    <row r="460" spans="9:9" x14ac:dyDescent="0.25">
      <c r="I460">
        <f t="shared" si="7"/>
        <v>1900</v>
      </c>
    </row>
    <row r="461" spans="9:9" x14ac:dyDescent="0.25">
      <c r="I461">
        <f t="shared" si="7"/>
        <v>1900</v>
      </c>
    </row>
    <row r="462" spans="9:9" x14ac:dyDescent="0.25">
      <c r="I462">
        <f t="shared" si="7"/>
        <v>1900</v>
      </c>
    </row>
    <row r="463" spans="9:9" x14ac:dyDescent="0.25">
      <c r="I463">
        <f t="shared" si="7"/>
        <v>1900</v>
      </c>
    </row>
    <row r="464" spans="9:9" x14ac:dyDescent="0.25">
      <c r="I464">
        <f t="shared" si="7"/>
        <v>1900</v>
      </c>
    </row>
    <row r="465" spans="9:9" x14ac:dyDescent="0.25">
      <c r="I465">
        <f t="shared" si="7"/>
        <v>1900</v>
      </c>
    </row>
    <row r="466" spans="9:9" x14ac:dyDescent="0.25">
      <c r="I466">
        <f t="shared" si="7"/>
        <v>1900</v>
      </c>
    </row>
    <row r="467" spans="9:9" x14ac:dyDescent="0.25">
      <c r="I467">
        <f t="shared" si="7"/>
        <v>1900</v>
      </c>
    </row>
    <row r="468" spans="9:9" x14ac:dyDescent="0.25">
      <c r="I468">
        <f t="shared" si="7"/>
        <v>1900</v>
      </c>
    </row>
    <row r="469" spans="9:9" x14ac:dyDescent="0.25">
      <c r="I469">
        <f t="shared" si="7"/>
        <v>1900</v>
      </c>
    </row>
    <row r="470" spans="9:9" x14ac:dyDescent="0.25">
      <c r="I470">
        <f t="shared" si="7"/>
        <v>1900</v>
      </c>
    </row>
    <row r="471" spans="9:9" x14ac:dyDescent="0.25">
      <c r="I471">
        <f t="shared" si="7"/>
        <v>1900</v>
      </c>
    </row>
    <row r="472" spans="9:9" x14ac:dyDescent="0.25">
      <c r="I472">
        <f t="shared" si="7"/>
        <v>1900</v>
      </c>
    </row>
    <row r="473" spans="9:9" x14ac:dyDescent="0.25">
      <c r="I473">
        <f t="shared" si="7"/>
        <v>1900</v>
      </c>
    </row>
    <row r="474" spans="9:9" x14ac:dyDescent="0.25">
      <c r="I474">
        <f t="shared" si="7"/>
        <v>1900</v>
      </c>
    </row>
    <row r="475" spans="9:9" x14ac:dyDescent="0.25">
      <c r="I475">
        <f t="shared" si="7"/>
        <v>1900</v>
      </c>
    </row>
    <row r="476" spans="9:9" x14ac:dyDescent="0.25">
      <c r="I476">
        <f t="shared" si="7"/>
        <v>1900</v>
      </c>
    </row>
    <row r="477" spans="9:9" x14ac:dyDescent="0.25">
      <c r="I477">
        <f t="shared" si="7"/>
        <v>1900</v>
      </c>
    </row>
    <row r="478" spans="9:9" x14ac:dyDescent="0.25">
      <c r="I478">
        <f t="shared" si="7"/>
        <v>1900</v>
      </c>
    </row>
    <row r="479" spans="9:9" x14ac:dyDescent="0.25">
      <c r="I479">
        <f t="shared" si="7"/>
        <v>1900</v>
      </c>
    </row>
    <row r="480" spans="9:9" x14ac:dyDescent="0.25">
      <c r="I480">
        <f t="shared" si="7"/>
        <v>1900</v>
      </c>
    </row>
    <row r="481" spans="9:9" x14ac:dyDescent="0.25">
      <c r="I481">
        <f t="shared" si="7"/>
        <v>1900</v>
      </c>
    </row>
    <row r="482" spans="9:9" x14ac:dyDescent="0.25">
      <c r="I482">
        <f t="shared" si="7"/>
        <v>1900</v>
      </c>
    </row>
    <row r="483" spans="9:9" x14ac:dyDescent="0.25">
      <c r="I483">
        <f t="shared" si="7"/>
        <v>1900</v>
      </c>
    </row>
    <row r="484" spans="9:9" x14ac:dyDescent="0.25">
      <c r="I484">
        <f t="shared" si="7"/>
        <v>1900</v>
      </c>
    </row>
    <row r="485" spans="9:9" x14ac:dyDescent="0.25">
      <c r="I485">
        <f t="shared" si="7"/>
        <v>1900</v>
      </c>
    </row>
    <row r="486" spans="9:9" x14ac:dyDescent="0.25">
      <c r="I486">
        <f t="shared" si="7"/>
        <v>1900</v>
      </c>
    </row>
    <row r="487" spans="9:9" x14ac:dyDescent="0.25">
      <c r="I487">
        <f t="shared" si="7"/>
        <v>1900</v>
      </c>
    </row>
    <row r="488" spans="9:9" x14ac:dyDescent="0.25">
      <c r="I488">
        <f t="shared" si="7"/>
        <v>1900</v>
      </c>
    </row>
    <row r="489" spans="9:9" x14ac:dyDescent="0.25">
      <c r="I489">
        <f t="shared" si="7"/>
        <v>1900</v>
      </c>
    </row>
    <row r="490" spans="9:9" x14ac:dyDescent="0.25">
      <c r="I490">
        <f t="shared" si="7"/>
        <v>1900</v>
      </c>
    </row>
    <row r="491" spans="9:9" x14ac:dyDescent="0.25">
      <c r="I491">
        <f t="shared" si="7"/>
        <v>1900</v>
      </c>
    </row>
    <row r="492" spans="9:9" x14ac:dyDescent="0.25">
      <c r="I492">
        <f t="shared" si="7"/>
        <v>1900</v>
      </c>
    </row>
    <row r="493" spans="9:9" x14ac:dyDescent="0.25">
      <c r="I493">
        <f t="shared" si="7"/>
        <v>1900</v>
      </c>
    </row>
    <row r="494" spans="9:9" x14ac:dyDescent="0.25">
      <c r="I494">
        <f t="shared" si="7"/>
        <v>1900</v>
      </c>
    </row>
    <row r="495" spans="9:9" x14ac:dyDescent="0.25">
      <c r="I495">
        <f t="shared" si="7"/>
        <v>1900</v>
      </c>
    </row>
    <row r="496" spans="9:9" x14ac:dyDescent="0.25">
      <c r="I496">
        <f t="shared" si="7"/>
        <v>1900</v>
      </c>
    </row>
    <row r="497" spans="9:9" x14ac:dyDescent="0.25">
      <c r="I497">
        <f t="shared" si="7"/>
        <v>1900</v>
      </c>
    </row>
    <row r="498" spans="9:9" x14ac:dyDescent="0.25">
      <c r="I498">
        <f t="shared" si="7"/>
        <v>1900</v>
      </c>
    </row>
    <row r="499" spans="9:9" x14ac:dyDescent="0.25">
      <c r="I499">
        <f t="shared" si="7"/>
        <v>1900</v>
      </c>
    </row>
    <row r="500" spans="9:9" x14ac:dyDescent="0.25">
      <c r="I500">
        <f t="shared" si="7"/>
        <v>1900</v>
      </c>
    </row>
    <row r="501" spans="9:9" x14ac:dyDescent="0.25">
      <c r="I501">
        <f t="shared" si="7"/>
        <v>1900</v>
      </c>
    </row>
    <row r="502" spans="9:9" x14ac:dyDescent="0.25">
      <c r="I502">
        <f t="shared" si="7"/>
        <v>1900</v>
      </c>
    </row>
    <row r="503" spans="9:9" x14ac:dyDescent="0.25">
      <c r="I503">
        <f t="shared" si="7"/>
        <v>1900</v>
      </c>
    </row>
    <row r="504" spans="9:9" x14ac:dyDescent="0.25">
      <c r="I504">
        <f t="shared" si="7"/>
        <v>1900</v>
      </c>
    </row>
    <row r="505" spans="9:9" x14ac:dyDescent="0.25">
      <c r="I505">
        <f t="shared" si="7"/>
        <v>1900</v>
      </c>
    </row>
    <row r="506" spans="9:9" x14ac:dyDescent="0.25">
      <c r="I506">
        <f t="shared" si="7"/>
        <v>1900</v>
      </c>
    </row>
    <row r="507" spans="9:9" x14ac:dyDescent="0.25">
      <c r="I507">
        <f t="shared" si="7"/>
        <v>1900</v>
      </c>
    </row>
    <row r="508" spans="9:9" x14ac:dyDescent="0.25">
      <c r="I508">
        <f t="shared" si="7"/>
        <v>1900</v>
      </c>
    </row>
    <row r="509" spans="9:9" x14ac:dyDescent="0.25">
      <c r="I509">
        <f t="shared" si="7"/>
        <v>1900</v>
      </c>
    </row>
    <row r="510" spans="9:9" x14ac:dyDescent="0.25">
      <c r="I510">
        <f t="shared" si="7"/>
        <v>1900</v>
      </c>
    </row>
    <row r="511" spans="9:9" x14ac:dyDescent="0.25">
      <c r="I511">
        <f t="shared" si="7"/>
        <v>1900</v>
      </c>
    </row>
    <row r="512" spans="9:9" x14ac:dyDescent="0.25">
      <c r="I512">
        <f t="shared" si="7"/>
        <v>1900</v>
      </c>
    </row>
    <row r="513" spans="9:9" x14ac:dyDescent="0.25">
      <c r="I513">
        <f t="shared" si="7"/>
        <v>1900</v>
      </c>
    </row>
    <row r="514" spans="9:9" x14ac:dyDescent="0.25">
      <c r="I514">
        <f t="shared" si="7"/>
        <v>1900</v>
      </c>
    </row>
    <row r="515" spans="9:9" x14ac:dyDescent="0.25">
      <c r="I515">
        <f t="shared" si="7"/>
        <v>1900</v>
      </c>
    </row>
    <row r="516" spans="9:9" x14ac:dyDescent="0.25">
      <c r="I516">
        <f t="shared" ref="I516:I579" si="8">IFERROR(YEAR(E516),"")</f>
        <v>1900</v>
      </c>
    </row>
    <row r="517" spans="9:9" x14ac:dyDescent="0.25">
      <c r="I517">
        <f t="shared" si="8"/>
        <v>1900</v>
      </c>
    </row>
    <row r="518" spans="9:9" x14ac:dyDescent="0.25">
      <c r="I518">
        <f t="shared" si="8"/>
        <v>1900</v>
      </c>
    </row>
    <row r="519" spans="9:9" x14ac:dyDescent="0.25">
      <c r="I519">
        <f t="shared" si="8"/>
        <v>1900</v>
      </c>
    </row>
    <row r="520" spans="9:9" x14ac:dyDescent="0.25">
      <c r="I520">
        <f t="shared" si="8"/>
        <v>1900</v>
      </c>
    </row>
    <row r="521" spans="9:9" x14ac:dyDescent="0.25">
      <c r="I521">
        <f t="shared" si="8"/>
        <v>1900</v>
      </c>
    </row>
    <row r="522" spans="9:9" x14ac:dyDescent="0.25">
      <c r="I522">
        <f t="shared" si="8"/>
        <v>1900</v>
      </c>
    </row>
    <row r="523" spans="9:9" x14ac:dyDescent="0.25">
      <c r="I523">
        <f t="shared" si="8"/>
        <v>1900</v>
      </c>
    </row>
    <row r="524" spans="9:9" x14ac:dyDescent="0.25">
      <c r="I524">
        <f t="shared" si="8"/>
        <v>1900</v>
      </c>
    </row>
    <row r="525" spans="9:9" x14ac:dyDescent="0.25">
      <c r="I525">
        <f t="shared" si="8"/>
        <v>1900</v>
      </c>
    </row>
    <row r="526" spans="9:9" x14ac:dyDescent="0.25">
      <c r="I526">
        <f t="shared" si="8"/>
        <v>1900</v>
      </c>
    </row>
    <row r="527" spans="9:9" x14ac:dyDescent="0.25">
      <c r="I527">
        <f t="shared" si="8"/>
        <v>1900</v>
      </c>
    </row>
    <row r="528" spans="9:9" x14ac:dyDescent="0.25">
      <c r="I528">
        <f t="shared" si="8"/>
        <v>1900</v>
      </c>
    </row>
    <row r="529" spans="9:9" x14ac:dyDescent="0.25">
      <c r="I529">
        <f t="shared" si="8"/>
        <v>1900</v>
      </c>
    </row>
    <row r="530" spans="9:9" x14ac:dyDescent="0.25">
      <c r="I530">
        <f t="shared" si="8"/>
        <v>1900</v>
      </c>
    </row>
    <row r="531" spans="9:9" x14ac:dyDescent="0.25">
      <c r="I531">
        <f t="shared" si="8"/>
        <v>1900</v>
      </c>
    </row>
    <row r="532" spans="9:9" x14ac:dyDescent="0.25">
      <c r="I532">
        <f t="shared" si="8"/>
        <v>1900</v>
      </c>
    </row>
    <row r="533" spans="9:9" x14ac:dyDescent="0.25">
      <c r="I533">
        <f t="shared" si="8"/>
        <v>1900</v>
      </c>
    </row>
    <row r="534" spans="9:9" x14ac:dyDescent="0.25">
      <c r="I534">
        <f t="shared" si="8"/>
        <v>1900</v>
      </c>
    </row>
    <row r="535" spans="9:9" x14ac:dyDescent="0.25">
      <c r="I535">
        <f t="shared" si="8"/>
        <v>1900</v>
      </c>
    </row>
    <row r="536" spans="9:9" x14ac:dyDescent="0.25">
      <c r="I536">
        <f t="shared" si="8"/>
        <v>1900</v>
      </c>
    </row>
    <row r="537" spans="9:9" x14ac:dyDescent="0.25">
      <c r="I537">
        <f t="shared" si="8"/>
        <v>1900</v>
      </c>
    </row>
    <row r="538" spans="9:9" x14ac:dyDescent="0.25">
      <c r="I538">
        <f t="shared" si="8"/>
        <v>1900</v>
      </c>
    </row>
    <row r="539" spans="9:9" x14ac:dyDescent="0.25">
      <c r="I539">
        <f t="shared" si="8"/>
        <v>1900</v>
      </c>
    </row>
    <row r="540" spans="9:9" x14ac:dyDescent="0.25">
      <c r="I540">
        <f t="shared" si="8"/>
        <v>1900</v>
      </c>
    </row>
    <row r="541" spans="9:9" x14ac:dyDescent="0.25">
      <c r="I541">
        <f t="shared" si="8"/>
        <v>1900</v>
      </c>
    </row>
    <row r="542" spans="9:9" x14ac:dyDescent="0.25">
      <c r="I542">
        <f t="shared" si="8"/>
        <v>1900</v>
      </c>
    </row>
    <row r="543" spans="9:9" x14ac:dyDescent="0.25">
      <c r="I543">
        <f t="shared" si="8"/>
        <v>1900</v>
      </c>
    </row>
    <row r="544" spans="9:9" x14ac:dyDescent="0.25">
      <c r="I544">
        <f t="shared" si="8"/>
        <v>1900</v>
      </c>
    </row>
    <row r="545" spans="9:9" x14ac:dyDescent="0.25">
      <c r="I545">
        <f t="shared" si="8"/>
        <v>1900</v>
      </c>
    </row>
    <row r="546" spans="9:9" x14ac:dyDescent="0.25">
      <c r="I546">
        <f t="shared" si="8"/>
        <v>1900</v>
      </c>
    </row>
    <row r="547" spans="9:9" x14ac:dyDescent="0.25">
      <c r="I547">
        <f t="shared" si="8"/>
        <v>1900</v>
      </c>
    </row>
    <row r="548" spans="9:9" x14ac:dyDescent="0.25">
      <c r="I548">
        <f t="shared" si="8"/>
        <v>1900</v>
      </c>
    </row>
    <row r="549" spans="9:9" x14ac:dyDescent="0.25">
      <c r="I549">
        <f t="shared" si="8"/>
        <v>1900</v>
      </c>
    </row>
    <row r="550" spans="9:9" x14ac:dyDescent="0.25">
      <c r="I550">
        <f t="shared" si="8"/>
        <v>1900</v>
      </c>
    </row>
    <row r="551" spans="9:9" x14ac:dyDescent="0.25">
      <c r="I551">
        <f t="shared" si="8"/>
        <v>1900</v>
      </c>
    </row>
    <row r="552" spans="9:9" x14ac:dyDescent="0.25">
      <c r="I552">
        <f t="shared" si="8"/>
        <v>1900</v>
      </c>
    </row>
    <row r="553" spans="9:9" x14ac:dyDescent="0.25">
      <c r="I553">
        <f t="shared" si="8"/>
        <v>1900</v>
      </c>
    </row>
    <row r="554" spans="9:9" x14ac:dyDescent="0.25">
      <c r="I554">
        <f t="shared" si="8"/>
        <v>1900</v>
      </c>
    </row>
    <row r="555" spans="9:9" x14ac:dyDescent="0.25">
      <c r="I555">
        <f t="shared" si="8"/>
        <v>1900</v>
      </c>
    </row>
    <row r="556" spans="9:9" x14ac:dyDescent="0.25">
      <c r="I556">
        <f t="shared" si="8"/>
        <v>1900</v>
      </c>
    </row>
    <row r="557" spans="9:9" x14ac:dyDescent="0.25">
      <c r="I557">
        <f t="shared" si="8"/>
        <v>1900</v>
      </c>
    </row>
    <row r="558" spans="9:9" x14ac:dyDescent="0.25">
      <c r="I558">
        <f t="shared" si="8"/>
        <v>1900</v>
      </c>
    </row>
    <row r="559" spans="9:9" x14ac:dyDescent="0.25">
      <c r="I559">
        <f t="shared" si="8"/>
        <v>1900</v>
      </c>
    </row>
    <row r="560" spans="9:9" x14ac:dyDescent="0.25">
      <c r="I560">
        <f t="shared" si="8"/>
        <v>1900</v>
      </c>
    </row>
    <row r="561" spans="9:9" x14ac:dyDescent="0.25">
      <c r="I561">
        <f t="shared" si="8"/>
        <v>1900</v>
      </c>
    </row>
    <row r="562" spans="9:9" x14ac:dyDescent="0.25">
      <c r="I562">
        <f t="shared" si="8"/>
        <v>1900</v>
      </c>
    </row>
    <row r="563" spans="9:9" x14ac:dyDescent="0.25">
      <c r="I563">
        <f t="shared" si="8"/>
        <v>1900</v>
      </c>
    </row>
    <row r="564" spans="9:9" x14ac:dyDescent="0.25">
      <c r="I564">
        <f t="shared" si="8"/>
        <v>1900</v>
      </c>
    </row>
    <row r="565" spans="9:9" x14ac:dyDescent="0.25">
      <c r="I565">
        <f t="shared" si="8"/>
        <v>1900</v>
      </c>
    </row>
    <row r="566" spans="9:9" x14ac:dyDescent="0.25">
      <c r="I566">
        <f t="shared" si="8"/>
        <v>1900</v>
      </c>
    </row>
    <row r="567" spans="9:9" x14ac:dyDescent="0.25">
      <c r="I567">
        <f t="shared" si="8"/>
        <v>1900</v>
      </c>
    </row>
    <row r="568" spans="9:9" x14ac:dyDescent="0.25">
      <c r="I568">
        <f t="shared" si="8"/>
        <v>1900</v>
      </c>
    </row>
    <row r="569" spans="9:9" x14ac:dyDescent="0.25">
      <c r="I569">
        <f t="shared" si="8"/>
        <v>1900</v>
      </c>
    </row>
    <row r="570" spans="9:9" x14ac:dyDescent="0.25">
      <c r="I570">
        <f t="shared" si="8"/>
        <v>1900</v>
      </c>
    </row>
    <row r="571" spans="9:9" x14ac:dyDescent="0.25">
      <c r="I571">
        <f t="shared" si="8"/>
        <v>1900</v>
      </c>
    </row>
    <row r="572" spans="9:9" x14ac:dyDescent="0.25">
      <c r="I572">
        <f t="shared" si="8"/>
        <v>1900</v>
      </c>
    </row>
    <row r="573" spans="9:9" x14ac:dyDescent="0.25">
      <c r="I573">
        <f t="shared" si="8"/>
        <v>1900</v>
      </c>
    </row>
    <row r="574" spans="9:9" x14ac:dyDescent="0.25">
      <c r="I574">
        <f t="shared" si="8"/>
        <v>1900</v>
      </c>
    </row>
    <row r="575" spans="9:9" x14ac:dyDescent="0.25">
      <c r="I575">
        <f t="shared" si="8"/>
        <v>1900</v>
      </c>
    </row>
    <row r="576" spans="9:9" x14ac:dyDescent="0.25">
      <c r="I576">
        <f t="shared" si="8"/>
        <v>1900</v>
      </c>
    </row>
    <row r="577" spans="9:9" x14ac:dyDescent="0.25">
      <c r="I577">
        <f t="shared" si="8"/>
        <v>1900</v>
      </c>
    </row>
    <row r="578" spans="9:9" x14ac:dyDescent="0.25">
      <c r="I578">
        <f t="shared" si="8"/>
        <v>1900</v>
      </c>
    </row>
    <row r="579" spans="9:9" x14ac:dyDescent="0.25">
      <c r="I579">
        <f t="shared" si="8"/>
        <v>1900</v>
      </c>
    </row>
    <row r="580" spans="9:9" x14ac:dyDescent="0.25">
      <c r="I580">
        <f t="shared" ref="I580:I643" si="9">IFERROR(YEAR(E580),"")</f>
        <v>1900</v>
      </c>
    </row>
    <row r="581" spans="9:9" x14ac:dyDescent="0.25">
      <c r="I581">
        <f t="shared" si="9"/>
        <v>1900</v>
      </c>
    </row>
    <row r="582" spans="9:9" x14ac:dyDescent="0.25">
      <c r="I582">
        <f t="shared" si="9"/>
        <v>1900</v>
      </c>
    </row>
    <row r="583" spans="9:9" x14ac:dyDescent="0.25">
      <c r="I583">
        <f t="shared" si="9"/>
        <v>1900</v>
      </c>
    </row>
    <row r="584" spans="9:9" x14ac:dyDescent="0.25">
      <c r="I584">
        <f t="shared" si="9"/>
        <v>1900</v>
      </c>
    </row>
    <row r="585" spans="9:9" x14ac:dyDescent="0.25">
      <c r="I585">
        <f t="shared" si="9"/>
        <v>1900</v>
      </c>
    </row>
    <row r="586" spans="9:9" x14ac:dyDescent="0.25">
      <c r="I586">
        <f t="shared" si="9"/>
        <v>1900</v>
      </c>
    </row>
    <row r="587" spans="9:9" x14ac:dyDescent="0.25">
      <c r="I587">
        <f t="shared" si="9"/>
        <v>1900</v>
      </c>
    </row>
    <row r="588" spans="9:9" x14ac:dyDescent="0.25">
      <c r="I588">
        <f t="shared" si="9"/>
        <v>1900</v>
      </c>
    </row>
    <row r="589" spans="9:9" x14ac:dyDescent="0.25">
      <c r="I589">
        <f t="shared" si="9"/>
        <v>1900</v>
      </c>
    </row>
    <row r="590" spans="9:9" x14ac:dyDescent="0.25">
      <c r="I590">
        <f t="shared" si="9"/>
        <v>1900</v>
      </c>
    </row>
    <row r="591" spans="9:9" x14ac:dyDescent="0.25">
      <c r="I591">
        <f t="shared" si="9"/>
        <v>1900</v>
      </c>
    </row>
    <row r="592" spans="9:9" x14ac:dyDescent="0.25">
      <c r="I592">
        <f t="shared" si="9"/>
        <v>1900</v>
      </c>
    </row>
    <row r="593" spans="9:9" x14ac:dyDescent="0.25">
      <c r="I593">
        <f t="shared" si="9"/>
        <v>1900</v>
      </c>
    </row>
    <row r="594" spans="9:9" x14ac:dyDescent="0.25">
      <c r="I594">
        <f t="shared" si="9"/>
        <v>1900</v>
      </c>
    </row>
    <row r="595" spans="9:9" x14ac:dyDescent="0.25">
      <c r="I595">
        <f t="shared" si="9"/>
        <v>1900</v>
      </c>
    </row>
    <row r="596" spans="9:9" x14ac:dyDescent="0.25">
      <c r="I596">
        <f t="shared" si="9"/>
        <v>1900</v>
      </c>
    </row>
    <row r="597" spans="9:9" x14ac:dyDescent="0.25">
      <c r="I597">
        <f t="shared" si="9"/>
        <v>1900</v>
      </c>
    </row>
    <row r="598" spans="9:9" x14ac:dyDescent="0.25">
      <c r="I598">
        <f t="shared" si="9"/>
        <v>1900</v>
      </c>
    </row>
    <row r="599" spans="9:9" x14ac:dyDescent="0.25">
      <c r="I599">
        <f t="shared" si="9"/>
        <v>1900</v>
      </c>
    </row>
    <row r="600" spans="9:9" x14ac:dyDescent="0.25">
      <c r="I600">
        <f t="shared" si="9"/>
        <v>1900</v>
      </c>
    </row>
    <row r="601" spans="9:9" x14ac:dyDescent="0.25">
      <c r="I601">
        <f t="shared" si="9"/>
        <v>1900</v>
      </c>
    </row>
    <row r="602" spans="9:9" x14ac:dyDescent="0.25">
      <c r="I602">
        <f t="shared" si="9"/>
        <v>1900</v>
      </c>
    </row>
    <row r="603" spans="9:9" x14ac:dyDescent="0.25">
      <c r="I603">
        <f t="shared" si="9"/>
        <v>1900</v>
      </c>
    </row>
    <row r="604" spans="9:9" x14ac:dyDescent="0.25">
      <c r="I604">
        <f t="shared" si="9"/>
        <v>1900</v>
      </c>
    </row>
    <row r="605" spans="9:9" x14ac:dyDescent="0.25">
      <c r="I605">
        <f t="shared" si="9"/>
        <v>1900</v>
      </c>
    </row>
    <row r="606" spans="9:9" x14ac:dyDescent="0.25">
      <c r="I606">
        <f t="shared" si="9"/>
        <v>1900</v>
      </c>
    </row>
    <row r="607" spans="9:9" x14ac:dyDescent="0.25">
      <c r="I607">
        <f t="shared" si="9"/>
        <v>1900</v>
      </c>
    </row>
    <row r="608" spans="9:9" x14ac:dyDescent="0.25">
      <c r="I608">
        <f t="shared" si="9"/>
        <v>1900</v>
      </c>
    </row>
    <row r="609" spans="9:9" x14ac:dyDescent="0.25">
      <c r="I609">
        <f t="shared" si="9"/>
        <v>1900</v>
      </c>
    </row>
    <row r="610" spans="9:9" x14ac:dyDescent="0.25">
      <c r="I610">
        <f t="shared" si="9"/>
        <v>1900</v>
      </c>
    </row>
    <row r="611" spans="9:9" x14ac:dyDescent="0.25">
      <c r="I611">
        <f t="shared" si="9"/>
        <v>1900</v>
      </c>
    </row>
    <row r="612" spans="9:9" x14ac:dyDescent="0.25">
      <c r="I612">
        <f t="shared" si="9"/>
        <v>1900</v>
      </c>
    </row>
    <row r="613" spans="9:9" x14ac:dyDescent="0.25">
      <c r="I613">
        <f t="shared" si="9"/>
        <v>1900</v>
      </c>
    </row>
    <row r="614" spans="9:9" x14ac:dyDescent="0.25">
      <c r="I614">
        <f t="shared" si="9"/>
        <v>1900</v>
      </c>
    </row>
    <row r="615" spans="9:9" x14ac:dyDescent="0.25">
      <c r="I615">
        <f t="shared" si="9"/>
        <v>1900</v>
      </c>
    </row>
    <row r="616" spans="9:9" x14ac:dyDescent="0.25">
      <c r="I616">
        <f t="shared" si="9"/>
        <v>1900</v>
      </c>
    </row>
    <row r="617" spans="9:9" x14ac:dyDescent="0.25">
      <c r="I617">
        <f t="shared" si="9"/>
        <v>1900</v>
      </c>
    </row>
    <row r="618" spans="9:9" x14ac:dyDescent="0.25">
      <c r="I618">
        <f t="shared" si="9"/>
        <v>1900</v>
      </c>
    </row>
    <row r="619" spans="9:9" x14ac:dyDescent="0.25">
      <c r="I619">
        <f t="shared" si="9"/>
        <v>1900</v>
      </c>
    </row>
    <row r="620" spans="9:9" x14ac:dyDescent="0.25">
      <c r="I620">
        <f t="shared" si="9"/>
        <v>1900</v>
      </c>
    </row>
    <row r="621" spans="9:9" x14ac:dyDescent="0.25">
      <c r="I621">
        <f t="shared" si="9"/>
        <v>1900</v>
      </c>
    </row>
    <row r="622" spans="9:9" x14ac:dyDescent="0.25">
      <c r="I622">
        <f t="shared" si="9"/>
        <v>1900</v>
      </c>
    </row>
    <row r="623" spans="9:9" x14ac:dyDescent="0.25">
      <c r="I623">
        <f t="shared" si="9"/>
        <v>1900</v>
      </c>
    </row>
    <row r="624" spans="9:9" x14ac:dyDescent="0.25">
      <c r="I624">
        <f t="shared" si="9"/>
        <v>1900</v>
      </c>
    </row>
    <row r="625" spans="9:9" x14ac:dyDescent="0.25">
      <c r="I625">
        <f t="shared" si="9"/>
        <v>1900</v>
      </c>
    </row>
    <row r="626" spans="9:9" x14ac:dyDescent="0.25">
      <c r="I626">
        <f t="shared" si="9"/>
        <v>1900</v>
      </c>
    </row>
    <row r="627" spans="9:9" x14ac:dyDescent="0.25">
      <c r="I627">
        <f t="shared" si="9"/>
        <v>1900</v>
      </c>
    </row>
    <row r="628" spans="9:9" x14ac:dyDescent="0.25">
      <c r="I628">
        <f t="shared" si="9"/>
        <v>1900</v>
      </c>
    </row>
    <row r="629" spans="9:9" x14ac:dyDescent="0.25">
      <c r="I629">
        <f t="shared" si="9"/>
        <v>1900</v>
      </c>
    </row>
    <row r="630" spans="9:9" x14ac:dyDescent="0.25">
      <c r="I630">
        <f t="shared" si="9"/>
        <v>1900</v>
      </c>
    </row>
    <row r="631" spans="9:9" x14ac:dyDescent="0.25">
      <c r="I631">
        <f t="shared" si="9"/>
        <v>1900</v>
      </c>
    </row>
    <row r="632" spans="9:9" x14ac:dyDescent="0.25">
      <c r="I632">
        <f t="shared" si="9"/>
        <v>1900</v>
      </c>
    </row>
    <row r="633" spans="9:9" x14ac:dyDescent="0.25">
      <c r="I633">
        <f t="shared" si="9"/>
        <v>1900</v>
      </c>
    </row>
    <row r="634" spans="9:9" x14ac:dyDescent="0.25">
      <c r="I634">
        <f t="shared" si="9"/>
        <v>1900</v>
      </c>
    </row>
    <row r="635" spans="9:9" x14ac:dyDescent="0.25">
      <c r="I635">
        <f t="shared" si="9"/>
        <v>1900</v>
      </c>
    </row>
    <row r="636" spans="9:9" x14ac:dyDescent="0.25">
      <c r="I636">
        <f t="shared" si="9"/>
        <v>1900</v>
      </c>
    </row>
    <row r="637" spans="9:9" x14ac:dyDescent="0.25">
      <c r="I637">
        <f t="shared" si="9"/>
        <v>1900</v>
      </c>
    </row>
    <row r="638" spans="9:9" x14ac:dyDescent="0.25">
      <c r="I638">
        <f t="shared" si="9"/>
        <v>1900</v>
      </c>
    </row>
    <row r="639" spans="9:9" x14ac:dyDescent="0.25">
      <c r="I639">
        <f t="shared" si="9"/>
        <v>1900</v>
      </c>
    </row>
    <row r="640" spans="9:9" x14ac:dyDescent="0.25">
      <c r="I640">
        <f t="shared" si="9"/>
        <v>1900</v>
      </c>
    </row>
    <row r="641" spans="9:9" x14ac:dyDescent="0.25">
      <c r="I641">
        <f t="shared" si="9"/>
        <v>1900</v>
      </c>
    </row>
    <row r="642" spans="9:9" x14ac:dyDescent="0.25">
      <c r="I642">
        <f t="shared" si="9"/>
        <v>1900</v>
      </c>
    </row>
    <row r="643" spans="9:9" x14ac:dyDescent="0.25">
      <c r="I643">
        <f t="shared" si="9"/>
        <v>1900</v>
      </c>
    </row>
    <row r="644" spans="9:9" x14ac:dyDescent="0.25">
      <c r="I644">
        <f t="shared" ref="I644:I707" si="10">IFERROR(YEAR(E644),"")</f>
        <v>1900</v>
      </c>
    </row>
    <row r="645" spans="9:9" x14ac:dyDescent="0.25">
      <c r="I645">
        <f t="shared" si="10"/>
        <v>1900</v>
      </c>
    </row>
    <row r="646" spans="9:9" x14ac:dyDescent="0.25">
      <c r="I646">
        <f t="shared" si="10"/>
        <v>1900</v>
      </c>
    </row>
    <row r="647" spans="9:9" x14ac:dyDescent="0.25">
      <c r="I647">
        <f t="shared" si="10"/>
        <v>1900</v>
      </c>
    </row>
    <row r="648" spans="9:9" x14ac:dyDescent="0.25">
      <c r="I648">
        <f t="shared" si="10"/>
        <v>1900</v>
      </c>
    </row>
    <row r="649" spans="9:9" x14ac:dyDescent="0.25">
      <c r="I649">
        <f t="shared" si="10"/>
        <v>1900</v>
      </c>
    </row>
    <row r="650" spans="9:9" x14ac:dyDescent="0.25">
      <c r="I650">
        <f t="shared" si="10"/>
        <v>1900</v>
      </c>
    </row>
    <row r="651" spans="9:9" x14ac:dyDescent="0.25">
      <c r="I651">
        <f t="shared" si="10"/>
        <v>1900</v>
      </c>
    </row>
    <row r="652" spans="9:9" x14ac:dyDescent="0.25">
      <c r="I652">
        <f t="shared" si="10"/>
        <v>1900</v>
      </c>
    </row>
    <row r="653" spans="9:9" x14ac:dyDescent="0.25">
      <c r="I653">
        <f t="shared" si="10"/>
        <v>1900</v>
      </c>
    </row>
    <row r="654" spans="9:9" x14ac:dyDescent="0.25">
      <c r="I654">
        <f t="shared" si="10"/>
        <v>1900</v>
      </c>
    </row>
    <row r="655" spans="9:9" x14ac:dyDescent="0.25">
      <c r="I655">
        <f t="shared" si="10"/>
        <v>1900</v>
      </c>
    </row>
    <row r="656" spans="9:9" x14ac:dyDescent="0.25">
      <c r="I656">
        <f t="shared" si="10"/>
        <v>1900</v>
      </c>
    </row>
    <row r="657" spans="9:9" x14ac:dyDescent="0.25">
      <c r="I657">
        <f t="shared" si="10"/>
        <v>1900</v>
      </c>
    </row>
    <row r="658" spans="9:9" x14ac:dyDescent="0.25">
      <c r="I658">
        <f t="shared" si="10"/>
        <v>1900</v>
      </c>
    </row>
    <row r="659" spans="9:9" x14ac:dyDescent="0.25">
      <c r="I659">
        <f t="shared" si="10"/>
        <v>1900</v>
      </c>
    </row>
    <row r="660" spans="9:9" x14ac:dyDescent="0.25">
      <c r="I660">
        <f t="shared" si="10"/>
        <v>1900</v>
      </c>
    </row>
    <row r="661" spans="9:9" x14ac:dyDescent="0.25">
      <c r="I661">
        <f t="shared" si="10"/>
        <v>1900</v>
      </c>
    </row>
    <row r="662" spans="9:9" x14ac:dyDescent="0.25">
      <c r="I662">
        <f t="shared" si="10"/>
        <v>1900</v>
      </c>
    </row>
    <row r="663" spans="9:9" x14ac:dyDescent="0.25">
      <c r="I663">
        <f t="shared" si="10"/>
        <v>1900</v>
      </c>
    </row>
    <row r="664" spans="9:9" x14ac:dyDescent="0.25">
      <c r="I664">
        <f t="shared" si="10"/>
        <v>1900</v>
      </c>
    </row>
    <row r="665" spans="9:9" x14ac:dyDescent="0.25">
      <c r="I665">
        <f t="shared" si="10"/>
        <v>1900</v>
      </c>
    </row>
    <row r="666" spans="9:9" x14ac:dyDescent="0.25">
      <c r="I666">
        <f t="shared" si="10"/>
        <v>1900</v>
      </c>
    </row>
    <row r="667" spans="9:9" x14ac:dyDescent="0.25">
      <c r="I667">
        <f t="shared" si="10"/>
        <v>1900</v>
      </c>
    </row>
    <row r="668" spans="9:9" x14ac:dyDescent="0.25">
      <c r="I668">
        <f t="shared" si="10"/>
        <v>1900</v>
      </c>
    </row>
    <row r="669" spans="9:9" x14ac:dyDescent="0.25">
      <c r="I669">
        <f t="shared" si="10"/>
        <v>1900</v>
      </c>
    </row>
    <row r="670" spans="9:9" x14ac:dyDescent="0.25">
      <c r="I670">
        <f t="shared" si="10"/>
        <v>1900</v>
      </c>
    </row>
    <row r="671" spans="9:9" x14ac:dyDescent="0.25">
      <c r="I671">
        <f t="shared" si="10"/>
        <v>1900</v>
      </c>
    </row>
    <row r="672" spans="9:9" x14ac:dyDescent="0.25">
      <c r="I672">
        <f t="shared" si="10"/>
        <v>1900</v>
      </c>
    </row>
    <row r="673" spans="9:9" x14ac:dyDescent="0.25">
      <c r="I673">
        <f t="shared" si="10"/>
        <v>1900</v>
      </c>
    </row>
    <row r="674" spans="9:9" x14ac:dyDescent="0.25">
      <c r="I674">
        <f t="shared" si="10"/>
        <v>1900</v>
      </c>
    </row>
    <row r="675" spans="9:9" x14ac:dyDescent="0.25">
      <c r="I675">
        <f t="shared" si="10"/>
        <v>1900</v>
      </c>
    </row>
    <row r="676" spans="9:9" x14ac:dyDescent="0.25">
      <c r="I676">
        <f t="shared" si="10"/>
        <v>1900</v>
      </c>
    </row>
    <row r="677" spans="9:9" x14ac:dyDescent="0.25">
      <c r="I677">
        <f t="shared" si="10"/>
        <v>1900</v>
      </c>
    </row>
    <row r="678" spans="9:9" x14ac:dyDescent="0.25">
      <c r="I678">
        <f t="shared" si="10"/>
        <v>1900</v>
      </c>
    </row>
    <row r="679" spans="9:9" x14ac:dyDescent="0.25">
      <c r="I679">
        <f t="shared" si="10"/>
        <v>1900</v>
      </c>
    </row>
    <row r="680" spans="9:9" x14ac:dyDescent="0.25">
      <c r="I680">
        <f t="shared" si="10"/>
        <v>1900</v>
      </c>
    </row>
    <row r="681" spans="9:9" x14ac:dyDescent="0.25">
      <c r="I681">
        <f t="shared" si="10"/>
        <v>1900</v>
      </c>
    </row>
    <row r="682" spans="9:9" x14ac:dyDescent="0.25">
      <c r="I682">
        <f t="shared" si="10"/>
        <v>1900</v>
      </c>
    </row>
    <row r="683" spans="9:9" x14ac:dyDescent="0.25">
      <c r="I683">
        <f t="shared" si="10"/>
        <v>1900</v>
      </c>
    </row>
    <row r="684" spans="9:9" x14ac:dyDescent="0.25">
      <c r="I684">
        <f t="shared" si="10"/>
        <v>1900</v>
      </c>
    </row>
    <row r="685" spans="9:9" x14ac:dyDescent="0.25">
      <c r="I685">
        <f t="shared" si="10"/>
        <v>1900</v>
      </c>
    </row>
    <row r="686" spans="9:9" x14ac:dyDescent="0.25">
      <c r="I686">
        <f t="shared" si="10"/>
        <v>1900</v>
      </c>
    </row>
    <row r="687" spans="9:9" x14ac:dyDescent="0.25">
      <c r="I687">
        <f t="shared" si="10"/>
        <v>1900</v>
      </c>
    </row>
    <row r="688" spans="9:9" x14ac:dyDescent="0.25">
      <c r="I688">
        <f t="shared" si="10"/>
        <v>1900</v>
      </c>
    </row>
    <row r="689" spans="9:9" x14ac:dyDescent="0.25">
      <c r="I689">
        <f t="shared" si="10"/>
        <v>1900</v>
      </c>
    </row>
    <row r="690" spans="9:9" x14ac:dyDescent="0.25">
      <c r="I690">
        <f t="shared" si="10"/>
        <v>1900</v>
      </c>
    </row>
    <row r="691" spans="9:9" x14ac:dyDescent="0.25">
      <c r="I691">
        <f t="shared" si="10"/>
        <v>1900</v>
      </c>
    </row>
    <row r="692" spans="9:9" x14ac:dyDescent="0.25">
      <c r="I692">
        <f t="shared" si="10"/>
        <v>1900</v>
      </c>
    </row>
    <row r="693" spans="9:9" x14ac:dyDescent="0.25">
      <c r="I693">
        <f t="shared" si="10"/>
        <v>1900</v>
      </c>
    </row>
    <row r="694" spans="9:9" x14ac:dyDescent="0.25">
      <c r="I694">
        <f t="shared" si="10"/>
        <v>1900</v>
      </c>
    </row>
    <row r="695" spans="9:9" x14ac:dyDescent="0.25">
      <c r="I695">
        <f t="shared" si="10"/>
        <v>1900</v>
      </c>
    </row>
    <row r="696" spans="9:9" x14ac:dyDescent="0.25">
      <c r="I696">
        <f t="shared" si="10"/>
        <v>1900</v>
      </c>
    </row>
    <row r="697" spans="9:9" x14ac:dyDescent="0.25">
      <c r="I697">
        <f t="shared" si="10"/>
        <v>1900</v>
      </c>
    </row>
    <row r="698" spans="9:9" x14ac:dyDescent="0.25">
      <c r="I698">
        <f t="shared" si="10"/>
        <v>1900</v>
      </c>
    </row>
    <row r="699" spans="9:9" x14ac:dyDescent="0.25">
      <c r="I699">
        <f t="shared" si="10"/>
        <v>1900</v>
      </c>
    </row>
    <row r="700" spans="9:9" x14ac:dyDescent="0.25">
      <c r="I700">
        <f t="shared" si="10"/>
        <v>1900</v>
      </c>
    </row>
    <row r="701" spans="9:9" x14ac:dyDescent="0.25">
      <c r="I701">
        <f t="shared" si="10"/>
        <v>1900</v>
      </c>
    </row>
    <row r="702" spans="9:9" x14ac:dyDescent="0.25">
      <c r="I702">
        <f t="shared" si="10"/>
        <v>1900</v>
      </c>
    </row>
    <row r="703" spans="9:9" x14ac:dyDescent="0.25">
      <c r="I703">
        <f t="shared" si="10"/>
        <v>1900</v>
      </c>
    </row>
    <row r="704" spans="9:9" x14ac:dyDescent="0.25">
      <c r="I704">
        <f t="shared" si="10"/>
        <v>1900</v>
      </c>
    </row>
    <row r="705" spans="9:9" x14ac:dyDescent="0.25">
      <c r="I705">
        <f t="shared" si="10"/>
        <v>1900</v>
      </c>
    </row>
    <row r="706" spans="9:9" x14ac:dyDescent="0.25">
      <c r="I706">
        <f t="shared" si="10"/>
        <v>1900</v>
      </c>
    </row>
    <row r="707" spans="9:9" x14ac:dyDescent="0.25">
      <c r="I707">
        <f t="shared" si="10"/>
        <v>1900</v>
      </c>
    </row>
    <row r="708" spans="9:9" x14ac:dyDescent="0.25">
      <c r="I708">
        <f t="shared" ref="I708:I771" si="11">IFERROR(YEAR(E708),"")</f>
        <v>1900</v>
      </c>
    </row>
    <row r="709" spans="9:9" x14ac:dyDescent="0.25">
      <c r="I709">
        <f t="shared" si="11"/>
        <v>1900</v>
      </c>
    </row>
    <row r="710" spans="9:9" x14ac:dyDescent="0.25">
      <c r="I710">
        <f t="shared" si="11"/>
        <v>1900</v>
      </c>
    </row>
    <row r="711" spans="9:9" x14ac:dyDescent="0.25">
      <c r="I711">
        <f t="shared" si="11"/>
        <v>1900</v>
      </c>
    </row>
    <row r="712" spans="9:9" x14ac:dyDescent="0.25">
      <c r="I712">
        <f t="shared" si="11"/>
        <v>1900</v>
      </c>
    </row>
    <row r="713" spans="9:9" x14ac:dyDescent="0.25">
      <c r="I713">
        <f t="shared" si="11"/>
        <v>1900</v>
      </c>
    </row>
    <row r="714" spans="9:9" x14ac:dyDescent="0.25">
      <c r="I714">
        <f t="shared" si="11"/>
        <v>1900</v>
      </c>
    </row>
    <row r="715" spans="9:9" x14ac:dyDescent="0.25">
      <c r="I715">
        <f t="shared" si="11"/>
        <v>1900</v>
      </c>
    </row>
    <row r="716" spans="9:9" x14ac:dyDescent="0.25">
      <c r="I716">
        <f t="shared" si="11"/>
        <v>1900</v>
      </c>
    </row>
    <row r="717" spans="9:9" x14ac:dyDescent="0.25">
      <c r="I717">
        <f t="shared" si="11"/>
        <v>1900</v>
      </c>
    </row>
    <row r="718" spans="9:9" x14ac:dyDescent="0.25">
      <c r="I718">
        <f t="shared" si="11"/>
        <v>1900</v>
      </c>
    </row>
    <row r="719" spans="9:9" x14ac:dyDescent="0.25">
      <c r="I719">
        <f t="shared" si="11"/>
        <v>1900</v>
      </c>
    </row>
    <row r="720" spans="9:9" x14ac:dyDescent="0.25">
      <c r="I720">
        <f t="shared" si="11"/>
        <v>1900</v>
      </c>
    </row>
    <row r="721" spans="9:9" x14ac:dyDescent="0.25">
      <c r="I721">
        <f t="shared" si="11"/>
        <v>1900</v>
      </c>
    </row>
    <row r="722" spans="9:9" x14ac:dyDescent="0.25">
      <c r="I722">
        <f t="shared" si="11"/>
        <v>1900</v>
      </c>
    </row>
    <row r="723" spans="9:9" x14ac:dyDescent="0.25">
      <c r="I723">
        <f t="shared" si="11"/>
        <v>1900</v>
      </c>
    </row>
    <row r="724" spans="9:9" x14ac:dyDescent="0.25">
      <c r="I724">
        <f t="shared" si="11"/>
        <v>1900</v>
      </c>
    </row>
    <row r="725" spans="9:9" x14ac:dyDescent="0.25">
      <c r="I725">
        <f t="shared" si="11"/>
        <v>1900</v>
      </c>
    </row>
    <row r="726" spans="9:9" x14ac:dyDescent="0.25">
      <c r="I726">
        <f t="shared" si="11"/>
        <v>1900</v>
      </c>
    </row>
    <row r="727" spans="9:9" x14ac:dyDescent="0.25">
      <c r="I727">
        <f t="shared" si="11"/>
        <v>1900</v>
      </c>
    </row>
    <row r="728" spans="9:9" x14ac:dyDescent="0.25">
      <c r="I728">
        <f t="shared" si="11"/>
        <v>1900</v>
      </c>
    </row>
    <row r="729" spans="9:9" x14ac:dyDescent="0.25">
      <c r="I729">
        <f t="shared" si="11"/>
        <v>1900</v>
      </c>
    </row>
    <row r="730" spans="9:9" x14ac:dyDescent="0.25">
      <c r="I730">
        <f t="shared" si="11"/>
        <v>1900</v>
      </c>
    </row>
    <row r="731" spans="9:9" x14ac:dyDescent="0.25">
      <c r="I731">
        <f t="shared" si="11"/>
        <v>1900</v>
      </c>
    </row>
    <row r="732" spans="9:9" x14ac:dyDescent="0.25">
      <c r="I732">
        <f t="shared" si="11"/>
        <v>1900</v>
      </c>
    </row>
    <row r="733" spans="9:9" x14ac:dyDescent="0.25">
      <c r="I733">
        <f t="shared" si="11"/>
        <v>1900</v>
      </c>
    </row>
    <row r="734" spans="9:9" x14ac:dyDescent="0.25">
      <c r="I734">
        <f t="shared" si="11"/>
        <v>1900</v>
      </c>
    </row>
    <row r="735" spans="9:9" x14ac:dyDescent="0.25">
      <c r="I735">
        <f t="shared" si="11"/>
        <v>1900</v>
      </c>
    </row>
    <row r="736" spans="9:9" x14ac:dyDescent="0.25">
      <c r="I736">
        <f t="shared" si="11"/>
        <v>1900</v>
      </c>
    </row>
    <row r="737" spans="9:9" x14ac:dyDescent="0.25">
      <c r="I737">
        <f t="shared" si="11"/>
        <v>1900</v>
      </c>
    </row>
    <row r="738" spans="9:9" x14ac:dyDescent="0.25">
      <c r="I738">
        <f t="shared" si="11"/>
        <v>1900</v>
      </c>
    </row>
    <row r="739" spans="9:9" x14ac:dyDescent="0.25">
      <c r="I739">
        <f t="shared" si="11"/>
        <v>1900</v>
      </c>
    </row>
    <row r="740" spans="9:9" x14ac:dyDescent="0.25">
      <c r="I740">
        <f t="shared" si="11"/>
        <v>1900</v>
      </c>
    </row>
    <row r="741" spans="9:9" x14ac:dyDescent="0.25">
      <c r="I741">
        <f t="shared" si="11"/>
        <v>1900</v>
      </c>
    </row>
    <row r="742" spans="9:9" x14ac:dyDescent="0.25">
      <c r="I742">
        <f t="shared" si="11"/>
        <v>1900</v>
      </c>
    </row>
    <row r="743" spans="9:9" x14ac:dyDescent="0.25">
      <c r="I743">
        <f t="shared" si="11"/>
        <v>1900</v>
      </c>
    </row>
    <row r="744" spans="9:9" x14ac:dyDescent="0.25">
      <c r="I744">
        <f t="shared" si="11"/>
        <v>1900</v>
      </c>
    </row>
    <row r="745" spans="9:9" x14ac:dyDescent="0.25">
      <c r="I745">
        <f t="shared" si="11"/>
        <v>1900</v>
      </c>
    </row>
    <row r="746" spans="9:9" x14ac:dyDescent="0.25">
      <c r="I746">
        <f t="shared" si="11"/>
        <v>1900</v>
      </c>
    </row>
    <row r="747" spans="9:9" x14ac:dyDescent="0.25">
      <c r="I747">
        <f t="shared" si="11"/>
        <v>1900</v>
      </c>
    </row>
    <row r="748" spans="9:9" x14ac:dyDescent="0.25">
      <c r="I748">
        <f t="shared" si="11"/>
        <v>1900</v>
      </c>
    </row>
    <row r="749" spans="9:9" x14ac:dyDescent="0.25">
      <c r="I749">
        <f t="shared" si="11"/>
        <v>1900</v>
      </c>
    </row>
    <row r="750" spans="9:9" x14ac:dyDescent="0.25">
      <c r="I750">
        <f t="shared" si="11"/>
        <v>1900</v>
      </c>
    </row>
    <row r="751" spans="9:9" x14ac:dyDescent="0.25">
      <c r="I751">
        <f t="shared" si="11"/>
        <v>1900</v>
      </c>
    </row>
    <row r="752" spans="9:9" x14ac:dyDescent="0.25">
      <c r="I752">
        <f t="shared" si="11"/>
        <v>1900</v>
      </c>
    </row>
    <row r="753" spans="9:9" x14ac:dyDescent="0.25">
      <c r="I753">
        <f t="shared" si="11"/>
        <v>1900</v>
      </c>
    </row>
    <row r="754" spans="9:9" x14ac:dyDescent="0.25">
      <c r="I754">
        <f t="shared" si="11"/>
        <v>1900</v>
      </c>
    </row>
    <row r="755" spans="9:9" x14ac:dyDescent="0.25">
      <c r="I755">
        <f t="shared" si="11"/>
        <v>1900</v>
      </c>
    </row>
    <row r="756" spans="9:9" x14ac:dyDescent="0.25">
      <c r="I756">
        <f t="shared" si="11"/>
        <v>1900</v>
      </c>
    </row>
    <row r="757" spans="9:9" x14ac:dyDescent="0.25">
      <c r="I757">
        <f t="shared" si="11"/>
        <v>1900</v>
      </c>
    </row>
    <row r="758" spans="9:9" x14ac:dyDescent="0.25">
      <c r="I758">
        <f t="shared" si="11"/>
        <v>1900</v>
      </c>
    </row>
    <row r="759" spans="9:9" x14ac:dyDescent="0.25">
      <c r="I759">
        <f t="shared" si="11"/>
        <v>1900</v>
      </c>
    </row>
    <row r="760" spans="9:9" x14ac:dyDescent="0.25">
      <c r="I760">
        <f t="shared" si="11"/>
        <v>1900</v>
      </c>
    </row>
    <row r="761" spans="9:9" x14ac:dyDescent="0.25">
      <c r="I761">
        <f t="shared" si="11"/>
        <v>1900</v>
      </c>
    </row>
    <row r="762" spans="9:9" x14ac:dyDescent="0.25">
      <c r="I762">
        <f t="shared" si="11"/>
        <v>1900</v>
      </c>
    </row>
    <row r="763" spans="9:9" x14ac:dyDescent="0.25">
      <c r="I763">
        <f t="shared" si="11"/>
        <v>1900</v>
      </c>
    </row>
    <row r="764" spans="9:9" x14ac:dyDescent="0.25">
      <c r="I764">
        <f t="shared" si="11"/>
        <v>1900</v>
      </c>
    </row>
    <row r="765" spans="9:9" x14ac:dyDescent="0.25">
      <c r="I765">
        <f t="shared" si="11"/>
        <v>1900</v>
      </c>
    </row>
    <row r="766" spans="9:9" x14ac:dyDescent="0.25">
      <c r="I766">
        <f t="shared" si="11"/>
        <v>1900</v>
      </c>
    </row>
    <row r="767" spans="9:9" x14ac:dyDescent="0.25">
      <c r="I767">
        <f t="shared" si="11"/>
        <v>1900</v>
      </c>
    </row>
    <row r="768" spans="9:9" x14ac:dyDescent="0.25">
      <c r="I768">
        <f t="shared" si="11"/>
        <v>1900</v>
      </c>
    </row>
    <row r="769" spans="9:9" x14ac:dyDescent="0.25">
      <c r="I769">
        <f t="shared" si="11"/>
        <v>1900</v>
      </c>
    </row>
    <row r="770" spans="9:9" x14ac:dyDescent="0.25">
      <c r="I770">
        <f t="shared" si="11"/>
        <v>1900</v>
      </c>
    </row>
    <row r="771" spans="9:9" x14ac:dyDescent="0.25">
      <c r="I771">
        <f t="shared" si="11"/>
        <v>1900</v>
      </c>
    </row>
    <row r="772" spans="9:9" x14ac:dyDescent="0.25">
      <c r="I772">
        <f t="shared" ref="I772:I835" si="12">IFERROR(YEAR(E772),"")</f>
        <v>1900</v>
      </c>
    </row>
    <row r="773" spans="9:9" x14ac:dyDescent="0.25">
      <c r="I773">
        <f t="shared" si="12"/>
        <v>1900</v>
      </c>
    </row>
    <row r="774" spans="9:9" x14ac:dyDescent="0.25">
      <c r="I774">
        <f t="shared" si="12"/>
        <v>1900</v>
      </c>
    </row>
    <row r="775" spans="9:9" x14ac:dyDescent="0.25">
      <c r="I775">
        <f t="shared" si="12"/>
        <v>1900</v>
      </c>
    </row>
    <row r="776" spans="9:9" x14ac:dyDescent="0.25">
      <c r="I776">
        <f t="shared" si="12"/>
        <v>1900</v>
      </c>
    </row>
    <row r="777" spans="9:9" x14ac:dyDescent="0.25">
      <c r="I777">
        <f t="shared" si="12"/>
        <v>1900</v>
      </c>
    </row>
    <row r="778" spans="9:9" x14ac:dyDescent="0.25">
      <c r="I778">
        <f t="shared" si="12"/>
        <v>1900</v>
      </c>
    </row>
    <row r="779" spans="9:9" x14ac:dyDescent="0.25">
      <c r="I779">
        <f t="shared" si="12"/>
        <v>1900</v>
      </c>
    </row>
    <row r="780" spans="9:9" x14ac:dyDescent="0.25">
      <c r="I780">
        <f t="shared" si="12"/>
        <v>1900</v>
      </c>
    </row>
    <row r="781" spans="9:9" x14ac:dyDescent="0.25">
      <c r="I781">
        <f t="shared" si="12"/>
        <v>1900</v>
      </c>
    </row>
    <row r="782" spans="9:9" x14ac:dyDescent="0.25">
      <c r="I782">
        <f t="shared" si="12"/>
        <v>1900</v>
      </c>
    </row>
    <row r="783" spans="9:9" x14ac:dyDescent="0.25">
      <c r="I783">
        <f t="shared" si="12"/>
        <v>1900</v>
      </c>
    </row>
    <row r="784" spans="9:9" x14ac:dyDescent="0.25">
      <c r="I784">
        <f t="shared" si="12"/>
        <v>1900</v>
      </c>
    </row>
    <row r="785" spans="9:9" x14ac:dyDescent="0.25">
      <c r="I785">
        <f t="shared" si="12"/>
        <v>1900</v>
      </c>
    </row>
    <row r="786" spans="9:9" x14ac:dyDescent="0.25">
      <c r="I786">
        <f t="shared" si="12"/>
        <v>1900</v>
      </c>
    </row>
    <row r="787" spans="9:9" x14ac:dyDescent="0.25">
      <c r="I787">
        <f t="shared" si="12"/>
        <v>1900</v>
      </c>
    </row>
    <row r="788" spans="9:9" x14ac:dyDescent="0.25">
      <c r="I788">
        <f t="shared" si="12"/>
        <v>1900</v>
      </c>
    </row>
    <row r="789" spans="9:9" x14ac:dyDescent="0.25">
      <c r="I789">
        <f t="shared" si="12"/>
        <v>1900</v>
      </c>
    </row>
    <row r="790" spans="9:9" x14ac:dyDescent="0.25">
      <c r="I790">
        <f t="shared" si="12"/>
        <v>1900</v>
      </c>
    </row>
    <row r="791" spans="9:9" x14ac:dyDescent="0.25">
      <c r="I791">
        <f t="shared" si="12"/>
        <v>1900</v>
      </c>
    </row>
    <row r="792" spans="9:9" x14ac:dyDescent="0.25">
      <c r="I792">
        <f t="shared" si="12"/>
        <v>1900</v>
      </c>
    </row>
    <row r="793" spans="9:9" x14ac:dyDescent="0.25">
      <c r="I793">
        <f t="shared" si="12"/>
        <v>1900</v>
      </c>
    </row>
    <row r="794" spans="9:9" x14ac:dyDescent="0.25">
      <c r="I794">
        <f t="shared" si="12"/>
        <v>1900</v>
      </c>
    </row>
    <row r="795" spans="9:9" x14ac:dyDescent="0.25">
      <c r="I795">
        <f t="shared" si="12"/>
        <v>1900</v>
      </c>
    </row>
    <row r="796" spans="9:9" x14ac:dyDescent="0.25">
      <c r="I796">
        <f t="shared" si="12"/>
        <v>1900</v>
      </c>
    </row>
    <row r="797" spans="9:9" x14ac:dyDescent="0.25">
      <c r="I797">
        <f t="shared" si="12"/>
        <v>1900</v>
      </c>
    </row>
    <row r="798" spans="9:9" x14ac:dyDescent="0.25">
      <c r="I798">
        <f t="shared" si="12"/>
        <v>1900</v>
      </c>
    </row>
    <row r="799" spans="9:9" x14ac:dyDescent="0.25">
      <c r="I799">
        <f t="shared" si="12"/>
        <v>1900</v>
      </c>
    </row>
    <row r="800" spans="9:9" x14ac:dyDescent="0.25">
      <c r="I800">
        <f t="shared" si="12"/>
        <v>1900</v>
      </c>
    </row>
    <row r="801" spans="9:9" x14ac:dyDescent="0.25">
      <c r="I801">
        <f t="shared" si="12"/>
        <v>1900</v>
      </c>
    </row>
    <row r="802" spans="9:9" x14ac:dyDescent="0.25">
      <c r="I802">
        <f t="shared" si="12"/>
        <v>1900</v>
      </c>
    </row>
    <row r="803" spans="9:9" x14ac:dyDescent="0.25">
      <c r="I803">
        <f t="shared" si="12"/>
        <v>1900</v>
      </c>
    </row>
    <row r="804" spans="9:9" x14ac:dyDescent="0.25">
      <c r="I804">
        <f t="shared" si="12"/>
        <v>1900</v>
      </c>
    </row>
    <row r="805" spans="9:9" x14ac:dyDescent="0.25">
      <c r="I805">
        <f t="shared" si="12"/>
        <v>1900</v>
      </c>
    </row>
    <row r="806" spans="9:9" x14ac:dyDescent="0.25">
      <c r="I806">
        <f t="shared" si="12"/>
        <v>1900</v>
      </c>
    </row>
    <row r="807" spans="9:9" x14ac:dyDescent="0.25">
      <c r="I807">
        <f t="shared" si="12"/>
        <v>1900</v>
      </c>
    </row>
    <row r="808" spans="9:9" x14ac:dyDescent="0.25">
      <c r="I808">
        <f t="shared" si="12"/>
        <v>1900</v>
      </c>
    </row>
    <row r="809" spans="9:9" x14ac:dyDescent="0.25">
      <c r="I809">
        <f t="shared" si="12"/>
        <v>1900</v>
      </c>
    </row>
    <row r="810" spans="9:9" x14ac:dyDescent="0.25">
      <c r="I810">
        <f t="shared" si="12"/>
        <v>1900</v>
      </c>
    </row>
    <row r="811" spans="9:9" x14ac:dyDescent="0.25">
      <c r="I811">
        <f t="shared" si="12"/>
        <v>1900</v>
      </c>
    </row>
    <row r="812" spans="9:9" x14ac:dyDescent="0.25">
      <c r="I812">
        <f t="shared" si="12"/>
        <v>1900</v>
      </c>
    </row>
    <row r="813" spans="9:9" x14ac:dyDescent="0.25">
      <c r="I813">
        <f t="shared" si="12"/>
        <v>1900</v>
      </c>
    </row>
    <row r="814" spans="9:9" x14ac:dyDescent="0.25">
      <c r="I814">
        <f t="shared" si="12"/>
        <v>1900</v>
      </c>
    </row>
    <row r="815" spans="9:9" x14ac:dyDescent="0.25">
      <c r="I815">
        <f t="shared" si="12"/>
        <v>1900</v>
      </c>
    </row>
    <row r="816" spans="9:9" x14ac:dyDescent="0.25">
      <c r="I816">
        <f t="shared" si="12"/>
        <v>1900</v>
      </c>
    </row>
    <row r="817" spans="9:9" x14ac:dyDescent="0.25">
      <c r="I817">
        <f t="shared" si="12"/>
        <v>1900</v>
      </c>
    </row>
    <row r="818" spans="9:9" x14ac:dyDescent="0.25">
      <c r="I818">
        <f t="shared" si="12"/>
        <v>1900</v>
      </c>
    </row>
    <row r="819" spans="9:9" x14ac:dyDescent="0.25">
      <c r="I819">
        <f t="shared" si="12"/>
        <v>1900</v>
      </c>
    </row>
    <row r="820" spans="9:9" x14ac:dyDescent="0.25">
      <c r="I820">
        <f t="shared" si="12"/>
        <v>1900</v>
      </c>
    </row>
    <row r="821" spans="9:9" x14ac:dyDescent="0.25">
      <c r="I821">
        <f t="shared" si="12"/>
        <v>1900</v>
      </c>
    </row>
    <row r="822" spans="9:9" x14ac:dyDescent="0.25">
      <c r="I822">
        <f t="shared" si="12"/>
        <v>1900</v>
      </c>
    </row>
    <row r="823" spans="9:9" x14ac:dyDescent="0.25">
      <c r="I823">
        <f t="shared" si="12"/>
        <v>1900</v>
      </c>
    </row>
    <row r="824" spans="9:9" x14ac:dyDescent="0.25">
      <c r="I824">
        <f t="shared" si="12"/>
        <v>1900</v>
      </c>
    </row>
    <row r="825" spans="9:9" x14ac:dyDescent="0.25">
      <c r="I825">
        <f t="shared" si="12"/>
        <v>1900</v>
      </c>
    </row>
    <row r="826" spans="9:9" x14ac:dyDescent="0.25">
      <c r="I826">
        <f t="shared" si="12"/>
        <v>1900</v>
      </c>
    </row>
    <row r="827" spans="9:9" x14ac:dyDescent="0.25">
      <c r="I827">
        <f t="shared" si="12"/>
        <v>1900</v>
      </c>
    </row>
    <row r="828" spans="9:9" x14ac:dyDescent="0.25">
      <c r="I828">
        <f t="shared" si="12"/>
        <v>1900</v>
      </c>
    </row>
    <row r="829" spans="9:9" x14ac:dyDescent="0.25">
      <c r="I829">
        <f t="shared" si="12"/>
        <v>1900</v>
      </c>
    </row>
    <row r="830" spans="9:9" x14ac:dyDescent="0.25">
      <c r="I830">
        <f t="shared" si="12"/>
        <v>1900</v>
      </c>
    </row>
    <row r="831" spans="9:9" x14ac:dyDescent="0.25">
      <c r="I831">
        <f t="shared" si="12"/>
        <v>1900</v>
      </c>
    </row>
    <row r="832" spans="9:9" x14ac:dyDescent="0.25">
      <c r="I832">
        <f t="shared" si="12"/>
        <v>1900</v>
      </c>
    </row>
    <row r="833" spans="9:9" x14ac:dyDescent="0.25">
      <c r="I833">
        <f t="shared" si="12"/>
        <v>1900</v>
      </c>
    </row>
    <row r="834" spans="9:9" x14ac:dyDescent="0.25">
      <c r="I834">
        <f t="shared" si="12"/>
        <v>1900</v>
      </c>
    </row>
    <row r="835" spans="9:9" x14ac:dyDescent="0.25">
      <c r="I835">
        <f t="shared" si="12"/>
        <v>1900</v>
      </c>
    </row>
    <row r="836" spans="9:9" x14ac:dyDescent="0.25">
      <c r="I836">
        <f t="shared" ref="I836:I899" si="13">IFERROR(YEAR(E836),"")</f>
        <v>1900</v>
      </c>
    </row>
    <row r="837" spans="9:9" x14ac:dyDescent="0.25">
      <c r="I837">
        <f t="shared" si="13"/>
        <v>1900</v>
      </c>
    </row>
    <row r="838" spans="9:9" x14ac:dyDescent="0.25">
      <c r="I838">
        <f t="shared" si="13"/>
        <v>1900</v>
      </c>
    </row>
    <row r="839" spans="9:9" x14ac:dyDescent="0.25">
      <c r="I839">
        <f t="shared" si="13"/>
        <v>1900</v>
      </c>
    </row>
    <row r="840" spans="9:9" x14ac:dyDescent="0.25">
      <c r="I840">
        <f t="shared" si="13"/>
        <v>1900</v>
      </c>
    </row>
    <row r="841" spans="9:9" x14ac:dyDescent="0.25">
      <c r="I841">
        <f t="shared" si="13"/>
        <v>1900</v>
      </c>
    </row>
    <row r="842" spans="9:9" x14ac:dyDescent="0.25">
      <c r="I842">
        <f t="shared" si="13"/>
        <v>1900</v>
      </c>
    </row>
    <row r="843" spans="9:9" x14ac:dyDescent="0.25">
      <c r="I843">
        <f t="shared" si="13"/>
        <v>1900</v>
      </c>
    </row>
    <row r="844" spans="9:9" x14ac:dyDescent="0.25">
      <c r="I844">
        <f t="shared" si="13"/>
        <v>1900</v>
      </c>
    </row>
    <row r="845" spans="9:9" x14ac:dyDescent="0.25">
      <c r="I845">
        <f t="shared" si="13"/>
        <v>1900</v>
      </c>
    </row>
    <row r="846" spans="9:9" x14ac:dyDescent="0.25">
      <c r="I846">
        <f t="shared" si="13"/>
        <v>1900</v>
      </c>
    </row>
    <row r="847" spans="9:9" x14ac:dyDescent="0.25">
      <c r="I847">
        <f t="shared" si="13"/>
        <v>1900</v>
      </c>
    </row>
    <row r="848" spans="9:9" x14ac:dyDescent="0.25">
      <c r="I848">
        <f t="shared" si="13"/>
        <v>1900</v>
      </c>
    </row>
    <row r="849" spans="9:9" x14ac:dyDescent="0.25">
      <c r="I849">
        <f t="shared" si="13"/>
        <v>1900</v>
      </c>
    </row>
    <row r="850" spans="9:9" x14ac:dyDescent="0.25">
      <c r="I850">
        <f t="shared" si="13"/>
        <v>1900</v>
      </c>
    </row>
    <row r="851" spans="9:9" x14ac:dyDescent="0.25">
      <c r="I851">
        <f t="shared" si="13"/>
        <v>1900</v>
      </c>
    </row>
    <row r="852" spans="9:9" x14ac:dyDescent="0.25">
      <c r="I852">
        <f t="shared" si="13"/>
        <v>1900</v>
      </c>
    </row>
    <row r="853" spans="9:9" x14ac:dyDescent="0.25">
      <c r="I853">
        <f t="shared" si="13"/>
        <v>1900</v>
      </c>
    </row>
    <row r="854" spans="9:9" x14ac:dyDescent="0.25">
      <c r="I854">
        <f t="shared" si="13"/>
        <v>1900</v>
      </c>
    </row>
    <row r="855" spans="9:9" x14ac:dyDescent="0.25">
      <c r="I855">
        <f t="shared" si="13"/>
        <v>1900</v>
      </c>
    </row>
    <row r="856" spans="9:9" x14ac:dyDescent="0.25">
      <c r="I856">
        <f t="shared" si="13"/>
        <v>1900</v>
      </c>
    </row>
    <row r="857" spans="9:9" x14ac:dyDescent="0.25">
      <c r="I857">
        <f t="shared" si="13"/>
        <v>1900</v>
      </c>
    </row>
    <row r="858" spans="9:9" x14ac:dyDescent="0.25">
      <c r="I858">
        <f t="shared" si="13"/>
        <v>1900</v>
      </c>
    </row>
    <row r="859" spans="9:9" x14ac:dyDescent="0.25">
      <c r="I859">
        <f t="shared" si="13"/>
        <v>1900</v>
      </c>
    </row>
    <row r="860" spans="9:9" x14ac:dyDescent="0.25">
      <c r="I860">
        <f t="shared" si="13"/>
        <v>1900</v>
      </c>
    </row>
    <row r="861" spans="9:9" x14ac:dyDescent="0.25">
      <c r="I861">
        <f t="shared" si="13"/>
        <v>1900</v>
      </c>
    </row>
    <row r="862" spans="9:9" x14ac:dyDescent="0.25">
      <c r="I862">
        <f t="shared" si="13"/>
        <v>1900</v>
      </c>
    </row>
    <row r="863" spans="9:9" x14ac:dyDescent="0.25">
      <c r="I863">
        <f t="shared" si="13"/>
        <v>1900</v>
      </c>
    </row>
    <row r="864" spans="9:9" x14ac:dyDescent="0.25">
      <c r="I864">
        <f t="shared" si="13"/>
        <v>1900</v>
      </c>
    </row>
    <row r="865" spans="9:9" x14ac:dyDescent="0.25">
      <c r="I865">
        <f t="shared" si="13"/>
        <v>1900</v>
      </c>
    </row>
    <row r="866" spans="9:9" x14ac:dyDescent="0.25">
      <c r="I866">
        <f t="shared" si="13"/>
        <v>1900</v>
      </c>
    </row>
    <row r="867" spans="9:9" x14ac:dyDescent="0.25">
      <c r="I867">
        <f t="shared" si="13"/>
        <v>1900</v>
      </c>
    </row>
    <row r="868" spans="9:9" x14ac:dyDescent="0.25">
      <c r="I868">
        <f t="shared" si="13"/>
        <v>1900</v>
      </c>
    </row>
    <row r="869" spans="9:9" x14ac:dyDescent="0.25">
      <c r="I869">
        <f t="shared" si="13"/>
        <v>1900</v>
      </c>
    </row>
    <row r="870" spans="9:9" x14ac:dyDescent="0.25">
      <c r="I870">
        <f t="shared" si="13"/>
        <v>1900</v>
      </c>
    </row>
    <row r="871" spans="9:9" x14ac:dyDescent="0.25">
      <c r="I871">
        <f t="shared" si="13"/>
        <v>1900</v>
      </c>
    </row>
    <row r="872" spans="9:9" x14ac:dyDescent="0.25">
      <c r="I872">
        <f t="shared" si="13"/>
        <v>1900</v>
      </c>
    </row>
    <row r="873" spans="9:9" x14ac:dyDescent="0.25">
      <c r="I873">
        <f t="shared" si="13"/>
        <v>1900</v>
      </c>
    </row>
    <row r="874" spans="9:9" x14ac:dyDescent="0.25">
      <c r="I874">
        <f t="shared" si="13"/>
        <v>1900</v>
      </c>
    </row>
    <row r="875" spans="9:9" x14ac:dyDescent="0.25">
      <c r="I875">
        <f t="shared" si="13"/>
        <v>1900</v>
      </c>
    </row>
    <row r="876" spans="9:9" x14ac:dyDescent="0.25">
      <c r="I876">
        <f t="shared" si="13"/>
        <v>1900</v>
      </c>
    </row>
    <row r="877" spans="9:9" x14ac:dyDescent="0.25">
      <c r="I877">
        <f t="shared" si="13"/>
        <v>1900</v>
      </c>
    </row>
    <row r="878" spans="9:9" x14ac:dyDescent="0.25">
      <c r="I878">
        <f t="shared" si="13"/>
        <v>1900</v>
      </c>
    </row>
    <row r="879" spans="9:9" x14ac:dyDescent="0.25">
      <c r="I879">
        <f t="shared" si="13"/>
        <v>1900</v>
      </c>
    </row>
    <row r="880" spans="9:9" x14ac:dyDescent="0.25">
      <c r="I880">
        <f t="shared" si="13"/>
        <v>1900</v>
      </c>
    </row>
    <row r="881" spans="9:9" x14ac:dyDescent="0.25">
      <c r="I881">
        <f t="shared" si="13"/>
        <v>1900</v>
      </c>
    </row>
    <row r="882" spans="9:9" x14ac:dyDescent="0.25">
      <c r="I882">
        <f t="shared" si="13"/>
        <v>1900</v>
      </c>
    </row>
    <row r="883" spans="9:9" x14ac:dyDescent="0.25">
      <c r="I883">
        <f t="shared" si="13"/>
        <v>1900</v>
      </c>
    </row>
    <row r="884" spans="9:9" x14ac:dyDescent="0.25">
      <c r="I884">
        <f t="shared" si="13"/>
        <v>1900</v>
      </c>
    </row>
    <row r="885" spans="9:9" x14ac:dyDescent="0.25">
      <c r="I885">
        <f t="shared" si="13"/>
        <v>1900</v>
      </c>
    </row>
    <row r="886" spans="9:9" x14ac:dyDescent="0.25">
      <c r="I886">
        <f t="shared" si="13"/>
        <v>1900</v>
      </c>
    </row>
    <row r="887" spans="9:9" x14ac:dyDescent="0.25">
      <c r="I887">
        <f t="shared" si="13"/>
        <v>1900</v>
      </c>
    </row>
    <row r="888" spans="9:9" x14ac:dyDescent="0.25">
      <c r="I888">
        <f t="shared" si="13"/>
        <v>1900</v>
      </c>
    </row>
    <row r="889" spans="9:9" x14ac:dyDescent="0.25">
      <c r="I889">
        <f t="shared" si="13"/>
        <v>1900</v>
      </c>
    </row>
    <row r="890" spans="9:9" x14ac:dyDescent="0.25">
      <c r="I890">
        <f t="shared" si="13"/>
        <v>1900</v>
      </c>
    </row>
    <row r="891" spans="9:9" x14ac:dyDescent="0.25">
      <c r="I891">
        <f t="shared" si="13"/>
        <v>1900</v>
      </c>
    </row>
    <row r="892" spans="9:9" x14ac:dyDescent="0.25">
      <c r="I892">
        <f t="shared" si="13"/>
        <v>1900</v>
      </c>
    </row>
    <row r="893" spans="9:9" x14ac:dyDescent="0.25">
      <c r="I893">
        <f t="shared" si="13"/>
        <v>1900</v>
      </c>
    </row>
    <row r="894" spans="9:9" x14ac:dyDescent="0.25">
      <c r="I894">
        <f t="shared" si="13"/>
        <v>1900</v>
      </c>
    </row>
    <row r="895" spans="9:9" x14ac:dyDescent="0.25">
      <c r="I895">
        <f t="shared" si="13"/>
        <v>1900</v>
      </c>
    </row>
    <row r="896" spans="9:9" x14ac:dyDescent="0.25">
      <c r="I896">
        <f t="shared" si="13"/>
        <v>1900</v>
      </c>
    </row>
    <row r="897" spans="9:9" x14ac:dyDescent="0.25">
      <c r="I897">
        <f t="shared" si="13"/>
        <v>1900</v>
      </c>
    </row>
    <row r="898" spans="9:9" x14ac:dyDescent="0.25">
      <c r="I898">
        <f t="shared" si="13"/>
        <v>1900</v>
      </c>
    </row>
    <row r="899" spans="9:9" x14ac:dyDescent="0.25">
      <c r="I899">
        <f t="shared" si="13"/>
        <v>1900</v>
      </c>
    </row>
    <row r="900" spans="9:9" x14ac:dyDescent="0.25">
      <c r="I900">
        <f t="shared" ref="I900:I963" si="14">IFERROR(YEAR(E900),"")</f>
        <v>1900</v>
      </c>
    </row>
    <row r="901" spans="9:9" x14ac:dyDescent="0.25">
      <c r="I901">
        <f t="shared" si="14"/>
        <v>1900</v>
      </c>
    </row>
    <row r="902" spans="9:9" x14ac:dyDescent="0.25">
      <c r="I902">
        <f t="shared" si="14"/>
        <v>1900</v>
      </c>
    </row>
    <row r="903" spans="9:9" x14ac:dyDescent="0.25">
      <c r="I903">
        <f t="shared" si="14"/>
        <v>1900</v>
      </c>
    </row>
    <row r="904" spans="9:9" x14ac:dyDescent="0.25">
      <c r="I904">
        <f t="shared" si="14"/>
        <v>1900</v>
      </c>
    </row>
    <row r="905" spans="9:9" x14ac:dyDescent="0.25">
      <c r="I905">
        <f t="shared" si="14"/>
        <v>1900</v>
      </c>
    </row>
    <row r="906" spans="9:9" x14ac:dyDescent="0.25">
      <c r="I906">
        <f t="shared" si="14"/>
        <v>1900</v>
      </c>
    </row>
    <row r="907" spans="9:9" x14ac:dyDescent="0.25">
      <c r="I907">
        <f t="shared" si="14"/>
        <v>1900</v>
      </c>
    </row>
    <row r="908" spans="9:9" x14ac:dyDescent="0.25">
      <c r="I908">
        <f t="shared" si="14"/>
        <v>1900</v>
      </c>
    </row>
    <row r="909" spans="9:9" x14ac:dyDescent="0.25">
      <c r="I909">
        <f t="shared" si="14"/>
        <v>1900</v>
      </c>
    </row>
    <row r="910" spans="9:9" x14ac:dyDescent="0.25">
      <c r="I910">
        <f t="shared" si="14"/>
        <v>1900</v>
      </c>
    </row>
    <row r="911" spans="9:9" x14ac:dyDescent="0.25">
      <c r="I911">
        <f t="shared" si="14"/>
        <v>1900</v>
      </c>
    </row>
    <row r="912" spans="9:9" x14ac:dyDescent="0.25">
      <c r="I912">
        <f t="shared" si="14"/>
        <v>1900</v>
      </c>
    </row>
    <row r="913" spans="9:9" x14ac:dyDescent="0.25">
      <c r="I913">
        <f t="shared" si="14"/>
        <v>1900</v>
      </c>
    </row>
    <row r="914" spans="9:9" x14ac:dyDescent="0.25">
      <c r="I914">
        <f t="shared" si="14"/>
        <v>1900</v>
      </c>
    </row>
    <row r="915" spans="9:9" x14ac:dyDescent="0.25">
      <c r="I915">
        <f t="shared" si="14"/>
        <v>1900</v>
      </c>
    </row>
    <row r="916" spans="9:9" x14ac:dyDescent="0.25">
      <c r="I916">
        <f t="shared" si="14"/>
        <v>1900</v>
      </c>
    </row>
    <row r="917" spans="9:9" x14ac:dyDescent="0.25">
      <c r="I917">
        <f t="shared" si="14"/>
        <v>1900</v>
      </c>
    </row>
    <row r="918" spans="9:9" x14ac:dyDescent="0.25">
      <c r="I918">
        <f t="shared" si="14"/>
        <v>1900</v>
      </c>
    </row>
    <row r="919" spans="9:9" x14ac:dyDescent="0.25">
      <c r="I919">
        <f t="shared" si="14"/>
        <v>1900</v>
      </c>
    </row>
    <row r="920" spans="9:9" x14ac:dyDescent="0.25">
      <c r="I920">
        <f t="shared" si="14"/>
        <v>1900</v>
      </c>
    </row>
    <row r="921" spans="9:9" x14ac:dyDescent="0.25">
      <c r="I921">
        <f t="shared" si="14"/>
        <v>1900</v>
      </c>
    </row>
    <row r="922" spans="9:9" x14ac:dyDescent="0.25">
      <c r="I922">
        <f t="shared" si="14"/>
        <v>1900</v>
      </c>
    </row>
    <row r="923" spans="9:9" x14ac:dyDescent="0.25">
      <c r="I923">
        <f t="shared" si="14"/>
        <v>1900</v>
      </c>
    </row>
    <row r="924" spans="9:9" x14ac:dyDescent="0.25">
      <c r="I924">
        <f t="shared" si="14"/>
        <v>1900</v>
      </c>
    </row>
    <row r="925" spans="9:9" x14ac:dyDescent="0.25">
      <c r="I925">
        <f t="shared" si="14"/>
        <v>1900</v>
      </c>
    </row>
    <row r="926" spans="9:9" x14ac:dyDescent="0.25">
      <c r="I926">
        <f t="shared" si="14"/>
        <v>1900</v>
      </c>
    </row>
    <row r="927" spans="9:9" x14ac:dyDescent="0.25">
      <c r="I927">
        <f t="shared" si="14"/>
        <v>1900</v>
      </c>
    </row>
    <row r="928" spans="9:9" x14ac:dyDescent="0.25">
      <c r="I928">
        <f t="shared" si="14"/>
        <v>1900</v>
      </c>
    </row>
    <row r="929" spans="9:9" x14ac:dyDescent="0.25">
      <c r="I929">
        <f t="shared" si="14"/>
        <v>1900</v>
      </c>
    </row>
    <row r="930" spans="9:9" x14ac:dyDescent="0.25">
      <c r="I930">
        <f t="shared" si="14"/>
        <v>1900</v>
      </c>
    </row>
    <row r="931" spans="9:9" x14ac:dyDescent="0.25">
      <c r="I931">
        <f t="shared" si="14"/>
        <v>1900</v>
      </c>
    </row>
    <row r="932" spans="9:9" x14ac:dyDescent="0.25">
      <c r="I932">
        <f t="shared" si="14"/>
        <v>1900</v>
      </c>
    </row>
    <row r="933" spans="9:9" x14ac:dyDescent="0.25">
      <c r="I933">
        <f t="shared" si="14"/>
        <v>1900</v>
      </c>
    </row>
    <row r="934" spans="9:9" x14ac:dyDescent="0.25">
      <c r="I934">
        <f t="shared" si="14"/>
        <v>1900</v>
      </c>
    </row>
    <row r="935" spans="9:9" x14ac:dyDescent="0.25">
      <c r="I935">
        <f t="shared" si="14"/>
        <v>1900</v>
      </c>
    </row>
    <row r="936" spans="9:9" x14ac:dyDescent="0.25">
      <c r="I936">
        <f t="shared" si="14"/>
        <v>1900</v>
      </c>
    </row>
    <row r="937" spans="9:9" x14ac:dyDescent="0.25">
      <c r="I937">
        <f t="shared" si="14"/>
        <v>1900</v>
      </c>
    </row>
    <row r="938" spans="9:9" x14ac:dyDescent="0.25">
      <c r="I938">
        <f t="shared" si="14"/>
        <v>1900</v>
      </c>
    </row>
    <row r="939" spans="9:9" x14ac:dyDescent="0.25">
      <c r="I939">
        <f t="shared" si="14"/>
        <v>1900</v>
      </c>
    </row>
    <row r="940" spans="9:9" x14ac:dyDescent="0.25">
      <c r="I940">
        <f t="shared" si="14"/>
        <v>1900</v>
      </c>
    </row>
    <row r="941" spans="9:9" x14ac:dyDescent="0.25">
      <c r="I941">
        <f t="shared" si="14"/>
        <v>1900</v>
      </c>
    </row>
    <row r="942" spans="9:9" x14ac:dyDescent="0.25">
      <c r="I942">
        <f t="shared" si="14"/>
        <v>1900</v>
      </c>
    </row>
    <row r="943" spans="9:9" x14ac:dyDescent="0.25">
      <c r="I943">
        <f t="shared" si="14"/>
        <v>1900</v>
      </c>
    </row>
    <row r="944" spans="9:9" x14ac:dyDescent="0.25">
      <c r="I944">
        <f t="shared" si="14"/>
        <v>1900</v>
      </c>
    </row>
    <row r="945" spans="9:9" x14ac:dyDescent="0.25">
      <c r="I945">
        <f t="shared" si="14"/>
        <v>1900</v>
      </c>
    </row>
    <row r="946" spans="9:9" x14ac:dyDescent="0.25">
      <c r="I946">
        <f t="shared" si="14"/>
        <v>1900</v>
      </c>
    </row>
    <row r="947" spans="9:9" x14ac:dyDescent="0.25">
      <c r="I947">
        <f t="shared" si="14"/>
        <v>1900</v>
      </c>
    </row>
    <row r="948" spans="9:9" x14ac:dyDescent="0.25">
      <c r="I948">
        <f t="shared" si="14"/>
        <v>1900</v>
      </c>
    </row>
    <row r="949" spans="9:9" x14ac:dyDescent="0.25">
      <c r="I949">
        <f t="shared" si="14"/>
        <v>1900</v>
      </c>
    </row>
    <row r="950" spans="9:9" x14ac:dyDescent="0.25">
      <c r="I950">
        <f t="shared" si="14"/>
        <v>1900</v>
      </c>
    </row>
    <row r="951" spans="9:9" x14ac:dyDescent="0.25">
      <c r="I951">
        <f t="shared" si="14"/>
        <v>1900</v>
      </c>
    </row>
    <row r="952" spans="9:9" x14ac:dyDescent="0.25">
      <c r="I952">
        <f t="shared" si="14"/>
        <v>1900</v>
      </c>
    </row>
    <row r="953" spans="9:9" x14ac:dyDescent="0.25">
      <c r="I953">
        <f t="shared" si="14"/>
        <v>1900</v>
      </c>
    </row>
    <row r="954" spans="9:9" x14ac:dyDescent="0.25">
      <c r="I954">
        <f t="shared" si="14"/>
        <v>1900</v>
      </c>
    </row>
    <row r="955" spans="9:9" x14ac:dyDescent="0.25">
      <c r="I955">
        <f t="shared" si="14"/>
        <v>1900</v>
      </c>
    </row>
    <row r="956" spans="9:9" x14ac:dyDescent="0.25">
      <c r="I956">
        <f t="shared" si="14"/>
        <v>1900</v>
      </c>
    </row>
    <row r="957" spans="9:9" x14ac:dyDescent="0.25">
      <c r="I957">
        <f t="shared" si="14"/>
        <v>1900</v>
      </c>
    </row>
    <row r="958" spans="9:9" x14ac:dyDescent="0.25">
      <c r="I958">
        <f t="shared" si="14"/>
        <v>1900</v>
      </c>
    </row>
    <row r="959" spans="9:9" x14ac:dyDescent="0.25">
      <c r="I959">
        <f t="shared" si="14"/>
        <v>1900</v>
      </c>
    </row>
    <row r="960" spans="9:9" x14ac:dyDescent="0.25">
      <c r="I960">
        <f t="shared" si="14"/>
        <v>1900</v>
      </c>
    </row>
    <row r="961" spans="9:9" x14ac:dyDescent="0.25">
      <c r="I961">
        <f t="shared" si="14"/>
        <v>1900</v>
      </c>
    </row>
    <row r="962" spans="9:9" x14ac:dyDescent="0.25">
      <c r="I962">
        <f t="shared" si="14"/>
        <v>1900</v>
      </c>
    </row>
    <row r="963" spans="9:9" x14ac:dyDescent="0.25">
      <c r="I963">
        <f t="shared" si="14"/>
        <v>1900</v>
      </c>
    </row>
    <row r="964" spans="9:9" x14ac:dyDescent="0.25">
      <c r="I964">
        <f t="shared" ref="I964:I1027" si="15">IFERROR(YEAR(E964),"")</f>
        <v>1900</v>
      </c>
    </row>
    <row r="965" spans="9:9" x14ac:dyDescent="0.25">
      <c r="I965">
        <f t="shared" si="15"/>
        <v>1900</v>
      </c>
    </row>
    <row r="966" spans="9:9" x14ac:dyDescent="0.25">
      <c r="I966">
        <f t="shared" si="15"/>
        <v>1900</v>
      </c>
    </row>
    <row r="967" spans="9:9" x14ac:dyDescent="0.25">
      <c r="I967">
        <f t="shared" si="15"/>
        <v>1900</v>
      </c>
    </row>
    <row r="968" spans="9:9" x14ac:dyDescent="0.25">
      <c r="I968">
        <f t="shared" si="15"/>
        <v>1900</v>
      </c>
    </row>
    <row r="969" spans="9:9" x14ac:dyDescent="0.25">
      <c r="I969">
        <f t="shared" si="15"/>
        <v>1900</v>
      </c>
    </row>
    <row r="970" spans="9:9" x14ac:dyDescent="0.25">
      <c r="I970">
        <f t="shared" si="15"/>
        <v>1900</v>
      </c>
    </row>
    <row r="971" spans="9:9" x14ac:dyDescent="0.25">
      <c r="I971">
        <f t="shared" si="15"/>
        <v>1900</v>
      </c>
    </row>
    <row r="972" spans="9:9" x14ac:dyDescent="0.25">
      <c r="I972">
        <f t="shared" si="15"/>
        <v>1900</v>
      </c>
    </row>
    <row r="973" spans="9:9" x14ac:dyDescent="0.25">
      <c r="I973">
        <f t="shared" si="15"/>
        <v>1900</v>
      </c>
    </row>
    <row r="974" spans="9:9" x14ac:dyDescent="0.25">
      <c r="I974">
        <f t="shared" si="15"/>
        <v>1900</v>
      </c>
    </row>
    <row r="975" spans="9:9" x14ac:dyDescent="0.25">
      <c r="I975">
        <f t="shared" si="15"/>
        <v>1900</v>
      </c>
    </row>
    <row r="976" spans="9:9" x14ac:dyDescent="0.25">
      <c r="I976">
        <f t="shared" si="15"/>
        <v>1900</v>
      </c>
    </row>
    <row r="977" spans="9:9" x14ac:dyDescent="0.25">
      <c r="I977">
        <f t="shared" si="15"/>
        <v>1900</v>
      </c>
    </row>
    <row r="978" spans="9:9" x14ac:dyDescent="0.25">
      <c r="I978">
        <f t="shared" si="15"/>
        <v>1900</v>
      </c>
    </row>
    <row r="979" spans="9:9" x14ac:dyDescent="0.25">
      <c r="I979">
        <f t="shared" si="15"/>
        <v>1900</v>
      </c>
    </row>
    <row r="980" spans="9:9" x14ac:dyDescent="0.25">
      <c r="I980">
        <f t="shared" si="15"/>
        <v>1900</v>
      </c>
    </row>
    <row r="981" spans="9:9" x14ac:dyDescent="0.25">
      <c r="I981">
        <f t="shared" si="15"/>
        <v>1900</v>
      </c>
    </row>
    <row r="982" spans="9:9" x14ac:dyDescent="0.25">
      <c r="I982">
        <f t="shared" si="15"/>
        <v>1900</v>
      </c>
    </row>
    <row r="983" spans="9:9" x14ac:dyDescent="0.25">
      <c r="I983">
        <f t="shared" si="15"/>
        <v>1900</v>
      </c>
    </row>
    <row r="984" spans="9:9" x14ac:dyDescent="0.25">
      <c r="I984">
        <f t="shared" si="15"/>
        <v>1900</v>
      </c>
    </row>
    <row r="985" spans="9:9" x14ac:dyDescent="0.25">
      <c r="I985">
        <f t="shared" si="15"/>
        <v>1900</v>
      </c>
    </row>
    <row r="986" spans="9:9" x14ac:dyDescent="0.25">
      <c r="I986">
        <f t="shared" si="15"/>
        <v>1900</v>
      </c>
    </row>
    <row r="987" spans="9:9" x14ac:dyDescent="0.25">
      <c r="I987">
        <f t="shared" si="15"/>
        <v>1900</v>
      </c>
    </row>
    <row r="988" spans="9:9" x14ac:dyDescent="0.25">
      <c r="I988">
        <f t="shared" si="15"/>
        <v>1900</v>
      </c>
    </row>
    <row r="989" spans="9:9" x14ac:dyDescent="0.25">
      <c r="I989">
        <f t="shared" si="15"/>
        <v>1900</v>
      </c>
    </row>
    <row r="990" spans="9:9" x14ac:dyDescent="0.25">
      <c r="I990">
        <f t="shared" si="15"/>
        <v>1900</v>
      </c>
    </row>
    <row r="991" spans="9:9" x14ac:dyDescent="0.25">
      <c r="I991">
        <f t="shared" si="15"/>
        <v>1900</v>
      </c>
    </row>
    <row r="992" spans="9:9" x14ac:dyDescent="0.25">
      <c r="I992">
        <f t="shared" si="15"/>
        <v>1900</v>
      </c>
    </row>
    <row r="993" spans="9:9" x14ac:dyDescent="0.25">
      <c r="I993">
        <f t="shared" si="15"/>
        <v>1900</v>
      </c>
    </row>
    <row r="994" spans="9:9" x14ac:dyDescent="0.25">
      <c r="I994">
        <f t="shared" si="15"/>
        <v>1900</v>
      </c>
    </row>
    <row r="995" spans="9:9" x14ac:dyDescent="0.25">
      <c r="I995">
        <f t="shared" si="15"/>
        <v>1900</v>
      </c>
    </row>
    <row r="996" spans="9:9" x14ac:dyDescent="0.25">
      <c r="I996">
        <f t="shared" si="15"/>
        <v>1900</v>
      </c>
    </row>
    <row r="997" spans="9:9" x14ac:dyDescent="0.25">
      <c r="I997">
        <f t="shared" si="15"/>
        <v>1900</v>
      </c>
    </row>
    <row r="998" spans="9:9" x14ac:dyDescent="0.25">
      <c r="I998">
        <f t="shared" si="15"/>
        <v>1900</v>
      </c>
    </row>
    <row r="999" spans="9:9" x14ac:dyDescent="0.25">
      <c r="I999">
        <f t="shared" si="15"/>
        <v>1900</v>
      </c>
    </row>
    <row r="1000" spans="9:9" x14ac:dyDescent="0.25">
      <c r="I1000">
        <f t="shared" si="15"/>
        <v>1900</v>
      </c>
    </row>
    <row r="1001" spans="9:9" x14ac:dyDescent="0.25">
      <c r="I1001">
        <f t="shared" si="15"/>
        <v>1900</v>
      </c>
    </row>
    <row r="1002" spans="9:9" x14ac:dyDescent="0.25">
      <c r="I1002">
        <f t="shared" si="15"/>
        <v>1900</v>
      </c>
    </row>
    <row r="1003" spans="9:9" x14ac:dyDescent="0.25">
      <c r="I1003">
        <f t="shared" si="15"/>
        <v>1900</v>
      </c>
    </row>
    <row r="1004" spans="9:9" x14ac:dyDescent="0.25">
      <c r="I1004">
        <f t="shared" si="15"/>
        <v>1900</v>
      </c>
    </row>
    <row r="1005" spans="9:9" x14ac:dyDescent="0.25">
      <c r="I1005">
        <f t="shared" si="15"/>
        <v>1900</v>
      </c>
    </row>
    <row r="1006" spans="9:9" x14ac:dyDescent="0.25">
      <c r="I1006">
        <f t="shared" si="15"/>
        <v>1900</v>
      </c>
    </row>
    <row r="1007" spans="9:9" x14ac:dyDescent="0.25">
      <c r="I1007">
        <f t="shared" si="15"/>
        <v>1900</v>
      </c>
    </row>
    <row r="1008" spans="9:9" x14ac:dyDescent="0.25">
      <c r="I1008">
        <f t="shared" si="15"/>
        <v>1900</v>
      </c>
    </row>
    <row r="1009" spans="9:9" x14ac:dyDescent="0.25">
      <c r="I1009">
        <f t="shared" si="15"/>
        <v>1900</v>
      </c>
    </row>
    <row r="1010" spans="9:9" x14ac:dyDescent="0.25">
      <c r="I1010">
        <f t="shared" si="15"/>
        <v>1900</v>
      </c>
    </row>
    <row r="1011" spans="9:9" x14ac:dyDescent="0.25">
      <c r="I1011">
        <f t="shared" si="15"/>
        <v>1900</v>
      </c>
    </row>
    <row r="1012" spans="9:9" x14ac:dyDescent="0.25">
      <c r="I1012">
        <f t="shared" si="15"/>
        <v>1900</v>
      </c>
    </row>
    <row r="1013" spans="9:9" x14ac:dyDescent="0.25">
      <c r="I1013">
        <f t="shared" si="15"/>
        <v>1900</v>
      </c>
    </row>
    <row r="1014" spans="9:9" x14ac:dyDescent="0.25">
      <c r="I1014">
        <f t="shared" si="15"/>
        <v>1900</v>
      </c>
    </row>
    <row r="1015" spans="9:9" x14ac:dyDescent="0.25">
      <c r="I1015">
        <f t="shared" si="15"/>
        <v>1900</v>
      </c>
    </row>
    <row r="1016" spans="9:9" x14ac:dyDescent="0.25">
      <c r="I1016">
        <f t="shared" si="15"/>
        <v>1900</v>
      </c>
    </row>
    <row r="1017" spans="9:9" x14ac:dyDescent="0.25">
      <c r="I1017">
        <f t="shared" si="15"/>
        <v>1900</v>
      </c>
    </row>
    <row r="1018" spans="9:9" x14ac:dyDescent="0.25">
      <c r="I1018">
        <f t="shared" si="15"/>
        <v>1900</v>
      </c>
    </row>
    <row r="1019" spans="9:9" x14ac:dyDescent="0.25">
      <c r="I1019">
        <f t="shared" si="15"/>
        <v>1900</v>
      </c>
    </row>
    <row r="1020" spans="9:9" x14ac:dyDescent="0.25">
      <c r="I1020">
        <f t="shared" si="15"/>
        <v>1900</v>
      </c>
    </row>
    <row r="1021" spans="9:9" x14ac:dyDescent="0.25">
      <c r="I1021">
        <f t="shared" si="15"/>
        <v>1900</v>
      </c>
    </row>
    <row r="1022" spans="9:9" x14ac:dyDescent="0.25">
      <c r="I1022">
        <f t="shared" si="15"/>
        <v>1900</v>
      </c>
    </row>
    <row r="1023" spans="9:9" x14ac:dyDescent="0.25">
      <c r="I1023">
        <f t="shared" si="15"/>
        <v>1900</v>
      </c>
    </row>
    <row r="1024" spans="9:9" x14ac:dyDescent="0.25">
      <c r="I1024">
        <f t="shared" si="15"/>
        <v>1900</v>
      </c>
    </row>
    <row r="1025" spans="9:9" x14ac:dyDescent="0.25">
      <c r="I1025">
        <f t="shared" si="15"/>
        <v>1900</v>
      </c>
    </row>
    <row r="1026" spans="9:9" x14ac:dyDescent="0.25">
      <c r="I1026">
        <f t="shared" si="15"/>
        <v>1900</v>
      </c>
    </row>
    <row r="1027" spans="9:9" x14ac:dyDescent="0.25">
      <c r="I1027">
        <f t="shared" si="15"/>
        <v>1900</v>
      </c>
    </row>
    <row r="1028" spans="9:9" x14ac:dyDescent="0.25">
      <c r="I1028">
        <f t="shared" ref="I1028:I1091" si="16">IFERROR(YEAR(E1028),"")</f>
        <v>1900</v>
      </c>
    </row>
    <row r="1029" spans="9:9" x14ac:dyDescent="0.25">
      <c r="I1029">
        <f t="shared" si="16"/>
        <v>1900</v>
      </c>
    </row>
    <row r="1030" spans="9:9" x14ac:dyDescent="0.25">
      <c r="I1030">
        <f t="shared" si="16"/>
        <v>1900</v>
      </c>
    </row>
    <row r="1031" spans="9:9" x14ac:dyDescent="0.25">
      <c r="I1031">
        <f t="shared" si="16"/>
        <v>1900</v>
      </c>
    </row>
    <row r="1032" spans="9:9" x14ac:dyDescent="0.25">
      <c r="I1032">
        <f t="shared" si="16"/>
        <v>1900</v>
      </c>
    </row>
    <row r="1033" spans="9:9" x14ac:dyDescent="0.25">
      <c r="I1033">
        <f t="shared" si="16"/>
        <v>1900</v>
      </c>
    </row>
    <row r="1034" spans="9:9" x14ac:dyDescent="0.25">
      <c r="I1034">
        <f t="shared" si="16"/>
        <v>1900</v>
      </c>
    </row>
    <row r="1035" spans="9:9" x14ac:dyDescent="0.25">
      <c r="I1035">
        <f t="shared" si="16"/>
        <v>1900</v>
      </c>
    </row>
    <row r="1036" spans="9:9" x14ac:dyDescent="0.25">
      <c r="I1036">
        <f t="shared" si="16"/>
        <v>1900</v>
      </c>
    </row>
    <row r="1037" spans="9:9" x14ac:dyDescent="0.25">
      <c r="I1037">
        <f t="shared" si="16"/>
        <v>1900</v>
      </c>
    </row>
    <row r="1038" spans="9:9" x14ac:dyDescent="0.25">
      <c r="I1038">
        <f t="shared" si="16"/>
        <v>1900</v>
      </c>
    </row>
    <row r="1039" spans="9:9" x14ac:dyDescent="0.25">
      <c r="I1039">
        <f t="shared" si="16"/>
        <v>1900</v>
      </c>
    </row>
    <row r="1040" spans="9:9" x14ac:dyDescent="0.25">
      <c r="I1040">
        <f t="shared" si="16"/>
        <v>1900</v>
      </c>
    </row>
    <row r="1041" spans="9:9" x14ac:dyDescent="0.25">
      <c r="I1041">
        <f t="shared" si="16"/>
        <v>1900</v>
      </c>
    </row>
    <row r="1042" spans="9:9" x14ac:dyDescent="0.25">
      <c r="I1042">
        <f t="shared" si="16"/>
        <v>1900</v>
      </c>
    </row>
    <row r="1043" spans="9:9" x14ac:dyDescent="0.25">
      <c r="I1043">
        <f t="shared" si="16"/>
        <v>1900</v>
      </c>
    </row>
    <row r="1044" spans="9:9" x14ac:dyDescent="0.25">
      <c r="I1044">
        <f t="shared" si="16"/>
        <v>1900</v>
      </c>
    </row>
    <row r="1045" spans="9:9" x14ac:dyDescent="0.25">
      <c r="I1045">
        <f t="shared" si="16"/>
        <v>1900</v>
      </c>
    </row>
    <row r="1046" spans="9:9" x14ac:dyDescent="0.25">
      <c r="I1046">
        <f t="shared" si="16"/>
        <v>1900</v>
      </c>
    </row>
    <row r="1047" spans="9:9" x14ac:dyDescent="0.25">
      <c r="I1047">
        <f t="shared" si="16"/>
        <v>1900</v>
      </c>
    </row>
    <row r="1048" spans="9:9" x14ac:dyDescent="0.25">
      <c r="I1048">
        <f t="shared" si="16"/>
        <v>1900</v>
      </c>
    </row>
    <row r="1049" spans="9:9" x14ac:dyDescent="0.25">
      <c r="I1049">
        <f t="shared" si="16"/>
        <v>1900</v>
      </c>
    </row>
    <row r="1050" spans="9:9" x14ac:dyDescent="0.25">
      <c r="I1050">
        <f t="shared" si="16"/>
        <v>1900</v>
      </c>
    </row>
    <row r="1051" spans="9:9" x14ac:dyDescent="0.25">
      <c r="I1051">
        <f t="shared" si="16"/>
        <v>1900</v>
      </c>
    </row>
    <row r="1052" spans="9:9" x14ac:dyDescent="0.25">
      <c r="I1052">
        <f t="shared" si="16"/>
        <v>1900</v>
      </c>
    </row>
    <row r="1053" spans="9:9" x14ac:dyDescent="0.25">
      <c r="I1053">
        <f t="shared" si="16"/>
        <v>1900</v>
      </c>
    </row>
    <row r="1054" spans="9:9" x14ac:dyDescent="0.25">
      <c r="I1054">
        <f t="shared" si="16"/>
        <v>1900</v>
      </c>
    </row>
    <row r="1055" spans="9:9" x14ac:dyDescent="0.25">
      <c r="I1055">
        <f t="shared" si="16"/>
        <v>1900</v>
      </c>
    </row>
    <row r="1056" spans="9:9" x14ac:dyDescent="0.25">
      <c r="I1056">
        <f t="shared" si="16"/>
        <v>1900</v>
      </c>
    </row>
    <row r="1057" spans="9:9" x14ac:dyDescent="0.25">
      <c r="I1057">
        <f t="shared" si="16"/>
        <v>1900</v>
      </c>
    </row>
    <row r="1058" spans="9:9" x14ac:dyDescent="0.25">
      <c r="I1058">
        <f t="shared" si="16"/>
        <v>1900</v>
      </c>
    </row>
    <row r="1059" spans="9:9" x14ac:dyDescent="0.25">
      <c r="I1059">
        <f t="shared" si="16"/>
        <v>1900</v>
      </c>
    </row>
    <row r="1060" spans="9:9" x14ac:dyDescent="0.25">
      <c r="I1060">
        <f t="shared" si="16"/>
        <v>1900</v>
      </c>
    </row>
    <row r="1061" spans="9:9" x14ac:dyDescent="0.25">
      <c r="I1061">
        <f t="shared" si="16"/>
        <v>1900</v>
      </c>
    </row>
    <row r="1062" spans="9:9" x14ac:dyDescent="0.25">
      <c r="I1062">
        <f t="shared" si="16"/>
        <v>1900</v>
      </c>
    </row>
    <row r="1063" spans="9:9" x14ac:dyDescent="0.25">
      <c r="I1063">
        <f t="shared" si="16"/>
        <v>1900</v>
      </c>
    </row>
    <row r="1064" spans="9:9" x14ac:dyDescent="0.25">
      <c r="I1064">
        <f t="shared" si="16"/>
        <v>1900</v>
      </c>
    </row>
    <row r="1065" spans="9:9" x14ac:dyDescent="0.25">
      <c r="I1065">
        <f t="shared" si="16"/>
        <v>1900</v>
      </c>
    </row>
    <row r="1066" spans="9:9" x14ac:dyDescent="0.25">
      <c r="I1066">
        <f t="shared" si="16"/>
        <v>1900</v>
      </c>
    </row>
    <row r="1067" spans="9:9" x14ac:dyDescent="0.25">
      <c r="I1067">
        <f t="shared" si="16"/>
        <v>1900</v>
      </c>
    </row>
    <row r="1068" spans="9:9" x14ac:dyDescent="0.25">
      <c r="I1068">
        <f t="shared" si="16"/>
        <v>1900</v>
      </c>
    </row>
    <row r="1069" spans="9:9" x14ac:dyDescent="0.25">
      <c r="I1069">
        <f t="shared" si="16"/>
        <v>1900</v>
      </c>
    </row>
    <row r="1070" spans="9:9" x14ac:dyDescent="0.25">
      <c r="I1070">
        <f t="shared" si="16"/>
        <v>1900</v>
      </c>
    </row>
    <row r="1071" spans="9:9" x14ac:dyDescent="0.25">
      <c r="I1071">
        <f t="shared" si="16"/>
        <v>1900</v>
      </c>
    </row>
    <row r="1072" spans="9:9" x14ac:dyDescent="0.25">
      <c r="I1072">
        <f t="shared" si="16"/>
        <v>1900</v>
      </c>
    </row>
    <row r="1073" spans="9:9" x14ac:dyDescent="0.25">
      <c r="I1073">
        <f t="shared" si="16"/>
        <v>1900</v>
      </c>
    </row>
    <row r="1074" spans="9:9" x14ac:dyDescent="0.25">
      <c r="I1074">
        <f t="shared" si="16"/>
        <v>1900</v>
      </c>
    </row>
    <row r="1075" spans="9:9" x14ac:dyDescent="0.25">
      <c r="I1075">
        <f t="shared" si="16"/>
        <v>1900</v>
      </c>
    </row>
    <row r="1076" spans="9:9" x14ac:dyDescent="0.25">
      <c r="I1076">
        <f t="shared" si="16"/>
        <v>1900</v>
      </c>
    </row>
    <row r="1077" spans="9:9" x14ac:dyDescent="0.25">
      <c r="I1077">
        <f t="shared" si="16"/>
        <v>1900</v>
      </c>
    </row>
    <row r="1078" spans="9:9" x14ac:dyDescent="0.25">
      <c r="I1078">
        <f t="shared" si="16"/>
        <v>1900</v>
      </c>
    </row>
    <row r="1079" spans="9:9" x14ac:dyDescent="0.25">
      <c r="I1079">
        <f t="shared" si="16"/>
        <v>1900</v>
      </c>
    </row>
    <row r="1080" spans="9:9" x14ac:dyDescent="0.25">
      <c r="I1080">
        <f t="shared" si="16"/>
        <v>1900</v>
      </c>
    </row>
    <row r="1081" spans="9:9" x14ac:dyDescent="0.25">
      <c r="I1081">
        <f t="shared" si="16"/>
        <v>1900</v>
      </c>
    </row>
    <row r="1082" spans="9:9" x14ac:dyDescent="0.25">
      <c r="I1082">
        <f t="shared" si="16"/>
        <v>1900</v>
      </c>
    </row>
    <row r="1083" spans="9:9" x14ac:dyDescent="0.25">
      <c r="I1083">
        <f t="shared" si="16"/>
        <v>1900</v>
      </c>
    </row>
    <row r="1084" spans="9:9" x14ac:dyDescent="0.25">
      <c r="I1084">
        <f t="shared" si="16"/>
        <v>1900</v>
      </c>
    </row>
    <row r="1085" spans="9:9" x14ac:dyDescent="0.25">
      <c r="I1085">
        <f t="shared" si="16"/>
        <v>1900</v>
      </c>
    </row>
    <row r="1086" spans="9:9" x14ac:dyDescent="0.25">
      <c r="I1086">
        <f t="shared" si="16"/>
        <v>1900</v>
      </c>
    </row>
    <row r="1087" spans="9:9" x14ac:dyDescent="0.25">
      <c r="I1087">
        <f t="shared" si="16"/>
        <v>1900</v>
      </c>
    </row>
    <row r="1088" spans="9:9" x14ac:dyDescent="0.25">
      <c r="I1088">
        <f t="shared" si="16"/>
        <v>1900</v>
      </c>
    </row>
    <row r="1089" spans="9:9" x14ac:dyDescent="0.25">
      <c r="I1089">
        <f t="shared" si="16"/>
        <v>1900</v>
      </c>
    </row>
    <row r="1090" spans="9:9" x14ac:dyDescent="0.25">
      <c r="I1090">
        <f t="shared" si="16"/>
        <v>1900</v>
      </c>
    </row>
    <row r="1091" spans="9:9" x14ac:dyDescent="0.25">
      <c r="I1091">
        <f t="shared" si="16"/>
        <v>1900</v>
      </c>
    </row>
    <row r="1092" spans="9:9" x14ac:dyDescent="0.25">
      <c r="I1092">
        <f t="shared" ref="I1092:I1155" si="17">IFERROR(YEAR(E1092),"")</f>
        <v>1900</v>
      </c>
    </row>
    <row r="1093" spans="9:9" x14ac:dyDescent="0.25">
      <c r="I1093">
        <f t="shared" si="17"/>
        <v>1900</v>
      </c>
    </row>
    <row r="1094" spans="9:9" x14ac:dyDescent="0.25">
      <c r="I1094">
        <f t="shared" si="17"/>
        <v>1900</v>
      </c>
    </row>
    <row r="1095" spans="9:9" x14ac:dyDescent="0.25">
      <c r="I1095">
        <f t="shared" si="17"/>
        <v>1900</v>
      </c>
    </row>
    <row r="1096" spans="9:9" x14ac:dyDescent="0.25">
      <c r="I1096">
        <f t="shared" si="17"/>
        <v>1900</v>
      </c>
    </row>
    <row r="1097" spans="9:9" x14ac:dyDescent="0.25">
      <c r="I1097">
        <f t="shared" si="17"/>
        <v>1900</v>
      </c>
    </row>
    <row r="1098" spans="9:9" x14ac:dyDescent="0.25">
      <c r="I1098">
        <f t="shared" si="17"/>
        <v>1900</v>
      </c>
    </row>
    <row r="1099" spans="9:9" x14ac:dyDescent="0.25">
      <c r="I1099">
        <f t="shared" si="17"/>
        <v>1900</v>
      </c>
    </row>
    <row r="1100" spans="9:9" x14ac:dyDescent="0.25">
      <c r="I1100">
        <f t="shared" si="17"/>
        <v>1900</v>
      </c>
    </row>
    <row r="1101" spans="9:9" x14ac:dyDescent="0.25">
      <c r="I1101">
        <f t="shared" si="17"/>
        <v>1900</v>
      </c>
    </row>
    <row r="1102" spans="9:9" x14ac:dyDescent="0.25">
      <c r="I1102">
        <f t="shared" si="17"/>
        <v>1900</v>
      </c>
    </row>
    <row r="1103" spans="9:9" x14ac:dyDescent="0.25">
      <c r="I1103">
        <f t="shared" si="17"/>
        <v>1900</v>
      </c>
    </row>
    <row r="1104" spans="9:9" x14ac:dyDescent="0.25">
      <c r="I1104">
        <f t="shared" si="17"/>
        <v>1900</v>
      </c>
    </row>
    <row r="1105" spans="9:9" x14ac:dyDescent="0.25">
      <c r="I1105">
        <f t="shared" si="17"/>
        <v>1900</v>
      </c>
    </row>
    <row r="1106" spans="9:9" x14ac:dyDescent="0.25">
      <c r="I1106">
        <f t="shared" si="17"/>
        <v>1900</v>
      </c>
    </row>
    <row r="1107" spans="9:9" x14ac:dyDescent="0.25">
      <c r="I1107">
        <f t="shared" si="17"/>
        <v>1900</v>
      </c>
    </row>
    <row r="1108" spans="9:9" x14ac:dyDescent="0.25">
      <c r="I1108">
        <f t="shared" si="17"/>
        <v>1900</v>
      </c>
    </row>
    <row r="1109" spans="9:9" x14ac:dyDescent="0.25">
      <c r="I1109">
        <f t="shared" si="17"/>
        <v>1900</v>
      </c>
    </row>
    <row r="1110" spans="9:9" x14ac:dyDescent="0.25">
      <c r="I1110">
        <f t="shared" si="17"/>
        <v>1900</v>
      </c>
    </row>
    <row r="1111" spans="9:9" x14ac:dyDescent="0.25">
      <c r="I1111">
        <f t="shared" si="17"/>
        <v>1900</v>
      </c>
    </row>
    <row r="1112" spans="9:9" x14ac:dyDescent="0.25">
      <c r="I1112">
        <f t="shared" si="17"/>
        <v>1900</v>
      </c>
    </row>
    <row r="1113" spans="9:9" x14ac:dyDescent="0.25">
      <c r="I1113">
        <f t="shared" si="17"/>
        <v>1900</v>
      </c>
    </row>
    <row r="1114" spans="9:9" x14ac:dyDescent="0.25">
      <c r="I1114">
        <f t="shared" si="17"/>
        <v>1900</v>
      </c>
    </row>
    <row r="1115" spans="9:9" x14ac:dyDescent="0.25">
      <c r="I1115">
        <f t="shared" si="17"/>
        <v>1900</v>
      </c>
    </row>
    <row r="1116" spans="9:9" x14ac:dyDescent="0.25">
      <c r="I1116">
        <f t="shared" si="17"/>
        <v>1900</v>
      </c>
    </row>
    <row r="1117" spans="9:9" x14ac:dyDescent="0.25">
      <c r="I1117">
        <f t="shared" si="17"/>
        <v>1900</v>
      </c>
    </row>
    <row r="1118" spans="9:9" x14ac:dyDescent="0.25">
      <c r="I1118">
        <f t="shared" si="17"/>
        <v>1900</v>
      </c>
    </row>
    <row r="1119" spans="9:9" x14ac:dyDescent="0.25">
      <c r="I1119">
        <f t="shared" si="17"/>
        <v>1900</v>
      </c>
    </row>
    <row r="1120" spans="9:9" x14ac:dyDescent="0.25">
      <c r="I1120">
        <f t="shared" si="17"/>
        <v>1900</v>
      </c>
    </row>
    <row r="1121" spans="9:9" x14ac:dyDescent="0.25">
      <c r="I1121">
        <f t="shared" si="17"/>
        <v>1900</v>
      </c>
    </row>
    <row r="1122" spans="9:9" x14ac:dyDescent="0.25">
      <c r="I1122">
        <f t="shared" si="17"/>
        <v>1900</v>
      </c>
    </row>
    <row r="1123" spans="9:9" x14ac:dyDescent="0.25">
      <c r="I1123">
        <f t="shared" si="17"/>
        <v>1900</v>
      </c>
    </row>
    <row r="1124" spans="9:9" x14ac:dyDescent="0.25">
      <c r="I1124">
        <f t="shared" si="17"/>
        <v>1900</v>
      </c>
    </row>
    <row r="1125" spans="9:9" x14ac:dyDescent="0.25">
      <c r="I1125">
        <f t="shared" si="17"/>
        <v>1900</v>
      </c>
    </row>
    <row r="1126" spans="9:9" x14ac:dyDescent="0.25">
      <c r="I1126">
        <f t="shared" si="17"/>
        <v>1900</v>
      </c>
    </row>
    <row r="1127" spans="9:9" x14ac:dyDescent="0.25">
      <c r="I1127">
        <f t="shared" si="17"/>
        <v>1900</v>
      </c>
    </row>
    <row r="1128" spans="9:9" x14ac:dyDescent="0.25">
      <c r="I1128">
        <f t="shared" si="17"/>
        <v>1900</v>
      </c>
    </row>
    <row r="1129" spans="9:9" x14ac:dyDescent="0.25">
      <c r="I1129">
        <f t="shared" si="17"/>
        <v>1900</v>
      </c>
    </row>
    <row r="1130" spans="9:9" x14ac:dyDescent="0.25">
      <c r="I1130">
        <f t="shared" si="17"/>
        <v>1900</v>
      </c>
    </row>
    <row r="1131" spans="9:9" x14ac:dyDescent="0.25">
      <c r="I1131">
        <f t="shared" si="17"/>
        <v>1900</v>
      </c>
    </row>
    <row r="1132" spans="9:9" x14ac:dyDescent="0.25">
      <c r="I1132">
        <f t="shared" si="17"/>
        <v>1900</v>
      </c>
    </row>
    <row r="1133" spans="9:9" x14ac:dyDescent="0.25">
      <c r="I1133">
        <f t="shared" si="17"/>
        <v>1900</v>
      </c>
    </row>
    <row r="1134" spans="9:9" x14ac:dyDescent="0.25">
      <c r="I1134">
        <f t="shared" si="17"/>
        <v>1900</v>
      </c>
    </row>
    <row r="1135" spans="9:9" x14ac:dyDescent="0.25">
      <c r="I1135">
        <f t="shared" si="17"/>
        <v>1900</v>
      </c>
    </row>
    <row r="1136" spans="9:9" x14ac:dyDescent="0.25">
      <c r="I1136">
        <f t="shared" si="17"/>
        <v>1900</v>
      </c>
    </row>
    <row r="1137" spans="9:9" x14ac:dyDescent="0.25">
      <c r="I1137">
        <f t="shared" si="17"/>
        <v>1900</v>
      </c>
    </row>
    <row r="1138" spans="9:9" x14ac:dyDescent="0.25">
      <c r="I1138">
        <f t="shared" si="17"/>
        <v>1900</v>
      </c>
    </row>
    <row r="1139" spans="9:9" x14ac:dyDescent="0.25">
      <c r="I1139">
        <f t="shared" si="17"/>
        <v>1900</v>
      </c>
    </row>
    <row r="1140" spans="9:9" x14ac:dyDescent="0.25">
      <c r="I1140">
        <f t="shared" si="17"/>
        <v>1900</v>
      </c>
    </row>
    <row r="1141" spans="9:9" x14ac:dyDescent="0.25">
      <c r="I1141">
        <f t="shared" si="17"/>
        <v>1900</v>
      </c>
    </row>
    <row r="1142" spans="9:9" x14ac:dyDescent="0.25">
      <c r="I1142">
        <f t="shared" si="17"/>
        <v>1900</v>
      </c>
    </row>
    <row r="1143" spans="9:9" x14ac:dyDescent="0.25">
      <c r="I1143">
        <f t="shared" si="17"/>
        <v>1900</v>
      </c>
    </row>
    <row r="1144" spans="9:9" x14ac:dyDescent="0.25">
      <c r="I1144">
        <f t="shared" si="17"/>
        <v>1900</v>
      </c>
    </row>
    <row r="1145" spans="9:9" x14ac:dyDescent="0.25">
      <c r="I1145">
        <f t="shared" si="17"/>
        <v>1900</v>
      </c>
    </row>
    <row r="1146" spans="9:9" x14ac:dyDescent="0.25">
      <c r="I1146">
        <f t="shared" si="17"/>
        <v>1900</v>
      </c>
    </row>
    <row r="1147" spans="9:9" x14ac:dyDescent="0.25">
      <c r="I1147">
        <f t="shared" si="17"/>
        <v>1900</v>
      </c>
    </row>
    <row r="1148" spans="9:9" x14ac:dyDescent="0.25">
      <c r="I1148">
        <f t="shared" si="17"/>
        <v>1900</v>
      </c>
    </row>
    <row r="1149" spans="9:9" x14ac:dyDescent="0.25">
      <c r="I1149">
        <f t="shared" si="17"/>
        <v>1900</v>
      </c>
    </row>
    <row r="1150" spans="9:9" x14ac:dyDescent="0.25">
      <c r="I1150">
        <f t="shared" si="17"/>
        <v>1900</v>
      </c>
    </row>
    <row r="1151" spans="9:9" x14ac:dyDescent="0.25">
      <c r="I1151">
        <f t="shared" si="17"/>
        <v>1900</v>
      </c>
    </row>
    <row r="1152" spans="9:9" x14ac:dyDescent="0.25">
      <c r="I1152">
        <f t="shared" si="17"/>
        <v>1900</v>
      </c>
    </row>
    <row r="1153" spans="9:9" x14ac:dyDescent="0.25">
      <c r="I1153">
        <f t="shared" si="17"/>
        <v>1900</v>
      </c>
    </row>
    <row r="1154" spans="9:9" x14ac:dyDescent="0.25">
      <c r="I1154">
        <f t="shared" si="17"/>
        <v>1900</v>
      </c>
    </row>
    <row r="1155" spans="9:9" x14ac:dyDescent="0.25">
      <c r="I1155">
        <f t="shared" si="17"/>
        <v>1900</v>
      </c>
    </row>
    <row r="1156" spans="9:9" x14ac:dyDescent="0.25">
      <c r="I1156">
        <f t="shared" ref="I1156:I1219" si="18">IFERROR(YEAR(E1156),"")</f>
        <v>1900</v>
      </c>
    </row>
    <row r="1157" spans="9:9" x14ac:dyDescent="0.25">
      <c r="I1157">
        <f t="shared" si="18"/>
        <v>1900</v>
      </c>
    </row>
    <row r="1158" spans="9:9" x14ac:dyDescent="0.25">
      <c r="I1158">
        <f t="shared" si="18"/>
        <v>1900</v>
      </c>
    </row>
    <row r="1159" spans="9:9" x14ac:dyDescent="0.25">
      <c r="I1159">
        <f t="shared" si="18"/>
        <v>1900</v>
      </c>
    </row>
    <row r="1160" spans="9:9" x14ac:dyDescent="0.25">
      <c r="I1160">
        <f t="shared" si="18"/>
        <v>1900</v>
      </c>
    </row>
    <row r="1161" spans="9:9" x14ac:dyDescent="0.25">
      <c r="I1161">
        <f t="shared" si="18"/>
        <v>1900</v>
      </c>
    </row>
    <row r="1162" spans="9:9" x14ac:dyDescent="0.25">
      <c r="I1162">
        <f t="shared" si="18"/>
        <v>1900</v>
      </c>
    </row>
    <row r="1163" spans="9:9" x14ac:dyDescent="0.25">
      <c r="I1163">
        <f t="shared" si="18"/>
        <v>1900</v>
      </c>
    </row>
    <row r="1164" spans="9:9" x14ac:dyDescent="0.25">
      <c r="I1164">
        <f t="shared" si="18"/>
        <v>1900</v>
      </c>
    </row>
    <row r="1165" spans="9:9" x14ac:dyDescent="0.25">
      <c r="I1165">
        <f t="shared" si="18"/>
        <v>1900</v>
      </c>
    </row>
    <row r="1166" spans="9:9" x14ac:dyDescent="0.25">
      <c r="I1166">
        <f t="shared" si="18"/>
        <v>1900</v>
      </c>
    </row>
    <row r="1167" spans="9:9" x14ac:dyDescent="0.25">
      <c r="I1167">
        <f t="shared" si="18"/>
        <v>1900</v>
      </c>
    </row>
    <row r="1168" spans="9:9" x14ac:dyDescent="0.25">
      <c r="I1168">
        <f t="shared" si="18"/>
        <v>1900</v>
      </c>
    </row>
    <row r="1169" spans="9:9" x14ac:dyDescent="0.25">
      <c r="I1169">
        <f t="shared" si="18"/>
        <v>1900</v>
      </c>
    </row>
    <row r="1170" spans="9:9" x14ac:dyDescent="0.25">
      <c r="I1170">
        <f t="shared" si="18"/>
        <v>1900</v>
      </c>
    </row>
    <row r="1171" spans="9:9" x14ac:dyDescent="0.25">
      <c r="I1171">
        <f t="shared" si="18"/>
        <v>1900</v>
      </c>
    </row>
    <row r="1172" spans="9:9" x14ac:dyDescent="0.25">
      <c r="I1172">
        <f t="shared" si="18"/>
        <v>1900</v>
      </c>
    </row>
    <row r="1173" spans="9:9" x14ac:dyDescent="0.25">
      <c r="I1173">
        <f t="shared" si="18"/>
        <v>1900</v>
      </c>
    </row>
    <row r="1174" spans="9:9" x14ac:dyDescent="0.25">
      <c r="I1174">
        <f t="shared" si="18"/>
        <v>1900</v>
      </c>
    </row>
    <row r="1175" spans="9:9" x14ac:dyDescent="0.25">
      <c r="I1175">
        <f t="shared" si="18"/>
        <v>1900</v>
      </c>
    </row>
    <row r="1176" spans="9:9" x14ac:dyDescent="0.25">
      <c r="I1176">
        <f t="shared" si="18"/>
        <v>1900</v>
      </c>
    </row>
    <row r="1177" spans="9:9" x14ac:dyDescent="0.25">
      <c r="I1177">
        <f t="shared" si="18"/>
        <v>1900</v>
      </c>
    </row>
    <row r="1178" spans="9:9" x14ac:dyDescent="0.25">
      <c r="I1178">
        <f t="shared" si="18"/>
        <v>1900</v>
      </c>
    </row>
    <row r="1179" spans="9:9" x14ac:dyDescent="0.25">
      <c r="I1179">
        <f t="shared" si="18"/>
        <v>1900</v>
      </c>
    </row>
    <row r="1180" spans="9:9" x14ac:dyDescent="0.25">
      <c r="I1180">
        <f t="shared" si="18"/>
        <v>1900</v>
      </c>
    </row>
    <row r="1181" spans="9:9" x14ac:dyDescent="0.25">
      <c r="I1181">
        <f t="shared" si="18"/>
        <v>1900</v>
      </c>
    </row>
    <row r="1182" spans="9:9" x14ac:dyDescent="0.25">
      <c r="I1182">
        <f t="shared" si="18"/>
        <v>1900</v>
      </c>
    </row>
    <row r="1183" spans="9:9" x14ac:dyDescent="0.25">
      <c r="I1183">
        <f t="shared" si="18"/>
        <v>1900</v>
      </c>
    </row>
    <row r="1184" spans="9:9" x14ac:dyDescent="0.25">
      <c r="I1184">
        <f t="shared" si="18"/>
        <v>1900</v>
      </c>
    </row>
    <row r="1185" spans="9:9" x14ac:dyDescent="0.25">
      <c r="I1185">
        <f t="shared" si="18"/>
        <v>1900</v>
      </c>
    </row>
    <row r="1186" spans="9:9" x14ac:dyDescent="0.25">
      <c r="I1186">
        <f t="shared" si="18"/>
        <v>1900</v>
      </c>
    </row>
    <row r="1187" spans="9:9" x14ac:dyDescent="0.25">
      <c r="I1187">
        <f t="shared" si="18"/>
        <v>1900</v>
      </c>
    </row>
    <row r="1188" spans="9:9" x14ac:dyDescent="0.25">
      <c r="I1188">
        <f t="shared" si="18"/>
        <v>1900</v>
      </c>
    </row>
    <row r="1189" spans="9:9" x14ac:dyDescent="0.25">
      <c r="I1189">
        <f t="shared" si="18"/>
        <v>1900</v>
      </c>
    </row>
    <row r="1190" spans="9:9" x14ac:dyDescent="0.25">
      <c r="I1190">
        <f t="shared" si="18"/>
        <v>1900</v>
      </c>
    </row>
    <row r="1191" spans="9:9" x14ac:dyDescent="0.25">
      <c r="I1191">
        <f t="shared" si="18"/>
        <v>1900</v>
      </c>
    </row>
    <row r="1192" spans="9:9" x14ac:dyDescent="0.25">
      <c r="I1192">
        <f t="shared" si="18"/>
        <v>1900</v>
      </c>
    </row>
    <row r="1193" spans="9:9" x14ac:dyDescent="0.25">
      <c r="I1193">
        <f t="shared" si="18"/>
        <v>1900</v>
      </c>
    </row>
    <row r="1194" spans="9:9" x14ac:dyDescent="0.25">
      <c r="I1194">
        <f t="shared" si="18"/>
        <v>1900</v>
      </c>
    </row>
    <row r="1195" spans="9:9" x14ac:dyDescent="0.25">
      <c r="I1195">
        <f t="shared" si="18"/>
        <v>1900</v>
      </c>
    </row>
    <row r="1196" spans="9:9" x14ac:dyDescent="0.25">
      <c r="I1196">
        <f t="shared" si="18"/>
        <v>1900</v>
      </c>
    </row>
    <row r="1197" spans="9:9" x14ac:dyDescent="0.25">
      <c r="I1197">
        <f t="shared" si="18"/>
        <v>1900</v>
      </c>
    </row>
    <row r="1198" spans="9:9" x14ac:dyDescent="0.25">
      <c r="I1198">
        <f t="shared" si="18"/>
        <v>1900</v>
      </c>
    </row>
    <row r="1199" spans="9:9" x14ac:dyDescent="0.25">
      <c r="I1199">
        <f t="shared" si="18"/>
        <v>1900</v>
      </c>
    </row>
    <row r="1200" spans="9:9" x14ac:dyDescent="0.25">
      <c r="I1200">
        <f t="shared" si="18"/>
        <v>1900</v>
      </c>
    </row>
    <row r="1201" spans="9:9" x14ac:dyDescent="0.25">
      <c r="I1201">
        <f t="shared" si="18"/>
        <v>1900</v>
      </c>
    </row>
    <row r="1202" spans="9:9" x14ac:dyDescent="0.25">
      <c r="I1202">
        <f t="shared" si="18"/>
        <v>1900</v>
      </c>
    </row>
    <row r="1203" spans="9:9" x14ac:dyDescent="0.25">
      <c r="I1203">
        <f t="shared" si="18"/>
        <v>1900</v>
      </c>
    </row>
    <row r="1204" spans="9:9" x14ac:dyDescent="0.25">
      <c r="I1204">
        <f t="shared" si="18"/>
        <v>1900</v>
      </c>
    </row>
    <row r="1205" spans="9:9" x14ac:dyDescent="0.25">
      <c r="I1205">
        <f t="shared" si="18"/>
        <v>1900</v>
      </c>
    </row>
    <row r="1206" spans="9:9" x14ac:dyDescent="0.25">
      <c r="I1206">
        <f t="shared" si="18"/>
        <v>1900</v>
      </c>
    </row>
    <row r="1207" spans="9:9" x14ac:dyDescent="0.25">
      <c r="I1207">
        <f t="shared" si="18"/>
        <v>1900</v>
      </c>
    </row>
    <row r="1208" spans="9:9" x14ac:dyDescent="0.25">
      <c r="I1208">
        <f t="shared" si="18"/>
        <v>1900</v>
      </c>
    </row>
    <row r="1209" spans="9:9" x14ac:dyDescent="0.25">
      <c r="I1209">
        <f t="shared" si="18"/>
        <v>1900</v>
      </c>
    </row>
    <row r="1210" spans="9:9" x14ac:dyDescent="0.25">
      <c r="I1210">
        <f t="shared" si="18"/>
        <v>1900</v>
      </c>
    </row>
    <row r="1211" spans="9:9" x14ac:dyDescent="0.25">
      <c r="I1211">
        <f t="shared" si="18"/>
        <v>1900</v>
      </c>
    </row>
    <row r="1212" spans="9:9" x14ac:dyDescent="0.25">
      <c r="I1212">
        <f t="shared" si="18"/>
        <v>1900</v>
      </c>
    </row>
    <row r="1213" spans="9:9" x14ac:dyDescent="0.25">
      <c r="I1213">
        <f t="shared" si="18"/>
        <v>1900</v>
      </c>
    </row>
    <row r="1214" spans="9:9" x14ac:dyDescent="0.25">
      <c r="I1214">
        <f t="shared" si="18"/>
        <v>1900</v>
      </c>
    </row>
    <row r="1215" spans="9:9" x14ac:dyDescent="0.25">
      <c r="I1215">
        <f t="shared" si="18"/>
        <v>1900</v>
      </c>
    </row>
    <row r="1216" spans="9:9" x14ac:dyDescent="0.25">
      <c r="I1216">
        <f t="shared" si="18"/>
        <v>1900</v>
      </c>
    </row>
    <row r="1217" spans="9:9" x14ac:dyDescent="0.25">
      <c r="I1217">
        <f t="shared" si="18"/>
        <v>1900</v>
      </c>
    </row>
    <row r="1218" spans="9:9" x14ac:dyDescent="0.25">
      <c r="I1218">
        <f t="shared" si="18"/>
        <v>1900</v>
      </c>
    </row>
    <row r="1219" spans="9:9" x14ac:dyDescent="0.25">
      <c r="I1219">
        <f t="shared" si="18"/>
        <v>1900</v>
      </c>
    </row>
    <row r="1220" spans="9:9" x14ac:dyDescent="0.25">
      <c r="I1220">
        <f t="shared" ref="I1220:I1283" si="19">IFERROR(YEAR(E1220),"")</f>
        <v>1900</v>
      </c>
    </row>
    <row r="1221" spans="9:9" x14ac:dyDescent="0.25">
      <c r="I1221">
        <f t="shared" si="19"/>
        <v>1900</v>
      </c>
    </row>
    <row r="1222" spans="9:9" x14ac:dyDescent="0.25">
      <c r="I1222">
        <f t="shared" si="19"/>
        <v>1900</v>
      </c>
    </row>
    <row r="1223" spans="9:9" x14ac:dyDescent="0.25">
      <c r="I1223">
        <f t="shared" si="19"/>
        <v>1900</v>
      </c>
    </row>
    <row r="1224" spans="9:9" x14ac:dyDescent="0.25">
      <c r="I1224">
        <f t="shared" si="19"/>
        <v>1900</v>
      </c>
    </row>
    <row r="1225" spans="9:9" x14ac:dyDescent="0.25">
      <c r="I1225">
        <f t="shared" si="19"/>
        <v>1900</v>
      </c>
    </row>
    <row r="1226" spans="9:9" x14ac:dyDescent="0.25">
      <c r="I1226">
        <f t="shared" si="19"/>
        <v>1900</v>
      </c>
    </row>
    <row r="1227" spans="9:9" x14ac:dyDescent="0.25">
      <c r="I1227">
        <f t="shared" si="19"/>
        <v>1900</v>
      </c>
    </row>
    <row r="1228" spans="9:9" x14ac:dyDescent="0.25">
      <c r="I1228">
        <f t="shared" si="19"/>
        <v>1900</v>
      </c>
    </row>
    <row r="1229" spans="9:9" x14ac:dyDescent="0.25">
      <c r="I1229">
        <f t="shared" si="19"/>
        <v>1900</v>
      </c>
    </row>
    <row r="1230" spans="9:9" x14ac:dyDescent="0.25">
      <c r="I1230">
        <f t="shared" si="19"/>
        <v>1900</v>
      </c>
    </row>
    <row r="1231" spans="9:9" x14ac:dyDescent="0.25">
      <c r="I1231">
        <f t="shared" si="19"/>
        <v>1900</v>
      </c>
    </row>
    <row r="1232" spans="9:9" x14ac:dyDescent="0.25">
      <c r="I1232">
        <f t="shared" si="19"/>
        <v>1900</v>
      </c>
    </row>
    <row r="1233" spans="9:9" x14ac:dyDescent="0.25">
      <c r="I1233">
        <f t="shared" si="19"/>
        <v>1900</v>
      </c>
    </row>
    <row r="1234" spans="9:9" x14ac:dyDescent="0.25">
      <c r="I1234">
        <f t="shared" si="19"/>
        <v>1900</v>
      </c>
    </row>
    <row r="1235" spans="9:9" x14ac:dyDescent="0.25">
      <c r="I1235">
        <f t="shared" si="19"/>
        <v>1900</v>
      </c>
    </row>
    <row r="1236" spans="9:9" x14ac:dyDescent="0.25">
      <c r="I1236">
        <f t="shared" si="19"/>
        <v>1900</v>
      </c>
    </row>
    <row r="1237" spans="9:9" x14ac:dyDescent="0.25">
      <c r="I1237">
        <f t="shared" si="19"/>
        <v>1900</v>
      </c>
    </row>
    <row r="1238" spans="9:9" x14ac:dyDescent="0.25">
      <c r="I1238">
        <f t="shared" si="19"/>
        <v>1900</v>
      </c>
    </row>
    <row r="1239" spans="9:9" x14ac:dyDescent="0.25">
      <c r="I1239">
        <f t="shared" si="19"/>
        <v>1900</v>
      </c>
    </row>
    <row r="1240" spans="9:9" x14ac:dyDescent="0.25">
      <c r="I1240">
        <f t="shared" si="19"/>
        <v>1900</v>
      </c>
    </row>
    <row r="1241" spans="9:9" x14ac:dyDescent="0.25">
      <c r="I1241">
        <f t="shared" si="19"/>
        <v>1900</v>
      </c>
    </row>
    <row r="1242" spans="9:9" x14ac:dyDescent="0.25">
      <c r="I1242">
        <f t="shared" si="19"/>
        <v>1900</v>
      </c>
    </row>
    <row r="1243" spans="9:9" x14ac:dyDescent="0.25">
      <c r="I1243">
        <f t="shared" si="19"/>
        <v>1900</v>
      </c>
    </row>
    <row r="1244" spans="9:9" x14ac:dyDescent="0.25">
      <c r="I1244">
        <f t="shared" si="19"/>
        <v>1900</v>
      </c>
    </row>
    <row r="1245" spans="9:9" x14ac:dyDescent="0.25">
      <c r="I1245">
        <f t="shared" si="19"/>
        <v>1900</v>
      </c>
    </row>
    <row r="1246" spans="9:9" x14ac:dyDescent="0.25">
      <c r="I1246">
        <f t="shared" si="19"/>
        <v>1900</v>
      </c>
    </row>
    <row r="1247" spans="9:9" x14ac:dyDescent="0.25">
      <c r="I1247">
        <f t="shared" si="19"/>
        <v>1900</v>
      </c>
    </row>
    <row r="1248" spans="9:9" x14ac:dyDescent="0.25">
      <c r="I1248">
        <f t="shared" si="19"/>
        <v>1900</v>
      </c>
    </row>
    <row r="1249" spans="9:9" x14ac:dyDescent="0.25">
      <c r="I1249">
        <f t="shared" si="19"/>
        <v>1900</v>
      </c>
    </row>
    <row r="1250" spans="9:9" x14ac:dyDescent="0.25">
      <c r="I1250">
        <f t="shared" si="19"/>
        <v>1900</v>
      </c>
    </row>
    <row r="1251" spans="9:9" x14ac:dyDescent="0.25">
      <c r="I1251">
        <f t="shared" si="19"/>
        <v>1900</v>
      </c>
    </row>
    <row r="1252" spans="9:9" x14ac:dyDescent="0.25">
      <c r="I1252">
        <f t="shared" si="19"/>
        <v>1900</v>
      </c>
    </row>
    <row r="1253" spans="9:9" x14ac:dyDescent="0.25">
      <c r="I1253">
        <f t="shared" si="19"/>
        <v>1900</v>
      </c>
    </row>
    <row r="1254" spans="9:9" x14ac:dyDescent="0.25">
      <c r="I1254">
        <f t="shared" si="19"/>
        <v>1900</v>
      </c>
    </row>
    <row r="1255" spans="9:9" x14ac:dyDescent="0.25">
      <c r="I1255">
        <f t="shared" si="19"/>
        <v>1900</v>
      </c>
    </row>
    <row r="1256" spans="9:9" x14ac:dyDescent="0.25">
      <c r="I1256">
        <f t="shared" si="19"/>
        <v>1900</v>
      </c>
    </row>
    <row r="1257" spans="9:9" x14ac:dyDescent="0.25">
      <c r="I1257">
        <f t="shared" si="19"/>
        <v>1900</v>
      </c>
    </row>
    <row r="1258" spans="9:9" x14ac:dyDescent="0.25">
      <c r="I1258">
        <f t="shared" si="19"/>
        <v>1900</v>
      </c>
    </row>
    <row r="1259" spans="9:9" x14ac:dyDescent="0.25">
      <c r="I1259">
        <f t="shared" si="19"/>
        <v>1900</v>
      </c>
    </row>
    <row r="1260" spans="9:9" x14ac:dyDescent="0.25">
      <c r="I1260">
        <f t="shared" si="19"/>
        <v>1900</v>
      </c>
    </row>
    <row r="1261" spans="9:9" x14ac:dyDescent="0.25">
      <c r="I1261">
        <f t="shared" si="19"/>
        <v>1900</v>
      </c>
    </row>
    <row r="1262" spans="9:9" x14ac:dyDescent="0.25">
      <c r="I1262">
        <f t="shared" si="19"/>
        <v>1900</v>
      </c>
    </row>
    <row r="1263" spans="9:9" x14ac:dyDescent="0.25">
      <c r="I1263">
        <f t="shared" si="19"/>
        <v>1900</v>
      </c>
    </row>
    <row r="1264" spans="9:9" x14ac:dyDescent="0.25">
      <c r="I1264">
        <f t="shared" si="19"/>
        <v>1900</v>
      </c>
    </row>
    <row r="1265" spans="9:9" x14ac:dyDescent="0.25">
      <c r="I1265">
        <f t="shared" si="19"/>
        <v>1900</v>
      </c>
    </row>
    <row r="1266" spans="9:9" x14ac:dyDescent="0.25">
      <c r="I1266">
        <f t="shared" si="19"/>
        <v>1900</v>
      </c>
    </row>
    <row r="1267" spans="9:9" x14ac:dyDescent="0.25">
      <c r="I1267">
        <f t="shared" si="19"/>
        <v>1900</v>
      </c>
    </row>
    <row r="1268" spans="9:9" x14ac:dyDescent="0.25">
      <c r="I1268">
        <f t="shared" si="19"/>
        <v>1900</v>
      </c>
    </row>
    <row r="1269" spans="9:9" x14ac:dyDescent="0.25">
      <c r="I1269">
        <f t="shared" si="19"/>
        <v>1900</v>
      </c>
    </row>
    <row r="1270" spans="9:9" x14ac:dyDescent="0.25">
      <c r="I1270">
        <f t="shared" si="19"/>
        <v>1900</v>
      </c>
    </row>
    <row r="1271" spans="9:9" x14ac:dyDescent="0.25">
      <c r="I1271">
        <f t="shared" si="19"/>
        <v>1900</v>
      </c>
    </row>
    <row r="1272" spans="9:9" x14ac:dyDescent="0.25">
      <c r="I1272">
        <f t="shared" si="19"/>
        <v>1900</v>
      </c>
    </row>
    <row r="1273" spans="9:9" x14ac:dyDescent="0.25">
      <c r="I1273">
        <f t="shared" si="19"/>
        <v>1900</v>
      </c>
    </row>
    <row r="1274" spans="9:9" x14ac:dyDescent="0.25">
      <c r="I1274">
        <f t="shared" si="19"/>
        <v>1900</v>
      </c>
    </row>
    <row r="1275" spans="9:9" x14ac:dyDescent="0.25">
      <c r="I1275">
        <f t="shared" si="19"/>
        <v>1900</v>
      </c>
    </row>
    <row r="1276" spans="9:9" x14ac:dyDescent="0.25">
      <c r="I1276">
        <f t="shared" si="19"/>
        <v>1900</v>
      </c>
    </row>
    <row r="1277" spans="9:9" x14ac:dyDescent="0.25">
      <c r="I1277">
        <f t="shared" si="19"/>
        <v>1900</v>
      </c>
    </row>
    <row r="1278" spans="9:9" x14ac:dyDescent="0.25">
      <c r="I1278">
        <f t="shared" si="19"/>
        <v>1900</v>
      </c>
    </row>
    <row r="1279" spans="9:9" x14ac:dyDescent="0.25">
      <c r="I1279">
        <f t="shared" si="19"/>
        <v>1900</v>
      </c>
    </row>
    <row r="1280" spans="9:9" x14ac:dyDescent="0.25">
      <c r="I1280">
        <f t="shared" si="19"/>
        <v>1900</v>
      </c>
    </row>
    <row r="1281" spans="9:9" x14ac:dyDescent="0.25">
      <c r="I1281">
        <f t="shared" si="19"/>
        <v>1900</v>
      </c>
    </row>
    <row r="1282" spans="9:9" x14ac:dyDescent="0.25">
      <c r="I1282">
        <f t="shared" si="19"/>
        <v>1900</v>
      </c>
    </row>
    <row r="1283" spans="9:9" x14ac:dyDescent="0.25">
      <c r="I1283">
        <f t="shared" si="19"/>
        <v>1900</v>
      </c>
    </row>
    <row r="1284" spans="9:9" x14ac:dyDescent="0.25">
      <c r="I1284">
        <f t="shared" ref="I1284:I1347" si="20">IFERROR(YEAR(E1284),"")</f>
        <v>1900</v>
      </c>
    </row>
    <row r="1285" spans="9:9" x14ac:dyDescent="0.25">
      <c r="I1285">
        <f t="shared" si="20"/>
        <v>1900</v>
      </c>
    </row>
    <row r="1286" spans="9:9" x14ac:dyDescent="0.25">
      <c r="I1286">
        <f t="shared" si="20"/>
        <v>1900</v>
      </c>
    </row>
    <row r="1287" spans="9:9" x14ac:dyDescent="0.25">
      <c r="I1287">
        <f t="shared" si="20"/>
        <v>1900</v>
      </c>
    </row>
    <row r="1288" spans="9:9" x14ac:dyDescent="0.25">
      <c r="I1288">
        <f t="shared" si="20"/>
        <v>1900</v>
      </c>
    </row>
    <row r="1289" spans="9:9" x14ac:dyDescent="0.25">
      <c r="I1289">
        <f t="shared" si="20"/>
        <v>1900</v>
      </c>
    </row>
    <row r="1290" spans="9:9" x14ac:dyDescent="0.25">
      <c r="I1290">
        <f t="shared" si="20"/>
        <v>1900</v>
      </c>
    </row>
    <row r="1291" spans="9:9" x14ac:dyDescent="0.25">
      <c r="I1291">
        <f t="shared" si="20"/>
        <v>1900</v>
      </c>
    </row>
    <row r="1292" spans="9:9" x14ac:dyDescent="0.25">
      <c r="I1292">
        <f t="shared" si="20"/>
        <v>1900</v>
      </c>
    </row>
    <row r="1293" spans="9:9" x14ac:dyDescent="0.25">
      <c r="I1293">
        <f t="shared" si="20"/>
        <v>1900</v>
      </c>
    </row>
    <row r="1294" spans="9:9" x14ac:dyDescent="0.25">
      <c r="I1294">
        <f t="shared" si="20"/>
        <v>1900</v>
      </c>
    </row>
    <row r="1295" spans="9:9" x14ac:dyDescent="0.25">
      <c r="I1295">
        <f t="shared" si="20"/>
        <v>1900</v>
      </c>
    </row>
    <row r="1296" spans="9:9" x14ac:dyDescent="0.25">
      <c r="I1296">
        <f t="shared" si="20"/>
        <v>1900</v>
      </c>
    </row>
    <row r="1297" spans="9:9" x14ac:dyDescent="0.25">
      <c r="I1297">
        <f t="shared" si="20"/>
        <v>1900</v>
      </c>
    </row>
    <row r="1298" spans="9:9" x14ac:dyDescent="0.25">
      <c r="I1298">
        <f t="shared" si="20"/>
        <v>1900</v>
      </c>
    </row>
    <row r="1299" spans="9:9" x14ac:dyDescent="0.25">
      <c r="I1299">
        <f t="shared" si="20"/>
        <v>1900</v>
      </c>
    </row>
    <row r="1300" spans="9:9" x14ac:dyDescent="0.25">
      <c r="I1300">
        <f t="shared" si="20"/>
        <v>1900</v>
      </c>
    </row>
    <row r="1301" spans="9:9" x14ac:dyDescent="0.25">
      <c r="I1301">
        <f t="shared" si="20"/>
        <v>1900</v>
      </c>
    </row>
    <row r="1302" spans="9:9" x14ac:dyDescent="0.25">
      <c r="I1302">
        <f t="shared" si="20"/>
        <v>1900</v>
      </c>
    </row>
    <row r="1303" spans="9:9" x14ac:dyDescent="0.25">
      <c r="I1303">
        <f t="shared" si="20"/>
        <v>1900</v>
      </c>
    </row>
    <row r="1304" spans="9:9" x14ac:dyDescent="0.25">
      <c r="I1304">
        <f t="shared" si="20"/>
        <v>1900</v>
      </c>
    </row>
    <row r="1305" spans="9:9" x14ac:dyDescent="0.25">
      <c r="I1305">
        <f t="shared" si="20"/>
        <v>1900</v>
      </c>
    </row>
    <row r="1306" spans="9:9" x14ac:dyDescent="0.25">
      <c r="I1306">
        <f t="shared" si="20"/>
        <v>1900</v>
      </c>
    </row>
    <row r="1307" spans="9:9" x14ac:dyDescent="0.25">
      <c r="I1307">
        <f t="shared" si="20"/>
        <v>1900</v>
      </c>
    </row>
    <row r="1308" spans="9:9" x14ac:dyDescent="0.25">
      <c r="I1308">
        <f t="shared" si="20"/>
        <v>1900</v>
      </c>
    </row>
    <row r="1309" spans="9:9" x14ac:dyDescent="0.25">
      <c r="I1309">
        <f t="shared" si="20"/>
        <v>1900</v>
      </c>
    </row>
    <row r="1310" spans="9:9" x14ac:dyDescent="0.25">
      <c r="I1310">
        <f t="shared" si="20"/>
        <v>1900</v>
      </c>
    </row>
    <row r="1311" spans="9:9" x14ac:dyDescent="0.25">
      <c r="I1311">
        <f t="shared" si="20"/>
        <v>1900</v>
      </c>
    </row>
    <row r="1312" spans="9:9" x14ac:dyDescent="0.25">
      <c r="I1312">
        <f t="shared" si="20"/>
        <v>1900</v>
      </c>
    </row>
    <row r="1313" spans="9:9" x14ac:dyDescent="0.25">
      <c r="I1313">
        <f t="shared" si="20"/>
        <v>1900</v>
      </c>
    </row>
    <row r="1314" spans="9:9" x14ac:dyDescent="0.25">
      <c r="I1314">
        <f t="shared" si="20"/>
        <v>1900</v>
      </c>
    </row>
    <row r="1315" spans="9:9" x14ac:dyDescent="0.25">
      <c r="I1315">
        <f t="shared" si="20"/>
        <v>1900</v>
      </c>
    </row>
    <row r="1316" spans="9:9" x14ac:dyDescent="0.25">
      <c r="I1316">
        <f t="shared" si="20"/>
        <v>1900</v>
      </c>
    </row>
    <row r="1317" spans="9:9" x14ac:dyDescent="0.25">
      <c r="I1317">
        <f t="shared" si="20"/>
        <v>1900</v>
      </c>
    </row>
    <row r="1318" spans="9:9" x14ac:dyDescent="0.25">
      <c r="I1318">
        <f t="shared" si="20"/>
        <v>1900</v>
      </c>
    </row>
    <row r="1319" spans="9:9" x14ac:dyDescent="0.25">
      <c r="I1319">
        <f t="shared" si="20"/>
        <v>1900</v>
      </c>
    </row>
    <row r="1320" spans="9:9" x14ac:dyDescent="0.25">
      <c r="I1320">
        <f t="shared" si="20"/>
        <v>1900</v>
      </c>
    </row>
    <row r="1321" spans="9:9" x14ac:dyDescent="0.25">
      <c r="I1321">
        <f t="shared" si="20"/>
        <v>1900</v>
      </c>
    </row>
    <row r="1322" spans="9:9" x14ac:dyDescent="0.25">
      <c r="I1322">
        <f t="shared" si="20"/>
        <v>1900</v>
      </c>
    </row>
    <row r="1323" spans="9:9" x14ac:dyDescent="0.25">
      <c r="I1323">
        <f t="shared" si="20"/>
        <v>1900</v>
      </c>
    </row>
    <row r="1324" spans="9:9" x14ac:dyDescent="0.25">
      <c r="I1324">
        <f t="shared" si="20"/>
        <v>1900</v>
      </c>
    </row>
    <row r="1325" spans="9:9" x14ac:dyDescent="0.25">
      <c r="I1325">
        <f t="shared" si="20"/>
        <v>1900</v>
      </c>
    </row>
    <row r="1326" spans="9:9" x14ac:dyDescent="0.25">
      <c r="I1326">
        <f t="shared" si="20"/>
        <v>1900</v>
      </c>
    </row>
    <row r="1327" spans="9:9" x14ac:dyDescent="0.25">
      <c r="I1327">
        <f t="shared" si="20"/>
        <v>1900</v>
      </c>
    </row>
    <row r="1328" spans="9:9" x14ac:dyDescent="0.25">
      <c r="I1328">
        <f t="shared" si="20"/>
        <v>1900</v>
      </c>
    </row>
    <row r="1329" spans="9:9" x14ac:dyDescent="0.25">
      <c r="I1329">
        <f t="shared" si="20"/>
        <v>1900</v>
      </c>
    </row>
    <row r="1330" spans="9:9" x14ac:dyDescent="0.25">
      <c r="I1330">
        <f t="shared" si="20"/>
        <v>1900</v>
      </c>
    </row>
    <row r="1331" spans="9:9" x14ac:dyDescent="0.25">
      <c r="I1331">
        <f t="shared" si="20"/>
        <v>1900</v>
      </c>
    </row>
    <row r="1332" spans="9:9" x14ac:dyDescent="0.25">
      <c r="I1332">
        <f t="shared" si="20"/>
        <v>1900</v>
      </c>
    </row>
    <row r="1333" spans="9:9" x14ac:dyDescent="0.25">
      <c r="I1333">
        <f t="shared" si="20"/>
        <v>1900</v>
      </c>
    </row>
    <row r="1334" spans="9:9" x14ac:dyDescent="0.25">
      <c r="I1334">
        <f t="shared" si="20"/>
        <v>1900</v>
      </c>
    </row>
    <row r="1335" spans="9:9" x14ac:dyDescent="0.25">
      <c r="I1335">
        <f t="shared" si="20"/>
        <v>1900</v>
      </c>
    </row>
    <row r="1336" spans="9:9" x14ac:dyDescent="0.25">
      <c r="I1336">
        <f t="shared" si="20"/>
        <v>1900</v>
      </c>
    </row>
    <row r="1337" spans="9:9" x14ac:dyDescent="0.25">
      <c r="I1337">
        <f t="shared" si="20"/>
        <v>1900</v>
      </c>
    </row>
    <row r="1338" spans="9:9" x14ac:dyDescent="0.25">
      <c r="I1338">
        <f t="shared" si="20"/>
        <v>1900</v>
      </c>
    </row>
    <row r="1339" spans="9:9" x14ac:dyDescent="0.25">
      <c r="I1339">
        <f t="shared" si="20"/>
        <v>1900</v>
      </c>
    </row>
    <row r="1340" spans="9:9" x14ac:dyDescent="0.25">
      <c r="I1340">
        <f t="shared" si="20"/>
        <v>1900</v>
      </c>
    </row>
    <row r="1341" spans="9:9" x14ac:dyDescent="0.25">
      <c r="I1341">
        <f t="shared" si="20"/>
        <v>1900</v>
      </c>
    </row>
    <row r="1342" spans="9:9" x14ac:dyDescent="0.25">
      <c r="I1342">
        <f t="shared" si="20"/>
        <v>1900</v>
      </c>
    </row>
    <row r="1343" spans="9:9" x14ac:dyDescent="0.25">
      <c r="I1343">
        <f t="shared" si="20"/>
        <v>1900</v>
      </c>
    </row>
    <row r="1344" spans="9:9" x14ac:dyDescent="0.25">
      <c r="I1344">
        <f t="shared" si="20"/>
        <v>1900</v>
      </c>
    </row>
    <row r="1345" spans="9:9" x14ac:dyDescent="0.25">
      <c r="I1345">
        <f t="shared" si="20"/>
        <v>1900</v>
      </c>
    </row>
    <row r="1346" spans="9:9" x14ac:dyDescent="0.25">
      <c r="I1346">
        <f t="shared" si="20"/>
        <v>1900</v>
      </c>
    </row>
    <row r="1347" spans="9:9" x14ac:dyDescent="0.25">
      <c r="I1347">
        <f t="shared" si="20"/>
        <v>1900</v>
      </c>
    </row>
    <row r="1348" spans="9:9" x14ac:dyDescent="0.25">
      <c r="I1348">
        <f t="shared" ref="I1348:I1411" si="21">IFERROR(YEAR(E1348),"")</f>
        <v>1900</v>
      </c>
    </row>
    <row r="1349" spans="9:9" x14ac:dyDescent="0.25">
      <c r="I1349">
        <f t="shared" si="21"/>
        <v>1900</v>
      </c>
    </row>
    <row r="1350" spans="9:9" x14ac:dyDescent="0.25">
      <c r="I1350">
        <f t="shared" si="21"/>
        <v>1900</v>
      </c>
    </row>
    <row r="1351" spans="9:9" x14ac:dyDescent="0.25">
      <c r="I1351">
        <f t="shared" si="21"/>
        <v>1900</v>
      </c>
    </row>
    <row r="1352" spans="9:9" x14ac:dyDescent="0.25">
      <c r="I1352">
        <f t="shared" si="21"/>
        <v>1900</v>
      </c>
    </row>
    <row r="1353" spans="9:9" x14ac:dyDescent="0.25">
      <c r="I1353">
        <f t="shared" si="21"/>
        <v>1900</v>
      </c>
    </row>
    <row r="1354" spans="9:9" x14ac:dyDescent="0.25">
      <c r="I1354">
        <f t="shared" si="21"/>
        <v>1900</v>
      </c>
    </row>
    <row r="1355" spans="9:9" x14ac:dyDescent="0.25">
      <c r="I1355">
        <f t="shared" si="21"/>
        <v>1900</v>
      </c>
    </row>
    <row r="1356" spans="9:9" x14ac:dyDescent="0.25">
      <c r="I1356">
        <f t="shared" si="21"/>
        <v>1900</v>
      </c>
    </row>
    <row r="1357" spans="9:9" x14ac:dyDescent="0.25">
      <c r="I1357">
        <f t="shared" si="21"/>
        <v>1900</v>
      </c>
    </row>
    <row r="1358" spans="9:9" x14ac:dyDescent="0.25">
      <c r="I1358">
        <f t="shared" si="21"/>
        <v>1900</v>
      </c>
    </row>
    <row r="1359" spans="9:9" x14ac:dyDescent="0.25">
      <c r="I1359">
        <f t="shared" si="21"/>
        <v>1900</v>
      </c>
    </row>
    <row r="1360" spans="9:9" x14ac:dyDescent="0.25">
      <c r="I1360">
        <f t="shared" si="21"/>
        <v>1900</v>
      </c>
    </row>
    <row r="1361" spans="9:9" x14ac:dyDescent="0.25">
      <c r="I1361">
        <f t="shared" si="21"/>
        <v>1900</v>
      </c>
    </row>
    <row r="1362" spans="9:9" x14ac:dyDescent="0.25">
      <c r="I1362">
        <f t="shared" si="21"/>
        <v>1900</v>
      </c>
    </row>
    <row r="1363" spans="9:9" x14ac:dyDescent="0.25">
      <c r="I1363">
        <f t="shared" si="21"/>
        <v>1900</v>
      </c>
    </row>
    <row r="1364" spans="9:9" x14ac:dyDescent="0.25">
      <c r="I1364">
        <f t="shared" si="21"/>
        <v>1900</v>
      </c>
    </row>
    <row r="1365" spans="9:9" x14ac:dyDescent="0.25">
      <c r="I1365">
        <f t="shared" si="21"/>
        <v>1900</v>
      </c>
    </row>
    <row r="1366" spans="9:9" x14ac:dyDescent="0.25">
      <c r="I1366">
        <f t="shared" si="21"/>
        <v>1900</v>
      </c>
    </row>
    <row r="1367" spans="9:9" x14ac:dyDescent="0.25">
      <c r="I1367">
        <f t="shared" si="21"/>
        <v>1900</v>
      </c>
    </row>
    <row r="1368" spans="9:9" x14ac:dyDescent="0.25">
      <c r="I1368">
        <f t="shared" si="21"/>
        <v>1900</v>
      </c>
    </row>
    <row r="1369" spans="9:9" x14ac:dyDescent="0.25">
      <c r="I1369">
        <f t="shared" si="21"/>
        <v>1900</v>
      </c>
    </row>
    <row r="1370" spans="9:9" x14ac:dyDescent="0.25">
      <c r="I1370">
        <f t="shared" si="21"/>
        <v>1900</v>
      </c>
    </row>
    <row r="1371" spans="9:9" x14ac:dyDescent="0.25">
      <c r="I1371">
        <f t="shared" si="21"/>
        <v>1900</v>
      </c>
    </row>
    <row r="1372" spans="9:9" x14ac:dyDescent="0.25">
      <c r="I1372">
        <f t="shared" si="21"/>
        <v>1900</v>
      </c>
    </row>
    <row r="1373" spans="9:9" x14ac:dyDescent="0.25">
      <c r="I1373">
        <f t="shared" si="21"/>
        <v>1900</v>
      </c>
    </row>
    <row r="1374" spans="9:9" x14ac:dyDescent="0.25">
      <c r="I1374">
        <f t="shared" si="21"/>
        <v>1900</v>
      </c>
    </row>
    <row r="1375" spans="9:9" x14ac:dyDescent="0.25">
      <c r="I1375">
        <f t="shared" si="21"/>
        <v>1900</v>
      </c>
    </row>
    <row r="1376" spans="9:9" x14ac:dyDescent="0.25">
      <c r="I1376">
        <f t="shared" si="21"/>
        <v>1900</v>
      </c>
    </row>
    <row r="1377" spans="9:9" x14ac:dyDescent="0.25">
      <c r="I1377">
        <f t="shared" si="21"/>
        <v>1900</v>
      </c>
    </row>
    <row r="1378" spans="9:9" x14ac:dyDescent="0.25">
      <c r="I1378">
        <f t="shared" si="21"/>
        <v>1900</v>
      </c>
    </row>
    <row r="1379" spans="9:9" x14ac:dyDescent="0.25">
      <c r="I1379">
        <f t="shared" si="21"/>
        <v>1900</v>
      </c>
    </row>
    <row r="1380" spans="9:9" x14ac:dyDescent="0.25">
      <c r="I1380">
        <f t="shared" si="21"/>
        <v>1900</v>
      </c>
    </row>
    <row r="1381" spans="9:9" x14ac:dyDescent="0.25">
      <c r="I1381">
        <f t="shared" si="21"/>
        <v>1900</v>
      </c>
    </row>
    <row r="1382" spans="9:9" x14ac:dyDescent="0.25">
      <c r="I1382">
        <f t="shared" si="21"/>
        <v>1900</v>
      </c>
    </row>
    <row r="1383" spans="9:9" x14ac:dyDescent="0.25">
      <c r="I1383">
        <f t="shared" si="21"/>
        <v>1900</v>
      </c>
    </row>
    <row r="1384" spans="9:9" x14ac:dyDescent="0.25">
      <c r="I1384">
        <f t="shared" si="21"/>
        <v>1900</v>
      </c>
    </row>
    <row r="1385" spans="9:9" x14ac:dyDescent="0.25">
      <c r="I1385">
        <f t="shared" si="21"/>
        <v>1900</v>
      </c>
    </row>
    <row r="1386" spans="9:9" x14ac:dyDescent="0.25">
      <c r="I1386">
        <f t="shared" si="21"/>
        <v>1900</v>
      </c>
    </row>
    <row r="1387" spans="9:9" x14ac:dyDescent="0.25">
      <c r="I1387">
        <f t="shared" si="21"/>
        <v>1900</v>
      </c>
    </row>
    <row r="1388" spans="9:9" x14ac:dyDescent="0.25">
      <c r="I1388">
        <f t="shared" si="21"/>
        <v>1900</v>
      </c>
    </row>
    <row r="1389" spans="9:9" x14ac:dyDescent="0.25">
      <c r="I1389">
        <f t="shared" si="21"/>
        <v>1900</v>
      </c>
    </row>
    <row r="1390" spans="9:9" x14ac:dyDescent="0.25">
      <c r="I1390">
        <f t="shared" si="21"/>
        <v>1900</v>
      </c>
    </row>
    <row r="1391" spans="9:9" x14ac:dyDescent="0.25">
      <c r="I1391">
        <f t="shared" si="21"/>
        <v>1900</v>
      </c>
    </row>
    <row r="1392" spans="9:9" x14ac:dyDescent="0.25">
      <c r="I1392">
        <f t="shared" si="21"/>
        <v>1900</v>
      </c>
    </row>
    <row r="1393" spans="9:9" x14ac:dyDescent="0.25">
      <c r="I1393">
        <f t="shared" si="21"/>
        <v>1900</v>
      </c>
    </row>
    <row r="1394" spans="9:9" x14ac:dyDescent="0.25">
      <c r="I1394">
        <f t="shared" si="21"/>
        <v>1900</v>
      </c>
    </row>
    <row r="1395" spans="9:9" x14ac:dyDescent="0.25">
      <c r="I1395">
        <f t="shared" si="21"/>
        <v>1900</v>
      </c>
    </row>
    <row r="1396" spans="9:9" x14ac:dyDescent="0.25">
      <c r="I1396">
        <f t="shared" si="21"/>
        <v>1900</v>
      </c>
    </row>
    <row r="1397" spans="9:9" x14ac:dyDescent="0.25">
      <c r="I1397">
        <f t="shared" si="21"/>
        <v>1900</v>
      </c>
    </row>
    <row r="1398" spans="9:9" x14ac:dyDescent="0.25">
      <c r="I1398">
        <f t="shared" si="21"/>
        <v>1900</v>
      </c>
    </row>
    <row r="1399" spans="9:9" x14ac:dyDescent="0.25">
      <c r="I1399">
        <f t="shared" si="21"/>
        <v>1900</v>
      </c>
    </row>
    <row r="1400" spans="9:9" x14ac:dyDescent="0.25">
      <c r="I1400">
        <f t="shared" si="21"/>
        <v>1900</v>
      </c>
    </row>
    <row r="1401" spans="9:9" x14ac:dyDescent="0.25">
      <c r="I1401">
        <f t="shared" si="21"/>
        <v>1900</v>
      </c>
    </row>
    <row r="1402" spans="9:9" x14ac:dyDescent="0.25">
      <c r="I1402">
        <f t="shared" si="21"/>
        <v>1900</v>
      </c>
    </row>
    <row r="1403" spans="9:9" x14ac:dyDescent="0.25">
      <c r="I1403">
        <f t="shared" si="21"/>
        <v>1900</v>
      </c>
    </row>
    <row r="1404" spans="9:9" x14ac:dyDescent="0.25">
      <c r="I1404">
        <f t="shared" si="21"/>
        <v>1900</v>
      </c>
    </row>
    <row r="1405" spans="9:9" x14ac:dyDescent="0.25">
      <c r="I1405">
        <f t="shared" si="21"/>
        <v>1900</v>
      </c>
    </row>
    <row r="1406" spans="9:9" x14ac:dyDescent="0.25">
      <c r="I1406">
        <f t="shared" si="21"/>
        <v>1900</v>
      </c>
    </row>
    <row r="1407" spans="9:9" x14ac:dyDescent="0.25">
      <c r="I1407">
        <f t="shared" si="21"/>
        <v>1900</v>
      </c>
    </row>
    <row r="1408" spans="9:9" x14ac:dyDescent="0.25">
      <c r="I1408">
        <f t="shared" si="21"/>
        <v>1900</v>
      </c>
    </row>
    <row r="1409" spans="9:9" x14ac:dyDescent="0.25">
      <c r="I1409">
        <f t="shared" si="21"/>
        <v>1900</v>
      </c>
    </row>
    <row r="1410" spans="9:9" x14ac:dyDescent="0.25">
      <c r="I1410">
        <f t="shared" si="21"/>
        <v>1900</v>
      </c>
    </row>
    <row r="1411" spans="9:9" x14ac:dyDescent="0.25">
      <c r="I1411">
        <f t="shared" si="21"/>
        <v>1900</v>
      </c>
    </row>
    <row r="1412" spans="9:9" x14ac:dyDescent="0.25">
      <c r="I1412">
        <f t="shared" ref="I1412:I1475" si="22">IFERROR(YEAR(E1412),"")</f>
        <v>1900</v>
      </c>
    </row>
    <row r="1413" spans="9:9" x14ac:dyDescent="0.25">
      <c r="I1413">
        <f t="shared" si="22"/>
        <v>1900</v>
      </c>
    </row>
    <row r="1414" spans="9:9" x14ac:dyDescent="0.25">
      <c r="I1414">
        <f t="shared" si="22"/>
        <v>1900</v>
      </c>
    </row>
    <row r="1415" spans="9:9" x14ac:dyDescent="0.25">
      <c r="I1415">
        <f t="shared" si="22"/>
        <v>1900</v>
      </c>
    </row>
    <row r="1416" spans="9:9" x14ac:dyDescent="0.25">
      <c r="I1416">
        <f t="shared" si="22"/>
        <v>1900</v>
      </c>
    </row>
    <row r="1417" spans="9:9" x14ac:dyDescent="0.25">
      <c r="I1417">
        <f t="shared" si="22"/>
        <v>1900</v>
      </c>
    </row>
    <row r="1418" spans="9:9" x14ac:dyDescent="0.25">
      <c r="I1418">
        <f t="shared" si="22"/>
        <v>1900</v>
      </c>
    </row>
    <row r="1419" spans="9:9" x14ac:dyDescent="0.25">
      <c r="I1419">
        <f t="shared" si="22"/>
        <v>1900</v>
      </c>
    </row>
    <row r="1420" spans="9:9" x14ac:dyDescent="0.25">
      <c r="I1420">
        <f t="shared" si="22"/>
        <v>1900</v>
      </c>
    </row>
    <row r="1421" spans="9:9" x14ac:dyDescent="0.25">
      <c r="I1421">
        <f t="shared" si="22"/>
        <v>1900</v>
      </c>
    </row>
    <row r="1422" spans="9:9" x14ac:dyDescent="0.25">
      <c r="I1422">
        <f t="shared" si="22"/>
        <v>1900</v>
      </c>
    </row>
    <row r="1423" spans="9:9" x14ac:dyDescent="0.25">
      <c r="I1423">
        <f t="shared" si="22"/>
        <v>1900</v>
      </c>
    </row>
    <row r="1424" spans="9:9" x14ac:dyDescent="0.25">
      <c r="I1424">
        <f t="shared" si="22"/>
        <v>1900</v>
      </c>
    </row>
    <row r="1425" spans="9:9" x14ac:dyDescent="0.25">
      <c r="I1425">
        <f t="shared" si="22"/>
        <v>1900</v>
      </c>
    </row>
    <row r="1426" spans="9:9" x14ac:dyDescent="0.25">
      <c r="I1426">
        <f t="shared" si="22"/>
        <v>1900</v>
      </c>
    </row>
    <row r="1427" spans="9:9" x14ac:dyDescent="0.25">
      <c r="I1427">
        <f t="shared" si="22"/>
        <v>1900</v>
      </c>
    </row>
    <row r="1428" spans="9:9" x14ac:dyDescent="0.25">
      <c r="I1428">
        <f t="shared" si="22"/>
        <v>1900</v>
      </c>
    </row>
    <row r="1429" spans="9:9" x14ac:dyDescent="0.25">
      <c r="I1429">
        <f t="shared" si="22"/>
        <v>1900</v>
      </c>
    </row>
    <row r="1430" spans="9:9" x14ac:dyDescent="0.25">
      <c r="I1430">
        <f t="shared" si="22"/>
        <v>1900</v>
      </c>
    </row>
    <row r="1431" spans="9:9" x14ac:dyDescent="0.25">
      <c r="I1431">
        <f t="shared" si="22"/>
        <v>1900</v>
      </c>
    </row>
    <row r="1432" spans="9:9" x14ac:dyDescent="0.25">
      <c r="I1432">
        <f t="shared" si="22"/>
        <v>1900</v>
      </c>
    </row>
    <row r="1433" spans="9:9" x14ac:dyDescent="0.25">
      <c r="I1433">
        <f t="shared" si="22"/>
        <v>1900</v>
      </c>
    </row>
    <row r="1434" spans="9:9" x14ac:dyDescent="0.25">
      <c r="I1434">
        <f t="shared" si="22"/>
        <v>1900</v>
      </c>
    </row>
    <row r="1435" spans="9:9" x14ac:dyDescent="0.25">
      <c r="I1435">
        <f t="shared" si="22"/>
        <v>1900</v>
      </c>
    </row>
    <row r="1436" spans="9:9" x14ac:dyDescent="0.25">
      <c r="I1436">
        <f t="shared" si="22"/>
        <v>1900</v>
      </c>
    </row>
    <row r="1437" spans="9:9" x14ac:dyDescent="0.25">
      <c r="I1437">
        <f t="shared" si="22"/>
        <v>1900</v>
      </c>
    </row>
    <row r="1438" spans="9:9" x14ac:dyDescent="0.25">
      <c r="I1438">
        <f t="shared" si="22"/>
        <v>1900</v>
      </c>
    </row>
    <row r="1439" spans="9:9" x14ac:dyDescent="0.25">
      <c r="I1439">
        <f t="shared" si="22"/>
        <v>1900</v>
      </c>
    </row>
    <row r="1440" spans="9:9" x14ac:dyDescent="0.25">
      <c r="I1440">
        <f t="shared" si="22"/>
        <v>1900</v>
      </c>
    </row>
    <row r="1441" spans="9:9" x14ac:dyDescent="0.25">
      <c r="I1441">
        <f t="shared" si="22"/>
        <v>1900</v>
      </c>
    </row>
    <row r="1442" spans="9:9" x14ac:dyDescent="0.25">
      <c r="I1442">
        <f t="shared" si="22"/>
        <v>1900</v>
      </c>
    </row>
    <row r="1443" spans="9:9" x14ac:dyDescent="0.25">
      <c r="I1443">
        <f t="shared" si="22"/>
        <v>1900</v>
      </c>
    </row>
    <row r="1444" spans="9:9" x14ac:dyDescent="0.25">
      <c r="I1444">
        <f t="shared" si="22"/>
        <v>1900</v>
      </c>
    </row>
    <row r="1445" spans="9:9" x14ac:dyDescent="0.25">
      <c r="I1445">
        <f t="shared" si="22"/>
        <v>1900</v>
      </c>
    </row>
    <row r="1446" spans="9:9" x14ac:dyDescent="0.25">
      <c r="I1446">
        <f t="shared" si="22"/>
        <v>1900</v>
      </c>
    </row>
    <row r="1447" spans="9:9" x14ac:dyDescent="0.25">
      <c r="I1447">
        <f t="shared" si="22"/>
        <v>1900</v>
      </c>
    </row>
    <row r="1448" spans="9:9" x14ac:dyDescent="0.25">
      <c r="I1448">
        <f t="shared" si="22"/>
        <v>1900</v>
      </c>
    </row>
    <row r="1449" spans="9:9" x14ac:dyDescent="0.25">
      <c r="I1449">
        <f t="shared" si="22"/>
        <v>1900</v>
      </c>
    </row>
    <row r="1450" spans="9:9" x14ac:dyDescent="0.25">
      <c r="I1450">
        <f t="shared" si="22"/>
        <v>1900</v>
      </c>
    </row>
    <row r="1451" spans="9:9" x14ac:dyDescent="0.25">
      <c r="I1451">
        <f t="shared" si="22"/>
        <v>1900</v>
      </c>
    </row>
    <row r="1452" spans="9:9" x14ac:dyDescent="0.25">
      <c r="I1452">
        <f t="shared" si="22"/>
        <v>1900</v>
      </c>
    </row>
    <row r="1453" spans="9:9" x14ac:dyDescent="0.25">
      <c r="I1453">
        <f t="shared" si="22"/>
        <v>1900</v>
      </c>
    </row>
    <row r="1454" spans="9:9" x14ac:dyDescent="0.25">
      <c r="I1454">
        <f t="shared" si="22"/>
        <v>1900</v>
      </c>
    </row>
    <row r="1455" spans="9:9" x14ac:dyDescent="0.25">
      <c r="I1455">
        <f t="shared" si="22"/>
        <v>1900</v>
      </c>
    </row>
    <row r="1456" spans="9:9" x14ac:dyDescent="0.25">
      <c r="I1456">
        <f t="shared" si="22"/>
        <v>1900</v>
      </c>
    </row>
    <row r="1457" spans="9:9" x14ac:dyDescent="0.25">
      <c r="I1457">
        <f t="shared" si="22"/>
        <v>1900</v>
      </c>
    </row>
    <row r="1458" spans="9:9" x14ac:dyDescent="0.25">
      <c r="I1458">
        <f t="shared" si="22"/>
        <v>1900</v>
      </c>
    </row>
    <row r="1459" spans="9:9" x14ac:dyDescent="0.25">
      <c r="I1459">
        <f t="shared" si="22"/>
        <v>1900</v>
      </c>
    </row>
    <row r="1460" spans="9:9" x14ac:dyDescent="0.25">
      <c r="I1460">
        <f t="shared" si="22"/>
        <v>1900</v>
      </c>
    </row>
    <row r="1461" spans="9:9" x14ac:dyDescent="0.25">
      <c r="I1461">
        <f t="shared" si="22"/>
        <v>1900</v>
      </c>
    </row>
    <row r="1462" spans="9:9" x14ac:dyDescent="0.25">
      <c r="I1462">
        <f t="shared" si="22"/>
        <v>1900</v>
      </c>
    </row>
    <row r="1463" spans="9:9" x14ac:dyDescent="0.25">
      <c r="I1463">
        <f t="shared" si="22"/>
        <v>1900</v>
      </c>
    </row>
    <row r="1464" spans="9:9" x14ac:dyDescent="0.25">
      <c r="I1464">
        <f t="shared" si="22"/>
        <v>1900</v>
      </c>
    </row>
    <row r="1465" spans="9:9" x14ac:dyDescent="0.25">
      <c r="I1465">
        <f t="shared" si="22"/>
        <v>1900</v>
      </c>
    </row>
    <row r="1466" spans="9:9" x14ac:dyDescent="0.25">
      <c r="I1466">
        <f t="shared" si="22"/>
        <v>1900</v>
      </c>
    </row>
    <row r="1467" spans="9:9" x14ac:dyDescent="0.25">
      <c r="I1467">
        <f t="shared" si="22"/>
        <v>1900</v>
      </c>
    </row>
    <row r="1468" spans="9:9" x14ac:dyDescent="0.25">
      <c r="I1468">
        <f t="shared" si="22"/>
        <v>1900</v>
      </c>
    </row>
    <row r="1469" spans="9:9" x14ac:dyDescent="0.25">
      <c r="I1469">
        <f t="shared" si="22"/>
        <v>1900</v>
      </c>
    </row>
    <row r="1470" spans="9:9" x14ac:dyDescent="0.25">
      <c r="I1470">
        <f t="shared" si="22"/>
        <v>1900</v>
      </c>
    </row>
    <row r="1471" spans="9:9" x14ac:dyDescent="0.25">
      <c r="I1471">
        <f t="shared" si="22"/>
        <v>1900</v>
      </c>
    </row>
    <row r="1472" spans="9:9" x14ac:dyDescent="0.25">
      <c r="I1472">
        <f t="shared" si="22"/>
        <v>1900</v>
      </c>
    </row>
    <row r="1473" spans="9:9" x14ac:dyDescent="0.25">
      <c r="I1473">
        <f t="shared" si="22"/>
        <v>1900</v>
      </c>
    </row>
    <row r="1474" spans="9:9" x14ac:dyDescent="0.25">
      <c r="I1474">
        <f t="shared" si="22"/>
        <v>1900</v>
      </c>
    </row>
    <row r="1475" spans="9:9" x14ac:dyDescent="0.25">
      <c r="I1475">
        <f t="shared" si="22"/>
        <v>1900</v>
      </c>
    </row>
    <row r="1476" spans="9:9" x14ac:dyDescent="0.25">
      <c r="I1476">
        <f t="shared" ref="I1476:I1539" si="23">IFERROR(YEAR(E1476),"")</f>
        <v>1900</v>
      </c>
    </row>
    <row r="1477" spans="9:9" x14ac:dyDescent="0.25">
      <c r="I1477">
        <f t="shared" si="23"/>
        <v>1900</v>
      </c>
    </row>
    <row r="1478" spans="9:9" x14ac:dyDescent="0.25">
      <c r="I1478">
        <f t="shared" si="23"/>
        <v>1900</v>
      </c>
    </row>
    <row r="1479" spans="9:9" x14ac:dyDescent="0.25">
      <c r="I1479">
        <f t="shared" si="23"/>
        <v>1900</v>
      </c>
    </row>
    <row r="1480" spans="9:9" x14ac:dyDescent="0.25">
      <c r="I1480">
        <f t="shared" si="23"/>
        <v>1900</v>
      </c>
    </row>
    <row r="1481" spans="9:9" x14ac:dyDescent="0.25">
      <c r="I1481">
        <f t="shared" si="23"/>
        <v>1900</v>
      </c>
    </row>
    <row r="1482" spans="9:9" x14ac:dyDescent="0.25">
      <c r="I1482">
        <f t="shared" si="23"/>
        <v>1900</v>
      </c>
    </row>
    <row r="1483" spans="9:9" x14ac:dyDescent="0.25">
      <c r="I1483">
        <f t="shared" si="23"/>
        <v>1900</v>
      </c>
    </row>
    <row r="1484" spans="9:9" x14ac:dyDescent="0.25">
      <c r="I1484">
        <f t="shared" si="23"/>
        <v>1900</v>
      </c>
    </row>
    <row r="1485" spans="9:9" x14ac:dyDescent="0.25">
      <c r="I1485">
        <f t="shared" si="23"/>
        <v>1900</v>
      </c>
    </row>
    <row r="1486" spans="9:9" x14ac:dyDescent="0.25">
      <c r="I1486">
        <f t="shared" si="23"/>
        <v>1900</v>
      </c>
    </row>
    <row r="1487" spans="9:9" x14ac:dyDescent="0.25">
      <c r="I1487">
        <f t="shared" si="23"/>
        <v>1900</v>
      </c>
    </row>
    <row r="1488" spans="9:9" x14ac:dyDescent="0.25">
      <c r="I1488">
        <f t="shared" si="23"/>
        <v>1900</v>
      </c>
    </row>
    <row r="1489" spans="9:9" x14ac:dyDescent="0.25">
      <c r="I1489">
        <f t="shared" si="23"/>
        <v>1900</v>
      </c>
    </row>
    <row r="1490" spans="9:9" x14ac:dyDescent="0.25">
      <c r="I1490">
        <f t="shared" si="23"/>
        <v>1900</v>
      </c>
    </row>
    <row r="1491" spans="9:9" x14ac:dyDescent="0.25">
      <c r="I1491">
        <f t="shared" si="23"/>
        <v>1900</v>
      </c>
    </row>
    <row r="1492" spans="9:9" x14ac:dyDescent="0.25">
      <c r="I1492">
        <f t="shared" si="23"/>
        <v>1900</v>
      </c>
    </row>
    <row r="1493" spans="9:9" x14ac:dyDescent="0.25">
      <c r="I1493">
        <f t="shared" si="23"/>
        <v>1900</v>
      </c>
    </row>
    <row r="1494" spans="9:9" x14ac:dyDescent="0.25">
      <c r="I1494">
        <f t="shared" si="23"/>
        <v>1900</v>
      </c>
    </row>
    <row r="1495" spans="9:9" x14ac:dyDescent="0.25">
      <c r="I1495">
        <f t="shared" si="23"/>
        <v>1900</v>
      </c>
    </row>
    <row r="1496" spans="9:9" x14ac:dyDescent="0.25">
      <c r="I1496">
        <f t="shared" si="23"/>
        <v>1900</v>
      </c>
    </row>
    <row r="1497" spans="9:9" x14ac:dyDescent="0.25">
      <c r="I1497">
        <f t="shared" si="23"/>
        <v>1900</v>
      </c>
    </row>
    <row r="1498" spans="9:9" x14ac:dyDescent="0.25">
      <c r="I1498">
        <f t="shared" si="23"/>
        <v>1900</v>
      </c>
    </row>
    <row r="1499" spans="9:9" x14ac:dyDescent="0.25">
      <c r="I1499">
        <f t="shared" si="23"/>
        <v>1900</v>
      </c>
    </row>
    <row r="1500" spans="9:9" x14ac:dyDescent="0.25">
      <c r="I1500">
        <f t="shared" si="23"/>
        <v>1900</v>
      </c>
    </row>
    <row r="1501" spans="9:9" x14ac:dyDescent="0.25">
      <c r="I1501">
        <f t="shared" si="23"/>
        <v>1900</v>
      </c>
    </row>
    <row r="1502" spans="9:9" x14ac:dyDescent="0.25">
      <c r="I1502">
        <f t="shared" si="23"/>
        <v>1900</v>
      </c>
    </row>
    <row r="1503" spans="9:9" x14ac:dyDescent="0.25">
      <c r="I1503">
        <f t="shared" si="23"/>
        <v>1900</v>
      </c>
    </row>
    <row r="1504" spans="9:9" x14ac:dyDescent="0.25">
      <c r="I1504">
        <f t="shared" si="23"/>
        <v>1900</v>
      </c>
    </row>
    <row r="1505" spans="9:9" x14ac:dyDescent="0.25">
      <c r="I1505">
        <f t="shared" si="23"/>
        <v>1900</v>
      </c>
    </row>
    <row r="1506" spans="9:9" x14ac:dyDescent="0.25">
      <c r="I1506">
        <f t="shared" si="23"/>
        <v>1900</v>
      </c>
    </row>
    <row r="1507" spans="9:9" x14ac:dyDescent="0.25">
      <c r="I1507">
        <f t="shared" si="23"/>
        <v>1900</v>
      </c>
    </row>
    <row r="1508" spans="9:9" x14ac:dyDescent="0.25">
      <c r="I1508">
        <f t="shared" si="23"/>
        <v>1900</v>
      </c>
    </row>
    <row r="1509" spans="9:9" x14ac:dyDescent="0.25">
      <c r="I1509">
        <f t="shared" si="23"/>
        <v>1900</v>
      </c>
    </row>
    <row r="1510" spans="9:9" x14ac:dyDescent="0.25">
      <c r="I1510">
        <f t="shared" si="23"/>
        <v>1900</v>
      </c>
    </row>
    <row r="1511" spans="9:9" x14ac:dyDescent="0.25">
      <c r="I1511">
        <f t="shared" si="23"/>
        <v>1900</v>
      </c>
    </row>
    <row r="1512" spans="9:9" x14ac:dyDescent="0.25">
      <c r="I1512">
        <f t="shared" si="23"/>
        <v>1900</v>
      </c>
    </row>
    <row r="1513" spans="9:9" x14ac:dyDescent="0.25">
      <c r="I1513">
        <f t="shared" si="23"/>
        <v>1900</v>
      </c>
    </row>
    <row r="1514" spans="9:9" x14ac:dyDescent="0.25">
      <c r="I1514">
        <f t="shared" si="23"/>
        <v>1900</v>
      </c>
    </row>
    <row r="1515" spans="9:9" x14ac:dyDescent="0.25">
      <c r="I1515">
        <f t="shared" si="23"/>
        <v>1900</v>
      </c>
    </row>
    <row r="1516" spans="9:9" x14ac:dyDescent="0.25">
      <c r="I1516">
        <f t="shared" si="23"/>
        <v>1900</v>
      </c>
    </row>
    <row r="1517" spans="9:9" x14ac:dyDescent="0.25">
      <c r="I1517">
        <f t="shared" si="23"/>
        <v>1900</v>
      </c>
    </row>
    <row r="1518" spans="9:9" x14ac:dyDescent="0.25">
      <c r="I1518">
        <f t="shared" si="23"/>
        <v>1900</v>
      </c>
    </row>
    <row r="1519" spans="9:9" x14ac:dyDescent="0.25">
      <c r="I1519">
        <f t="shared" si="23"/>
        <v>1900</v>
      </c>
    </row>
    <row r="1520" spans="9:9" x14ac:dyDescent="0.25">
      <c r="I1520">
        <f t="shared" si="23"/>
        <v>1900</v>
      </c>
    </row>
    <row r="1521" spans="9:9" x14ac:dyDescent="0.25">
      <c r="I1521">
        <f t="shared" si="23"/>
        <v>1900</v>
      </c>
    </row>
    <row r="1522" spans="9:9" x14ac:dyDescent="0.25">
      <c r="I1522">
        <f t="shared" si="23"/>
        <v>1900</v>
      </c>
    </row>
    <row r="1523" spans="9:9" x14ac:dyDescent="0.25">
      <c r="I1523">
        <f t="shared" si="23"/>
        <v>1900</v>
      </c>
    </row>
    <row r="1524" spans="9:9" x14ac:dyDescent="0.25">
      <c r="I1524">
        <f t="shared" si="23"/>
        <v>1900</v>
      </c>
    </row>
    <row r="1525" spans="9:9" x14ac:dyDescent="0.25">
      <c r="I1525">
        <f t="shared" si="23"/>
        <v>1900</v>
      </c>
    </row>
    <row r="1526" spans="9:9" x14ac:dyDescent="0.25">
      <c r="I1526">
        <f t="shared" si="23"/>
        <v>1900</v>
      </c>
    </row>
    <row r="1527" spans="9:9" x14ac:dyDescent="0.25">
      <c r="I1527">
        <f t="shared" si="23"/>
        <v>1900</v>
      </c>
    </row>
    <row r="1528" spans="9:9" x14ac:dyDescent="0.25">
      <c r="I1528">
        <f t="shared" si="23"/>
        <v>1900</v>
      </c>
    </row>
    <row r="1529" spans="9:9" x14ac:dyDescent="0.25">
      <c r="I1529">
        <f t="shared" si="23"/>
        <v>1900</v>
      </c>
    </row>
    <row r="1530" spans="9:9" x14ac:dyDescent="0.25">
      <c r="I1530">
        <f t="shared" si="23"/>
        <v>1900</v>
      </c>
    </row>
    <row r="1531" spans="9:9" x14ac:dyDescent="0.25">
      <c r="I1531">
        <f t="shared" si="23"/>
        <v>1900</v>
      </c>
    </row>
    <row r="1532" spans="9:9" x14ac:dyDescent="0.25">
      <c r="I1532">
        <f t="shared" si="23"/>
        <v>1900</v>
      </c>
    </row>
    <row r="1533" spans="9:9" x14ac:dyDescent="0.25">
      <c r="I1533">
        <f t="shared" si="23"/>
        <v>1900</v>
      </c>
    </row>
    <row r="1534" spans="9:9" x14ac:dyDescent="0.25">
      <c r="I1534">
        <f t="shared" si="23"/>
        <v>1900</v>
      </c>
    </row>
    <row r="1535" spans="9:9" x14ac:dyDescent="0.25">
      <c r="I1535">
        <f t="shared" si="23"/>
        <v>1900</v>
      </c>
    </row>
    <row r="1536" spans="9:9" x14ac:dyDescent="0.25">
      <c r="I1536">
        <f t="shared" si="23"/>
        <v>1900</v>
      </c>
    </row>
    <row r="1537" spans="9:9" x14ac:dyDescent="0.25">
      <c r="I1537">
        <f t="shared" si="23"/>
        <v>1900</v>
      </c>
    </row>
    <row r="1538" spans="9:9" x14ac:dyDescent="0.25">
      <c r="I1538">
        <f t="shared" si="23"/>
        <v>1900</v>
      </c>
    </row>
    <row r="1539" spans="9:9" x14ac:dyDescent="0.25">
      <c r="I1539">
        <f t="shared" si="23"/>
        <v>1900</v>
      </c>
    </row>
    <row r="1540" spans="9:9" x14ac:dyDescent="0.25">
      <c r="I1540">
        <f t="shared" ref="I1540:I1603" si="24">IFERROR(YEAR(E1540),"")</f>
        <v>1900</v>
      </c>
    </row>
    <row r="1541" spans="9:9" x14ac:dyDescent="0.25">
      <c r="I1541">
        <f t="shared" si="24"/>
        <v>1900</v>
      </c>
    </row>
    <row r="1542" spans="9:9" x14ac:dyDescent="0.25">
      <c r="I1542">
        <f t="shared" si="24"/>
        <v>1900</v>
      </c>
    </row>
    <row r="1543" spans="9:9" x14ac:dyDescent="0.25">
      <c r="I1543">
        <f t="shared" si="24"/>
        <v>1900</v>
      </c>
    </row>
    <row r="1544" spans="9:9" x14ac:dyDescent="0.25">
      <c r="I1544">
        <f t="shared" si="24"/>
        <v>1900</v>
      </c>
    </row>
    <row r="1545" spans="9:9" x14ac:dyDescent="0.25">
      <c r="I1545">
        <f t="shared" si="24"/>
        <v>1900</v>
      </c>
    </row>
    <row r="1546" spans="9:9" x14ac:dyDescent="0.25">
      <c r="I1546">
        <f t="shared" si="24"/>
        <v>1900</v>
      </c>
    </row>
    <row r="1547" spans="9:9" x14ac:dyDescent="0.25">
      <c r="I1547">
        <f t="shared" si="24"/>
        <v>1900</v>
      </c>
    </row>
    <row r="1548" spans="9:9" x14ac:dyDescent="0.25">
      <c r="I1548">
        <f t="shared" si="24"/>
        <v>1900</v>
      </c>
    </row>
    <row r="1549" spans="9:9" x14ac:dyDescent="0.25">
      <c r="I1549">
        <f t="shared" si="24"/>
        <v>1900</v>
      </c>
    </row>
    <row r="1550" spans="9:9" x14ac:dyDescent="0.25">
      <c r="I1550">
        <f t="shared" si="24"/>
        <v>1900</v>
      </c>
    </row>
    <row r="1551" spans="9:9" x14ac:dyDescent="0.25">
      <c r="I1551">
        <f t="shared" si="24"/>
        <v>1900</v>
      </c>
    </row>
    <row r="1552" spans="9:9" x14ac:dyDescent="0.25">
      <c r="I1552">
        <f t="shared" si="24"/>
        <v>1900</v>
      </c>
    </row>
    <row r="1553" spans="9:9" x14ac:dyDescent="0.25">
      <c r="I1553">
        <f t="shared" si="24"/>
        <v>1900</v>
      </c>
    </row>
    <row r="1554" spans="9:9" x14ac:dyDescent="0.25">
      <c r="I1554">
        <f t="shared" si="24"/>
        <v>1900</v>
      </c>
    </row>
    <row r="1555" spans="9:9" x14ac:dyDescent="0.25">
      <c r="I1555">
        <f t="shared" si="24"/>
        <v>1900</v>
      </c>
    </row>
    <row r="1556" spans="9:9" x14ac:dyDescent="0.25">
      <c r="I1556">
        <f t="shared" si="24"/>
        <v>1900</v>
      </c>
    </row>
    <row r="1557" spans="9:9" x14ac:dyDescent="0.25">
      <c r="I1557">
        <f t="shared" si="24"/>
        <v>1900</v>
      </c>
    </row>
    <row r="1558" spans="9:9" x14ac:dyDescent="0.25">
      <c r="I1558">
        <f t="shared" si="24"/>
        <v>1900</v>
      </c>
    </row>
    <row r="1559" spans="9:9" x14ac:dyDescent="0.25">
      <c r="I1559">
        <f t="shared" si="24"/>
        <v>1900</v>
      </c>
    </row>
    <row r="1560" spans="9:9" x14ac:dyDescent="0.25">
      <c r="I1560">
        <f t="shared" si="24"/>
        <v>1900</v>
      </c>
    </row>
    <row r="1561" spans="9:9" x14ac:dyDescent="0.25">
      <c r="I1561">
        <f t="shared" si="24"/>
        <v>1900</v>
      </c>
    </row>
    <row r="1562" spans="9:9" x14ac:dyDescent="0.25">
      <c r="I1562">
        <f t="shared" si="24"/>
        <v>1900</v>
      </c>
    </row>
    <row r="1563" spans="9:9" x14ac:dyDescent="0.25">
      <c r="I1563">
        <f t="shared" si="24"/>
        <v>1900</v>
      </c>
    </row>
    <row r="1564" spans="9:9" x14ac:dyDescent="0.25">
      <c r="I1564">
        <f t="shared" si="24"/>
        <v>1900</v>
      </c>
    </row>
    <row r="1565" spans="9:9" x14ac:dyDescent="0.25">
      <c r="I1565">
        <f t="shared" si="24"/>
        <v>1900</v>
      </c>
    </row>
    <row r="1566" spans="9:9" x14ac:dyDescent="0.25">
      <c r="I1566">
        <f t="shared" si="24"/>
        <v>1900</v>
      </c>
    </row>
    <row r="1567" spans="9:9" x14ac:dyDescent="0.25">
      <c r="I1567">
        <f t="shared" si="24"/>
        <v>1900</v>
      </c>
    </row>
    <row r="1568" spans="9:9" x14ac:dyDescent="0.25">
      <c r="I1568">
        <f t="shared" si="24"/>
        <v>1900</v>
      </c>
    </row>
    <row r="1569" spans="9:9" x14ac:dyDescent="0.25">
      <c r="I1569">
        <f t="shared" si="24"/>
        <v>1900</v>
      </c>
    </row>
    <row r="1570" spans="9:9" x14ac:dyDescent="0.25">
      <c r="I1570">
        <f t="shared" si="24"/>
        <v>1900</v>
      </c>
    </row>
    <row r="1571" spans="9:9" x14ac:dyDescent="0.25">
      <c r="I1571">
        <f t="shared" si="24"/>
        <v>1900</v>
      </c>
    </row>
    <row r="1572" spans="9:9" x14ac:dyDescent="0.25">
      <c r="I1572">
        <f t="shared" si="24"/>
        <v>1900</v>
      </c>
    </row>
    <row r="1573" spans="9:9" x14ac:dyDescent="0.25">
      <c r="I1573">
        <f t="shared" si="24"/>
        <v>1900</v>
      </c>
    </row>
    <row r="1574" spans="9:9" x14ac:dyDescent="0.25">
      <c r="I1574">
        <f t="shared" si="24"/>
        <v>1900</v>
      </c>
    </row>
    <row r="1575" spans="9:9" x14ac:dyDescent="0.25">
      <c r="I1575">
        <f t="shared" si="24"/>
        <v>1900</v>
      </c>
    </row>
    <row r="1576" spans="9:9" x14ac:dyDescent="0.25">
      <c r="I1576">
        <f t="shared" si="24"/>
        <v>1900</v>
      </c>
    </row>
    <row r="1577" spans="9:9" x14ac:dyDescent="0.25">
      <c r="I1577">
        <f t="shared" si="24"/>
        <v>1900</v>
      </c>
    </row>
    <row r="1578" spans="9:9" x14ac:dyDescent="0.25">
      <c r="I1578">
        <f t="shared" si="24"/>
        <v>1900</v>
      </c>
    </row>
    <row r="1579" spans="9:9" x14ac:dyDescent="0.25">
      <c r="I1579">
        <f t="shared" si="24"/>
        <v>1900</v>
      </c>
    </row>
    <row r="1580" spans="9:9" x14ac:dyDescent="0.25">
      <c r="I1580">
        <f t="shared" si="24"/>
        <v>1900</v>
      </c>
    </row>
    <row r="1581" spans="9:9" x14ac:dyDescent="0.25">
      <c r="I1581">
        <f t="shared" si="24"/>
        <v>1900</v>
      </c>
    </row>
    <row r="1582" spans="9:9" x14ac:dyDescent="0.25">
      <c r="I1582">
        <f t="shared" si="24"/>
        <v>1900</v>
      </c>
    </row>
    <row r="1583" spans="9:9" x14ac:dyDescent="0.25">
      <c r="I1583">
        <f t="shared" si="24"/>
        <v>1900</v>
      </c>
    </row>
    <row r="1584" spans="9:9" x14ac:dyDescent="0.25">
      <c r="I1584">
        <f t="shared" si="24"/>
        <v>1900</v>
      </c>
    </row>
    <row r="1585" spans="9:9" x14ac:dyDescent="0.25">
      <c r="I1585">
        <f t="shared" si="24"/>
        <v>1900</v>
      </c>
    </row>
    <row r="1586" spans="9:9" x14ac:dyDescent="0.25">
      <c r="I1586">
        <f t="shared" si="24"/>
        <v>1900</v>
      </c>
    </row>
    <row r="1587" spans="9:9" x14ac:dyDescent="0.25">
      <c r="I1587">
        <f t="shared" si="24"/>
        <v>1900</v>
      </c>
    </row>
    <row r="1588" spans="9:9" x14ac:dyDescent="0.25">
      <c r="I1588">
        <f t="shared" si="24"/>
        <v>1900</v>
      </c>
    </row>
    <row r="1589" spans="9:9" x14ac:dyDescent="0.25">
      <c r="I1589">
        <f t="shared" si="24"/>
        <v>1900</v>
      </c>
    </row>
    <row r="1590" spans="9:9" x14ac:dyDescent="0.25">
      <c r="I1590">
        <f t="shared" si="24"/>
        <v>1900</v>
      </c>
    </row>
    <row r="1591" spans="9:9" x14ac:dyDescent="0.25">
      <c r="I1591">
        <f t="shared" si="24"/>
        <v>1900</v>
      </c>
    </row>
    <row r="1592" spans="9:9" x14ac:dyDescent="0.25">
      <c r="I1592">
        <f t="shared" si="24"/>
        <v>1900</v>
      </c>
    </row>
    <row r="1593" spans="9:9" x14ac:dyDescent="0.25">
      <c r="I1593">
        <f t="shared" si="24"/>
        <v>1900</v>
      </c>
    </row>
    <row r="1594" spans="9:9" x14ac:dyDescent="0.25">
      <c r="I1594">
        <f t="shared" si="24"/>
        <v>1900</v>
      </c>
    </row>
    <row r="1595" spans="9:9" x14ac:dyDescent="0.25">
      <c r="I1595">
        <f t="shared" si="24"/>
        <v>1900</v>
      </c>
    </row>
    <row r="1596" spans="9:9" x14ac:dyDescent="0.25">
      <c r="I1596">
        <f t="shared" si="24"/>
        <v>1900</v>
      </c>
    </row>
    <row r="1597" spans="9:9" x14ac:dyDescent="0.25">
      <c r="I1597">
        <f t="shared" si="24"/>
        <v>1900</v>
      </c>
    </row>
    <row r="1598" spans="9:9" x14ac:dyDescent="0.25">
      <c r="I1598">
        <f t="shared" si="24"/>
        <v>1900</v>
      </c>
    </row>
    <row r="1599" spans="9:9" x14ac:dyDescent="0.25">
      <c r="I1599">
        <f t="shared" si="24"/>
        <v>1900</v>
      </c>
    </row>
    <row r="1600" spans="9:9" x14ac:dyDescent="0.25">
      <c r="I1600">
        <f t="shared" si="24"/>
        <v>1900</v>
      </c>
    </row>
    <row r="1601" spans="9:9" x14ac:dyDescent="0.25">
      <c r="I1601">
        <f t="shared" si="24"/>
        <v>1900</v>
      </c>
    </row>
    <row r="1602" spans="9:9" x14ac:dyDescent="0.25">
      <c r="I1602">
        <f t="shared" si="24"/>
        <v>1900</v>
      </c>
    </row>
    <row r="1603" spans="9:9" x14ac:dyDescent="0.25">
      <c r="I1603">
        <f t="shared" si="24"/>
        <v>1900</v>
      </c>
    </row>
    <row r="1604" spans="9:9" x14ac:dyDescent="0.25">
      <c r="I1604">
        <f t="shared" ref="I1604:I1667" si="25">IFERROR(YEAR(E1604),"")</f>
        <v>1900</v>
      </c>
    </row>
    <row r="1605" spans="9:9" x14ac:dyDescent="0.25">
      <c r="I1605">
        <f t="shared" si="25"/>
        <v>1900</v>
      </c>
    </row>
    <row r="1606" spans="9:9" x14ac:dyDescent="0.25">
      <c r="I1606">
        <f t="shared" si="25"/>
        <v>1900</v>
      </c>
    </row>
    <row r="1607" spans="9:9" x14ac:dyDescent="0.25">
      <c r="I1607">
        <f t="shared" si="25"/>
        <v>1900</v>
      </c>
    </row>
    <row r="1608" spans="9:9" x14ac:dyDescent="0.25">
      <c r="I1608">
        <f t="shared" si="25"/>
        <v>1900</v>
      </c>
    </row>
    <row r="1609" spans="9:9" x14ac:dyDescent="0.25">
      <c r="I1609">
        <f t="shared" si="25"/>
        <v>1900</v>
      </c>
    </row>
    <row r="1610" spans="9:9" x14ac:dyDescent="0.25">
      <c r="I1610">
        <f t="shared" si="25"/>
        <v>1900</v>
      </c>
    </row>
    <row r="1611" spans="9:9" x14ac:dyDescent="0.25">
      <c r="I1611">
        <f t="shared" si="25"/>
        <v>1900</v>
      </c>
    </row>
    <row r="1612" spans="9:9" x14ac:dyDescent="0.25">
      <c r="I1612">
        <f t="shared" si="25"/>
        <v>1900</v>
      </c>
    </row>
    <row r="1613" spans="9:9" x14ac:dyDescent="0.25">
      <c r="I1613">
        <f t="shared" si="25"/>
        <v>1900</v>
      </c>
    </row>
    <row r="1614" spans="9:9" x14ac:dyDescent="0.25">
      <c r="I1614">
        <f t="shared" si="25"/>
        <v>1900</v>
      </c>
    </row>
    <row r="1615" spans="9:9" x14ac:dyDescent="0.25">
      <c r="I1615">
        <f t="shared" si="25"/>
        <v>1900</v>
      </c>
    </row>
    <row r="1616" spans="9:9" x14ac:dyDescent="0.25">
      <c r="I1616">
        <f t="shared" si="25"/>
        <v>1900</v>
      </c>
    </row>
    <row r="1617" spans="9:9" x14ac:dyDescent="0.25">
      <c r="I1617">
        <f t="shared" si="25"/>
        <v>1900</v>
      </c>
    </row>
    <row r="1618" spans="9:9" x14ac:dyDescent="0.25">
      <c r="I1618">
        <f t="shared" si="25"/>
        <v>1900</v>
      </c>
    </row>
    <row r="1619" spans="9:9" x14ac:dyDescent="0.25">
      <c r="I1619">
        <f t="shared" si="25"/>
        <v>1900</v>
      </c>
    </row>
    <row r="1620" spans="9:9" x14ac:dyDescent="0.25">
      <c r="I1620">
        <f t="shared" si="25"/>
        <v>1900</v>
      </c>
    </row>
    <row r="1621" spans="9:9" x14ac:dyDescent="0.25">
      <c r="I1621">
        <f t="shared" si="25"/>
        <v>1900</v>
      </c>
    </row>
    <row r="1622" spans="9:9" x14ac:dyDescent="0.25">
      <c r="I1622">
        <f t="shared" si="25"/>
        <v>1900</v>
      </c>
    </row>
    <row r="1623" spans="9:9" x14ac:dyDescent="0.25">
      <c r="I1623">
        <f t="shared" si="25"/>
        <v>1900</v>
      </c>
    </row>
    <row r="1624" spans="9:9" x14ac:dyDescent="0.25">
      <c r="I1624">
        <f t="shared" si="25"/>
        <v>1900</v>
      </c>
    </row>
    <row r="1625" spans="9:9" x14ac:dyDescent="0.25">
      <c r="I1625">
        <f t="shared" si="25"/>
        <v>1900</v>
      </c>
    </row>
    <row r="1626" spans="9:9" x14ac:dyDescent="0.25">
      <c r="I1626">
        <f t="shared" si="25"/>
        <v>1900</v>
      </c>
    </row>
    <row r="1627" spans="9:9" x14ac:dyDescent="0.25">
      <c r="I1627">
        <f t="shared" si="25"/>
        <v>1900</v>
      </c>
    </row>
    <row r="1628" spans="9:9" x14ac:dyDescent="0.25">
      <c r="I1628">
        <f t="shared" si="25"/>
        <v>1900</v>
      </c>
    </row>
    <row r="1629" spans="9:9" x14ac:dyDescent="0.25">
      <c r="I1629">
        <f t="shared" si="25"/>
        <v>1900</v>
      </c>
    </row>
    <row r="1630" spans="9:9" x14ac:dyDescent="0.25">
      <c r="I1630">
        <f t="shared" si="25"/>
        <v>1900</v>
      </c>
    </row>
    <row r="1631" spans="9:9" x14ac:dyDescent="0.25">
      <c r="I1631">
        <f t="shared" si="25"/>
        <v>1900</v>
      </c>
    </row>
    <row r="1632" spans="9:9" x14ac:dyDescent="0.25">
      <c r="I1632">
        <f t="shared" si="25"/>
        <v>1900</v>
      </c>
    </row>
    <row r="1633" spans="9:9" x14ac:dyDescent="0.25">
      <c r="I1633">
        <f t="shared" si="25"/>
        <v>1900</v>
      </c>
    </row>
    <row r="1634" spans="9:9" x14ac:dyDescent="0.25">
      <c r="I1634">
        <f t="shared" si="25"/>
        <v>1900</v>
      </c>
    </row>
    <row r="1635" spans="9:9" x14ac:dyDescent="0.25">
      <c r="I1635">
        <f t="shared" si="25"/>
        <v>1900</v>
      </c>
    </row>
    <row r="1636" spans="9:9" x14ac:dyDescent="0.25">
      <c r="I1636">
        <f t="shared" si="25"/>
        <v>1900</v>
      </c>
    </row>
    <row r="1637" spans="9:9" x14ac:dyDescent="0.25">
      <c r="I1637">
        <f t="shared" si="25"/>
        <v>1900</v>
      </c>
    </row>
    <row r="1638" spans="9:9" x14ac:dyDescent="0.25">
      <c r="I1638">
        <f t="shared" si="25"/>
        <v>1900</v>
      </c>
    </row>
    <row r="1639" spans="9:9" x14ac:dyDescent="0.25">
      <c r="I1639">
        <f t="shared" si="25"/>
        <v>1900</v>
      </c>
    </row>
    <row r="1640" spans="9:9" x14ac:dyDescent="0.25">
      <c r="I1640">
        <f t="shared" si="25"/>
        <v>1900</v>
      </c>
    </row>
    <row r="1641" spans="9:9" x14ac:dyDescent="0.25">
      <c r="I1641">
        <f t="shared" si="25"/>
        <v>1900</v>
      </c>
    </row>
    <row r="1642" spans="9:9" x14ac:dyDescent="0.25">
      <c r="I1642">
        <f t="shared" si="25"/>
        <v>1900</v>
      </c>
    </row>
    <row r="1643" spans="9:9" x14ac:dyDescent="0.25">
      <c r="I1643">
        <f t="shared" si="25"/>
        <v>1900</v>
      </c>
    </row>
    <row r="1644" spans="9:9" x14ac:dyDescent="0.25">
      <c r="I1644">
        <f t="shared" si="25"/>
        <v>1900</v>
      </c>
    </row>
    <row r="1645" spans="9:9" x14ac:dyDescent="0.25">
      <c r="I1645">
        <f t="shared" si="25"/>
        <v>1900</v>
      </c>
    </row>
    <row r="1646" spans="9:9" x14ac:dyDescent="0.25">
      <c r="I1646">
        <f t="shared" si="25"/>
        <v>1900</v>
      </c>
    </row>
    <row r="1647" spans="9:9" x14ac:dyDescent="0.25">
      <c r="I1647">
        <f t="shared" si="25"/>
        <v>1900</v>
      </c>
    </row>
    <row r="1648" spans="9:9" x14ac:dyDescent="0.25">
      <c r="I1648">
        <f t="shared" si="25"/>
        <v>1900</v>
      </c>
    </row>
    <row r="1649" spans="9:9" x14ac:dyDescent="0.25">
      <c r="I1649">
        <f t="shared" si="25"/>
        <v>1900</v>
      </c>
    </row>
    <row r="1650" spans="9:9" x14ac:dyDescent="0.25">
      <c r="I1650">
        <f t="shared" si="25"/>
        <v>1900</v>
      </c>
    </row>
    <row r="1651" spans="9:9" x14ac:dyDescent="0.25">
      <c r="I1651">
        <f t="shared" si="25"/>
        <v>1900</v>
      </c>
    </row>
    <row r="1652" spans="9:9" x14ac:dyDescent="0.25">
      <c r="I1652">
        <f t="shared" si="25"/>
        <v>1900</v>
      </c>
    </row>
    <row r="1653" spans="9:9" x14ac:dyDescent="0.25">
      <c r="I1653">
        <f t="shared" si="25"/>
        <v>1900</v>
      </c>
    </row>
    <row r="1654" spans="9:9" x14ac:dyDescent="0.25">
      <c r="I1654">
        <f t="shared" si="25"/>
        <v>1900</v>
      </c>
    </row>
    <row r="1655" spans="9:9" x14ac:dyDescent="0.25">
      <c r="I1655">
        <f t="shared" si="25"/>
        <v>1900</v>
      </c>
    </row>
    <row r="1656" spans="9:9" x14ac:dyDescent="0.25">
      <c r="I1656">
        <f t="shared" si="25"/>
        <v>1900</v>
      </c>
    </row>
    <row r="1657" spans="9:9" x14ac:dyDescent="0.25">
      <c r="I1657">
        <f t="shared" si="25"/>
        <v>1900</v>
      </c>
    </row>
    <row r="1658" spans="9:9" x14ac:dyDescent="0.25">
      <c r="I1658">
        <f t="shared" si="25"/>
        <v>1900</v>
      </c>
    </row>
    <row r="1659" spans="9:9" x14ac:dyDescent="0.25">
      <c r="I1659">
        <f t="shared" si="25"/>
        <v>1900</v>
      </c>
    </row>
    <row r="1660" spans="9:9" x14ac:dyDescent="0.25">
      <c r="I1660">
        <f t="shared" si="25"/>
        <v>1900</v>
      </c>
    </row>
    <row r="1661" spans="9:9" x14ac:dyDescent="0.25">
      <c r="I1661">
        <f t="shared" si="25"/>
        <v>1900</v>
      </c>
    </row>
    <row r="1662" spans="9:9" x14ac:dyDescent="0.25">
      <c r="I1662">
        <f t="shared" si="25"/>
        <v>1900</v>
      </c>
    </row>
    <row r="1663" spans="9:9" x14ac:dyDescent="0.25">
      <c r="I1663">
        <f t="shared" si="25"/>
        <v>1900</v>
      </c>
    </row>
    <row r="1664" spans="9:9" x14ac:dyDescent="0.25">
      <c r="I1664">
        <f t="shared" si="25"/>
        <v>1900</v>
      </c>
    </row>
    <row r="1665" spans="9:9" x14ac:dyDescent="0.25">
      <c r="I1665">
        <f t="shared" si="25"/>
        <v>1900</v>
      </c>
    </row>
    <row r="1666" spans="9:9" x14ac:dyDescent="0.25">
      <c r="I1666">
        <f t="shared" si="25"/>
        <v>1900</v>
      </c>
    </row>
    <row r="1667" spans="9:9" x14ac:dyDescent="0.25">
      <c r="I1667">
        <f t="shared" si="25"/>
        <v>1900</v>
      </c>
    </row>
    <row r="1668" spans="9:9" x14ac:dyDescent="0.25">
      <c r="I1668">
        <f t="shared" ref="I1668:I1731" si="26">IFERROR(YEAR(E1668),"")</f>
        <v>1900</v>
      </c>
    </row>
    <row r="1669" spans="9:9" x14ac:dyDescent="0.25">
      <c r="I1669">
        <f t="shared" si="26"/>
        <v>1900</v>
      </c>
    </row>
    <row r="1670" spans="9:9" x14ac:dyDescent="0.25">
      <c r="I1670">
        <f t="shared" si="26"/>
        <v>1900</v>
      </c>
    </row>
    <row r="1671" spans="9:9" x14ac:dyDescent="0.25">
      <c r="I1671">
        <f t="shared" si="26"/>
        <v>1900</v>
      </c>
    </row>
    <row r="1672" spans="9:9" x14ac:dyDescent="0.25">
      <c r="I1672">
        <f t="shared" si="26"/>
        <v>1900</v>
      </c>
    </row>
    <row r="1673" spans="9:9" x14ac:dyDescent="0.25">
      <c r="I1673">
        <f t="shared" si="26"/>
        <v>1900</v>
      </c>
    </row>
    <row r="1674" spans="9:9" x14ac:dyDescent="0.25">
      <c r="I1674">
        <f t="shared" si="26"/>
        <v>1900</v>
      </c>
    </row>
    <row r="1675" spans="9:9" x14ac:dyDescent="0.25">
      <c r="I1675">
        <f t="shared" si="26"/>
        <v>1900</v>
      </c>
    </row>
    <row r="1676" spans="9:9" x14ac:dyDescent="0.25">
      <c r="I1676">
        <f t="shared" si="26"/>
        <v>1900</v>
      </c>
    </row>
    <row r="1677" spans="9:9" x14ac:dyDescent="0.25">
      <c r="I1677">
        <f t="shared" si="26"/>
        <v>1900</v>
      </c>
    </row>
    <row r="1678" spans="9:9" x14ac:dyDescent="0.25">
      <c r="I1678">
        <f t="shared" si="26"/>
        <v>1900</v>
      </c>
    </row>
    <row r="1679" spans="9:9" x14ac:dyDescent="0.25">
      <c r="I1679">
        <f t="shared" si="26"/>
        <v>1900</v>
      </c>
    </row>
    <row r="1680" spans="9:9" x14ac:dyDescent="0.25">
      <c r="I1680">
        <f t="shared" si="26"/>
        <v>1900</v>
      </c>
    </row>
    <row r="1681" spans="9:9" x14ac:dyDescent="0.25">
      <c r="I1681">
        <f t="shared" si="26"/>
        <v>1900</v>
      </c>
    </row>
    <row r="1682" spans="9:9" x14ac:dyDescent="0.25">
      <c r="I1682">
        <f t="shared" si="26"/>
        <v>1900</v>
      </c>
    </row>
    <row r="1683" spans="9:9" x14ac:dyDescent="0.25">
      <c r="I1683">
        <f t="shared" si="26"/>
        <v>1900</v>
      </c>
    </row>
    <row r="1684" spans="9:9" x14ac:dyDescent="0.25">
      <c r="I1684">
        <f t="shared" si="26"/>
        <v>1900</v>
      </c>
    </row>
    <row r="1685" spans="9:9" x14ac:dyDescent="0.25">
      <c r="I1685">
        <f t="shared" si="26"/>
        <v>1900</v>
      </c>
    </row>
    <row r="1686" spans="9:9" x14ac:dyDescent="0.25">
      <c r="I1686">
        <f t="shared" si="26"/>
        <v>1900</v>
      </c>
    </row>
    <row r="1687" spans="9:9" x14ac:dyDescent="0.25">
      <c r="I1687">
        <f t="shared" si="26"/>
        <v>1900</v>
      </c>
    </row>
    <row r="1688" spans="9:9" x14ac:dyDescent="0.25">
      <c r="I1688">
        <f t="shared" si="26"/>
        <v>1900</v>
      </c>
    </row>
    <row r="1689" spans="9:9" x14ac:dyDescent="0.25">
      <c r="I1689">
        <f t="shared" si="26"/>
        <v>1900</v>
      </c>
    </row>
    <row r="1690" spans="9:9" x14ac:dyDescent="0.25">
      <c r="I1690">
        <f t="shared" si="26"/>
        <v>1900</v>
      </c>
    </row>
    <row r="1691" spans="9:9" x14ac:dyDescent="0.25">
      <c r="I1691">
        <f t="shared" si="26"/>
        <v>1900</v>
      </c>
    </row>
    <row r="1692" spans="9:9" x14ac:dyDescent="0.25">
      <c r="I1692">
        <f t="shared" si="26"/>
        <v>1900</v>
      </c>
    </row>
    <row r="1693" spans="9:9" x14ac:dyDescent="0.25">
      <c r="I1693">
        <f t="shared" si="26"/>
        <v>1900</v>
      </c>
    </row>
    <row r="1694" spans="9:9" x14ac:dyDescent="0.25">
      <c r="I1694">
        <f t="shared" si="26"/>
        <v>1900</v>
      </c>
    </row>
    <row r="1695" spans="9:9" x14ac:dyDescent="0.25">
      <c r="I1695">
        <f t="shared" si="26"/>
        <v>1900</v>
      </c>
    </row>
    <row r="1696" spans="9:9" x14ac:dyDescent="0.25">
      <c r="I1696">
        <f t="shared" si="26"/>
        <v>1900</v>
      </c>
    </row>
    <row r="1697" spans="9:9" x14ac:dyDescent="0.25">
      <c r="I1697">
        <f t="shared" si="26"/>
        <v>1900</v>
      </c>
    </row>
    <row r="1698" spans="9:9" x14ac:dyDescent="0.25">
      <c r="I1698">
        <f t="shared" si="26"/>
        <v>1900</v>
      </c>
    </row>
    <row r="1699" spans="9:9" x14ac:dyDescent="0.25">
      <c r="I1699">
        <f t="shared" si="26"/>
        <v>1900</v>
      </c>
    </row>
    <row r="1700" spans="9:9" x14ac:dyDescent="0.25">
      <c r="I1700">
        <f t="shared" si="26"/>
        <v>1900</v>
      </c>
    </row>
    <row r="1701" spans="9:9" x14ac:dyDescent="0.25">
      <c r="I1701">
        <f t="shared" si="26"/>
        <v>1900</v>
      </c>
    </row>
    <row r="1702" spans="9:9" x14ac:dyDescent="0.25">
      <c r="I1702">
        <f t="shared" si="26"/>
        <v>1900</v>
      </c>
    </row>
    <row r="1703" spans="9:9" x14ac:dyDescent="0.25">
      <c r="I1703">
        <f t="shared" si="26"/>
        <v>1900</v>
      </c>
    </row>
    <row r="1704" spans="9:9" x14ac:dyDescent="0.25">
      <c r="I1704">
        <f t="shared" si="26"/>
        <v>1900</v>
      </c>
    </row>
    <row r="1705" spans="9:9" x14ac:dyDescent="0.25">
      <c r="I1705">
        <f t="shared" si="26"/>
        <v>1900</v>
      </c>
    </row>
    <row r="1706" spans="9:9" x14ac:dyDescent="0.25">
      <c r="I1706">
        <f t="shared" si="26"/>
        <v>1900</v>
      </c>
    </row>
    <row r="1707" spans="9:9" x14ac:dyDescent="0.25">
      <c r="I1707">
        <f t="shared" si="26"/>
        <v>1900</v>
      </c>
    </row>
    <row r="1708" spans="9:9" x14ac:dyDescent="0.25">
      <c r="I1708">
        <f t="shared" si="26"/>
        <v>1900</v>
      </c>
    </row>
    <row r="1709" spans="9:9" x14ac:dyDescent="0.25">
      <c r="I1709">
        <f t="shared" si="26"/>
        <v>1900</v>
      </c>
    </row>
    <row r="1710" spans="9:9" x14ac:dyDescent="0.25">
      <c r="I1710">
        <f t="shared" si="26"/>
        <v>1900</v>
      </c>
    </row>
    <row r="1711" spans="9:9" x14ac:dyDescent="0.25">
      <c r="I1711">
        <f t="shared" si="26"/>
        <v>1900</v>
      </c>
    </row>
    <row r="1712" spans="9:9" x14ac:dyDescent="0.25">
      <c r="I1712">
        <f t="shared" si="26"/>
        <v>1900</v>
      </c>
    </row>
    <row r="1713" spans="9:9" x14ac:dyDescent="0.25">
      <c r="I1713">
        <f t="shared" si="26"/>
        <v>1900</v>
      </c>
    </row>
    <row r="1714" spans="9:9" x14ac:dyDescent="0.25">
      <c r="I1714">
        <f t="shared" si="26"/>
        <v>1900</v>
      </c>
    </row>
    <row r="1715" spans="9:9" x14ac:dyDescent="0.25">
      <c r="I1715">
        <f t="shared" si="26"/>
        <v>1900</v>
      </c>
    </row>
    <row r="1716" spans="9:9" x14ac:dyDescent="0.25">
      <c r="I1716">
        <f t="shared" si="26"/>
        <v>1900</v>
      </c>
    </row>
    <row r="1717" spans="9:9" x14ac:dyDescent="0.25">
      <c r="I1717">
        <f t="shared" si="26"/>
        <v>1900</v>
      </c>
    </row>
    <row r="1718" spans="9:9" x14ac:dyDescent="0.25">
      <c r="I1718">
        <f t="shared" si="26"/>
        <v>1900</v>
      </c>
    </row>
    <row r="1719" spans="9:9" x14ac:dyDescent="0.25">
      <c r="I1719">
        <f t="shared" si="26"/>
        <v>1900</v>
      </c>
    </row>
    <row r="1720" spans="9:9" x14ac:dyDescent="0.25">
      <c r="I1720">
        <f t="shared" si="26"/>
        <v>1900</v>
      </c>
    </row>
    <row r="1721" spans="9:9" x14ac:dyDescent="0.25">
      <c r="I1721">
        <f t="shared" si="26"/>
        <v>1900</v>
      </c>
    </row>
    <row r="1722" spans="9:9" x14ac:dyDescent="0.25">
      <c r="I1722">
        <f t="shared" si="26"/>
        <v>1900</v>
      </c>
    </row>
    <row r="1723" spans="9:9" x14ac:dyDescent="0.25">
      <c r="I1723">
        <f t="shared" si="26"/>
        <v>1900</v>
      </c>
    </row>
    <row r="1724" spans="9:9" x14ac:dyDescent="0.25">
      <c r="I1724">
        <f t="shared" si="26"/>
        <v>1900</v>
      </c>
    </row>
    <row r="1725" spans="9:9" x14ac:dyDescent="0.25">
      <c r="I1725">
        <f t="shared" si="26"/>
        <v>1900</v>
      </c>
    </row>
    <row r="1726" spans="9:9" x14ac:dyDescent="0.25">
      <c r="I1726">
        <f t="shared" si="26"/>
        <v>1900</v>
      </c>
    </row>
    <row r="1727" spans="9:9" x14ac:dyDescent="0.25">
      <c r="I1727">
        <f t="shared" si="26"/>
        <v>1900</v>
      </c>
    </row>
    <row r="1728" spans="9:9" x14ac:dyDescent="0.25">
      <c r="I1728">
        <f t="shared" si="26"/>
        <v>1900</v>
      </c>
    </row>
    <row r="1729" spans="9:9" x14ac:dyDescent="0.25">
      <c r="I1729">
        <f t="shared" si="26"/>
        <v>1900</v>
      </c>
    </row>
    <row r="1730" spans="9:9" x14ac:dyDescent="0.25">
      <c r="I1730">
        <f t="shared" si="26"/>
        <v>1900</v>
      </c>
    </row>
    <row r="1731" spans="9:9" x14ac:dyDescent="0.25">
      <c r="I1731">
        <f t="shared" si="26"/>
        <v>1900</v>
      </c>
    </row>
    <row r="1732" spans="9:9" x14ac:dyDescent="0.25">
      <c r="I1732">
        <f t="shared" ref="I1732:I1795" si="27">IFERROR(YEAR(E1732),"")</f>
        <v>1900</v>
      </c>
    </row>
    <row r="1733" spans="9:9" x14ac:dyDescent="0.25">
      <c r="I1733">
        <f t="shared" si="27"/>
        <v>1900</v>
      </c>
    </row>
    <row r="1734" spans="9:9" x14ac:dyDescent="0.25">
      <c r="I1734">
        <f t="shared" si="27"/>
        <v>1900</v>
      </c>
    </row>
    <row r="1735" spans="9:9" x14ac:dyDescent="0.25">
      <c r="I1735">
        <f t="shared" si="27"/>
        <v>1900</v>
      </c>
    </row>
    <row r="1736" spans="9:9" x14ac:dyDescent="0.25">
      <c r="I1736">
        <f t="shared" si="27"/>
        <v>1900</v>
      </c>
    </row>
    <row r="1737" spans="9:9" x14ac:dyDescent="0.25">
      <c r="I1737">
        <f t="shared" si="27"/>
        <v>1900</v>
      </c>
    </row>
    <row r="1738" spans="9:9" x14ac:dyDescent="0.25">
      <c r="I1738">
        <f t="shared" si="27"/>
        <v>1900</v>
      </c>
    </row>
    <row r="1739" spans="9:9" x14ac:dyDescent="0.25">
      <c r="I1739">
        <f t="shared" si="27"/>
        <v>1900</v>
      </c>
    </row>
    <row r="1740" spans="9:9" x14ac:dyDescent="0.25">
      <c r="I1740">
        <f t="shared" si="27"/>
        <v>1900</v>
      </c>
    </row>
    <row r="1741" spans="9:9" x14ac:dyDescent="0.25">
      <c r="I1741">
        <f t="shared" si="27"/>
        <v>1900</v>
      </c>
    </row>
    <row r="1742" spans="9:9" x14ac:dyDescent="0.25">
      <c r="I1742">
        <f t="shared" si="27"/>
        <v>1900</v>
      </c>
    </row>
    <row r="1743" spans="9:9" x14ac:dyDescent="0.25">
      <c r="I1743">
        <f t="shared" si="27"/>
        <v>1900</v>
      </c>
    </row>
    <row r="1744" spans="9:9" x14ac:dyDescent="0.25">
      <c r="I1744">
        <f t="shared" si="27"/>
        <v>1900</v>
      </c>
    </row>
    <row r="1745" spans="9:9" x14ac:dyDescent="0.25">
      <c r="I1745">
        <f t="shared" si="27"/>
        <v>1900</v>
      </c>
    </row>
    <row r="1746" spans="9:9" x14ac:dyDescent="0.25">
      <c r="I1746">
        <f t="shared" si="27"/>
        <v>1900</v>
      </c>
    </row>
    <row r="1747" spans="9:9" x14ac:dyDescent="0.25">
      <c r="I1747">
        <f t="shared" si="27"/>
        <v>1900</v>
      </c>
    </row>
    <row r="1748" spans="9:9" x14ac:dyDescent="0.25">
      <c r="I1748">
        <f t="shared" si="27"/>
        <v>1900</v>
      </c>
    </row>
    <row r="1749" spans="9:9" x14ac:dyDescent="0.25">
      <c r="I1749">
        <f t="shared" si="27"/>
        <v>1900</v>
      </c>
    </row>
    <row r="1750" spans="9:9" x14ac:dyDescent="0.25">
      <c r="I1750">
        <f t="shared" si="27"/>
        <v>1900</v>
      </c>
    </row>
    <row r="1751" spans="9:9" x14ac:dyDescent="0.25">
      <c r="I1751">
        <f t="shared" si="27"/>
        <v>1900</v>
      </c>
    </row>
    <row r="1752" spans="9:9" x14ac:dyDescent="0.25">
      <c r="I1752">
        <f t="shared" si="27"/>
        <v>1900</v>
      </c>
    </row>
    <row r="1753" spans="9:9" x14ac:dyDescent="0.25">
      <c r="I1753">
        <f t="shared" si="27"/>
        <v>1900</v>
      </c>
    </row>
    <row r="1754" spans="9:9" x14ac:dyDescent="0.25">
      <c r="I1754">
        <f t="shared" si="27"/>
        <v>1900</v>
      </c>
    </row>
    <row r="1755" spans="9:9" x14ac:dyDescent="0.25">
      <c r="I1755">
        <f t="shared" si="27"/>
        <v>1900</v>
      </c>
    </row>
    <row r="1756" spans="9:9" x14ac:dyDescent="0.25">
      <c r="I1756">
        <f t="shared" si="27"/>
        <v>1900</v>
      </c>
    </row>
    <row r="1757" spans="9:9" x14ac:dyDescent="0.25">
      <c r="I1757">
        <f t="shared" si="27"/>
        <v>1900</v>
      </c>
    </row>
    <row r="1758" spans="9:9" x14ac:dyDescent="0.25">
      <c r="I1758">
        <f t="shared" si="27"/>
        <v>1900</v>
      </c>
    </row>
    <row r="1759" spans="9:9" x14ac:dyDescent="0.25">
      <c r="I1759">
        <f t="shared" si="27"/>
        <v>1900</v>
      </c>
    </row>
    <row r="1760" spans="9:9" x14ac:dyDescent="0.25">
      <c r="I1760">
        <f t="shared" si="27"/>
        <v>1900</v>
      </c>
    </row>
    <row r="1761" spans="9:9" x14ac:dyDescent="0.25">
      <c r="I1761">
        <f t="shared" si="27"/>
        <v>1900</v>
      </c>
    </row>
    <row r="1762" spans="9:9" x14ac:dyDescent="0.25">
      <c r="I1762">
        <f t="shared" si="27"/>
        <v>1900</v>
      </c>
    </row>
    <row r="1763" spans="9:9" x14ac:dyDescent="0.25">
      <c r="I1763">
        <f t="shared" si="27"/>
        <v>1900</v>
      </c>
    </row>
    <row r="1764" spans="9:9" x14ac:dyDescent="0.25">
      <c r="I1764">
        <f t="shared" si="27"/>
        <v>1900</v>
      </c>
    </row>
    <row r="1765" spans="9:9" x14ac:dyDescent="0.25">
      <c r="I1765">
        <f t="shared" si="27"/>
        <v>1900</v>
      </c>
    </row>
    <row r="1766" spans="9:9" x14ac:dyDescent="0.25">
      <c r="I1766">
        <f t="shared" si="27"/>
        <v>1900</v>
      </c>
    </row>
    <row r="1767" spans="9:9" x14ac:dyDescent="0.25">
      <c r="I1767">
        <f t="shared" si="27"/>
        <v>1900</v>
      </c>
    </row>
    <row r="1768" spans="9:9" x14ac:dyDescent="0.25">
      <c r="I1768">
        <f t="shared" si="27"/>
        <v>1900</v>
      </c>
    </row>
    <row r="1769" spans="9:9" x14ac:dyDescent="0.25">
      <c r="I1769">
        <f t="shared" si="27"/>
        <v>1900</v>
      </c>
    </row>
    <row r="1770" spans="9:9" x14ac:dyDescent="0.25">
      <c r="I1770">
        <f t="shared" si="27"/>
        <v>1900</v>
      </c>
    </row>
    <row r="1771" spans="9:9" x14ac:dyDescent="0.25">
      <c r="I1771">
        <f t="shared" si="27"/>
        <v>1900</v>
      </c>
    </row>
    <row r="1772" spans="9:9" x14ac:dyDescent="0.25">
      <c r="I1772">
        <f t="shared" si="27"/>
        <v>1900</v>
      </c>
    </row>
    <row r="1773" spans="9:9" x14ac:dyDescent="0.25">
      <c r="I1773">
        <f t="shared" si="27"/>
        <v>1900</v>
      </c>
    </row>
    <row r="1774" spans="9:9" x14ac:dyDescent="0.25">
      <c r="I1774">
        <f t="shared" si="27"/>
        <v>1900</v>
      </c>
    </row>
    <row r="1775" spans="9:9" x14ac:dyDescent="0.25">
      <c r="I1775">
        <f t="shared" si="27"/>
        <v>1900</v>
      </c>
    </row>
    <row r="1776" spans="9:9" x14ac:dyDescent="0.25">
      <c r="I1776">
        <f t="shared" si="27"/>
        <v>1900</v>
      </c>
    </row>
    <row r="1777" spans="9:9" x14ac:dyDescent="0.25">
      <c r="I1777">
        <f t="shared" si="27"/>
        <v>1900</v>
      </c>
    </row>
    <row r="1778" spans="9:9" x14ac:dyDescent="0.25">
      <c r="I1778">
        <f t="shared" si="27"/>
        <v>1900</v>
      </c>
    </row>
    <row r="1779" spans="9:9" x14ac:dyDescent="0.25">
      <c r="I1779">
        <f t="shared" si="27"/>
        <v>1900</v>
      </c>
    </row>
    <row r="1780" spans="9:9" x14ac:dyDescent="0.25">
      <c r="I1780">
        <f t="shared" si="27"/>
        <v>1900</v>
      </c>
    </row>
    <row r="1781" spans="9:9" x14ac:dyDescent="0.25">
      <c r="I1781">
        <f t="shared" si="27"/>
        <v>1900</v>
      </c>
    </row>
    <row r="1782" spans="9:9" x14ac:dyDescent="0.25">
      <c r="I1782">
        <f t="shared" si="27"/>
        <v>1900</v>
      </c>
    </row>
    <row r="1783" spans="9:9" x14ac:dyDescent="0.25">
      <c r="I1783">
        <f t="shared" si="27"/>
        <v>1900</v>
      </c>
    </row>
    <row r="1784" spans="9:9" x14ac:dyDescent="0.25">
      <c r="I1784">
        <f t="shared" si="27"/>
        <v>1900</v>
      </c>
    </row>
    <row r="1785" spans="9:9" x14ac:dyDescent="0.25">
      <c r="I1785">
        <f t="shared" si="27"/>
        <v>1900</v>
      </c>
    </row>
    <row r="1786" spans="9:9" x14ac:dyDescent="0.25">
      <c r="I1786">
        <f t="shared" si="27"/>
        <v>1900</v>
      </c>
    </row>
    <row r="1787" spans="9:9" x14ac:dyDescent="0.25">
      <c r="I1787">
        <f t="shared" si="27"/>
        <v>1900</v>
      </c>
    </row>
    <row r="1788" spans="9:9" x14ac:dyDescent="0.25">
      <c r="I1788">
        <f t="shared" si="27"/>
        <v>1900</v>
      </c>
    </row>
    <row r="1789" spans="9:9" x14ac:dyDescent="0.25">
      <c r="I1789">
        <f t="shared" si="27"/>
        <v>1900</v>
      </c>
    </row>
    <row r="1790" spans="9:9" x14ac:dyDescent="0.25">
      <c r="I1790">
        <f t="shared" si="27"/>
        <v>1900</v>
      </c>
    </row>
    <row r="1791" spans="9:9" x14ac:dyDescent="0.25">
      <c r="I1791">
        <f t="shared" si="27"/>
        <v>1900</v>
      </c>
    </row>
    <row r="1792" spans="9:9" x14ac:dyDescent="0.25">
      <c r="I1792">
        <f t="shared" si="27"/>
        <v>1900</v>
      </c>
    </row>
    <row r="1793" spans="9:9" x14ac:dyDescent="0.25">
      <c r="I1793">
        <f t="shared" si="27"/>
        <v>1900</v>
      </c>
    </row>
    <row r="1794" spans="9:9" x14ac:dyDescent="0.25">
      <c r="I1794">
        <f t="shared" si="27"/>
        <v>1900</v>
      </c>
    </row>
    <row r="1795" spans="9:9" x14ac:dyDescent="0.25">
      <c r="I1795">
        <f t="shared" si="27"/>
        <v>1900</v>
      </c>
    </row>
    <row r="1796" spans="9:9" x14ac:dyDescent="0.25">
      <c r="I1796">
        <f t="shared" ref="I1796:I1859" si="28">IFERROR(YEAR(E1796),"")</f>
        <v>1900</v>
      </c>
    </row>
    <row r="1797" spans="9:9" x14ac:dyDescent="0.25">
      <c r="I1797">
        <f t="shared" si="28"/>
        <v>1900</v>
      </c>
    </row>
    <row r="1798" spans="9:9" x14ac:dyDescent="0.25">
      <c r="I1798">
        <f t="shared" si="28"/>
        <v>1900</v>
      </c>
    </row>
    <row r="1799" spans="9:9" x14ac:dyDescent="0.25">
      <c r="I1799">
        <f t="shared" si="28"/>
        <v>1900</v>
      </c>
    </row>
    <row r="1800" spans="9:9" x14ac:dyDescent="0.25">
      <c r="I1800">
        <f t="shared" si="28"/>
        <v>1900</v>
      </c>
    </row>
    <row r="1801" spans="9:9" x14ac:dyDescent="0.25">
      <c r="I1801">
        <f t="shared" si="28"/>
        <v>1900</v>
      </c>
    </row>
    <row r="1802" spans="9:9" x14ac:dyDescent="0.25">
      <c r="I1802">
        <f t="shared" si="28"/>
        <v>1900</v>
      </c>
    </row>
    <row r="1803" spans="9:9" x14ac:dyDescent="0.25">
      <c r="I1803">
        <f t="shared" si="28"/>
        <v>1900</v>
      </c>
    </row>
    <row r="1804" spans="9:9" x14ac:dyDescent="0.25">
      <c r="I1804">
        <f t="shared" si="28"/>
        <v>1900</v>
      </c>
    </row>
    <row r="1805" spans="9:9" x14ac:dyDescent="0.25">
      <c r="I1805">
        <f t="shared" si="28"/>
        <v>1900</v>
      </c>
    </row>
    <row r="1806" spans="9:9" x14ac:dyDescent="0.25">
      <c r="I1806">
        <f t="shared" si="28"/>
        <v>1900</v>
      </c>
    </row>
    <row r="1807" spans="9:9" x14ac:dyDescent="0.25">
      <c r="I1807">
        <f t="shared" si="28"/>
        <v>1900</v>
      </c>
    </row>
    <row r="1808" spans="9:9" x14ac:dyDescent="0.25">
      <c r="I1808">
        <f t="shared" si="28"/>
        <v>1900</v>
      </c>
    </row>
    <row r="1809" spans="9:9" x14ac:dyDescent="0.25">
      <c r="I1809">
        <f t="shared" si="28"/>
        <v>1900</v>
      </c>
    </row>
    <row r="1810" spans="9:9" x14ac:dyDescent="0.25">
      <c r="I1810">
        <f t="shared" si="28"/>
        <v>1900</v>
      </c>
    </row>
    <row r="1811" spans="9:9" x14ac:dyDescent="0.25">
      <c r="I1811">
        <f t="shared" si="28"/>
        <v>1900</v>
      </c>
    </row>
    <row r="1812" spans="9:9" x14ac:dyDescent="0.25">
      <c r="I1812">
        <f t="shared" si="28"/>
        <v>1900</v>
      </c>
    </row>
    <row r="1813" spans="9:9" x14ac:dyDescent="0.25">
      <c r="I1813">
        <f t="shared" si="28"/>
        <v>1900</v>
      </c>
    </row>
    <row r="1814" spans="9:9" x14ac:dyDescent="0.25">
      <c r="I1814">
        <f t="shared" si="28"/>
        <v>1900</v>
      </c>
    </row>
    <row r="1815" spans="9:9" x14ac:dyDescent="0.25">
      <c r="I1815">
        <f t="shared" si="28"/>
        <v>1900</v>
      </c>
    </row>
    <row r="1816" spans="9:9" x14ac:dyDescent="0.25">
      <c r="I1816">
        <f t="shared" si="28"/>
        <v>1900</v>
      </c>
    </row>
    <row r="1817" spans="9:9" x14ac:dyDescent="0.25">
      <c r="I1817">
        <f t="shared" si="28"/>
        <v>1900</v>
      </c>
    </row>
    <row r="1818" spans="9:9" x14ac:dyDescent="0.25">
      <c r="I1818">
        <f t="shared" si="28"/>
        <v>1900</v>
      </c>
    </row>
    <row r="1819" spans="9:9" x14ac:dyDescent="0.25">
      <c r="I1819">
        <f t="shared" si="28"/>
        <v>1900</v>
      </c>
    </row>
    <row r="1820" spans="9:9" x14ac:dyDescent="0.25">
      <c r="I1820">
        <f t="shared" si="28"/>
        <v>1900</v>
      </c>
    </row>
    <row r="1821" spans="9:9" x14ac:dyDescent="0.25">
      <c r="I1821">
        <f t="shared" si="28"/>
        <v>1900</v>
      </c>
    </row>
    <row r="1822" spans="9:9" x14ac:dyDescent="0.25">
      <c r="I1822">
        <f t="shared" si="28"/>
        <v>1900</v>
      </c>
    </row>
    <row r="1823" spans="9:9" x14ac:dyDescent="0.25">
      <c r="I1823">
        <f t="shared" si="28"/>
        <v>1900</v>
      </c>
    </row>
    <row r="1824" spans="9:9" x14ac:dyDescent="0.25">
      <c r="I1824">
        <f t="shared" si="28"/>
        <v>1900</v>
      </c>
    </row>
    <row r="1825" spans="9:9" x14ac:dyDescent="0.25">
      <c r="I1825">
        <f t="shared" si="28"/>
        <v>1900</v>
      </c>
    </row>
    <row r="1826" spans="9:9" x14ac:dyDescent="0.25">
      <c r="I1826">
        <f t="shared" si="28"/>
        <v>1900</v>
      </c>
    </row>
    <row r="1827" spans="9:9" x14ac:dyDescent="0.25">
      <c r="I1827">
        <f t="shared" si="28"/>
        <v>1900</v>
      </c>
    </row>
    <row r="1828" spans="9:9" x14ac:dyDescent="0.25">
      <c r="I1828">
        <f t="shared" si="28"/>
        <v>1900</v>
      </c>
    </row>
    <row r="1829" spans="9:9" x14ac:dyDescent="0.25">
      <c r="I1829">
        <f t="shared" si="28"/>
        <v>1900</v>
      </c>
    </row>
    <row r="1830" spans="9:9" x14ac:dyDescent="0.25">
      <c r="I1830">
        <f t="shared" si="28"/>
        <v>1900</v>
      </c>
    </row>
    <row r="1831" spans="9:9" x14ac:dyDescent="0.25">
      <c r="I1831">
        <f t="shared" si="28"/>
        <v>1900</v>
      </c>
    </row>
    <row r="1832" spans="9:9" x14ac:dyDescent="0.25">
      <c r="I1832">
        <f t="shared" si="28"/>
        <v>1900</v>
      </c>
    </row>
    <row r="1833" spans="9:9" x14ac:dyDescent="0.25">
      <c r="I1833">
        <f t="shared" si="28"/>
        <v>1900</v>
      </c>
    </row>
    <row r="1834" spans="9:9" x14ac:dyDescent="0.25">
      <c r="I1834">
        <f t="shared" si="28"/>
        <v>1900</v>
      </c>
    </row>
    <row r="1835" spans="9:9" x14ac:dyDescent="0.25">
      <c r="I1835">
        <f t="shared" si="28"/>
        <v>1900</v>
      </c>
    </row>
    <row r="1836" spans="9:9" x14ac:dyDescent="0.25">
      <c r="I1836">
        <f t="shared" si="28"/>
        <v>1900</v>
      </c>
    </row>
    <row r="1837" spans="9:9" x14ac:dyDescent="0.25">
      <c r="I1837">
        <f t="shared" si="28"/>
        <v>1900</v>
      </c>
    </row>
    <row r="1838" spans="9:9" x14ac:dyDescent="0.25">
      <c r="I1838">
        <f t="shared" si="28"/>
        <v>1900</v>
      </c>
    </row>
    <row r="1839" spans="9:9" x14ac:dyDescent="0.25">
      <c r="I1839">
        <f t="shared" si="28"/>
        <v>1900</v>
      </c>
    </row>
    <row r="1840" spans="9:9" x14ac:dyDescent="0.25">
      <c r="I1840">
        <f t="shared" si="28"/>
        <v>1900</v>
      </c>
    </row>
    <row r="1841" spans="9:9" x14ac:dyDescent="0.25">
      <c r="I1841">
        <f t="shared" si="28"/>
        <v>1900</v>
      </c>
    </row>
    <row r="1842" spans="9:9" x14ac:dyDescent="0.25">
      <c r="I1842">
        <f t="shared" si="28"/>
        <v>1900</v>
      </c>
    </row>
    <row r="1843" spans="9:9" x14ac:dyDescent="0.25">
      <c r="I1843">
        <f t="shared" si="28"/>
        <v>1900</v>
      </c>
    </row>
    <row r="1844" spans="9:9" x14ac:dyDescent="0.25">
      <c r="I1844">
        <f t="shared" si="28"/>
        <v>1900</v>
      </c>
    </row>
    <row r="1845" spans="9:9" x14ac:dyDescent="0.25">
      <c r="I1845">
        <f t="shared" si="28"/>
        <v>1900</v>
      </c>
    </row>
    <row r="1846" spans="9:9" x14ac:dyDescent="0.25">
      <c r="I1846">
        <f t="shared" si="28"/>
        <v>1900</v>
      </c>
    </row>
    <row r="1847" spans="9:9" x14ac:dyDescent="0.25">
      <c r="I1847">
        <f t="shared" si="28"/>
        <v>1900</v>
      </c>
    </row>
    <row r="1848" spans="9:9" x14ac:dyDescent="0.25">
      <c r="I1848">
        <f t="shared" si="28"/>
        <v>1900</v>
      </c>
    </row>
    <row r="1849" spans="9:9" x14ac:dyDescent="0.25">
      <c r="I1849">
        <f t="shared" si="28"/>
        <v>1900</v>
      </c>
    </row>
    <row r="1850" spans="9:9" x14ac:dyDescent="0.25">
      <c r="I1850">
        <f t="shared" si="28"/>
        <v>1900</v>
      </c>
    </row>
    <row r="1851" spans="9:9" x14ac:dyDescent="0.25">
      <c r="I1851">
        <f t="shared" si="28"/>
        <v>1900</v>
      </c>
    </row>
    <row r="1852" spans="9:9" x14ac:dyDescent="0.25">
      <c r="I1852">
        <f t="shared" si="28"/>
        <v>1900</v>
      </c>
    </row>
    <row r="1853" spans="9:9" x14ac:dyDescent="0.25">
      <c r="I1853">
        <f t="shared" si="28"/>
        <v>1900</v>
      </c>
    </row>
    <row r="1854" spans="9:9" x14ac:dyDescent="0.25">
      <c r="I1854">
        <f t="shared" si="28"/>
        <v>1900</v>
      </c>
    </row>
    <row r="1855" spans="9:9" x14ac:dyDescent="0.25">
      <c r="I1855">
        <f t="shared" si="28"/>
        <v>1900</v>
      </c>
    </row>
    <row r="1856" spans="9:9" x14ac:dyDescent="0.25">
      <c r="I1856">
        <f t="shared" si="28"/>
        <v>1900</v>
      </c>
    </row>
    <row r="1857" spans="9:9" x14ac:dyDescent="0.25">
      <c r="I1857">
        <f t="shared" si="28"/>
        <v>1900</v>
      </c>
    </row>
    <row r="1858" spans="9:9" x14ac:dyDescent="0.25">
      <c r="I1858">
        <f t="shared" si="28"/>
        <v>1900</v>
      </c>
    </row>
    <row r="1859" spans="9:9" x14ac:dyDescent="0.25">
      <c r="I1859">
        <f t="shared" si="28"/>
        <v>1900</v>
      </c>
    </row>
    <row r="1860" spans="9:9" x14ac:dyDescent="0.25">
      <c r="I1860">
        <f t="shared" ref="I1860:I1923" si="29">IFERROR(YEAR(E1860),"")</f>
        <v>1900</v>
      </c>
    </row>
    <row r="1861" spans="9:9" x14ac:dyDescent="0.25">
      <c r="I1861">
        <f t="shared" si="29"/>
        <v>1900</v>
      </c>
    </row>
    <row r="1862" spans="9:9" x14ac:dyDescent="0.25">
      <c r="I1862">
        <f t="shared" si="29"/>
        <v>1900</v>
      </c>
    </row>
    <row r="1863" spans="9:9" x14ac:dyDescent="0.25">
      <c r="I1863">
        <f t="shared" si="29"/>
        <v>1900</v>
      </c>
    </row>
    <row r="1864" spans="9:9" x14ac:dyDescent="0.25">
      <c r="I1864">
        <f t="shared" si="29"/>
        <v>1900</v>
      </c>
    </row>
    <row r="1865" spans="9:9" x14ac:dyDescent="0.25">
      <c r="I1865">
        <f t="shared" si="29"/>
        <v>1900</v>
      </c>
    </row>
    <row r="1866" spans="9:9" x14ac:dyDescent="0.25">
      <c r="I1866">
        <f t="shared" si="29"/>
        <v>1900</v>
      </c>
    </row>
    <row r="1867" spans="9:9" x14ac:dyDescent="0.25">
      <c r="I1867">
        <f t="shared" si="29"/>
        <v>1900</v>
      </c>
    </row>
    <row r="1868" spans="9:9" x14ac:dyDescent="0.25">
      <c r="I1868">
        <f t="shared" si="29"/>
        <v>1900</v>
      </c>
    </row>
    <row r="1869" spans="9:9" x14ac:dyDescent="0.25">
      <c r="I1869">
        <f t="shared" si="29"/>
        <v>1900</v>
      </c>
    </row>
    <row r="1870" spans="9:9" x14ac:dyDescent="0.25">
      <c r="I1870">
        <f t="shared" si="29"/>
        <v>1900</v>
      </c>
    </row>
    <row r="1871" spans="9:9" x14ac:dyDescent="0.25">
      <c r="I1871">
        <f t="shared" si="29"/>
        <v>1900</v>
      </c>
    </row>
    <row r="1872" spans="9:9" x14ac:dyDescent="0.25">
      <c r="I1872">
        <f t="shared" si="29"/>
        <v>1900</v>
      </c>
    </row>
    <row r="1873" spans="9:9" x14ac:dyDescent="0.25">
      <c r="I1873">
        <f t="shared" si="29"/>
        <v>1900</v>
      </c>
    </row>
    <row r="1874" spans="9:9" x14ac:dyDescent="0.25">
      <c r="I1874">
        <f t="shared" si="29"/>
        <v>1900</v>
      </c>
    </row>
    <row r="1875" spans="9:9" x14ac:dyDescent="0.25">
      <c r="I1875">
        <f t="shared" si="29"/>
        <v>1900</v>
      </c>
    </row>
    <row r="1876" spans="9:9" x14ac:dyDescent="0.25">
      <c r="I1876">
        <f t="shared" si="29"/>
        <v>1900</v>
      </c>
    </row>
    <row r="1877" spans="9:9" x14ac:dyDescent="0.25">
      <c r="I1877">
        <f t="shared" si="29"/>
        <v>1900</v>
      </c>
    </row>
    <row r="1878" spans="9:9" x14ac:dyDescent="0.25">
      <c r="I1878">
        <f t="shared" si="29"/>
        <v>1900</v>
      </c>
    </row>
    <row r="1879" spans="9:9" x14ac:dyDescent="0.25">
      <c r="I1879">
        <f t="shared" si="29"/>
        <v>1900</v>
      </c>
    </row>
    <row r="1880" spans="9:9" x14ac:dyDescent="0.25">
      <c r="I1880">
        <f t="shared" si="29"/>
        <v>1900</v>
      </c>
    </row>
    <row r="1881" spans="9:9" x14ac:dyDescent="0.25">
      <c r="I1881">
        <f t="shared" si="29"/>
        <v>1900</v>
      </c>
    </row>
    <row r="1882" spans="9:9" x14ac:dyDescent="0.25">
      <c r="I1882">
        <f t="shared" si="29"/>
        <v>1900</v>
      </c>
    </row>
    <row r="1883" spans="9:9" x14ac:dyDescent="0.25">
      <c r="I1883">
        <f t="shared" si="29"/>
        <v>1900</v>
      </c>
    </row>
    <row r="1884" spans="9:9" x14ac:dyDescent="0.25">
      <c r="I1884">
        <f t="shared" si="29"/>
        <v>1900</v>
      </c>
    </row>
    <row r="1885" spans="9:9" x14ac:dyDescent="0.25">
      <c r="I1885">
        <f t="shared" si="29"/>
        <v>1900</v>
      </c>
    </row>
    <row r="1886" spans="9:9" x14ac:dyDescent="0.25">
      <c r="I1886">
        <f t="shared" si="29"/>
        <v>1900</v>
      </c>
    </row>
    <row r="1887" spans="9:9" x14ac:dyDescent="0.25">
      <c r="I1887">
        <f t="shared" si="29"/>
        <v>1900</v>
      </c>
    </row>
    <row r="1888" spans="9:9" x14ac:dyDescent="0.25">
      <c r="I1888">
        <f t="shared" si="29"/>
        <v>1900</v>
      </c>
    </row>
    <row r="1889" spans="9:9" x14ac:dyDescent="0.25">
      <c r="I1889">
        <f t="shared" si="29"/>
        <v>1900</v>
      </c>
    </row>
    <row r="1890" spans="9:9" x14ac:dyDescent="0.25">
      <c r="I1890">
        <f t="shared" si="29"/>
        <v>1900</v>
      </c>
    </row>
    <row r="1891" spans="9:9" x14ac:dyDescent="0.25">
      <c r="I1891">
        <f t="shared" si="29"/>
        <v>1900</v>
      </c>
    </row>
    <row r="1892" spans="9:9" x14ac:dyDescent="0.25">
      <c r="I1892">
        <f t="shared" si="29"/>
        <v>1900</v>
      </c>
    </row>
    <row r="1893" spans="9:9" x14ac:dyDescent="0.25">
      <c r="I1893">
        <f t="shared" si="29"/>
        <v>1900</v>
      </c>
    </row>
    <row r="1894" spans="9:9" x14ac:dyDescent="0.25">
      <c r="I1894">
        <f t="shared" si="29"/>
        <v>1900</v>
      </c>
    </row>
    <row r="1895" spans="9:9" x14ac:dyDescent="0.25">
      <c r="I1895">
        <f t="shared" si="29"/>
        <v>1900</v>
      </c>
    </row>
    <row r="1896" spans="9:9" x14ac:dyDescent="0.25">
      <c r="I1896">
        <f t="shared" si="29"/>
        <v>1900</v>
      </c>
    </row>
    <row r="1897" spans="9:9" x14ac:dyDescent="0.25">
      <c r="I1897">
        <f t="shared" si="29"/>
        <v>1900</v>
      </c>
    </row>
    <row r="1898" spans="9:9" x14ac:dyDescent="0.25">
      <c r="I1898">
        <f t="shared" si="29"/>
        <v>1900</v>
      </c>
    </row>
    <row r="1899" spans="9:9" x14ac:dyDescent="0.25">
      <c r="I1899">
        <f t="shared" si="29"/>
        <v>1900</v>
      </c>
    </row>
    <row r="1900" spans="9:9" x14ac:dyDescent="0.25">
      <c r="I1900">
        <f t="shared" si="29"/>
        <v>1900</v>
      </c>
    </row>
    <row r="1901" spans="9:9" x14ac:dyDescent="0.25">
      <c r="I1901">
        <f t="shared" si="29"/>
        <v>1900</v>
      </c>
    </row>
    <row r="1902" spans="9:9" x14ac:dyDescent="0.25">
      <c r="I1902">
        <f t="shared" si="29"/>
        <v>1900</v>
      </c>
    </row>
    <row r="1903" spans="9:9" x14ac:dyDescent="0.25">
      <c r="I1903">
        <f t="shared" si="29"/>
        <v>1900</v>
      </c>
    </row>
    <row r="1904" spans="9:9" x14ac:dyDescent="0.25">
      <c r="I1904">
        <f t="shared" si="29"/>
        <v>1900</v>
      </c>
    </row>
    <row r="1905" spans="9:9" x14ac:dyDescent="0.25">
      <c r="I1905">
        <f t="shared" si="29"/>
        <v>1900</v>
      </c>
    </row>
    <row r="1906" spans="9:9" x14ac:dyDescent="0.25">
      <c r="I1906">
        <f t="shared" si="29"/>
        <v>1900</v>
      </c>
    </row>
    <row r="1907" spans="9:9" x14ac:dyDescent="0.25">
      <c r="I1907">
        <f t="shared" si="29"/>
        <v>1900</v>
      </c>
    </row>
    <row r="1908" spans="9:9" x14ac:dyDescent="0.25">
      <c r="I1908">
        <f t="shared" si="29"/>
        <v>1900</v>
      </c>
    </row>
    <row r="1909" spans="9:9" x14ac:dyDescent="0.25">
      <c r="I1909">
        <f t="shared" si="29"/>
        <v>1900</v>
      </c>
    </row>
    <row r="1910" spans="9:9" x14ac:dyDescent="0.25">
      <c r="I1910">
        <f t="shared" si="29"/>
        <v>1900</v>
      </c>
    </row>
    <row r="1911" spans="9:9" x14ac:dyDescent="0.25">
      <c r="I1911">
        <f t="shared" si="29"/>
        <v>1900</v>
      </c>
    </row>
    <row r="1912" spans="9:9" x14ac:dyDescent="0.25">
      <c r="I1912">
        <f t="shared" si="29"/>
        <v>1900</v>
      </c>
    </row>
    <row r="1913" spans="9:9" x14ac:dyDescent="0.25">
      <c r="I1913">
        <f t="shared" si="29"/>
        <v>1900</v>
      </c>
    </row>
    <row r="1914" spans="9:9" x14ac:dyDescent="0.25">
      <c r="I1914">
        <f t="shared" si="29"/>
        <v>1900</v>
      </c>
    </row>
    <row r="1915" spans="9:9" x14ac:dyDescent="0.25">
      <c r="I1915">
        <f t="shared" si="29"/>
        <v>1900</v>
      </c>
    </row>
    <row r="1916" spans="9:9" x14ac:dyDescent="0.25">
      <c r="I1916">
        <f t="shared" si="29"/>
        <v>1900</v>
      </c>
    </row>
    <row r="1917" spans="9:9" x14ac:dyDescent="0.25">
      <c r="I1917">
        <f t="shared" si="29"/>
        <v>1900</v>
      </c>
    </row>
    <row r="1918" spans="9:9" x14ac:dyDescent="0.25">
      <c r="I1918">
        <f t="shared" si="29"/>
        <v>1900</v>
      </c>
    </row>
    <row r="1919" spans="9:9" x14ac:dyDescent="0.25">
      <c r="I1919">
        <f t="shared" si="29"/>
        <v>1900</v>
      </c>
    </row>
    <row r="1920" spans="9:9" x14ac:dyDescent="0.25">
      <c r="I1920">
        <f t="shared" si="29"/>
        <v>1900</v>
      </c>
    </row>
    <row r="1921" spans="9:9" x14ac:dyDescent="0.25">
      <c r="I1921">
        <f t="shared" si="29"/>
        <v>1900</v>
      </c>
    </row>
    <row r="1922" spans="9:9" x14ac:dyDescent="0.25">
      <c r="I1922">
        <f t="shared" si="29"/>
        <v>1900</v>
      </c>
    </row>
    <row r="1923" spans="9:9" x14ac:dyDescent="0.25">
      <c r="I1923">
        <f t="shared" si="29"/>
        <v>1900</v>
      </c>
    </row>
    <row r="1924" spans="9:9" x14ac:dyDescent="0.25">
      <c r="I1924">
        <f t="shared" ref="I1924:I1987" si="30">IFERROR(YEAR(E1924),"")</f>
        <v>1900</v>
      </c>
    </row>
    <row r="1925" spans="9:9" x14ac:dyDescent="0.25">
      <c r="I1925">
        <f t="shared" si="30"/>
        <v>1900</v>
      </c>
    </row>
    <row r="1926" spans="9:9" x14ac:dyDescent="0.25">
      <c r="I1926">
        <f t="shared" si="30"/>
        <v>1900</v>
      </c>
    </row>
    <row r="1927" spans="9:9" x14ac:dyDescent="0.25">
      <c r="I1927">
        <f t="shared" si="30"/>
        <v>1900</v>
      </c>
    </row>
    <row r="1928" spans="9:9" x14ac:dyDescent="0.25">
      <c r="I1928">
        <f t="shared" si="30"/>
        <v>1900</v>
      </c>
    </row>
    <row r="1929" spans="9:9" x14ac:dyDescent="0.25">
      <c r="I1929">
        <f t="shared" si="30"/>
        <v>1900</v>
      </c>
    </row>
    <row r="1930" spans="9:9" x14ac:dyDescent="0.25">
      <c r="I1930">
        <f t="shared" si="30"/>
        <v>1900</v>
      </c>
    </row>
    <row r="1931" spans="9:9" x14ac:dyDescent="0.25">
      <c r="I1931">
        <f t="shared" si="30"/>
        <v>1900</v>
      </c>
    </row>
    <row r="1932" spans="9:9" x14ac:dyDescent="0.25">
      <c r="I1932">
        <f t="shared" si="30"/>
        <v>1900</v>
      </c>
    </row>
    <row r="1933" spans="9:9" x14ac:dyDescent="0.25">
      <c r="I1933">
        <f t="shared" si="30"/>
        <v>1900</v>
      </c>
    </row>
    <row r="1934" spans="9:9" x14ac:dyDescent="0.25">
      <c r="I1934">
        <f t="shared" si="30"/>
        <v>1900</v>
      </c>
    </row>
    <row r="1935" spans="9:9" x14ac:dyDescent="0.25">
      <c r="I1935">
        <f t="shared" si="30"/>
        <v>1900</v>
      </c>
    </row>
    <row r="1936" spans="9:9" x14ac:dyDescent="0.25">
      <c r="I1936">
        <f t="shared" si="30"/>
        <v>1900</v>
      </c>
    </row>
    <row r="1937" spans="9:9" x14ac:dyDescent="0.25">
      <c r="I1937">
        <f t="shared" si="30"/>
        <v>1900</v>
      </c>
    </row>
    <row r="1938" spans="9:9" x14ac:dyDescent="0.25">
      <c r="I1938">
        <f t="shared" si="30"/>
        <v>1900</v>
      </c>
    </row>
    <row r="1939" spans="9:9" x14ac:dyDescent="0.25">
      <c r="I1939">
        <f t="shared" si="30"/>
        <v>1900</v>
      </c>
    </row>
    <row r="1940" spans="9:9" x14ac:dyDescent="0.25">
      <c r="I1940">
        <f t="shared" si="30"/>
        <v>1900</v>
      </c>
    </row>
    <row r="1941" spans="9:9" x14ac:dyDescent="0.25">
      <c r="I1941">
        <f t="shared" si="30"/>
        <v>1900</v>
      </c>
    </row>
    <row r="1942" spans="9:9" x14ac:dyDescent="0.25">
      <c r="I1942">
        <f t="shared" si="30"/>
        <v>1900</v>
      </c>
    </row>
    <row r="1943" spans="9:9" x14ac:dyDescent="0.25">
      <c r="I1943">
        <f t="shared" si="30"/>
        <v>1900</v>
      </c>
    </row>
    <row r="1944" spans="9:9" x14ac:dyDescent="0.25">
      <c r="I1944">
        <f t="shared" si="30"/>
        <v>1900</v>
      </c>
    </row>
    <row r="1945" spans="9:9" x14ac:dyDescent="0.25">
      <c r="I1945">
        <f t="shared" si="30"/>
        <v>1900</v>
      </c>
    </row>
    <row r="1946" spans="9:9" x14ac:dyDescent="0.25">
      <c r="I1946">
        <f t="shared" si="30"/>
        <v>1900</v>
      </c>
    </row>
    <row r="1947" spans="9:9" x14ac:dyDescent="0.25">
      <c r="I1947">
        <f t="shared" si="30"/>
        <v>1900</v>
      </c>
    </row>
    <row r="1948" spans="9:9" x14ac:dyDescent="0.25">
      <c r="I1948">
        <f t="shared" si="30"/>
        <v>1900</v>
      </c>
    </row>
    <row r="1949" spans="9:9" x14ac:dyDescent="0.25">
      <c r="I1949">
        <f t="shared" si="30"/>
        <v>1900</v>
      </c>
    </row>
    <row r="1950" spans="9:9" x14ac:dyDescent="0.25">
      <c r="I1950">
        <f t="shared" si="30"/>
        <v>1900</v>
      </c>
    </row>
    <row r="1951" spans="9:9" x14ac:dyDescent="0.25">
      <c r="I1951">
        <f t="shared" si="30"/>
        <v>1900</v>
      </c>
    </row>
    <row r="1952" spans="9:9" x14ac:dyDescent="0.25">
      <c r="I1952">
        <f t="shared" si="30"/>
        <v>1900</v>
      </c>
    </row>
    <row r="1953" spans="9:9" x14ac:dyDescent="0.25">
      <c r="I1953">
        <f t="shared" si="30"/>
        <v>1900</v>
      </c>
    </row>
    <row r="1954" spans="9:9" x14ac:dyDescent="0.25">
      <c r="I1954">
        <f t="shared" si="30"/>
        <v>1900</v>
      </c>
    </row>
    <row r="1955" spans="9:9" x14ac:dyDescent="0.25">
      <c r="I1955">
        <f t="shared" si="30"/>
        <v>1900</v>
      </c>
    </row>
    <row r="1956" spans="9:9" x14ac:dyDescent="0.25">
      <c r="I1956">
        <f t="shared" si="30"/>
        <v>1900</v>
      </c>
    </row>
    <row r="1957" spans="9:9" x14ac:dyDescent="0.25">
      <c r="I1957">
        <f t="shared" si="30"/>
        <v>1900</v>
      </c>
    </row>
    <row r="1958" spans="9:9" x14ac:dyDescent="0.25">
      <c r="I1958">
        <f t="shared" si="30"/>
        <v>1900</v>
      </c>
    </row>
    <row r="1959" spans="9:9" x14ac:dyDescent="0.25">
      <c r="I1959">
        <f t="shared" si="30"/>
        <v>1900</v>
      </c>
    </row>
    <row r="1960" spans="9:9" x14ac:dyDescent="0.25">
      <c r="I1960">
        <f t="shared" si="30"/>
        <v>1900</v>
      </c>
    </row>
    <row r="1961" spans="9:9" x14ac:dyDescent="0.25">
      <c r="I1961">
        <f t="shared" si="30"/>
        <v>1900</v>
      </c>
    </row>
    <row r="1962" spans="9:9" x14ac:dyDescent="0.25">
      <c r="I1962">
        <f t="shared" si="30"/>
        <v>1900</v>
      </c>
    </row>
    <row r="1963" spans="9:9" x14ac:dyDescent="0.25">
      <c r="I1963">
        <f t="shared" si="30"/>
        <v>1900</v>
      </c>
    </row>
    <row r="1964" spans="9:9" x14ac:dyDescent="0.25">
      <c r="I1964">
        <f t="shared" si="30"/>
        <v>1900</v>
      </c>
    </row>
    <row r="1965" spans="9:9" x14ac:dyDescent="0.25">
      <c r="I1965">
        <f t="shared" si="30"/>
        <v>1900</v>
      </c>
    </row>
    <row r="1966" spans="9:9" x14ac:dyDescent="0.25">
      <c r="I1966">
        <f t="shared" si="30"/>
        <v>1900</v>
      </c>
    </row>
    <row r="1967" spans="9:9" x14ac:dyDescent="0.25">
      <c r="I1967">
        <f t="shared" si="30"/>
        <v>1900</v>
      </c>
    </row>
    <row r="1968" spans="9:9" x14ac:dyDescent="0.25">
      <c r="I1968">
        <f t="shared" si="30"/>
        <v>1900</v>
      </c>
    </row>
    <row r="1969" spans="9:9" x14ac:dyDescent="0.25">
      <c r="I1969">
        <f t="shared" si="30"/>
        <v>1900</v>
      </c>
    </row>
    <row r="1970" spans="9:9" x14ac:dyDescent="0.25">
      <c r="I1970">
        <f t="shared" si="30"/>
        <v>1900</v>
      </c>
    </row>
    <row r="1971" spans="9:9" x14ac:dyDescent="0.25">
      <c r="I1971">
        <f t="shared" si="30"/>
        <v>1900</v>
      </c>
    </row>
    <row r="1972" spans="9:9" x14ac:dyDescent="0.25">
      <c r="I1972">
        <f t="shared" si="30"/>
        <v>1900</v>
      </c>
    </row>
    <row r="1973" spans="9:9" x14ac:dyDescent="0.25">
      <c r="I1973">
        <f t="shared" si="30"/>
        <v>1900</v>
      </c>
    </row>
    <row r="1974" spans="9:9" x14ac:dyDescent="0.25">
      <c r="I1974">
        <f t="shared" si="30"/>
        <v>1900</v>
      </c>
    </row>
    <row r="1975" spans="9:9" x14ac:dyDescent="0.25">
      <c r="I1975">
        <f t="shared" si="30"/>
        <v>1900</v>
      </c>
    </row>
    <row r="1976" spans="9:9" x14ac:dyDescent="0.25">
      <c r="I1976">
        <f t="shared" si="30"/>
        <v>1900</v>
      </c>
    </row>
    <row r="1977" spans="9:9" x14ac:dyDescent="0.25">
      <c r="I1977">
        <f t="shared" si="30"/>
        <v>1900</v>
      </c>
    </row>
    <row r="1978" spans="9:9" x14ac:dyDescent="0.25">
      <c r="I1978">
        <f t="shared" si="30"/>
        <v>1900</v>
      </c>
    </row>
    <row r="1979" spans="9:9" x14ac:dyDescent="0.25">
      <c r="I1979">
        <f t="shared" si="30"/>
        <v>1900</v>
      </c>
    </row>
    <row r="1980" spans="9:9" x14ac:dyDescent="0.25">
      <c r="I1980">
        <f t="shared" si="30"/>
        <v>1900</v>
      </c>
    </row>
    <row r="1981" spans="9:9" x14ac:dyDescent="0.25">
      <c r="I1981">
        <f t="shared" si="30"/>
        <v>1900</v>
      </c>
    </row>
    <row r="1982" spans="9:9" x14ac:dyDescent="0.25">
      <c r="I1982">
        <f t="shared" si="30"/>
        <v>1900</v>
      </c>
    </row>
    <row r="1983" spans="9:9" x14ac:dyDescent="0.25">
      <c r="I1983">
        <f t="shared" si="30"/>
        <v>1900</v>
      </c>
    </row>
    <row r="1984" spans="9:9" x14ac:dyDescent="0.25">
      <c r="I1984">
        <f t="shared" si="30"/>
        <v>1900</v>
      </c>
    </row>
    <row r="1985" spans="9:9" x14ac:dyDescent="0.25">
      <c r="I1985">
        <f t="shared" si="30"/>
        <v>1900</v>
      </c>
    </row>
    <row r="1986" spans="9:9" x14ac:dyDescent="0.25">
      <c r="I1986">
        <f t="shared" si="30"/>
        <v>1900</v>
      </c>
    </row>
    <row r="1987" spans="9:9" x14ac:dyDescent="0.25">
      <c r="I1987">
        <f t="shared" si="30"/>
        <v>1900</v>
      </c>
    </row>
    <row r="1988" spans="9:9" x14ac:dyDescent="0.25">
      <c r="I1988">
        <f t="shared" ref="I1988:I2051" si="31">IFERROR(YEAR(E1988),"")</f>
        <v>1900</v>
      </c>
    </row>
    <row r="1989" spans="9:9" x14ac:dyDescent="0.25">
      <c r="I1989">
        <f t="shared" si="31"/>
        <v>1900</v>
      </c>
    </row>
    <row r="1990" spans="9:9" x14ac:dyDescent="0.25">
      <c r="I1990">
        <f t="shared" si="31"/>
        <v>1900</v>
      </c>
    </row>
    <row r="1991" spans="9:9" x14ac:dyDescent="0.25">
      <c r="I1991">
        <f t="shared" si="31"/>
        <v>1900</v>
      </c>
    </row>
    <row r="1992" spans="9:9" x14ac:dyDescent="0.25">
      <c r="I1992">
        <f t="shared" si="31"/>
        <v>1900</v>
      </c>
    </row>
    <row r="1993" spans="9:9" x14ac:dyDescent="0.25">
      <c r="I1993">
        <f t="shared" si="31"/>
        <v>1900</v>
      </c>
    </row>
    <row r="1994" spans="9:9" x14ac:dyDescent="0.25">
      <c r="I1994">
        <f t="shared" si="31"/>
        <v>1900</v>
      </c>
    </row>
    <row r="1995" spans="9:9" x14ac:dyDescent="0.25">
      <c r="I1995">
        <f t="shared" si="31"/>
        <v>1900</v>
      </c>
    </row>
    <row r="1996" spans="9:9" x14ac:dyDescent="0.25">
      <c r="I1996">
        <f t="shared" si="31"/>
        <v>1900</v>
      </c>
    </row>
    <row r="1997" spans="9:9" x14ac:dyDescent="0.25">
      <c r="I1997">
        <f t="shared" si="31"/>
        <v>1900</v>
      </c>
    </row>
    <row r="1998" spans="9:9" x14ac:dyDescent="0.25">
      <c r="I1998">
        <f t="shared" si="31"/>
        <v>1900</v>
      </c>
    </row>
    <row r="1999" spans="9:9" x14ac:dyDescent="0.25">
      <c r="I1999">
        <f t="shared" si="31"/>
        <v>1900</v>
      </c>
    </row>
    <row r="2000" spans="9:9" x14ac:dyDescent="0.25">
      <c r="I2000">
        <f t="shared" si="31"/>
        <v>1900</v>
      </c>
    </row>
    <row r="2001" spans="9:9" x14ac:dyDescent="0.25">
      <c r="I2001">
        <f t="shared" si="31"/>
        <v>1900</v>
      </c>
    </row>
    <row r="2002" spans="9:9" x14ac:dyDescent="0.25">
      <c r="I2002">
        <f t="shared" si="31"/>
        <v>1900</v>
      </c>
    </row>
    <row r="2003" spans="9:9" x14ac:dyDescent="0.25">
      <c r="I2003">
        <f t="shared" si="31"/>
        <v>1900</v>
      </c>
    </row>
    <row r="2004" spans="9:9" x14ac:dyDescent="0.25">
      <c r="I2004">
        <f t="shared" si="31"/>
        <v>1900</v>
      </c>
    </row>
    <row r="2005" spans="9:9" x14ac:dyDescent="0.25">
      <c r="I2005">
        <f t="shared" si="31"/>
        <v>1900</v>
      </c>
    </row>
    <row r="2006" spans="9:9" x14ac:dyDescent="0.25">
      <c r="I2006">
        <f t="shared" si="31"/>
        <v>1900</v>
      </c>
    </row>
    <row r="2007" spans="9:9" x14ac:dyDescent="0.25">
      <c r="I2007">
        <f t="shared" si="31"/>
        <v>1900</v>
      </c>
    </row>
    <row r="2008" spans="9:9" x14ac:dyDescent="0.25">
      <c r="I2008">
        <f t="shared" si="31"/>
        <v>1900</v>
      </c>
    </row>
    <row r="2009" spans="9:9" x14ac:dyDescent="0.25">
      <c r="I2009">
        <f t="shared" si="31"/>
        <v>1900</v>
      </c>
    </row>
    <row r="2010" spans="9:9" x14ac:dyDescent="0.25">
      <c r="I2010">
        <f t="shared" si="31"/>
        <v>1900</v>
      </c>
    </row>
    <row r="2011" spans="9:9" x14ac:dyDescent="0.25">
      <c r="I2011">
        <f t="shared" si="31"/>
        <v>1900</v>
      </c>
    </row>
    <row r="2012" spans="9:9" x14ac:dyDescent="0.25">
      <c r="I2012">
        <f t="shared" si="31"/>
        <v>1900</v>
      </c>
    </row>
    <row r="2013" spans="9:9" x14ac:dyDescent="0.25">
      <c r="I2013">
        <f t="shared" si="31"/>
        <v>1900</v>
      </c>
    </row>
    <row r="2014" spans="9:9" x14ac:dyDescent="0.25">
      <c r="I2014">
        <f t="shared" si="31"/>
        <v>1900</v>
      </c>
    </row>
    <row r="2015" spans="9:9" x14ac:dyDescent="0.25">
      <c r="I2015">
        <f t="shared" si="31"/>
        <v>1900</v>
      </c>
    </row>
    <row r="2016" spans="9:9" x14ac:dyDescent="0.25">
      <c r="I2016">
        <f t="shared" si="31"/>
        <v>1900</v>
      </c>
    </row>
    <row r="2017" spans="9:9" x14ac:dyDescent="0.25">
      <c r="I2017">
        <f t="shared" si="31"/>
        <v>1900</v>
      </c>
    </row>
    <row r="2018" spans="9:9" x14ac:dyDescent="0.25">
      <c r="I2018">
        <f t="shared" si="31"/>
        <v>1900</v>
      </c>
    </row>
    <row r="2019" spans="9:9" x14ac:dyDescent="0.25">
      <c r="I2019">
        <f t="shared" si="31"/>
        <v>1900</v>
      </c>
    </row>
    <row r="2020" spans="9:9" x14ac:dyDescent="0.25">
      <c r="I2020">
        <f t="shared" si="31"/>
        <v>1900</v>
      </c>
    </row>
    <row r="2021" spans="9:9" x14ac:dyDescent="0.25">
      <c r="I2021">
        <f t="shared" si="31"/>
        <v>1900</v>
      </c>
    </row>
    <row r="2022" spans="9:9" x14ac:dyDescent="0.25">
      <c r="I2022">
        <f t="shared" si="31"/>
        <v>1900</v>
      </c>
    </row>
    <row r="2023" spans="9:9" x14ac:dyDescent="0.25">
      <c r="I2023">
        <f t="shared" si="31"/>
        <v>1900</v>
      </c>
    </row>
    <row r="2024" spans="9:9" x14ac:dyDescent="0.25">
      <c r="I2024">
        <f t="shared" si="31"/>
        <v>1900</v>
      </c>
    </row>
    <row r="2025" spans="9:9" x14ac:dyDescent="0.25">
      <c r="I2025">
        <f t="shared" si="31"/>
        <v>1900</v>
      </c>
    </row>
    <row r="2026" spans="9:9" x14ac:dyDescent="0.25">
      <c r="I2026">
        <f t="shared" si="31"/>
        <v>1900</v>
      </c>
    </row>
    <row r="2027" spans="9:9" x14ac:dyDescent="0.25">
      <c r="I2027">
        <f t="shared" si="31"/>
        <v>1900</v>
      </c>
    </row>
    <row r="2028" spans="9:9" x14ac:dyDescent="0.25">
      <c r="I2028">
        <f t="shared" si="31"/>
        <v>1900</v>
      </c>
    </row>
    <row r="2029" spans="9:9" x14ac:dyDescent="0.25">
      <c r="I2029">
        <f t="shared" si="31"/>
        <v>1900</v>
      </c>
    </row>
    <row r="2030" spans="9:9" x14ac:dyDescent="0.25">
      <c r="I2030">
        <f t="shared" si="31"/>
        <v>1900</v>
      </c>
    </row>
    <row r="2031" spans="9:9" x14ac:dyDescent="0.25">
      <c r="I2031">
        <f t="shared" si="31"/>
        <v>1900</v>
      </c>
    </row>
    <row r="2032" spans="9:9" x14ac:dyDescent="0.25">
      <c r="I2032">
        <f t="shared" si="31"/>
        <v>1900</v>
      </c>
    </row>
    <row r="2033" spans="9:9" x14ac:dyDescent="0.25">
      <c r="I2033">
        <f t="shared" si="31"/>
        <v>1900</v>
      </c>
    </row>
    <row r="2034" spans="9:9" x14ac:dyDescent="0.25">
      <c r="I2034">
        <f t="shared" si="31"/>
        <v>1900</v>
      </c>
    </row>
    <row r="2035" spans="9:9" x14ac:dyDescent="0.25">
      <c r="I2035">
        <f t="shared" si="31"/>
        <v>1900</v>
      </c>
    </row>
    <row r="2036" spans="9:9" x14ac:dyDescent="0.25">
      <c r="I2036">
        <f t="shared" si="31"/>
        <v>1900</v>
      </c>
    </row>
    <row r="2037" spans="9:9" x14ac:dyDescent="0.25">
      <c r="I2037">
        <f t="shared" si="31"/>
        <v>1900</v>
      </c>
    </row>
    <row r="2038" spans="9:9" x14ac:dyDescent="0.25">
      <c r="I2038">
        <f t="shared" si="31"/>
        <v>1900</v>
      </c>
    </row>
    <row r="2039" spans="9:9" x14ac:dyDescent="0.25">
      <c r="I2039">
        <f t="shared" si="31"/>
        <v>1900</v>
      </c>
    </row>
    <row r="2040" spans="9:9" x14ac:dyDescent="0.25">
      <c r="I2040">
        <f t="shared" si="31"/>
        <v>1900</v>
      </c>
    </row>
    <row r="2041" spans="9:9" x14ac:dyDescent="0.25">
      <c r="I2041">
        <f t="shared" si="31"/>
        <v>1900</v>
      </c>
    </row>
    <row r="2042" spans="9:9" x14ac:dyDescent="0.25">
      <c r="I2042">
        <f t="shared" si="31"/>
        <v>1900</v>
      </c>
    </row>
    <row r="2043" spans="9:9" x14ac:dyDescent="0.25">
      <c r="I2043">
        <f t="shared" si="31"/>
        <v>1900</v>
      </c>
    </row>
    <row r="2044" spans="9:9" x14ac:dyDescent="0.25">
      <c r="I2044">
        <f t="shared" si="31"/>
        <v>1900</v>
      </c>
    </row>
    <row r="2045" spans="9:9" x14ac:dyDescent="0.25">
      <c r="I2045">
        <f t="shared" si="31"/>
        <v>1900</v>
      </c>
    </row>
    <row r="2046" spans="9:9" x14ac:dyDescent="0.25">
      <c r="I2046">
        <f t="shared" si="31"/>
        <v>1900</v>
      </c>
    </row>
    <row r="2047" spans="9:9" x14ac:dyDescent="0.25">
      <c r="I2047">
        <f t="shared" si="31"/>
        <v>1900</v>
      </c>
    </row>
    <row r="2048" spans="9:9" x14ac:dyDescent="0.25">
      <c r="I2048">
        <f t="shared" si="31"/>
        <v>1900</v>
      </c>
    </row>
    <row r="2049" spans="9:9" x14ac:dyDescent="0.25">
      <c r="I2049">
        <f t="shared" si="31"/>
        <v>1900</v>
      </c>
    </row>
    <row r="2050" spans="9:9" x14ac:dyDescent="0.25">
      <c r="I2050">
        <f t="shared" si="31"/>
        <v>1900</v>
      </c>
    </row>
    <row r="2051" spans="9:9" x14ac:dyDescent="0.25">
      <c r="I2051">
        <f t="shared" si="31"/>
        <v>1900</v>
      </c>
    </row>
    <row r="2052" spans="9:9" x14ac:dyDescent="0.25">
      <c r="I2052">
        <f t="shared" ref="I2052:I2115" si="32">IFERROR(YEAR(E2052),"")</f>
        <v>1900</v>
      </c>
    </row>
    <row r="2053" spans="9:9" x14ac:dyDescent="0.25">
      <c r="I2053">
        <f t="shared" si="32"/>
        <v>1900</v>
      </c>
    </row>
    <row r="2054" spans="9:9" x14ac:dyDescent="0.25">
      <c r="I2054">
        <f t="shared" si="32"/>
        <v>1900</v>
      </c>
    </row>
    <row r="2055" spans="9:9" x14ac:dyDescent="0.25">
      <c r="I2055">
        <f t="shared" si="32"/>
        <v>1900</v>
      </c>
    </row>
    <row r="2056" spans="9:9" x14ac:dyDescent="0.25">
      <c r="I2056">
        <f t="shared" si="32"/>
        <v>1900</v>
      </c>
    </row>
    <row r="2057" spans="9:9" x14ac:dyDescent="0.25">
      <c r="I2057">
        <f t="shared" si="32"/>
        <v>1900</v>
      </c>
    </row>
    <row r="2058" spans="9:9" x14ac:dyDescent="0.25">
      <c r="I2058">
        <f t="shared" si="32"/>
        <v>1900</v>
      </c>
    </row>
    <row r="2059" spans="9:9" x14ac:dyDescent="0.25">
      <c r="I2059">
        <f t="shared" si="32"/>
        <v>1900</v>
      </c>
    </row>
    <row r="2060" spans="9:9" x14ac:dyDescent="0.25">
      <c r="I2060">
        <f t="shared" si="32"/>
        <v>1900</v>
      </c>
    </row>
    <row r="2061" spans="9:9" x14ac:dyDescent="0.25">
      <c r="I2061">
        <f t="shared" si="32"/>
        <v>1900</v>
      </c>
    </row>
    <row r="2062" spans="9:9" x14ac:dyDescent="0.25">
      <c r="I2062">
        <f t="shared" si="32"/>
        <v>1900</v>
      </c>
    </row>
    <row r="2063" spans="9:9" x14ac:dyDescent="0.25">
      <c r="I2063">
        <f t="shared" si="32"/>
        <v>1900</v>
      </c>
    </row>
    <row r="2064" spans="9:9" x14ac:dyDescent="0.25">
      <c r="I2064">
        <f t="shared" si="32"/>
        <v>1900</v>
      </c>
    </row>
    <row r="2065" spans="9:9" x14ac:dyDescent="0.25">
      <c r="I2065">
        <f t="shared" si="32"/>
        <v>1900</v>
      </c>
    </row>
    <row r="2066" spans="9:9" x14ac:dyDescent="0.25">
      <c r="I2066">
        <f t="shared" si="32"/>
        <v>1900</v>
      </c>
    </row>
    <row r="2067" spans="9:9" x14ac:dyDescent="0.25">
      <c r="I2067">
        <f t="shared" si="32"/>
        <v>1900</v>
      </c>
    </row>
    <row r="2068" spans="9:9" x14ac:dyDescent="0.25">
      <c r="I2068">
        <f t="shared" si="32"/>
        <v>1900</v>
      </c>
    </row>
    <row r="2069" spans="9:9" x14ac:dyDescent="0.25">
      <c r="I2069">
        <f t="shared" si="32"/>
        <v>1900</v>
      </c>
    </row>
    <row r="2070" spans="9:9" x14ac:dyDescent="0.25">
      <c r="I2070">
        <f t="shared" si="32"/>
        <v>1900</v>
      </c>
    </row>
    <row r="2071" spans="9:9" x14ac:dyDescent="0.25">
      <c r="I2071">
        <f t="shared" si="32"/>
        <v>1900</v>
      </c>
    </row>
    <row r="2072" spans="9:9" x14ac:dyDescent="0.25">
      <c r="I2072">
        <f t="shared" si="32"/>
        <v>1900</v>
      </c>
    </row>
    <row r="2073" spans="9:9" x14ac:dyDescent="0.25">
      <c r="I2073">
        <f t="shared" si="32"/>
        <v>1900</v>
      </c>
    </row>
    <row r="2074" spans="9:9" x14ac:dyDescent="0.25">
      <c r="I2074">
        <f t="shared" si="32"/>
        <v>1900</v>
      </c>
    </row>
    <row r="2075" spans="9:9" x14ac:dyDescent="0.25">
      <c r="I2075">
        <f t="shared" si="32"/>
        <v>1900</v>
      </c>
    </row>
    <row r="2076" spans="9:9" x14ac:dyDescent="0.25">
      <c r="I2076">
        <f t="shared" si="32"/>
        <v>1900</v>
      </c>
    </row>
    <row r="2077" spans="9:9" x14ac:dyDescent="0.25">
      <c r="I2077">
        <f t="shared" si="32"/>
        <v>1900</v>
      </c>
    </row>
    <row r="2078" spans="9:9" x14ac:dyDescent="0.25">
      <c r="I2078">
        <f t="shared" si="32"/>
        <v>1900</v>
      </c>
    </row>
    <row r="2079" spans="9:9" x14ac:dyDescent="0.25">
      <c r="I2079">
        <f t="shared" si="32"/>
        <v>1900</v>
      </c>
    </row>
    <row r="2080" spans="9:9" x14ac:dyDescent="0.25">
      <c r="I2080">
        <f t="shared" si="32"/>
        <v>1900</v>
      </c>
    </row>
    <row r="2081" spans="9:9" x14ac:dyDescent="0.25">
      <c r="I2081">
        <f t="shared" si="32"/>
        <v>1900</v>
      </c>
    </row>
    <row r="2082" spans="9:9" x14ac:dyDescent="0.25">
      <c r="I2082">
        <f t="shared" si="32"/>
        <v>1900</v>
      </c>
    </row>
    <row r="2083" spans="9:9" x14ac:dyDescent="0.25">
      <c r="I2083">
        <f t="shared" si="32"/>
        <v>1900</v>
      </c>
    </row>
    <row r="2084" spans="9:9" x14ac:dyDescent="0.25">
      <c r="I2084">
        <f t="shared" si="32"/>
        <v>1900</v>
      </c>
    </row>
    <row r="2085" spans="9:9" x14ac:dyDescent="0.25">
      <c r="I2085">
        <f t="shared" si="32"/>
        <v>1900</v>
      </c>
    </row>
    <row r="2086" spans="9:9" x14ac:dyDescent="0.25">
      <c r="I2086">
        <f t="shared" si="32"/>
        <v>1900</v>
      </c>
    </row>
    <row r="2087" spans="9:9" x14ac:dyDescent="0.25">
      <c r="I2087">
        <f t="shared" si="32"/>
        <v>1900</v>
      </c>
    </row>
    <row r="2088" spans="9:9" x14ac:dyDescent="0.25">
      <c r="I2088">
        <f t="shared" si="32"/>
        <v>1900</v>
      </c>
    </row>
    <row r="2089" spans="9:9" x14ac:dyDescent="0.25">
      <c r="I2089">
        <f t="shared" si="32"/>
        <v>1900</v>
      </c>
    </row>
    <row r="2090" spans="9:9" x14ac:dyDescent="0.25">
      <c r="I2090">
        <f t="shared" si="32"/>
        <v>1900</v>
      </c>
    </row>
    <row r="2091" spans="9:9" x14ac:dyDescent="0.25">
      <c r="I2091">
        <f t="shared" si="32"/>
        <v>1900</v>
      </c>
    </row>
    <row r="2092" spans="9:9" x14ac:dyDescent="0.25">
      <c r="I2092">
        <f t="shared" si="32"/>
        <v>1900</v>
      </c>
    </row>
    <row r="2093" spans="9:9" x14ac:dyDescent="0.25">
      <c r="I2093">
        <f t="shared" si="32"/>
        <v>1900</v>
      </c>
    </row>
    <row r="2094" spans="9:9" x14ac:dyDescent="0.25">
      <c r="I2094">
        <f t="shared" si="32"/>
        <v>1900</v>
      </c>
    </row>
    <row r="2095" spans="9:9" x14ac:dyDescent="0.25">
      <c r="I2095">
        <f t="shared" si="32"/>
        <v>1900</v>
      </c>
    </row>
    <row r="2096" spans="9:9" x14ac:dyDescent="0.25">
      <c r="I2096">
        <f t="shared" si="32"/>
        <v>1900</v>
      </c>
    </row>
    <row r="2097" spans="9:9" x14ac:dyDescent="0.25">
      <c r="I2097">
        <f t="shared" si="32"/>
        <v>1900</v>
      </c>
    </row>
    <row r="2098" spans="9:9" x14ac:dyDescent="0.25">
      <c r="I2098">
        <f t="shared" si="32"/>
        <v>1900</v>
      </c>
    </row>
    <row r="2099" spans="9:9" x14ac:dyDescent="0.25">
      <c r="I2099">
        <f t="shared" si="32"/>
        <v>1900</v>
      </c>
    </row>
    <row r="2100" spans="9:9" x14ac:dyDescent="0.25">
      <c r="I2100">
        <f t="shared" si="32"/>
        <v>1900</v>
      </c>
    </row>
    <row r="2101" spans="9:9" x14ac:dyDescent="0.25">
      <c r="I2101">
        <f t="shared" si="32"/>
        <v>1900</v>
      </c>
    </row>
    <row r="2102" spans="9:9" x14ac:dyDescent="0.25">
      <c r="I2102">
        <f t="shared" si="32"/>
        <v>1900</v>
      </c>
    </row>
    <row r="2103" spans="9:9" x14ac:dyDescent="0.25">
      <c r="I2103">
        <f t="shared" si="32"/>
        <v>1900</v>
      </c>
    </row>
    <row r="2104" spans="9:9" x14ac:dyDescent="0.25">
      <c r="I2104">
        <f t="shared" si="32"/>
        <v>1900</v>
      </c>
    </row>
    <row r="2105" spans="9:9" x14ac:dyDescent="0.25">
      <c r="I2105">
        <f t="shared" si="32"/>
        <v>1900</v>
      </c>
    </row>
    <row r="2106" spans="9:9" x14ac:dyDescent="0.25">
      <c r="I2106">
        <f t="shared" si="32"/>
        <v>1900</v>
      </c>
    </row>
    <row r="2107" spans="9:9" x14ac:dyDescent="0.25">
      <c r="I2107">
        <f t="shared" si="32"/>
        <v>1900</v>
      </c>
    </row>
    <row r="2108" spans="9:9" x14ac:dyDescent="0.25">
      <c r="I2108">
        <f t="shared" si="32"/>
        <v>1900</v>
      </c>
    </row>
    <row r="2109" spans="9:9" x14ac:dyDescent="0.25">
      <c r="I2109">
        <f t="shared" si="32"/>
        <v>1900</v>
      </c>
    </row>
    <row r="2110" spans="9:9" x14ac:dyDescent="0.25">
      <c r="I2110">
        <f t="shared" si="32"/>
        <v>1900</v>
      </c>
    </row>
    <row r="2111" spans="9:9" x14ac:dyDescent="0.25">
      <c r="I2111">
        <f t="shared" si="32"/>
        <v>1900</v>
      </c>
    </row>
    <row r="2112" spans="9:9" x14ac:dyDescent="0.25">
      <c r="I2112">
        <f t="shared" si="32"/>
        <v>1900</v>
      </c>
    </row>
    <row r="2113" spans="9:9" x14ac:dyDescent="0.25">
      <c r="I2113">
        <f t="shared" si="32"/>
        <v>1900</v>
      </c>
    </row>
    <row r="2114" spans="9:9" x14ac:dyDescent="0.25">
      <c r="I2114">
        <f t="shared" si="32"/>
        <v>1900</v>
      </c>
    </row>
    <row r="2115" spans="9:9" x14ac:dyDescent="0.25">
      <c r="I2115">
        <f t="shared" si="32"/>
        <v>1900</v>
      </c>
    </row>
    <row r="2116" spans="9:9" x14ac:dyDescent="0.25">
      <c r="I2116">
        <f t="shared" ref="I2116:I2179" si="33">IFERROR(YEAR(E2116),"")</f>
        <v>1900</v>
      </c>
    </row>
    <row r="2117" spans="9:9" x14ac:dyDescent="0.25">
      <c r="I2117">
        <f t="shared" si="33"/>
        <v>1900</v>
      </c>
    </row>
    <row r="2118" spans="9:9" x14ac:dyDescent="0.25">
      <c r="I2118">
        <f t="shared" si="33"/>
        <v>1900</v>
      </c>
    </row>
    <row r="2119" spans="9:9" x14ac:dyDescent="0.25">
      <c r="I2119">
        <f t="shared" si="33"/>
        <v>1900</v>
      </c>
    </row>
    <row r="2120" spans="9:9" x14ac:dyDescent="0.25">
      <c r="I2120">
        <f t="shared" si="33"/>
        <v>1900</v>
      </c>
    </row>
    <row r="2121" spans="9:9" x14ac:dyDescent="0.25">
      <c r="I2121">
        <f t="shared" si="33"/>
        <v>1900</v>
      </c>
    </row>
    <row r="2122" spans="9:9" x14ac:dyDescent="0.25">
      <c r="I2122">
        <f t="shared" si="33"/>
        <v>1900</v>
      </c>
    </row>
    <row r="2123" spans="9:9" x14ac:dyDescent="0.25">
      <c r="I2123">
        <f t="shared" si="33"/>
        <v>1900</v>
      </c>
    </row>
    <row r="2124" spans="9:9" x14ac:dyDescent="0.25">
      <c r="I2124">
        <f t="shared" si="33"/>
        <v>1900</v>
      </c>
    </row>
    <row r="2125" spans="9:9" x14ac:dyDescent="0.25">
      <c r="I2125">
        <f t="shared" si="33"/>
        <v>1900</v>
      </c>
    </row>
    <row r="2126" spans="9:9" x14ac:dyDescent="0.25">
      <c r="I2126">
        <f t="shared" si="33"/>
        <v>1900</v>
      </c>
    </row>
    <row r="2127" spans="9:9" x14ac:dyDescent="0.25">
      <c r="I2127">
        <f t="shared" si="33"/>
        <v>1900</v>
      </c>
    </row>
    <row r="2128" spans="9:9" x14ac:dyDescent="0.25">
      <c r="I2128">
        <f t="shared" si="33"/>
        <v>1900</v>
      </c>
    </row>
    <row r="2129" spans="9:9" x14ac:dyDescent="0.25">
      <c r="I2129">
        <f t="shared" si="33"/>
        <v>1900</v>
      </c>
    </row>
    <row r="2130" spans="9:9" x14ac:dyDescent="0.25">
      <c r="I2130">
        <f t="shared" si="33"/>
        <v>1900</v>
      </c>
    </row>
    <row r="2131" spans="9:9" x14ac:dyDescent="0.25">
      <c r="I2131">
        <f t="shared" si="33"/>
        <v>1900</v>
      </c>
    </row>
    <row r="2132" spans="9:9" x14ac:dyDescent="0.25">
      <c r="I2132">
        <f t="shared" si="33"/>
        <v>1900</v>
      </c>
    </row>
    <row r="2133" spans="9:9" x14ac:dyDescent="0.25">
      <c r="I2133">
        <f t="shared" si="33"/>
        <v>1900</v>
      </c>
    </row>
    <row r="2134" spans="9:9" x14ac:dyDescent="0.25">
      <c r="I2134">
        <f t="shared" si="33"/>
        <v>1900</v>
      </c>
    </row>
    <row r="2135" spans="9:9" x14ac:dyDescent="0.25">
      <c r="I2135">
        <f t="shared" si="33"/>
        <v>1900</v>
      </c>
    </row>
    <row r="2136" spans="9:9" x14ac:dyDescent="0.25">
      <c r="I2136">
        <f t="shared" si="33"/>
        <v>1900</v>
      </c>
    </row>
    <row r="2137" spans="9:9" x14ac:dyDescent="0.25">
      <c r="I2137">
        <f t="shared" si="33"/>
        <v>1900</v>
      </c>
    </row>
    <row r="2138" spans="9:9" x14ac:dyDescent="0.25">
      <c r="I2138">
        <f t="shared" si="33"/>
        <v>1900</v>
      </c>
    </row>
    <row r="2139" spans="9:9" x14ac:dyDescent="0.25">
      <c r="I2139">
        <f t="shared" si="33"/>
        <v>1900</v>
      </c>
    </row>
    <row r="2140" spans="9:9" x14ac:dyDescent="0.25">
      <c r="I2140">
        <f t="shared" si="33"/>
        <v>1900</v>
      </c>
    </row>
    <row r="2141" spans="9:9" x14ac:dyDescent="0.25">
      <c r="I2141">
        <f t="shared" si="33"/>
        <v>1900</v>
      </c>
    </row>
    <row r="2142" spans="9:9" x14ac:dyDescent="0.25">
      <c r="I2142">
        <f t="shared" si="33"/>
        <v>1900</v>
      </c>
    </row>
    <row r="2143" spans="9:9" x14ac:dyDescent="0.25">
      <c r="I2143">
        <f t="shared" si="33"/>
        <v>1900</v>
      </c>
    </row>
    <row r="2144" spans="9:9" x14ac:dyDescent="0.25">
      <c r="I2144">
        <f t="shared" si="33"/>
        <v>1900</v>
      </c>
    </row>
    <row r="2145" spans="9:9" x14ac:dyDescent="0.25">
      <c r="I2145">
        <f t="shared" si="33"/>
        <v>1900</v>
      </c>
    </row>
    <row r="2146" spans="9:9" x14ac:dyDescent="0.25">
      <c r="I2146">
        <f t="shared" si="33"/>
        <v>1900</v>
      </c>
    </row>
    <row r="2147" spans="9:9" x14ac:dyDescent="0.25">
      <c r="I2147">
        <f t="shared" si="33"/>
        <v>1900</v>
      </c>
    </row>
    <row r="2148" spans="9:9" x14ac:dyDescent="0.25">
      <c r="I2148">
        <f t="shared" si="33"/>
        <v>1900</v>
      </c>
    </row>
    <row r="2149" spans="9:9" x14ac:dyDescent="0.25">
      <c r="I2149">
        <f t="shared" si="33"/>
        <v>1900</v>
      </c>
    </row>
    <row r="2150" spans="9:9" x14ac:dyDescent="0.25">
      <c r="I2150">
        <f t="shared" si="33"/>
        <v>1900</v>
      </c>
    </row>
    <row r="2151" spans="9:9" x14ac:dyDescent="0.25">
      <c r="I2151">
        <f t="shared" si="33"/>
        <v>1900</v>
      </c>
    </row>
    <row r="2152" spans="9:9" x14ac:dyDescent="0.25">
      <c r="I2152">
        <f t="shared" si="33"/>
        <v>1900</v>
      </c>
    </row>
    <row r="2153" spans="9:9" x14ac:dyDescent="0.25">
      <c r="I2153">
        <f t="shared" si="33"/>
        <v>1900</v>
      </c>
    </row>
    <row r="2154" spans="9:9" x14ac:dyDescent="0.25">
      <c r="I2154">
        <f t="shared" si="33"/>
        <v>1900</v>
      </c>
    </row>
    <row r="2155" spans="9:9" x14ac:dyDescent="0.25">
      <c r="I2155">
        <f t="shared" si="33"/>
        <v>1900</v>
      </c>
    </row>
    <row r="2156" spans="9:9" x14ac:dyDescent="0.25">
      <c r="I2156">
        <f t="shared" si="33"/>
        <v>1900</v>
      </c>
    </row>
    <row r="2157" spans="9:9" x14ac:dyDescent="0.25">
      <c r="I2157">
        <f t="shared" si="33"/>
        <v>1900</v>
      </c>
    </row>
    <row r="2158" spans="9:9" x14ac:dyDescent="0.25">
      <c r="I2158">
        <f t="shared" si="33"/>
        <v>1900</v>
      </c>
    </row>
    <row r="2159" spans="9:9" x14ac:dyDescent="0.25">
      <c r="I2159">
        <f t="shared" si="33"/>
        <v>1900</v>
      </c>
    </row>
    <row r="2160" spans="9:9" x14ac:dyDescent="0.25">
      <c r="I2160">
        <f t="shared" si="33"/>
        <v>1900</v>
      </c>
    </row>
    <row r="2161" spans="9:9" x14ac:dyDescent="0.25">
      <c r="I2161">
        <f t="shared" si="33"/>
        <v>1900</v>
      </c>
    </row>
    <row r="2162" spans="9:9" x14ac:dyDescent="0.25">
      <c r="I2162">
        <f t="shared" si="33"/>
        <v>1900</v>
      </c>
    </row>
    <row r="2163" spans="9:9" x14ac:dyDescent="0.25">
      <c r="I2163">
        <f t="shared" si="33"/>
        <v>1900</v>
      </c>
    </row>
    <row r="2164" spans="9:9" x14ac:dyDescent="0.25">
      <c r="I2164">
        <f t="shared" si="33"/>
        <v>1900</v>
      </c>
    </row>
    <row r="2165" spans="9:9" x14ac:dyDescent="0.25">
      <c r="I2165">
        <f t="shared" si="33"/>
        <v>1900</v>
      </c>
    </row>
    <row r="2166" spans="9:9" x14ac:dyDescent="0.25">
      <c r="I2166">
        <f t="shared" si="33"/>
        <v>1900</v>
      </c>
    </row>
    <row r="2167" spans="9:9" x14ac:dyDescent="0.25">
      <c r="I2167">
        <f t="shared" si="33"/>
        <v>1900</v>
      </c>
    </row>
    <row r="2168" spans="9:9" x14ac:dyDescent="0.25">
      <c r="I2168">
        <f t="shared" si="33"/>
        <v>1900</v>
      </c>
    </row>
    <row r="2169" spans="9:9" x14ac:dyDescent="0.25">
      <c r="I2169">
        <f t="shared" si="33"/>
        <v>1900</v>
      </c>
    </row>
    <row r="2170" spans="9:9" x14ac:dyDescent="0.25">
      <c r="I2170">
        <f t="shared" si="33"/>
        <v>1900</v>
      </c>
    </row>
    <row r="2171" spans="9:9" x14ac:dyDescent="0.25">
      <c r="I2171">
        <f t="shared" si="33"/>
        <v>1900</v>
      </c>
    </row>
    <row r="2172" spans="9:9" x14ac:dyDescent="0.25">
      <c r="I2172">
        <f t="shared" si="33"/>
        <v>1900</v>
      </c>
    </row>
    <row r="2173" spans="9:9" x14ac:dyDescent="0.25">
      <c r="I2173">
        <f t="shared" si="33"/>
        <v>1900</v>
      </c>
    </row>
    <row r="2174" spans="9:9" x14ac:dyDescent="0.25">
      <c r="I2174">
        <f t="shared" si="33"/>
        <v>1900</v>
      </c>
    </row>
    <row r="2175" spans="9:9" x14ac:dyDescent="0.25">
      <c r="I2175">
        <f t="shared" si="33"/>
        <v>1900</v>
      </c>
    </row>
    <row r="2176" spans="9:9" x14ac:dyDescent="0.25">
      <c r="I2176">
        <f t="shared" si="33"/>
        <v>1900</v>
      </c>
    </row>
    <row r="2177" spans="9:9" x14ac:dyDescent="0.25">
      <c r="I2177">
        <f t="shared" si="33"/>
        <v>1900</v>
      </c>
    </row>
    <row r="2178" spans="9:9" x14ac:dyDescent="0.25">
      <c r="I2178">
        <f t="shared" si="33"/>
        <v>1900</v>
      </c>
    </row>
    <row r="2179" spans="9:9" x14ac:dyDescent="0.25">
      <c r="I2179">
        <f t="shared" si="33"/>
        <v>1900</v>
      </c>
    </row>
    <row r="2180" spans="9:9" x14ac:dyDescent="0.25">
      <c r="I2180">
        <f t="shared" ref="I2180:I2243" si="34">IFERROR(YEAR(E2180),"")</f>
        <v>1900</v>
      </c>
    </row>
    <row r="2181" spans="9:9" x14ac:dyDescent="0.25">
      <c r="I2181">
        <f t="shared" si="34"/>
        <v>1900</v>
      </c>
    </row>
    <row r="2182" spans="9:9" x14ac:dyDescent="0.25">
      <c r="I2182">
        <f t="shared" si="34"/>
        <v>1900</v>
      </c>
    </row>
    <row r="2183" spans="9:9" x14ac:dyDescent="0.25">
      <c r="I2183">
        <f t="shared" si="34"/>
        <v>1900</v>
      </c>
    </row>
    <row r="2184" spans="9:9" x14ac:dyDescent="0.25">
      <c r="I2184">
        <f t="shared" si="34"/>
        <v>1900</v>
      </c>
    </row>
    <row r="2185" spans="9:9" x14ac:dyDescent="0.25">
      <c r="I2185">
        <f t="shared" si="34"/>
        <v>1900</v>
      </c>
    </row>
    <row r="2186" spans="9:9" x14ac:dyDescent="0.25">
      <c r="I2186">
        <f t="shared" si="34"/>
        <v>1900</v>
      </c>
    </row>
    <row r="2187" spans="9:9" x14ac:dyDescent="0.25">
      <c r="I2187">
        <f t="shared" si="34"/>
        <v>1900</v>
      </c>
    </row>
    <row r="2188" spans="9:9" x14ac:dyDescent="0.25">
      <c r="I2188">
        <f t="shared" si="34"/>
        <v>1900</v>
      </c>
    </row>
    <row r="2189" spans="9:9" x14ac:dyDescent="0.25">
      <c r="I2189">
        <f t="shared" si="34"/>
        <v>1900</v>
      </c>
    </row>
    <row r="2190" spans="9:9" x14ac:dyDescent="0.25">
      <c r="I2190">
        <f t="shared" si="34"/>
        <v>1900</v>
      </c>
    </row>
    <row r="2191" spans="9:9" x14ac:dyDescent="0.25">
      <c r="I2191">
        <f t="shared" si="34"/>
        <v>1900</v>
      </c>
    </row>
    <row r="2192" spans="9:9" x14ac:dyDescent="0.25">
      <c r="I2192">
        <f t="shared" si="34"/>
        <v>1900</v>
      </c>
    </row>
    <row r="2193" spans="9:9" x14ac:dyDescent="0.25">
      <c r="I2193">
        <f t="shared" si="34"/>
        <v>1900</v>
      </c>
    </row>
    <row r="2194" spans="9:9" x14ac:dyDescent="0.25">
      <c r="I2194">
        <f t="shared" si="34"/>
        <v>1900</v>
      </c>
    </row>
    <row r="2195" spans="9:9" x14ac:dyDescent="0.25">
      <c r="I2195">
        <f t="shared" si="34"/>
        <v>1900</v>
      </c>
    </row>
    <row r="2196" spans="9:9" x14ac:dyDescent="0.25">
      <c r="I2196">
        <f t="shared" si="34"/>
        <v>1900</v>
      </c>
    </row>
    <row r="2197" spans="9:9" x14ac:dyDescent="0.25">
      <c r="I2197">
        <f t="shared" si="34"/>
        <v>1900</v>
      </c>
    </row>
    <row r="2198" spans="9:9" x14ac:dyDescent="0.25">
      <c r="I2198">
        <f t="shared" si="34"/>
        <v>1900</v>
      </c>
    </row>
    <row r="2199" spans="9:9" x14ac:dyDescent="0.25">
      <c r="I2199">
        <f t="shared" si="34"/>
        <v>1900</v>
      </c>
    </row>
    <row r="2200" spans="9:9" x14ac:dyDescent="0.25">
      <c r="I2200">
        <f t="shared" si="34"/>
        <v>1900</v>
      </c>
    </row>
    <row r="2201" spans="9:9" x14ac:dyDescent="0.25">
      <c r="I2201">
        <f t="shared" si="34"/>
        <v>1900</v>
      </c>
    </row>
    <row r="2202" spans="9:9" x14ac:dyDescent="0.25">
      <c r="I2202">
        <f t="shared" si="34"/>
        <v>1900</v>
      </c>
    </row>
    <row r="2203" spans="9:9" x14ac:dyDescent="0.25">
      <c r="I2203">
        <f t="shared" si="34"/>
        <v>1900</v>
      </c>
    </row>
    <row r="2204" spans="9:9" x14ac:dyDescent="0.25">
      <c r="I2204">
        <f t="shared" si="34"/>
        <v>1900</v>
      </c>
    </row>
    <row r="2205" spans="9:9" x14ac:dyDescent="0.25">
      <c r="I2205">
        <f t="shared" si="34"/>
        <v>1900</v>
      </c>
    </row>
    <row r="2206" spans="9:9" x14ac:dyDescent="0.25">
      <c r="I2206">
        <f t="shared" si="34"/>
        <v>1900</v>
      </c>
    </row>
    <row r="2207" spans="9:9" x14ac:dyDescent="0.25">
      <c r="I2207">
        <f t="shared" si="34"/>
        <v>1900</v>
      </c>
    </row>
    <row r="2208" spans="9:9" x14ac:dyDescent="0.25">
      <c r="I2208">
        <f t="shared" si="34"/>
        <v>1900</v>
      </c>
    </row>
    <row r="2209" spans="9:9" x14ac:dyDescent="0.25">
      <c r="I2209">
        <f t="shared" si="34"/>
        <v>1900</v>
      </c>
    </row>
    <row r="2210" spans="9:9" x14ac:dyDescent="0.25">
      <c r="I2210">
        <f t="shared" si="34"/>
        <v>1900</v>
      </c>
    </row>
    <row r="2211" spans="9:9" x14ac:dyDescent="0.25">
      <c r="I2211">
        <f t="shared" si="34"/>
        <v>1900</v>
      </c>
    </row>
    <row r="2212" spans="9:9" x14ac:dyDescent="0.25">
      <c r="I2212">
        <f t="shared" si="34"/>
        <v>1900</v>
      </c>
    </row>
    <row r="2213" spans="9:9" x14ac:dyDescent="0.25">
      <c r="I2213">
        <f t="shared" si="34"/>
        <v>1900</v>
      </c>
    </row>
    <row r="2214" spans="9:9" x14ac:dyDescent="0.25">
      <c r="I2214">
        <f t="shared" si="34"/>
        <v>1900</v>
      </c>
    </row>
    <row r="2215" spans="9:9" x14ac:dyDescent="0.25">
      <c r="I2215">
        <f t="shared" si="34"/>
        <v>1900</v>
      </c>
    </row>
    <row r="2216" spans="9:9" x14ac:dyDescent="0.25">
      <c r="I2216">
        <f t="shared" si="34"/>
        <v>1900</v>
      </c>
    </row>
    <row r="2217" spans="9:9" x14ac:dyDescent="0.25">
      <c r="I2217">
        <f t="shared" si="34"/>
        <v>1900</v>
      </c>
    </row>
    <row r="2218" spans="9:9" x14ac:dyDescent="0.25">
      <c r="I2218">
        <f t="shared" si="34"/>
        <v>1900</v>
      </c>
    </row>
    <row r="2219" spans="9:9" x14ac:dyDescent="0.25">
      <c r="I2219">
        <f t="shared" si="34"/>
        <v>1900</v>
      </c>
    </row>
    <row r="2220" spans="9:9" x14ac:dyDescent="0.25">
      <c r="I2220">
        <f t="shared" si="34"/>
        <v>1900</v>
      </c>
    </row>
    <row r="2221" spans="9:9" x14ac:dyDescent="0.25">
      <c r="I2221">
        <f t="shared" si="34"/>
        <v>1900</v>
      </c>
    </row>
    <row r="2222" spans="9:9" x14ac:dyDescent="0.25">
      <c r="I2222">
        <f t="shared" si="34"/>
        <v>1900</v>
      </c>
    </row>
    <row r="2223" spans="9:9" x14ac:dyDescent="0.25">
      <c r="I2223">
        <f t="shared" si="34"/>
        <v>1900</v>
      </c>
    </row>
    <row r="2224" spans="9:9" x14ac:dyDescent="0.25">
      <c r="I2224">
        <f t="shared" si="34"/>
        <v>1900</v>
      </c>
    </row>
    <row r="2225" spans="9:9" x14ac:dyDescent="0.25">
      <c r="I2225">
        <f t="shared" si="34"/>
        <v>1900</v>
      </c>
    </row>
    <row r="2226" spans="9:9" x14ac:dyDescent="0.25">
      <c r="I2226">
        <f t="shared" si="34"/>
        <v>1900</v>
      </c>
    </row>
    <row r="2227" spans="9:9" x14ac:dyDescent="0.25">
      <c r="I2227">
        <f t="shared" si="34"/>
        <v>1900</v>
      </c>
    </row>
    <row r="2228" spans="9:9" x14ac:dyDescent="0.25">
      <c r="I2228">
        <f t="shared" si="34"/>
        <v>1900</v>
      </c>
    </row>
    <row r="2229" spans="9:9" x14ac:dyDescent="0.25">
      <c r="I2229">
        <f t="shared" si="34"/>
        <v>1900</v>
      </c>
    </row>
    <row r="2230" spans="9:9" x14ac:dyDescent="0.25">
      <c r="I2230">
        <f t="shared" si="34"/>
        <v>1900</v>
      </c>
    </row>
    <row r="2231" spans="9:9" x14ac:dyDescent="0.25">
      <c r="I2231">
        <f t="shared" si="34"/>
        <v>1900</v>
      </c>
    </row>
    <row r="2232" spans="9:9" x14ac:dyDescent="0.25">
      <c r="I2232">
        <f t="shared" si="34"/>
        <v>1900</v>
      </c>
    </row>
    <row r="2233" spans="9:9" x14ac:dyDescent="0.25">
      <c r="I2233">
        <f t="shared" si="34"/>
        <v>1900</v>
      </c>
    </row>
    <row r="2234" spans="9:9" x14ac:dyDescent="0.25">
      <c r="I2234">
        <f t="shared" si="34"/>
        <v>1900</v>
      </c>
    </row>
    <row r="2235" spans="9:9" x14ac:dyDescent="0.25">
      <c r="I2235">
        <f t="shared" si="34"/>
        <v>1900</v>
      </c>
    </row>
    <row r="2236" spans="9:9" x14ac:dyDescent="0.25">
      <c r="I2236">
        <f t="shared" si="34"/>
        <v>1900</v>
      </c>
    </row>
    <row r="2237" spans="9:9" x14ac:dyDescent="0.25">
      <c r="I2237">
        <f t="shared" si="34"/>
        <v>1900</v>
      </c>
    </row>
    <row r="2238" spans="9:9" x14ac:dyDescent="0.25">
      <c r="I2238">
        <f t="shared" si="34"/>
        <v>1900</v>
      </c>
    </row>
    <row r="2239" spans="9:9" x14ac:dyDescent="0.25">
      <c r="I2239">
        <f t="shared" si="34"/>
        <v>1900</v>
      </c>
    </row>
    <row r="2240" spans="9:9" x14ac:dyDescent="0.25">
      <c r="I2240">
        <f t="shared" si="34"/>
        <v>1900</v>
      </c>
    </row>
    <row r="2241" spans="9:9" x14ac:dyDescent="0.25">
      <c r="I2241">
        <f t="shared" si="34"/>
        <v>1900</v>
      </c>
    </row>
    <row r="2242" spans="9:9" x14ac:dyDescent="0.25">
      <c r="I2242">
        <f t="shared" si="34"/>
        <v>1900</v>
      </c>
    </row>
    <row r="2243" spans="9:9" x14ac:dyDescent="0.25">
      <c r="I2243">
        <f t="shared" si="34"/>
        <v>1900</v>
      </c>
    </row>
    <row r="2244" spans="9:9" x14ac:dyDescent="0.25">
      <c r="I2244">
        <f t="shared" ref="I2244:I2307" si="35">IFERROR(YEAR(E2244),"")</f>
        <v>1900</v>
      </c>
    </row>
    <row r="2245" spans="9:9" x14ac:dyDescent="0.25">
      <c r="I2245">
        <f t="shared" si="35"/>
        <v>1900</v>
      </c>
    </row>
    <row r="2246" spans="9:9" x14ac:dyDescent="0.25">
      <c r="I2246">
        <f t="shared" si="35"/>
        <v>1900</v>
      </c>
    </row>
    <row r="2247" spans="9:9" x14ac:dyDescent="0.25">
      <c r="I2247">
        <f t="shared" si="35"/>
        <v>1900</v>
      </c>
    </row>
    <row r="2248" spans="9:9" x14ac:dyDescent="0.25">
      <c r="I2248">
        <f t="shared" si="35"/>
        <v>1900</v>
      </c>
    </row>
    <row r="2249" spans="9:9" x14ac:dyDescent="0.25">
      <c r="I2249">
        <f t="shared" si="35"/>
        <v>1900</v>
      </c>
    </row>
    <row r="2250" spans="9:9" x14ac:dyDescent="0.25">
      <c r="I2250">
        <f t="shared" si="35"/>
        <v>1900</v>
      </c>
    </row>
    <row r="2251" spans="9:9" x14ac:dyDescent="0.25">
      <c r="I2251">
        <f t="shared" si="35"/>
        <v>1900</v>
      </c>
    </row>
    <row r="2252" spans="9:9" x14ac:dyDescent="0.25">
      <c r="I2252">
        <f t="shared" si="35"/>
        <v>1900</v>
      </c>
    </row>
    <row r="2253" spans="9:9" x14ac:dyDescent="0.25">
      <c r="I2253">
        <f t="shared" si="35"/>
        <v>1900</v>
      </c>
    </row>
    <row r="2254" spans="9:9" x14ac:dyDescent="0.25">
      <c r="I2254">
        <f t="shared" si="35"/>
        <v>1900</v>
      </c>
    </row>
    <row r="2255" spans="9:9" x14ac:dyDescent="0.25">
      <c r="I2255">
        <f t="shared" si="35"/>
        <v>1900</v>
      </c>
    </row>
    <row r="2256" spans="9:9" x14ac:dyDescent="0.25">
      <c r="I2256">
        <f t="shared" si="35"/>
        <v>1900</v>
      </c>
    </row>
    <row r="2257" spans="9:9" x14ac:dyDescent="0.25">
      <c r="I2257">
        <f t="shared" si="35"/>
        <v>1900</v>
      </c>
    </row>
    <row r="2258" spans="9:9" x14ac:dyDescent="0.25">
      <c r="I2258">
        <f t="shared" si="35"/>
        <v>1900</v>
      </c>
    </row>
    <row r="2259" spans="9:9" x14ac:dyDescent="0.25">
      <c r="I2259">
        <f t="shared" si="35"/>
        <v>1900</v>
      </c>
    </row>
    <row r="2260" spans="9:9" x14ac:dyDescent="0.25">
      <c r="I2260">
        <f t="shared" si="35"/>
        <v>1900</v>
      </c>
    </row>
    <row r="2261" spans="9:9" x14ac:dyDescent="0.25">
      <c r="I2261">
        <f t="shared" si="35"/>
        <v>1900</v>
      </c>
    </row>
    <row r="2262" spans="9:9" x14ac:dyDescent="0.25">
      <c r="I2262">
        <f t="shared" si="35"/>
        <v>1900</v>
      </c>
    </row>
    <row r="2263" spans="9:9" x14ac:dyDescent="0.25">
      <c r="I2263">
        <f t="shared" si="35"/>
        <v>1900</v>
      </c>
    </row>
    <row r="2264" spans="9:9" x14ac:dyDescent="0.25">
      <c r="I2264">
        <f t="shared" si="35"/>
        <v>1900</v>
      </c>
    </row>
    <row r="2265" spans="9:9" x14ac:dyDescent="0.25">
      <c r="I2265">
        <f t="shared" si="35"/>
        <v>1900</v>
      </c>
    </row>
    <row r="2266" spans="9:9" x14ac:dyDescent="0.25">
      <c r="I2266">
        <f t="shared" si="35"/>
        <v>1900</v>
      </c>
    </row>
    <row r="2267" spans="9:9" x14ac:dyDescent="0.25">
      <c r="I2267">
        <f t="shared" si="35"/>
        <v>1900</v>
      </c>
    </row>
    <row r="2268" spans="9:9" x14ac:dyDescent="0.25">
      <c r="I2268">
        <f t="shared" si="35"/>
        <v>1900</v>
      </c>
    </row>
    <row r="2269" spans="9:9" x14ac:dyDescent="0.25">
      <c r="I2269">
        <f t="shared" si="35"/>
        <v>1900</v>
      </c>
    </row>
    <row r="2270" spans="9:9" x14ac:dyDescent="0.25">
      <c r="I2270">
        <f t="shared" si="35"/>
        <v>1900</v>
      </c>
    </row>
    <row r="2271" spans="9:9" x14ac:dyDescent="0.25">
      <c r="I2271">
        <f t="shared" si="35"/>
        <v>1900</v>
      </c>
    </row>
    <row r="2272" spans="9:9" x14ac:dyDescent="0.25">
      <c r="I2272">
        <f t="shared" si="35"/>
        <v>1900</v>
      </c>
    </row>
    <row r="2273" spans="9:9" x14ac:dyDescent="0.25">
      <c r="I2273">
        <f t="shared" si="35"/>
        <v>1900</v>
      </c>
    </row>
    <row r="2274" spans="9:9" x14ac:dyDescent="0.25">
      <c r="I2274">
        <f t="shared" si="35"/>
        <v>1900</v>
      </c>
    </row>
    <row r="2275" spans="9:9" x14ac:dyDescent="0.25">
      <c r="I2275">
        <f t="shared" si="35"/>
        <v>1900</v>
      </c>
    </row>
    <row r="2276" spans="9:9" x14ac:dyDescent="0.25">
      <c r="I2276">
        <f t="shared" si="35"/>
        <v>1900</v>
      </c>
    </row>
    <row r="2277" spans="9:9" x14ac:dyDescent="0.25">
      <c r="I2277">
        <f t="shared" si="35"/>
        <v>1900</v>
      </c>
    </row>
    <row r="2278" spans="9:9" x14ac:dyDescent="0.25">
      <c r="I2278">
        <f t="shared" si="35"/>
        <v>1900</v>
      </c>
    </row>
    <row r="2279" spans="9:9" x14ac:dyDescent="0.25">
      <c r="I2279">
        <f t="shared" si="35"/>
        <v>1900</v>
      </c>
    </row>
    <row r="2280" spans="9:9" x14ac:dyDescent="0.25">
      <c r="I2280">
        <f t="shared" si="35"/>
        <v>1900</v>
      </c>
    </row>
    <row r="2281" spans="9:9" x14ac:dyDescent="0.25">
      <c r="I2281">
        <f t="shared" si="35"/>
        <v>1900</v>
      </c>
    </row>
    <row r="2282" spans="9:9" x14ac:dyDescent="0.25">
      <c r="I2282">
        <f t="shared" si="35"/>
        <v>1900</v>
      </c>
    </row>
    <row r="2283" spans="9:9" x14ac:dyDescent="0.25">
      <c r="I2283">
        <f t="shared" si="35"/>
        <v>1900</v>
      </c>
    </row>
    <row r="2284" spans="9:9" x14ac:dyDescent="0.25">
      <c r="I2284">
        <f t="shared" si="35"/>
        <v>1900</v>
      </c>
    </row>
    <row r="2285" spans="9:9" x14ac:dyDescent="0.25">
      <c r="I2285">
        <f t="shared" si="35"/>
        <v>1900</v>
      </c>
    </row>
    <row r="2286" spans="9:9" x14ac:dyDescent="0.25">
      <c r="I2286">
        <f t="shared" si="35"/>
        <v>1900</v>
      </c>
    </row>
    <row r="2287" spans="9:9" x14ac:dyDescent="0.25">
      <c r="I2287">
        <f t="shared" si="35"/>
        <v>1900</v>
      </c>
    </row>
    <row r="2288" spans="9:9" x14ac:dyDescent="0.25">
      <c r="I2288">
        <f t="shared" si="35"/>
        <v>1900</v>
      </c>
    </row>
    <row r="2289" spans="9:9" x14ac:dyDescent="0.25">
      <c r="I2289">
        <f t="shared" si="35"/>
        <v>1900</v>
      </c>
    </row>
    <row r="2290" spans="9:9" x14ac:dyDescent="0.25">
      <c r="I2290">
        <f t="shared" si="35"/>
        <v>1900</v>
      </c>
    </row>
    <row r="2291" spans="9:9" x14ac:dyDescent="0.25">
      <c r="I2291">
        <f t="shared" si="35"/>
        <v>1900</v>
      </c>
    </row>
    <row r="2292" spans="9:9" x14ac:dyDescent="0.25">
      <c r="I2292">
        <f t="shared" si="35"/>
        <v>1900</v>
      </c>
    </row>
    <row r="2293" spans="9:9" x14ac:dyDescent="0.25">
      <c r="I2293">
        <f t="shared" si="35"/>
        <v>1900</v>
      </c>
    </row>
    <row r="2294" spans="9:9" x14ac:dyDescent="0.25">
      <c r="I2294">
        <f t="shared" si="35"/>
        <v>1900</v>
      </c>
    </row>
    <row r="2295" spans="9:9" x14ac:dyDescent="0.25">
      <c r="I2295">
        <f t="shared" si="35"/>
        <v>1900</v>
      </c>
    </row>
    <row r="2296" spans="9:9" x14ac:dyDescent="0.25">
      <c r="I2296">
        <f t="shared" si="35"/>
        <v>1900</v>
      </c>
    </row>
    <row r="2297" spans="9:9" x14ac:dyDescent="0.25">
      <c r="I2297">
        <f t="shared" si="35"/>
        <v>1900</v>
      </c>
    </row>
    <row r="2298" spans="9:9" x14ac:dyDescent="0.25">
      <c r="I2298">
        <f t="shared" si="35"/>
        <v>1900</v>
      </c>
    </row>
    <row r="2299" spans="9:9" x14ac:dyDescent="0.25">
      <c r="I2299">
        <f t="shared" si="35"/>
        <v>1900</v>
      </c>
    </row>
    <row r="2300" spans="9:9" x14ac:dyDescent="0.25">
      <c r="I2300">
        <f t="shared" si="35"/>
        <v>1900</v>
      </c>
    </row>
    <row r="2301" spans="9:9" x14ac:dyDescent="0.25">
      <c r="I2301">
        <f t="shared" si="35"/>
        <v>1900</v>
      </c>
    </row>
    <row r="2302" spans="9:9" x14ac:dyDescent="0.25">
      <c r="I2302">
        <f t="shared" si="35"/>
        <v>1900</v>
      </c>
    </row>
    <row r="2303" spans="9:9" x14ac:dyDescent="0.25">
      <c r="I2303">
        <f t="shared" si="35"/>
        <v>1900</v>
      </c>
    </row>
    <row r="2304" spans="9:9" x14ac:dyDescent="0.25">
      <c r="I2304">
        <f t="shared" si="35"/>
        <v>1900</v>
      </c>
    </row>
    <row r="2305" spans="9:9" x14ac:dyDescent="0.25">
      <c r="I2305">
        <f t="shared" si="35"/>
        <v>1900</v>
      </c>
    </row>
    <row r="2306" spans="9:9" x14ac:dyDescent="0.25">
      <c r="I2306">
        <f t="shared" si="35"/>
        <v>1900</v>
      </c>
    </row>
    <row r="2307" spans="9:9" x14ac:dyDescent="0.25">
      <c r="I2307">
        <f t="shared" si="35"/>
        <v>1900</v>
      </c>
    </row>
    <row r="2308" spans="9:9" x14ac:dyDescent="0.25">
      <c r="I2308">
        <f t="shared" ref="I2308:I2371" si="36">IFERROR(YEAR(E2308),"")</f>
        <v>1900</v>
      </c>
    </row>
    <row r="2309" spans="9:9" x14ac:dyDescent="0.25">
      <c r="I2309">
        <f t="shared" si="36"/>
        <v>1900</v>
      </c>
    </row>
    <row r="2310" spans="9:9" x14ac:dyDescent="0.25">
      <c r="I2310">
        <f t="shared" si="36"/>
        <v>1900</v>
      </c>
    </row>
    <row r="2311" spans="9:9" x14ac:dyDescent="0.25">
      <c r="I2311">
        <f t="shared" si="36"/>
        <v>1900</v>
      </c>
    </row>
    <row r="2312" spans="9:9" x14ac:dyDescent="0.25">
      <c r="I2312">
        <f t="shared" si="36"/>
        <v>1900</v>
      </c>
    </row>
    <row r="2313" spans="9:9" x14ac:dyDescent="0.25">
      <c r="I2313">
        <f t="shared" si="36"/>
        <v>1900</v>
      </c>
    </row>
    <row r="2314" spans="9:9" x14ac:dyDescent="0.25">
      <c r="I2314">
        <f t="shared" si="36"/>
        <v>1900</v>
      </c>
    </row>
    <row r="2315" spans="9:9" x14ac:dyDescent="0.25">
      <c r="I2315">
        <f t="shared" si="36"/>
        <v>1900</v>
      </c>
    </row>
    <row r="2316" spans="9:9" x14ac:dyDescent="0.25">
      <c r="I2316">
        <f t="shared" si="36"/>
        <v>1900</v>
      </c>
    </row>
    <row r="2317" spans="9:9" x14ac:dyDescent="0.25">
      <c r="I2317">
        <f t="shared" si="36"/>
        <v>1900</v>
      </c>
    </row>
    <row r="2318" spans="9:9" x14ac:dyDescent="0.25">
      <c r="I2318">
        <f t="shared" si="36"/>
        <v>1900</v>
      </c>
    </row>
    <row r="2319" spans="9:9" x14ac:dyDescent="0.25">
      <c r="I2319">
        <f t="shared" si="36"/>
        <v>1900</v>
      </c>
    </row>
    <row r="2320" spans="9:9" x14ac:dyDescent="0.25">
      <c r="I2320">
        <f t="shared" si="36"/>
        <v>1900</v>
      </c>
    </row>
    <row r="2321" spans="9:9" x14ac:dyDescent="0.25">
      <c r="I2321">
        <f t="shared" si="36"/>
        <v>1900</v>
      </c>
    </row>
    <row r="2322" spans="9:9" x14ac:dyDescent="0.25">
      <c r="I2322">
        <f t="shared" si="36"/>
        <v>1900</v>
      </c>
    </row>
    <row r="2323" spans="9:9" x14ac:dyDescent="0.25">
      <c r="I2323">
        <f t="shared" si="36"/>
        <v>1900</v>
      </c>
    </row>
    <row r="2324" spans="9:9" x14ac:dyDescent="0.25">
      <c r="I2324">
        <f t="shared" si="36"/>
        <v>1900</v>
      </c>
    </row>
    <row r="2325" spans="9:9" x14ac:dyDescent="0.25">
      <c r="I2325">
        <f t="shared" si="36"/>
        <v>1900</v>
      </c>
    </row>
    <row r="2326" spans="9:9" x14ac:dyDescent="0.25">
      <c r="I2326">
        <f t="shared" si="36"/>
        <v>1900</v>
      </c>
    </row>
    <row r="2327" spans="9:9" x14ac:dyDescent="0.25">
      <c r="I2327">
        <f t="shared" si="36"/>
        <v>1900</v>
      </c>
    </row>
    <row r="2328" spans="9:9" x14ac:dyDescent="0.25">
      <c r="I2328">
        <f t="shared" si="36"/>
        <v>1900</v>
      </c>
    </row>
    <row r="2329" spans="9:9" x14ac:dyDescent="0.25">
      <c r="I2329">
        <f t="shared" si="36"/>
        <v>1900</v>
      </c>
    </row>
    <row r="2330" spans="9:9" x14ac:dyDescent="0.25">
      <c r="I2330">
        <f t="shared" si="36"/>
        <v>1900</v>
      </c>
    </row>
    <row r="2331" spans="9:9" x14ac:dyDescent="0.25">
      <c r="I2331">
        <f t="shared" si="36"/>
        <v>1900</v>
      </c>
    </row>
    <row r="2332" spans="9:9" x14ac:dyDescent="0.25">
      <c r="I2332">
        <f t="shared" si="36"/>
        <v>1900</v>
      </c>
    </row>
    <row r="2333" spans="9:9" x14ac:dyDescent="0.25">
      <c r="I2333">
        <f t="shared" si="36"/>
        <v>1900</v>
      </c>
    </row>
    <row r="2334" spans="9:9" x14ac:dyDescent="0.25">
      <c r="I2334">
        <f t="shared" si="36"/>
        <v>1900</v>
      </c>
    </row>
    <row r="2335" spans="9:9" x14ac:dyDescent="0.25">
      <c r="I2335">
        <f t="shared" si="36"/>
        <v>1900</v>
      </c>
    </row>
    <row r="2336" spans="9:9" x14ac:dyDescent="0.25">
      <c r="I2336">
        <f t="shared" si="36"/>
        <v>1900</v>
      </c>
    </row>
    <row r="2337" spans="9:9" x14ac:dyDescent="0.25">
      <c r="I2337">
        <f t="shared" si="36"/>
        <v>1900</v>
      </c>
    </row>
    <row r="2338" spans="9:9" x14ac:dyDescent="0.25">
      <c r="I2338">
        <f t="shared" si="36"/>
        <v>1900</v>
      </c>
    </row>
    <row r="2339" spans="9:9" x14ac:dyDescent="0.25">
      <c r="I2339">
        <f t="shared" si="36"/>
        <v>1900</v>
      </c>
    </row>
    <row r="2340" spans="9:9" x14ac:dyDescent="0.25">
      <c r="I2340">
        <f t="shared" si="36"/>
        <v>1900</v>
      </c>
    </row>
    <row r="2341" spans="9:9" x14ac:dyDescent="0.25">
      <c r="I2341">
        <f t="shared" si="36"/>
        <v>1900</v>
      </c>
    </row>
    <row r="2342" spans="9:9" x14ac:dyDescent="0.25">
      <c r="I2342">
        <f t="shared" si="36"/>
        <v>1900</v>
      </c>
    </row>
    <row r="2343" spans="9:9" x14ac:dyDescent="0.25">
      <c r="I2343">
        <f t="shared" si="36"/>
        <v>1900</v>
      </c>
    </row>
    <row r="2344" spans="9:9" x14ac:dyDescent="0.25">
      <c r="I2344">
        <f t="shared" si="36"/>
        <v>1900</v>
      </c>
    </row>
    <row r="2345" spans="9:9" x14ac:dyDescent="0.25">
      <c r="I2345">
        <f t="shared" si="36"/>
        <v>1900</v>
      </c>
    </row>
    <row r="2346" spans="9:9" x14ac:dyDescent="0.25">
      <c r="I2346">
        <f t="shared" si="36"/>
        <v>1900</v>
      </c>
    </row>
    <row r="2347" spans="9:9" x14ac:dyDescent="0.25">
      <c r="I2347">
        <f t="shared" si="36"/>
        <v>1900</v>
      </c>
    </row>
    <row r="2348" spans="9:9" x14ac:dyDescent="0.25">
      <c r="I2348">
        <f t="shared" si="36"/>
        <v>1900</v>
      </c>
    </row>
    <row r="2349" spans="9:9" x14ac:dyDescent="0.25">
      <c r="I2349">
        <f t="shared" si="36"/>
        <v>1900</v>
      </c>
    </row>
    <row r="2350" spans="9:9" x14ac:dyDescent="0.25">
      <c r="I2350">
        <f t="shared" si="36"/>
        <v>1900</v>
      </c>
    </row>
    <row r="2351" spans="9:9" x14ac:dyDescent="0.25">
      <c r="I2351">
        <f t="shared" si="36"/>
        <v>1900</v>
      </c>
    </row>
    <row r="2352" spans="9:9" x14ac:dyDescent="0.25">
      <c r="I2352">
        <f t="shared" si="36"/>
        <v>1900</v>
      </c>
    </row>
    <row r="2353" spans="9:9" x14ac:dyDescent="0.25">
      <c r="I2353">
        <f t="shared" si="36"/>
        <v>1900</v>
      </c>
    </row>
    <row r="2354" spans="9:9" x14ac:dyDescent="0.25">
      <c r="I2354">
        <f t="shared" si="36"/>
        <v>1900</v>
      </c>
    </row>
    <row r="2355" spans="9:9" x14ac:dyDescent="0.25">
      <c r="I2355">
        <f t="shared" si="36"/>
        <v>1900</v>
      </c>
    </row>
    <row r="2356" spans="9:9" x14ac:dyDescent="0.25">
      <c r="I2356">
        <f t="shared" si="36"/>
        <v>1900</v>
      </c>
    </row>
    <row r="2357" spans="9:9" x14ac:dyDescent="0.25">
      <c r="I2357">
        <f t="shared" si="36"/>
        <v>1900</v>
      </c>
    </row>
    <row r="2358" spans="9:9" x14ac:dyDescent="0.25">
      <c r="I2358">
        <f t="shared" si="36"/>
        <v>1900</v>
      </c>
    </row>
    <row r="2359" spans="9:9" x14ac:dyDescent="0.25">
      <c r="I2359">
        <f t="shared" si="36"/>
        <v>1900</v>
      </c>
    </row>
    <row r="2360" spans="9:9" x14ac:dyDescent="0.25">
      <c r="I2360">
        <f t="shared" si="36"/>
        <v>1900</v>
      </c>
    </row>
    <row r="2361" spans="9:9" x14ac:dyDescent="0.25">
      <c r="I2361">
        <f t="shared" si="36"/>
        <v>1900</v>
      </c>
    </row>
    <row r="2362" spans="9:9" x14ac:dyDescent="0.25">
      <c r="I2362">
        <f t="shared" si="36"/>
        <v>1900</v>
      </c>
    </row>
    <row r="2363" spans="9:9" x14ac:dyDescent="0.25">
      <c r="I2363">
        <f t="shared" si="36"/>
        <v>1900</v>
      </c>
    </row>
    <row r="2364" spans="9:9" x14ac:dyDescent="0.25">
      <c r="I2364">
        <f t="shared" si="36"/>
        <v>1900</v>
      </c>
    </row>
    <row r="2365" spans="9:9" x14ac:dyDescent="0.25">
      <c r="I2365">
        <f t="shared" si="36"/>
        <v>1900</v>
      </c>
    </row>
    <row r="2366" spans="9:9" x14ac:dyDescent="0.25">
      <c r="I2366">
        <f t="shared" si="36"/>
        <v>1900</v>
      </c>
    </row>
    <row r="2367" spans="9:9" x14ac:dyDescent="0.25">
      <c r="I2367">
        <f t="shared" si="36"/>
        <v>1900</v>
      </c>
    </row>
    <row r="2368" spans="9:9" x14ac:dyDescent="0.25">
      <c r="I2368">
        <f t="shared" si="36"/>
        <v>1900</v>
      </c>
    </row>
    <row r="2369" spans="9:9" x14ac:dyDescent="0.25">
      <c r="I2369">
        <f t="shared" si="36"/>
        <v>1900</v>
      </c>
    </row>
    <row r="2370" spans="9:9" x14ac:dyDescent="0.25">
      <c r="I2370">
        <f t="shared" si="36"/>
        <v>1900</v>
      </c>
    </row>
    <row r="2371" spans="9:9" x14ac:dyDescent="0.25">
      <c r="I2371">
        <f t="shared" si="36"/>
        <v>1900</v>
      </c>
    </row>
    <row r="2372" spans="9:9" x14ac:dyDescent="0.25">
      <c r="I2372">
        <f t="shared" ref="I2372:I2435" si="37">IFERROR(YEAR(E2372),"")</f>
        <v>1900</v>
      </c>
    </row>
    <row r="2373" spans="9:9" x14ac:dyDescent="0.25">
      <c r="I2373">
        <f t="shared" si="37"/>
        <v>1900</v>
      </c>
    </row>
    <row r="2374" spans="9:9" x14ac:dyDescent="0.25">
      <c r="I2374">
        <f t="shared" si="37"/>
        <v>1900</v>
      </c>
    </row>
    <row r="2375" spans="9:9" x14ac:dyDescent="0.25">
      <c r="I2375">
        <f t="shared" si="37"/>
        <v>1900</v>
      </c>
    </row>
    <row r="2376" spans="9:9" x14ac:dyDescent="0.25">
      <c r="I2376">
        <f t="shared" si="37"/>
        <v>1900</v>
      </c>
    </row>
    <row r="2377" spans="9:9" x14ac:dyDescent="0.25">
      <c r="I2377">
        <f t="shared" si="37"/>
        <v>1900</v>
      </c>
    </row>
    <row r="2378" spans="9:9" x14ac:dyDescent="0.25">
      <c r="I2378">
        <f t="shared" si="37"/>
        <v>1900</v>
      </c>
    </row>
    <row r="2379" spans="9:9" x14ac:dyDescent="0.25">
      <c r="I2379">
        <f t="shared" si="37"/>
        <v>1900</v>
      </c>
    </row>
    <row r="2380" spans="9:9" x14ac:dyDescent="0.25">
      <c r="I2380">
        <f t="shared" si="37"/>
        <v>1900</v>
      </c>
    </row>
    <row r="2381" spans="9:9" x14ac:dyDescent="0.25">
      <c r="I2381">
        <f t="shared" si="37"/>
        <v>1900</v>
      </c>
    </row>
    <row r="2382" spans="9:9" x14ac:dyDescent="0.25">
      <c r="I2382">
        <f t="shared" si="37"/>
        <v>1900</v>
      </c>
    </row>
    <row r="2383" spans="9:9" x14ac:dyDescent="0.25">
      <c r="I2383">
        <f t="shared" si="37"/>
        <v>1900</v>
      </c>
    </row>
    <row r="2384" spans="9:9" x14ac:dyDescent="0.25">
      <c r="I2384">
        <f t="shared" si="37"/>
        <v>1900</v>
      </c>
    </row>
    <row r="2385" spans="9:9" x14ac:dyDescent="0.25">
      <c r="I2385">
        <f t="shared" si="37"/>
        <v>1900</v>
      </c>
    </row>
    <row r="2386" spans="9:9" x14ac:dyDescent="0.25">
      <c r="I2386">
        <f t="shared" si="37"/>
        <v>1900</v>
      </c>
    </row>
    <row r="2387" spans="9:9" x14ac:dyDescent="0.25">
      <c r="I2387">
        <f t="shared" si="37"/>
        <v>1900</v>
      </c>
    </row>
    <row r="2388" spans="9:9" x14ac:dyDescent="0.25">
      <c r="I2388">
        <f t="shared" si="37"/>
        <v>1900</v>
      </c>
    </row>
    <row r="2389" spans="9:9" x14ac:dyDescent="0.25">
      <c r="I2389">
        <f t="shared" si="37"/>
        <v>1900</v>
      </c>
    </row>
    <row r="2390" spans="9:9" x14ac:dyDescent="0.25">
      <c r="I2390">
        <f t="shared" si="37"/>
        <v>1900</v>
      </c>
    </row>
    <row r="2391" spans="9:9" x14ac:dyDescent="0.25">
      <c r="I2391">
        <f t="shared" si="37"/>
        <v>1900</v>
      </c>
    </row>
    <row r="2392" spans="9:9" x14ac:dyDescent="0.25">
      <c r="I2392">
        <f t="shared" si="37"/>
        <v>1900</v>
      </c>
    </row>
    <row r="2393" spans="9:9" x14ac:dyDescent="0.25">
      <c r="I2393">
        <f t="shared" si="37"/>
        <v>1900</v>
      </c>
    </row>
    <row r="2394" spans="9:9" x14ac:dyDescent="0.25">
      <c r="I2394">
        <f t="shared" si="37"/>
        <v>1900</v>
      </c>
    </row>
    <row r="2395" spans="9:9" x14ac:dyDescent="0.25">
      <c r="I2395">
        <f t="shared" si="37"/>
        <v>1900</v>
      </c>
    </row>
    <row r="2396" spans="9:9" x14ac:dyDescent="0.25">
      <c r="I2396">
        <f t="shared" si="37"/>
        <v>1900</v>
      </c>
    </row>
    <row r="2397" spans="9:9" x14ac:dyDescent="0.25">
      <c r="I2397">
        <f t="shared" si="37"/>
        <v>1900</v>
      </c>
    </row>
    <row r="2398" spans="9:9" x14ac:dyDescent="0.25">
      <c r="I2398">
        <f t="shared" si="37"/>
        <v>1900</v>
      </c>
    </row>
    <row r="2399" spans="9:9" x14ac:dyDescent="0.25">
      <c r="I2399">
        <f t="shared" si="37"/>
        <v>1900</v>
      </c>
    </row>
    <row r="2400" spans="9:9" x14ac:dyDescent="0.25">
      <c r="I2400">
        <f t="shared" si="37"/>
        <v>1900</v>
      </c>
    </row>
    <row r="2401" spans="9:9" x14ac:dyDescent="0.25">
      <c r="I2401">
        <f t="shared" si="37"/>
        <v>1900</v>
      </c>
    </row>
    <row r="2402" spans="9:9" x14ac:dyDescent="0.25">
      <c r="I2402">
        <f t="shared" si="37"/>
        <v>1900</v>
      </c>
    </row>
    <row r="2403" spans="9:9" x14ac:dyDescent="0.25">
      <c r="I2403">
        <f t="shared" si="37"/>
        <v>1900</v>
      </c>
    </row>
    <row r="2404" spans="9:9" x14ac:dyDescent="0.25">
      <c r="I2404">
        <f t="shared" si="37"/>
        <v>1900</v>
      </c>
    </row>
    <row r="2405" spans="9:9" x14ac:dyDescent="0.25">
      <c r="I2405">
        <f t="shared" si="37"/>
        <v>1900</v>
      </c>
    </row>
    <row r="2406" spans="9:9" x14ac:dyDescent="0.25">
      <c r="I2406">
        <f t="shared" si="37"/>
        <v>1900</v>
      </c>
    </row>
    <row r="2407" spans="9:9" x14ac:dyDescent="0.25">
      <c r="I2407">
        <f t="shared" si="37"/>
        <v>1900</v>
      </c>
    </row>
    <row r="2408" spans="9:9" x14ac:dyDescent="0.25">
      <c r="I2408">
        <f t="shared" si="37"/>
        <v>1900</v>
      </c>
    </row>
    <row r="2409" spans="9:9" x14ac:dyDescent="0.25">
      <c r="I2409">
        <f t="shared" si="37"/>
        <v>1900</v>
      </c>
    </row>
    <row r="2410" spans="9:9" x14ac:dyDescent="0.25">
      <c r="I2410">
        <f t="shared" si="37"/>
        <v>1900</v>
      </c>
    </row>
    <row r="2411" spans="9:9" x14ac:dyDescent="0.25">
      <c r="I2411">
        <f t="shared" si="37"/>
        <v>1900</v>
      </c>
    </row>
    <row r="2412" spans="9:9" x14ac:dyDescent="0.25">
      <c r="I2412">
        <f t="shared" si="37"/>
        <v>1900</v>
      </c>
    </row>
    <row r="2413" spans="9:9" x14ac:dyDescent="0.25">
      <c r="I2413">
        <f t="shared" si="37"/>
        <v>1900</v>
      </c>
    </row>
    <row r="2414" spans="9:9" x14ac:dyDescent="0.25">
      <c r="I2414">
        <f t="shared" si="37"/>
        <v>1900</v>
      </c>
    </row>
    <row r="2415" spans="9:9" x14ac:dyDescent="0.25">
      <c r="I2415">
        <f t="shared" si="37"/>
        <v>1900</v>
      </c>
    </row>
    <row r="2416" spans="9:9" x14ac:dyDescent="0.25">
      <c r="I2416">
        <f t="shared" si="37"/>
        <v>1900</v>
      </c>
    </row>
    <row r="2417" spans="9:9" x14ac:dyDescent="0.25">
      <c r="I2417">
        <f t="shared" si="37"/>
        <v>1900</v>
      </c>
    </row>
    <row r="2418" spans="9:9" x14ac:dyDescent="0.25">
      <c r="I2418">
        <f t="shared" si="37"/>
        <v>1900</v>
      </c>
    </row>
    <row r="2419" spans="9:9" x14ac:dyDescent="0.25">
      <c r="I2419">
        <f t="shared" si="37"/>
        <v>1900</v>
      </c>
    </row>
    <row r="2420" spans="9:9" x14ac:dyDescent="0.25">
      <c r="I2420">
        <f t="shared" si="37"/>
        <v>1900</v>
      </c>
    </row>
    <row r="2421" spans="9:9" x14ac:dyDescent="0.25">
      <c r="I2421">
        <f t="shared" si="37"/>
        <v>1900</v>
      </c>
    </row>
    <row r="2422" spans="9:9" x14ac:dyDescent="0.25">
      <c r="I2422">
        <f t="shared" si="37"/>
        <v>1900</v>
      </c>
    </row>
    <row r="2423" spans="9:9" x14ac:dyDescent="0.25">
      <c r="I2423">
        <f t="shared" si="37"/>
        <v>1900</v>
      </c>
    </row>
    <row r="2424" spans="9:9" x14ac:dyDescent="0.25">
      <c r="I2424">
        <f t="shared" si="37"/>
        <v>1900</v>
      </c>
    </row>
    <row r="2425" spans="9:9" x14ac:dyDescent="0.25">
      <c r="I2425">
        <f t="shared" si="37"/>
        <v>1900</v>
      </c>
    </row>
    <row r="2426" spans="9:9" x14ac:dyDescent="0.25">
      <c r="I2426">
        <f t="shared" si="37"/>
        <v>1900</v>
      </c>
    </row>
    <row r="2427" spans="9:9" x14ac:dyDescent="0.25">
      <c r="I2427">
        <f t="shared" si="37"/>
        <v>1900</v>
      </c>
    </row>
    <row r="2428" spans="9:9" x14ac:dyDescent="0.25">
      <c r="I2428">
        <f t="shared" si="37"/>
        <v>1900</v>
      </c>
    </row>
    <row r="2429" spans="9:9" x14ac:dyDescent="0.25">
      <c r="I2429">
        <f t="shared" si="37"/>
        <v>1900</v>
      </c>
    </row>
    <row r="2430" spans="9:9" x14ac:dyDescent="0.25">
      <c r="I2430">
        <f t="shared" si="37"/>
        <v>1900</v>
      </c>
    </row>
    <row r="2431" spans="9:9" x14ac:dyDescent="0.25">
      <c r="I2431">
        <f t="shared" si="37"/>
        <v>1900</v>
      </c>
    </row>
    <row r="2432" spans="9:9" x14ac:dyDescent="0.25">
      <c r="I2432">
        <f t="shared" si="37"/>
        <v>1900</v>
      </c>
    </row>
    <row r="2433" spans="9:9" x14ac:dyDescent="0.25">
      <c r="I2433">
        <f t="shared" si="37"/>
        <v>1900</v>
      </c>
    </row>
    <row r="2434" spans="9:9" x14ac:dyDescent="0.25">
      <c r="I2434">
        <f t="shared" si="37"/>
        <v>1900</v>
      </c>
    </row>
    <row r="2435" spans="9:9" x14ac:dyDescent="0.25">
      <c r="I2435">
        <f t="shared" si="37"/>
        <v>1900</v>
      </c>
    </row>
    <row r="2436" spans="9:9" x14ac:dyDescent="0.25">
      <c r="I2436">
        <f t="shared" ref="I2436:I2499" si="38">IFERROR(YEAR(E2436),"")</f>
        <v>1900</v>
      </c>
    </row>
    <row r="2437" spans="9:9" x14ac:dyDescent="0.25">
      <c r="I2437">
        <f t="shared" si="38"/>
        <v>1900</v>
      </c>
    </row>
    <row r="2438" spans="9:9" x14ac:dyDescent="0.25">
      <c r="I2438">
        <f t="shared" si="38"/>
        <v>1900</v>
      </c>
    </row>
    <row r="2439" spans="9:9" x14ac:dyDescent="0.25">
      <c r="I2439">
        <f t="shared" si="38"/>
        <v>1900</v>
      </c>
    </row>
    <row r="2440" spans="9:9" x14ac:dyDescent="0.25">
      <c r="I2440">
        <f t="shared" si="38"/>
        <v>1900</v>
      </c>
    </row>
    <row r="2441" spans="9:9" x14ac:dyDescent="0.25">
      <c r="I2441">
        <f t="shared" si="38"/>
        <v>1900</v>
      </c>
    </row>
    <row r="2442" spans="9:9" x14ac:dyDescent="0.25">
      <c r="I2442">
        <f t="shared" si="38"/>
        <v>1900</v>
      </c>
    </row>
    <row r="2443" spans="9:9" x14ac:dyDescent="0.25">
      <c r="I2443">
        <f t="shared" si="38"/>
        <v>1900</v>
      </c>
    </row>
    <row r="2444" spans="9:9" x14ac:dyDescent="0.25">
      <c r="I2444">
        <f t="shared" si="38"/>
        <v>1900</v>
      </c>
    </row>
    <row r="2445" spans="9:9" x14ac:dyDescent="0.25">
      <c r="I2445">
        <f t="shared" si="38"/>
        <v>1900</v>
      </c>
    </row>
    <row r="2446" spans="9:9" x14ac:dyDescent="0.25">
      <c r="I2446">
        <f t="shared" si="38"/>
        <v>1900</v>
      </c>
    </row>
    <row r="2447" spans="9:9" x14ac:dyDescent="0.25">
      <c r="I2447">
        <f t="shared" si="38"/>
        <v>1900</v>
      </c>
    </row>
    <row r="2448" spans="9:9" x14ac:dyDescent="0.25">
      <c r="I2448">
        <f t="shared" si="38"/>
        <v>1900</v>
      </c>
    </row>
    <row r="2449" spans="9:9" x14ac:dyDescent="0.25">
      <c r="I2449">
        <f t="shared" si="38"/>
        <v>1900</v>
      </c>
    </row>
    <row r="2450" spans="9:9" x14ac:dyDescent="0.25">
      <c r="I2450">
        <f t="shared" si="38"/>
        <v>1900</v>
      </c>
    </row>
    <row r="2451" spans="9:9" x14ac:dyDescent="0.25">
      <c r="I2451">
        <f t="shared" si="38"/>
        <v>1900</v>
      </c>
    </row>
    <row r="2452" spans="9:9" x14ac:dyDescent="0.25">
      <c r="I2452">
        <f t="shared" si="38"/>
        <v>1900</v>
      </c>
    </row>
    <row r="2453" spans="9:9" x14ac:dyDescent="0.25">
      <c r="I2453">
        <f t="shared" si="38"/>
        <v>1900</v>
      </c>
    </row>
    <row r="2454" spans="9:9" x14ac:dyDescent="0.25">
      <c r="I2454">
        <f t="shared" si="38"/>
        <v>1900</v>
      </c>
    </row>
    <row r="2455" spans="9:9" x14ac:dyDescent="0.25">
      <c r="I2455">
        <f t="shared" si="38"/>
        <v>1900</v>
      </c>
    </row>
    <row r="2456" spans="9:9" x14ac:dyDescent="0.25">
      <c r="I2456">
        <f t="shared" si="38"/>
        <v>1900</v>
      </c>
    </row>
    <row r="2457" spans="9:9" x14ac:dyDescent="0.25">
      <c r="I2457">
        <f t="shared" si="38"/>
        <v>1900</v>
      </c>
    </row>
    <row r="2458" spans="9:9" x14ac:dyDescent="0.25">
      <c r="I2458">
        <f t="shared" si="38"/>
        <v>1900</v>
      </c>
    </row>
    <row r="2459" spans="9:9" x14ac:dyDescent="0.25">
      <c r="I2459">
        <f t="shared" si="38"/>
        <v>1900</v>
      </c>
    </row>
    <row r="2460" spans="9:9" x14ac:dyDescent="0.25">
      <c r="I2460">
        <f t="shared" si="38"/>
        <v>1900</v>
      </c>
    </row>
    <row r="2461" spans="9:9" x14ac:dyDescent="0.25">
      <c r="I2461">
        <f t="shared" si="38"/>
        <v>1900</v>
      </c>
    </row>
    <row r="2462" spans="9:9" x14ac:dyDescent="0.25">
      <c r="I2462">
        <f t="shared" si="38"/>
        <v>1900</v>
      </c>
    </row>
    <row r="2463" spans="9:9" x14ac:dyDescent="0.25">
      <c r="I2463">
        <f t="shared" si="38"/>
        <v>1900</v>
      </c>
    </row>
    <row r="2464" spans="9:9" x14ac:dyDescent="0.25">
      <c r="I2464">
        <f t="shared" si="38"/>
        <v>1900</v>
      </c>
    </row>
    <row r="2465" spans="9:9" x14ac:dyDescent="0.25">
      <c r="I2465">
        <f t="shared" si="38"/>
        <v>1900</v>
      </c>
    </row>
    <row r="2466" spans="9:9" x14ac:dyDescent="0.25">
      <c r="I2466">
        <f t="shared" si="38"/>
        <v>1900</v>
      </c>
    </row>
    <row r="2467" spans="9:9" x14ac:dyDescent="0.25">
      <c r="I2467">
        <f t="shared" si="38"/>
        <v>1900</v>
      </c>
    </row>
    <row r="2468" spans="9:9" x14ac:dyDescent="0.25">
      <c r="I2468">
        <f t="shared" si="38"/>
        <v>1900</v>
      </c>
    </row>
    <row r="2469" spans="9:9" x14ac:dyDescent="0.25">
      <c r="I2469">
        <f t="shared" si="38"/>
        <v>1900</v>
      </c>
    </row>
    <row r="2470" spans="9:9" x14ac:dyDescent="0.25">
      <c r="I2470">
        <f t="shared" si="38"/>
        <v>1900</v>
      </c>
    </row>
    <row r="2471" spans="9:9" x14ac:dyDescent="0.25">
      <c r="I2471">
        <f t="shared" si="38"/>
        <v>1900</v>
      </c>
    </row>
    <row r="2472" spans="9:9" x14ac:dyDescent="0.25">
      <c r="I2472">
        <f t="shared" si="38"/>
        <v>1900</v>
      </c>
    </row>
    <row r="2473" spans="9:9" x14ac:dyDescent="0.25">
      <c r="I2473">
        <f t="shared" si="38"/>
        <v>1900</v>
      </c>
    </row>
    <row r="2474" spans="9:9" x14ac:dyDescent="0.25">
      <c r="I2474">
        <f t="shared" si="38"/>
        <v>1900</v>
      </c>
    </row>
    <row r="2475" spans="9:9" x14ac:dyDescent="0.25">
      <c r="I2475">
        <f t="shared" si="38"/>
        <v>1900</v>
      </c>
    </row>
    <row r="2476" spans="9:9" x14ac:dyDescent="0.25">
      <c r="I2476">
        <f t="shared" si="38"/>
        <v>1900</v>
      </c>
    </row>
    <row r="2477" spans="9:9" x14ac:dyDescent="0.25">
      <c r="I2477">
        <f t="shared" si="38"/>
        <v>1900</v>
      </c>
    </row>
    <row r="2478" spans="9:9" x14ac:dyDescent="0.25">
      <c r="I2478">
        <f t="shared" si="38"/>
        <v>1900</v>
      </c>
    </row>
    <row r="2479" spans="9:9" x14ac:dyDescent="0.25">
      <c r="I2479">
        <f t="shared" si="38"/>
        <v>1900</v>
      </c>
    </row>
    <row r="2480" spans="9:9" x14ac:dyDescent="0.25">
      <c r="I2480">
        <f t="shared" si="38"/>
        <v>1900</v>
      </c>
    </row>
    <row r="2481" spans="9:9" x14ac:dyDescent="0.25">
      <c r="I2481">
        <f t="shared" si="38"/>
        <v>1900</v>
      </c>
    </row>
    <row r="2482" spans="9:9" x14ac:dyDescent="0.25">
      <c r="I2482">
        <f t="shared" si="38"/>
        <v>1900</v>
      </c>
    </row>
    <row r="2483" spans="9:9" x14ac:dyDescent="0.25">
      <c r="I2483">
        <f t="shared" si="38"/>
        <v>1900</v>
      </c>
    </row>
    <row r="2484" spans="9:9" x14ac:dyDescent="0.25">
      <c r="I2484">
        <f t="shared" si="38"/>
        <v>1900</v>
      </c>
    </row>
    <row r="2485" spans="9:9" x14ac:dyDescent="0.25">
      <c r="I2485">
        <f t="shared" si="38"/>
        <v>1900</v>
      </c>
    </row>
    <row r="2486" spans="9:9" x14ac:dyDescent="0.25">
      <c r="I2486">
        <f t="shared" si="38"/>
        <v>1900</v>
      </c>
    </row>
    <row r="2487" spans="9:9" x14ac:dyDescent="0.25">
      <c r="I2487">
        <f t="shared" si="38"/>
        <v>1900</v>
      </c>
    </row>
    <row r="2488" spans="9:9" x14ac:dyDescent="0.25">
      <c r="I2488">
        <f t="shared" si="38"/>
        <v>1900</v>
      </c>
    </row>
    <row r="2489" spans="9:9" x14ac:dyDescent="0.25">
      <c r="I2489">
        <f t="shared" si="38"/>
        <v>1900</v>
      </c>
    </row>
    <row r="2490" spans="9:9" x14ac:dyDescent="0.25">
      <c r="I2490">
        <f t="shared" si="38"/>
        <v>1900</v>
      </c>
    </row>
    <row r="2491" spans="9:9" x14ac:dyDescent="0.25">
      <c r="I2491">
        <f t="shared" si="38"/>
        <v>1900</v>
      </c>
    </row>
    <row r="2492" spans="9:9" x14ac:dyDescent="0.25">
      <c r="I2492">
        <f t="shared" si="38"/>
        <v>1900</v>
      </c>
    </row>
    <row r="2493" spans="9:9" x14ac:dyDescent="0.25">
      <c r="I2493">
        <f t="shared" si="38"/>
        <v>1900</v>
      </c>
    </row>
    <row r="2494" spans="9:9" x14ac:dyDescent="0.25">
      <c r="I2494">
        <f t="shared" si="38"/>
        <v>1900</v>
      </c>
    </row>
    <row r="2495" spans="9:9" x14ac:dyDescent="0.25">
      <c r="I2495">
        <f t="shared" si="38"/>
        <v>1900</v>
      </c>
    </row>
    <row r="2496" spans="9:9" x14ac:dyDescent="0.25">
      <c r="I2496">
        <f t="shared" si="38"/>
        <v>1900</v>
      </c>
    </row>
    <row r="2497" spans="9:9" x14ac:dyDescent="0.25">
      <c r="I2497">
        <f t="shared" si="38"/>
        <v>1900</v>
      </c>
    </row>
    <row r="2498" spans="9:9" x14ac:dyDescent="0.25">
      <c r="I2498">
        <f t="shared" si="38"/>
        <v>1900</v>
      </c>
    </row>
    <row r="2499" spans="9:9" x14ac:dyDescent="0.25">
      <c r="I2499">
        <f t="shared" si="38"/>
        <v>1900</v>
      </c>
    </row>
    <row r="2500" spans="9:9" x14ac:dyDescent="0.25">
      <c r="I2500">
        <f t="shared" ref="I2500:I2563" si="39">IFERROR(YEAR(E2500),"")</f>
        <v>1900</v>
      </c>
    </row>
    <row r="2501" spans="9:9" x14ac:dyDescent="0.25">
      <c r="I2501">
        <f t="shared" si="39"/>
        <v>1900</v>
      </c>
    </row>
    <row r="2502" spans="9:9" x14ac:dyDescent="0.25">
      <c r="I2502">
        <f t="shared" si="39"/>
        <v>1900</v>
      </c>
    </row>
    <row r="2503" spans="9:9" x14ac:dyDescent="0.25">
      <c r="I2503">
        <f t="shared" si="39"/>
        <v>1900</v>
      </c>
    </row>
    <row r="2504" spans="9:9" x14ac:dyDescent="0.25">
      <c r="I2504">
        <f t="shared" si="39"/>
        <v>1900</v>
      </c>
    </row>
    <row r="2505" spans="9:9" x14ac:dyDescent="0.25">
      <c r="I2505">
        <f t="shared" si="39"/>
        <v>1900</v>
      </c>
    </row>
    <row r="2506" spans="9:9" x14ac:dyDescent="0.25">
      <c r="I2506">
        <f t="shared" si="39"/>
        <v>1900</v>
      </c>
    </row>
    <row r="2507" spans="9:9" x14ac:dyDescent="0.25">
      <c r="I2507">
        <f t="shared" si="39"/>
        <v>1900</v>
      </c>
    </row>
    <row r="2508" spans="9:9" x14ac:dyDescent="0.25">
      <c r="I2508">
        <f t="shared" si="39"/>
        <v>1900</v>
      </c>
    </row>
    <row r="2509" spans="9:9" x14ac:dyDescent="0.25">
      <c r="I2509">
        <f t="shared" si="39"/>
        <v>1900</v>
      </c>
    </row>
    <row r="2510" spans="9:9" x14ac:dyDescent="0.25">
      <c r="I2510">
        <f t="shared" si="39"/>
        <v>1900</v>
      </c>
    </row>
    <row r="2511" spans="9:9" x14ac:dyDescent="0.25">
      <c r="I2511">
        <f t="shared" si="39"/>
        <v>1900</v>
      </c>
    </row>
    <row r="2512" spans="9:9" x14ac:dyDescent="0.25">
      <c r="I2512">
        <f t="shared" si="39"/>
        <v>1900</v>
      </c>
    </row>
    <row r="2513" spans="9:9" x14ac:dyDescent="0.25">
      <c r="I2513">
        <f t="shared" si="39"/>
        <v>1900</v>
      </c>
    </row>
    <row r="2514" spans="9:9" x14ac:dyDescent="0.25">
      <c r="I2514">
        <f t="shared" si="39"/>
        <v>1900</v>
      </c>
    </row>
    <row r="2515" spans="9:9" x14ac:dyDescent="0.25">
      <c r="I2515">
        <f t="shared" si="39"/>
        <v>1900</v>
      </c>
    </row>
    <row r="2516" spans="9:9" x14ac:dyDescent="0.25">
      <c r="I2516">
        <f t="shared" si="39"/>
        <v>1900</v>
      </c>
    </row>
    <row r="2517" spans="9:9" x14ac:dyDescent="0.25">
      <c r="I2517">
        <f t="shared" si="39"/>
        <v>1900</v>
      </c>
    </row>
    <row r="2518" spans="9:9" x14ac:dyDescent="0.25">
      <c r="I2518">
        <f t="shared" si="39"/>
        <v>1900</v>
      </c>
    </row>
    <row r="2519" spans="9:9" x14ac:dyDescent="0.25">
      <c r="I2519">
        <f t="shared" si="39"/>
        <v>1900</v>
      </c>
    </row>
    <row r="2520" spans="9:9" x14ac:dyDescent="0.25">
      <c r="I2520">
        <f t="shared" si="39"/>
        <v>1900</v>
      </c>
    </row>
    <row r="2521" spans="9:9" x14ac:dyDescent="0.25">
      <c r="I2521">
        <f t="shared" si="39"/>
        <v>1900</v>
      </c>
    </row>
    <row r="2522" spans="9:9" x14ac:dyDescent="0.25">
      <c r="I2522">
        <f t="shared" si="39"/>
        <v>1900</v>
      </c>
    </row>
    <row r="2523" spans="9:9" x14ac:dyDescent="0.25">
      <c r="I2523">
        <f t="shared" si="39"/>
        <v>1900</v>
      </c>
    </row>
    <row r="2524" spans="9:9" x14ac:dyDescent="0.25">
      <c r="I2524">
        <f t="shared" si="39"/>
        <v>1900</v>
      </c>
    </row>
    <row r="2525" spans="9:9" x14ac:dyDescent="0.25">
      <c r="I2525">
        <f t="shared" si="39"/>
        <v>1900</v>
      </c>
    </row>
    <row r="2526" spans="9:9" x14ac:dyDescent="0.25">
      <c r="I2526">
        <f t="shared" si="39"/>
        <v>1900</v>
      </c>
    </row>
    <row r="2527" spans="9:9" x14ac:dyDescent="0.25">
      <c r="I2527">
        <f t="shared" si="39"/>
        <v>1900</v>
      </c>
    </row>
    <row r="2528" spans="9:9" x14ac:dyDescent="0.25">
      <c r="I2528">
        <f t="shared" si="39"/>
        <v>1900</v>
      </c>
    </row>
    <row r="2529" spans="9:9" x14ac:dyDescent="0.25">
      <c r="I2529">
        <f t="shared" si="39"/>
        <v>1900</v>
      </c>
    </row>
    <row r="2530" spans="9:9" x14ac:dyDescent="0.25">
      <c r="I2530">
        <f t="shared" si="39"/>
        <v>1900</v>
      </c>
    </row>
    <row r="2531" spans="9:9" x14ac:dyDescent="0.25">
      <c r="I2531">
        <f t="shared" si="39"/>
        <v>1900</v>
      </c>
    </row>
    <row r="2532" spans="9:9" x14ac:dyDescent="0.25">
      <c r="I2532">
        <f t="shared" si="39"/>
        <v>1900</v>
      </c>
    </row>
    <row r="2533" spans="9:9" x14ac:dyDescent="0.25">
      <c r="I2533">
        <f t="shared" si="39"/>
        <v>1900</v>
      </c>
    </row>
    <row r="2534" spans="9:9" x14ac:dyDescent="0.25">
      <c r="I2534">
        <f t="shared" si="39"/>
        <v>1900</v>
      </c>
    </row>
    <row r="2535" spans="9:9" x14ac:dyDescent="0.25">
      <c r="I2535">
        <f t="shared" si="39"/>
        <v>1900</v>
      </c>
    </row>
    <row r="2536" spans="9:9" x14ac:dyDescent="0.25">
      <c r="I2536">
        <f t="shared" si="39"/>
        <v>1900</v>
      </c>
    </row>
    <row r="2537" spans="9:9" x14ac:dyDescent="0.25">
      <c r="I2537">
        <f t="shared" si="39"/>
        <v>1900</v>
      </c>
    </row>
    <row r="2538" spans="9:9" x14ac:dyDescent="0.25">
      <c r="I2538">
        <f t="shared" si="39"/>
        <v>1900</v>
      </c>
    </row>
    <row r="2539" spans="9:9" x14ac:dyDescent="0.25">
      <c r="I2539">
        <f t="shared" si="39"/>
        <v>1900</v>
      </c>
    </row>
    <row r="2540" spans="9:9" x14ac:dyDescent="0.25">
      <c r="I2540">
        <f t="shared" si="39"/>
        <v>1900</v>
      </c>
    </row>
    <row r="2541" spans="9:9" x14ac:dyDescent="0.25">
      <c r="I2541">
        <f t="shared" si="39"/>
        <v>1900</v>
      </c>
    </row>
    <row r="2542" spans="9:9" x14ac:dyDescent="0.25">
      <c r="I2542">
        <f t="shared" si="39"/>
        <v>1900</v>
      </c>
    </row>
    <row r="2543" spans="9:9" x14ac:dyDescent="0.25">
      <c r="I2543">
        <f t="shared" si="39"/>
        <v>1900</v>
      </c>
    </row>
    <row r="2544" spans="9:9" x14ac:dyDescent="0.25">
      <c r="I2544">
        <f t="shared" si="39"/>
        <v>1900</v>
      </c>
    </row>
    <row r="2545" spans="9:9" x14ac:dyDescent="0.25">
      <c r="I2545">
        <f t="shared" si="39"/>
        <v>1900</v>
      </c>
    </row>
    <row r="2546" spans="9:9" x14ac:dyDescent="0.25">
      <c r="I2546">
        <f t="shared" si="39"/>
        <v>1900</v>
      </c>
    </row>
    <row r="2547" spans="9:9" x14ac:dyDescent="0.25">
      <c r="I2547">
        <f t="shared" si="39"/>
        <v>1900</v>
      </c>
    </row>
    <row r="2548" spans="9:9" x14ac:dyDescent="0.25">
      <c r="I2548">
        <f t="shared" si="39"/>
        <v>1900</v>
      </c>
    </row>
    <row r="2549" spans="9:9" x14ac:dyDescent="0.25">
      <c r="I2549">
        <f t="shared" si="39"/>
        <v>1900</v>
      </c>
    </row>
    <row r="2550" spans="9:9" x14ac:dyDescent="0.25">
      <c r="I2550">
        <f t="shared" si="39"/>
        <v>1900</v>
      </c>
    </row>
    <row r="2551" spans="9:9" x14ac:dyDescent="0.25">
      <c r="I2551">
        <f t="shared" si="39"/>
        <v>1900</v>
      </c>
    </row>
    <row r="2552" spans="9:9" x14ac:dyDescent="0.25">
      <c r="I2552">
        <f t="shared" si="39"/>
        <v>1900</v>
      </c>
    </row>
    <row r="2553" spans="9:9" x14ac:dyDescent="0.25">
      <c r="I2553">
        <f t="shared" si="39"/>
        <v>1900</v>
      </c>
    </row>
    <row r="2554" spans="9:9" x14ac:dyDescent="0.25">
      <c r="I2554">
        <f t="shared" si="39"/>
        <v>1900</v>
      </c>
    </row>
    <row r="2555" spans="9:9" x14ac:dyDescent="0.25">
      <c r="I2555">
        <f t="shared" si="39"/>
        <v>1900</v>
      </c>
    </row>
    <row r="2556" spans="9:9" x14ac:dyDescent="0.25">
      <c r="I2556">
        <f t="shared" si="39"/>
        <v>1900</v>
      </c>
    </row>
    <row r="2557" spans="9:9" x14ac:dyDescent="0.25">
      <c r="I2557">
        <f t="shared" si="39"/>
        <v>1900</v>
      </c>
    </row>
    <row r="2558" spans="9:9" x14ac:dyDescent="0.25">
      <c r="I2558">
        <f t="shared" si="39"/>
        <v>1900</v>
      </c>
    </row>
    <row r="2559" spans="9:9" x14ac:dyDescent="0.25">
      <c r="I2559">
        <f t="shared" si="39"/>
        <v>1900</v>
      </c>
    </row>
    <row r="2560" spans="9:9" x14ac:dyDescent="0.25">
      <c r="I2560">
        <f t="shared" si="39"/>
        <v>1900</v>
      </c>
    </row>
    <row r="2561" spans="9:9" x14ac:dyDescent="0.25">
      <c r="I2561">
        <f t="shared" si="39"/>
        <v>1900</v>
      </c>
    </row>
    <row r="2562" spans="9:9" x14ac:dyDescent="0.25">
      <c r="I2562">
        <f t="shared" si="39"/>
        <v>1900</v>
      </c>
    </row>
    <row r="2563" spans="9:9" x14ac:dyDescent="0.25">
      <c r="I2563">
        <f t="shared" si="39"/>
        <v>1900</v>
      </c>
    </row>
    <row r="2564" spans="9:9" x14ac:dyDescent="0.25">
      <c r="I2564">
        <f t="shared" ref="I2564:I2627" si="40">IFERROR(YEAR(E2564),"")</f>
        <v>1900</v>
      </c>
    </row>
    <row r="2565" spans="9:9" x14ac:dyDescent="0.25">
      <c r="I2565">
        <f t="shared" si="40"/>
        <v>1900</v>
      </c>
    </row>
    <row r="2566" spans="9:9" x14ac:dyDescent="0.25">
      <c r="I2566">
        <f t="shared" si="40"/>
        <v>1900</v>
      </c>
    </row>
    <row r="2567" spans="9:9" x14ac:dyDescent="0.25">
      <c r="I2567">
        <f t="shared" si="40"/>
        <v>1900</v>
      </c>
    </row>
    <row r="2568" spans="9:9" x14ac:dyDescent="0.25">
      <c r="I2568">
        <f t="shared" si="40"/>
        <v>1900</v>
      </c>
    </row>
    <row r="2569" spans="9:9" x14ac:dyDescent="0.25">
      <c r="I2569">
        <f t="shared" si="40"/>
        <v>1900</v>
      </c>
    </row>
    <row r="2570" spans="9:9" x14ac:dyDescent="0.25">
      <c r="I2570">
        <f t="shared" si="40"/>
        <v>1900</v>
      </c>
    </row>
    <row r="2571" spans="9:9" x14ac:dyDescent="0.25">
      <c r="I2571">
        <f t="shared" si="40"/>
        <v>1900</v>
      </c>
    </row>
    <row r="2572" spans="9:9" x14ac:dyDescent="0.25">
      <c r="I2572">
        <f t="shared" si="40"/>
        <v>1900</v>
      </c>
    </row>
    <row r="2573" spans="9:9" x14ac:dyDescent="0.25">
      <c r="I2573">
        <f t="shared" si="40"/>
        <v>1900</v>
      </c>
    </row>
    <row r="2574" spans="9:9" x14ac:dyDescent="0.25">
      <c r="I2574">
        <f t="shared" si="40"/>
        <v>1900</v>
      </c>
    </row>
    <row r="2575" spans="9:9" x14ac:dyDescent="0.25">
      <c r="I2575">
        <f t="shared" si="40"/>
        <v>1900</v>
      </c>
    </row>
    <row r="2576" spans="9:9" x14ac:dyDescent="0.25">
      <c r="I2576">
        <f t="shared" si="40"/>
        <v>1900</v>
      </c>
    </row>
    <row r="2577" spans="9:9" x14ac:dyDescent="0.25">
      <c r="I2577">
        <f t="shared" si="40"/>
        <v>1900</v>
      </c>
    </row>
    <row r="2578" spans="9:9" x14ac:dyDescent="0.25">
      <c r="I2578">
        <f t="shared" si="40"/>
        <v>1900</v>
      </c>
    </row>
    <row r="2579" spans="9:9" x14ac:dyDescent="0.25">
      <c r="I2579">
        <f t="shared" si="40"/>
        <v>1900</v>
      </c>
    </row>
    <row r="2580" spans="9:9" x14ac:dyDescent="0.25">
      <c r="I2580">
        <f t="shared" si="40"/>
        <v>1900</v>
      </c>
    </row>
    <row r="2581" spans="9:9" x14ac:dyDescent="0.25">
      <c r="I2581">
        <f t="shared" si="40"/>
        <v>1900</v>
      </c>
    </row>
    <row r="2582" spans="9:9" x14ac:dyDescent="0.25">
      <c r="I2582">
        <f t="shared" si="40"/>
        <v>1900</v>
      </c>
    </row>
    <row r="2583" spans="9:9" x14ac:dyDescent="0.25">
      <c r="I2583">
        <f t="shared" si="40"/>
        <v>1900</v>
      </c>
    </row>
    <row r="2584" spans="9:9" x14ac:dyDescent="0.25">
      <c r="I2584">
        <f t="shared" si="40"/>
        <v>1900</v>
      </c>
    </row>
    <row r="2585" spans="9:9" x14ac:dyDescent="0.25">
      <c r="I2585">
        <f t="shared" si="40"/>
        <v>1900</v>
      </c>
    </row>
    <row r="2586" spans="9:9" x14ac:dyDescent="0.25">
      <c r="I2586">
        <f t="shared" si="40"/>
        <v>1900</v>
      </c>
    </row>
    <row r="2587" spans="9:9" x14ac:dyDescent="0.25">
      <c r="I2587">
        <f t="shared" si="40"/>
        <v>1900</v>
      </c>
    </row>
    <row r="2588" spans="9:9" x14ac:dyDescent="0.25">
      <c r="I2588">
        <f t="shared" si="40"/>
        <v>1900</v>
      </c>
    </row>
    <row r="2589" spans="9:9" x14ac:dyDescent="0.25">
      <c r="I2589">
        <f t="shared" si="40"/>
        <v>1900</v>
      </c>
    </row>
    <row r="2590" spans="9:9" x14ac:dyDescent="0.25">
      <c r="I2590">
        <f t="shared" si="40"/>
        <v>1900</v>
      </c>
    </row>
    <row r="2591" spans="9:9" x14ac:dyDescent="0.25">
      <c r="I2591">
        <f t="shared" si="40"/>
        <v>1900</v>
      </c>
    </row>
    <row r="2592" spans="9:9" x14ac:dyDescent="0.25">
      <c r="I2592">
        <f t="shared" si="40"/>
        <v>1900</v>
      </c>
    </row>
    <row r="2593" spans="9:9" x14ac:dyDescent="0.25">
      <c r="I2593">
        <f t="shared" si="40"/>
        <v>1900</v>
      </c>
    </row>
    <row r="2594" spans="9:9" x14ac:dyDescent="0.25">
      <c r="I2594">
        <f t="shared" si="40"/>
        <v>1900</v>
      </c>
    </row>
    <row r="2595" spans="9:9" x14ac:dyDescent="0.25">
      <c r="I2595">
        <f t="shared" si="40"/>
        <v>1900</v>
      </c>
    </row>
    <row r="2596" spans="9:9" x14ac:dyDescent="0.25">
      <c r="I2596">
        <f t="shared" si="40"/>
        <v>1900</v>
      </c>
    </row>
    <row r="2597" spans="9:9" x14ac:dyDescent="0.25">
      <c r="I2597">
        <f t="shared" si="40"/>
        <v>1900</v>
      </c>
    </row>
    <row r="2598" spans="9:9" x14ac:dyDescent="0.25">
      <c r="I2598">
        <f t="shared" si="40"/>
        <v>1900</v>
      </c>
    </row>
    <row r="2599" spans="9:9" x14ac:dyDescent="0.25">
      <c r="I2599">
        <f t="shared" si="40"/>
        <v>1900</v>
      </c>
    </row>
    <row r="2600" spans="9:9" x14ac:dyDescent="0.25">
      <c r="I2600">
        <f t="shared" si="40"/>
        <v>1900</v>
      </c>
    </row>
    <row r="2601" spans="9:9" x14ac:dyDescent="0.25">
      <c r="I2601">
        <f t="shared" si="40"/>
        <v>1900</v>
      </c>
    </row>
    <row r="2602" spans="9:9" x14ac:dyDescent="0.25">
      <c r="I2602">
        <f t="shared" si="40"/>
        <v>1900</v>
      </c>
    </row>
    <row r="2603" spans="9:9" x14ac:dyDescent="0.25">
      <c r="I2603">
        <f t="shared" si="40"/>
        <v>1900</v>
      </c>
    </row>
    <row r="2604" spans="9:9" x14ac:dyDescent="0.25">
      <c r="I2604">
        <f t="shared" si="40"/>
        <v>1900</v>
      </c>
    </row>
    <row r="2605" spans="9:9" x14ac:dyDescent="0.25">
      <c r="I2605">
        <f t="shared" si="40"/>
        <v>1900</v>
      </c>
    </row>
    <row r="2606" spans="9:9" x14ac:dyDescent="0.25">
      <c r="I2606">
        <f t="shared" si="40"/>
        <v>1900</v>
      </c>
    </row>
    <row r="2607" spans="9:9" x14ac:dyDescent="0.25">
      <c r="I2607">
        <f t="shared" si="40"/>
        <v>1900</v>
      </c>
    </row>
    <row r="2608" spans="9:9" x14ac:dyDescent="0.25">
      <c r="I2608">
        <f t="shared" si="40"/>
        <v>1900</v>
      </c>
    </row>
    <row r="2609" spans="9:9" x14ac:dyDescent="0.25">
      <c r="I2609">
        <f t="shared" si="40"/>
        <v>1900</v>
      </c>
    </row>
    <row r="2610" spans="9:9" x14ac:dyDescent="0.25">
      <c r="I2610">
        <f t="shared" si="40"/>
        <v>1900</v>
      </c>
    </row>
    <row r="2611" spans="9:9" x14ac:dyDescent="0.25">
      <c r="I2611">
        <f t="shared" si="40"/>
        <v>1900</v>
      </c>
    </row>
    <row r="2612" spans="9:9" x14ac:dyDescent="0.25">
      <c r="I2612">
        <f t="shared" si="40"/>
        <v>1900</v>
      </c>
    </row>
    <row r="2613" spans="9:9" x14ac:dyDescent="0.25">
      <c r="I2613">
        <f t="shared" si="40"/>
        <v>1900</v>
      </c>
    </row>
    <row r="2614" spans="9:9" x14ac:dyDescent="0.25">
      <c r="I2614">
        <f t="shared" si="40"/>
        <v>1900</v>
      </c>
    </row>
    <row r="2615" spans="9:9" x14ac:dyDescent="0.25">
      <c r="I2615">
        <f t="shared" si="40"/>
        <v>1900</v>
      </c>
    </row>
    <row r="2616" spans="9:9" x14ac:dyDescent="0.25">
      <c r="I2616">
        <f t="shared" si="40"/>
        <v>1900</v>
      </c>
    </row>
    <row r="2617" spans="9:9" x14ac:dyDescent="0.25">
      <c r="I2617">
        <f t="shared" si="40"/>
        <v>1900</v>
      </c>
    </row>
    <row r="2618" spans="9:9" x14ac:dyDescent="0.25">
      <c r="I2618">
        <f t="shared" si="40"/>
        <v>1900</v>
      </c>
    </row>
    <row r="2619" spans="9:9" x14ac:dyDescent="0.25">
      <c r="I2619">
        <f t="shared" si="40"/>
        <v>1900</v>
      </c>
    </row>
    <row r="2620" spans="9:9" x14ac:dyDescent="0.25">
      <c r="I2620">
        <f t="shared" si="40"/>
        <v>1900</v>
      </c>
    </row>
    <row r="2621" spans="9:9" x14ac:dyDescent="0.25">
      <c r="I2621">
        <f t="shared" si="40"/>
        <v>1900</v>
      </c>
    </row>
    <row r="2622" spans="9:9" x14ac:dyDescent="0.25">
      <c r="I2622">
        <f t="shared" si="40"/>
        <v>1900</v>
      </c>
    </row>
    <row r="2623" spans="9:9" x14ac:dyDescent="0.25">
      <c r="I2623">
        <f t="shared" si="40"/>
        <v>1900</v>
      </c>
    </row>
    <row r="2624" spans="9:9" x14ac:dyDescent="0.25">
      <c r="I2624">
        <f t="shared" si="40"/>
        <v>1900</v>
      </c>
    </row>
    <row r="2625" spans="9:9" x14ac:dyDescent="0.25">
      <c r="I2625">
        <f t="shared" si="40"/>
        <v>1900</v>
      </c>
    </row>
    <row r="2626" spans="9:9" x14ac:dyDescent="0.25">
      <c r="I2626">
        <f t="shared" si="40"/>
        <v>1900</v>
      </c>
    </row>
    <row r="2627" spans="9:9" x14ac:dyDescent="0.25">
      <c r="I2627">
        <f t="shared" si="40"/>
        <v>1900</v>
      </c>
    </row>
    <row r="2628" spans="9:9" x14ac:dyDescent="0.25">
      <c r="I2628">
        <f t="shared" ref="I2628:I2691" si="41">IFERROR(YEAR(E2628),"")</f>
        <v>1900</v>
      </c>
    </row>
    <row r="2629" spans="9:9" x14ac:dyDescent="0.25">
      <c r="I2629">
        <f t="shared" si="41"/>
        <v>1900</v>
      </c>
    </row>
    <row r="2630" spans="9:9" x14ac:dyDescent="0.25">
      <c r="I2630">
        <f t="shared" si="41"/>
        <v>1900</v>
      </c>
    </row>
    <row r="2631" spans="9:9" x14ac:dyDescent="0.25">
      <c r="I2631">
        <f t="shared" si="41"/>
        <v>1900</v>
      </c>
    </row>
    <row r="2632" spans="9:9" x14ac:dyDescent="0.25">
      <c r="I2632">
        <f t="shared" si="41"/>
        <v>1900</v>
      </c>
    </row>
    <row r="2633" spans="9:9" x14ac:dyDescent="0.25">
      <c r="I2633">
        <f t="shared" si="41"/>
        <v>1900</v>
      </c>
    </row>
    <row r="2634" spans="9:9" x14ac:dyDescent="0.25">
      <c r="I2634">
        <f t="shared" si="41"/>
        <v>1900</v>
      </c>
    </row>
    <row r="2635" spans="9:9" x14ac:dyDescent="0.25">
      <c r="I2635">
        <f t="shared" si="41"/>
        <v>1900</v>
      </c>
    </row>
    <row r="2636" spans="9:9" x14ac:dyDescent="0.25">
      <c r="I2636">
        <f t="shared" si="41"/>
        <v>1900</v>
      </c>
    </row>
    <row r="2637" spans="9:9" x14ac:dyDescent="0.25">
      <c r="I2637">
        <f t="shared" si="41"/>
        <v>1900</v>
      </c>
    </row>
    <row r="2638" spans="9:9" x14ac:dyDescent="0.25">
      <c r="I2638">
        <f t="shared" si="41"/>
        <v>1900</v>
      </c>
    </row>
    <row r="2639" spans="9:9" x14ac:dyDescent="0.25">
      <c r="I2639">
        <f t="shared" si="41"/>
        <v>1900</v>
      </c>
    </row>
    <row r="2640" spans="9:9" x14ac:dyDescent="0.25">
      <c r="I2640">
        <f t="shared" si="41"/>
        <v>1900</v>
      </c>
    </row>
    <row r="2641" spans="9:9" x14ac:dyDescent="0.25">
      <c r="I2641">
        <f t="shared" si="41"/>
        <v>1900</v>
      </c>
    </row>
    <row r="2642" spans="9:9" x14ac:dyDescent="0.25">
      <c r="I2642">
        <f t="shared" si="41"/>
        <v>1900</v>
      </c>
    </row>
    <row r="2643" spans="9:9" x14ac:dyDescent="0.25">
      <c r="I2643">
        <f t="shared" si="41"/>
        <v>1900</v>
      </c>
    </row>
    <row r="2644" spans="9:9" x14ac:dyDescent="0.25">
      <c r="I2644">
        <f t="shared" si="41"/>
        <v>1900</v>
      </c>
    </row>
    <row r="2645" spans="9:9" x14ac:dyDescent="0.25">
      <c r="I2645">
        <f t="shared" si="41"/>
        <v>1900</v>
      </c>
    </row>
    <row r="2646" spans="9:9" x14ac:dyDescent="0.25">
      <c r="I2646">
        <f t="shared" si="41"/>
        <v>1900</v>
      </c>
    </row>
    <row r="2647" spans="9:9" x14ac:dyDescent="0.25">
      <c r="I2647">
        <f t="shared" si="41"/>
        <v>1900</v>
      </c>
    </row>
    <row r="2648" spans="9:9" x14ac:dyDescent="0.25">
      <c r="I2648">
        <f t="shared" si="41"/>
        <v>1900</v>
      </c>
    </row>
    <row r="2649" spans="9:9" x14ac:dyDescent="0.25">
      <c r="I2649">
        <f t="shared" si="41"/>
        <v>1900</v>
      </c>
    </row>
    <row r="2650" spans="9:9" x14ac:dyDescent="0.25">
      <c r="I2650">
        <f t="shared" si="41"/>
        <v>1900</v>
      </c>
    </row>
    <row r="2651" spans="9:9" x14ac:dyDescent="0.25">
      <c r="I2651">
        <f t="shared" si="41"/>
        <v>1900</v>
      </c>
    </row>
    <row r="2652" spans="9:9" x14ac:dyDescent="0.25">
      <c r="I2652">
        <f t="shared" si="41"/>
        <v>1900</v>
      </c>
    </row>
    <row r="2653" spans="9:9" x14ac:dyDescent="0.25">
      <c r="I2653">
        <f t="shared" si="41"/>
        <v>1900</v>
      </c>
    </row>
    <row r="2654" spans="9:9" x14ac:dyDescent="0.25">
      <c r="I2654">
        <f t="shared" si="41"/>
        <v>1900</v>
      </c>
    </row>
    <row r="2655" spans="9:9" x14ac:dyDescent="0.25">
      <c r="I2655">
        <f t="shared" si="41"/>
        <v>1900</v>
      </c>
    </row>
    <row r="2656" spans="9:9" x14ac:dyDescent="0.25">
      <c r="I2656">
        <f t="shared" si="41"/>
        <v>1900</v>
      </c>
    </row>
    <row r="2657" spans="9:9" x14ac:dyDescent="0.25">
      <c r="I2657">
        <f t="shared" si="41"/>
        <v>1900</v>
      </c>
    </row>
    <row r="2658" spans="9:9" x14ac:dyDescent="0.25">
      <c r="I2658">
        <f t="shared" si="41"/>
        <v>1900</v>
      </c>
    </row>
    <row r="2659" spans="9:9" x14ac:dyDescent="0.25">
      <c r="I2659">
        <f t="shared" si="41"/>
        <v>1900</v>
      </c>
    </row>
    <row r="2660" spans="9:9" x14ac:dyDescent="0.25">
      <c r="I2660">
        <f t="shared" si="41"/>
        <v>1900</v>
      </c>
    </row>
    <row r="2661" spans="9:9" x14ac:dyDescent="0.25">
      <c r="I2661">
        <f t="shared" si="41"/>
        <v>1900</v>
      </c>
    </row>
    <row r="2662" spans="9:9" x14ac:dyDescent="0.25">
      <c r="I2662">
        <f t="shared" si="41"/>
        <v>1900</v>
      </c>
    </row>
    <row r="2663" spans="9:9" x14ac:dyDescent="0.25">
      <c r="I2663">
        <f t="shared" si="41"/>
        <v>1900</v>
      </c>
    </row>
    <row r="2664" spans="9:9" x14ac:dyDescent="0.25">
      <c r="I2664">
        <f t="shared" si="41"/>
        <v>1900</v>
      </c>
    </row>
    <row r="2665" spans="9:9" x14ac:dyDescent="0.25">
      <c r="I2665">
        <f t="shared" si="41"/>
        <v>1900</v>
      </c>
    </row>
    <row r="2666" spans="9:9" x14ac:dyDescent="0.25">
      <c r="I2666">
        <f t="shared" si="41"/>
        <v>1900</v>
      </c>
    </row>
    <row r="2667" spans="9:9" x14ac:dyDescent="0.25">
      <c r="I2667">
        <f t="shared" si="41"/>
        <v>1900</v>
      </c>
    </row>
    <row r="2668" spans="9:9" x14ac:dyDescent="0.25">
      <c r="I2668">
        <f t="shared" si="41"/>
        <v>1900</v>
      </c>
    </row>
    <row r="2669" spans="9:9" x14ac:dyDescent="0.25">
      <c r="I2669">
        <f t="shared" si="41"/>
        <v>1900</v>
      </c>
    </row>
    <row r="2670" spans="9:9" x14ac:dyDescent="0.25">
      <c r="I2670">
        <f t="shared" si="41"/>
        <v>1900</v>
      </c>
    </row>
    <row r="2671" spans="9:9" x14ac:dyDescent="0.25">
      <c r="I2671">
        <f t="shared" si="41"/>
        <v>1900</v>
      </c>
    </row>
    <row r="2672" spans="9:9" x14ac:dyDescent="0.25">
      <c r="I2672">
        <f t="shared" si="41"/>
        <v>1900</v>
      </c>
    </row>
    <row r="2673" spans="9:9" x14ac:dyDescent="0.25">
      <c r="I2673">
        <f t="shared" si="41"/>
        <v>1900</v>
      </c>
    </row>
    <row r="2674" spans="9:9" x14ac:dyDescent="0.25">
      <c r="I2674">
        <f t="shared" si="41"/>
        <v>1900</v>
      </c>
    </row>
    <row r="2675" spans="9:9" x14ac:dyDescent="0.25">
      <c r="I2675">
        <f t="shared" si="41"/>
        <v>1900</v>
      </c>
    </row>
    <row r="2676" spans="9:9" x14ac:dyDescent="0.25">
      <c r="I2676">
        <f t="shared" si="41"/>
        <v>1900</v>
      </c>
    </row>
    <row r="2677" spans="9:9" x14ac:dyDescent="0.25">
      <c r="I2677">
        <f t="shared" si="41"/>
        <v>1900</v>
      </c>
    </row>
    <row r="2678" spans="9:9" x14ac:dyDescent="0.25">
      <c r="I2678">
        <f t="shared" si="41"/>
        <v>1900</v>
      </c>
    </row>
    <row r="2679" spans="9:9" x14ac:dyDescent="0.25">
      <c r="I2679">
        <f t="shared" si="41"/>
        <v>1900</v>
      </c>
    </row>
    <row r="2680" spans="9:9" x14ac:dyDescent="0.25">
      <c r="I2680">
        <f t="shared" si="41"/>
        <v>1900</v>
      </c>
    </row>
    <row r="2681" spans="9:9" x14ac:dyDescent="0.25">
      <c r="I2681">
        <f t="shared" si="41"/>
        <v>1900</v>
      </c>
    </row>
    <row r="2682" spans="9:9" x14ac:dyDescent="0.25">
      <c r="I2682">
        <f t="shared" si="41"/>
        <v>1900</v>
      </c>
    </row>
    <row r="2683" spans="9:9" x14ac:dyDescent="0.25">
      <c r="I2683">
        <f t="shared" si="41"/>
        <v>1900</v>
      </c>
    </row>
    <row r="2684" spans="9:9" x14ac:dyDescent="0.25">
      <c r="I2684">
        <f t="shared" si="41"/>
        <v>1900</v>
      </c>
    </row>
    <row r="2685" spans="9:9" x14ac:dyDescent="0.25">
      <c r="I2685">
        <f t="shared" si="41"/>
        <v>1900</v>
      </c>
    </row>
    <row r="2686" spans="9:9" x14ac:dyDescent="0.25">
      <c r="I2686">
        <f t="shared" si="41"/>
        <v>1900</v>
      </c>
    </row>
    <row r="2687" spans="9:9" x14ac:dyDescent="0.25">
      <c r="I2687">
        <f t="shared" si="41"/>
        <v>1900</v>
      </c>
    </row>
    <row r="2688" spans="9:9" x14ac:dyDescent="0.25">
      <c r="I2688">
        <f t="shared" si="41"/>
        <v>1900</v>
      </c>
    </row>
    <row r="2689" spans="9:9" x14ac:dyDescent="0.25">
      <c r="I2689">
        <f t="shared" si="41"/>
        <v>1900</v>
      </c>
    </row>
    <row r="2690" spans="9:9" x14ac:dyDescent="0.25">
      <c r="I2690">
        <f t="shared" si="41"/>
        <v>1900</v>
      </c>
    </row>
    <row r="2691" spans="9:9" x14ac:dyDescent="0.25">
      <c r="I2691">
        <f t="shared" si="41"/>
        <v>1900</v>
      </c>
    </row>
    <row r="2692" spans="9:9" x14ac:dyDescent="0.25">
      <c r="I2692">
        <f t="shared" ref="I2692:I2755" si="42">IFERROR(YEAR(E2692),"")</f>
        <v>1900</v>
      </c>
    </row>
    <row r="2693" spans="9:9" x14ac:dyDescent="0.25">
      <c r="I2693">
        <f t="shared" si="42"/>
        <v>1900</v>
      </c>
    </row>
    <row r="2694" spans="9:9" x14ac:dyDescent="0.25">
      <c r="I2694">
        <f t="shared" si="42"/>
        <v>1900</v>
      </c>
    </row>
    <row r="2695" spans="9:9" x14ac:dyDescent="0.25">
      <c r="I2695">
        <f t="shared" si="42"/>
        <v>1900</v>
      </c>
    </row>
    <row r="2696" spans="9:9" x14ac:dyDescent="0.25">
      <c r="I2696">
        <f t="shared" si="42"/>
        <v>1900</v>
      </c>
    </row>
    <row r="2697" spans="9:9" x14ac:dyDescent="0.25">
      <c r="I2697">
        <f t="shared" si="42"/>
        <v>1900</v>
      </c>
    </row>
    <row r="2698" spans="9:9" x14ac:dyDescent="0.25">
      <c r="I2698">
        <f t="shared" si="42"/>
        <v>1900</v>
      </c>
    </row>
    <row r="2699" spans="9:9" x14ac:dyDescent="0.25">
      <c r="I2699">
        <f t="shared" si="42"/>
        <v>1900</v>
      </c>
    </row>
    <row r="2700" spans="9:9" x14ac:dyDescent="0.25">
      <c r="I2700">
        <f t="shared" si="42"/>
        <v>1900</v>
      </c>
    </row>
    <row r="2701" spans="9:9" x14ac:dyDescent="0.25">
      <c r="I2701">
        <f t="shared" si="42"/>
        <v>1900</v>
      </c>
    </row>
    <row r="2702" spans="9:9" x14ac:dyDescent="0.25">
      <c r="I2702">
        <f t="shared" si="42"/>
        <v>1900</v>
      </c>
    </row>
    <row r="2703" spans="9:9" x14ac:dyDescent="0.25">
      <c r="I2703">
        <f t="shared" si="42"/>
        <v>1900</v>
      </c>
    </row>
    <row r="2704" spans="9:9" x14ac:dyDescent="0.25">
      <c r="I2704">
        <f t="shared" si="42"/>
        <v>1900</v>
      </c>
    </row>
    <row r="2705" spans="9:9" x14ac:dyDescent="0.25">
      <c r="I2705">
        <f t="shared" si="42"/>
        <v>1900</v>
      </c>
    </row>
    <row r="2706" spans="9:9" x14ac:dyDescent="0.25">
      <c r="I2706">
        <f t="shared" si="42"/>
        <v>1900</v>
      </c>
    </row>
    <row r="2707" spans="9:9" x14ac:dyDescent="0.25">
      <c r="I2707">
        <f t="shared" si="42"/>
        <v>1900</v>
      </c>
    </row>
    <row r="2708" spans="9:9" x14ac:dyDescent="0.25">
      <c r="I2708">
        <f t="shared" si="42"/>
        <v>1900</v>
      </c>
    </row>
    <row r="2709" spans="9:9" x14ac:dyDescent="0.25">
      <c r="I2709">
        <f t="shared" si="42"/>
        <v>1900</v>
      </c>
    </row>
    <row r="2710" spans="9:9" x14ac:dyDescent="0.25">
      <c r="I2710">
        <f t="shared" si="42"/>
        <v>1900</v>
      </c>
    </row>
    <row r="2711" spans="9:9" x14ac:dyDescent="0.25">
      <c r="I2711">
        <f t="shared" si="42"/>
        <v>1900</v>
      </c>
    </row>
    <row r="2712" spans="9:9" x14ac:dyDescent="0.25">
      <c r="I2712">
        <f t="shared" si="42"/>
        <v>1900</v>
      </c>
    </row>
    <row r="2713" spans="9:9" x14ac:dyDescent="0.25">
      <c r="I2713">
        <f t="shared" si="42"/>
        <v>1900</v>
      </c>
    </row>
    <row r="2714" spans="9:9" x14ac:dyDescent="0.25">
      <c r="I2714">
        <f t="shared" si="42"/>
        <v>1900</v>
      </c>
    </row>
    <row r="2715" spans="9:9" x14ac:dyDescent="0.25">
      <c r="I2715">
        <f t="shared" si="42"/>
        <v>1900</v>
      </c>
    </row>
    <row r="2716" spans="9:9" x14ac:dyDescent="0.25">
      <c r="I2716">
        <f t="shared" si="42"/>
        <v>1900</v>
      </c>
    </row>
    <row r="2717" spans="9:9" x14ac:dyDescent="0.25">
      <c r="I2717">
        <f t="shared" si="42"/>
        <v>1900</v>
      </c>
    </row>
    <row r="2718" spans="9:9" x14ac:dyDescent="0.25">
      <c r="I2718">
        <f t="shared" si="42"/>
        <v>1900</v>
      </c>
    </row>
    <row r="2719" spans="9:9" x14ac:dyDescent="0.25">
      <c r="I2719">
        <f t="shared" si="42"/>
        <v>1900</v>
      </c>
    </row>
    <row r="2720" spans="9:9" x14ac:dyDescent="0.25">
      <c r="I2720">
        <f t="shared" si="42"/>
        <v>1900</v>
      </c>
    </row>
    <row r="2721" spans="9:9" x14ac:dyDescent="0.25">
      <c r="I2721">
        <f t="shared" si="42"/>
        <v>1900</v>
      </c>
    </row>
    <row r="2722" spans="9:9" x14ac:dyDescent="0.25">
      <c r="I2722">
        <f t="shared" si="42"/>
        <v>1900</v>
      </c>
    </row>
    <row r="2723" spans="9:9" x14ac:dyDescent="0.25">
      <c r="I2723">
        <f t="shared" si="42"/>
        <v>1900</v>
      </c>
    </row>
    <row r="2724" spans="9:9" x14ac:dyDescent="0.25">
      <c r="I2724">
        <f t="shared" si="42"/>
        <v>1900</v>
      </c>
    </row>
    <row r="2725" spans="9:9" x14ac:dyDescent="0.25">
      <c r="I2725">
        <f t="shared" si="42"/>
        <v>1900</v>
      </c>
    </row>
    <row r="2726" spans="9:9" x14ac:dyDescent="0.25">
      <c r="I2726">
        <f t="shared" si="42"/>
        <v>1900</v>
      </c>
    </row>
    <row r="2727" spans="9:9" x14ac:dyDescent="0.25">
      <c r="I2727">
        <f t="shared" si="42"/>
        <v>1900</v>
      </c>
    </row>
    <row r="2728" spans="9:9" x14ac:dyDescent="0.25">
      <c r="I2728">
        <f t="shared" si="42"/>
        <v>1900</v>
      </c>
    </row>
    <row r="2729" spans="9:9" x14ac:dyDescent="0.25">
      <c r="I2729">
        <f t="shared" si="42"/>
        <v>1900</v>
      </c>
    </row>
    <row r="2730" spans="9:9" x14ac:dyDescent="0.25">
      <c r="I2730">
        <f t="shared" si="42"/>
        <v>1900</v>
      </c>
    </row>
    <row r="2731" spans="9:9" x14ac:dyDescent="0.25">
      <c r="I2731">
        <f t="shared" si="42"/>
        <v>1900</v>
      </c>
    </row>
    <row r="2732" spans="9:9" x14ac:dyDescent="0.25">
      <c r="I2732">
        <f t="shared" si="42"/>
        <v>1900</v>
      </c>
    </row>
    <row r="2733" spans="9:9" x14ac:dyDescent="0.25">
      <c r="I2733">
        <f t="shared" si="42"/>
        <v>1900</v>
      </c>
    </row>
    <row r="2734" spans="9:9" x14ac:dyDescent="0.25">
      <c r="I2734">
        <f t="shared" si="42"/>
        <v>1900</v>
      </c>
    </row>
    <row r="2735" spans="9:9" x14ac:dyDescent="0.25">
      <c r="I2735">
        <f t="shared" si="42"/>
        <v>1900</v>
      </c>
    </row>
    <row r="2736" spans="9:9" x14ac:dyDescent="0.25">
      <c r="I2736">
        <f t="shared" si="42"/>
        <v>1900</v>
      </c>
    </row>
    <row r="2737" spans="9:9" x14ac:dyDescent="0.25">
      <c r="I2737">
        <f t="shared" si="42"/>
        <v>1900</v>
      </c>
    </row>
    <row r="2738" spans="9:9" x14ac:dyDescent="0.25">
      <c r="I2738">
        <f t="shared" si="42"/>
        <v>1900</v>
      </c>
    </row>
    <row r="2739" spans="9:9" x14ac:dyDescent="0.25">
      <c r="I2739">
        <f t="shared" si="42"/>
        <v>1900</v>
      </c>
    </row>
    <row r="2740" spans="9:9" x14ac:dyDescent="0.25">
      <c r="I2740">
        <f t="shared" si="42"/>
        <v>1900</v>
      </c>
    </row>
    <row r="2741" spans="9:9" x14ac:dyDescent="0.25">
      <c r="I2741">
        <f t="shared" si="42"/>
        <v>1900</v>
      </c>
    </row>
    <row r="2742" spans="9:9" x14ac:dyDescent="0.25">
      <c r="I2742">
        <f t="shared" si="42"/>
        <v>1900</v>
      </c>
    </row>
    <row r="2743" spans="9:9" x14ac:dyDescent="0.25">
      <c r="I2743">
        <f t="shared" si="42"/>
        <v>1900</v>
      </c>
    </row>
    <row r="2744" spans="9:9" x14ac:dyDescent="0.25">
      <c r="I2744">
        <f t="shared" si="42"/>
        <v>1900</v>
      </c>
    </row>
    <row r="2745" spans="9:9" x14ac:dyDescent="0.25">
      <c r="I2745">
        <f t="shared" si="42"/>
        <v>1900</v>
      </c>
    </row>
    <row r="2746" spans="9:9" x14ac:dyDescent="0.25">
      <c r="I2746">
        <f t="shared" si="42"/>
        <v>1900</v>
      </c>
    </row>
    <row r="2747" spans="9:9" x14ac:dyDescent="0.25">
      <c r="I2747">
        <f t="shared" si="42"/>
        <v>1900</v>
      </c>
    </row>
    <row r="2748" spans="9:9" x14ac:dyDescent="0.25">
      <c r="I2748">
        <f t="shared" si="42"/>
        <v>1900</v>
      </c>
    </row>
    <row r="2749" spans="9:9" x14ac:dyDescent="0.25">
      <c r="I2749">
        <f t="shared" si="42"/>
        <v>1900</v>
      </c>
    </row>
    <row r="2750" spans="9:9" x14ac:dyDescent="0.25">
      <c r="I2750">
        <f t="shared" si="42"/>
        <v>1900</v>
      </c>
    </row>
    <row r="2751" spans="9:9" x14ac:dyDescent="0.25">
      <c r="I2751">
        <f t="shared" si="42"/>
        <v>1900</v>
      </c>
    </row>
    <row r="2752" spans="9:9" x14ac:dyDescent="0.25">
      <c r="I2752">
        <f t="shared" si="42"/>
        <v>1900</v>
      </c>
    </row>
    <row r="2753" spans="9:9" x14ac:dyDescent="0.25">
      <c r="I2753">
        <f t="shared" si="42"/>
        <v>1900</v>
      </c>
    </row>
    <row r="2754" spans="9:9" x14ac:dyDescent="0.25">
      <c r="I2754">
        <f t="shared" si="42"/>
        <v>1900</v>
      </c>
    </row>
    <row r="2755" spans="9:9" x14ac:dyDescent="0.25">
      <c r="I2755">
        <f t="shared" si="42"/>
        <v>1900</v>
      </c>
    </row>
    <row r="2756" spans="9:9" x14ac:dyDescent="0.25">
      <c r="I2756">
        <f t="shared" ref="I2756:I2819" si="43">IFERROR(YEAR(E2756),"")</f>
        <v>1900</v>
      </c>
    </row>
    <row r="2757" spans="9:9" x14ac:dyDescent="0.25">
      <c r="I2757">
        <f t="shared" si="43"/>
        <v>1900</v>
      </c>
    </row>
    <row r="2758" spans="9:9" x14ac:dyDescent="0.25">
      <c r="I2758">
        <f t="shared" si="43"/>
        <v>1900</v>
      </c>
    </row>
    <row r="2759" spans="9:9" x14ac:dyDescent="0.25">
      <c r="I2759">
        <f t="shared" si="43"/>
        <v>1900</v>
      </c>
    </row>
    <row r="2760" spans="9:9" x14ac:dyDescent="0.25">
      <c r="I2760">
        <f t="shared" si="43"/>
        <v>1900</v>
      </c>
    </row>
    <row r="2761" spans="9:9" x14ac:dyDescent="0.25">
      <c r="I2761">
        <f t="shared" si="43"/>
        <v>1900</v>
      </c>
    </row>
    <row r="2762" spans="9:9" x14ac:dyDescent="0.25">
      <c r="I2762">
        <f t="shared" si="43"/>
        <v>1900</v>
      </c>
    </row>
    <row r="2763" spans="9:9" x14ac:dyDescent="0.25">
      <c r="I2763">
        <f t="shared" si="43"/>
        <v>1900</v>
      </c>
    </row>
    <row r="2764" spans="9:9" x14ac:dyDescent="0.25">
      <c r="I2764">
        <f t="shared" si="43"/>
        <v>1900</v>
      </c>
    </row>
    <row r="2765" spans="9:9" x14ac:dyDescent="0.25">
      <c r="I2765">
        <f t="shared" si="43"/>
        <v>1900</v>
      </c>
    </row>
    <row r="2766" spans="9:9" x14ac:dyDescent="0.25">
      <c r="I2766">
        <f t="shared" si="43"/>
        <v>1900</v>
      </c>
    </row>
    <row r="2767" spans="9:9" x14ac:dyDescent="0.25">
      <c r="I2767">
        <f t="shared" si="43"/>
        <v>1900</v>
      </c>
    </row>
    <row r="2768" spans="9:9" x14ac:dyDescent="0.25">
      <c r="I2768">
        <f t="shared" si="43"/>
        <v>1900</v>
      </c>
    </row>
    <row r="2769" spans="9:9" x14ac:dyDescent="0.25">
      <c r="I2769">
        <f t="shared" si="43"/>
        <v>1900</v>
      </c>
    </row>
    <row r="2770" spans="9:9" x14ac:dyDescent="0.25">
      <c r="I2770">
        <f t="shared" si="43"/>
        <v>1900</v>
      </c>
    </row>
    <row r="2771" spans="9:9" x14ac:dyDescent="0.25">
      <c r="I2771">
        <f t="shared" si="43"/>
        <v>1900</v>
      </c>
    </row>
    <row r="2772" spans="9:9" x14ac:dyDescent="0.25">
      <c r="I2772">
        <f t="shared" si="43"/>
        <v>1900</v>
      </c>
    </row>
    <row r="2773" spans="9:9" x14ac:dyDescent="0.25">
      <c r="I2773">
        <f t="shared" si="43"/>
        <v>1900</v>
      </c>
    </row>
    <row r="2774" spans="9:9" x14ac:dyDescent="0.25">
      <c r="I2774">
        <f t="shared" si="43"/>
        <v>1900</v>
      </c>
    </row>
    <row r="2775" spans="9:9" x14ac:dyDescent="0.25">
      <c r="I2775">
        <f t="shared" si="43"/>
        <v>1900</v>
      </c>
    </row>
    <row r="2776" spans="9:9" x14ac:dyDescent="0.25">
      <c r="I2776">
        <f t="shared" si="43"/>
        <v>1900</v>
      </c>
    </row>
    <row r="2777" spans="9:9" x14ac:dyDescent="0.25">
      <c r="I2777">
        <f t="shared" si="43"/>
        <v>1900</v>
      </c>
    </row>
    <row r="2778" spans="9:9" x14ac:dyDescent="0.25">
      <c r="I2778">
        <f t="shared" si="43"/>
        <v>1900</v>
      </c>
    </row>
    <row r="2779" spans="9:9" x14ac:dyDescent="0.25">
      <c r="I2779">
        <f t="shared" si="43"/>
        <v>1900</v>
      </c>
    </row>
    <row r="2780" spans="9:9" x14ac:dyDescent="0.25">
      <c r="I2780">
        <f t="shared" si="43"/>
        <v>1900</v>
      </c>
    </row>
    <row r="2781" spans="9:9" x14ac:dyDescent="0.25">
      <c r="I2781">
        <f t="shared" si="43"/>
        <v>1900</v>
      </c>
    </row>
    <row r="2782" spans="9:9" x14ac:dyDescent="0.25">
      <c r="I2782">
        <f t="shared" si="43"/>
        <v>1900</v>
      </c>
    </row>
    <row r="2783" spans="9:9" x14ac:dyDescent="0.25">
      <c r="I2783">
        <f t="shared" si="43"/>
        <v>1900</v>
      </c>
    </row>
    <row r="2784" spans="9:9" x14ac:dyDescent="0.25">
      <c r="I2784">
        <f t="shared" si="43"/>
        <v>1900</v>
      </c>
    </row>
    <row r="2785" spans="9:9" x14ac:dyDescent="0.25">
      <c r="I2785">
        <f t="shared" si="43"/>
        <v>1900</v>
      </c>
    </row>
    <row r="2786" spans="9:9" x14ac:dyDescent="0.25">
      <c r="I2786">
        <f t="shared" si="43"/>
        <v>1900</v>
      </c>
    </row>
    <row r="2787" spans="9:9" x14ac:dyDescent="0.25">
      <c r="I2787">
        <f t="shared" si="43"/>
        <v>1900</v>
      </c>
    </row>
    <row r="2788" spans="9:9" x14ac:dyDescent="0.25">
      <c r="I2788">
        <f t="shared" si="43"/>
        <v>1900</v>
      </c>
    </row>
    <row r="2789" spans="9:9" x14ac:dyDescent="0.25">
      <c r="I2789">
        <f t="shared" si="43"/>
        <v>1900</v>
      </c>
    </row>
    <row r="2790" spans="9:9" x14ac:dyDescent="0.25">
      <c r="I2790">
        <f t="shared" si="43"/>
        <v>1900</v>
      </c>
    </row>
    <row r="2791" spans="9:9" x14ac:dyDescent="0.25">
      <c r="I2791">
        <f t="shared" si="43"/>
        <v>1900</v>
      </c>
    </row>
    <row r="2792" spans="9:9" x14ac:dyDescent="0.25">
      <c r="I2792">
        <f t="shared" si="43"/>
        <v>1900</v>
      </c>
    </row>
    <row r="2793" spans="9:9" x14ac:dyDescent="0.25">
      <c r="I2793">
        <f t="shared" si="43"/>
        <v>1900</v>
      </c>
    </row>
    <row r="2794" spans="9:9" x14ac:dyDescent="0.25">
      <c r="I2794">
        <f t="shared" si="43"/>
        <v>1900</v>
      </c>
    </row>
    <row r="2795" spans="9:9" x14ac:dyDescent="0.25">
      <c r="I2795">
        <f t="shared" si="43"/>
        <v>1900</v>
      </c>
    </row>
    <row r="2796" spans="9:9" x14ac:dyDescent="0.25">
      <c r="I2796">
        <f t="shared" si="43"/>
        <v>1900</v>
      </c>
    </row>
    <row r="2797" spans="9:9" x14ac:dyDescent="0.25">
      <c r="I2797">
        <f t="shared" si="43"/>
        <v>1900</v>
      </c>
    </row>
    <row r="2798" spans="9:9" x14ac:dyDescent="0.25">
      <c r="I2798">
        <f t="shared" si="43"/>
        <v>1900</v>
      </c>
    </row>
    <row r="2799" spans="9:9" x14ac:dyDescent="0.25">
      <c r="I2799">
        <f t="shared" si="43"/>
        <v>1900</v>
      </c>
    </row>
    <row r="2800" spans="9:9" x14ac:dyDescent="0.25">
      <c r="I2800">
        <f t="shared" si="43"/>
        <v>1900</v>
      </c>
    </row>
    <row r="2801" spans="9:9" x14ac:dyDescent="0.25">
      <c r="I2801">
        <f t="shared" si="43"/>
        <v>1900</v>
      </c>
    </row>
    <row r="2802" spans="9:9" x14ac:dyDescent="0.25">
      <c r="I2802">
        <f t="shared" si="43"/>
        <v>1900</v>
      </c>
    </row>
    <row r="2803" spans="9:9" x14ac:dyDescent="0.25">
      <c r="I2803">
        <f t="shared" si="43"/>
        <v>1900</v>
      </c>
    </row>
    <row r="2804" spans="9:9" x14ac:dyDescent="0.25">
      <c r="I2804">
        <f t="shared" si="43"/>
        <v>1900</v>
      </c>
    </row>
    <row r="2805" spans="9:9" x14ac:dyDescent="0.25">
      <c r="I2805">
        <f t="shared" si="43"/>
        <v>1900</v>
      </c>
    </row>
    <row r="2806" spans="9:9" x14ac:dyDescent="0.25">
      <c r="I2806">
        <f t="shared" si="43"/>
        <v>1900</v>
      </c>
    </row>
    <row r="2807" spans="9:9" x14ac:dyDescent="0.25">
      <c r="I2807">
        <f t="shared" si="43"/>
        <v>1900</v>
      </c>
    </row>
    <row r="2808" spans="9:9" x14ac:dyDescent="0.25">
      <c r="I2808">
        <f t="shared" si="43"/>
        <v>1900</v>
      </c>
    </row>
    <row r="2809" spans="9:9" x14ac:dyDescent="0.25">
      <c r="I2809">
        <f t="shared" si="43"/>
        <v>1900</v>
      </c>
    </row>
    <row r="2810" spans="9:9" x14ac:dyDescent="0.25">
      <c r="I2810">
        <f t="shared" si="43"/>
        <v>1900</v>
      </c>
    </row>
    <row r="2811" spans="9:9" x14ac:dyDescent="0.25">
      <c r="I2811">
        <f t="shared" si="43"/>
        <v>1900</v>
      </c>
    </row>
    <row r="2812" spans="9:9" x14ac:dyDescent="0.25">
      <c r="I2812">
        <f t="shared" si="43"/>
        <v>1900</v>
      </c>
    </row>
    <row r="2813" spans="9:9" x14ac:dyDescent="0.25">
      <c r="I2813">
        <f t="shared" si="43"/>
        <v>1900</v>
      </c>
    </row>
    <row r="2814" spans="9:9" x14ac:dyDescent="0.25">
      <c r="I2814">
        <f t="shared" si="43"/>
        <v>1900</v>
      </c>
    </row>
    <row r="2815" spans="9:9" x14ac:dyDescent="0.25">
      <c r="I2815">
        <f t="shared" si="43"/>
        <v>1900</v>
      </c>
    </row>
    <row r="2816" spans="9:9" x14ac:dyDescent="0.25">
      <c r="I2816">
        <f t="shared" si="43"/>
        <v>1900</v>
      </c>
    </row>
    <row r="2817" spans="9:9" x14ac:dyDescent="0.25">
      <c r="I2817">
        <f t="shared" si="43"/>
        <v>1900</v>
      </c>
    </row>
    <row r="2818" spans="9:9" x14ac:dyDescent="0.25">
      <c r="I2818">
        <f t="shared" si="43"/>
        <v>1900</v>
      </c>
    </row>
    <row r="2819" spans="9:9" x14ac:dyDescent="0.25">
      <c r="I2819">
        <f t="shared" si="43"/>
        <v>1900</v>
      </c>
    </row>
    <row r="2820" spans="9:9" x14ac:dyDescent="0.25">
      <c r="I2820">
        <f t="shared" ref="I2820:I2883" si="44">IFERROR(YEAR(E2820),"")</f>
        <v>1900</v>
      </c>
    </row>
    <row r="2821" spans="9:9" x14ac:dyDescent="0.25">
      <c r="I2821">
        <f t="shared" si="44"/>
        <v>1900</v>
      </c>
    </row>
    <row r="2822" spans="9:9" x14ac:dyDescent="0.25">
      <c r="I2822">
        <f t="shared" si="44"/>
        <v>1900</v>
      </c>
    </row>
    <row r="2823" spans="9:9" x14ac:dyDescent="0.25">
      <c r="I2823">
        <f t="shared" si="44"/>
        <v>1900</v>
      </c>
    </row>
    <row r="2824" spans="9:9" x14ac:dyDescent="0.25">
      <c r="I2824">
        <f t="shared" si="44"/>
        <v>1900</v>
      </c>
    </row>
    <row r="2825" spans="9:9" x14ac:dyDescent="0.25">
      <c r="I2825">
        <f t="shared" si="44"/>
        <v>1900</v>
      </c>
    </row>
    <row r="2826" spans="9:9" x14ac:dyDescent="0.25">
      <c r="I2826">
        <f t="shared" si="44"/>
        <v>1900</v>
      </c>
    </row>
    <row r="2827" spans="9:9" x14ac:dyDescent="0.25">
      <c r="I2827">
        <f t="shared" si="44"/>
        <v>1900</v>
      </c>
    </row>
    <row r="2828" spans="9:9" x14ac:dyDescent="0.25">
      <c r="I2828">
        <f t="shared" si="44"/>
        <v>1900</v>
      </c>
    </row>
    <row r="2829" spans="9:9" x14ac:dyDescent="0.25">
      <c r="I2829">
        <f t="shared" si="44"/>
        <v>1900</v>
      </c>
    </row>
    <row r="2830" spans="9:9" x14ac:dyDescent="0.25">
      <c r="I2830">
        <f t="shared" si="44"/>
        <v>1900</v>
      </c>
    </row>
    <row r="2831" spans="9:9" x14ac:dyDescent="0.25">
      <c r="I2831">
        <f t="shared" si="44"/>
        <v>1900</v>
      </c>
    </row>
    <row r="2832" spans="9:9" x14ac:dyDescent="0.25">
      <c r="I2832">
        <f t="shared" si="44"/>
        <v>1900</v>
      </c>
    </row>
    <row r="2833" spans="9:9" x14ac:dyDescent="0.25">
      <c r="I2833">
        <f t="shared" si="44"/>
        <v>1900</v>
      </c>
    </row>
    <row r="2834" spans="9:9" x14ac:dyDescent="0.25">
      <c r="I2834">
        <f t="shared" si="44"/>
        <v>1900</v>
      </c>
    </row>
    <row r="2835" spans="9:9" x14ac:dyDescent="0.25">
      <c r="I2835">
        <f t="shared" si="44"/>
        <v>1900</v>
      </c>
    </row>
    <row r="2836" spans="9:9" x14ac:dyDescent="0.25">
      <c r="I2836">
        <f t="shared" si="44"/>
        <v>1900</v>
      </c>
    </row>
    <row r="2837" spans="9:9" x14ac:dyDescent="0.25">
      <c r="I2837">
        <f t="shared" si="44"/>
        <v>1900</v>
      </c>
    </row>
    <row r="2838" spans="9:9" x14ac:dyDescent="0.25">
      <c r="I2838">
        <f t="shared" si="44"/>
        <v>1900</v>
      </c>
    </row>
    <row r="2839" spans="9:9" x14ac:dyDescent="0.25">
      <c r="I2839">
        <f t="shared" si="44"/>
        <v>1900</v>
      </c>
    </row>
    <row r="2840" spans="9:9" x14ac:dyDescent="0.25">
      <c r="I2840">
        <f t="shared" si="44"/>
        <v>1900</v>
      </c>
    </row>
    <row r="2841" spans="9:9" x14ac:dyDescent="0.25">
      <c r="I2841">
        <f t="shared" si="44"/>
        <v>1900</v>
      </c>
    </row>
    <row r="2842" spans="9:9" x14ac:dyDescent="0.25">
      <c r="I2842">
        <f t="shared" si="44"/>
        <v>1900</v>
      </c>
    </row>
    <row r="2843" spans="9:9" x14ac:dyDescent="0.25">
      <c r="I2843">
        <f t="shared" si="44"/>
        <v>1900</v>
      </c>
    </row>
    <row r="2844" spans="9:9" x14ac:dyDescent="0.25">
      <c r="I2844">
        <f t="shared" si="44"/>
        <v>1900</v>
      </c>
    </row>
    <row r="2845" spans="9:9" x14ac:dyDescent="0.25">
      <c r="I2845">
        <f t="shared" si="44"/>
        <v>1900</v>
      </c>
    </row>
    <row r="2846" spans="9:9" x14ac:dyDescent="0.25">
      <c r="I2846">
        <f t="shared" si="44"/>
        <v>1900</v>
      </c>
    </row>
    <row r="2847" spans="9:9" x14ac:dyDescent="0.25">
      <c r="I2847">
        <f t="shared" si="44"/>
        <v>1900</v>
      </c>
    </row>
    <row r="2848" spans="9:9" x14ac:dyDescent="0.25">
      <c r="I2848">
        <f t="shared" si="44"/>
        <v>1900</v>
      </c>
    </row>
    <row r="2849" spans="9:9" x14ac:dyDescent="0.25">
      <c r="I2849">
        <f t="shared" si="44"/>
        <v>1900</v>
      </c>
    </row>
    <row r="2850" spans="9:9" x14ac:dyDescent="0.25">
      <c r="I2850">
        <f t="shared" si="44"/>
        <v>1900</v>
      </c>
    </row>
    <row r="2851" spans="9:9" x14ac:dyDescent="0.25">
      <c r="I2851">
        <f t="shared" si="44"/>
        <v>1900</v>
      </c>
    </row>
    <row r="2852" spans="9:9" x14ac:dyDescent="0.25">
      <c r="I2852">
        <f t="shared" si="44"/>
        <v>1900</v>
      </c>
    </row>
    <row r="2853" spans="9:9" x14ac:dyDescent="0.25">
      <c r="I2853">
        <f t="shared" si="44"/>
        <v>1900</v>
      </c>
    </row>
    <row r="2854" spans="9:9" x14ac:dyDescent="0.25">
      <c r="I2854">
        <f t="shared" si="44"/>
        <v>1900</v>
      </c>
    </row>
    <row r="2855" spans="9:9" x14ac:dyDescent="0.25">
      <c r="I2855">
        <f t="shared" si="44"/>
        <v>1900</v>
      </c>
    </row>
    <row r="2856" spans="9:9" x14ac:dyDescent="0.25">
      <c r="I2856">
        <f t="shared" si="44"/>
        <v>1900</v>
      </c>
    </row>
    <row r="2857" spans="9:9" x14ac:dyDescent="0.25">
      <c r="I2857">
        <f t="shared" si="44"/>
        <v>1900</v>
      </c>
    </row>
    <row r="2858" spans="9:9" x14ac:dyDescent="0.25">
      <c r="I2858">
        <f t="shared" si="44"/>
        <v>1900</v>
      </c>
    </row>
    <row r="2859" spans="9:9" x14ac:dyDescent="0.25">
      <c r="I2859">
        <f t="shared" si="44"/>
        <v>1900</v>
      </c>
    </row>
    <row r="2860" spans="9:9" x14ac:dyDescent="0.25">
      <c r="I2860">
        <f t="shared" si="44"/>
        <v>1900</v>
      </c>
    </row>
    <row r="2861" spans="9:9" x14ac:dyDescent="0.25">
      <c r="I2861">
        <f t="shared" si="44"/>
        <v>1900</v>
      </c>
    </row>
    <row r="2862" spans="9:9" x14ac:dyDescent="0.25">
      <c r="I2862">
        <f t="shared" si="44"/>
        <v>1900</v>
      </c>
    </row>
    <row r="2863" spans="9:9" x14ac:dyDescent="0.25">
      <c r="I2863">
        <f t="shared" si="44"/>
        <v>1900</v>
      </c>
    </row>
    <row r="2864" spans="9:9" x14ac:dyDescent="0.25">
      <c r="I2864">
        <f t="shared" si="44"/>
        <v>1900</v>
      </c>
    </row>
    <row r="2865" spans="9:9" x14ac:dyDescent="0.25">
      <c r="I2865">
        <f t="shared" si="44"/>
        <v>1900</v>
      </c>
    </row>
    <row r="2866" spans="9:9" x14ac:dyDescent="0.25">
      <c r="I2866">
        <f t="shared" si="44"/>
        <v>1900</v>
      </c>
    </row>
    <row r="2867" spans="9:9" x14ac:dyDescent="0.25">
      <c r="I2867">
        <f t="shared" si="44"/>
        <v>1900</v>
      </c>
    </row>
    <row r="2868" spans="9:9" x14ac:dyDescent="0.25">
      <c r="I2868">
        <f t="shared" si="44"/>
        <v>1900</v>
      </c>
    </row>
    <row r="2869" spans="9:9" x14ac:dyDescent="0.25">
      <c r="I2869">
        <f t="shared" si="44"/>
        <v>1900</v>
      </c>
    </row>
    <row r="2870" spans="9:9" x14ac:dyDescent="0.25">
      <c r="I2870">
        <f t="shared" si="44"/>
        <v>1900</v>
      </c>
    </row>
    <row r="2871" spans="9:9" x14ac:dyDescent="0.25">
      <c r="I2871">
        <f t="shared" si="44"/>
        <v>1900</v>
      </c>
    </row>
    <row r="2872" spans="9:9" x14ac:dyDescent="0.25">
      <c r="I2872">
        <f t="shared" si="44"/>
        <v>1900</v>
      </c>
    </row>
    <row r="2873" spans="9:9" x14ac:dyDescent="0.25">
      <c r="I2873">
        <f t="shared" si="44"/>
        <v>1900</v>
      </c>
    </row>
    <row r="2874" spans="9:9" x14ac:dyDescent="0.25">
      <c r="I2874">
        <f t="shared" si="44"/>
        <v>1900</v>
      </c>
    </row>
    <row r="2875" spans="9:9" x14ac:dyDescent="0.25">
      <c r="I2875">
        <f t="shared" si="44"/>
        <v>1900</v>
      </c>
    </row>
    <row r="2876" spans="9:9" x14ac:dyDescent="0.25">
      <c r="I2876">
        <f t="shared" si="44"/>
        <v>1900</v>
      </c>
    </row>
    <row r="2877" spans="9:9" x14ac:dyDescent="0.25">
      <c r="I2877">
        <f t="shared" si="44"/>
        <v>1900</v>
      </c>
    </row>
    <row r="2878" spans="9:9" x14ac:dyDescent="0.25">
      <c r="I2878">
        <f t="shared" si="44"/>
        <v>1900</v>
      </c>
    </row>
    <row r="2879" spans="9:9" x14ac:dyDescent="0.25">
      <c r="I2879">
        <f t="shared" si="44"/>
        <v>1900</v>
      </c>
    </row>
    <row r="2880" spans="9:9" x14ac:dyDescent="0.25">
      <c r="I2880">
        <f t="shared" si="44"/>
        <v>1900</v>
      </c>
    </row>
    <row r="2881" spans="9:9" x14ac:dyDescent="0.25">
      <c r="I2881">
        <f t="shared" si="44"/>
        <v>1900</v>
      </c>
    </row>
    <row r="2882" spans="9:9" x14ac:dyDescent="0.25">
      <c r="I2882">
        <f t="shared" si="44"/>
        <v>1900</v>
      </c>
    </row>
    <row r="2883" spans="9:9" x14ac:dyDescent="0.25">
      <c r="I2883">
        <f t="shared" si="44"/>
        <v>1900</v>
      </c>
    </row>
    <row r="2884" spans="9:9" x14ac:dyDescent="0.25">
      <c r="I2884">
        <f t="shared" ref="I2884:I2947" si="45">IFERROR(YEAR(E2884),"")</f>
        <v>1900</v>
      </c>
    </row>
    <row r="2885" spans="9:9" x14ac:dyDescent="0.25">
      <c r="I2885">
        <f t="shared" si="45"/>
        <v>1900</v>
      </c>
    </row>
    <row r="2886" spans="9:9" x14ac:dyDescent="0.25">
      <c r="I2886">
        <f t="shared" si="45"/>
        <v>1900</v>
      </c>
    </row>
    <row r="2887" spans="9:9" x14ac:dyDescent="0.25">
      <c r="I2887">
        <f t="shared" si="45"/>
        <v>1900</v>
      </c>
    </row>
    <row r="2888" spans="9:9" x14ac:dyDescent="0.25">
      <c r="I2888">
        <f t="shared" si="45"/>
        <v>1900</v>
      </c>
    </row>
    <row r="2889" spans="9:9" x14ac:dyDescent="0.25">
      <c r="I2889">
        <f t="shared" si="45"/>
        <v>1900</v>
      </c>
    </row>
    <row r="2890" spans="9:9" x14ac:dyDescent="0.25">
      <c r="I2890">
        <f t="shared" si="45"/>
        <v>1900</v>
      </c>
    </row>
    <row r="2891" spans="9:9" x14ac:dyDescent="0.25">
      <c r="I2891">
        <f t="shared" si="45"/>
        <v>1900</v>
      </c>
    </row>
    <row r="2892" spans="9:9" x14ac:dyDescent="0.25">
      <c r="I2892">
        <f t="shared" si="45"/>
        <v>1900</v>
      </c>
    </row>
    <row r="2893" spans="9:9" x14ac:dyDescent="0.25">
      <c r="I2893">
        <f t="shared" si="45"/>
        <v>1900</v>
      </c>
    </row>
    <row r="2894" spans="9:9" x14ac:dyDescent="0.25">
      <c r="I2894">
        <f t="shared" si="45"/>
        <v>1900</v>
      </c>
    </row>
    <row r="2895" spans="9:9" x14ac:dyDescent="0.25">
      <c r="I2895">
        <f t="shared" si="45"/>
        <v>1900</v>
      </c>
    </row>
    <row r="2896" spans="9:9" x14ac:dyDescent="0.25">
      <c r="I2896">
        <f t="shared" si="45"/>
        <v>1900</v>
      </c>
    </row>
    <row r="2897" spans="9:9" x14ac:dyDescent="0.25">
      <c r="I2897">
        <f t="shared" si="45"/>
        <v>1900</v>
      </c>
    </row>
    <row r="2898" spans="9:9" x14ac:dyDescent="0.25">
      <c r="I2898">
        <f t="shared" si="45"/>
        <v>1900</v>
      </c>
    </row>
    <row r="2899" spans="9:9" x14ac:dyDescent="0.25">
      <c r="I2899">
        <f t="shared" si="45"/>
        <v>1900</v>
      </c>
    </row>
    <row r="2900" spans="9:9" x14ac:dyDescent="0.25">
      <c r="I2900">
        <f t="shared" si="45"/>
        <v>1900</v>
      </c>
    </row>
    <row r="2901" spans="9:9" x14ac:dyDescent="0.25">
      <c r="I2901">
        <f t="shared" si="45"/>
        <v>1900</v>
      </c>
    </row>
    <row r="2902" spans="9:9" x14ac:dyDescent="0.25">
      <c r="I2902">
        <f t="shared" si="45"/>
        <v>1900</v>
      </c>
    </row>
    <row r="2903" spans="9:9" x14ac:dyDescent="0.25">
      <c r="I2903">
        <f t="shared" si="45"/>
        <v>1900</v>
      </c>
    </row>
    <row r="2904" spans="9:9" x14ac:dyDescent="0.25">
      <c r="I2904">
        <f t="shared" si="45"/>
        <v>1900</v>
      </c>
    </row>
    <row r="2905" spans="9:9" x14ac:dyDescent="0.25">
      <c r="I2905">
        <f t="shared" si="45"/>
        <v>1900</v>
      </c>
    </row>
    <row r="2906" spans="9:9" x14ac:dyDescent="0.25">
      <c r="I2906">
        <f t="shared" si="45"/>
        <v>1900</v>
      </c>
    </row>
    <row r="2907" spans="9:9" x14ac:dyDescent="0.25">
      <c r="I2907">
        <f t="shared" si="45"/>
        <v>1900</v>
      </c>
    </row>
    <row r="2908" spans="9:9" x14ac:dyDescent="0.25">
      <c r="I2908">
        <f t="shared" si="45"/>
        <v>1900</v>
      </c>
    </row>
    <row r="2909" spans="9:9" x14ac:dyDescent="0.25">
      <c r="I2909">
        <f t="shared" si="45"/>
        <v>1900</v>
      </c>
    </row>
    <row r="2910" spans="9:9" x14ac:dyDescent="0.25">
      <c r="I2910">
        <f t="shared" si="45"/>
        <v>1900</v>
      </c>
    </row>
    <row r="2911" spans="9:9" x14ac:dyDescent="0.25">
      <c r="I2911">
        <f t="shared" si="45"/>
        <v>1900</v>
      </c>
    </row>
    <row r="2912" spans="9:9" x14ac:dyDescent="0.25">
      <c r="I2912">
        <f t="shared" si="45"/>
        <v>1900</v>
      </c>
    </row>
    <row r="2913" spans="9:9" x14ac:dyDescent="0.25">
      <c r="I2913">
        <f t="shared" si="45"/>
        <v>1900</v>
      </c>
    </row>
    <row r="2914" spans="9:9" x14ac:dyDescent="0.25">
      <c r="I2914">
        <f t="shared" si="45"/>
        <v>1900</v>
      </c>
    </row>
    <row r="2915" spans="9:9" x14ac:dyDescent="0.25">
      <c r="I2915">
        <f t="shared" si="45"/>
        <v>1900</v>
      </c>
    </row>
    <row r="2916" spans="9:9" x14ac:dyDescent="0.25">
      <c r="I2916">
        <f t="shared" si="45"/>
        <v>1900</v>
      </c>
    </row>
    <row r="2917" spans="9:9" x14ac:dyDescent="0.25">
      <c r="I2917">
        <f t="shared" si="45"/>
        <v>1900</v>
      </c>
    </row>
    <row r="2918" spans="9:9" x14ac:dyDescent="0.25">
      <c r="I2918">
        <f t="shared" si="45"/>
        <v>1900</v>
      </c>
    </row>
    <row r="2919" spans="9:9" x14ac:dyDescent="0.25">
      <c r="I2919">
        <f t="shared" si="45"/>
        <v>1900</v>
      </c>
    </row>
    <row r="2920" spans="9:9" x14ac:dyDescent="0.25">
      <c r="I2920">
        <f t="shared" si="45"/>
        <v>1900</v>
      </c>
    </row>
    <row r="2921" spans="9:9" x14ac:dyDescent="0.25">
      <c r="I2921">
        <f t="shared" si="45"/>
        <v>1900</v>
      </c>
    </row>
    <row r="2922" spans="9:9" x14ac:dyDescent="0.25">
      <c r="I2922">
        <f t="shared" si="45"/>
        <v>1900</v>
      </c>
    </row>
    <row r="2923" spans="9:9" x14ac:dyDescent="0.25">
      <c r="I2923">
        <f t="shared" si="45"/>
        <v>1900</v>
      </c>
    </row>
    <row r="2924" spans="9:9" x14ac:dyDescent="0.25">
      <c r="I2924">
        <f t="shared" si="45"/>
        <v>1900</v>
      </c>
    </row>
    <row r="2925" spans="9:9" x14ac:dyDescent="0.25">
      <c r="I2925">
        <f t="shared" si="45"/>
        <v>1900</v>
      </c>
    </row>
    <row r="2926" spans="9:9" x14ac:dyDescent="0.25">
      <c r="I2926">
        <f t="shared" si="45"/>
        <v>1900</v>
      </c>
    </row>
    <row r="2927" spans="9:9" x14ac:dyDescent="0.25">
      <c r="I2927">
        <f t="shared" si="45"/>
        <v>1900</v>
      </c>
    </row>
    <row r="2928" spans="9:9" x14ac:dyDescent="0.25">
      <c r="I2928">
        <f t="shared" si="45"/>
        <v>1900</v>
      </c>
    </row>
    <row r="2929" spans="9:9" x14ac:dyDescent="0.25">
      <c r="I2929">
        <f t="shared" si="45"/>
        <v>1900</v>
      </c>
    </row>
    <row r="2930" spans="9:9" x14ac:dyDescent="0.25">
      <c r="I2930">
        <f t="shared" si="45"/>
        <v>1900</v>
      </c>
    </row>
    <row r="2931" spans="9:9" x14ac:dyDescent="0.25">
      <c r="I2931">
        <f t="shared" si="45"/>
        <v>1900</v>
      </c>
    </row>
    <row r="2932" spans="9:9" x14ac:dyDescent="0.25">
      <c r="I2932">
        <f t="shared" si="45"/>
        <v>1900</v>
      </c>
    </row>
    <row r="2933" spans="9:9" x14ac:dyDescent="0.25">
      <c r="I2933">
        <f t="shared" si="45"/>
        <v>1900</v>
      </c>
    </row>
    <row r="2934" spans="9:9" x14ac:dyDescent="0.25">
      <c r="I2934">
        <f t="shared" si="45"/>
        <v>1900</v>
      </c>
    </row>
    <row r="2935" spans="9:9" x14ac:dyDescent="0.25">
      <c r="I2935">
        <f t="shared" si="45"/>
        <v>1900</v>
      </c>
    </row>
    <row r="2936" spans="9:9" x14ac:dyDescent="0.25">
      <c r="I2936">
        <f t="shared" si="45"/>
        <v>1900</v>
      </c>
    </row>
    <row r="2937" spans="9:9" x14ac:dyDescent="0.25">
      <c r="I2937">
        <f t="shared" si="45"/>
        <v>1900</v>
      </c>
    </row>
    <row r="2938" spans="9:9" x14ac:dyDescent="0.25">
      <c r="I2938">
        <f t="shared" si="45"/>
        <v>1900</v>
      </c>
    </row>
    <row r="2939" spans="9:9" x14ac:dyDescent="0.25">
      <c r="I2939">
        <f t="shared" si="45"/>
        <v>1900</v>
      </c>
    </row>
    <row r="2940" spans="9:9" x14ac:dyDescent="0.25">
      <c r="I2940">
        <f t="shared" si="45"/>
        <v>1900</v>
      </c>
    </row>
    <row r="2941" spans="9:9" x14ac:dyDescent="0.25">
      <c r="I2941">
        <f t="shared" si="45"/>
        <v>1900</v>
      </c>
    </row>
    <row r="2942" spans="9:9" x14ac:dyDescent="0.25">
      <c r="I2942">
        <f t="shared" si="45"/>
        <v>1900</v>
      </c>
    </row>
    <row r="2943" spans="9:9" x14ac:dyDescent="0.25">
      <c r="I2943">
        <f t="shared" si="45"/>
        <v>1900</v>
      </c>
    </row>
    <row r="2944" spans="9:9" x14ac:dyDescent="0.25">
      <c r="I2944">
        <f t="shared" si="45"/>
        <v>1900</v>
      </c>
    </row>
    <row r="2945" spans="9:9" x14ac:dyDescent="0.25">
      <c r="I2945">
        <f t="shared" si="45"/>
        <v>1900</v>
      </c>
    </row>
    <row r="2946" spans="9:9" x14ac:dyDescent="0.25">
      <c r="I2946">
        <f t="shared" si="45"/>
        <v>1900</v>
      </c>
    </row>
    <row r="2947" spans="9:9" x14ac:dyDescent="0.25">
      <c r="I2947">
        <f t="shared" si="45"/>
        <v>1900</v>
      </c>
    </row>
    <row r="2948" spans="9:9" x14ac:dyDescent="0.25">
      <c r="I2948">
        <f t="shared" ref="I2948:I3011" si="46">IFERROR(YEAR(E2948),"")</f>
        <v>1900</v>
      </c>
    </row>
    <row r="2949" spans="9:9" x14ac:dyDescent="0.25">
      <c r="I2949">
        <f t="shared" si="46"/>
        <v>1900</v>
      </c>
    </row>
    <row r="2950" spans="9:9" x14ac:dyDescent="0.25">
      <c r="I2950">
        <f t="shared" si="46"/>
        <v>1900</v>
      </c>
    </row>
    <row r="2951" spans="9:9" x14ac:dyDescent="0.25">
      <c r="I2951">
        <f t="shared" si="46"/>
        <v>1900</v>
      </c>
    </row>
    <row r="2952" spans="9:9" x14ac:dyDescent="0.25">
      <c r="I2952">
        <f t="shared" si="46"/>
        <v>1900</v>
      </c>
    </row>
    <row r="2953" spans="9:9" x14ac:dyDescent="0.25">
      <c r="I2953">
        <f t="shared" si="46"/>
        <v>1900</v>
      </c>
    </row>
    <row r="2954" spans="9:9" x14ac:dyDescent="0.25">
      <c r="I2954">
        <f t="shared" si="46"/>
        <v>1900</v>
      </c>
    </row>
    <row r="2955" spans="9:9" x14ac:dyDescent="0.25">
      <c r="I2955">
        <f t="shared" si="46"/>
        <v>1900</v>
      </c>
    </row>
    <row r="2956" spans="9:9" x14ac:dyDescent="0.25">
      <c r="I2956">
        <f t="shared" si="46"/>
        <v>1900</v>
      </c>
    </row>
    <row r="2957" spans="9:9" x14ac:dyDescent="0.25">
      <c r="I2957">
        <f t="shared" si="46"/>
        <v>1900</v>
      </c>
    </row>
    <row r="2958" spans="9:9" x14ac:dyDescent="0.25">
      <c r="I2958">
        <f t="shared" si="46"/>
        <v>1900</v>
      </c>
    </row>
    <row r="2959" spans="9:9" x14ac:dyDescent="0.25">
      <c r="I2959">
        <f t="shared" si="46"/>
        <v>1900</v>
      </c>
    </row>
    <row r="2960" spans="9:9" x14ac:dyDescent="0.25">
      <c r="I2960">
        <f t="shared" si="46"/>
        <v>1900</v>
      </c>
    </row>
    <row r="2961" spans="9:9" x14ac:dyDescent="0.25">
      <c r="I2961">
        <f t="shared" si="46"/>
        <v>1900</v>
      </c>
    </row>
    <row r="2962" spans="9:9" x14ac:dyDescent="0.25">
      <c r="I2962">
        <f t="shared" si="46"/>
        <v>1900</v>
      </c>
    </row>
    <row r="2963" spans="9:9" x14ac:dyDescent="0.25">
      <c r="I2963">
        <f t="shared" si="46"/>
        <v>1900</v>
      </c>
    </row>
    <row r="2964" spans="9:9" x14ac:dyDescent="0.25">
      <c r="I2964">
        <f t="shared" si="46"/>
        <v>1900</v>
      </c>
    </row>
    <row r="2965" spans="9:9" x14ac:dyDescent="0.25">
      <c r="I2965">
        <f t="shared" si="46"/>
        <v>1900</v>
      </c>
    </row>
    <row r="2966" spans="9:9" x14ac:dyDescent="0.25">
      <c r="I2966">
        <f t="shared" si="46"/>
        <v>1900</v>
      </c>
    </row>
    <row r="2967" spans="9:9" x14ac:dyDescent="0.25">
      <c r="I2967">
        <f t="shared" si="46"/>
        <v>1900</v>
      </c>
    </row>
    <row r="2968" spans="9:9" x14ac:dyDescent="0.25">
      <c r="I2968">
        <f t="shared" si="46"/>
        <v>1900</v>
      </c>
    </row>
    <row r="2969" spans="9:9" x14ac:dyDescent="0.25">
      <c r="I2969">
        <f t="shared" si="46"/>
        <v>1900</v>
      </c>
    </row>
    <row r="2970" spans="9:9" x14ac:dyDescent="0.25">
      <c r="I2970">
        <f t="shared" si="46"/>
        <v>1900</v>
      </c>
    </row>
    <row r="2971" spans="9:9" x14ac:dyDescent="0.25">
      <c r="I2971">
        <f t="shared" si="46"/>
        <v>1900</v>
      </c>
    </row>
    <row r="2972" spans="9:9" x14ac:dyDescent="0.25">
      <c r="I2972">
        <f t="shared" si="46"/>
        <v>1900</v>
      </c>
    </row>
    <row r="2973" spans="9:9" x14ac:dyDescent="0.25">
      <c r="I2973">
        <f t="shared" si="46"/>
        <v>1900</v>
      </c>
    </row>
    <row r="2974" spans="9:9" x14ac:dyDescent="0.25">
      <c r="I2974">
        <f t="shared" si="46"/>
        <v>1900</v>
      </c>
    </row>
    <row r="2975" spans="9:9" x14ac:dyDescent="0.25">
      <c r="I2975">
        <f t="shared" si="46"/>
        <v>1900</v>
      </c>
    </row>
    <row r="2976" spans="9:9" x14ac:dyDescent="0.25">
      <c r="I2976">
        <f t="shared" si="46"/>
        <v>1900</v>
      </c>
    </row>
    <row r="2977" spans="9:9" x14ac:dyDescent="0.25">
      <c r="I2977">
        <f t="shared" si="46"/>
        <v>1900</v>
      </c>
    </row>
    <row r="2978" spans="9:9" x14ac:dyDescent="0.25">
      <c r="I2978">
        <f t="shared" si="46"/>
        <v>1900</v>
      </c>
    </row>
    <row r="2979" spans="9:9" x14ac:dyDescent="0.25">
      <c r="I2979">
        <f t="shared" si="46"/>
        <v>1900</v>
      </c>
    </row>
    <row r="2980" spans="9:9" x14ac:dyDescent="0.25">
      <c r="I2980">
        <f t="shared" si="46"/>
        <v>1900</v>
      </c>
    </row>
    <row r="2981" spans="9:9" x14ac:dyDescent="0.25">
      <c r="I2981">
        <f t="shared" si="46"/>
        <v>1900</v>
      </c>
    </row>
    <row r="2982" spans="9:9" x14ac:dyDescent="0.25">
      <c r="I2982">
        <f t="shared" si="46"/>
        <v>1900</v>
      </c>
    </row>
    <row r="2983" spans="9:9" x14ac:dyDescent="0.25">
      <c r="I2983">
        <f t="shared" si="46"/>
        <v>1900</v>
      </c>
    </row>
    <row r="2984" spans="9:9" x14ac:dyDescent="0.25">
      <c r="I2984">
        <f t="shared" si="46"/>
        <v>1900</v>
      </c>
    </row>
    <row r="2985" spans="9:9" x14ac:dyDescent="0.25">
      <c r="I2985">
        <f t="shared" si="46"/>
        <v>1900</v>
      </c>
    </row>
    <row r="2986" spans="9:9" x14ac:dyDescent="0.25">
      <c r="I2986">
        <f t="shared" si="46"/>
        <v>1900</v>
      </c>
    </row>
    <row r="2987" spans="9:9" x14ac:dyDescent="0.25">
      <c r="I2987">
        <f t="shared" si="46"/>
        <v>1900</v>
      </c>
    </row>
    <row r="2988" spans="9:9" x14ac:dyDescent="0.25">
      <c r="I2988">
        <f t="shared" si="46"/>
        <v>1900</v>
      </c>
    </row>
    <row r="2989" spans="9:9" x14ac:dyDescent="0.25">
      <c r="I2989">
        <f t="shared" si="46"/>
        <v>1900</v>
      </c>
    </row>
    <row r="2990" spans="9:9" x14ac:dyDescent="0.25">
      <c r="I2990">
        <f t="shared" si="46"/>
        <v>1900</v>
      </c>
    </row>
    <row r="2991" spans="9:9" x14ac:dyDescent="0.25">
      <c r="I2991">
        <f t="shared" si="46"/>
        <v>1900</v>
      </c>
    </row>
    <row r="2992" spans="9:9" x14ac:dyDescent="0.25">
      <c r="I2992">
        <f t="shared" si="46"/>
        <v>1900</v>
      </c>
    </row>
    <row r="2993" spans="9:9" x14ac:dyDescent="0.25">
      <c r="I2993">
        <f t="shared" si="46"/>
        <v>1900</v>
      </c>
    </row>
    <row r="2994" spans="9:9" x14ac:dyDescent="0.25">
      <c r="I2994">
        <f t="shared" si="46"/>
        <v>1900</v>
      </c>
    </row>
    <row r="2995" spans="9:9" x14ac:dyDescent="0.25">
      <c r="I2995">
        <f t="shared" si="46"/>
        <v>1900</v>
      </c>
    </row>
    <row r="2996" spans="9:9" x14ac:dyDescent="0.25">
      <c r="I2996">
        <f t="shared" si="46"/>
        <v>1900</v>
      </c>
    </row>
    <row r="2997" spans="9:9" x14ac:dyDescent="0.25">
      <c r="I2997">
        <f t="shared" si="46"/>
        <v>1900</v>
      </c>
    </row>
    <row r="2998" spans="9:9" x14ac:dyDescent="0.25">
      <c r="I2998">
        <f t="shared" si="46"/>
        <v>1900</v>
      </c>
    </row>
    <row r="2999" spans="9:9" x14ac:dyDescent="0.25">
      <c r="I2999">
        <f t="shared" si="46"/>
        <v>1900</v>
      </c>
    </row>
    <row r="3000" spans="9:9" x14ac:dyDescent="0.25">
      <c r="I3000">
        <f t="shared" si="46"/>
        <v>1900</v>
      </c>
    </row>
    <row r="3001" spans="9:9" x14ac:dyDescent="0.25">
      <c r="I3001">
        <f t="shared" si="46"/>
        <v>1900</v>
      </c>
    </row>
    <row r="3002" spans="9:9" x14ac:dyDescent="0.25">
      <c r="I3002">
        <f t="shared" si="46"/>
        <v>1900</v>
      </c>
    </row>
    <row r="3003" spans="9:9" x14ac:dyDescent="0.25">
      <c r="I3003">
        <f t="shared" si="46"/>
        <v>1900</v>
      </c>
    </row>
    <row r="3004" spans="9:9" x14ac:dyDescent="0.25">
      <c r="I3004">
        <f t="shared" si="46"/>
        <v>1900</v>
      </c>
    </row>
    <row r="3005" spans="9:9" x14ac:dyDescent="0.25">
      <c r="I3005">
        <f t="shared" si="46"/>
        <v>1900</v>
      </c>
    </row>
    <row r="3006" spans="9:9" x14ac:dyDescent="0.25">
      <c r="I3006">
        <f t="shared" si="46"/>
        <v>1900</v>
      </c>
    </row>
    <row r="3007" spans="9:9" x14ac:dyDescent="0.25">
      <c r="I3007">
        <f t="shared" si="46"/>
        <v>1900</v>
      </c>
    </row>
    <row r="3008" spans="9:9" x14ac:dyDescent="0.25">
      <c r="I3008">
        <f t="shared" si="46"/>
        <v>1900</v>
      </c>
    </row>
    <row r="3009" spans="9:9" x14ac:dyDescent="0.25">
      <c r="I3009">
        <f t="shared" si="46"/>
        <v>1900</v>
      </c>
    </row>
    <row r="3010" spans="9:9" x14ac:dyDescent="0.25">
      <c r="I3010">
        <f t="shared" si="46"/>
        <v>1900</v>
      </c>
    </row>
    <row r="3011" spans="9:9" x14ac:dyDescent="0.25">
      <c r="I3011">
        <f t="shared" si="46"/>
        <v>1900</v>
      </c>
    </row>
    <row r="3012" spans="9:9" x14ac:dyDescent="0.25">
      <c r="I3012">
        <f t="shared" ref="I3012:I3075" si="47">IFERROR(YEAR(E3012),"")</f>
        <v>1900</v>
      </c>
    </row>
    <row r="3013" spans="9:9" x14ac:dyDescent="0.25">
      <c r="I3013">
        <f t="shared" si="47"/>
        <v>1900</v>
      </c>
    </row>
    <row r="3014" spans="9:9" x14ac:dyDescent="0.25">
      <c r="I3014">
        <f t="shared" si="47"/>
        <v>1900</v>
      </c>
    </row>
    <row r="3015" spans="9:9" x14ac:dyDescent="0.25">
      <c r="I3015">
        <f t="shared" si="47"/>
        <v>1900</v>
      </c>
    </row>
    <row r="3016" spans="9:9" x14ac:dyDescent="0.25">
      <c r="I3016">
        <f t="shared" si="47"/>
        <v>1900</v>
      </c>
    </row>
    <row r="3017" spans="9:9" x14ac:dyDescent="0.25">
      <c r="I3017">
        <f t="shared" si="47"/>
        <v>1900</v>
      </c>
    </row>
    <row r="3018" spans="9:9" x14ac:dyDescent="0.25">
      <c r="I3018">
        <f t="shared" si="47"/>
        <v>1900</v>
      </c>
    </row>
    <row r="3019" spans="9:9" x14ac:dyDescent="0.25">
      <c r="I3019">
        <f t="shared" si="47"/>
        <v>1900</v>
      </c>
    </row>
    <row r="3020" spans="9:9" x14ac:dyDescent="0.25">
      <c r="I3020">
        <f t="shared" si="47"/>
        <v>1900</v>
      </c>
    </row>
    <row r="3021" spans="9:9" x14ac:dyDescent="0.25">
      <c r="I3021">
        <f t="shared" si="47"/>
        <v>1900</v>
      </c>
    </row>
    <row r="3022" spans="9:9" x14ac:dyDescent="0.25">
      <c r="I3022">
        <f t="shared" si="47"/>
        <v>1900</v>
      </c>
    </row>
    <row r="3023" spans="9:9" x14ac:dyDescent="0.25">
      <c r="I3023">
        <f t="shared" si="47"/>
        <v>1900</v>
      </c>
    </row>
    <row r="3024" spans="9:9" x14ac:dyDescent="0.25">
      <c r="I3024">
        <f t="shared" si="47"/>
        <v>1900</v>
      </c>
    </row>
    <row r="3025" spans="9:9" x14ac:dyDescent="0.25">
      <c r="I3025">
        <f t="shared" si="47"/>
        <v>1900</v>
      </c>
    </row>
    <row r="3026" spans="9:9" x14ac:dyDescent="0.25">
      <c r="I3026">
        <f t="shared" si="47"/>
        <v>1900</v>
      </c>
    </row>
    <row r="3027" spans="9:9" x14ac:dyDescent="0.25">
      <c r="I3027">
        <f t="shared" si="47"/>
        <v>1900</v>
      </c>
    </row>
    <row r="3028" spans="9:9" x14ac:dyDescent="0.25">
      <c r="I3028">
        <f t="shared" si="47"/>
        <v>1900</v>
      </c>
    </row>
    <row r="3029" spans="9:9" x14ac:dyDescent="0.25">
      <c r="I3029">
        <f t="shared" si="47"/>
        <v>1900</v>
      </c>
    </row>
    <row r="3030" spans="9:9" x14ac:dyDescent="0.25">
      <c r="I3030">
        <f t="shared" si="47"/>
        <v>1900</v>
      </c>
    </row>
    <row r="3031" spans="9:9" x14ac:dyDescent="0.25">
      <c r="I3031">
        <f t="shared" si="47"/>
        <v>1900</v>
      </c>
    </row>
    <row r="3032" spans="9:9" x14ac:dyDescent="0.25">
      <c r="I3032">
        <f t="shared" si="47"/>
        <v>1900</v>
      </c>
    </row>
    <row r="3033" spans="9:9" x14ac:dyDescent="0.25">
      <c r="I3033">
        <f t="shared" si="47"/>
        <v>1900</v>
      </c>
    </row>
    <row r="3034" spans="9:9" x14ac:dyDescent="0.25">
      <c r="I3034">
        <f t="shared" si="47"/>
        <v>1900</v>
      </c>
    </row>
    <row r="3035" spans="9:9" x14ac:dyDescent="0.25">
      <c r="I3035">
        <f t="shared" si="47"/>
        <v>1900</v>
      </c>
    </row>
    <row r="3036" spans="9:9" x14ac:dyDescent="0.25">
      <c r="I3036">
        <f t="shared" si="47"/>
        <v>1900</v>
      </c>
    </row>
    <row r="3037" spans="9:9" x14ac:dyDescent="0.25">
      <c r="I3037">
        <f t="shared" si="47"/>
        <v>1900</v>
      </c>
    </row>
    <row r="3038" spans="9:9" x14ac:dyDescent="0.25">
      <c r="I3038">
        <f t="shared" si="47"/>
        <v>1900</v>
      </c>
    </row>
    <row r="3039" spans="9:9" x14ac:dyDescent="0.25">
      <c r="I3039">
        <f t="shared" si="47"/>
        <v>1900</v>
      </c>
    </row>
    <row r="3040" spans="9:9" x14ac:dyDescent="0.25">
      <c r="I3040">
        <f t="shared" si="47"/>
        <v>1900</v>
      </c>
    </row>
    <row r="3041" spans="9:9" x14ac:dyDescent="0.25">
      <c r="I3041">
        <f t="shared" si="47"/>
        <v>1900</v>
      </c>
    </row>
    <row r="3042" spans="9:9" x14ac:dyDescent="0.25">
      <c r="I3042">
        <f t="shared" si="47"/>
        <v>1900</v>
      </c>
    </row>
    <row r="3043" spans="9:9" x14ac:dyDescent="0.25">
      <c r="I3043">
        <f t="shared" si="47"/>
        <v>1900</v>
      </c>
    </row>
    <row r="3044" spans="9:9" x14ac:dyDescent="0.25">
      <c r="I3044">
        <f t="shared" si="47"/>
        <v>1900</v>
      </c>
    </row>
    <row r="3045" spans="9:9" x14ac:dyDescent="0.25">
      <c r="I3045">
        <f t="shared" si="47"/>
        <v>1900</v>
      </c>
    </row>
    <row r="3046" spans="9:9" x14ac:dyDescent="0.25">
      <c r="I3046">
        <f t="shared" si="47"/>
        <v>1900</v>
      </c>
    </row>
    <row r="3047" spans="9:9" x14ac:dyDescent="0.25">
      <c r="I3047">
        <f t="shared" si="47"/>
        <v>1900</v>
      </c>
    </row>
    <row r="3048" spans="9:9" x14ac:dyDescent="0.25">
      <c r="I3048">
        <f t="shared" si="47"/>
        <v>1900</v>
      </c>
    </row>
    <row r="3049" spans="9:9" x14ac:dyDescent="0.25">
      <c r="I3049">
        <f t="shared" si="47"/>
        <v>1900</v>
      </c>
    </row>
    <row r="3050" spans="9:9" x14ac:dyDescent="0.25">
      <c r="I3050">
        <f t="shared" si="47"/>
        <v>1900</v>
      </c>
    </row>
    <row r="3051" spans="9:9" x14ac:dyDescent="0.25">
      <c r="I3051">
        <f t="shared" si="47"/>
        <v>1900</v>
      </c>
    </row>
    <row r="3052" spans="9:9" x14ac:dyDescent="0.25">
      <c r="I3052">
        <f t="shared" si="47"/>
        <v>1900</v>
      </c>
    </row>
    <row r="3053" spans="9:9" x14ac:dyDescent="0.25">
      <c r="I3053">
        <f t="shared" si="47"/>
        <v>1900</v>
      </c>
    </row>
    <row r="3054" spans="9:9" x14ac:dyDescent="0.25">
      <c r="I3054">
        <f t="shared" si="47"/>
        <v>1900</v>
      </c>
    </row>
    <row r="3055" spans="9:9" x14ac:dyDescent="0.25">
      <c r="I3055">
        <f t="shared" si="47"/>
        <v>1900</v>
      </c>
    </row>
    <row r="3056" spans="9:9" x14ac:dyDescent="0.25">
      <c r="I3056">
        <f t="shared" si="47"/>
        <v>1900</v>
      </c>
    </row>
    <row r="3057" spans="9:9" x14ac:dyDescent="0.25">
      <c r="I3057">
        <f t="shared" si="47"/>
        <v>1900</v>
      </c>
    </row>
    <row r="3058" spans="9:9" x14ac:dyDescent="0.25">
      <c r="I3058">
        <f t="shared" si="47"/>
        <v>1900</v>
      </c>
    </row>
    <row r="3059" spans="9:9" x14ac:dyDescent="0.25">
      <c r="I3059">
        <f t="shared" si="47"/>
        <v>1900</v>
      </c>
    </row>
    <row r="3060" spans="9:9" x14ac:dyDescent="0.25">
      <c r="I3060">
        <f t="shared" si="47"/>
        <v>1900</v>
      </c>
    </row>
    <row r="3061" spans="9:9" x14ac:dyDescent="0.25">
      <c r="I3061">
        <f t="shared" si="47"/>
        <v>1900</v>
      </c>
    </row>
    <row r="3062" spans="9:9" x14ac:dyDescent="0.25">
      <c r="I3062">
        <f t="shared" si="47"/>
        <v>1900</v>
      </c>
    </row>
    <row r="3063" spans="9:9" x14ac:dyDescent="0.25">
      <c r="I3063">
        <f t="shared" si="47"/>
        <v>1900</v>
      </c>
    </row>
    <row r="3064" spans="9:9" x14ac:dyDescent="0.25">
      <c r="I3064">
        <f t="shared" si="47"/>
        <v>1900</v>
      </c>
    </row>
    <row r="3065" spans="9:9" x14ac:dyDescent="0.25">
      <c r="I3065">
        <f t="shared" si="47"/>
        <v>1900</v>
      </c>
    </row>
    <row r="3066" spans="9:9" x14ac:dyDescent="0.25">
      <c r="I3066">
        <f t="shared" si="47"/>
        <v>1900</v>
      </c>
    </row>
    <row r="3067" spans="9:9" x14ac:dyDescent="0.25">
      <c r="I3067">
        <f t="shared" si="47"/>
        <v>1900</v>
      </c>
    </row>
    <row r="3068" spans="9:9" x14ac:dyDescent="0.25">
      <c r="I3068">
        <f t="shared" si="47"/>
        <v>1900</v>
      </c>
    </row>
    <row r="3069" spans="9:9" x14ac:dyDescent="0.25">
      <c r="I3069">
        <f t="shared" si="47"/>
        <v>1900</v>
      </c>
    </row>
    <row r="3070" spans="9:9" x14ac:dyDescent="0.25">
      <c r="I3070">
        <f t="shared" si="47"/>
        <v>1900</v>
      </c>
    </row>
    <row r="3071" spans="9:9" x14ac:dyDescent="0.25">
      <c r="I3071">
        <f t="shared" si="47"/>
        <v>1900</v>
      </c>
    </row>
    <row r="3072" spans="9:9" x14ac:dyDescent="0.25">
      <c r="I3072">
        <f t="shared" si="47"/>
        <v>1900</v>
      </c>
    </row>
    <row r="3073" spans="9:9" x14ac:dyDescent="0.25">
      <c r="I3073">
        <f t="shared" si="47"/>
        <v>1900</v>
      </c>
    </row>
    <row r="3074" spans="9:9" x14ac:dyDescent="0.25">
      <c r="I3074">
        <f t="shared" si="47"/>
        <v>1900</v>
      </c>
    </row>
    <row r="3075" spans="9:9" x14ac:dyDescent="0.25">
      <c r="I3075">
        <f t="shared" si="47"/>
        <v>1900</v>
      </c>
    </row>
    <row r="3076" spans="9:9" x14ac:dyDescent="0.25">
      <c r="I3076">
        <f t="shared" ref="I3076:I3139" si="48">IFERROR(YEAR(E3076),"")</f>
        <v>1900</v>
      </c>
    </row>
    <row r="3077" spans="9:9" x14ac:dyDescent="0.25">
      <c r="I3077">
        <f t="shared" si="48"/>
        <v>1900</v>
      </c>
    </row>
    <row r="3078" spans="9:9" x14ac:dyDescent="0.25">
      <c r="I3078">
        <f t="shared" si="48"/>
        <v>1900</v>
      </c>
    </row>
    <row r="3079" spans="9:9" x14ac:dyDescent="0.25">
      <c r="I3079">
        <f t="shared" si="48"/>
        <v>1900</v>
      </c>
    </row>
    <row r="3080" spans="9:9" x14ac:dyDescent="0.25">
      <c r="I3080">
        <f t="shared" si="48"/>
        <v>1900</v>
      </c>
    </row>
    <row r="3081" spans="9:9" x14ac:dyDescent="0.25">
      <c r="I3081">
        <f t="shared" si="48"/>
        <v>1900</v>
      </c>
    </row>
    <row r="3082" spans="9:9" x14ac:dyDescent="0.25">
      <c r="I3082">
        <f t="shared" si="48"/>
        <v>1900</v>
      </c>
    </row>
    <row r="3083" spans="9:9" x14ac:dyDescent="0.25">
      <c r="I3083">
        <f t="shared" si="48"/>
        <v>1900</v>
      </c>
    </row>
    <row r="3084" spans="9:9" x14ac:dyDescent="0.25">
      <c r="I3084">
        <f t="shared" si="48"/>
        <v>1900</v>
      </c>
    </row>
    <row r="3085" spans="9:9" x14ac:dyDescent="0.25">
      <c r="I3085">
        <f t="shared" si="48"/>
        <v>1900</v>
      </c>
    </row>
    <row r="3086" spans="9:9" x14ac:dyDescent="0.25">
      <c r="I3086">
        <f t="shared" si="48"/>
        <v>1900</v>
      </c>
    </row>
    <row r="3087" spans="9:9" x14ac:dyDescent="0.25">
      <c r="I3087">
        <f t="shared" si="48"/>
        <v>1900</v>
      </c>
    </row>
    <row r="3088" spans="9:9" x14ac:dyDescent="0.25">
      <c r="I3088">
        <f t="shared" si="48"/>
        <v>1900</v>
      </c>
    </row>
    <row r="3089" spans="9:9" x14ac:dyDescent="0.25">
      <c r="I3089">
        <f t="shared" si="48"/>
        <v>1900</v>
      </c>
    </row>
    <row r="3090" spans="9:9" x14ac:dyDescent="0.25">
      <c r="I3090">
        <f t="shared" si="48"/>
        <v>1900</v>
      </c>
    </row>
    <row r="3091" spans="9:9" x14ac:dyDescent="0.25">
      <c r="I3091">
        <f t="shared" si="48"/>
        <v>1900</v>
      </c>
    </row>
    <row r="3092" spans="9:9" x14ac:dyDescent="0.25">
      <c r="I3092">
        <f t="shared" si="48"/>
        <v>1900</v>
      </c>
    </row>
    <row r="3093" spans="9:9" x14ac:dyDescent="0.25">
      <c r="I3093">
        <f t="shared" si="48"/>
        <v>1900</v>
      </c>
    </row>
    <row r="3094" spans="9:9" x14ac:dyDescent="0.25">
      <c r="I3094">
        <f t="shared" si="48"/>
        <v>1900</v>
      </c>
    </row>
    <row r="3095" spans="9:9" x14ac:dyDescent="0.25">
      <c r="I3095">
        <f t="shared" si="48"/>
        <v>1900</v>
      </c>
    </row>
    <row r="3096" spans="9:9" x14ac:dyDescent="0.25">
      <c r="I3096">
        <f t="shared" si="48"/>
        <v>1900</v>
      </c>
    </row>
    <row r="3097" spans="9:9" x14ac:dyDescent="0.25">
      <c r="I3097">
        <f t="shared" si="48"/>
        <v>1900</v>
      </c>
    </row>
    <row r="3098" spans="9:9" x14ac:dyDescent="0.25">
      <c r="I3098">
        <f t="shared" si="48"/>
        <v>1900</v>
      </c>
    </row>
    <row r="3099" spans="9:9" x14ac:dyDescent="0.25">
      <c r="I3099">
        <f t="shared" si="48"/>
        <v>1900</v>
      </c>
    </row>
    <row r="3100" spans="9:9" x14ac:dyDescent="0.25">
      <c r="I3100">
        <f t="shared" si="48"/>
        <v>1900</v>
      </c>
    </row>
    <row r="3101" spans="9:9" x14ac:dyDescent="0.25">
      <c r="I3101">
        <f t="shared" si="48"/>
        <v>1900</v>
      </c>
    </row>
    <row r="3102" spans="9:9" x14ac:dyDescent="0.25">
      <c r="I3102">
        <f t="shared" si="48"/>
        <v>1900</v>
      </c>
    </row>
    <row r="3103" spans="9:9" x14ac:dyDescent="0.25">
      <c r="I3103">
        <f t="shared" si="48"/>
        <v>1900</v>
      </c>
    </row>
    <row r="3104" spans="9:9" x14ac:dyDescent="0.25">
      <c r="I3104">
        <f t="shared" si="48"/>
        <v>1900</v>
      </c>
    </row>
    <row r="3105" spans="9:9" x14ac:dyDescent="0.25">
      <c r="I3105">
        <f t="shared" si="48"/>
        <v>1900</v>
      </c>
    </row>
    <row r="3106" spans="9:9" x14ac:dyDescent="0.25">
      <c r="I3106">
        <f t="shared" si="48"/>
        <v>1900</v>
      </c>
    </row>
    <row r="3107" spans="9:9" x14ac:dyDescent="0.25">
      <c r="I3107">
        <f t="shared" si="48"/>
        <v>1900</v>
      </c>
    </row>
    <row r="3108" spans="9:9" x14ac:dyDescent="0.25">
      <c r="I3108">
        <f t="shared" si="48"/>
        <v>1900</v>
      </c>
    </row>
    <row r="3109" spans="9:9" x14ac:dyDescent="0.25">
      <c r="I3109">
        <f t="shared" si="48"/>
        <v>1900</v>
      </c>
    </row>
    <row r="3110" spans="9:9" x14ac:dyDescent="0.25">
      <c r="I3110">
        <f t="shared" si="48"/>
        <v>1900</v>
      </c>
    </row>
    <row r="3111" spans="9:9" x14ac:dyDescent="0.25">
      <c r="I3111">
        <f t="shared" si="48"/>
        <v>1900</v>
      </c>
    </row>
    <row r="3112" spans="9:9" x14ac:dyDescent="0.25">
      <c r="I3112">
        <f t="shared" si="48"/>
        <v>1900</v>
      </c>
    </row>
    <row r="3113" spans="9:9" x14ac:dyDescent="0.25">
      <c r="I3113">
        <f t="shared" si="48"/>
        <v>1900</v>
      </c>
    </row>
    <row r="3114" spans="9:9" x14ac:dyDescent="0.25">
      <c r="I3114">
        <f t="shared" si="48"/>
        <v>1900</v>
      </c>
    </row>
    <row r="3115" spans="9:9" x14ac:dyDescent="0.25">
      <c r="I3115">
        <f t="shared" si="48"/>
        <v>1900</v>
      </c>
    </row>
    <row r="3116" spans="9:9" x14ac:dyDescent="0.25">
      <c r="I3116">
        <f t="shared" si="48"/>
        <v>1900</v>
      </c>
    </row>
    <row r="3117" spans="9:9" x14ac:dyDescent="0.25">
      <c r="I3117">
        <f t="shared" si="48"/>
        <v>1900</v>
      </c>
    </row>
    <row r="3118" spans="9:9" x14ac:dyDescent="0.25">
      <c r="I3118">
        <f t="shared" si="48"/>
        <v>1900</v>
      </c>
    </row>
    <row r="3119" spans="9:9" x14ac:dyDescent="0.25">
      <c r="I3119">
        <f t="shared" si="48"/>
        <v>1900</v>
      </c>
    </row>
    <row r="3120" spans="9:9" x14ac:dyDescent="0.25">
      <c r="I3120">
        <f t="shared" si="48"/>
        <v>1900</v>
      </c>
    </row>
    <row r="3121" spans="9:9" x14ac:dyDescent="0.25">
      <c r="I3121">
        <f t="shared" si="48"/>
        <v>1900</v>
      </c>
    </row>
    <row r="3122" spans="9:9" x14ac:dyDescent="0.25">
      <c r="I3122">
        <f t="shared" si="48"/>
        <v>1900</v>
      </c>
    </row>
    <row r="3123" spans="9:9" x14ac:dyDescent="0.25">
      <c r="I3123">
        <f t="shared" si="48"/>
        <v>1900</v>
      </c>
    </row>
    <row r="3124" spans="9:9" x14ac:dyDescent="0.25">
      <c r="I3124">
        <f t="shared" si="48"/>
        <v>1900</v>
      </c>
    </row>
    <row r="3125" spans="9:9" x14ac:dyDescent="0.25">
      <c r="I3125">
        <f t="shared" si="48"/>
        <v>1900</v>
      </c>
    </row>
    <row r="3126" spans="9:9" x14ac:dyDescent="0.25">
      <c r="I3126">
        <f t="shared" si="48"/>
        <v>1900</v>
      </c>
    </row>
    <row r="3127" spans="9:9" x14ac:dyDescent="0.25">
      <c r="I3127">
        <f t="shared" si="48"/>
        <v>1900</v>
      </c>
    </row>
    <row r="3128" spans="9:9" x14ac:dyDescent="0.25">
      <c r="I3128">
        <f t="shared" si="48"/>
        <v>1900</v>
      </c>
    </row>
    <row r="3129" spans="9:9" x14ac:dyDescent="0.25">
      <c r="I3129">
        <f t="shared" si="48"/>
        <v>1900</v>
      </c>
    </row>
    <row r="3130" spans="9:9" x14ac:dyDescent="0.25">
      <c r="I3130">
        <f t="shared" si="48"/>
        <v>1900</v>
      </c>
    </row>
    <row r="3131" spans="9:9" x14ac:dyDescent="0.25">
      <c r="I3131">
        <f t="shared" si="48"/>
        <v>1900</v>
      </c>
    </row>
    <row r="3132" spans="9:9" x14ac:dyDescent="0.25">
      <c r="I3132">
        <f t="shared" si="48"/>
        <v>1900</v>
      </c>
    </row>
    <row r="3133" spans="9:9" x14ac:dyDescent="0.25">
      <c r="I3133">
        <f t="shared" si="48"/>
        <v>1900</v>
      </c>
    </row>
    <row r="3134" spans="9:9" x14ac:dyDescent="0.25">
      <c r="I3134">
        <f t="shared" si="48"/>
        <v>1900</v>
      </c>
    </row>
    <row r="3135" spans="9:9" x14ac:dyDescent="0.25">
      <c r="I3135">
        <f t="shared" si="48"/>
        <v>1900</v>
      </c>
    </row>
    <row r="3136" spans="9:9" x14ac:dyDescent="0.25">
      <c r="I3136">
        <f t="shared" si="48"/>
        <v>1900</v>
      </c>
    </row>
    <row r="3137" spans="9:9" x14ac:dyDescent="0.25">
      <c r="I3137">
        <f t="shared" si="48"/>
        <v>1900</v>
      </c>
    </row>
    <row r="3138" spans="9:9" x14ac:dyDescent="0.25">
      <c r="I3138">
        <f t="shared" si="48"/>
        <v>1900</v>
      </c>
    </row>
    <row r="3139" spans="9:9" x14ac:dyDescent="0.25">
      <c r="I3139">
        <f t="shared" si="48"/>
        <v>1900</v>
      </c>
    </row>
    <row r="3140" spans="9:9" x14ac:dyDescent="0.25">
      <c r="I3140">
        <f t="shared" ref="I3140:I3203" si="49">IFERROR(YEAR(E3140),"")</f>
        <v>1900</v>
      </c>
    </row>
    <row r="3141" spans="9:9" x14ac:dyDescent="0.25">
      <c r="I3141">
        <f t="shared" si="49"/>
        <v>1900</v>
      </c>
    </row>
    <row r="3142" spans="9:9" x14ac:dyDescent="0.25">
      <c r="I3142">
        <f t="shared" si="49"/>
        <v>1900</v>
      </c>
    </row>
    <row r="3143" spans="9:9" x14ac:dyDescent="0.25">
      <c r="I3143">
        <f t="shared" si="49"/>
        <v>1900</v>
      </c>
    </row>
    <row r="3144" spans="9:9" x14ac:dyDescent="0.25">
      <c r="I3144">
        <f t="shared" si="49"/>
        <v>1900</v>
      </c>
    </row>
    <row r="3145" spans="9:9" x14ac:dyDescent="0.25">
      <c r="I3145">
        <f t="shared" si="49"/>
        <v>1900</v>
      </c>
    </row>
    <row r="3146" spans="9:9" x14ac:dyDescent="0.25">
      <c r="I3146">
        <f t="shared" si="49"/>
        <v>1900</v>
      </c>
    </row>
    <row r="3147" spans="9:9" x14ac:dyDescent="0.25">
      <c r="I3147">
        <f t="shared" si="49"/>
        <v>1900</v>
      </c>
    </row>
    <row r="3148" spans="9:9" x14ac:dyDescent="0.25">
      <c r="I3148">
        <f t="shared" si="49"/>
        <v>1900</v>
      </c>
    </row>
    <row r="3149" spans="9:9" x14ac:dyDescent="0.25">
      <c r="I3149">
        <f t="shared" si="49"/>
        <v>1900</v>
      </c>
    </row>
    <row r="3150" spans="9:9" x14ac:dyDescent="0.25">
      <c r="I3150">
        <f t="shared" si="49"/>
        <v>1900</v>
      </c>
    </row>
    <row r="3151" spans="9:9" x14ac:dyDescent="0.25">
      <c r="I3151">
        <f t="shared" si="49"/>
        <v>1900</v>
      </c>
    </row>
    <row r="3152" spans="9:9" x14ac:dyDescent="0.25">
      <c r="I3152">
        <f t="shared" si="49"/>
        <v>1900</v>
      </c>
    </row>
    <row r="3153" spans="9:9" x14ac:dyDescent="0.25">
      <c r="I3153">
        <f t="shared" si="49"/>
        <v>1900</v>
      </c>
    </row>
    <row r="3154" spans="9:9" x14ac:dyDescent="0.25">
      <c r="I3154">
        <f t="shared" si="49"/>
        <v>1900</v>
      </c>
    </row>
    <row r="3155" spans="9:9" x14ac:dyDescent="0.25">
      <c r="I3155">
        <f t="shared" si="49"/>
        <v>1900</v>
      </c>
    </row>
    <row r="3156" spans="9:9" x14ac:dyDescent="0.25">
      <c r="I3156">
        <f t="shared" si="49"/>
        <v>1900</v>
      </c>
    </row>
    <row r="3157" spans="9:9" x14ac:dyDescent="0.25">
      <c r="I3157">
        <f t="shared" si="49"/>
        <v>1900</v>
      </c>
    </row>
    <row r="3158" spans="9:9" x14ac:dyDescent="0.25">
      <c r="I3158">
        <f t="shared" si="49"/>
        <v>1900</v>
      </c>
    </row>
    <row r="3159" spans="9:9" x14ac:dyDescent="0.25">
      <c r="I3159">
        <f t="shared" si="49"/>
        <v>1900</v>
      </c>
    </row>
    <row r="3160" spans="9:9" x14ac:dyDescent="0.25">
      <c r="I3160">
        <f t="shared" si="49"/>
        <v>1900</v>
      </c>
    </row>
    <row r="3161" spans="9:9" x14ac:dyDescent="0.25">
      <c r="I3161">
        <f t="shared" si="49"/>
        <v>1900</v>
      </c>
    </row>
    <row r="3162" spans="9:9" x14ac:dyDescent="0.25">
      <c r="I3162">
        <f t="shared" si="49"/>
        <v>1900</v>
      </c>
    </row>
    <row r="3163" spans="9:9" x14ac:dyDescent="0.25">
      <c r="I3163">
        <f t="shared" si="49"/>
        <v>1900</v>
      </c>
    </row>
    <row r="3164" spans="9:9" x14ac:dyDescent="0.25">
      <c r="I3164">
        <f t="shared" si="49"/>
        <v>1900</v>
      </c>
    </row>
    <row r="3165" spans="9:9" x14ac:dyDescent="0.25">
      <c r="I3165">
        <f t="shared" si="49"/>
        <v>1900</v>
      </c>
    </row>
    <row r="3166" spans="9:9" x14ac:dyDescent="0.25">
      <c r="I3166">
        <f t="shared" si="49"/>
        <v>1900</v>
      </c>
    </row>
    <row r="3167" spans="9:9" x14ac:dyDescent="0.25">
      <c r="I3167">
        <f t="shared" si="49"/>
        <v>1900</v>
      </c>
    </row>
    <row r="3168" spans="9:9" x14ac:dyDescent="0.25">
      <c r="I3168">
        <f t="shared" si="49"/>
        <v>1900</v>
      </c>
    </row>
    <row r="3169" spans="9:9" x14ac:dyDescent="0.25">
      <c r="I3169">
        <f t="shared" si="49"/>
        <v>1900</v>
      </c>
    </row>
    <row r="3170" spans="9:9" x14ac:dyDescent="0.25">
      <c r="I3170">
        <f t="shared" si="49"/>
        <v>1900</v>
      </c>
    </row>
    <row r="3171" spans="9:9" x14ac:dyDescent="0.25">
      <c r="I3171">
        <f t="shared" si="49"/>
        <v>1900</v>
      </c>
    </row>
    <row r="3172" spans="9:9" x14ac:dyDescent="0.25">
      <c r="I3172">
        <f t="shared" si="49"/>
        <v>1900</v>
      </c>
    </row>
    <row r="3173" spans="9:9" x14ac:dyDescent="0.25">
      <c r="I3173">
        <f t="shared" si="49"/>
        <v>1900</v>
      </c>
    </row>
    <row r="3174" spans="9:9" x14ac:dyDescent="0.25">
      <c r="I3174">
        <f t="shared" si="49"/>
        <v>1900</v>
      </c>
    </row>
    <row r="3175" spans="9:9" x14ac:dyDescent="0.25">
      <c r="I3175">
        <f t="shared" si="49"/>
        <v>1900</v>
      </c>
    </row>
    <row r="3176" spans="9:9" x14ac:dyDescent="0.25">
      <c r="I3176">
        <f t="shared" si="49"/>
        <v>1900</v>
      </c>
    </row>
    <row r="3177" spans="9:9" x14ac:dyDescent="0.25">
      <c r="I3177">
        <f t="shared" si="49"/>
        <v>1900</v>
      </c>
    </row>
    <row r="3178" spans="9:9" x14ac:dyDescent="0.25">
      <c r="I3178">
        <f t="shared" si="49"/>
        <v>1900</v>
      </c>
    </row>
    <row r="3179" spans="9:9" x14ac:dyDescent="0.25">
      <c r="I3179">
        <f t="shared" si="49"/>
        <v>1900</v>
      </c>
    </row>
    <row r="3180" spans="9:9" x14ac:dyDescent="0.25">
      <c r="I3180">
        <f t="shared" si="49"/>
        <v>1900</v>
      </c>
    </row>
    <row r="3181" spans="9:9" x14ac:dyDescent="0.25">
      <c r="I3181">
        <f t="shared" si="49"/>
        <v>1900</v>
      </c>
    </row>
    <row r="3182" spans="9:9" x14ac:dyDescent="0.25">
      <c r="I3182">
        <f t="shared" si="49"/>
        <v>1900</v>
      </c>
    </row>
    <row r="3183" spans="9:9" x14ac:dyDescent="0.25">
      <c r="I3183">
        <f t="shared" si="49"/>
        <v>1900</v>
      </c>
    </row>
    <row r="3184" spans="9:9" x14ac:dyDescent="0.25">
      <c r="I3184">
        <f t="shared" si="49"/>
        <v>1900</v>
      </c>
    </row>
    <row r="3185" spans="9:9" x14ac:dyDescent="0.25">
      <c r="I3185">
        <f t="shared" si="49"/>
        <v>1900</v>
      </c>
    </row>
    <row r="3186" spans="9:9" x14ac:dyDescent="0.25">
      <c r="I3186">
        <f t="shared" si="49"/>
        <v>1900</v>
      </c>
    </row>
    <row r="3187" spans="9:9" x14ac:dyDescent="0.25">
      <c r="I3187">
        <f t="shared" si="49"/>
        <v>1900</v>
      </c>
    </row>
    <row r="3188" spans="9:9" x14ac:dyDescent="0.25">
      <c r="I3188">
        <f t="shared" si="49"/>
        <v>1900</v>
      </c>
    </row>
    <row r="3189" spans="9:9" x14ac:dyDescent="0.25">
      <c r="I3189">
        <f t="shared" si="49"/>
        <v>1900</v>
      </c>
    </row>
    <row r="3190" spans="9:9" x14ac:dyDescent="0.25">
      <c r="I3190">
        <f t="shared" si="49"/>
        <v>1900</v>
      </c>
    </row>
    <row r="3191" spans="9:9" x14ac:dyDescent="0.25">
      <c r="I3191">
        <f t="shared" si="49"/>
        <v>1900</v>
      </c>
    </row>
    <row r="3192" spans="9:9" x14ac:dyDescent="0.25">
      <c r="I3192">
        <f t="shared" si="49"/>
        <v>1900</v>
      </c>
    </row>
    <row r="3193" spans="9:9" x14ac:dyDescent="0.25">
      <c r="I3193">
        <f t="shared" si="49"/>
        <v>1900</v>
      </c>
    </row>
    <row r="3194" spans="9:9" x14ac:dyDescent="0.25">
      <c r="I3194">
        <f t="shared" si="49"/>
        <v>1900</v>
      </c>
    </row>
    <row r="3195" spans="9:9" x14ac:dyDescent="0.25">
      <c r="I3195">
        <f t="shared" si="49"/>
        <v>1900</v>
      </c>
    </row>
    <row r="3196" spans="9:9" x14ac:dyDescent="0.25">
      <c r="I3196">
        <f t="shared" si="49"/>
        <v>1900</v>
      </c>
    </row>
    <row r="3197" spans="9:9" x14ac:dyDescent="0.25">
      <c r="I3197">
        <f t="shared" si="49"/>
        <v>1900</v>
      </c>
    </row>
    <row r="3198" spans="9:9" x14ac:dyDescent="0.25">
      <c r="I3198">
        <f t="shared" si="49"/>
        <v>1900</v>
      </c>
    </row>
    <row r="3199" spans="9:9" x14ac:dyDescent="0.25">
      <c r="I3199">
        <f t="shared" si="49"/>
        <v>1900</v>
      </c>
    </row>
    <row r="3200" spans="9:9" x14ac:dyDescent="0.25">
      <c r="I3200">
        <f t="shared" si="49"/>
        <v>1900</v>
      </c>
    </row>
    <row r="3201" spans="9:9" x14ac:dyDescent="0.25">
      <c r="I3201">
        <f t="shared" si="49"/>
        <v>1900</v>
      </c>
    </row>
    <row r="3202" spans="9:9" x14ac:dyDescent="0.25">
      <c r="I3202">
        <f t="shared" si="49"/>
        <v>1900</v>
      </c>
    </row>
    <row r="3203" spans="9:9" x14ac:dyDescent="0.25">
      <c r="I3203">
        <f t="shared" si="49"/>
        <v>1900</v>
      </c>
    </row>
    <row r="3204" spans="9:9" x14ac:dyDescent="0.25">
      <c r="I3204">
        <f t="shared" ref="I3204:I3267" si="50">IFERROR(YEAR(E3204),"")</f>
        <v>1900</v>
      </c>
    </row>
    <row r="3205" spans="9:9" x14ac:dyDescent="0.25">
      <c r="I3205">
        <f t="shared" si="50"/>
        <v>1900</v>
      </c>
    </row>
    <row r="3206" spans="9:9" x14ac:dyDescent="0.25">
      <c r="I3206">
        <f t="shared" si="50"/>
        <v>1900</v>
      </c>
    </row>
    <row r="3207" spans="9:9" x14ac:dyDescent="0.25">
      <c r="I3207">
        <f t="shared" si="50"/>
        <v>1900</v>
      </c>
    </row>
    <row r="3208" spans="9:9" x14ac:dyDescent="0.25">
      <c r="I3208">
        <f t="shared" si="50"/>
        <v>1900</v>
      </c>
    </row>
    <row r="3209" spans="9:9" x14ac:dyDescent="0.25">
      <c r="I3209">
        <f t="shared" si="50"/>
        <v>1900</v>
      </c>
    </row>
    <row r="3210" spans="9:9" x14ac:dyDescent="0.25">
      <c r="I3210">
        <f t="shared" si="50"/>
        <v>1900</v>
      </c>
    </row>
    <row r="3211" spans="9:9" x14ac:dyDescent="0.25">
      <c r="I3211">
        <f t="shared" si="50"/>
        <v>1900</v>
      </c>
    </row>
    <row r="3212" spans="9:9" x14ac:dyDescent="0.25">
      <c r="I3212">
        <f t="shared" si="50"/>
        <v>1900</v>
      </c>
    </row>
    <row r="3213" spans="9:9" x14ac:dyDescent="0.25">
      <c r="I3213">
        <f t="shared" si="50"/>
        <v>1900</v>
      </c>
    </row>
    <row r="3214" spans="9:9" x14ac:dyDescent="0.25">
      <c r="I3214">
        <f t="shared" si="50"/>
        <v>1900</v>
      </c>
    </row>
    <row r="3215" spans="9:9" x14ac:dyDescent="0.25">
      <c r="I3215">
        <f t="shared" si="50"/>
        <v>1900</v>
      </c>
    </row>
    <row r="3216" spans="9:9" x14ac:dyDescent="0.25">
      <c r="I3216">
        <f t="shared" si="50"/>
        <v>1900</v>
      </c>
    </row>
    <row r="3217" spans="9:9" x14ac:dyDescent="0.25">
      <c r="I3217">
        <f t="shared" si="50"/>
        <v>1900</v>
      </c>
    </row>
    <row r="3218" spans="9:9" x14ac:dyDescent="0.25">
      <c r="I3218">
        <f t="shared" si="50"/>
        <v>1900</v>
      </c>
    </row>
    <row r="3219" spans="9:9" x14ac:dyDescent="0.25">
      <c r="I3219">
        <f t="shared" si="50"/>
        <v>1900</v>
      </c>
    </row>
    <row r="3220" spans="9:9" x14ac:dyDescent="0.25">
      <c r="I3220">
        <f t="shared" si="50"/>
        <v>1900</v>
      </c>
    </row>
    <row r="3221" spans="9:9" x14ac:dyDescent="0.25">
      <c r="I3221">
        <f t="shared" si="50"/>
        <v>1900</v>
      </c>
    </row>
    <row r="3222" spans="9:9" x14ac:dyDescent="0.25">
      <c r="I3222">
        <f t="shared" si="50"/>
        <v>1900</v>
      </c>
    </row>
    <row r="3223" spans="9:9" x14ac:dyDescent="0.25">
      <c r="I3223">
        <f t="shared" si="50"/>
        <v>1900</v>
      </c>
    </row>
    <row r="3224" spans="9:9" x14ac:dyDescent="0.25">
      <c r="I3224">
        <f t="shared" si="50"/>
        <v>1900</v>
      </c>
    </row>
    <row r="3225" spans="9:9" x14ac:dyDescent="0.25">
      <c r="I3225">
        <f t="shared" si="50"/>
        <v>1900</v>
      </c>
    </row>
    <row r="3226" spans="9:9" x14ac:dyDescent="0.25">
      <c r="I3226">
        <f t="shared" si="50"/>
        <v>1900</v>
      </c>
    </row>
    <row r="3227" spans="9:9" x14ac:dyDescent="0.25">
      <c r="I3227">
        <f t="shared" si="50"/>
        <v>1900</v>
      </c>
    </row>
    <row r="3228" spans="9:9" x14ac:dyDescent="0.25">
      <c r="I3228">
        <f t="shared" si="50"/>
        <v>1900</v>
      </c>
    </row>
    <row r="3229" spans="9:9" x14ac:dyDescent="0.25">
      <c r="I3229">
        <f t="shared" si="50"/>
        <v>1900</v>
      </c>
    </row>
    <row r="3230" spans="9:9" x14ac:dyDescent="0.25">
      <c r="I3230">
        <f t="shared" si="50"/>
        <v>1900</v>
      </c>
    </row>
    <row r="3231" spans="9:9" x14ac:dyDescent="0.25">
      <c r="I3231">
        <f t="shared" si="50"/>
        <v>1900</v>
      </c>
    </row>
    <row r="3232" spans="9:9" x14ac:dyDescent="0.25">
      <c r="I3232">
        <f t="shared" si="50"/>
        <v>1900</v>
      </c>
    </row>
    <row r="3233" spans="9:9" x14ac:dyDescent="0.25">
      <c r="I3233">
        <f t="shared" si="50"/>
        <v>1900</v>
      </c>
    </row>
    <row r="3234" spans="9:9" x14ac:dyDescent="0.25">
      <c r="I3234">
        <f t="shared" si="50"/>
        <v>1900</v>
      </c>
    </row>
    <row r="3235" spans="9:9" x14ac:dyDescent="0.25">
      <c r="I3235">
        <f t="shared" si="50"/>
        <v>1900</v>
      </c>
    </row>
    <row r="3236" spans="9:9" x14ac:dyDescent="0.25">
      <c r="I3236">
        <f t="shared" si="50"/>
        <v>1900</v>
      </c>
    </row>
    <row r="3237" spans="9:9" x14ac:dyDescent="0.25">
      <c r="I3237">
        <f t="shared" si="50"/>
        <v>1900</v>
      </c>
    </row>
    <row r="3238" spans="9:9" x14ac:dyDescent="0.25">
      <c r="I3238">
        <f t="shared" si="50"/>
        <v>1900</v>
      </c>
    </row>
    <row r="3239" spans="9:9" x14ac:dyDescent="0.25">
      <c r="I3239">
        <f t="shared" si="50"/>
        <v>1900</v>
      </c>
    </row>
    <row r="3240" spans="9:9" x14ac:dyDescent="0.25">
      <c r="I3240">
        <f t="shared" si="50"/>
        <v>1900</v>
      </c>
    </row>
    <row r="3241" spans="9:9" x14ac:dyDescent="0.25">
      <c r="I3241">
        <f t="shared" si="50"/>
        <v>1900</v>
      </c>
    </row>
    <row r="3242" spans="9:9" x14ac:dyDescent="0.25">
      <c r="I3242">
        <f t="shared" si="50"/>
        <v>1900</v>
      </c>
    </row>
    <row r="3243" spans="9:9" x14ac:dyDescent="0.25">
      <c r="I3243">
        <f t="shared" si="50"/>
        <v>1900</v>
      </c>
    </row>
    <row r="3244" spans="9:9" x14ac:dyDescent="0.25">
      <c r="I3244">
        <f t="shared" si="50"/>
        <v>1900</v>
      </c>
    </row>
    <row r="3245" spans="9:9" x14ac:dyDescent="0.25">
      <c r="I3245">
        <f t="shared" si="50"/>
        <v>1900</v>
      </c>
    </row>
    <row r="3246" spans="9:9" x14ac:dyDescent="0.25">
      <c r="I3246">
        <f t="shared" si="50"/>
        <v>1900</v>
      </c>
    </row>
    <row r="3247" spans="9:9" x14ac:dyDescent="0.25">
      <c r="I3247">
        <f t="shared" si="50"/>
        <v>1900</v>
      </c>
    </row>
    <row r="3248" spans="9:9" x14ac:dyDescent="0.25">
      <c r="I3248">
        <f t="shared" si="50"/>
        <v>1900</v>
      </c>
    </row>
    <row r="3249" spans="9:9" x14ac:dyDescent="0.25">
      <c r="I3249">
        <f t="shared" si="50"/>
        <v>1900</v>
      </c>
    </row>
    <row r="3250" spans="9:9" x14ac:dyDescent="0.25">
      <c r="I3250">
        <f t="shared" si="50"/>
        <v>1900</v>
      </c>
    </row>
    <row r="3251" spans="9:9" x14ac:dyDescent="0.25">
      <c r="I3251">
        <f t="shared" si="50"/>
        <v>1900</v>
      </c>
    </row>
    <row r="3252" spans="9:9" x14ac:dyDescent="0.25">
      <c r="I3252">
        <f t="shared" si="50"/>
        <v>1900</v>
      </c>
    </row>
    <row r="3253" spans="9:9" x14ac:dyDescent="0.25">
      <c r="I3253">
        <f t="shared" si="50"/>
        <v>1900</v>
      </c>
    </row>
    <row r="3254" spans="9:9" x14ac:dyDescent="0.25">
      <c r="I3254">
        <f t="shared" si="50"/>
        <v>1900</v>
      </c>
    </row>
    <row r="3255" spans="9:9" x14ac:dyDescent="0.25">
      <c r="I3255">
        <f t="shared" si="50"/>
        <v>1900</v>
      </c>
    </row>
    <row r="3256" spans="9:9" x14ac:dyDescent="0.25">
      <c r="I3256">
        <f t="shared" si="50"/>
        <v>1900</v>
      </c>
    </row>
    <row r="3257" spans="9:9" x14ac:dyDescent="0.25">
      <c r="I3257">
        <f t="shared" si="50"/>
        <v>1900</v>
      </c>
    </row>
    <row r="3258" spans="9:9" x14ac:dyDescent="0.25">
      <c r="I3258">
        <f t="shared" si="50"/>
        <v>1900</v>
      </c>
    </row>
    <row r="3259" spans="9:9" x14ac:dyDescent="0.25">
      <c r="I3259">
        <f t="shared" si="50"/>
        <v>1900</v>
      </c>
    </row>
    <row r="3260" spans="9:9" x14ac:dyDescent="0.25">
      <c r="I3260">
        <f t="shared" si="50"/>
        <v>1900</v>
      </c>
    </row>
    <row r="3261" spans="9:9" x14ac:dyDescent="0.25">
      <c r="I3261">
        <f t="shared" si="50"/>
        <v>1900</v>
      </c>
    </row>
    <row r="3262" spans="9:9" x14ac:dyDescent="0.25">
      <c r="I3262">
        <f t="shared" si="50"/>
        <v>1900</v>
      </c>
    </row>
    <row r="3263" spans="9:9" x14ac:dyDescent="0.25">
      <c r="I3263">
        <f t="shared" si="50"/>
        <v>1900</v>
      </c>
    </row>
    <row r="3264" spans="9:9" x14ac:dyDescent="0.25">
      <c r="I3264">
        <f t="shared" si="50"/>
        <v>1900</v>
      </c>
    </row>
    <row r="3265" spans="9:9" x14ac:dyDescent="0.25">
      <c r="I3265">
        <f t="shared" si="50"/>
        <v>1900</v>
      </c>
    </row>
    <row r="3266" spans="9:9" x14ac:dyDescent="0.25">
      <c r="I3266">
        <f t="shared" si="50"/>
        <v>1900</v>
      </c>
    </row>
    <row r="3267" spans="9:9" x14ac:dyDescent="0.25">
      <c r="I3267">
        <f t="shared" si="50"/>
        <v>1900</v>
      </c>
    </row>
    <row r="3268" spans="9:9" x14ac:dyDescent="0.25">
      <c r="I3268">
        <f t="shared" ref="I3268:I3331" si="51">IFERROR(YEAR(E3268),"")</f>
        <v>1900</v>
      </c>
    </row>
    <row r="3269" spans="9:9" x14ac:dyDescent="0.25">
      <c r="I3269">
        <f t="shared" si="51"/>
        <v>1900</v>
      </c>
    </row>
    <row r="3270" spans="9:9" x14ac:dyDescent="0.25">
      <c r="I3270">
        <f t="shared" si="51"/>
        <v>1900</v>
      </c>
    </row>
    <row r="3271" spans="9:9" x14ac:dyDescent="0.25">
      <c r="I3271">
        <f t="shared" si="51"/>
        <v>1900</v>
      </c>
    </row>
    <row r="3272" spans="9:9" x14ac:dyDescent="0.25">
      <c r="I3272">
        <f t="shared" si="51"/>
        <v>1900</v>
      </c>
    </row>
    <row r="3273" spans="9:9" x14ac:dyDescent="0.25">
      <c r="I3273">
        <f t="shared" si="51"/>
        <v>1900</v>
      </c>
    </row>
    <row r="3274" spans="9:9" x14ac:dyDescent="0.25">
      <c r="I3274">
        <f t="shared" si="51"/>
        <v>1900</v>
      </c>
    </row>
    <row r="3275" spans="9:9" x14ac:dyDescent="0.25">
      <c r="I3275">
        <f t="shared" si="51"/>
        <v>1900</v>
      </c>
    </row>
    <row r="3276" spans="9:9" x14ac:dyDescent="0.25">
      <c r="I3276">
        <f t="shared" si="51"/>
        <v>1900</v>
      </c>
    </row>
    <row r="3277" spans="9:9" x14ac:dyDescent="0.25">
      <c r="I3277">
        <f t="shared" si="51"/>
        <v>1900</v>
      </c>
    </row>
    <row r="3278" spans="9:9" x14ac:dyDescent="0.25">
      <c r="I3278">
        <f t="shared" si="51"/>
        <v>1900</v>
      </c>
    </row>
    <row r="3279" spans="9:9" x14ac:dyDescent="0.25">
      <c r="I3279">
        <f t="shared" si="51"/>
        <v>1900</v>
      </c>
    </row>
    <row r="3280" spans="9:9" x14ac:dyDescent="0.25">
      <c r="I3280">
        <f t="shared" si="51"/>
        <v>1900</v>
      </c>
    </row>
    <row r="3281" spans="9:9" x14ac:dyDescent="0.25">
      <c r="I3281">
        <f t="shared" si="51"/>
        <v>1900</v>
      </c>
    </row>
    <row r="3282" spans="9:9" x14ac:dyDescent="0.25">
      <c r="I3282">
        <f t="shared" si="51"/>
        <v>1900</v>
      </c>
    </row>
    <row r="3283" spans="9:9" x14ac:dyDescent="0.25">
      <c r="I3283">
        <f t="shared" si="51"/>
        <v>1900</v>
      </c>
    </row>
    <row r="3284" spans="9:9" x14ac:dyDescent="0.25">
      <c r="I3284">
        <f t="shared" si="51"/>
        <v>1900</v>
      </c>
    </row>
    <row r="3285" spans="9:9" x14ac:dyDescent="0.25">
      <c r="I3285">
        <f t="shared" si="51"/>
        <v>1900</v>
      </c>
    </row>
    <row r="3286" spans="9:9" x14ac:dyDescent="0.25">
      <c r="I3286">
        <f t="shared" si="51"/>
        <v>1900</v>
      </c>
    </row>
    <row r="3287" spans="9:9" x14ac:dyDescent="0.25">
      <c r="I3287">
        <f t="shared" si="51"/>
        <v>1900</v>
      </c>
    </row>
    <row r="3288" spans="9:9" x14ac:dyDescent="0.25">
      <c r="I3288">
        <f t="shared" si="51"/>
        <v>1900</v>
      </c>
    </row>
    <row r="3289" spans="9:9" x14ac:dyDescent="0.25">
      <c r="I3289">
        <f t="shared" si="51"/>
        <v>1900</v>
      </c>
    </row>
    <row r="3290" spans="9:9" x14ac:dyDescent="0.25">
      <c r="I3290">
        <f t="shared" si="51"/>
        <v>1900</v>
      </c>
    </row>
    <row r="3291" spans="9:9" x14ac:dyDescent="0.25">
      <c r="I3291">
        <f t="shared" si="51"/>
        <v>1900</v>
      </c>
    </row>
    <row r="3292" spans="9:9" x14ac:dyDescent="0.25">
      <c r="I3292">
        <f t="shared" si="51"/>
        <v>1900</v>
      </c>
    </row>
    <row r="3293" spans="9:9" x14ac:dyDescent="0.25">
      <c r="I3293">
        <f t="shared" si="51"/>
        <v>1900</v>
      </c>
    </row>
    <row r="3294" spans="9:9" x14ac:dyDescent="0.25">
      <c r="I3294">
        <f t="shared" si="51"/>
        <v>1900</v>
      </c>
    </row>
    <row r="3295" spans="9:9" x14ac:dyDescent="0.25">
      <c r="I3295">
        <f t="shared" si="51"/>
        <v>1900</v>
      </c>
    </row>
    <row r="3296" spans="9:9" x14ac:dyDescent="0.25">
      <c r="I3296">
        <f t="shared" si="51"/>
        <v>1900</v>
      </c>
    </row>
    <row r="3297" spans="9:9" x14ac:dyDescent="0.25">
      <c r="I3297">
        <f t="shared" si="51"/>
        <v>1900</v>
      </c>
    </row>
    <row r="3298" spans="9:9" x14ac:dyDescent="0.25">
      <c r="I3298">
        <f t="shared" si="51"/>
        <v>1900</v>
      </c>
    </row>
    <row r="3299" spans="9:9" x14ac:dyDescent="0.25">
      <c r="I3299">
        <f t="shared" si="51"/>
        <v>1900</v>
      </c>
    </row>
    <row r="3300" spans="9:9" x14ac:dyDescent="0.25">
      <c r="I3300">
        <f t="shared" si="51"/>
        <v>1900</v>
      </c>
    </row>
    <row r="3301" spans="9:9" x14ac:dyDescent="0.25">
      <c r="I3301">
        <f t="shared" si="51"/>
        <v>1900</v>
      </c>
    </row>
    <row r="3302" spans="9:9" x14ac:dyDescent="0.25">
      <c r="I3302">
        <f t="shared" si="51"/>
        <v>1900</v>
      </c>
    </row>
    <row r="3303" spans="9:9" x14ac:dyDescent="0.25">
      <c r="I3303">
        <f t="shared" si="51"/>
        <v>1900</v>
      </c>
    </row>
    <row r="3304" spans="9:9" x14ac:dyDescent="0.25">
      <c r="I3304">
        <f t="shared" si="51"/>
        <v>1900</v>
      </c>
    </row>
    <row r="3305" spans="9:9" x14ac:dyDescent="0.25">
      <c r="I3305">
        <f t="shared" si="51"/>
        <v>1900</v>
      </c>
    </row>
    <row r="3306" spans="9:9" x14ac:dyDescent="0.25">
      <c r="I3306">
        <f t="shared" si="51"/>
        <v>1900</v>
      </c>
    </row>
    <row r="3307" spans="9:9" x14ac:dyDescent="0.25">
      <c r="I3307">
        <f t="shared" si="51"/>
        <v>1900</v>
      </c>
    </row>
    <row r="3308" spans="9:9" x14ac:dyDescent="0.25">
      <c r="I3308">
        <f t="shared" si="51"/>
        <v>1900</v>
      </c>
    </row>
    <row r="3309" spans="9:9" x14ac:dyDescent="0.25">
      <c r="I3309">
        <f t="shared" si="51"/>
        <v>1900</v>
      </c>
    </row>
    <row r="3310" spans="9:9" x14ac:dyDescent="0.25">
      <c r="I3310">
        <f t="shared" si="51"/>
        <v>1900</v>
      </c>
    </row>
    <row r="3311" spans="9:9" x14ac:dyDescent="0.25">
      <c r="I3311">
        <f t="shared" si="51"/>
        <v>1900</v>
      </c>
    </row>
    <row r="3312" spans="9:9" x14ac:dyDescent="0.25">
      <c r="I3312">
        <f t="shared" si="51"/>
        <v>1900</v>
      </c>
    </row>
    <row r="3313" spans="9:9" x14ac:dyDescent="0.25">
      <c r="I3313">
        <f t="shared" si="51"/>
        <v>1900</v>
      </c>
    </row>
    <row r="3314" spans="9:9" x14ac:dyDescent="0.25">
      <c r="I3314">
        <f t="shared" si="51"/>
        <v>1900</v>
      </c>
    </row>
    <row r="3315" spans="9:9" x14ac:dyDescent="0.25">
      <c r="I3315">
        <f t="shared" si="51"/>
        <v>1900</v>
      </c>
    </row>
    <row r="3316" spans="9:9" x14ac:dyDescent="0.25">
      <c r="I3316">
        <f t="shared" si="51"/>
        <v>1900</v>
      </c>
    </row>
    <row r="3317" spans="9:9" x14ac:dyDescent="0.25">
      <c r="I3317">
        <f t="shared" si="51"/>
        <v>1900</v>
      </c>
    </row>
    <row r="3318" spans="9:9" x14ac:dyDescent="0.25">
      <c r="I3318">
        <f t="shared" si="51"/>
        <v>1900</v>
      </c>
    </row>
    <row r="3319" spans="9:9" x14ac:dyDescent="0.25">
      <c r="I3319">
        <f t="shared" si="51"/>
        <v>1900</v>
      </c>
    </row>
    <row r="3320" spans="9:9" x14ac:dyDescent="0.25">
      <c r="I3320">
        <f t="shared" si="51"/>
        <v>1900</v>
      </c>
    </row>
    <row r="3321" spans="9:9" x14ac:dyDescent="0.25">
      <c r="I3321">
        <f t="shared" si="51"/>
        <v>1900</v>
      </c>
    </row>
    <row r="3322" spans="9:9" x14ac:dyDescent="0.25">
      <c r="I3322">
        <f t="shared" si="51"/>
        <v>1900</v>
      </c>
    </row>
    <row r="3323" spans="9:9" x14ac:dyDescent="0.25">
      <c r="I3323">
        <f t="shared" si="51"/>
        <v>1900</v>
      </c>
    </row>
    <row r="3324" spans="9:9" x14ac:dyDescent="0.25">
      <c r="I3324">
        <f t="shared" si="51"/>
        <v>1900</v>
      </c>
    </row>
    <row r="3325" spans="9:9" x14ac:dyDescent="0.25">
      <c r="I3325">
        <f t="shared" si="51"/>
        <v>1900</v>
      </c>
    </row>
    <row r="3326" spans="9:9" x14ac:dyDescent="0.25">
      <c r="I3326">
        <f t="shared" si="51"/>
        <v>1900</v>
      </c>
    </row>
    <row r="3327" spans="9:9" x14ac:dyDescent="0.25">
      <c r="I3327">
        <f t="shared" si="51"/>
        <v>1900</v>
      </c>
    </row>
    <row r="3328" spans="9:9" x14ac:dyDescent="0.25">
      <c r="I3328">
        <f t="shared" si="51"/>
        <v>1900</v>
      </c>
    </row>
    <row r="3329" spans="9:9" x14ac:dyDescent="0.25">
      <c r="I3329">
        <f t="shared" si="51"/>
        <v>1900</v>
      </c>
    </row>
    <row r="3330" spans="9:9" x14ac:dyDescent="0.25">
      <c r="I3330">
        <f t="shared" si="51"/>
        <v>1900</v>
      </c>
    </row>
    <row r="3331" spans="9:9" x14ac:dyDescent="0.25">
      <c r="I3331">
        <f t="shared" si="51"/>
        <v>1900</v>
      </c>
    </row>
    <row r="3332" spans="9:9" x14ac:dyDescent="0.25">
      <c r="I3332">
        <f t="shared" ref="I3332:I3395" si="52">IFERROR(YEAR(E3332),"")</f>
        <v>1900</v>
      </c>
    </row>
    <row r="3333" spans="9:9" x14ac:dyDescent="0.25">
      <c r="I3333">
        <f t="shared" si="52"/>
        <v>1900</v>
      </c>
    </row>
    <row r="3334" spans="9:9" x14ac:dyDescent="0.25">
      <c r="I3334">
        <f t="shared" si="52"/>
        <v>1900</v>
      </c>
    </row>
    <row r="3335" spans="9:9" x14ac:dyDescent="0.25">
      <c r="I3335">
        <f t="shared" si="52"/>
        <v>1900</v>
      </c>
    </row>
    <row r="3336" spans="9:9" x14ac:dyDescent="0.25">
      <c r="I3336">
        <f t="shared" si="52"/>
        <v>1900</v>
      </c>
    </row>
    <row r="3337" spans="9:9" x14ac:dyDescent="0.25">
      <c r="I3337">
        <f t="shared" si="52"/>
        <v>1900</v>
      </c>
    </row>
    <row r="3338" spans="9:9" x14ac:dyDescent="0.25">
      <c r="I3338">
        <f t="shared" si="52"/>
        <v>1900</v>
      </c>
    </row>
    <row r="3339" spans="9:9" x14ac:dyDescent="0.25">
      <c r="I3339">
        <f t="shared" si="52"/>
        <v>1900</v>
      </c>
    </row>
    <row r="3340" spans="9:9" x14ac:dyDescent="0.25">
      <c r="I3340">
        <f t="shared" si="52"/>
        <v>1900</v>
      </c>
    </row>
    <row r="3341" spans="9:9" x14ac:dyDescent="0.25">
      <c r="I3341">
        <f t="shared" si="52"/>
        <v>1900</v>
      </c>
    </row>
    <row r="3342" spans="9:9" x14ac:dyDescent="0.25">
      <c r="I3342">
        <f t="shared" si="52"/>
        <v>1900</v>
      </c>
    </row>
    <row r="3343" spans="9:9" x14ac:dyDescent="0.25">
      <c r="I3343">
        <f t="shared" si="52"/>
        <v>1900</v>
      </c>
    </row>
    <row r="3344" spans="9:9" x14ac:dyDescent="0.25">
      <c r="I3344">
        <f t="shared" si="52"/>
        <v>1900</v>
      </c>
    </row>
    <row r="3345" spans="9:9" x14ac:dyDescent="0.25">
      <c r="I3345">
        <f t="shared" si="52"/>
        <v>1900</v>
      </c>
    </row>
    <row r="3346" spans="9:9" x14ac:dyDescent="0.25">
      <c r="I3346">
        <f t="shared" si="52"/>
        <v>1900</v>
      </c>
    </row>
    <row r="3347" spans="9:9" x14ac:dyDescent="0.25">
      <c r="I3347">
        <f t="shared" si="52"/>
        <v>1900</v>
      </c>
    </row>
    <row r="3348" spans="9:9" x14ac:dyDescent="0.25">
      <c r="I3348">
        <f t="shared" si="52"/>
        <v>1900</v>
      </c>
    </row>
    <row r="3349" spans="9:9" x14ac:dyDescent="0.25">
      <c r="I3349">
        <f t="shared" si="52"/>
        <v>1900</v>
      </c>
    </row>
    <row r="3350" spans="9:9" x14ac:dyDescent="0.25">
      <c r="I3350">
        <f t="shared" si="52"/>
        <v>1900</v>
      </c>
    </row>
    <row r="3351" spans="9:9" x14ac:dyDescent="0.25">
      <c r="I3351">
        <f t="shared" si="52"/>
        <v>1900</v>
      </c>
    </row>
    <row r="3352" spans="9:9" x14ac:dyDescent="0.25">
      <c r="I3352">
        <f t="shared" si="52"/>
        <v>1900</v>
      </c>
    </row>
    <row r="3353" spans="9:9" x14ac:dyDescent="0.25">
      <c r="I3353">
        <f t="shared" si="52"/>
        <v>1900</v>
      </c>
    </row>
    <row r="3354" spans="9:9" x14ac:dyDescent="0.25">
      <c r="I3354">
        <f t="shared" si="52"/>
        <v>1900</v>
      </c>
    </row>
    <row r="3355" spans="9:9" x14ac:dyDescent="0.25">
      <c r="I3355">
        <f t="shared" si="52"/>
        <v>1900</v>
      </c>
    </row>
    <row r="3356" spans="9:9" x14ac:dyDescent="0.25">
      <c r="I3356">
        <f t="shared" si="52"/>
        <v>1900</v>
      </c>
    </row>
    <row r="3357" spans="9:9" x14ac:dyDescent="0.25">
      <c r="I3357">
        <f t="shared" si="52"/>
        <v>1900</v>
      </c>
    </row>
    <row r="3358" spans="9:9" x14ac:dyDescent="0.25">
      <c r="I3358">
        <f t="shared" si="52"/>
        <v>1900</v>
      </c>
    </row>
    <row r="3359" spans="9:9" x14ac:dyDescent="0.25">
      <c r="I3359">
        <f t="shared" si="52"/>
        <v>1900</v>
      </c>
    </row>
    <row r="3360" spans="9:9" x14ac:dyDescent="0.25">
      <c r="I3360">
        <f t="shared" si="52"/>
        <v>1900</v>
      </c>
    </row>
    <row r="3361" spans="9:9" x14ac:dyDescent="0.25">
      <c r="I3361">
        <f t="shared" si="52"/>
        <v>1900</v>
      </c>
    </row>
    <row r="3362" spans="9:9" x14ac:dyDescent="0.25">
      <c r="I3362">
        <f t="shared" si="52"/>
        <v>1900</v>
      </c>
    </row>
    <row r="3363" spans="9:9" x14ac:dyDescent="0.25">
      <c r="I3363">
        <f t="shared" si="52"/>
        <v>1900</v>
      </c>
    </row>
    <row r="3364" spans="9:9" x14ac:dyDescent="0.25">
      <c r="I3364">
        <f t="shared" si="52"/>
        <v>1900</v>
      </c>
    </row>
    <row r="3365" spans="9:9" x14ac:dyDescent="0.25">
      <c r="I3365">
        <f t="shared" si="52"/>
        <v>1900</v>
      </c>
    </row>
    <row r="3366" spans="9:9" x14ac:dyDescent="0.25">
      <c r="I3366">
        <f t="shared" si="52"/>
        <v>1900</v>
      </c>
    </row>
    <row r="3367" spans="9:9" x14ac:dyDescent="0.25">
      <c r="I3367">
        <f t="shared" si="52"/>
        <v>1900</v>
      </c>
    </row>
    <row r="3368" spans="9:9" x14ac:dyDescent="0.25">
      <c r="I3368">
        <f t="shared" si="52"/>
        <v>1900</v>
      </c>
    </row>
    <row r="3369" spans="9:9" x14ac:dyDescent="0.25">
      <c r="I3369">
        <f t="shared" si="52"/>
        <v>1900</v>
      </c>
    </row>
    <row r="3370" spans="9:9" x14ac:dyDescent="0.25">
      <c r="I3370">
        <f t="shared" si="52"/>
        <v>1900</v>
      </c>
    </row>
    <row r="3371" spans="9:9" x14ac:dyDescent="0.25">
      <c r="I3371">
        <f t="shared" si="52"/>
        <v>1900</v>
      </c>
    </row>
    <row r="3372" spans="9:9" x14ac:dyDescent="0.25">
      <c r="I3372">
        <f t="shared" si="52"/>
        <v>1900</v>
      </c>
    </row>
    <row r="3373" spans="9:9" x14ac:dyDescent="0.25">
      <c r="I3373">
        <f t="shared" si="52"/>
        <v>1900</v>
      </c>
    </row>
    <row r="3374" spans="9:9" x14ac:dyDescent="0.25">
      <c r="I3374">
        <f t="shared" si="52"/>
        <v>1900</v>
      </c>
    </row>
    <row r="3375" spans="9:9" x14ac:dyDescent="0.25">
      <c r="I3375">
        <f t="shared" si="52"/>
        <v>1900</v>
      </c>
    </row>
    <row r="3376" spans="9:9" x14ac:dyDescent="0.25">
      <c r="I3376">
        <f t="shared" si="52"/>
        <v>1900</v>
      </c>
    </row>
    <row r="3377" spans="9:9" x14ac:dyDescent="0.25">
      <c r="I3377">
        <f t="shared" si="52"/>
        <v>1900</v>
      </c>
    </row>
    <row r="3378" spans="9:9" x14ac:dyDescent="0.25">
      <c r="I3378">
        <f t="shared" si="52"/>
        <v>1900</v>
      </c>
    </row>
    <row r="3379" spans="9:9" x14ac:dyDescent="0.25">
      <c r="I3379">
        <f t="shared" si="52"/>
        <v>1900</v>
      </c>
    </row>
    <row r="3380" spans="9:9" x14ac:dyDescent="0.25">
      <c r="I3380">
        <f t="shared" si="52"/>
        <v>1900</v>
      </c>
    </row>
    <row r="3381" spans="9:9" x14ac:dyDescent="0.25">
      <c r="I3381">
        <f t="shared" si="52"/>
        <v>1900</v>
      </c>
    </row>
    <row r="3382" spans="9:9" x14ac:dyDescent="0.25">
      <c r="I3382">
        <f t="shared" si="52"/>
        <v>1900</v>
      </c>
    </row>
    <row r="3383" spans="9:9" x14ac:dyDescent="0.25">
      <c r="I3383">
        <f t="shared" si="52"/>
        <v>1900</v>
      </c>
    </row>
    <row r="3384" spans="9:9" x14ac:dyDescent="0.25">
      <c r="I3384">
        <f t="shared" si="52"/>
        <v>1900</v>
      </c>
    </row>
    <row r="3385" spans="9:9" x14ac:dyDescent="0.25">
      <c r="I3385">
        <f t="shared" si="52"/>
        <v>1900</v>
      </c>
    </row>
    <row r="3386" spans="9:9" x14ac:dyDescent="0.25">
      <c r="I3386">
        <f t="shared" si="52"/>
        <v>1900</v>
      </c>
    </row>
    <row r="3387" spans="9:9" x14ac:dyDescent="0.25">
      <c r="I3387">
        <f t="shared" si="52"/>
        <v>1900</v>
      </c>
    </row>
    <row r="3388" spans="9:9" x14ac:dyDescent="0.25">
      <c r="I3388">
        <f t="shared" si="52"/>
        <v>1900</v>
      </c>
    </row>
    <row r="3389" spans="9:9" x14ac:dyDescent="0.25">
      <c r="I3389">
        <f t="shared" si="52"/>
        <v>1900</v>
      </c>
    </row>
    <row r="3390" spans="9:9" x14ac:dyDescent="0.25">
      <c r="I3390">
        <f t="shared" si="52"/>
        <v>1900</v>
      </c>
    </row>
    <row r="3391" spans="9:9" x14ac:dyDescent="0.25">
      <c r="I3391">
        <f t="shared" si="52"/>
        <v>1900</v>
      </c>
    </row>
    <row r="3392" spans="9:9" x14ac:dyDescent="0.25">
      <c r="I3392">
        <f t="shared" si="52"/>
        <v>1900</v>
      </c>
    </row>
    <row r="3393" spans="9:9" x14ac:dyDescent="0.25">
      <c r="I3393">
        <f t="shared" si="52"/>
        <v>1900</v>
      </c>
    </row>
    <row r="3394" spans="9:9" x14ac:dyDescent="0.25">
      <c r="I3394">
        <f t="shared" si="52"/>
        <v>1900</v>
      </c>
    </row>
    <row r="3395" spans="9:9" x14ac:dyDescent="0.25">
      <c r="I3395">
        <f t="shared" si="52"/>
        <v>1900</v>
      </c>
    </row>
    <row r="3396" spans="9:9" x14ac:dyDescent="0.25">
      <c r="I3396">
        <f t="shared" ref="I3396:I3459" si="53">IFERROR(YEAR(E3396),"")</f>
        <v>1900</v>
      </c>
    </row>
    <row r="3397" spans="9:9" x14ac:dyDescent="0.25">
      <c r="I3397">
        <f t="shared" si="53"/>
        <v>1900</v>
      </c>
    </row>
    <row r="3398" spans="9:9" x14ac:dyDescent="0.25">
      <c r="I3398">
        <f t="shared" si="53"/>
        <v>1900</v>
      </c>
    </row>
    <row r="3399" spans="9:9" x14ac:dyDescent="0.25">
      <c r="I3399">
        <f t="shared" si="53"/>
        <v>1900</v>
      </c>
    </row>
    <row r="3400" spans="9:9" x14ac:dyDescent="0.25">
      <c r="I3400">
        <f t="shared" si="53"/>
        <v>1900</v>
      </c>
    </row>
    <row r="3401" spans="9:9" x14ac:dyDescent="0.25">
      <c r="I3401">
        <f t="shared" si="53"/>
        <v>1900</v>
      </c>
    </row>
    <row r="3402" spans="9:9" x14ac:dyDescent="0.25">
      <c r="I3402">
        <f t="shared" si="53"/>
        <v>1900</v>
      </c>
    </row>
    <row r="3403" spans="9:9" x14ac:dyDescent="0.25">
      <c r="I3403">
        <f t="shared" si="53"/>
        <v>1900</v>
      </c>
    </row>
    <row r="3404" spans="9:9" x14ac:dyDescent="0.25">
      <c r="I3404">
        <f t="shared" si="53"/>
        <v>1900</v>
      </c>
    </row>
    <row r="3405" spans="9:9" x14ac:dyDescent="0.25">
      <c r="I3405">
        <f t="shared" si="53"/>
        <v>1900</v>
      </c>
    </row>
    <row r="3406" spans="9:9" x14ac:dyDescent="0.25">
      <c r="I3406">
        <f t="shared" si="53"/>
        <v>1900</v>
      </c>
    </row>
    <row r="3407" spans="9:9" x14ac:dyDescent="0.25">
      <c r="I3407">
        <f t="shared" si="53"/>
        <v>1900</v>
      </c>
    </row>
    <row r="3408" spans="9:9" x14ac:dyDescent="0.25">
      <c r="I3408">
        <f t="shared" si="53"/>
        <v>1900</v>
      </c>
    </row>
    <row r="3409" spans="9:9" x14ac:dyDescent="0.25">
      <c r="I3409">
        <f t="shared" si="53"/>
        <v>1900</v>
      </c>
    </row>
    <row r="3410" spans="9:9" x14ac:dyDescent="0.25">
      <c r="I3410">
        <f t="shared" si="53"/>
        <v>1900</v>
      </c>
    </row>
    <row r="3411" spans="9:9" x14ac:dyDescent="0.25">
      <c r="I3411">
        <f t="shared" si="53"/>
        <v>1900</v>
      </c>
    </row>
    <row r="3412" spans="9:9" x14ac:dyDescent="0.25">
      <c r="I3412">
        <f t="shared" si="53"/>
        <v>1900</v>
      </c>
    </row>
    <row r="3413" spans="9:9" x14ac:dyDescent="0.25">
      <c r="I3413">
        <f t="shared" si="53"/>
        <v>1900</v>
      </c>
    </row>
    <row r="3414" spans="9:9" x14ac:dyDescent="0.25">
      <c r="I3414">
        <f t="shared" si="53"/>
        <v>1900</v>
      </c>
    </row>
    <row r="3415" spans="9:9" x14ac:dyDescent="0.25">
      <c r="I3415">
        <f t="shared" si="53"/>
        <v>1900</v>
      </c>
    </row>
    <row r="3416" spans="9:9" x14ac:dyDescent="0.25">
      <c r="I3416">
        <f t="shared" si="53"/>
        <v>1900</v>
      </c>
    </row>
    <row r="3417" spans="9:9" x14ac:dyDescent="0.25">
      <c r="I3417">
        <f t="shared" si="53"/>
        <v>1900</v>
      </c>
    </row>
    <row r="3418" spans="9:9" x14ac:dyDescent="0.25">
      <c r="I3418">
        <f t="shared" si="53"/>
        <v>1900</v>
      </c>
    </row>
    <row r="3419" spans="9:9" x14ac:dyDescent="0.25">
      <c r="I3419">
        <f t="shared" si="53"/>
        <v>1900</v>
      </c>
    </row>
    <row r="3420" spans="9:9" x14ac:dyDescent="0.25">
      <c r="I3420">
        <f t="shared" si="53"/>
        <v>1900</v>
      </c>
    </row>
    <row r="3421" spans="9:9" x14ac:dyDescent="0.25">
      <c r="I3421">
        <f t="shared" si="53"/>
        <v>1900</v>
      </c>
    </row>
    <row r="3422" spans="9:9" x14ac:dyDescent="0.25">
      <c r="I3422">
        <f t="shared" si="53"/>
        <v>1900</v>
      </c>
    </row>
    <row r="3423" spans="9:9" x14ac:dyDescent="0.25">
      <c r="I3423">
        <f t="shared" si="53"/>
        <v>1900</v>
      </c>
    </row>
    <row r="3424" spans="9:9" x14ac:dyDescent="0.25">
      <c r="I3424">
        <f t="shared" si="53"/>
        <v>1900</v>
      </c>
    </row>
    <row r="3425" spans="9:9" x14ac:dyDescent="0.25">
      <c r="I3425">
        <f t="shared" si="53"/>
        <v>1900</v>
      </c>
    </row>
    <row r="3426" spans="9:9" x14ac:dyDescent="0.25">
      <c r="I3426">
        <f t="shared" si="53"/>
        <v>1900</v>
      </c>
    </row>
    <row r="3427" spans="9:9" x14ac:dyDescent="0.25">
      <c r="I3427">
        <f t="shared" si="53"/>
        <v>1900</v>
      </c>
    </row>
    <row r="3428" spans="9:9" x14ac:dyDescent="0.25">
      <c r="I3428">
        <f t="shared" si="53"/>
        <v>1900</v>
      </c>
    </row>
    <row r="3429" spans="9:9" x14ac:dyDescent="0.25">
      <c r="I3429">
        <f t="shared" si="53"/>
        <v>1900</v>
      </c>
    </row>
    <row r="3430" spans="9:9" x14ac:dyDescent="0.25">
      <c r="I3430">
        <f t="shared" si="53"/>
        <v>1900</v>
      </c>
    </row>
    <row r="3431" spans="9:9" x14ac:dyDescent="0.25">
      <c r="I3431">
        <f t="shared" si="53"/>
        <v>1900</v>
      </c>
    </row>
    <row r="3432" spans="9:9" x14ac:dyDescent="0.25">
      <c r="I3432">
        <f t="shared" si="53"/>
        <v>1900</v>
      </c>
    </row>
    <row r="3433" spans="9:9" x14ac:dyDescent="0.25">
      <c r="I3433">
        <f t="shared" si="53"/>
        <v>1900</v>
      </c>
    </row>
    <row r="3434" spans="9:9" x14ac:dyDescent="0.25">
      <c r="I3434">
        <f t="shared" si="53"/>
        <v>1900</v>
      </c>
    </row>
    <row r="3435" spans="9:9" x14ac:dyDescent="0.25">
      <c r="I3435">
        <f t="shared" si="53"/>
        <v>1900</v>
      </c>
    </row>
    <row r="3436" spans="9:9" x14ac:dyDescent="0.25">
      <c r="I3436">
        <f t="shared" si="53"/>
        <v>1900</v>
      </c>
    </row>
    <row r="3437" spans="9:9" x14ac:dyDescent="0.25">
      <c r="I3437">
        <f t="shared" si="53"/>
        <v>1900</v>
      </c>
    </row>
    <row r="3438" spans="9:9" x14ac:dyDescent="0.25">
      <c r="I3438">
        <f t="shared" si="53"/>
        <v>1900</v>
      </c>
    </row>
    <row r="3439" spans="9:9" x14ac:dyDescent="0.25">
      <c r="I3439">
        <f t="shared" si="53"/>
        <v>1900</v>
      </c>
    </row>
    <row r="3440" spans="9:9" x14ac:dyDescent="0.25">
      <c r="I3440">
        <f t="shared" si="53"/>
        <v>1900</v>
      </c>
    </row>
    <row r="3441" spans="9:9" x14ac:dyDescent="0.25">
      <c r="I3441">
        <f t="shared" si="53"/>
        <v>1900</v>
      </c>
    </row>
    <row r="3442" spans="9:9" x14ac:dyDescent="0.25">
      <c r="I3442">
        <f t="shared" si="53"/>
        <v>1900</v>
      </c>
    </row>
    <row r="3443" spans="9:9" x14ac:dyDescent="0.25">
      <c r="I3443">
        <f t="shared" si="53"/>
        <v>1900</v>
      </c>
    </row>
    <row r="3444" spans="9:9" x14ac:dyDescent="0.25">
      <c r="I3444">
        <f t="shared" si="53"/>
        <v>1900</v>
      </c>
    </row>
    <row r="3445" spans="9:9" x14ac:dyDescent="0.25">
      <c r="I3445">
        <f t="shared" si="53"/>
        <v>1900</v>
      </c>
    </row>
    <row r="3446" spans="9:9" x14ac:dyDescent="0.25">
      <c r="I3446">
        <f t="shared" si="53"/>
        <v>1900</v>
      </c>
    </row>
    <row r="3447" spans="9:9" x14ac:dyDescent="0.25">
      <c r="I3447">
        <f t="shared" si="53"/>
        <v>1900</v>
      </c>
    </row>
    <row r="3448" spans="9:9" x14ac:dyDescent="0.25">
      <c r="I3448">
        <f t="shared" si="53"/>
        <v>1900</v>
      </c>
    </row>
    <row r="3449" spans="9:9" x14ac:dyDescent="0.25">
      <c r="I3449">
        <f t="shared" si="53"/>
        <v>1900</v>
      </c>
    </row>
    <row r="3450" spans="9:9" x14ac:dyDescent="0.25">
      <c r="I3450">
        <f t="shared" si="53"/>
        <v>1900</v>
      </c>
    </row>
    <row r="3451" spans="9:9" x14ac:dyDescent="0.25">
      <c r="I3451">
        <f t="shared" si="53"/>
        <v>1900</v>
      </c>
    </row>
    <row r="3452" spans="9:9" x14ac:dyDescent="0.25">
      <c r="I3452">
        <f t="shared" si="53"/>
        <v>1900</v>
      </c>
    </row>
    <row r="3453" spans="9:9" x14ac:dyDescent="0.25">
      <c r="I3453">
        <f t="shared" si="53"/>
        <v>1900</v>
      </c>
    </row>
    <row r="3454" spans="9:9" x14ac:dyDescent="0.25">
      <c r="I3454">
        <f t="shared" si="53"/>
        <v>1900</v>
      </c>
    </row>
    <row r="3455" spans="9:9" x14ac:dyDescent="0.25">
      <c r="I3455">
        <f t="shared" si="53"/>
        <v>1900</v>
      </c>
    </row>
    <row r="3456" spans="9:9" x14ac:dyDescent="0.25">
      <c r="I3456">
        <f t="shared" si="53"/>
        <v>1900</v>
      </c>
    </row>
    <row r="3457" spans="9:9" x14ac:dyDescent="0.25">
      <c r="I3457">
        <f t="shared" si="53"/>
        <v>1900</v>
      </c>
    </row>
    <row r="3458" spans="9:9" x14ac:dyDescent="0.25">
      <c r="I3458">
        <f t="shared" si="53"/>
        <v>1900</v>
      </c>
    </row>
    <row r="3459" spans="9:9" x14ac:dyDescent="0.25">
      <c r="I3459">
        <f t="shared" si="53"/>
        <v>1900</v>
      </c>
    </row>
    <row r="3460" spans="9:9" x14ac:dyDescent="0.25">
      <c r="I3460">
        <f t="shared" ref="I3460:I3523" si="54">IFERROR(YEAR(E3460),"")</f>
        <v>1900</v>
      </c>
    </row>
    <row r="3461" spans="9:9" x14ac:dyDescent="0.25">
      <c r="I3461">
        <f t="shared" si="54"/>
        <v>1900</v>
      </c>
    </row>
    <row r="3462" spans="9:9" x14ac:dyDescent="0.25">
      <c r="I3462">
        <f t="shared" si="54"/>
        <v>1900</v>
      </c>
    </row>
    <row r="3463" spans="9:9" x14ac:dyDescent="0.25">
      <c r="I3463">
        <f t="shared" si="54"/>
        <v>1900</v>
      </c>
    </row>
    <row r="3464" spans="9:9" x14ac:dyDescent="0.25">
      <c r="I3464">
        <f t="shared" si="54"/>
        <v>1900</v>
      </c>
    </row>
    <row r="3465" spans="9:9" x14ac:dyDescent="0.25">
      <c r="I3465">
        <f t="shared" si="54"/>
        <v>1900</v>
      </c>
    </row>
    <row r="3466" spans="9:9" x14ac:dyDescent="0.25">
      <c r="I3466">
        <f t="shared" si="54"/>
        <v>1900</v>
      </c>
    </row>
    <row r="3467" spans="9:9" x14ac:dyDescent="0.25">
      <c r="I3467">
        <f t="shared" si="54"/>
        <v>1900</v>
      </c>
    </row>
    <row r="3468" spans="9:9" x14ac:dyDescent="0.25">
      <c r="I3468">
        <f t="shared" si="54"/>
        <v>1900</v>
      </c>
    </row>
    <row r="3469" spans="9:9" x14ac:dyDescent="0.25">
      <c r="I3469">
        <f t="shared" si="54"/>
        <v>1900</v>
      </c>
    </row>
    <row r="3470" spans="9:9" x14ac:dyDescent="0.25">
      <c r="I3470">
        <f t="shared" si="54"/>
        <v>1900</v>
      </c>
    </row>
    <row r="3471" spans="9:9" x14ac:dyDescent="0.25">
      <c r="I3471">
        <f t="shared" si="54"/>
        <v>1900</v>
      </c>
    </row>
    <row r="3472" spans="9:9" x14ac:dyDescent="0.25">
      <c r="I3472">
        <f t="shared" si="54"/>
        <v>1900</v>
      </c>
    </row>
    <row r="3473" spans="9:9" x14ac:dyDescent="0.25">
      <c r="I3473">
        <f t="shared" si="54"/>
        <v>1900</v>
      </c>
    </row>
    <row r="3474" spans="9:9" x14ac:dyDescent="0.25">
      <c r="I3474">
        <f t="shared" si="54"/>
        <v>1900</v>
      </c>
    </row>
    <row r="3475" spans="9:9" x14ac:dyDescent="0.25">
      <c r="I3475">
        <f t="shared" si="54"/>
        <v>1900</v>
      </c>
    </row>
    <row r="3476" spans="9:9" x14ac:dyDescent="0.25">
      <c r="I3476">
        <f t="shared" si="54"/>
        <v>1900</v>
      </c>
    </row>
    <row r="3477" spans="9:9" x14ac:dyDescent="0.25">
      <c r="I3477">
        <f t="shared" si="54"/>
        <v>1900</v>
      </c>
    </row>
    <row r="3478" spans="9:9" x14ac:dyDescent="0.25">
      <c r="I3478">
        <f t="shared" si="54"/>
        <v>1900</v>
      </c>
    </row>
    <row r="3479" spans="9:9" x14ac:dyDescent="0.25">
      <c r="I3479">
        <f t="shared" si="54"/>
        <v>1900</v>
      </c>
    </row>
    <row r="3480" spans="9:9" x14ac:dyDescent="0.25">
      <c r="I3480">
        <f t="shared" si="54"/>
        <v>1900</v>
      </c>
    </row>
    <row r="3481" spans="9:9" x14ac:dyDescent="0.25">
      <c r="I3481">
        <f t="shared" si="54"/>
        <v>1900</v>
      </c>
    </row>
    <row r="3482" spans="9:9" x14ac:dyDescent="0.25">
      <c r="I3482">
        <f t="shared" si="54"/>
        <v>1900</v>
      </c>
    </row>
    <row r="3483" spans="9:9" x14ac:dyDescent="0.25">
      <c r="I3483">
        <f t="shared" si="54"/>
        <v>1900</v>
      </c>
    </row>
    <row r="3484" spans="9:9" x14ac:dyDescent="0.25">
      <c r="I3484">
        <f t="shared" si="54"/>
        <v>1900</v>
      </c>
    </row>
    <row r="3485" spans="9:9" x14ac:dyDescent="0.25">
      <c r="I3485">
        <f t="shared" si="54"/>
        <v>1900</v>
      </c>
    </row>
    <row r="3486" spans="9:9" x14ac:dyDescent="0.25">
      <c r="I3486">
        <f t="shared" si="54"/>
        <v>1900</v>
      </c>
    </row>
    <row r="3487" spans="9:9" x14ac:dyDescent="0.25">
      <c r="I3487">
        <f t="shared" si="54"/>
        <v>1900</v>
      </c>
    </row>
    <row r="3488" spans="9:9" x14ac:dyDescent="0.25">
      <c r="I3488">
        <f t="shared" si="54"/>
        <v>1900</v>
      </c>
    </row>
    <row r="3489" spans="9:9" x14ac:dyDescent="0.25">
      <c r="I3489">
        <f t="shared" si="54"/>
        <v>1900</v>
      </c>
    </row>
    <row r="3490" spans="9:9" x14ac:dyDescent="0.25">
      <c r="I3490">
        <f t="shared" si="54"/>
        <v>1900</v>
      </c>
    </row>
    <row r="3491" spans="9:9" x14ac:dyDescent="0.25">
      <c r="I3491">
        <f t="shared" si="54"/>
        <v>1900</v>
      </c>
    </row>
    <row r="3492" spans="9:9" x14ac:dyDescent="0.25">
      <c r="I3492">
        <f t="shared" si="54"/>
        <v>1900</v>
      </c>
    </row>
    <row r="3493" spans="9:9" x14ac:dyDescent="0.25">
      <c r="I3493">
        <f t="shared" si="54"/>
        <v>1900</v>
      </c>
    </row>
    <row r="3494" spans="9:9" x14ac:dyDescent="0.25">
      <c r="I3494">
        <f t="shared" si="54"/>
        <v>1900</v>
      </c>
    </row>
    <row r="3495" spans="9:9" x14ac:dyDescent="0.25">
      <c r="I3495">
        <f t="shared" si="54"/>
        <v>1900</v>
      </c>
    </row>
    <row r="3496" spans="9:9" x14ac:dyDescent="0.25">
      <c r="I3496">
        <f t="shared" si="54"/>
        <v>1900</v>
      </c>
    </row>
    <row r="3497" spans="9:9" x14ac:dyDescent="0.25">
      <c r="I3497">
        <f t="shared" si="54"/>
        <v>1900</v>
      </c>
    </row>
    <row r="3498" spans="9:9" x14ac:dyDescent="0.25">
      <c r="I3498">
        <f t="shared" si="54"/>
        <v>1900</v>
      </c>
    </row>
    <row r="3499" spans="9:9" x14ac:dyDescent="0.25">
      <c r="I3499">
        <f t="shared" si="54"/>
        <v>1900</v>
      </c>
    </row>
    <row r="3500" spans="9:9" x14ac:dyDescent="0.25">
      <c r="I3500">
        <f t="shared" si="54"/>
        <v>1900</v>
      </c>
    </row>
    <row r="3501" spans="9:9" x14ac:dyDescent="0.25">
      <c r="I3501">
        <f t="shared" si="54"/>
        <v>1900</v>
      </c>
    </row>
    <row r="3502" spans="9:9" x14ac:dyDescent="0.25">
      <c r="I3502">
        <f t="shared" si="54"/>
        <v>1900</v>
      </c>
    </row>
    <row r="3503" spans="9:9" x14ac:dyDescent="0.25">
      <c r="I3503">
        <f t="shared" si="54"/>
        <v>1900</v>
      </c>
    </row>
    <row r="3504" spans="9:9" x14ac:dyDescent="0.25">
      <c r="I3504">
        <f t="shared" si="54"/>
        <v>1900</v>
      </c>
    </row>
    <row r="3505" spans="9:9" x14ac:dyDescent="0.25">
      <c r="I3505">
        <f t="shared" si="54"/>
        <v>1900</v>
      </c>
    </row>
    <row r="3506" spans="9:9" x14ac:dyDescent="0.25">
      <c r="I3506">
        <f t="shared" si="54"/>
        <v>1900</v>
      </c>
    </row>
    <row r="3507" spans="9:9" x14ac:dyDescent="0.25">
      <c r="I3507">
        <f t="shared" si="54"/>
        <v>1900</v>
      </c>
    </row>
    <row r="3508" spans="9:9" x14ac:dyDescent="0.25">
      <c r="I3508">
        <f t="shared" si="54"/>
        <v>1900</v>
      </c>
    </row>
    <row r="3509" spans="9:9" x14ac:dyDescent="0.25">
      <c r="I3509">
        <f t="shared" si="54"/>
        <v>1900</v>
      </c>
    </row>
    <row r="3510" spans="9:9" x14ac:dyDescent="0.25">
      <c r="I3510">
        <f t="shared" si="54"/>
        <v>1900</v>
      </c>
    </row>
    <row r="3511" spans="9:9" x14ac:dyDescent="0.25">
      <c r="I3511">
        <f t="shared" si="54"/>
        <v>1900</v>
      </c>
    </row>
    <row r="3512" spans="9:9" x14ac:dyDescent="0.25">
      <c r="I3512">
        <f t="shared" si="54"/>
        <v>1900</v>
      </c>
    </row>
    <row r="3513" spans="9:9" x14ac:dyDescent="0.25">
      <c r="I3513">
        <f t="shared" si="54"/>
        <v>1900</v>
      </c>
    </row>
    <row r="3514" spans="9:9" x14ac:dyDescent="0.25">
      <c r="I3514">
        <f t="shared" si="54"/>
        <v>1900</v>
      </c>
    </row>
    <row r="3515" spans="9:9" x14ac:dyDescent="0.25">
      <c r="I3515">
        <f t="shared" si="54"/>
        <v>1900</v>
      </c>
    </row>
    <row r="3516" spans="9:9" x14ac:dyDescent="0.25">
      <c r="I3516">
        <f t="shared" si="54"/>
        <v>1900</v>
      </c>
    </row>
    <row r="3517" spans="9:9" x14ac:dyDescent="0.25">
      <c r="I3517">
        <f t="shared" si="54"/>
        <v>1900</v>
      </c>
    </row>
    <row r="3518" spans="9:9" x14ac:dyDescent="0.25">
      <c r="I3518">
        <f t="shared" si="54"/>
        <v>1900</v>
      </c>
    </row>
    <row r="3519" spans="9:9" x14ac:dyDescent="0.25">
      <c r="I3519">
        <f t="shared" si="54"/>
        <v>1900</v>
      </c>
    </row>
    <row r="3520" spans="9:9" x14ac:dyDescent="0.25">
      <c r="I3520">
        <f t="shared" si="54"/>
        <v>1900</v>
      </c>
    </row>
    <row r="3521" spans="9:9" x14ac:dyDescent="0.25">
      <c r="I3521">
        <f t="shared" si="54"/>
        <v>1900</v>
      </c>
    </row>
    <row r="3522" spans="9:9" x14ac:dyDescent="0.25">
      <c r="I3522">
        <f t="shared" si="54"/>
        <v>1900</v>
      </c>
    </row>
    <row r="3523" spans="9:9" x14ac:dyDescent="0.25">
      <c r="I3523">
        <f t="shared" si="54"/>
        <v>1900</v>
      </c>
    </row>
    <row r="3524" spans="9:9" x14ac:dyDescent="0.25">
      <c r="I3524">
        <f t="shared" ref="I3524:I3587" si="55">IFERROR(YEAR(E3524),"")</f>
        <v>1900</v>
      </c>
    </row>
    <row r="3525" spans="9:9" x14ac:dyDescent="0.25">
      <c r="I3525">
        <f t="shared" si="55"/>
        <v>1900</v>
      </c>
    </row>
    <row r="3526" spans="9:9" x14ac:dyDescent="0.25">
      <c r="I3526">
        <f t="shared" si="55"/>
        <v>1900</v>
      </c>
    </row>
    <row r="3527" spans="9:9" x14ac:dyDescent="0.25">
      <c r="I3527">
        <f t="shared" si="55"/>
        <v>1900</v>
      </c>
    </row>
    <row r="3528" spans="9:9" x14ac:dyDescent="0.25">
      <c r="I3528">
        <f t="shared" si="55"/>
        <v>1900</v>
      </c>
    </row>
    <row r="3529" spans="9:9" x14ac:dyDescent="0.25">
      <c r="I3529">
        <f t="shared" si="55"/>
        <v>1900</v>
      </c>
    </row>
    <row r="3530" spans="9:9" x14ac:dyDescent="0.25">
      <c r="I3530">
        <f t="shared" si="55"/>
        <v>1900</v>
      </c>
    </row>
    <row r="3531" spans="9:9" x14ac:dyDescent="0.25">
      <c r="I3531">
        <f t="shared" si="55"/>
        <v>1900</v>
      </c>
    </row>
    <row r="3532" spans="9:9" x14ac:dyDescent="0.25">
      <c r="I3532">
        <f t="shared" si="55"/>
        <v>1900</v>
      </c>
    </row>
    <row r="3533" spans="9:9" x14ac:dyDescent="0.25">
      <c r="I3533">
        <f t="shared" si="55"/>
        <v>1900</v>
      </c>
    </row>
    <row r="3534" spans="9:9" x14ac:dyDescent="0.25">
      <c r="I3534">
        <f t="shared" si="55"/>
        <v>1900</v>
      </c>
    </row>
    <row r="3535" spans="9:9" x14ac:dyDescent="0.25">
      <c r="I3535">
        <f t="shared" si="55"/>
        <v>1900</v>
      </c>
    </row>
    <row r="3536" spans="9:9" x14ac:dyDescent="0.25">
      <c r="I3536">
        <f t="shared" si="55"/>
        <v>1900</v>
      </c>
    </row>
    <row r="3537" spans="9:9" x14ac:dyDescent="0.25">
      <c r="I3537">
        <f t="shared" si="55"/>
        <v>1900</v>
      </c>
    </row>
    <row r="3538" spans="9:9" x14ac:dyDescent="0.25">
      <c r="I3538">
        <f t="shared" si="55"/>
        <v>1900</v>
      </c>
    </row>
    <row r="3539" spans="9:9" x14ac:dyDescent="0.25">
      <c r="I3539">
        <f t="shared" si="55"/>
        <v>1900</v>
      </c>
    </row>
    <row r="3540" spans="9:9" x14ac:dyDescent="0.25">
      <c r="I3540">
        <f t="shared" si="55"/>
        <v>1900</v>
      </c>
    </row>
    <row r="3541" spans="9:9" x14ac:dyDescent="0.25">
      <c r="I3541">
        <f t="shared" si="55"/>
        <v>1900</v>
      </c>
    </row>
    <row r="3542" spans="9:9" x14ac:dyDescent="0.25">
      <c r="I3542">
        <f t="shared" si="55"/>
        <v>1900</v>
      </c>
    </row>
    <row r="3543" spans="9:9" x14ac:dyDescent="0.25">
      <c r="I3543">
        <f t="shared" si="55"/>
        <v>1900</v>
      </c>
    </row>
    <row r="3544" spans="9:9" x14ac:dyDescent="0.25">
      <c r="I3544">
        <f t="shared" si="55"/>
        <v>1900</v>
      </c>
    </row>
    <row r="3545" spans="9:9" x14ac:dyDescent="0.25">
      <c r="I3545">
        <f t="shared" si="55"/>
        <v>1900</v>
      </c>
    </row>
    <row r="3546" spans="9:9" x14ac:dyDescent="0.25">
      <c r="I3546">
        <f t="shared" si="55"/>
        <v>1900</v>
      </c>
    </row>
    <row r="3547" spans="9:9" x14ac:dyDescent="0.25">
      <c r="I3547">
        <f t="shared" si="55"/>
        <v>1900</v>
      </c>
    </row>
    <row r="3548" spans="9:9" x14ac:dyDescent="0.25">
      <c r="I3548">
        <f t="shared" si="55"/>
        <v>1900</v>
      </c>
    </row>
    <row r="3549" spans="9:9" x14ac:dyDescent="0.25">
      <c r="I3549">
        <f t="shared" si="55"/>
        <v>1900</v>
      </c>
    </row>
    <row r="3550" spans="9:9" x14ac:dyDescent="0.25">
      <c r="I3550">
        <f t="shared" si="55"/>
        <v>1900</v>
      </c>
    </row>
    <row r="3551" spans="9:9" x14ac:dyDescent="0.25">
      <c r="I3551">
        <f t="shared" si="55"/>
        <v>1900</v>
      </c>
    </row>
    <row r="3552" spans="9:9" x14ac:dyDescent="0.25">
      <c r="I3552">
        <f t="shared" si="55"/>
        <v>1900</v>
      </c>
    </row>
    <row r="3553" spans="9:9" x14ac:dyDescent="0.25">
      <c r="I3553">
        <f t="shared" si="55"/>
        <v>1900</v>
      </c>
    </row>
    <row r="3554" spans="9:9" x14ac:dyDescent="0.25">
      <c r="I3554">
        <f t="shared" si="55"/>
        <v>1900</v>
      </c>
    </row>
    <row r="3555" spans="9:9" x14ac:dyDescent="0.25">
      <c r="I3555">
        <f t="shared" si="55"/>
        <v>1900</v>
      </c>
    </row>
    <row r="3556" spans="9:9" x14ac:dyDescent="0.25">
      <c r="I3556">
        <f t="shared" si="55"/>
        <v>1900</v>
      </c>
    </row>
    <row r="3557" spans="9:9" x14ac:dyDescent="0.25">
      <c r="I3557">
        <f t="shared" si="55"/>
        <v>1900</v>
      </c>
    </row>
    <row r="3558" spans="9:9" x14ac:dyDescent="0.25">
      <c r="I3558">
        <f t="shared" si="55"/>
        <v>1900</v>
      </c>
    </row>
    <row r="3559" spans="9:9" x14ac:dyDescent="0.25">
      <c r="I3559">
        <f t="shared" si="55"/>
        <v>1900</v>
      </c>
    </row>
    <row r="3560" spans="9:9" x14ac:dyDescent="0.25">
      <c r="I3560">
        <f t="shared" si="55"/>
        <v>1900</v>
      </c>
    </row>
    <row r="3561" spans="9:9" x14ac:dyDescent="0.25">
      <c r="I3561">
        <f t="shared" si="55"/>
        <v>1900</v>
      </c>
    </row>
    <row r="3562" spans="9:9" x14ac:dyDescent="0.25">
      <c r="I3562">
        <f t="shared" si="55"/>
        <v>1900</v>
      </c>
    </row>
    <row r="3563" spans="9:9" x14ac:dyDescent="0.25">
      <c r="I3563">
        <f t="shared" si="55"/>
        <v>1900</v>
      </c>
    </row>
    <row r="3564" spans="9:9" x14ac:dyDescent="0.25">
      <c r="I3564">
        <f t="shared" si="55"/>
        <v>1900</v>
      </c>
    </row>
    <row r="3565" spans="9:9" x14ac:dyDescent="0.25">
      <c r="I3565">
        <f t="shared" si="55"/>
        <v>1900</v>
      </c>
    </row>
    <row r="3566" spans="9:9" x14ac:dyDescent="0.25">
      <c r="I3566">
        <f t="shared" si="55"/>
        <v>1900</v>
      </c>
    </row>
    <row r="3567" spans="9:9" x14ac:dyDescent="0.25">
      <c r="I3567">
        <f t="shared" si="55"/>
        <v>1900</v>
      </c>
    </row>
    <row r="3568" spans="9:9" x14ac:dyDescent="0.25">
      <c r="I3568">
        <f t="shared" si="55"/>
        <v>1900</v>
      </c>
    </row>
    <row r="3569" spans="9:9" x14ac:dyDescent="0.25">
      <c r="I3569">
        <f t="shared" si="55"/>
        <v>1900</v>
      </c>
    </row>
    <row r="3570" spans="9:9" x14ac:dyDescent="0.25">
      <c r="I3570">
        <f t="shared" si="55"/>
        <v>1900</v>
      </c>
    </row>
    <row r="3571" spans="9:9" x14ac:dyDescent="0.25">
      <c r="I3571">
        <f t="shared" si="55"/>
        <v>1900</v>
      </c>
    </row>
    <row r="3572" spans="9:9" x14ac:dyDescent="0.25">
      <c r="I3572">
        <f t="shared" si="55"/>
        <v>1900</v>
      </c>
    </row>
    <row r="3573" spans="9:9" x14ac:dyDescent="0.25">
      <c r="I3573">
        <f t="shared" si="55"/>
        <v>1900</v>
      </c>
    </row>
    <row r="3574" spans="9:9" x14ac:dyDescent="0.25">
      <c r="I3574">
        <f t="shared" si="55"/>
        <v>1900</v>
      </c>
    </row>
    <row r="3575" spans="9:9" x14ac:dyDescent="0.25">
      <c r="I3575">
        <f t="shared" si="55"/>
        <v>1900</v>
      </c>
    </row>
    <row r="3576" spans="9:9" x14ac:dyDescent="0.25">
      <c r="I3576">
        <f t="shared" si="55"/>
        <v>1900</v>
      </c>
    </row>
    <row r="3577" spans="9:9" x14ac:dyDescent="0.25">
      <c r="I3577">
        <f t="shared" si="55"/>
        <v>1900</v>
      </c>
    </row>
    <row r="3578" spans="9:9" x14ac:dyDescent="0.25">
      <c r="I3578">
        <f t="shared" si="55"/>
        <v>1900</v>
      </c>
    </row>
    <row r="3579" spans="9:9" x14ac:dyDescent="0.25">
      <c r="I3579">
        <f t="shared" si="55"/>
        <v>1900</v>
      </c>
    </row>
    <row r="3580" spans="9:9" x14ac:dyDescent="0.25">
      <c r="I3580">
        <f t="shared" si="55"/>
        <v>1900</v>
      </c>
    </row>
    <row r="3581" spans="9:9" x14ac:dyDescent="0.25">
      <c r="I3581">
        <f t="shared" si="55"/>
        <v>1900</v>
      </c>
    </row>
    <row r="3582" spans="9:9" x14ac:dyDescent="0.25">
      <c r="I3582">
        <f t="shared" si="55"/>
        <v>1900</v>
      </c>
    </row>
    <row r="3583" spans="9:9" x14ac:dyDescent="0.25">
      <c r="I3583">
        <f t="shared" si="55"/>
        <v>1900</v>
      </c>
    </row>
    <row r="3584" spans="9:9" x14ac:dyDescent="0.25">
      <c r="I3584">
        <f t="shared" si="55"/>
        <v>1900</v>
      </c>
    </row>
    <row r="3585" spans="9:9" x14ac:dyDescent="0.25">
      <c r="I3585">
        <f t="shared" si="55"/>
        <v>1900</v>
      </c>
    </row>
    <row r="3586" spans="9:9" x14ac:dyDescent="0.25">
      <c r="I3586">
        <f t="shared" si="55"/>
        <v>1900</v>
      </c>
    </row>
    <row r="3587" spans="9:9" x14ac:dyDescent="0.25">
      <c r="I3587">
        <f t="shared" si="55"/>
        <v>1900</v>
      </c>
    </row>
    <row r="3588" spans="9:9" x14ac:dyDescent="0.25">
      <c r="I3588">
        <f t="shared" ref="I3588:I3651" si="56">IFERROR(YEAR(E3588),"")</f>
        <v>1900</v>
      </c>
    </row>
    <row r="3589" spans="9:9" x14ac:dyDescent="0.25">
      <c r="I3589">
        <f t="shared" si="56"/>
        <v>1900</v>
      </c>
    </row>
    <row r="3590" spans="9:9" x14ac:dyDescent="0.25">
      <c r="I3590">
        <f t="shared" si="56"/>
        <v>1900</v>
      </c>
    </row>
    <row r="3591" spans="9:9" x14ac:dyDescent="0.25">
      <c r="I3591">
        <f t="shared" si="56"/>
        <v>1900</v>
      </c>
    </row>
    <row r="3592" spans="9:9" x14ac:dyDescent="0.25">
      <c r="I3592">
        <f t="shared" si="56"/>
        <v>1900</v>
      </c>
    </row>
    <row r="3593" spans="9:9" x14ac:dyDescent="0.25">
      <c r="I3593">
        <f t="shared" si="56"/>
        <v>1900</v>
      </c>
    </row>
    <row r="3594" spans="9:9" x14ac:dyDescent="0.25">
      <c r="I3594">
        <f t="shared" si="56"/>
        <v>1900</v>
      </c>
    </row>
    <row r="3595" spans="9:9" x14ac:dyDescent="0.25">
      <c r="I3595">
        <f t="shared" si="56"/>
        <v>1900</v>
      </c>
    </row>
    <row r="3596" spans="9:9" x14ac:dyDescent="0.25">
      <c r="I3596">
        <f t="shared" si="56"/>
        <v>1900</v>
      </c>
    </row>
    <row r="3597" spans="9:9" x14ac:dyDescent="0.25">
      <c r="I3597">
        <f t="shared" si="56"/>
        <v>1900</v>
      </c>
    </row>
    <row r="3598" spans="9:9" x14ac:dyDescent="0.25">
      <c r="I3598">
        <f t="shared" si="56"/>
        <v>1900</v>
      </c>
    </row>
    <row r="3599" spans="9:9" x14ac:dyDescent="0.25">
      <c r="I3599">
        <f t="shared" si="56"/>
        <v>1900</v>
      </c>
    </row>
    <row r="3600" spans="9:9" x14ac:dyDescent="0.25">
      <c r="I3600">
        <f t="shared" si="56"/>
        <v>1900</v>
      </c>
    </row>
    <row r="3601" spans="9:9" x14ac:dyDescent="0.25">
      <c r="I3601">
        <f t="shared" si="56"/>
        <v>1900</v>
      </c>
    </row>
    <row r="3602" spans="9:9" x14ac:dyDescent="0.25">
      <c r="I3602">
        <f t="shared" si="56"/>
        <v>1900</v>
      </c>
    </row>
    <row r="3603" spans="9:9" x14ac:dyDescent="0.25">
      <c r="I3603">
        <f t="shared" si="56"/>
        <v>1900</v>
      </c>
    </row>
    <row r="3604" spans="9:9" x14ac:dyDescent="0.25">
      <c r="I3604">
        <f t="shared" si="56"/>
        <v>1900</v>
      </c>
    </row>
    <row r="3605" spans="9:9" x14ac:dyDescent="0.25">
      <c r="I3605">
        <f t="shared" si="56"/>
        <v>1900</v>
      </c>
    </row>
    <row r="3606" spans="9:9" x14ac:dyDescent="0.25">
      <c r="I3606">
        <f t="shared" si="56"/>
        <v>1900</v>
      </c>
    </row>
    <row r="3607" spans="9:9" x14ac:dyDescent="0.25">
      <c r="I3607">
        <f t="shared" si="56"/>
        <v>1900</v>
      </c>
    </row>
    <row r="3608" spans="9:9" x14ac:dyDescent="0.25">
      <c r="I3608">
        <f t="shared" si="56"/>
        <v>1900</v>
      </c>
    </row>
    <row r="3609" spans="9:9" x14ac:dyDescent="0.25">
      <c r="I3609">
        <f t="shared" si="56"/>
        <v>1900</v>
      </c>
    </row>
    <row r="3610" spans="9:9" x14ac:dyDescent="0.25">
      <c r="I3610">
        <f t="shared" si="56"/>
        <v>1900</v>
      </c>
    </row>
    <row r="3611" spans="9:9" x14ac:dyDescent="0.25">
      <c r="I3611">
        <f t="shared" si="56"/>
        <v>1900</v>
      </c>
    </row>
    <row r="3612" spans="9:9" x14ac:dyDescent="0.25">
      <c r="I3612">
        <f t="shared" si="56"/>
        <v>1900</v>
      </c>
    </row>
    <row r="3613" spans="9:9" x14ac:dyDescent="0.25">
      <c r="I3613">
        <f t="shared" si="56"/>
        <v>1900</v>
      </c>
    </row>
    <row r="3614" spans="9:9" x14ac:dyDescent="0.25">
      <c r="I3614">
        <f t="shared" si="56"/>
        <v>1900</v>
      </c>
    </row>
    <row r="3615" spans="9:9" x14ac:dyDescent="0.25">
      <c r="I3615">
        <f t="shared" si="56"/>
        <v>1900</v>
      </c>
    </row>
    <row r="3616" spans="9:9" x14ac:dyDescent="0.25">
      <c r="I3616">
        <f t="shared" si="56"/>
        <v>1900</v>
      </c>
    </row>
    <row r="3617" spans="9:9" x14ac:dyDescent="0.25">
      <c r="I3617">
        <f t="shared" si="56"/>
        <v>1900</v>
      </c>
    </row>
    <row r="3618" spans="9:9" x14ac:dyDescent="0.25">
      <c r="I3618">
        <f t="shared" si="56"/>
        <v>1900</v>
      </c>
    </row>
    <row r="3619" spans="9:9" x14ac:dyDescent="0.25">
      <c r="I3619">
        <f t="shared" si="56"/>
        <v>1900</v>
      </c>
    </row>
    <row r="3620" spans="9:9" x14ac:dyDescent="0.25">
      <c r="I3620">
        <f t="shared" si="56"/>
        <v>1900</v>
      </c>
    </row>
    <row r="3621" spans="9:9" x14ac:dyDescent="0.25">
      <c r="I3621">
        <f t="shared" si="56"/>
        <v>1900</v>
      </c>
    </row>
    <row r="3622" spans="9:9" x14ac:dyDescent="0.25">
      <c r="I3622">
        <f t="shared" si="56"/>
        <v>1900</v>
      </c>
    </row>
    <row r="3623" spans="9:9" x14ac:dyDescent="0.25">
      <c r="I3623">
        <f t="shared" si="56"/>
        <v>1900</v>
      </c>
    </row>
    <row r="3624" spans="9:9" x14ac:dyDescent="0.25">
      <c r="I3624">
        <f t="shared" si="56"/>
        <v>1900</v>
      </c>
    </row>
    <row r="3625" spans="9:9" x14ac:dyDescent="0.25">
      <c r="I3625">
        <f t="shared" si="56"/>
        <v>1900</v>
      </c>
    </row>
    <row r="3626" spans="9:9" x14ac:dyDescent="0.25">
      <c r="I3626">
        <f t="shared" si="56"/>
        <v>1900</v>
      </c>
    </row>
    <row r="3627" spans="9:9" x14ac:dyDescent="0.25">
      <c r="I3627">
        <f t="shared" si="56"/>
        <v>1900</v>
      </c>
    </row>
    <row r="3628" spans="9:9" x14ac:dyDescent="0.25">
      <c r="I3628">
        <f t="shared" si="56"/>
        <v>1900</v>
      </c>
    </row>
    <row r="3629" spans="9:9" x14ac:dyDescent="0.25">
      <c r="I3629">
        <f t="shared" si="56"/>
        <v>1900</v>
      </c>
    </row>
    <row r="3630" spans="9:9" x14ac:dyDescent="0.25">
      <c r="I3630">
        <f t="shared" si="56"/>
        <v>1900</v>
      </c>
    </row>
    <row r="3631" spans="9:9" x14ac:dyDescent="0.25">
      <c r="I3631">
        <f t="shared" si="56"/>
        <v>1900</v>
      </c>
    </row>
    <row r="3632" spans="9:9" x14ac:dyDescent="0.25">
      <c r="I3632">
        <f t="shared" si="56"/>
        <v>1900</v>
      </c>
    </row>
    <row r="3633" spans="9:9" x14ac:dyDescent="0.25">
      <c r="I3633">
        <f t="shared" si="56"/>
        <v>1900</v>
      </c>
    </row>
    <row r="3634" spans="9:9" x14ac:dyDescent="0.25">
      <c r="I3634">
        <f t="shared" si="56"/>
        <v>1900</v>
      </c>
    </row>
    <row r="3635" spans="9:9" x14ac:dyDescent="0.25">
      <c r="I3635">
        <f t="shared" si="56"/>
        <v>1900</v>
      </c>
    </row>
    <row r="3636" spans="9:9" x14ac:dyDescent="0.25">
      <c r="I3636">
        <f t="shared" si="56"/>
        <v>1900</v>
      </c>
    </row>
    <row r="3637" spans="9:9" x14ac:dyDescent="0.25">
      <c r="I3637">
        <f t="shared" si="56"/>
        <v>1900</v>
      </c>
    </row>
    <row r="3638" spans="9:9" x14ac:dyDescent="0.25">
      <c r="I3638">
        <f t="shared" si="56"/>
        <v>1900</v>
      </c>
    </row>
    <row r="3639" spans="9:9" x14ac:dyDescent="0.25">
      <c r="I3639">
        <f t="shared" si="56"/>
        <v>1900</v>
      </c>
    </row>
    <row r="3640" spans="9:9" x14ac:dyDescent="0.25">
      <c r="I3640">
        <f t="shared" si="56"/>
        <v>1900</v>
      </c>
    </row>
    <row r="3641" spans="9:9" x14ac:dyDescent="0.25">
      <c r="I3641">
        <f t="shared" si="56"/>
        <v>1900</v>
      </c>
    </row>
    <row r="3642" spans="9:9" x14ac:dyDescent="0.25">
      <c r="I3642">
        <f t="shared" si="56"/>
        <v>1900</v>
      </c>
    </row>
    <row r="3643" spans="9:9" x14ac:dyDescent="0.25">
      <c r="I3643">
        <f t="shared" si="56"/>
        <v>1900</v>
      </c>
    </row>
    <row r="3644" spans="9:9" x14ac:dyDescent="0.25">
      <c r="I3644">
        <f t="shared" si="56"/>
        <v>1900</v>
      </c>
    </row>
    <row r="3645" spans="9:9" x14ac:dyDescent="0.25">
      <c r="I3645">
        <f t="shared" si="56"/>
        <v>1900</v>
      </c>
    </row>
    <row r="3646" spans="9:9" x14ac:dyDescent="0.25">
      <c r="I3646">
        <f t="shared" si="56"/>
        <v>1900</v>
      </c>
    </row>
    <row r="3647" spans="9:9" x14ac:dyDescent="0.25">
      <c r="I3647">
        <f t="shared" si="56"/>
        <v>1900</v>
      </c>
    </row>
    <row r="3648" spans="9:9" x14ac:dyDescent="0.25">
      <c r="I3648">
        <f t="shared" si="56"/>
        <v>1900</v>
      </c>
    </row>
    <row r="3649" spans="9:9" x14ac:dyDescent="0.25">
      <c r="I3649">
        <f t="shared" si="56"/>
        <v>1900</v>
      </c>
    </row>
    <row r="3650" spans="9:9" x14ac:dyDescent="0.25">
      <c r="I3650">
        <f t="shared" si="56"/>
        <v>1900</v>
      </c>
    </row>
    <row r="3651" spans="9:9" x14ac:dyDescent="0.25">
      <c r="I3651">
        <f t="shared" si="56"/>
        <v>1900</v>
      </c>
    </row>
    <row r="3652" spans="9:9" x14ac:dyDescent="0.25">
      <c r="I3652">
        <f t="shared" ref="I3652:I3715" si="57">IFERROR(YEAR(E3652),"")</f>
        <v>1900</v>
      </c>
    </row>
    <row r="3653" spans="9:9" x14ac:dyDescent="0.25">
      <c r="I3653">
        <f t="shared" si="57"/>
        <v>1900</v>
      </c>
    </row>
    <row r="3654" spans="9:9" x14ac:dyDescent="0.25">
      <c r="I3654">
        <f t="shared" si="57"/>
        <v>1900</v>
      </c>
    </row>
    <row r="3655" spans="9:9" x14ac:dyDescent="0.25">
      <c r="I3655">
        <f t="shared" si="57"/>
        <v>1900</v>
      </c>
    </row>
    <row r="3656" spans="9:9" x14ac:dyDescent="0.25">
      <c r="I3656">
        <f t="shared" si="57"/>
        <v>1900</v>
      </c>
    </row>
    <row r="3657" spans="9:9" x14ac:dyDescent="0.25">
      <c r="I3657">
        <f t="shared" si="57"/>
        <v>1900</v>
      </c>
    </row>
    <row r="3658" spans="9:9" x14ac:dyDescent="0.25">
      <c r="I3658">
        <f t="shared" si="57"/>
        <v>1900</v>
      </c>
    </row>
    <row r="3659" spans="9:9" x14ac:dyDescent="0.25">
      <c r="I3659">
        <f t="shared" si="57"/>
        <v>1900</v>
      </c>
    </row>
    <row r="3660" spans="9:9" x14ac:dyDescent="0.25">
      <c r="I3660">
        <f t="shared" si="57"/>
        <v>1900</v>
      </c>
    </row>
    <row r="3661" spans="9:9" x14ac:dyDescent="0.25">
      <c r="I3661">
        <f t="shared" si="57"/>
        <v>1900</v>
      </c>
    </row>
    <row r="3662" spans="9:9" x14ac:dyDescent="0.25">
      <c r="I3662">
        <f t="shared" si="57"/>
        <v>1900</v>
      </c>
    </row>
    <row r="3663" spans="9:9" x14ac:dyDescent="0.25">
      <c r="I3663">
        <f t="shared" si="57"/>
        <v>1900</v>
      </c>
    </row>
    <row r="3664" spans="9:9" x14ac:dyDescent="0.25">
      <c r="I3664">
        <f t="shared" si="57"/>
        <v>1900</v>
      </c>
    </row>
    <row r="3665" spans="9:9" x14ac:dyDescent="0.25">
      <c r="I3665">
        <f t="shared" si="57"/>
        <v>1900</v>
      </c>
    </row>
    <row r="3666" spans="9:9" x14ac:dyDescent="0.25">
      <c r="I3666">
        <f t="shared" si="57"/>
        <v>1900</v>
      </c>
    </row>
    <row r="3667" spans="9:9" x14ac:dyDescent="0.25">
      <c r="I3667">
        <f t="shared" si="57"/>
        <v>1900</v>
      </c>
    </row>
    <row r="3668" spans="9:9" x14ac:dyDescent="0.25">
      <c r="I3668">
        <f t="shared" si="57"/>
        <v>1900</v>
      </c>
    </row>
    <row r="3669" spans="9:9" x14ac:dyDescent="0.25">
      <c r="I3669">
        <f t="shared" si="57"/>
        <v>1900</v>
      </c>
    </row>
    <row r="3670" spans="9:9" x14ac:dyDescent="0.25">
      <c r="I3670">
        <f t="shared" si="57"/>
        <v>1900</v>
      </c>
    </row>
    <row r="3671" spans="9:9" x14ac:dyDescent="0.25">
      <c r="I3671">
        <f t="shared" si="57"/>
        <v>1900</v>
      </c>
    </row>
    <row r="3672" spans="9:9" x14ac:dyDescent="0.25">
      <c r="I3672">
        <f t="shared" si="57"/>
        <v>1900</v>
      </c>
    </row>
    <row r="3673" spans="9:9" x14ac:dyDescent="0.25">
      <c r="I3673">
        <f t="shared" si="57"/>
        <v>1900</v>
      </c>
    </row>
    <row r="3674" spans="9:9" x14ac:dyDescent="0.25">
      <c r="I3674">
        <f t="shared" si="57"/>
        <v>1900</v>
      </c>
    </row>
    <row r="3675" spans="9:9" x14ac:dyDescent="0.25">
      <c r="I3675">
        <f t="shared" si="57"/>
        <v>1900</v>
      </c>
    </row>
    <row r="3676" spans="9:9" x14ac:dyDescent="0.25">
      <c r="I3676">
        <f t="shared" si="57"/>
        <v>1900</v>
      </c>
    </row>
    <row r="3677" spans="9:9" x14ac:dyDescent="0.25">
      <c r="I3677">
        <f t="shared" si="57"/>
        <v>1900</v>
      </c>
    </row>
    <row r="3678" spans="9:9" x14ac:dyDescent="0.25">
      <c r="I3678">
        <f t="shared" si="57"/>
        <v>1900</v>
      </c>
    </row>
    <row r="3679" spans="9:9" x14ac:dyDescent="0.25">
      <c r="I3679">
        <f t="shared" si="57"/>
        <v>1900</v>
      </c>
    </row>
    <row r="3680" spans="9:9" x14ac:dyDescent="0.25">
      <c r="I3680">
        <f t="shared" si="57"/>
        <v>1900</v>
      </c>
    </row>
    <row r="3681" spans="9:9" x14ac:dyDescent="0.25">
      <c r="I3681">
        <f t="shared" si="57"/>
        <v>1900</v>
      </c>
    </row>
    <row r="3682" spans="9:9" x14ac:dyDescent="0.25">
      <c r="I3682">
        <f t="shared" si="57"/>
        <v>1900</v>
      </c>
    </row>
    <row r="3683" spans="9:9" x14ac:dyDescent="0.25">
      <c r="I3683">
        <f t="shared" si="57"/>
        <v>1900</v>
      </c>
    </row>
    <row r="3684" spans="9:9" x14ac:dyDescent="0.25">
      <c r="I3684">
        <f t="shared" si="57"/>
        <v>1900</v>
      </c>
    </row>
    <row r="3685" spans="9:9" x14ac:dyDescent="0.25">
      <c r="I3685">
        <f t="shared" si="57"/>
        <v>1900</v>
      </c>
    </row>
    <row r="3686" spans="9:9" x14ac:dyDescent="0.25">
      <c r="I3686">
        <f t="shared" si="57"/>
        <v>1900</v>
      </c>
    </row>
    <row r="3687" spans="9:9" x14ac:dyDescent="0.25">
      <c r="I3687">
        <f t="shared" si="57"/>
        <v>1900</v>
      </c>
    </row>
    <row r="3688" spans="9:9" x14ac:dyDescent="0.25">
      <c r="I3688">
        <f t="shared" si="57"/>
        <v>1900</v>
      </c>
    </row>
    <row r="3689" spans="9:9" x14ac:dyDescent="0.25">
      <c r="I3689">
        <f t="shared" si="57"/>
        <v>1900</v>
      </c>
    </row>
    <row r="3690" spans="9:9" x14ac:dyDescent="0.25">
      <c r="I3690">
        <f t="shared" si="57"/>
        <v>1900</v>
      </c>
    </row>
    <row r="3691" spans="9:9" x14ac:dyDescent="0.25">
      <c r="I3691">
        <f t="shared" si="57"/>
        <v>1900</v>
      </c>
    </row>
    <row r="3692" spans="9:9" x14ac:dyDescent="0.25">
      <c r="I3692">
        <f t="shared" si="57"/>
        <v>1900</v>
      </c>
    </row>
    <row r="3693" spans="9:9" x14ac:dyDescent="0.25">
      <c r="I3693">
        <f t="shared" si="57"/>
        <v>1900</v>
      </c>
    </row>
    <row r="3694" spans="9:9" x14ac:dyDescent="0.25">
      <c r="I3694">
        <f t="shared" si="57"/>
        <v>1900</v>
      </c>
    </row>
    <row r="3695" spans="9:9" x14ac:dyDescent="0.25">
      <c r="I3695">
        <f t="shared" si="57"/>
        <v>1900</v>
      </c>
    </row>
    <row r="3696" spans="9:9" x14ac:dyDescent="0.25">
      <c r="I3696">
        <f t="shared" si="57"/>
        <v>1900</v>
      </c>
    </row>
    <row r="3697" spans="9:9" x14ac:dyDescent="0.25">
      <c r="I3697">
        <f t="shared" si="57"/>
        <v>1900</v>
      </c>
    </row>
    <row r="3698" spans="9:9" x14ac:dyDescent="0.25">
      <c r="I3698">
        <f t="shared" si="57"/>
        <v>1900</v>
      </c>
    </row>
    <row r="3699" spans="9:9" x14ac:dyDescent="0.25">
      <c r="I3699">
        <f t="shared" si="57"/>
        <v>1900</v>
      </c>
    </row>
    <row r="3700" spans="9:9" x14ac:dyDescent="0.25">
      <c r="I3700">
        <f t="shared" si="57"/>
        <v>1900</v>
      </c>
    </row>
    <row r="3701" spans="9:9" x14ac:dyDescent="0.25">
      <c r="I3701">
        <f t="shared" si="57"/>
        <v>1900</v>
      </c>
    </row>
    <row r="3702" spans="9:9" x14ac:dyDescent="0.25">
      <c r="I3702">
        <f t="shared" si="57"/>
        <v>1900</v>
      </c>
    </row>
    <row r="3703" spans="9:9" x14ac:dyDescent="0.25">
      <c r="I3703">
        <f t="shared" si="57"/>
        <v>1900</v>
      </c>
    </row>
    <row r="3704" spans="9:9" x14ac:dyDescent="0.25">
      <c r="I3704">
        <f t="shared" si="57"/>
        <v>1900</v>
      </c>
    </row>
    <row r="3705" spans="9:9" x14ac:dyDescent="0.25">
      <c r="I3705">
        <f t="shared" si="57"/>
        <v>1900</v>
      </c>
    </row>
    <row r="3706" spans="9:9" x14ac:dyDescent="0.25">
      <c r="I3706">
        <f t="shared" si="57"/>
        <v>1900</v>
      </c>
    </row>
    <row r="3707" spans="9:9" x14ac:dyDescent="0.25">
      <c r="I3707">
        <f t="shared" si="57"/>
        <v>1900</v>
      </c>
    </row>
    <row r="3708" spans="9:9" x14ac:dyDescent="0.25">
      <c r="I3708">
        <f t="shared" si="57"/>
        <v>1900</v>
      </c>
    </row>
    <row r="3709" spans="9:9" x14ac:dyDescent="0.25">
      <c r="I3709">
        <f t="shared" si="57"/>
        <v>1900</v>
      </c>
    </row>
    <row r="3710" spans="9:9" x14ac:dyDescent="0.25">
      <c r="I3710">
        <f t="shared" si="57"/>
        <v>1900</v>
      </c>
    </row>
    <row r="3711" spans="9:9" x14ac:dyDescent="0.25">
      <c r="I3711">
        <f t="shared" si="57"/>
        <v>1900</v>
      </c>
    </row>
    <row r="3712" spans="9:9" x14ac:dyDescent="0.25">
      <c r="I3712">
        <f t="shared" si="57"/>
        <v>1900</v>
      </c>
    </row>
    <row r="3713" spans="9:9" x14ac:dyDescent="0.25">
      <c r="I3713">
        <f t="shared" si="57"/>
        <v>1900</v>
      </c>
    </row>
    <row r="3714" spans="9:9" x14ac:dyDescent="0.25">
      <c r="I3714">
        <f t="shared" si="57"/>
        <v>1900</v>
      </c>
    </row>
    <row r="3715" spans="9:9" x14ac:dyDescent="0.25">
      <c r="I3715">
        <f t="shared" si="57"/>
        <v>1900</v>
      </c>
    </row>
    <row r="3716" spans="9:9" x14ac:dyDescent="0.25">
      <c r="I3716">
        <f t="shared" ref="I3716:I3779" si="58">IFERROR(YEAR(E3716),"")</f>
        <v>1900</v>
      </c>
    </row>
    <row r="3717" spans="9:9" x14ac:dyDescent="0.25">
      <c r="I3717">
        <f t="shared" si="58"/>
        <v>1900</v>
      </c>
    </row>
    <row r="3718" spans="9:9" x14ac:dyDescent="0.25">
      <c r="I3718">
        <f t="shared" si="58"/>
        <v>1900</v>
      </c>
    </row>
    <row r="3719" spans="9:9" x14ac:dyDescent="0.25">
      <c r="I3719">
        <f t="shared" si="58"/>
        <v>1900</v>
      </c>
    </row>
    <row r="3720" spans="9:9" x14ac:dyDescent="0.25">
      <c r="I3720">
        <f t="shared" si="58"/>
        <v>1900</v>
      </c>
    </row>
    <row r="3721" spans="9:9" x14ac:dyDescent="0.25">
      <c r="I3721">
        <f t="shared" si="58"/>
        <v>1900</v>
      </c>
    </row>
    <row r="3722" spans="9:9" x14ac:dyDescent="0.25">
      <c r="I3722">
        <f t="shared" si="58"/>
        <v>1900</v>
      </c>
    </row>
    <row r="3723" spans="9:9" x14ac:dyDescent="0.25">
      <c r="I3723">
        <f t="shared" si="58"/>
        <v>1900</v>
      </c>
    </row>
    <row r="3724" spans="9:9" x14ac:dyDescent="0.25">
      <c r="I3724">
        <f t="shared" si="58"/>
        <v>1900</v>
      </c>
    </row>
    <row r="3725" spans="9:9" x14ac:dyDescent="0.25">
      <c r="I3725">
        <f t="shared" si="58"/>
        <v>1900</v>
      </c>
    </row>
    <row r="3726" spans="9:9" x14ac:dyDescent="0.25">
      <c r="I3726">
        <f t="shared" si="58"/>
        <v>1900</v>
      </c>
    </row>
    <row r="3727" spans="9:9" x14ac:dyDescent="0.25">
      <c r="I3727">
        <f t="shared" si="58"/>
        <v>1900</v>
      </c>
    </row>
    <row r="3728" spans="9:9" x14ac:dyDescent="0.25">
      <c r="I3728">
        <f t="shared" si="58"/>
        <v>1900</v>
      </c>
    </row>
    <row r="3729" spans="9:9" x14ac:dyDescent="0.25">
      <c r="I3729">
        <f t="shared" si="58"/>
        <v>1900</v>
      </c>
    </row>
    <row r="3730" spans="9:9" x14ac:dyDescent="0.25">
      <c r="I3730">
        <f t="shared" si="58"/>
        <v>1900</v>
      </c>
    </row>
    <row r="3731" spans="9:9" x14ac:dyDescent="0.25">
      <c r="I3731">
        <f t="shared" si="58"/>
        <v>1900</v>
      </c>
    </row>
    <row r="3732" spans="9:9" x14ac:dyDescent="0.25">
      <c r="I3732">
        <f t="shared" si="58"/>
        <v>1900</v>
      </c>
    </row>
    <row r="3733" spans="9:9" x14ac:dyDescent="0.25">
      <c r="I3733">
        <f t="shared" si="58"/>
        <v>1900</v>
      </c>
    </row>
    <row r="3734" spans="9:9" x14ac:dyDescent="0.25">
      <c r="I3734">
        <f t="shared" si="58"/>
        <v>1900</v>
      </c>
    </row>
    <row r="3735" spans="9:9" x14ac:dyDescent="0.25">
      <c r="I3735">
        <f t="shared" si="58"/>
        <v>1900</v>
      </c>
    </row>
    <row r="3736" spans="9:9" x14ac:dyDescent="0.25">
      <c r="I3736">
        <f t="shared" si="58"/>
        <v>1900</v>
      </c>
    </row>
    <row r="3737" spans="9:9" x14ac:dyDescent="0.25">
      <c r="I3737">
        <f t="shared" si="58"/>
        <v>1900</v>
      </c>
    </row>
    <row r="3738" spans="9:9" x14ac:dyDescent="0.25">
      <c r="I3738">
        <f t="shared" si="58"/>
        <v>1900</v>
      </c>
    </row>
    <row r="3739" spans="9:9" x14ac:dyDescent="0.25">
      <c r="I3739">
        <f t="shared" si="58"/>
        <v>1900</v>
      </c>
    </row>
    <row r="3740" spans="9:9" x14ac:dyDescent="0.25">
      <c r="I3740">
        <f t="shared" si="58"/>
        <v>1900</v>
      </c>
    </row>
    <row r="3741" spans="9:9" x14ac:dyDescent="0.25">
      <c r="I3741">
        <f t="shared" si="58"/>
        <v>1900</v>
      </c>
    </row>
    <row r="3742" spans="9:9" x14ac:dyDescent="0.25">
      <c r="I3742">
        <f t="shared" si="58"/>
        <v>1900</v>
      </c>
    </row>
    <row r="3743" spans="9:9" x14ac:dyDescent="0.25">
      <c r="I3743">
        <f t="shared" si="58"/>
        <v>1900</v>
      </c>
    </row>
    <row r="3744" spans="9:9" x14ac:dyDescent="0.25">
      <c r="I3744">
        <f t="shared" si="58"/>
        <v>1900</v>
      </c>
    </row>
    <row r="3745" spans="9:9" x14ac:dyDescent="0.25">
      <c r="I3745">
        <f t="shared" si="58"/>
        <v>1900</v>
      </c>
    </row>
    <row r="3746" spans="9:9" x14ac:dyDescent="0.25">
      <c r="I3746">
        <f t="shared" si="58"/>
        <v>1900</v>
      </c>
    </row>
    <row r="3747" spans="9:9" x14ac:dyDescent="0.25">
      <c r="I3747">
        <f t="shared" si="58"/>
        <v>1900</v>
      </c>
    </row>
    <row r="3748" spans="9:9" x14ac:dyDescent="0.25">
      <c r="I3748">
        <f t="shared" si="58"/>
        <v>1900</v>
      </c>
    </row>
    <row r="3749" spans="9:9" x14ac:dyDescent="0.25">
      <c r="I3749">
        <f t="shared" si="58"/>
        <v>1900</v>
      </c>
    </row>
    <row r="3750" spans="9:9" x14ac:dyDescent="0.25">
      <c r="I3750">
        <f t="shared" si="58"/>
        <v>1900</v>
      </c>
    </row>
    <row r="3751" spans="9:9" x14ac:dyDescent="0.25">
      <c r="I3751">
        <f t="shared" si="58"/>
        <v>1900</v>
      </c>
    </row>
    <row r="3752" spans="9:9" x14ac:dyDescent="0.25">
      <c r="I3752">
        <f t="shared" si="58"/>
        <v>1900</v>
      </c>
    </row>
    <row r="3753" spans="9:9" x14ac:dyDescent="0.25">
      <c r="I3753">
        <f t="shared" si="58"/>
        <v>1900</v>
      </c>
    </row>
    <row r="3754" spans="9:9" x14ac:dyDescent="0.25">
      <c r="I3754">
        <f t="shared" si="58"/>
        <v>1900</v>
      </c>
    </row>
    <row r="3755" spans="9:9" x14ac:dyDescent="0.25">
      <c r="I3755">
        <f t="shared" si="58"/>
        <v>1900</v>
      </c>
    </row>
    <row r="3756" spans="9:9" x14ac:dyDescent="0.25">
      <c r="I3756">
        <f t="shared" si="58"/>
        <v>1900</v>
      </c>
    </row>
    <row r="3757" spans="9:9" x14ac:dyDescent="0.25">
      <c r="I3757">
        <f t="shared" si="58"/>
        <v>1900</v>
      </c>
    </row>
    <row r="3758" spans="9:9" x14ac:dyDescent="0.25">
      <c r="I3758">
        <f t="shared" si="58"/>
        <v>1900</v>
      </c>
    </row>
    <row r="3759" spans="9:9" x14ac:dyDescent="0.25">
      <c r="I3759">
        <f t="shared" si="58"/>
        <v>1900</v>
      </c>
    </row>
    <row r="3760" spans="9:9" x14ac:dyDescent="0.25">
      <c r="I3760">
        <f t="shared" si="58"/>
        <v>1900</v>
      </c>
    </row>
    <row r="3761" spans="9:9" x14ac:dyDescent="0.25">
      <c r="I3761">
        <f t="shared" si="58"/>
        <v>1900</v>
      </c>
    </row>
    <row r="3762" spans="9:9" x14ac:dyDescent="0.25">
      <c r="I3762">
        <f t="shared" si="58"/>
        <v>1900</v>
      </c>
    </row>
    <row r="3763" spans="9:9" x14ac:dyDescent="0.25">
      <c r="I3763">
        <f t="shared" si="58"/>
        <v>1900</v>
      </c>
    </row>
    <row r="3764" spans="9:9" x14ac:dyDescent="0.25">
      <c r="I3764">
        <f t="shared" si="58"/>
        <v>1900</v>
      </c>
    </row>
    <row r="3765" spans="9:9" x14ac:dyDescent="0.25">
      <c r="I3765">
        <f t="shared" si="58"/>
        <v>1900</v>
      </c>
    </row>
    <row r="3766" spans="9:9" x14ac:dyDescent="0.25">
      <c r="I3766">
        <f t="shared" si="58"/>
        <v>1900</v>
      </c>
    </row>
    <row r="3767" spans="9:9" x14ac:dyDescent="0.25">
      <c r="I3767">
        <f t="shared" si="58"/>
        <v>1900</v>
      </c>
    </row>
    <row r="3768" spans="9:9" x14ac:dyDescent="0.25">
      <c r="I3768">
        <f t="shared" si="58"/>
        <v>1900</v>
      </c>
    </row>
    <row r="3769" spans="9:9" x14ac:dyDescent="0.25">
      <c r="I3769">
        <f t="shared" si="58"/>
        <v>1900</v>
      </c>
    </row>
    <row r="3770" spans="9:9" x14ac:dyDescent="0.25">
      <c r="I3770">
        <f t="shared" si="58"/>
        <v>1900</v>
      </c>
    </row>
    <row r="3771" spans="9:9" x14ac:dyDescent="0.25">
      <c r="I3771">
        <f t="shared" si="58"/>
        <v>1900</v>
      </c>
    </row>
    <row r="3772" spans="9:9" x14ac:dyDescent="0.25">
      <c r="I3772">
        <f t="shared" si="58"/>
        <v>1900</v>
      </c>
    </row>
    <row r="3773" spans="9:9" x14ac:dyDescent="0.25">
      <c r="I3773">
        <f t="shared" si="58"/>
        <v>1900</v>
      </c>
    </row>
    <row r="3774" spans="9:9" x14ac:dyDescent="0.25">
      <c r="I3774">
        <f t="shared" si="58"/>
        <v>1900</v>
      </c>
    </row>
    <row r="3775" spans="9:9" x14ac:dyDescent="0.25">
      <c r="I3775">
        <f t="shared" si="58"/>
        <v>1900</v>
      </c>
    </row>
    <row r="3776" spans="9:9" x14ac:dyDescent="0.25">
      <c r="I3776">
        <f t="shared" si="58"/>
        <v>1900</v>
      </c>
    </row>
    <row r="3777" spans="9:9" x14ac:dyDescent="0.25">
      <c r="I3777">
        <f t="shared" si="58"/>
        <v>1900</v>
      </c>
    </row>
    <row r="3778" spans="9:9" x14ac:dyDescent="0.25">
      <c r="I3778">
        <f t="shared" si="58"/>
        <v>1900</v>
      </c>
    </row>
    <row r="3779" spans="9:9" x14ac:dyDescent="0.25">
      <c r="I3779">
        <f t="shared" si="58"/>
        <v>1900</v>
      </c>
    </row>
    <row r="3780" spans="9:9" x14ac:dyDescent="0.25">
      <c r="I3780">
        <f t="shared" ref="I3780:I3843" si="59">IFERROR(YEAR(E3780),"")</f>
        <v>1900</v>
      </c>
    </row>
    <row r="3781" spans="9:9" x14ac:dyDescent="0.25">
      <c r="I3781">
        <f t="shared" si="59"/>
        <v>1900</v>
      </c>
    </row>
    <row r="3782" spans="9:9" x14ac:dyDescent="0.25">
      <c r="I3782">
        <f t="shared" si="59"/>
        <v>1900</v>
      </c>
    </row>
    <row r="3783" spans="9:9" x14ac:dyDescent="0.25">
      <c r="I3783">
        <f t="shared" si="59"/>
        <v>1900</v>
      </c>
    </row>
    <row r="3784" spans="9:9" x14ac:dyDescent="0.25">
      <c r="I3784">
        <f t="shared" si="59"/>
        <v>1900</v>
      </c>
    </row>
    <row r="3785" spans="9:9" x14ac:dyDescent="0.25">
      <c r="I3785">
        <f t="shared" si="59"/>
        <v>1900</v>
      </c>
    </row>
    <row r="3786" spans="9:9" x14ac:dyDescent="0.25">
      <c r="I3786">
        <f t="shared" si="59"/>
        <v>1900</v>
      </c>
    </row>
    <row r="3787" spans="9:9" x14ac:dyDescent="0.25">
      <c r="I3787">
        <f t="shared" si="59"/>
        <v>1900</v>
      </c>
    </row>
    <row r="3788" spans="9:9" x14ac:dyDescent="0.25">
      <c r="I3788">
        <f t="shared" si="59"/>
        <v>1900</v>
      </c>
    </row>
    <row r="3789" spans="9:9" x14ac:dyDescent="0.25">
      <c r="I3789">
        <f t="shared" si="59"/>
        <v>1900</v>
      </c>
    </row>
    <row r="3790" spans="9:9" x14ac:dyDescent="0.25">
      <c r="I3790">
        <f t="shared" si="59"/>
        <v>1900</v>
      </c>
    </row>
    <row r="3791" spans="9:9" x14ac:dyDescent="0.25">
      <c r="I3791">
        <f t="shared" si="59"/>
        <v>1900</v>
      </c>
    </row>
    <row r="3792" spans="9:9" x14ac:dyDescent="0.25">
      <c r="I3792">
        <f t="shared" si="59"/>
        <v>1900</v>
      </c>
    </row>
    <row r="3793" spans="9:9" x14ac:dyDescent="0.25">
      <c r="I3793">
        <f t="shared" si="59"/>
        <v>1900</v>
      </c>
    </row>
    <row r="3794" spans="9:9" x14ac:dyDescent="0.25">
      <c r="I3794">
        <f t="shared" si="59"/>
        <v>1900</v>
      </c>
    </row>
    <row r="3795" spans="9:9" x14ac:dyDescent="0.25">
      <c r="I3795">
        <f t="shared" si="59"/>
        <v>1900</v>
      </c>
    </row>
    <row r="3796" spans="9:9" x14ac:dyDescent="0.25">
      <c r="I3796">
        <f t="shared" si="59"/>
        <v>1900</v>
      </c>
    </row>
    <row r="3797" spans="9:9" x14ac:dyDescent="0.25">
      <c r="I3797">
        <f t="shared" si="59"/>
        <v>1900</v>
      </c>
    </row>
    <row r="3798" spans="9:9" x14ac:dyDescent="0.25">
      <c r="I3798">
        <f t="shared" si="59"/>
        <v>1900</v>
      </c>
    </row>
    <row r="3799" spans="9:9" x14ac:dyDescent="0.25">
      <c r="I3799">
        <f t="shared" si="59"/>
        <v>1900</v>
      </c>
    </row>
    <row r="3800" spans="9:9" x14ac:dyDescent="0.25">
      <c r="I3800">
        <f t="shared" si="59"/>
        <v>1900</v>
      </c>
    </row>
    <row r="3801" spans="9:9" x14ac:dyDescent="0.25">
      <c r="I3801">
        <f t="shared" si="59"/>
        <v>1900</v>
      </c>
    </row>
    <row r="3802" spans="9:9" x14ac:dyDescent="0.25">
      <c r="I3802">
        <f t="shared" si="59"/>
        <v>1900</v>
      </c>
    </row>
    <row r="3803" spans="9:9" x14ac:dyDescent="0.25">
      <c r="I3803">
        <f t="shared" si="59"/>
        <v>1900</v>
      </c>
    </row>
    <row r="3804" spans="9:9" x14ac:dyDescent="0.25">
      <c r="I3804">
        <f t="shared" si="59"/>
        <v>1900</v>
      </c>
    </row>
    <row r="3805" spans="9:9" x14ac:dyDescent="0.25">
      <c r="I3805">
        <f t="shared" si="59"/>
        <v>1900</v>
      </c>
    </row>
    <row r="3806" spans="9:9" x14ac:dyDescent="0.25">
      <c r="I3806">
        <f t="shared" si="59"/>
        <v>1900</v>
      </c>
    </row>
    <row r="3807" spans="9:9" x14ac:dyDescent="0.25">
      <c r="I3807">
        <f t="shared" si="59"/>
        <v>1900</v>
      </c>
    </row>
    <row r="3808" spans="9:9" x14ac:dyDescent="0.25">
      <c r="I3808">
        <f t="shared" si="59"/>
        <v>1900</v>
      </c>
    </row>
    <row r="3809" spans="9:9" x14ac:dyDescent="0.25">
      <c r="I3809">
        <f t="shared" si="59"/>
        <v>1900</v>
      </c>
    </row>
    <row r="3810" spans="9:9" x14ac:dyDescent="0.25">
      <c r="I3810">
        <f t="shared" si="59"/>
        <v>1900</v>
      </c>
    </row>
    <row r="3811" spans="9:9" x14ac:dyDescent="0.25">
      <c r="I3811">
        <f t="shared" si="59"/>
        <v>1900</v>
      </c>
    </row>
    <row r="3812" spans="9:9" x14ac:dyDescent="0.25">
      <c r="I3812">
        <f t="shared" si="59"/>
        <v>1900</v>
      </c>
    </row>
    <row r="3813" spans="9:9" x14ac:dyDescent="0.25">
      <c r="I3813">
        <f t="shared" si="59"/>
        <v>1900</v>
      </c>
    </row>
    <row r="3814" spans="9:9" x14ac:dyDescent="0.25">
      <c r="I3814">
        <f t="shared" si="59"/>
        <v>1900</v>
      </c>
    </row>
    <row r="3815" spans="9:9" x14ac:dyDescent="0.25">
      <c r="I3815">
        <f t="shared" si="59"/>
        <v>1900</v>
      </c>
    </row>
    <row r="3816" spans="9:9" x14ac:dyDescent="0.25">
      <c r="I3816">
        <f t="shared" si="59"/>
        <v>1900</v>
      </c>
    </row>
    <row r="3817" spans="9:9" x14ac:dyDescent="0.25">
      <c r="I3817">
        <f t="shared" si="59"/>
        <v>1900</v>
      </c>
    </row>
    <row r="3818" spans="9:9" x14ac:dyDescent="0.25">
      <c r="I3818">
        <f t="shared" si="59"/>
        <v>1900</v>
      </c>
    </row>
    <row r="3819" spans="9:9" x14ac:dyDescent="0.25">
      <c r="I3819">
        <f t="shared" si="59"/>
        <v>1900</v>
      </c>
    </row>
    <row r="3820" spans="9:9" x14ac:dyDescent="0.25">
      <c r="I3820">
        <f t="shared" si="59"/>
        <v>1900</v>
      </c>
    </row>
    <row r="3821" spans="9:9" x14ac:dyDescent="0.25">
      <c r="I3821">
        <f t="shared" si="59"/>
        <v>1900</v>
      </c>
    </row>
    <row r="3822" spans="9:9" x14ac:dyDescent="0.25">
      <c r="I3822">
        <f t="shared" si="59"/>
        <v>1900</v>
      </c>
    </row>
    <row r="3823" spans="9:9" x14ac:dyDescent="0.25">
      <c r="I3823">
        <f t="shared" si="59"/>
        <v>1900</v>
      </c>
    </row>
    <row r="3824" spans="9:9" x14ac:dyDescent="0.25">
      <c r="I3824">
        <f t="shared" si="59"/>
        <v>1900</v>
      </c>
    </row>
    <row r="3825" spans="9:9" x14ac:dyDescent="0.25">
      <c r="I3825">
        <f t="shared" si="59"/>
        <v>1900</v>
      </c>
    </row>
    <row r="3826" spans="9:9" x14ac:dyDescent="0.25">
      <c r="I3826">
        <f t="shared" si="59"/>
        <v>1900</v>
      </c>
    </row>
    <row r="3827" spans="9:9" x14ac:dyDescent="0.25">
      <c r="I3827">
        <f t="shared" si="59"/>
        <v>1900</v>
      </c>
    </row>
    <row r="3828" spans="9:9" x14ac:dyDescent="0.25">
      <c r="I3828">
        <f t="shared" si="59"/>
        <v>1900</v>
      </c>
    </row>
    <row r="3829" spans="9:9" x14ac:dyDescent="0.25">
      <c r="I3829">
        <f t="shared" si="59"/>
        <v>1900</v>
      </c>
    </row>
    <row r="3830" spans="9:9" x14ac:dyDescent="0.25">
      <c r="I3830">
        <f t="shared" si="59"/>
        <v>1900</v>
      </c>
    </row>
    <row r="3831" spans="9:9" x14ac:dyDescent="0.25">
      <c r="I3831">
        <f t="shared" si="59"/>
        <v>1900</v>
      </c>
    </row>
    <row r="3832" spans="9:9" x14ac:dyDescent="0.25">
      <c r="I3832">
        <f t="shared" si="59"/>
        <v>1900</v>
      </c>
    </row>
    <row r="3833" spans="9:9" x14ac:dyDescent="0.25">
      <c r="I3833">
        <f t="shared" si="59"/>
        <v>1900</v>
      </c>
    </row>
    <row r="3834" spans="9:9" x14ac:dyDescent="0.25">
      <c r="I3834">
        <f t="shared" si="59"/>
        <v>1900</v>
      </c>
    </row>
    <row r="3835" spans="9:9" x14ac:dyDescent="0.25">
      <c r="I3835">
        <f t="shared" si="59"/>
        <v>1900</v>
      </c>
    </row>
    <row r="3836" spans="9:9" x14ac:dyDescent="0.25">
      <c r="I3836">
        <f t="shared" si="59"/>
        <v>1900</v>
      </c>
    </row>
    <row r="3837" spans="9:9" x14ac:dyDescent="0.25">
      <c r="I3837">
        <f t="shared" si="59"/>
        <v>1900</v>
      </c>
    </row>
    <row r="3838" spans="9:9" x14ac:dyDescent="0.25">
      <c r="I3838">
        <f t="shared" si="59"/>
        <v>1900</v>
      </c>
    </row>
    <row r="3839" spans="9:9" x14ac:dyDescent="0.25">
      <c r="I3839">
        <f t="shared" si="59"/>
        <v>1900</v>
      </c>
    </row>
    <row r="3840" spans="9:9" x14ac:dyDescent="0.25">
      <c r="I3840">
        <f t="shared" si="59"/>
        <v>1900</v>
      </c>
    </row>
    <row r="3841" spans="9:9" x14ac:dyDescent="0.25">
      <c r="I3841">
        <f t="shared" si="59"/>
        <v>1900</v>
      </c>
    </row>
    <row r="3842" spans="9:9" x14ac:dyDescent="0.25">
      <c r="I3842">
        <f t="shared" si="59"/>
        <v>1900</v>
      </c>
    </row>
    <row r="3843" spans="9:9" x14ac:dyDescent="0.25">
      <c r="I3843">
        <f t="shared" si="59"/>
        <v>1900</v>
      </c>
    </row>
    <row r="3844" spans="9:9" x14ac:dyDescent="0.25">
      <c r="I3844">
        <f t="shared" ref="I3844:I3907" si="60">IFERROR(YEAR(E3844),"")</f>
        <v>1900</v>
      </c>
    </row>
    <row r="3845" spans="9:9" x14ac:dyDescent="0.25">
      <c r="I3845">
        <f t="shared" si="60"/>
        <v>1900</v>
      </c>
    </row>
    <row r="3846" spans="9:9" x14ac:dyDescent="0.25">
      <c r="I3846">
        <f t="shared" si="60"/>
        <v>1900</v>
      </c>
    </row>
    <row r="3847" spans="9:9" x14ac:dyDescent="0.25">
      <c r="I3847">
        <f t="shared" si="60"/>
        <v>1900</v>
      </c>
    </row>
    <row r="3848" spans="9:9" x14ac:dyDescent="0.25">
      <c r="I3848">
        <f t="shared" si="60"/>
        <v>1900</v>
      </c>
    </row>
    <row r="3849" spans="9:9" x14ac:dyDescent="0.25">
      <c r="I3849">
        <f t="shared" si="60"/>
        <v>1900</v>
      </c>
    </row>
    <row r="3850" spans="9:9" x14ac:dyDescent="0.25">
      <c r="I3850">
        <f t="shared" si="60"/>
        <v>1900</v>
      </c>
    </row>
    <row r="3851" spans="9:9" x14ac:dyDescent="0.25">
      <c r="I3851">
        <f t="shared" si="60"/>
        <v>1900</v>
      </c>
    </row>
    <row r="3852" spans="9:9" x14ac:dyDescent="0.25">
      <c r="I3852">
        <f t="shared" si="60"/>
        <v>1900</v>
      </c>
    </row>
    <row r="3853" spans="9:9" x14ac:dyDescent="0.25">
      <c r="I3853">
        <f t="shared" si="60"/>
        <v>1900</v>
      </c>
    </row>
    <row r="3854" spans="9:9" x14ac:dyDescent="0.25">
      <c r="I3854">
        <f t="shared" si="60"/>
        <v>1900</v>
      </c>
    </row>
    <row r="3855" spans="9:9" x14ac:dyDescent="0.25">
      <c r="I3855">
        <f t="shared" si="60"/>
        <v>1900</v>
      </c>
    </row>
    <row r="3856" spans="9:9" x14ac:dyDescent="0.25">
      <c r="I3856">
        <f t="shared" si="60"/>
        <v>1900</v>
      </c>
    </row>
    <row r="3857" spans="9:9" x14ac:dyDescent="0.25">
      <c r="I3857">
        <f t="shared" si="60"/>
        <v>1900</v>
      </c>
    </row>
    <row r="3858" spans="9:9" x14ac:dyDescent="0.25">
      <c r="I3858">
        <f t="shared" si="60"/>
        <v>1900</v>
      </c>
    </row>
    <row r="3859" spans="9:9" x14ac:dyDescent="0.25">
      <c r="I3859">
        <f t="shared" si="60"/>
        <v>1900</v>
      </c>
    </row>
    <row r="3860" spans="9:9" x14ac:dyDescent="0.25">
      <c r="I3860">
        <f t="shared" si="60"/>
        <v>1900</v>
      </c>
    </row>
    <row r="3861" spans="9:9" x14ac:dyDescent="0.25">
      <c r="I3861">
        <f t="shared" si="60"/>
        <v>1900</v>
      </c>
    </row>
    <row r="3862" spans="9:9" x14ac:dyDescent="0.25">
      <c r="I3862">
        <f t="shared" si="60"/>
        <v>1900</v>
      </c>
    </row>
    <row r="3863" spans="9:9" x14ac:dyDescent="0.25">
      <c r="I3863">
        <f t="shared" si="60"/>
        <v>1900</v>
      </c>
    </row>
    <row r="3864" spans="9:9" x14ac:dyDescent="0.25">
      <c r="I3864">
        <f t="shared" si="60"/>
        <v>1900</v>
      </c>
    </row>
    <row r="3865" spans="9:9" x14ac:dyDescent="0.25">
      <c r="I3865">
        <f t="shared" si="60"/>
        <v>1900</v>
      </c>
    </row>
    <row r="3866" spans="9:9" x14ac:dyDescent="0.25">
      <c r="I3866">
        <f t="shared" si="60"/>
        <v>1900</v>
      </c>
    </row>
    <row r="3867" spans="9:9" x14ac:dyDescent="0.25">
      <c r="I3867">
        <f t="shared" si="60"/>
        <v>1900</v>
      </c>
    </row>
    <row r="3868" spans="9:9" x14ac:dyDescent="0.25">
      <c r="I3868">
        <f t="shared" si="60"/>
        <v>1900</v>
      </c>
    </row>
    <row r="3869" spans="9:9" x14ac:dyDescent="0.25">
      <c r="I3869">
        <f t="shared" si="60"/>
        <v>1900</v>
      </c>
    </row>
    <row r="3870" spans="9:9" x14ac:dyDescent="0.25">
      <c r="I3870">
        <f t="shared" si="60"/>
        <v>1900</v>
      </c>
    </row>
    <row r="3871" spans="9:9" x14ac:dyDescent="0.25">
      <c r="I3871">
        <f t="shared" si="60"/>
        <v>1900</v>
      </c>
    </row>
    <row r="3872" spans="9:9" x14ac:dyDescent="0.25">
      <c r="I3872">
        <f t="shared" si="60"/>
        <v>1900</v>
      </c>
    </row>
    <row r="3873" spans="9:9" x14ac:dyDescent="0.25">
      <c r="I3873">
        <f t="shared" si="60"/>
        <v>1900</v>
      </c>
    </row>
    <row r="3874" spans="9:9" x14ac:dyDescent="0.25">
      <c r="I3874">
        <f t="shared" si="60"/>
        <v>1900</v>
      </c>
    </row>
    <row r="3875" spans="9:9" x14ac:dyDescent="0.25">
      <c r="I3875">
        <f t="shared" si="60"/>
        <v>1900</v>
      </c>
    </row>
    <row r="3876" spans="9:9" x14ac:dyDescent="0.25">
      <c r="I3876">
        <f t="shared" si="60"/>
        <v>1900</v>
      </c>
    </row>
    <row r="3877" spans="9:9" x14ac:dyDescent="0.25">
      <c r="I3877">
        <f t="shared" si="60"/>
        <v>1900</v>
      </c>
    </row>
    <row r="3878" spans="9:9" x14ac:dyDescent="0.25">
      <c r="I3878">
        <f t="shared" si="60"/>
        <v>1900</v>
      </c>
    </row>
    <row r="3879" spans="9:9" x14ac:dyDescent="0.25">
      <c r="I3879">
        <f t="shared" si="60"/>
        <v>1900</v>
      </c>
    </row>
    <row r="3880" spans="9:9" x14ac:dyDescent="0.25">
      <c r="I3880">
        <f t="shared" si="60"/>
        <v>1900</v>
      </c>
    </row>
    <row r="3881" spans="9:9" x14ac:dyDescent="0.25">
      <c r="I3881">
        <f t="shared" si="60"/>
        <v>1900</v>
      </c>
    </row>
    <row r="3882" spans="9:9" x14ac:dyDescent="0.25">
      <c r="I3882">
        <f t="shared" si="60"/>
        <v>1900</v>
      </c>
    </row>
    <row r="3883" spans="9:9" x14ac:dyDescent="0.25">
      <c r="I3883">
        <f t="shared" si="60"/>
        <v>1900</v>
      </c>
    </row>
    <row r="3884" spans="9:9" x14ac:dyDescent="0.25">
      <c r="I3884">
        <f t="shared" si="60"/>
        <v>1900</v>
      </c>
    </row>
    <row r="3885" spans="9:9" x14ac:dyDescent="0.25">
      <c r="I3885">
        <f t="shared" si="60"/>
        <v>1900</v>
      </c>
    </row>
    <row r="3886" spans="9:9" x14ac:dyDescent="0.25">
      <c r="I3886">
        <f t="shared" si="60"/>
        <v>1900</v>
      </c>
    </row>
    <row r="3887" spans="9:9" x14ac:dyDescent="0.25">
      <c r="I3887">
        <f t="shared" si="60"/>
        <v>1900</v>
      </c>
    </row>
    <row r="3888" spans="9:9" x14ac:dyDescent="0.25">
      <c r="I3888">
        <f t="shared" si="60"/>
        <v>1900</v>
      </c>
    </row>
    <row r="3889" spans="9:9" x14ac:dyDescent="0.25">
      <c r="I3889">
        <f t="shared" si="60"/>
        <v>1900</v>
      </c>
    </row>
    <row r="3890" spans="9:9" x14ac:dyDescent="0.25">
      <c r="I3890">
        <f t="shared" si="60"/>
        <v>1900</v>
      </c>
    </row>
    <row r="3891" spans="9:9" x14ac:dyDescent="0.25">
      <c r="I3891">
        <f t="shared" si="60"/>
        <v>1900</v>
      </c>
    </row>
    <row r="3892" spans="9:9" x14ac:dyDescent="0.25">
      <c r="I3892">
        <f t="shared" si="60"/>
        <v>1900</v>
      </c>
    </row>
    <row r="3893" spans="9:9" x14ac:dyDescent="0.25">
      <c r="I3893">
        <f t="shared" si="60"/>
        <v>1900</v>
      </c>
    </row>
    <row r="3894" spans="9:9" x14ac:dyDescent="0.25">
      <c r="I3894">
        <f t="shared" si="60"/>
        <v>1900</v>
      </c>
    </row>
    <row r="3895" spans="9:9" x14ac:dyDescent="0.25">
      <c r="I3895">
        <f t="shared" si="60"/>
        <v>1900</v>
      </c>
    </row>
    <row r="3896" spans="9:9" x14ac:dyDescent="0.25">
      <c r="I3896">
        <f t="shared" si="60"/>
        <v>1900</v>
      </c>
    </row>
    <row r="3897" spans="9:9" x14ac:dyDescent="0.25">
      <c r="I3897">
        <f t="shared" si="60"/>
        <v>1900</v>
      </c>
    </row>
    <row r="3898" spans="9:9" x14ac:dyDescent="0.25">
      <c r="I3898">
        <f t="shared" si="60"/>
        <v>1900</v>
      </c>
    </row>
    <row r="3899" spans="9:9" x14ac:dyDescent="0.25">
      <c r="I3899">
        <f t="shared" si="60"/>
        <v>1900</v>
      </c>
    </row>
    <row r="3900" spans="9:9" x14ac:dyDescent="0.25">
      <c r="I3900">
        <f t="shared" si="60"/>
        <v>1900</v>
      </c>
    </row>
    <row r="3901" spans="9:9" x14ac:dyDescent="0.25">
      <c r="I3901">
        <f t="shared" si="60"/>
        <v>1900</v>
      </c>
    </row>
    <row r="3902" spans="9:9" x14ac:dyDescent="0.25">
      <c r="I3902">
        <f t="shared" si="60"/>
        <v>1900</v>
      </c>
    </row>
    <row r="3903" spans="9:9" x14ac:dyDescent="0.25">
      <c r="I3903">
        <f t="shared" si="60"/>
        <v>1900</v>
      </c>
    </row>
    <row r="3904" spans="9:9" x14ac:dyDescent="0.25">
      <c r="I3904">
        <f t="shared" si="60"/>
        <v>1900</v>
      </c>
    </row>
    <row r="3905" spans="9:9" x14ac:dyDescent="0.25">
      <c r="I3905">
        <f t="shared" si="60"/>
        <v>1900</v>
      </c>
    </row>
    <row r="3906" spans="9:9" x14ac:dyDescent="0.25">
      <c r="I3906">
        <f t="shared" si="60"/>
        <v>1900</v>
      </c>
    </row>
    <row r="3907" spans="9:9" x14ac:dyDescent="0.25">
      <c r="I3907">
        <f t="shared" si="60"/>
        <v>1900</v>
      </c>
    </row>
    <row r="3908" spans="9:9" x14ac:dyDescent="0.25">
      <c r="I3908">
        <f t="shared" ref="I3908:I3971" si="61">IFERROR(YEAR(E3908),"")</f>
        <v>1900</v>
      </c>
    </row>
    <row r="3909" spans="9:9" x14ac:dyDescent="0.25">
      <c r="I3909">
        <f t="shared" si="61"/>
        <v>1900</v>
      </c>
    </row>
    <row r="3910" spans="9:9" x14ac:dyDescent="0.25">
      <c r="I3910">
        <f t="shared" si="61"/>
        <v>1900</v>
      </c>
    </row>
    <row r="3911" spans="9:9" x14ac:dyDescent="0.25">
      <c r="I3911">
        <f t="shared" si="61"/>
        <v>1900</v>
      </c>
    </row>
    <row r="3912" spans="9:9" x14ac:dyDescent="0.25">
      <c r="I3912">
        <f t="shared" si="61"/>
        <v>1900</v>
      </c>
    </row>
    <row r="3913" spans="9:9" x14ac:dyDescent="0.25">
      <c r="I3913">
        <f t="shared" si="61"/>
        <v>1900</v>
      </c>
    </row>
    <row r="3914" spans="9:9" x14ac:dyDescent="0.25">
      <c r="I3914">
        <f t="shared" si="61"/>
        <v>1900</v>
      </c>
    </row>
    <row r="3915" spans="9:9" x14ac:dyDescent="0.25">
      <c r="I3915">
        <f t="shared" si="61"/>
        <v>1900</v>
      </c>
    </row>
    <row r="3916" spans="9:9" x14ac:dyDescent="0.25">
      <c r="I3916">
        <f t="shared" si="61"/>
        <v>1900</v>
      </c>
    </row>
    <row r="3917" spans="9:9" x14ac:dyDescent="0.25">
      <c r="I3917">
        <f t="shared" si="61"/>
        <v>1900</v>
      </c>
    </row>
    <row r="3918" spans="9:9" x14ac:dyDescent="0.25">
      <c r="I3918">
        <f t="shared" si="61"/>
        <v>1900</v>
      </c>
    </row>
    <row r="3919" spans="9:9" x14ac:dyDescent="0.25">
      <c r="I3919">
        <f t="shared" si="61"/>
        <v>1900</v>
      </c>
    </row>
    <row r="3920" spans="9:9" x14ac:dyDescent="0.25">
      <c r="I3920">
        <f t="shared" si="61"/>
        <v>1900</v>
      </c>
    </row>
    <row r="3921" spans="9:9" x14ac:dyDescent="0.25">
      <c r="I3921">
        <f t="shared" si="61"/>
        <v>1900</v>
      </c>
    </row>
    <row r="3922" spans="9:9" x14ac:dyDescent="0.25">
      <c r="I3922">
        <f t="shared" si="61"/>
        <v>1900</v>
      </c>
    </row>
    <row r="3923" spans="9:9" x14ac:dyDescent="0.25">
      <c r="I3923">
        <f t="shared" si="61"/>
        <v>1900</v>
      </c>
    </row>
    <row r="3924" spans="9:9" x14ac:dyDescent="0.25">
      <c r="I3924">
        <f t="shared" si="61"/>
        <v>1900</v>
      </c>
    </row>
    <row r="3925" spans="9:9" x14ac:dyDescent="0.25">
      <c r="I3925">
        <f t="shared" si="61"/>
        <v>1900</v>
      </c>
    </row>
    <row r="3926" spans="9:9" x14ac:dyDescent="0.25">
      <c r="I3926">
        <f t="shared" si="61"/>
        <v>1900</v>
      </c>
    </row>
    <row r="3927" spans="9:9" x14ac:dyDescent="0.25">
      <c r="I3927">
        <f t="shared" si="61"/>
        <v>1900</v>
      </c>
    </row>
    <row r="3928" spans="9:9" x14ac:dyDescent="0.25">
      <c r="I3928">
        <f t="shared" si="61"/>
        <v>1900</v>
      </c>
    </row>
    <row r="3929" spans="9:9" x14ac:dyDescent="0.25">
      <c r="I3929">
        <f t="shared" si="61"/>
        <v>1900</v>
      </c>
    </row>
    <row r="3930" spans="9:9" x14ac:dyDescent="0.25">
      <c r="I3930">
        <f t="shared" si="61"/>
        <v>1900</v>
      </c>
    </row>
    <row r="3931" spans="9:9" x14ac:dyDescent="0.25">
      <c r="I3931">
        <f t="shared" si="61"/>
        <v>1900</v>
      </c>
    </row>
    <row r="3932" spans="9:9" x14ac:dyDescent="0.25">
      <c r="I3932">
        <f t="shared" si="61"/>
        <v>1900</v>
      </c>
    </row>
    <row r="3933" spans="9:9" x14ac:dyDescent="0.25">
      <c r="I3933">
        <f t="shared" si="61"/>
        <v>1900</v>
      </c>
    </row>
    <row r="3934" spans="9:9" x14ac:dyDescent="0.25">
      <c r="I3934">
        <f t="shared" si="61"/>
        <v>1900</v>
      </c>
    </row>
    <row r="3935" spans="9:9" x14ac:dyDescent="0.25">
      <c r="I3935">
        <f t="shared" si="61"/>
        <v>1900</v>
      </c>
    </row>
    <row r="3936" spans="9:9" x14ac:dyDescent="0.25">
      <c r="I3936">
        <f t="shared" si="61"/>
        <v>1900</v>
      </c>
    </row>
    <row r="3937" spans="9:9" x14ac:dyDescent="0.25">
      <c r="I3937">
        <f t="shared" si="61"/>
        <v>1900</v>
      </c>
    </row>
    <row r="3938" spans="9:9" x14ac:dyDescent="0.25">
      <c r="I3938">
        <f t="shared" si="61"/>
        <v>1900</v>
      </c>
    </row>
    <row r="3939" spans="9:9" x14ac:dyDescent="0.25">
      <c r="I3939">
        <f t="shared" si="61"/>
        <v>1900</v>
      </c>
    </row>
    <row r="3940" spans="9:9" x14ac:dyDescent="0.25">
      <c r="I3940">
        <f t="shared" si="61"/>
        <v>1900</v>
      </c>
    </row>
    <row r="3941" spans="9:9" x14ac:dyDescent="0.25">
      <c r="I3941">
        <f t="shared" si="61"/>
        <v>1900</v>
      </c>
    </row>
    <row r="3942" spans="9:9" x14ac:dyDescent="0.25">
      <c r="I3942">
        <f t="shared" si="61"/>
        <v>1900</v>
      </c>
    </row>
    <row r="3943" spans="9:9" x14ac:dyDescent="0.25">
      <c r="I3943">
        <f t="shared" si="61"/>
        <v>1900</v>
      </c>
    </row>
    <row r="3944" spans="9:9" x14ac:dyDescent="0.25">
      <c r="I3944">
        <f t="shared" si="61"/>
        <v>1900</v>
      </c>
    </row>
    <row r="3945" spans="9:9" x14ac:dyDescent="0.25">
      <c r="I3945">
        <f t="shared" si="61"/>
        <v>1900</v>
      </c>
    </row>
    <row r="3946" spans="9:9" x14ac:dyDescent="0.25">
      <c r="I3946">
        <f t="shared" si="61"/>
        <v>1900</v>
      </c>
    </row>
    <row r="3947" spans="9:9" x14ac:dyDescent="0.25">
      <c r="I3947">
        <f t="shared" si="61"/>
        <v>1900</v>
      </c>
    </row>
    <row r="3948" spans="9:9" x14ac:dyDescent="0.25">
      <c r="I3948">
        <f t="shared" si="61"/>
        <v>1900</v>
      </c>
    </row>
    <row r="3949" spans="9:9" x14ac:dyDescent="0.25">
      <c r="I3949">
        <f t="shared" si="61"/>
        <v>1900</v>
      </c>
    </row>
    <row r="3950" spans="9:9" x14ac:dyDescent="0.25">
      <c r="I3950">
        <f t="shared" si="61"/>
        <v>1900</v>
      </c>
    </row>
    <row r="3951" spans="9:9" x14ac:dyDescent="0.25">
      <c r="I3951">
        <f t="shared" si="61"/>
        <v>1900</v>
      </c>
    </row>
    <row r="3952" spans="9:9" x14ac:dyDescent="0.25">
      <c r="I3952">
        <f t="shared" si="61"/>
        <v>1900</v>
      </c>
    </row>
    <row r="3953" spans="9:9" x14ac:dyDescent="0.25">
      <c r="I3953">
        <f t="shared" si="61"/>
        <v>1900</v>
      </c>
    </row>
    <row r="3954" spans="9:9" x14ac:dyDescent="0.25">
      <c r="I3954">
        <f t="shared" si="61"/>
        <v>1900</v>
      </c>
    </row>
    <row r="3955" spans="9:9" x14ac:dyDescent="0.25">
      <c r="I3955">
        <f t="shared" si="61"/>
        <v>1900</v>
      </c>
    </row>
    <row r="3956" spans="9:9" x14ac:dyDescent="0.25">
      <c r="I3956">
        <f t="shared" si="61"/>
        <v>1900</v>
      </c>
    </row>
    <row r="3957" spans="9:9" x14ac:dyDescent="0.25">
      <c r="I3957">
        <f t="shared" si="61"/>
        <v>1900</v>
      </c>
    </row>
    <row r="3958" spans="9:9" x14ac:dyDescent="0.25">
      <c r="I3958">
        <f t="shared" si="61"/>
        <v>1900</v>
      </c>
    </row>
    <row r="3959" spans="9:9" x14ac:dyDescent="0.25">
      <c r="I3959">
        <f t="shared" si="61"/>
        <v>1900</v>
      </c>
    </row>
    <row r="3960" spans="9:9" x14ac:dyDescent="0.25">
      <c r="I3960">
        <f t="shared" si="61"/>
        <v>1900</v>
      </c>
    </row>
    <row r="3961" spans="9:9" x14ac:dyDescent="0.25">
      <c r="I3961">
        <f t="shared" si="61"/>
        <v>1900</v>
      </c>
    </row>
    <row r="3962" spans="9:9" x14ac:dyDescent="0.25">
      <c r="I3962">
        <f t="shared" si="61"/>
        <v>1900</v>
      </c>
    </row>
    <row r="3963" spans="9:9" x14ac:dyDescent="0.25">
      <c r="I3963">
        <f t="shared" si="61"/>
        <v>1900</v>
      </c>
    </row>
    <row r="3964" spans="9:9" x14ac:dyDescent="0.25">
      <c r="I3964">
        <f t="shared" si="61"/>
        <v>1900</v>
      </c>
    </row>
    <row r="3965" spans="9:9" x14ac:dyDescent="0.25">
      <c r="I3965">
        <f t="shared" si="61"/>
        <v>1900</v>
      </c>
    </row>
    <row r="3966" spans="9:9" x14ac:dyDescent="0.25">
      <c r="I3966">
        <f t="shared" si="61"/>
        <v>1900</v>
      </c>
    </row>
    <row r="3967" spans="9:9" x14ac:dyDescent="0.25">
      <c r="I3967">
        <f t="shared" si="61"/>
        <v>1900</v>
      </c>
    </row>
    <row r="3968" spans="9:9" x14ac:dyDescent="0.25">
      <c r="I3968">
        <f t="shared" si="61"/>
        <v>1900</v>
      </c>
    </row>
    <row r="3969" spans="9:9" x14ac:dyDescent="0.25">
      <c r="I3969">
        <f t="shared" si="61"/>
        <v>1900</v>
      </c>
    </row>
    <row r="3970" spans="9:9" x14ac:dyDescent="0.25">
      <c r="I3970">
        <f t="shared" si="61"/>
        <v>1900</v>
      </c>
    </row>
    <row r="3971" spans="9:9" x14ac:dyDescent="0.25">
      <c r="I3971">
        <f t="shared" si="61"/>
        <v>1900</v>
      </c>
    </row>
    <row r="3972" spans="9:9" x14ac:dyDescent="0.25">
      <c r="I3972">
        <f t="shared" ref="I3972:I4035" si="62">IFERROR(YEAR(E3972),"")</f>
        <v>1900</v>
      </c>
    </row>
    <row r="3973" spans="9:9" x14ac:dyDescent="0.25">
      <c r="I3973">
        <f t="shared" si="62"/>
        <v>1900</v>
      </c>
    </row>
    <row r="3974" spans="9:9" x14ac:dyDescent="0.25">
      <c r="I3974">
        <f t="shared" si="62"/>
        <v>1900</v>
      </c>
    </row>
    <row r="3975" spans="9:9" x14ac:dyDescent="0.25">
      <c r="I3975">
        <f t="shared" si="62"/>
        <v>1900</v>
      </c>
    </row>
    <row r="3976" spans="9:9" x14ac:dyDescent="0.25">
      <c r="I3976">
        <f t="shared" si="62"/>
        <v>1900</v>
      </c>
    </row>
    <row r="3977" spans="9:9" x14ac:dyDescent="0.25">
      <c r="I3977">
        <f t="shared" si="62"/>
        <v>1900</v>
      </c>
    </row>
    <row r="3978" spans="9:9" x14ac:dyDescent="0.25">
      <c r="I3978">
        <f t="shared" si="62"/>
        <v>1900</v>
      </c>
    </row>
    <row r="3979" spans="9:9" x14ac:dyDescent="0.25">
      <c r="I3979">
        <f t="shared" si="62"/>
        <v>1900</v>
      </c>
    </row>
    <row r="3980" spans="9:9" x14ac:dyDescent="0.25">
      <c r="I3980">
        <f t="shared" si="62"/>
        <v>1900</v>
      </c>
    </row>
    <row r="3981" spans="9:9" x14ac:dyDescent="0.25">
      <c r="I3981">
        <f t="shared" si="62"/>
        <v>1900</v>
      </c>
    </row>
    <row r="3982" spans="9:9" x14ac:dyDescent="0.25">
      <c r="I3982">
        <f t="shared" si="62"/>
        <v>1900</v>
      </c>
    </row>
    <row r="3983" spans="9:9" x14ac:dyDescent="0.25">
      <c r="I3983">
        <f t="shared" si="62"/>
        <v>1900</v>
      </c>
    </row>
    <row r="3984" spans="9:9" x14ac:dyDescent="0.25">
      <c r="I3984">
        <f t="shared" si="62"/>
        <v>1900</v>
      </c>
    </row>
    <row r="3985" spans="9:9" x14ac:dyDescent="0.25">
      <c r="I3985">
        <f t="shared" si="62"/>
        <v>1900</v>
      </c>
    </row>
    <row r="3986" spans="9:9" x14ac:dyDescent="0.25">
      <c r="I3986">
        <f t="shared" si="62"/>
        <v>1900</v>
      </c>
    </row>
    <row r="3987" spans="9:9" x14ac:dyDescent="0.25">
      <c r="I3987">
        <f t="shared" si="62"/>
        <v>1900</v>
      </c>
    </row>
    <row r="3988" spans="9:9" x14ac:dyDescent="0.25">
      <c r="I3988">
        <f t="shared" si="62"/>
        <v>1900</v>
      </c>
    </row>
    <row r="3989" spans="9:9" x14ac:dyDescent="0.25">
      <c r="I3989">
        <f t="shared" si="62"/>
        <v>1900</v>
      </c>
    </row>
    <row r="3990" spans="9:9" x14ac:dyDescent="0.25">
      <c r="I3990">
        <f t="shared" si="62"/>
        <v>1900</v>
      </c>
    </row>
    <row r="3991" spans="9:9" x14ac:dyDescent="0.25">
      <c r="I3991">
        <f t="shared" si="62"/>
        <v>1900</v>
      </c>
    </row>
    <row r="3992" spans="9:9" x14ac:dyDescent="0.25">
      <c r="I3992">
        <f t="shared" si="62"/>
        <v>1900</v>
      </c>
    </row>
    <row r="3993" spans="9:9" x14ac:dyDescent="0.25">
      <c r="I3993">
        <f t="shared" si="62"/>
        <v>1900</v>
      </c>
    </row>
    <row r="3994" spans="9:9" x14ac:dyDescent="0.25">
      <c r="I3994">
        <f t="shared" si="62"/>
        <v>1900</v>
      </c>
    </row>
    <row r="3995" spans="9:9" x14ac:dyDescent="0.25">
      <c r="I3995">
        <f t="shared" si="62"/>
        <v>1900</v>
      </c>
    </row>
    <row r="3996" spans="9:9" x14ac:dyDescent="0.25">
      <c r="I3996">
        <f t="shared" si="62"/>
        <v>1900</v>
      </c>
    </row>
    <row r="3997" spans="9:9" x14ac:dyDescent="0.25">
      <c r="I3997">
        <f t="shared" si="62"/>
        <v>1900</v>
      </c>
    </row>
    <row r="3998" spans="9:9" x14ac:dyDescent="0.25">
      <c r="I3998">
        <f t="shared" si="62"/>
        <v>1900</v>
      </c>
    </row>
    <row r="3999" spans="9:9" x14ac:dyDescent="0.25">
      <c r="I3999">
        <f t="shared" si="62"/>
        <v>1900</v>
      </c>
    </row>
    <row r="4000" spans="9:9" x14ac:dyDescent="0.25">
      <c r="I4000">
        <f t="shared" si="62"/>
        <v>1900</v>
      </c>
    </row>
    <row r="4001" spans="9:9" x14ac:dyDescent="0.25">
      <c r="I4001">
        <f t="shared" si="62"/>
        <v>1900</v>
      </c>
    </row>
    <row r="4002" spans="9:9" x14ac:dyDescent="0.25">
      <c r="I4002">
        <f t="shared" si="62"/>
        <v>1900</v>
      </c>
    </row>
    <row r="4003" spans="9:9" x14ac:dyDescent="0.25">
      <c r="I4003">
        <f t="shared" si="62"/>
        <v>1900</v>
      </c>
    </row>
    <row r="4004" spans="9:9" x14ac:dyDescent="0.25">
      <c r="I4004">
        <f t="shared" si="62"/>
        <v>1900</v>
      </c>
    </row>
    <row r="4005" spans="9:9" x14ac:dyDescent="0.25">
      <c r="I4005">
        <f t="shared" si="62"/>
        <v>1900</v>
      </c>
    </row>
    <row r="4006" spans="9:9" x14ac:dyDescent="0.25">
      <c r="I4006">
        <f t="shared" si="62"/>
        <v>1900</v>
      </c>
    </row>
    <row r="4007" spans="9:9" x14ac:dyDescent="0.25">
      <c r="I4007">
        <f t="shared" si="62"/>
        <v>1900</v>
      </c>
    </row>
    <row r="4008" spans="9:9" x14ac:dyDescent="0.25">
      <c r="I4008">
        <f t="shared" si="62"/>
        <v>1900</v>
      </c>
    </row>
    <row r="4009" spans="9:9" x14ac:dyDescent="0.25">
      <c r="I4009">
        <f t="shared" si="62"/>
        <v>1900</v>
      </c>
    </row>
    <row r="4010" spans="9:9" x14ac:dyDescent="0.25">
      <c r="I4010">
        <f t="shared" si="62"/>
        <v>1900</v>
      </c>
    </row>
    <row r="4011" spans="9:9" x14ac:dyDescent="0.25">
      <c r="I4011">
        <f t="shared" si="62"/>
        <v>1900</v>
      </c>
    </row>
    <row r="4012" spans="9:9" x14ac:dyDescent="0.25">
      <c r="I4012">
        <f t="shared" si="62"/>
        <v>1900</v>
      </c>
    </row>
    <row r="4013" spans="9:9" x14ac:dyDescent="0.25">
      <c r="I4013">
        <f t="shared" si="62"/>
        <v>1900</v>
      </c>
    </row>
    <row r="4014" spans="9:9" x14ac:dyDescent="0.25">
      <c r="I4014">
        <f t="shared" si="62"/>
        <v>1900</v>
      </c>
    </row>
    <row r="4015" spans="9:9" x14ac:dyDescent="0.25">
      <c r="I4015">
        <f t="shared" si="62"/>
        <v>1900</v>
      </c>
    </row>
    <row r="4016" spans="9:9" x14ac:dyDescent="0.25">
      <c r="I4016">
        <f t="shared" si="62"/>
        <v>1900</v>
      </c>
    </row>
    <row r="4017" spans="9:9" x14ac:dyDescent="0.25">
      <c r="I4017">
        <f t="shared" si="62"/>
        <v>1900</v>
      </c>
    </row>
    <row r="4018" spans="9:9" x14ac:dyDescent="0.25">
      <c r="I4018">
        <f t="shared" si="62"/>
        <v>1900</v>
      </c>
    </row>
    <row r="4019" spans="9:9" x14ac:dyDescent="0.25">
      <c r="I4019">
        <f t="shared" si="62"/>
        <v>1900</v>
      </c>
    </row>
    <row r="4020" spans="9:9" x14ac:dyDescent="0.25">
      <c r="I4020">
        <f t="shared" si="62"/>
        <v>1900</v>
      </c>
    </row>
    <row r="4021" spans="9:9" x14ac:dyDescent="0.25">
      <c r="I4021">
        <f t="shared" si="62"/>
        <v>1900</v>
      </c>
    </row>
    <row r="4022" spans="9:9" x14ac:dyDescent="0.25">
      <c r="I4022">
        <f t="shared" si="62"/>
        <v>1900</v>
      </c>
    </row>
    <row r="4023" spans="9:9" x14ac:dyDescent="0.25">
      <c r="I4023">
        <f t="shared" si="62"/>
        <v>1900</v>
      </c>
    </row>
    <row r="4024" spans="9:9" x14ac:dyDescent="0.25">
      <c r="I4024">
        <f t="shared" si="62"/>
        <v>1900</v>
      </c>
    </row>
    <row r="4025" spans="9:9" x14ac:dyDescent="0.25">
      <c r="I4025">
        <f t="shared" si="62"/>
        <v>1900</v>
      </c>
    </row>
    <row r="4026" spans="9:9" x14ac:dyDescent="0.25">
      <c r="I4026">
        <f t="shared" si="62"/>
        <v>1900</v>
      </c>
    </row>
    <row r="4027" spans="9:9" x14ac:dyDescent="0.25">
      <c r="I4027">
        <f t="shared" si="62"/>
        <v>1900</v>
      </c>
    </row>
    <row r="4028" spans="9:9" x14ac:dyDescent="0.25">
      <c r="I4028">
        <f t="shared" si="62"/>
        <v>1900</v>
      </c>
    </row>
    <row r="4029" spans="9:9" x14ac:dyDescent="0.25">
      <c r="I4029">
        <f t="shared" si="62"/>
        <v>1900</v>
      </c>
    </row>
    <row r="4030" spans="9:9" x14ac:dyDescent="0.25">
      <c r="I4030">
        <f t="shared" si="62"/>
        <v>1900</v>
      </c>
    </row>
    <row r="4031" spans="9:9" x14ac:dyDescent="0.25">
      <c r="I4031">
        <f t="shared" si="62"/>
        <v>1900</v>
      </c>
    </row>
    <row r="4032" spans="9:9" x14ac:dyDescent="0.25">
      <c r="I4032">
        <f t="shared" si="62"/>
        <v>1900</v>
      </c>
    </row>
    <row r="4033" spans="9:9" x14ac:dyDescent="0.25">
      <c r="I4033">
        <f t="shared" si="62"/>
        <v>1900</v>
      </c>
    </row>
    <row r="4034" spans="9:9" x14ac:dyDescent="0.25">
      <c r="I4034">
        <f t="shared" si="62"/>
        <v>1900</v>
      </c>
    </row>
    <row r="4035" spans="9:9" x14ac:dyDescent="0.25">
      <c r="I4035">
        <f t="shared" si="62"/>
        <v>1900</v>
      </c>
    </row>
    <row r="4036" spans="9:9" x14ac:dyDescent="0.25">
      <c r="I4036">
        <f t="shared" ref="I4036:I4099" si="63">IFERROR(YEAR(E4036),"")</f>
        <v>1900</v>
      </c>
    </row>
    <row r="4037" spans="9:9" x14ac:dyDescent="0.25">
      <c r="I4037">
        <f t="shared" si="63"/>
        <v>1900</v>
      </c>
    </row>
    <row r="4038" spans="9:9" x14ac:dyDescent="0.25">
      <c r="I4038">
        <f t="shared" si="63"/>
        <v>1900</v>
      </c>
    </row>
    <row r="4039" spans="9:9" x14ac:dyDescent="0.25">
      <c r="I4039">
        <f t="shared" si="63"/>
        <v>1900</v>
      </c>
    </row>
    <row r="4040" spans="9:9" x14ac:dyDescent="0.25">
      <c r="I4040">
        <f t="shared" si="63"/>
        <v>1900</v>
      </c>
    </row>
    <row r="4041" spans="9:9" x14ac:dyDescent="0.25">
      <c r="I4041">
        <f t="shared" si="63"/>
        <v>1900</v>
      </c>
    </row>
    <row r="4042" spans="9:9" x14ac:dyDescent="0.25">
      <c r="I4042">
        <f t="shared" si="63"/>
        <v>1900</v>
      </c>
    </row>
    <row r="4043" spans="9:9" x14ac:dyDescent="0.25">
      <c r="I4043">
        <f t="shared" si="63"/>
        <v>1900</v>
      </c>
    </row>
    <row r="4044" spans="9:9" x14ac:dyDescent="0.25">
      <c r="I4044">
        <f t="shared" si="63"/>
        <v>1900</v>
      </c>
    </row>
    <row r="4045" spans="9:9" x14ac:dyDescent="0.25">
      <c r="I4045">
        <f t="shared" si="63"/>
        <v>1900</v>
      </c>
    </row>
    <row r="4046" spans="9:9" x14ac:dyDescent="0.25">
      <c r="I4046">
        <f t="shared" si="63"/>
        <v>1900</v>
      </c>
    </row>
    <row r="4047" spans="9:9" x14ac:dyDescent="0.25">
      <c r="I4047">
        <f t="shared" si="63"/>
        <v>1900</v>
      </c>
    </row>
    <row r="4048" spans="9:9" x14ac:dyDescent="0.25">
      <c r="I4048">
        <f t="shared" si="63"/>
        <v>1900</v>
      </c>
    </row>
    <row r="4049" spans="9:9" x14ac:dyDescent="0.25">
      <c r="I4049">
        <f t="shared" si="63"/>
        <v>1900</v>
      </c>
    </row>
    <row r="4050" spans="9:9" x14ac:dyDescent="0.25">
      <c r="I4050">
        <f t="shared" si="63"/>
        <v>1900</v>
      </c>
    </row>
    <row r="4051" spans="9:9" x14ac:dyDescent="0.25">
      <c r="I4051">
        <f t="shared" si="63"/>
        <v>1900</v>
      </c>
    </row>
    <row r="4052" spans="9:9" x14ac:dyDescent="0.25">
      <c r="I4052">
        <f t="shared" si="63"/>
        <v>1900</v>
      </c>
    </row>
    <row r="4053" spans="9:9" x14ac:dyDescent="0.25">
      <c r="I4053">
        <f t="shared" si="63"/>
        <v>1900</v>
      </c>
    </row>
    <row r="4054" spans="9:9" x14ac:dyDescent="0.25">
      <c r="I4054">
        <f t="shared" si="63"/>
        <v>1900</v>
      </c>
    </row>
    <row r="4055" spans="9:9" x14ac:dyDescent="0.25">
      <c r="I4055">
        <f t="shared" si="63"/>
        <v>1900</v>
      </c>
    </row>
    <row r="4056" spans="9:9" x14ac:dyDescent="0.25">
      <c r="I4056">
        <f t="shared" si="63"/>
        <v>1900</v>
      </c>
    </row>
    <row r="4057" spans="9:9" x14ac:dyDescent="0.25">
      <c r="I4057">
        <f t="shared" si="63"/>
        <v>1900</v>
      </c>
    </row>
    <row r="4058" spans="9:9" x14ac:dyDescent="0.25">
      <c r="I4058">
        <f t="shared" si="63"/>
        <v>1900</v>
      </c>
    </row>
    <row r="4059" spans="9:9" x14ac:dyDescent="0.25">
      <c r="I4059">
        <f t="shared" si="63"/>
        <v>1900</v>
      </c>
    </row>
    <row r="4060" spans="9:9" x14ac:dyDescent="0.25">
      <c r="I4060">
        <f t="shared" si="63"/>
        <v>1900</v>
      </c>
    </row>
    <row r="4061" spans="9:9" x14ac:dyDescent="0.25">
      <c r="I4061">
        <f t="shared" si="63"/>
        <v>1900</v>
      </c>
    </row>
    <row r="4062" spans="9:9" x14ac:dyDescent="0.25">
      <c r="I4062">
        <f t="shared" si="63"/>
        <v>1900</v>
      </c>
    </row>
    <row r="4063" spans="9:9" x14ac:dyDescent="0.25">
      <c r="I4063">
        <f t="shared" si="63"/>
        <v>1900</v>
      </c>
    </row>
    <row r="4064" spans="9:9" x14ac:dyDescent="0.25">
      <c r="I4064">
        <f t="shared" si="63"/>
        <v>1900</v>
      </c>
    </row>
    <row r="4065" spans="9:9" x14ac:dyDescent="0.25">
      <c r="I4065">
        <f t="shared" si="63"/>
        <v>1900</v>
      </c>
    </row>
    <row r="4066" spans="9:9" x14ac:dyDescent="0.25">
      <c r="I4066">
        <f t="shared" si="63"/>
        <v>1900</v>
      </c>
    </row>
    <row r="4067" spans="9:9" x14ac:dyDescent="0.25">
      <c r="I4067">
        <f t="shared" si="63"/>
        <v>1900</v>
      </c>
    </row>
    <row r="4068" spans="9:9" x14ac:dyDescent="0.25">
      <c r="I4068">
        <f t="shared" si="63"/>
        <v>1900</v>
      </c>
    </row>
    <row r="4069" spans="9:9" x14ac:dyDescent="0.25">
      <c r="I4069">
        <f t="shared" si="63"/>
        <v>1900</v>
      </c>
    </row>
    <row r="4070" spans="9:9" x14ac:dyDescent="0.25">
      <c r="I4070">
        <f t="shared" si="63"/>
        <v>1900</v>
      </c>
    </row>
    <row r="4071" spans="9:9" x14ac:dyDescent="0.25">
      <c r="I4071">
        <f t="shared" si="63"/>
        <v>1900</v>
      </c>
    </row>
    <row r="4072" spans="9:9" x14ac:dyDescent="0.25">
      <c r="I4072">
        <f t="shared" si="63"/>
        <v>1900</v>
      </c>
    </row>
    <row r="4073" spans="9:9" x14ac:dyDescent="0.25">
      <c r="I4073">
        <f t="shared" si="63"/>
        <v>1900</v>
      </c>
    </row>
    <row r="4074" spans="9:9" x14ac:dyDescent="0.25">
      <c r="I4074">
        <f t="shared" si="63"/>
        <v>1900</v>
      </c>
    </row>
    <row r="4075" spans="9:9" x14ac:dyDescent="0.25">
      <c r="I4075">
        <f t="shared" si="63"/>
        <v>1900</v>
      </c>
    </row>
    <row r="4076" spans="9:9" x14ac:dyDescent="0.25">
      <c r="I4076">
        <f t="shared" si="63"/>
        <v>1900</v>
      </c>
    </row>
    <row r="4077" spans="9:9" x14ac:dyDescent="0.25">
      <c r="I4077">
        <f t="shared" si="63"/>
        <v>1900</v>
      </c>
    </row>
    <row r="4078" spans="9:9" x14ac:dyDescent="0.25">
      <c r="I4078">
        <f t="shared" si="63"/>
        <v>1900</v>
      </c>
    </row>
    <row r="4079" spans="9:9" x14ac:dyDescent="0.25">
      <c r="I4079">
        <f t="shared" si="63"/>
        <v>1900</v>
      </c>
    </row>
    <row r="4080" spans="9:9" x14ac:dyDescent="0.25">
      <c r="I4080">
        <f t="shared" si="63"/>
        <v>1900</v>
      </c>
    </row>
    <row r="4081" spans="9:9" x14ac:dyDescent="0.25">
      <c r="I4081">
        <f t="shared" si="63"/>
        <v>1900</v>
      </c>
    </row>
    <row r="4082" spans="9:9" x14ac:dyDescent="0.25">
      <c r="I4082">
        <f t="shared" si="63"/>
        <v>1900</v>
      </c>
    </row>
    <row r="4083" spans="9:9" x14ac:dyDescent="0.25">
      <c r="I4083">
        <f t="shared" si="63"/>
        <v>1900</v>
      </c>
    </row>
    <row r="4084" spans="9:9" x14ac:dyDescent="0.25">
      <c r="I4084">
        <f t="shared" si="63"/>
        <v>1900</v>
      </c>
    </row>
    <row r="4085" spans="9:9" x14ac:dyDescent="0.25">
      <c r="I4085">
        <f t="shared" si="63"/>
        <v>1900</v>
      </c>
    </row>
    <row r="4086" spans="9:9" x14ac:dyDescent="0.25">
      <c r="I4086">
        <f t="shared" si="63"/>
        <v>1900</v>
      </c>
    </row>
    <row r="4087" spans="9:9" x14ac:dyDescent="0.25">
      <c r="I4087">
        <f t="shared" si="63"/>
        <v>1900</v>
      </c>
    </row>
    <row r="4088" spans="9:9" x14ac:dyDescent="0.25">
      <c r="I4088">
        <f t="shared" si="63"/>
        <v>1900</v>
      </c>
    </row>
    <row r="4089" spans="9:9" x14ac:dyDescent="0.25">
      <c r="I4089">
        <f t="shared" si="63"/>
        <v>1900</v>
      </c>
    </row>
    <row r="4090" spans="9:9" x14ac:dyDescent="0.25">
      <c r="I4090">
        <f t="shared" si="63"/>
        <v>1900</v>
      </c>
    </row>
    <row r="4091" spans="9:9" x14ac:dyDescent="0.25">
      <c r="I4091">
        <f t="shared" si="63"/>
        <v>1900</v>
      </c>
    </row>
    <row r="4092" spans="9:9" x14ac:dyDescent="0.25">
      <c r="I4092">
        <f t="shared" si="63"/>
        <v>1900</v>
      </c>
    </row>
    <row r="4093" spans="9:9" x14ac:dyDescent="0.25">
      <c r="I4093">
        <f t="shared" si="63"/>
        <v>1900</v>
      </c>
    </row>
    <row r="4094" spans="9:9" x14ac:dyDescent="0.25">
      <c r="I4094">
        <f t="shared" si="63"/>
        <v>1900</v>
      </c>
    </row>
    <row r="4095" spans="9:9" x14ac:dyDescent="0.25">
      <c r="I4095">
        <f t="shared" si="63"/>
        <v>1900</v>
      </c>
    </row>
    <row r="4096" spans="9:9" x14ac:dyDescent="0.25">
      <c r="I4096">
        <f t="shared" si="63"/>
        <v>1900</v>
      </c>
    </row>
    <row r="4097" spans="9:9" x14ac:dyDescent="0.25">
      <c r="I4097">
        <f t="shared" si="63"/>
        <v>1900</v>
      </c>
    </row>
    <row r="4098" spans="9:9" x14ac:dyDescent="0.25">
      <c r="I4098">
        <f t="shared" si="63"/>
        <v>1900</v>
      </c>
    </row>
    <row r="4099" spans="9:9" x14ac:dyDescent="0.25">
      <c r="I4099">
        <f t="shared" si="63"/>
        <v>1900</v>
      </c>
    </row>
    <row r="4100" spans="9:9" x14ac:dyDescent="0.25">
      <c r="I4100">
        <f t="shared" ref="I4100:I4163" si="64">IFERROR(YEAR(E4100),"")</f>
        <v>1900</v>
      </c>
    </row>
    <row r="4101" spans="9:9" x14ac:dyDescent="0.25">
      <c r="I4101">
        <f t="shared" si="64"/>
        <v>1900</v>
      </c>
    </row>
    <row r="4102" spans="9:9" x14ac:dyDescent="0.25">
      <c r="I4102">
        <f t="shared" si="64"/>
        <v>1900</v>
      </c>
    </row>
    <row r="4103" spans="9:9" x14ac:dyDescent="0.25">
      <c r="I4103">
        <f t="shared" si="64"/>
        <v>1900</v>
      </c>
    </row>
    <row r="4104" spans="9:9" x14ac:dyDescent="0.25">
      <c r="I4104">
        <f t="shared" si="64"/>
        <v>1900</v>
      </c>
    </row>
    <row r="4105" spans="9:9" x14ac:dyDescent="0.25">
      <c r="I4105">
        <f t="shared" si="64"/>
        <v>1900</v>
      </c>
    </row>
    <row r="4106" spans="9:9" x14ac:dyDescent="0.25">
      <c r="I4106">
        <f t="shared" si="64"/>
        <v>1900</v>
      </c>
    </row>
    <row r="4107" spans="9:9" x14ac:dyDescent="0.25">
      <c r="I4107">
        <f t="shared" si="64"/>
        <v>1900</v>
      </c>
    </row>
    <row r="4108" spans="9:9" x14ac:dyDescent="0.25">
      <c r="I4108">
        <f t="shared" si="64"/>
        <v>1900</v>
      </c>
    </row>
    <row r="4109" spans="9:9" x14ac:dyDescent="0.25">
      <c r="I4109">
        <f t="shared" si="64"/>
        <v>1900</v>
      </c>
    </row>
    <row r="4110" spans="9:9" x14ac:dyDescent="0.25">
      <c r="I4110">
        <f t="shared" si="64"/>
        <v>1900</v>
      </c>
    </row>
    <row r="4111" spans="9:9" x14ac:dyDescent="0.25">
      <c r="I4111">
        <f t="shared" si="64"/>
        <v>1900</v>
      </c>
    </row>
    <row r="4112" spans="9:9" x14ac:dyDescent="0.25">
      <c r="I4112">
        <f t="shared" si="64"/>
        <v>1900</v>
      </c>
    </row>
    <row r="4113" spans="9:9" x14ac:dyDescent="0.25">
      <c r="I4113">
        <f t="shared" si="64"/>
        <v>1900</v>
      </c>
    </row>
    <row r="4114" spans="9:9" x14ac:dyDescent="0.25">
      <c r="I4114">
        <f t="shared" si="64"/>
        <v>1900</v>
      </c>
    </row>
    <row r="4115" spans="9:9" x14ac:dyDescent="0.25">
      <c r="I4115">
        <f t="shared" si="64"/>
        <v>1900</v>
      </c>
    </row>
    <row r="4116" spans="9:9" x14ac:dyDescent="0.25">
      <c r="I4116">
        <f t="shared" si="64"/>
        <v>1900</v>
      </c>
    </row>
    <row r="4117" spans="9:9" x14ac:dyDescent="0.25">
      <c r="I4117">
        <f t="shared" si="64"/>
        <v>1900</v>
      </c>
    </row>
    <row r="4118" spans="9:9" x14ac:dyDescent="0.25">
      <c r="I4118">
        <f t="shared" si="64"/>
        <v>1900</v>
      </c>
    </row>
    <row r="4119" spans="9:9" x14ac:dyDescent="0.25">
      <c r="I4119">
        <f t="shared" si="64"/>
        <v>1900</v>
      </c>
    </row>
    <row r="4120" spans="9:9" x14ac:dyDescent="0.25">
      <c r="I4120">
        <f t="shared" si="64"/>
        <v>1900</v>
      </c>
    </row>
    <row r="4121" spans="9:9" x14ac:dyDescent="0.25">
      <c r="I4121">
        <f t="shared" si="64"/>
        <v>1900</v>
      </c>
    </row>
    <row r="4122" spans="9:9" x14ac:dyDescent="0.25">
      <c r="I4122">
        <f t="shared" si="64"/>
        <v>1900</v>
      </c>
    </row>
    <row r="4123" spans="9:9" x14ac:dyDescent="0.25">
      <c r="I4123">
        <f t="shared" si="64"/>
        <v>1900</v>
      </c>
    </row>
    <row r="4124" spans="9:9" x14ac:dyDescent="0.25">
      <c r="I4124">
        <f t="shared" si="64"/>
        <v>1900</v>
      </c>
    </row>
    <row r="4125" spans="9:9" x14ac:dyDescent="0.25">
      <c r="I4125">
        <f t="shared" si="64"/>
        <v>1900</v>
      </c>
    </row>
    <row r="4126" spans="9:9" x14ac:dyDescent="0.25">
      <c r="I4126">
        <f t="shared" si="64"/>
        <v>1900</v>
      </c>
    </row>
    <row r="4127" spans="9:9" x14ac:dyDescent="0.25">
      <c r="I4127">
        <f t="shared" si="64"/>
        <v>1900</v>
      </c>
    </row>
    <row r="4128" spans="9:9" x14ac:dyDescent="0.25">
      <c r="I4128">
        <f t="shared" si="64"/>
        <v>1900</v>
      </c>
    </row>
    <row r="4129" spans="9:9" x14ac:dyDescent="0.25">
      <c r="I4129">
        <f t="shared" si="64"/>
        <v>1900</v>
      </c>
    </row>
    <row r="4130" spans="9:9" x14ac:dyDescent="0.25">
      <c r="I4130">
        <f t="shared" si="64"/>
        <v>1900</v>
      </c>
    </row>
    <row r="4131" spans="9:9" x14ac:dyDescent="0.25">
      <c r="I4131">
        <f t="shared" si="64"/>
        <v>1900</v>
      </c>
    </row>
    <row r="4132" spans="9:9" x14ac:dyDescent="0.25">
      <c r="I4132">
        <f t="shared" si="64"/>
        <v>1900</v>
      </c>
    </row>
    <row r="4133" spans="9:9" x14ac:dyDescent="0.25">
      <c r="I4133">
        <f t="shared" si="64"/>
        <v>1900</v>
      </c>
    </row>
    <row r="4134" spans="9:9" x14ac:dyDescent="0.25">
      <c r="I4134">
        <f t="shared" si="64"/>
        <v>1900</v>
      </c>
    </row>
    <row r="4135" spans="9:9" x14ac:dyDescent="0.25">
      <c r="I4135">
        <f t="shared" si="64"/>
        <v>1900</v>
      </c>
    </row>
    <row r="4136" spans="9:9" x14ac:dyDescent="0.25">
      <c r="I4136">
        <f t="shared" si="64"/>
        <v>1900</v>
      </c>
    </row>
    <row r="4137" spans="9:9" x14ac:dyDescent="0.25">
      <c r="I4137">
        <f t="shared" si="64"/>
        <v>1900</v>
      </c>
    </row>
    <row r="4138" spans="9:9" x14ac:dyDescent="0.25">
      <c r="I4138">
        <f t="shared" si="64"/>
        <v>1900</v>
      </c>
    </row>
    <row r="4139" spans="9:9" x14ac:dyDescent="0.25">
      <c r="I4139">
        <f t="shared" si="64"/>
        <v>1900</v>
      </c>
    </row>
    <row r="4140" spans="9:9" x14ac:dyDescent="0.25">
      <c r="I4140">
        <f t="shared" si="64"/>
        <v>1900</v>
      </c>
    </row>
    <row r="4141" spans="9:9" x14ac:dyDescent="0.25">
      <c r="I4141">
        <f t="shared" si="64"/>
        <v>1900</v>
      </c>
    </row>
    <row r="4142" spans="9:9" x14ac:dyDescent="0.25">
      <c r="I4142">
        <f t="shared" si="64"/>
        <v>1900</v>
      </c>
    </row>
    <row r="4143" spans="9:9" x14ac:dyDescent="0.25">
      <c r="I4143">
        <f t="shared" si="64"/>
        <v>1900</v>
      </c>
    </row>
    <row r="4144" spans="9:9" x14ac:dyDescent="0.25">
      <c r="I4144">
        <f t="shared" si="64"/>
        <v>1900</v>
      </c>
    </row>
    <row r="4145" spans="9:9" x14ac:dyDescent="0.25">
      <c r="I4145">
        <f t="shared" si="64"/>
        <v>1900</v>
      </c>
    </row>
    <row r="4146" spans="9:9" x14ac:dyDescent="0.25">
      <c r="I4146">
        <f t="shared" si="64"/>
        <v>1900</v>
      </c>
    </row>
    <row r="4147" spans="9:9" x14ac:dyDescent="0.25">
      <c r="I4147">
        <f t="shared" si="64"/>
        <v>1900</v>
      </c>
    </row>
    <row r="4148" spans="9:9" x14ac:dyDescent="0.25">
      <c r="I4148">
        <f t="shared" si="64"/>
        <v>1900</v>
      </c>
    </row>
    <row r="4149" spans="9:9" x14ac:dyDescent="0.25">
      <c r="I4149">
        <f t="shared" si="64"/>
        <v>1900</v>
      </c>
    </row>
    <row r="4150" spans="9:9" x14ac:dyDescent="0.25">
      <c r="I4150">
        <f t="shared" si="64"/>
        <v>1900</v>
      </c>
    </row>
    <row r="4151" spans="9:9" x14ac:dyDescent="0.25">
      <c r="I4151">
        <f t="shared" si="64"/>
        <v>1900</v>
      </c>
    </row>
    <row r="4152" spans="9:9" x14ac:dyDescent="0.25">
      <c r="I4152">
        <f t="shared" si="64"/>
        <v>1900</v>
      </c>
    </row>
    <row r="4153" spans="9:9" x14ac:dyDescent="0.25">
      <c r="I4153">
        <f t="shared" si="64"/>
        <v>1900</v>
      </c>
    </row>
    <row r="4154" spans="9:9" x14ac:dyDescent="0.25">
      <c r="I4154">
        <f t="shared" si="64"/>
        <v>1900</v>
      </c>
    </row>
    <row r="4155" spans="9:9" x14ac:dyDescent="0.25">
      <c r="I4155">
        <f t="shared" si="64"/>
        <v>1900</v>
      </c>
    </row>
    <row r="4156" spans="9:9" x14ac:dyDescent="0.25">
      <c r="I4156">
        <f t="shared" si="64"/>
        <v>1900</v>
      </c>
    </row>
    <row r="4157" spans="9:9" x14ac:dyDescent="0.25">
      <c r="I4157">
        <f t="shared" si="64"/>
        <v>1900</v>
      </c>
    </row>
    <row r="4158" spans="9:9" x14ac:dyDescent="0.25">
      <c r="I4158">
        <f t="shared" si="64"/>
        <v>1900</v>
      </c>
    </row>
    <row r="4159" spans="9:9" x14ac:dyDescent="0.25">
      <c r="I4159">
        <f t="shared" si="64"/>
        <v>1900</v>
      </c>
    </row>
    <row r="4160" spans="9:9" x14ac:dyDescent="0.25">
      <c r="I4160">
        <f t="shared" si="64"/>
        <v>1900</v>
      </c>
    </row>
    <row r="4161" spans="9:9" x14ac:dyDescent="0.25">
      <c r="I4161">
        <f t="shared" si="64"/>
        <v>1900</v>
      </c>
    </row>
    <row r="4162" spans="9:9" x14ac:dyDescent="0.25">
      <c r="I4162">
        <f t="shared" si="64"/>
        <v>1900</v>
      </c>
    </row>
    <row r="4163" spans="9:9" x14ac:dyDescent="0.25">
      <c r="I4163">
        <f t="shared" si="64"/>
        <v>1900</v>
      </c>
    </row>
    <row r="4164" spans="9:9" x14ac:dyDescent="0.25">
      <c r="I4164">
        <f t="shared" ref="I4164:I4227" si="65">IFERROR(YEAR(E4164),"")</f>
        <v>1900</v>
      </c>
    </row>
    <row r="4165" spans="9:9" x14ac:dyDescent="0.25">
      <c r="I4165">
        <f t="shared" si="65"/>
        <v>1900</v>
      </c>
    </row>
    <row r="4166" spans="9:9" x14ac:dyDescent="0.25">
      <c r="I4166">
        <f t="shared" si="65"/>
        <v>1900</v>
      </c>
    </row>
    <row r="4167" spans="9:9" x14ac:dyDescent="0.25">
      <c r="I4167">
        <f t="shared" si="65"/>
        <v>1900</v>
      </c>
    </row>
    <row r="4168" spans="9:9" x14ac:dyDescent="0.25">
      <c r="I4168">
        <f t="shared" si="65"/>
        <v>1900</v>
      </c>
    </row>
    <row r="4169" spans="9:9" x14ac:dyDescent="0.25">
      <c r="I4169">
        <f t="shared" si="65"/>
        <v>1900</v>
      </c>
    </row>
    <row r="4170" spans="9:9" x14ac:dyDescent="0.25">
      <c r="I4170">
        <f t="shared" si="65"/>
        <v>1900</v>
      </c>
    </row>
    <row r="4171" spans="9:9" x14ac:dyDescent="0.25">
      <c r="I4171">
        <f t="shared" si="65"/>
        <v>1900</v>
      </c>
    </row>
    <row r="4172" spans="9:9" x14ac:dyDescent="0.25">
      <c r="I4172">
        <f t="shared" si="65"/>
        <v>1900</v>
      </c>
    </row>
    <row r="4173" spans="9:9" x14ac:dyDescent="0.25">
      <c r="I4173">
        <f t="shared" si="65"/>
        <v>1900</v>
      </c>
    </row>
    <row r="4174" spans="9:9" x14ac:dyDescent="0.25">
      <c r="I4174">
        <f t="shared" si="65"/>
        <v>1900</v>
      </c>
    </row>
    <row r="4175" spans="9:9" x14ac:dyDescent="0.25">
      <c r="I4175">
        <f t="shared" si="65"/>
        <v>1900</v>
      </c>
    </row>
    <row r="4176" spans="9:9" x14ac:dyDescent="0.25">
      <c r="I4176">
        <f t="shared" si="65"/>
        <v>1900</v>
      </c>
    </row>
    <row r="4177" spans="9:9" x14ac:dyDescent="0.25">
      <c r="I4177">
        <f t="shared" si="65"/>
        <v>1900</v>
      </c>
    </row>
    <row r="4178" spans="9:9" x14ac:dyDescent="0.25">
      <c r="I4178">
        <f t="shared" si="65"/>
        <v>1900</v>
      </c>
    </row>
    <row r="4179" spans="9:9" x14ac:dyDescent="0.25">
      <c r="I4179">
        <f t="shared" si="65"/>
        <v>1900</v>
      </c>
    </row>
    <row r="4180" spans="9:9" x14ac:dyDescent="0.25">
      <c r="I4180">
        <f t="shared" si="65"/>
        <v>1900</v>
      </c>
    </row>
    <row r="4181" spans="9:9" x14ac:dyDescent="0.25">
      <c r="I4181">
        <f t="shared" si="65"/>
        <v>1900</v>
      </c>
    </row>
    <row r="4182" spans="9:9" x14ac:dyDescent="0.25">
      <c r="I4182">
        <f t="shared" si="65"/>
        <v>1900</v>
      </c>
    </row>
    <row r="4183" spans="9:9" x14ac:dyDescent="0.25">
      <c r="I4183">
        <f t="shared" si="65"/>
        <v>1900</v>
      </c>
    </row>
    <row r="4184" spans="9:9" x14ac:dyDescent="0.25">
      <c r="I4184">
        <f t="shared" si="65"/>
        <v>1900</v>
      </c>
    </row>
    <row r="4185" spans="9:9" x14ac:dyDescent="0.25">
      <c r="I4185">
        <f t="shared" si="65"/>
        <v>1900</v>
      </c>
    </row>
    <row r="4186" spans="9:9" x14ac:dyDescent="0.25">
      <c r="I4186">
        <f t="shared" si="65"/>
        <v>1900</v>
      </c>
    </row>
    <row r="4187" spans="9:9" x14ac:dyDescent="0.25">
      <c r="I4187">
        <f t="shared" si="65"/>
        <v>1900</v>
      </c>
    </row>
    <row r="4188" spans="9:9" x14ac:dyDescent="0.25">
      <c r="I4188">
        <f t="shared" si="65"/>
        <v>1900</v>
      </c>
    </row>
    <row r="4189" spans="9:9" x14ac:dyDescent="0.25">
      <c r="I4189">
        <f t="shared" si="65"/>
        <v>1900</v>
      </c>
    </row>
    <row r="4190" spans="9:9" x14ac:dyDescent="0.25">
      <c r="I4190">
        <f t="shared" si="65"/>
        <v>1900</v>
      </c>
    </row>
    <row r="4191" spans="9:9" x14ac:dyDescent="0.25">
      <c r="I4191">
        <f t="shared" si="65"/>
        <v>1900</v>
      </c>
    </row>
    <row r="4192" spans="9:9" x14ac:dyDescent="0.25">
      <c r="I4192">
        <f t="shared" si="65"/>
        <v>1900</v>
      </c>
    </row>
    <row r="4193" spans="9:9" x14ac:dyDescent="0.25">
      <c r="I4193">
        <f t="shared" si="65"/>
        <v>1900</v>
      </c>
    </row>
    <row r="4194" spans="9:9" x14ac:dyDescent="0.25">
      <c r="I4194">
        <f t="shared" si="65"/>
        <v>1900</v>
      </c>
    </row>
    <row r="4195" spans="9:9" x14ac:dyDescent="0.25">
      <c r="I4195">
        <f t="shared" si="65"/>
        <v>1900</v>
      </c>
    </row>
    <row r="4196" spans="9:9" x14ac:dyDescent="0.25">
      <c r="I4196">
        <f t="shared" si="65"/>
        <v>1900</v>
      </c>
    </row>
    <row r="4197" spans="9:9" x14ac:dyDescent="0.25">
      <c r="I4197">
        <f t="shared" si="65"/>
        <v>1900</v>
      </c>
    </row>
    <row r="4198" spans="9:9" x14ac:dyDescent="0.25">
      <c r="I4198">
        <f t="shared" si="65"/>
        <v>1900</v>
      </c>
    </row>
    <row r="4199" spans="9:9" x14ac:dyDescent="0.25">
      <c r="I4199">
        <f t="shared" si="65"/>
        <v>1900</v>
      </c>
    </row>
    <row r="4200" spans="9:9" x14ac:dyDescent="0.25">
      <c r="I4200">
        <f t="shared" si="65"/>
        <v>1900</v>
      </c>
    </row>
    <row r="4201" spans="9:9" x14ac:dyDescent="0.25">
      <c r="I4201">
        <f t="shared" si="65"/>
        <v>1900</v>
      </c>
    </row>
    <row r="4202" spans="9:9" x14ac:dyDescent="0.25">
      <c r="I4202">
        <f t="shared" si="65"/>
        <v>1900</v>
      </c>
    </row>
    <row r="4203" spans="9:9" x14ac:dyDescent="0.25">
      <c r="I4203">
        <f t="shared" si="65"/>
        <v>1900</v>
      </c>
    </row>
    <row r="4204" spans="9:9" x14ac:dyDescent="0.25">
      <c r="I4204">
        <f t="shared" si="65"/>
        <v>1900</v>
      </c>
    </row>
    <row r="4205" spans="9:9" x14ac:dyDescent="0.25">
      <c r="I4205">
        <f t="shared" si="65"/>
        <v>1900</v>
      </c>
    </row>
    <row r="4206" spans="9:9" x14ac:dyDescent="0.25">
      <c r="I4206">
        <f t="shared" si="65"/>
        <v>1900</v>
      </c>
    </row>
    <row r="4207" spans="9:9" x14ac:dyDescent="0.25">
      <c r="I4207">
        <f t="shared" si="65"/>
        <v>1900</v>
      </c>
    </row>
    <row r="4208" spans="9:9" x14ac:dyDescent="0.25">
      <c r="I4208">
        <f t="shared" si="65"/>
        <v>1900</v>
      </c>
    </row>
    <row r="4209" spans="9:9" x14ac:dyDescent="0.25">
      <c r="I4209">
        <f t="shared" si="65"/>
        <v>1900</v>
      </c>
    </row>
    <row r="4210" spans="9:9" x14ac:dyDescent="0.25">
      <c r="I4210">
        <f t="shared" si="65"/>
        <v>1900</v>
      </c>
    </row>
    <row r="4211" spans="9:9" x14ac:dyDescent="0.25">
      <c r="I4211">
        <f t="shared" si="65"/>
        <v>1900</v>
      </c>
    </row>
    <row r="4212" spans="9:9" x14ac:dyDescent="0.25">
      <c r="I4212">
        <f t="shared" si="65"/>
        <v>1900</v>
      </c>
    </row>
    <row r="4213" spans="9:9" x14ac:dyDescent="0.25">
      <c r="I4213">
        <f t="shared" si="65"/>
        <v>1900</v>
      </c>
    </row>
    <row r="4214" spans="9:9" x14ac:dyDescent="0.25">
      <c r="I4214">
        <f t="shared" si="65"/>
        <v>1900</v>
      </c>
    </row>
    <row r="4215" spans="9:9" x14ac:dyDescent="0.25">
      <c r="I4215">
        <f t="shared" si="65"/>
        <v>1900</v>
      </c>
    </row>
    <row r="4216" spans="9:9" x14ac:dyDescent="0.25">
      <c r="I4216">
        <f t="shared" si="65"/>
        <v>1900</v>
      </c>
    </row>
    <row r="4217" spans="9:9" x14ac:dyDescent="0.25">
      <c r="I4217">
        <f t="shared" si="65"/>
        <v>1900</v>
      </c>
    </row>
    <row r="4218" spans="9:9" x14ac:dyDescent="0.25">
      <c r="I4218">
        <f t="shared" si="65"/>
        <v>1900</v>
      </c>
    </row>
    <row r="4219" spans="9:9" x14ac:dyDescent="0.25">
      <c r="I4219">
        <f t="shared" si="65"/>
        <v>1900</v>
      </c>
    </row>
    <row r="4220" spans="9:9" x14ac:dyDescent="0.25">
      <c r="I4220">
        <f t="shared" si="65"/>
        <v>1900</v>
      </c>
    </row>
    <row r="4221" spans="9:9" x14ac:dyDescent="0.25">
      <c r="I4221">
        <f t="shared" si="65"/>
        <v>1900</v>
      </c>
    </row>
    <row r="4222" spans="9:9" x14ac:dyDescent="0.25">
      <c r="I4222">
        <f t="shared" si="65"/>
        <v>1900</v>
      </c>
    </row>
    <row r="4223" spans="9:9" x14ac:dyDescent="0.25">
      <c r="I4223">
        <f t="shared" si="65"/>
        <v>1900</v>
      </c>
    </row>
    <row r="4224" spans="9:9" x14ac:dyDescent="0.25">
      <c r="I4224">
        <f t="shared" si="65"/>
        <v>1900</v>
      </c>
    </row>
    <row r="4225" spans="9:9" x14ac:dyDescent="0.25">
      <c r="I4225">
        <f t="shared" si="65"/>
        <v>1900</v>
      </c>
    </row>
    <row r="4226" spans="9:9" x14ac:dyDescent="0.25">
      <c r="I4226">
        <f t="shared" si="65"/>
        <v>1900</v>
      </c>
    </row>
    <row r="4227" spans="9:9" x14ac:dyDescent="0.25">
      <c r="I4227">
        <f t="shared" si="65"/>
        <v>1900</v>
      </c>
    </row>
    <row r="4228" spans="9:9" x14ac:dyDescent="0.25">
      <c r="I4228">
        <f t="shared" ref="I4228:I4291" si="66">IFERROR(YEAR(E4228),"")</f>
        <v>1900</v>
      </c>
    </row>
    <row r="4229" spans="9:9" x14ac:dyDescent="0.25">
      <c r="I4229">
        <f t="shared" si="66"/>
        <v>1900</v>
      </c>
    </row>
    <row r="4230" spans="9:9" x14ac:dyDescent="0.25">
      <c r="I4230">
        <f t="shared" si="66"/>
        <v>1900</v>
      </c>
    </row>
    <row r="4231" spans="9:9" x14ac:dyDescent="0.25">
      <c r="I4231">
        <f t="shared" si="66"/>
        <v>1900</v>
      </c>
    </row>
    <row r="4232" spans="9:9" x14ac:dyDescent="0.25">
      <c r="I4232">
        <f t="shared" si="66"/>
        <v>1900</v>
      </c>
    </row>
    <row r="4233" spans="9:9" x14ac:dyDescent="0.25">
      <c r="I4233">
        <f t="shared" si="66"/>
        <v>1900</v>
      </c>
    </row>
    <row r="4234" spans="9:9" x14ac:dyDescent="0.25">
      <c r="I4234">
        <f t="shared" si="66"/>
        <v>1900</v>
      </c>
    </row>
    <row r="4235" spans="9:9" x14ac:dyDescent="0.25">
      <c r="I4235">
        <f t="shared" si="66"/>
        <v>1900</v>
      </c>
    </row>
    <row r="4236" spans="9:9" x14ac:dyDescent="0.25">
      <c r="I4236">
        <f t="shared" si="66"/>
        <v>1900</v>
      </c>
    </row>
    <row r="4237" spans="9:9" x14ac:dyDescent="0.25">
      <c r="I4237">
        <f t="shared" si="66"/>
        <v>1900</v>
      </c>
    </row>
    <row r="4238" spans="9:9" x14ac:dyDescent="0.25">
      <c r="I4238">
        <f t="shared" si="66"/>
        <v>1900</v>
      </c>
    </row>
    <row r="4239" spans="9:9" x14ac:dyDescent="0.25">
      <c r="I4239">
        <f t="shared" si="66"/>
        <v>1900</v>
      </c>
    </row>
    <row r="4240" spans="9:9" x14ac:dyDescent="0.25">
      <c r="I4240">
        <f t="shared" si="66"/>
        <v>1900</v>
      </c>
    </row>
    <row r="4241" spans="9:9" x14ac:dyDescent="0.25">
      <c r="I4241">
        <f t="shared" si="66"/>
        <v>1900</v>
      </c>
    </row>
    <row r="4242" spans="9:9" x14ac:dyDescent="0.25">
      <c r="I4242">
        <f t="shared" si="66"/>
        <v>1900</v>
      </c>
    </row>
    <row r="4243" spans="9:9" x14ac:dyDescent="0.25">
      <c r="I4243">
        <f t="shared" si="66"/>
        <v>1900</v>
      </c>
    </row>
    <row r="4244" spans="9:9" x14ac:dyDescent="0.25">
      <c r="I4244">
        <f t="shared" si="66"/>
        <v>1900</v>
      </c>
    </row>
    <row r="4245" spans="9:9" x14ac:dyDescent="0.25">
      <c r="I4245">
        <f t="shared" si="66"/>
        <v>1900</v>
      </c>
    </row>
    <row r="4246" spans="9:9" x14ac:dyDescent="0.25">
      <c r="I4246">
        <f t="shared" si="66"/>
        <v>1900</v>
      </c>
    </row>
    <row r="4247" spans="9:9" x14ac:dyDescent="0.25">
      <c r="I4247">
        <f t="shared" si="66"/>
        <v>1900</v>
      </c>
    </row>
    <row r="4248" spans="9:9" x14ac:dyDescent="0.25">
      <c r="I4248">
        <f t="shared" si="66"/>
        <v>1900</v>
      </c>
    </row>
    <row r="4249" spans="9:9" x14ac:dyDescent="0.25">
      <c r="I4249">
        <f t="shared" si="66"/>
        <v>1900</v>
      </c>
    </row>
    <row r="4250" spans="9:9" x14ac:dyDescent="0.25">
      <c r="I4250">
        <f t="shared" si="66"/>
        <v>1900</v>
      </c>
    </row>
    <row r="4251" spans="9:9" x14ac:dyDescent="0.25">
      <c r="I4251">
        <f t="shared" si="66"/>
        <v>1900</v>
      </c>
    </row>
    <row r="4252" spans="9:9" x14ac:dyDescent="0.25">
      <c r="I4252">
        <f t="shared" si="66"/>
        <v>1900</v>
      </c>
    </row>
    <row r="4253" spans="9:9" x14ac:dyDescent="0.25">
      <c r="I4253">
        <f t="shared" si="66"/>
        <v>1900</v>
      </c>
    </row>
    <row r="4254" spans="9:9" x14ac:dyDescent="0.25">
      <c r="I4254">
        <f t="shared" si="66"/>
        <v>1900</v>
      </c>
    </row>
    <row r="4255" spans="9:9" x14ac:dyDescent="0.25">
      <c r="I4255">
        <f t="shared" si="66"/>
        <v>1900</v>
      </c>
    </row>
    <row r="4256" spans="9:9" x14ac:dyDescent="0.25">
      <c r="I4256">
        <f t="shared" si="66"/>
        <v>1900</v>
      </c>
    </row>
    <row r="4257" spans="9:9" x14ac:dyDescent="0.25">
      <c r="I4257">
        <f t="shared" si="66"/>
        <v>1900</v>
      </c>
    </row>
    <row r="4258" spans="9:9" x14ac:dyDescent="0.25">
      <c r="I4258">
        <f t="shared" si="66"/>
        <v>1900</v>
      </c>
    </row>
    <row r="4259" spans="9:9" x14ac:dyDescent="0.25">
      <c r="I4259">
        <f t="shared" si="66"/>
        <v>1900</v>
      </c>
    </row>
    <row r="4260" spans="9:9" x14ac:dyDescent="0.25">
      <c r="I4260">
        <f t="shared" si="66"/>
        <v>1900</v>
      </c>
    </row>
    <row r="4261" spans="9:9" x14ac:dyDescent="0.25">
      <c r="I4261">
        <f t="shared" si="66"/>
        <v>1900</v>
      </c>
    </row>
    <row r="4262" spans="9:9" x14ac:dyDescent="0.25">
      <c r="I4262">
        <f t="shared" si="66"/>
        <v>1900</v>
      </c>
    </row>
    <row r="4263" spans="9:9" x14ac:dyDescent="0.25">
      <c r="I4263">
        <f t="shared" si="66"/>
        <v>1900</v>
      </c>
    </row>
    <row r="4264" spans="9:9" x14ac:dyDescent="0.25">
      <c r="I4264">
        <f t="shared" si="66"/>
        <v>1900</v>
      </c>
    </row>
    <row r="4265" spans="9:9" x14ac:dyDescent="0.25">
      <c r="I4265">
        <f t="shared" si="66"/>
        <v>1900</v>
      </c>
    </row>
    <row r="4266" spans="9:9" x14ac:dyDescent="0.25">
      <c r="I4266">
        <f t="shared" si="66"/>
        <v>1900</v>
      </c>
    </row>
    <row r="4267" spans="9:9" x14ac:dyDescent="0.25">
      <c r="I4267">
        <f t="shared" si="66"/>
        <v>1900</v>
      </c>
    </row>
    <row r="4268" spans="9:9" x14ac:dyDescent="0.25">
      <c r="I4268">
        <f t="shared" si="66"/>
        <v>1900</v>
      </c>
    </row>
    <row r="4269" spans="9:9" x14ac:dyDescent="0.25">
      <c r="I4269">
        <f t="shared" si="66"/>
        <v>1900</v>
      </c>
    </row>
    <row r="4270" spans="9:9" x14ac:dyDescent="0.25">
      <c r="I4270">
        <f t="shared" si="66"/>
        <v>1900</v>
      </c>
    </row>
    <row r="4271" spans="9:9" x14ac:dyDescent="0.25">
      <c r="I4271">
        <f t="shared" si="66"/>
        <v>1900</v>
      </c>
    </row>
    <row r="4272" spans="9:9" x14ac:dyDescent="0.25">
      <c r="I4272">
        <f t="shared" si="66"/>
        <v>1900</v>
      </c>
    </row>
    <row r="4273" spans="9:9" x14ac:dyDescent="0.25">
      <c r="I4273">
        <f t="shared" si="66"/>
        <v>1900</v>
      </c>
    </row>
    <row r="4274" spans="9:9" x14ac:dyDescent="0.25">
      <c r="I4274">
        <f t="shared" si="66"/>
        <v>1900</v>
      </c>
    </row>
    <row r="4275" spans="9:9" x14ac:dyDescent="0.25">
      <c r="I4275">
        <f t="shared" si="66"/>
        <v>1900</v>
      </c>
    </row>
    <row r="4276" spans="9:9" x14ac:dyDescent="0.25">
      <c r="I4276">
        <f t="shared" si="66"/>
        <v>1900</v>
      </c>
    </row>
    <row r="4277" spans="9:9" x14ac:dyDescent="0.25">
      <c r="I4277">
        <f t="shared" si="66"/>
        <v>1900</v>
      </c>
    </row>
    <row r="4278" spans="9:9" x14ac:dyDescent="0.25">
      <c r="I4278">
        <f t="shared" si="66"/>
        <v>1900</v>
      </c>
    </row>
    <row r="4279" spans="9:9" x14ac:dyDescent="0.25">
      <c r="I4279">
        <f t="shared" si="66"/>
        <v>1900</v>
      </c>
    </row>
    <row r="4280" spans="9:9" x14ac:dyDescent="0.25">
      <c r="I4280">
        <f t="shared" si="66"/>
        <v>1900</v>
      </c>
    </row>
    <row r="4281" spans="9:9" x14ac:dyDescent="0.25">
      <c r="I4281">
        <f t="shared" si="66"/>
        <v>1900</v>
      </c>
    </row>
    <row r="4282" spans="9:9" x14ac:dyDescent="0.25">
      <c r="I4282">
        <f t="shared" si="66"/>
        <v>1900</v>
      </c>
    </row>
    <row r="4283" spans="9:9" x14ac:dyDescent="0.25">
      <c r="I4283">
        <f t="shared" si="66"/>
        <v>1900</v>
      </c>
    </row>
    <row r="4284" spans="9:9" x14ac:dyDescent="0.25">
      <c r="I4284">
        <f t="shared" si="66"/>
        <v>1900</v>
      </c>
    </row>
    <row r="4285" spans="9:9" x14ac:dyDescent="0.25">
      <c r="I4285">
        <f t="shared" si="66"/>
        <v>1900</v>
      </c>
    </row>
    <row r="4286" spans="9:9" x14ac:dyDescent="0.25">
      <c r="I4286">
        <f t="shared" si="66"/>
        <v>1900</v>
      </c>
    </row>
    <row r="4287" spans="9:9" x14ac:dyDescent="0.25">
      <c r="I4287">
        <f t="shared" si="66"/>
        <v>1900</v>
      </c>
    </row>
    <row r="4288" spans="9:9" x14ac:dyDescent="0.25">
      <c r="I4288">
        <f t="shared" si="66"/>
        <v>1900</v>
      </c>
    </row>
    <row r="4289" spans="9:9" x14ac:dyDescent="0.25">
      <c r="I4289">
        <f t="shared" si="66"/>
        <v>1900</v>
      </c>
    </row>
    <row r="4290" spans="9:9" x14ac:dyDescent="0.25">
      <c r="I4290">
        <f t="shared" si="66"/>
        <v>1900</v>
      </c>
    </row>
    <row r="4291" spans="9:9" x14ac:dyDescent="0.25">
      <c r="I4291">
        <f t="shared" si="66"/>
        <v>1900</v>
      </c>
    </row>
    <row r="4292" spans="9:9" x14ac:dyDescent="0.25">
      <c r="I4292">
        <f t="shared" ref="I4292:I4355" si="67">IFERROR(YEAR(E4292),"")</f>
        <v>1900</v>
      </c>
    </row>
    <row r="4293" spans="9:9" x14ac:dyDescent="0.25">
      <c r="I4293">
        <f t="shared" si="67"/>
        <v>1900</v>
      </c>
    </row>
    <row r="4294" spans="9:9" x14ac:dyDescent="0.25">
      <c r="I4294">
        <f t="shared" si="67"/>
        <v>1900</v>
      </c>
    </row>
    <row r="4295" spans="9:9" x14ac:dyDescent="0.25">
      <c r="I4295">
        <f t="shared" si="67"/>
        <v>1900</v>
      </c>
    </row>
    <row r="4296" spans="9:9" x14ac:dyDescent="0.25">
      <c r="I4296">
        <f t="shared" si="67"/>
        <v>1900</v>
      </c>
    </row>
    <row r="4297" spans="9:9" x14ac:dyDescent="0.25">
      <c r="I4297">
        <f t="shared" si="67"/>
        <v>1900</v>
      </c>
    </row>
    <row r="4298" spans="9:9" x14ac:dyDescent="0.25">
      <c r="I4298">
        <f t="shared" si="67"/>
        <v>1900</v>
      </c>
    </row>
    <row r="4299" spans="9:9" x14ac:dyDescent="0.25">
      <c r="I4299">
        <f t="shared" si="67"/>
        <v>1900</v>
      </c>
    </row>
    <row r="4300" spans="9:9" x14ac:dyDescent="0.25">
      <c r="I4300">
        <f t="shared" si="67"/>
        <v>1900</v>
      </c>
    </row>
    <row r="4301" spans="9:9" x14ac:dyDescent="0.25">
      <c r="I4301">
        <f t="shared" si="67"/>
        <v>1900</v>
      </c>
    </row>
    <row r="4302" spans="9:9" x14ac:dyDescent="0.25">
      <c r="I4302">
        <f t="shared" si="67"/>
        <v>1900</v>
      </c>
    </row>
    <row r="4303" spans="9:9" x14ac:dyDescent="0.25">
      <c r="I4303">
        <f t="shared" si="67"/>
        <v>1900</v>
      </c>
    </row>
    <row r="4304" spans="9:9" x14ac:dyDescent="0.25">
      <c r="I4304">
        <f t="shared" si="67"/>
        <v>1900</v>
      </c>
    </row>
    <row r="4305" spans="9:9" x14ac:dyDescent="0.25">
      <c r="I4305">
        <f t="shared" si="67"/>
        <v>1900</v>
      </c>
    </row>
    <row r="4306" spans="9:9" x14ac:dyDescent="0.25">
      <c r="I4306">
        <f t="shared" si="67"/>
        <v>1900</v>
      </c>
    </row>
    <row r="4307" spans="9:9" x14ac:dyDescent="0.25">
      <c r="I4307">
        <f t="shared" si="67"/>
        <v>1900</v>
      </c>
    </row>
    <row r="4308" spans="9:9" x14ac:dyDescent="0.25">
      <c r="I4308">
        <f t="shared" si="67"/>
        <v>1900</v>
      </c>
    </row>
    <row r="4309" spans="9:9" x14ac:dyDescent="0.25">
      <c r="I4309">
        <f t="shared" si="67"/>
        <v>1900</v>
      </c>
    </row>
    <row r="4310" spans="9:9" x14ac:dyDescent="0.25">
      <c r="I4310">
        <f t="shared" si="67"/>
        <v>1900</v>
      </c>
    </row>
    <row r="4311" spans="9:9" x14ac:dyDescent="0.25">
      <c r="I4311">
        <f t="shared" si="67"/>
        <v>1900</v>
      </c>
    </row>
    <row r="4312" spans="9:9" x14ac:dyDescent="0.25">
      <c r="I4312">
        <f t="shared" si="67"/>
        <v>1900</v>
      </c>
    </row>
    <row r="4313" spans="9:9" x14ac:dyDescent="0.25">
      <c r="I4313">
        <f t="shared" si="67"/>
        <v>1900</v>
      </c>
    </row>
    <row r="4314" spans="9:9" x14ac:dyDescent="0.25">
      <c r="I4314">
        <f t="shared" si="67"/>
        <v>1900</v>
      </c>
    </row>
    <row r="4315" spans="9:9" x14ac:dyDescent="0.25">
      <c r="I4315">
        <f t="shared" si="67"/>
        <v>1900</v>
      </c>
    </row>
    <row r="4316" spans="9:9" x14ac:dyDescent="0.25">
      <c r="I4316">
        <f t="shared" si="67"/>
        <v>1900</v>
      </c>
    </row>
    <row r="4317" spans="9:9" x14ac:dyDescent="0.25">
      <c r="I4317">
        <f t="shared" si="67"/>
        <v>1900</v>
      </c>
    </row>
    <row r="4318" spans="9:9" x14ac:dyDescent="0.25">
      <c r="I4318">
        <f t="shared" si="67"/>
        <v>1900</v>
      </c>
    </row>
    <row r="4319" spans="9:9" x14ac:dyDescent="0.25">
      <c r="I4319">
        <f t="shared" si="67"/>
        <v>1900</v>
      </c>
    </row>
    <row r="4320" spans="9:9" x14ac:dyDescent="0.25">
      <c r="I4320">
        <f t="shared" si="67"/>
        <v>1900</v>
      </c>
    </row>
    <row r="4321" spans="9:9" x14ac:dyDescent="0.25">
      <c r="I4321">
        <f t="shared" si="67"/>
        <v>1900</v>
      </c>
    </row>
    <row r="4322" spans="9:9" x14ac:dyDescent="0.25">
      <c r="I4322">
        <f t="shared" si="67"/>
        <v>1900</v>
      </c>
    </row>
    <row r="4323" spans="9:9" x14ac:dyDescent="0.25">
      <c r="I4323">
        <f t="shared" si="67"/>
        <v>1900</v>
      </c>
    </row>
    <row r="4324" spans="9:9" x14ac:dyDescent="0.25">
      <c r="I4324">
        <f t="shared" si="67"/>
        <v>1900</v>
      </c>
    </row>
    <row r="4325" spans="9:9" x14ac:dyDescent="0.25">
      <c r="I4325">
        <f t="shared" si="67"/>
        <v>1900</v>
      </c>
    </row>
    <row r="4326" spans="9:9" x14ac:dyDescent="0.25">
      <c r="I4326">
        <f t="shared" si="67"/>
        <v>1900</v>
      </c>
    </row>
    <row r="4327" spans="9:9" x14ac:dyDescent="0.25">
      <c r="I4327">
        <f t="shared" si="67"/>
        <v>1900</v>
      </c>
    </row>
    <row r="4328" spans="9:9" x14ac:dyDescent="0.25">
      <c r="I4328">
        <f t="shared" si="67"/>
        <v>1900</v>
      </c>
    </row>
    <row r="4329" spans="9:9" x14ac:dyDescent="0.25">
      <c r="I4329">
        <f t="shared" si="67"/>
        <v>1900</v>
      </c>
    </row>
    <row r="4330" spans="9:9" x14ac:dyDescent="0.25">
      <c r="I4330">
        <f t="shared" si="67"/>
        <v>1900</v>
      </c>
    </row>
    <row r="4331" spans="9:9" x14ac:dyDescent="0.25">
      <c r="I4331">
        <f t="shared" si="67"/>
        <v>1900</v>
      </c>
    </row>
    <row r="4332" spans="9:9" x14ac:dyDescent="0.25">
      <c r="I4332">
        <f t="shared" si="67"/>
        <v>1900</v>
      </c>
    </row>
    <row r="4333" spans="9:9" x14ac:dyDescent="0.25">
      <c r="I4333">
        <f t="shared" si="67"/>
        <v>1900</v>
      </c>
    </row>
    <row r="4334" spans="9:9" x14ac:dyDescent="0.25">
      <c r="I4334">
        <f t="shared" si="67"/>
        <v>1900</v>
      </c>
    </row>
    <row r="4335" spans="9:9" x14ac:dyDescent="0.25">
      <c r="I4335">
        <f t="shared" si="67"/>
        <v>1900</v>
      </c>
    </row>
    <row r="4336" spans="9:9" x14ac:dyDescent="0.25">
      <c r="I4336">
        <f t="shared" si="67"/>
        <v>1900</v>
      </c>
    </row>
    <row r="4337" spans="9:9" x14ac:dyDescent="0.25">
      <c r="I4337">
        <f t="shared" si="67"/>
        <v>1900</v>
      </c>
    </row>
    <row r="4338" spans="9:9" x14ac:dyDescent="0.25">
      <c r="I4338">
        <f t="shared" si="67"/>
        <v>1900</v>
      </c>
    </row>
    <row r="4339" spans="9:9" x14ac:dyDescent="0.25">
      <c r="I4339">
        <f t="shared" si="67"/>
        <v>1900</v>
      </c>
    </row>
    <row r="4340" spans="9:9" x14ac:dyDescent="0.25">
      <c r="I4340">
        <f t="shared" si="67"/>
        <v>1900</v>
      </c>
    </row>
    <row r="4341" spans="9:9" x14ac:dyDescent="0.25">
      <c r="I4341">
        <f t="shared" si="67"/>
        <v>1900</v>
      </c>
    </row>
    <row r="4342" spans="9:9" x14ac:dyDescent="0.25">
      <c r="I4342">
        <f t="shared" si="67"/>
        <v>1900</v>
      </c>
    </row>
    <row r="4343" spans="9:9" x14ac:dyDescent="0.25">
      <c r="I4343">
        <f t="shared" si="67"/>
        <v>1900</v>
      </c>
    </row>
    <row r="4344" spans="9:9" x14ac:dyDescent="0.25">
      <c r="I4344">
        <f t="shared" si="67"/>
        <v>1900</v>
      </c>
    </row>
    <row r="4345" spans="9:9" x14ac:dyDescent="0.25">
      <c r="I4345">
        <f t="shared" si="67"/>
        <v>1900</v>
      </c>
    </row>
    <row r="4346" spans="9:9" x14ac:dyDescent="0.25">
      <c r="I4346">
        <f t="shared" si="67"/>
        <v>1900</v>
      </c>
    </row>
    <row r="4347" spans="9:9" x14ac:dyDescent="0.25">
      <c r="I4347">
        <f t="shared" si="67"/>
        <v>1900</v>
      </c>
    </row>
    <row r="4348" spans="9:9" x14ac:dyDescent="0.25">
      <c r="I4348">
        <f t="shared" si="67"/>
        <v>1900</v>
      </c>
    </row>
    <row r="4349" spans="9:9" x14ac:dyDescent="0.25">
      <c r="I4349">
        <f t="shared" si="67"/>
        <v>1900</v>
      </c>
    </row>
    <row r="4350" spans="9:9" x14ac:dyDescent="0.25">
      <c r="I4350">
        <f t="shared" si="67"/>
        <v>1900</v>
      </c>
    </row>
    <row r="4351" spans="9:9" x14ac:dyDescent="0.25">
      <c r="I4351">
        <f t="shared" si="67"/>
        <v>1900</v>
      </c>
    </row>
    <row r="4352" spans="9:9" x14ac:dyDescent="0.25">
      <c r="I4352">
        <f t="shared" si="67"/>
        <v>1900</v>
      </c>
    </row>
    <row r="4353" spans="9:9" x14ac:dyDescent="0.25">
      <c r="I4353">
        <f t="shared" si="67"/>
        <v>1900</v>
      </c>
    </row>
    <row r="4354" spans="9:9" x14ac:dyDescent="0.25">
      <c r="I4354">
        <f t="shared" si="67"/>
        <v>1900</v>
      </c>
    </row>
    <row r="4355" spans="9:9" x14ac:dyDescent="0.25">
      <c r="I4355">
        <f t="shared" si="67"/>
        <v>1900</v>
      </c>
    </row>
    <row r="4356" spans="9:9" x14ac:dyDescent="0.25">
      <c r="I4356">
        <f t="shared" ref="I4356:I4419" si="68">IFERROR(YEAR(E4356),"")</f>
        <v>1900</v>
      </c>
    </row>
    <row r="4357" spans="9:9" x14ac:dyDescent="0.25">
      <c r="I4357">
        <f t="shared" si="68"/>
        <v>1900</v>
      </c>
    </row>
    <row r="4358" spans="9:9" x14ac:dyDescent="0.25">
      <c r="I4358">
        <f t="shared" si="68"/>
        <v>1900</v>
      </c>
    </row>
    <row r="4359" spans="9:9" x14ac:dyDescent="0.25">
      <c r="I4359">
        <f t="shared" si="68"/>
        <v>1900</v>
      </c>
    </row>
    <row r="4360" spans="9:9" x14ac:dyDescent="0.25">
      <c r="I4360">
        <f t="shared" si="68"/>
        <v>1900</v>
      </c>
    </row>
    <row r="4361" spans="9:9" x14ac:dyDescent="0.25">
      <c r="I4361">
        <f t="shared" si="68"/>
        <v>1900</v>
      </c>
    </row>
    <row r="4362" spans="9:9" x14ac:dyDescent="0.25">
      <c r="I4362">
        <f t="shared" si="68"/>
        <v>1900</v>
      </c>
    </row>
    <row r="4363" spans="9:9" x14ac:dyDescent="0.25">
      <c r="I4363">
        <f t="shared" si="68"/>
        <v>1900</v>
      </c>
    </row>
    <row r="4364" spans="9:9" x14ac:dyDescent="0.25">
      <c r="I4364">
        <f t="shared" si="68"/>
        <v>1900</v>
      </c>
    </row>
    <row r="4365" spans="9:9" x14ac:dyDescent="0.25">
      <c r="I4365">
        <f t="shared" si="68"/>
        <v>1900</v>
      </c>
    </row>
    <row r="4366" spans="9:9" x14ac:dyDescent="0.25">
      <c r="I4366">
        <f t="shared" si="68"/>
        <v>1900</v>
      </c>
    </row>
    <row r="4367" spans="9:9" x14ac:dyDescent="0.25">
      <c r="I4367">
        <f t="shared" si="68"/>
        <v>1900</v>
      </c>
    </row>
    <row r="4368" spans="9:9" x14ac:dyDescent="0.25">
      <c r="I4368">
        <f t="shared" si="68"/>
        <v>1900</v>
      </c>
    </row>
    <row r="4369" spans="9:9" x14ac:dyDescent="0.25">
      <c r="I4369">
        <f t="shared" si="68"/>
        <v>1900</v>
      </c>
    </row>
    <row r="4370" spans="9:9" x14ac:dyDescent="0.25">
      <c r="I4370">
        <f t="shared" si="68"/>
        <v>1900</v>
      </c>
    </row>
    <row r="4371" spans="9:9" x14ac:dyDescent="0.25">
      <c r="I4371">
        <f t="shared" si="68"/>
        <v>1900</v>
      </c>
    </row>
    <row r="4372" spans="9:9" x14ac:dyDescent="0.25">
      <c r="I4372">
        <f t="shared" si="68"/>
        <v>1900</v>
      </c>
    </row>
    <row r="4373" spans="9:9" x14ac:dyDescent="0.25">
      <c r="I4373">
        <f t="shared" si="68"/>
        <v>1900</v>
      </c>
    </row>
    <row r="4374" spans="9:9" x14ac:dyDescent="0.25">
      <c r="I4374">
        <f t="shared" si="68"/>
        <v>1900</v>
      </c>
    </row>
    <row r="4375" spans="9:9" x14ac:dyDescent="0.25">
      <c r="I4375">
        <f t="shared" si="68"/>
        <v>1900</v>
      </c>
    </row>
    <row r="4376" spans="9:9" x14ac:dyDescent="0.25">
      <c r="I4376">
        <f t="shared" si="68"/>
        <v>1900</v>
      </c>
    </row>
    <row r="4377" spans="9:9" x14ac:dyDescent="0.25">
      <c r="I4377">
        <f t="shared" si="68"/>
        <v>1900</v>
      </c>
    </row>
    <row r="4378" spans="9:9" x14ac:dyDescent="0.25">
      <c r="I4378">
        <f t="shared" si="68"/>
        <v>1900</v>
      </c>
    </row>
    <row r="4379" spans="9:9" x14ac:dyDescent="0.25">
      <c r="I4379">
        <f t="shared" si="68"/>
        <v>1900</v>
      </c>
    </row>
    <row r="4380" spans="9:9" x14ac:dyDescent="0.25">
      <c r="I4380">
        <f t="shared" si="68"/>
        <v>1900</v>
      </c>
    </row>
    <row r="4381" spans="9:9" x14ac:dyDescent="0.25">
      <c r="I4381">
        <f t="shared" si="68"/>
        <v>1900</v>
      </c>
    </row>
    <row r="4382" spans="9:9" x14ac:dyDescent="0.25">
      <c r="I4382">
        <f t="shared" si="68"/>
        <v>1900</v>
      </c>
    </row>
    <row r="4383" spans="9:9" x14ac:dyDescent="0.25">
      <c r="I4383">
        <f t="shared" si="68"/>
        <v>1900</v>
      </c>
    </row>
    <row r="4384" spans="9:9" x14ac:dyDescent="0.25">
      <c r="I4384">
        <f t="shared" si="68"/>
        <v>1900</v>
      </c>
    </row>
    <row r="4385" spans="9:9" x14ac:dyDescent="0.25">
      <c r="I4385">
        <f t="shared" si="68"/>
        <v>1900</v>
      </c>
    </row>
    <row r="4386" spans="9:9" x14ac:dyDescent="0.25">
      <c r="I4386">
        <f t="shared" si="68"/>
        <v>1900</v>
      </c>
    </row>
    <row r="4387" spans="9:9" x14ac:dyDescent="0.25">
      <c r="I4387">
        <f t="shared" si="68"/>
        <v>1900</v>
      </c>
    </row>
    <row r="4388" spans="9:9" x14ac:dyDescent="0.25">
      <c r="I4388">
        <f t="shared" si="68"/>
        <v>1900</v>
      </c>
    </row>
    <row r="4389" spans="9:9" x14ac:dyDescent="0.25">
      <c r="I4389">
        <f t="shared" si="68"/>
        <v>1900</v>
      </c>
    </row>
    <row r="4390" spans="9:9" x14ac:dyDescent="0.25">
      <c r="I4390">
        <f t="shared" si="68"/>
        <v>1900</v>
      </c>
    </row>
    <row r="4391" spans="9:9" x14ac:dyDescent="0.25">
      <c r="I4391">
        <f t="shared" si="68"/>
        <v>1900</v>
      </c>
    </row>
    <row r="4392" spans="9:9" x14ac:dyDescent="0.25">
      <c r="I4392">
        <f t="shared" si="68"/>
        <v>1900</v>
      </c>
    </row>
    <row r="4393" spans="9:9" x14ac:dyDescent="0.25">
      <c r="I4393">
        <f t="shared" si="68"/>
        <v>1900</v>
      </c>
    </row>
    <row r="4394" spans="9:9" x14ac:dyDescent="0.25">
      <c r="I4394">
        <f t="shared" si="68"/>
        <v>1900</v>
      </c>
    </row>
    <row r="4395" spans="9:9" x14ac:dyDescent="0.25">
      <c r="I4395">
        <f t="shared" si="68"/>
        <v>1900</v>
      </c>
    </row>
    <row r="4396" spans="9:9" x14ac:dyDescent="0.25">
      <c r="I4396">
        <f t="shared" si="68"/>
        <v>1900</v>
      </c>
    </row>
    <row r="4397" spans="9:9" x14ac:dyDescent="0.25">
      <c r="I4397">
        <f t="shared" si="68"/>
        <v>1900</v>
      </c>
    </row>
    <row r="4398" spans="9:9" x14ac:dyDescent="0.25">
      <c r="I4398">
        <f t="shared" si="68"/>
        <v>1900</v>
      </c>
    </row>
    <row r="4399" spans="9:9" x14ac:dyDescent="0.25">
      <c r="I4399">
        <f t="shared" si="68"/>
        <v>1900</v>
      </c>
    </row>
    <row r="4400" spans="9:9" x14ac:dyDescent="0.25">
      <c r="I4400">
        <f t="shared" si="68"/>
        <v>1900</v>
      </c>
    </row>
    <row r="4401" spans="9:9" x14ac:dyDescent="0.25">
      <c r="I4401">
        <f t="shared" si="68"/>
        <v>1900</v>
      </c>
    </row>
    <row r="4402" spans="9:9" x14ac:dyDescent="0.25">
      <c r="I4402">
        <f t="shared" si="68"/>
        <v>1900</v>
      </c>
    </row>
    <row r="4403" spans="9:9" x14ac:dyDescent="0.25">
      <c r="I4403">
        <f t="shared" si="68"/>
        <v>1900</v>
      </c>
    </row>
    <row r="4404" spans="9:9" x14ac:dyDescent="0.25">
      <c r="I4404">
        <f t="shared" si="68"/>
        <v>1900</v>
      </c>
    </row>
    <row r="4405" spans="9:9" x14ac:dyDescent="0.25">
      <c r="I4405">
        <f t="shared" si="68"/>
        <v>1900</v>
      </c>
    </row>
    <row r="4406" spans="9:9" x14ac:dyDescent="0.25">
      <c r="I4406">
        <f t="shared" si="68"/>
        <v>1900</v>
      </c>
    </row>
    <row r="4407" spans="9:9" x14ac:dyDescent="0.25">
      <c r="I4407">
        <f t="shared" si="68"/>
        <v>1900</v>
      </c>
    </row>
    <row r="4408" spans="9:9" x14ac:dyDescent="0.25">
      <c r="I4408">
        <f t="shared" si="68"/>
        <v>1900</v>
      </c>
    </row>
    <row r="4409" spans="9:9" x14ac:dyDescent="0.25">
      <c r="I4409">
        <f t="shared" si="68"/>
        <v>1900</v>
      </c>
    </row>
    <row r="4410" spans="9:9" x14ac:dyDescent="0.25">
      <c r="I4410">
        <f t="shared" si="68"/>
        <v>1900</v>
      </c>
    </row>
    <row r="4411" spans="9:9" x14ac:dyDescent="0.25">
      <c r="I4411">
        <f t="shared" si="68"/>
        <v>1900</v>
      </c>
    </row>
    <row r="4412" spans="9:9" x14ac:dyDescent="0.25">
      <c r="I4412">
        <f t="shared" si="68"/>
        <v>1900</v>
      </c>
    </row>
    <row r="4413" spans="9:9" x14ac:dyDescent="0.25">
      <c r="I4413">
        <f t="shared" si="68"/>
        <v>1900</v>
      </c>
    </row>
    <row r="4414" spans="9:9" x14ac:dyDescent="0.25">
      <c r="I4414">
        <f t="shared" si="68"/>
        <v>1900</v>
      </c>
    </row>
    <row r="4415" spans="9:9" x14ac:dyDescent="0.25">
      <c r="I4415">
        <f t="shared" si="68"/>
        <v>1900</v>
      </c>
    </row>
    <row r="4416" spans="9:9" x14ac:dyDescent="0.25">
      <c r="I4416">
        <f t="shared" si="68"/>
        <v>1900</v>
      </c>
    </row>
    <row r="4417" spans="9:9" x14ac:dyDescent="0.25">
      <c r="I4417">
        <f t="shared" si="68"/>
        <v>1900</v>
      </c>
    </row>
    <row r="4418" spans="9:9" x14ac:dyDescent="0.25">
      <c r="I4418">
        <f t="shared" si="68"/>
        <v>1900</v>
      </c>
    </row>
    <row r="4419" spans="9:9" x14ac:dyDescent="0.25">
      <c r="I4419">
        <f t="shared" si="68"/>
        <v>1900</v>
      </c>
    </row>
    <row r="4420" spans="9:9" x14ac:dyDescent="0.25">
      <c r="I4420">
        <f t="shared" ref="I4420:I4483" si="69">IFERROR(YEAR(E4420),"")</f>
        <v>1900</v>
      </c>
    </row>
    <row r="4421" spans="9:9" x14ac:dyDescent="0.25">
      <c r="I4421">
        <f t="shared" si="69"/>
        <v>1900</v>
      </c>
    </row>
    <row r="4422" spans="9:9" x14ac:dyDescent="0.25">
      <c r="I4422">
        <f t="shared" si="69"/>
        <v>1900</v>
      </c>
    </row>
    <row r="4423" spans="9:9" x14ac:dyDescent="0.25">
      <c r="I4423">
        <f t="shared" si="69"/>
        <v>1900</v>
      </c>
    </row>
    <row r="4424" spans="9:9" x14ac:dyDescent="0.25">
      <c r="I4424">
        <f t="shared" si="69"/>
        <v>1900</v>
      </c>
    </row>
    <row r="4425" spans="9:9" x14ac:dyDescent="0.25">
      <c r="I4425">
        <f t="shared" si="69"/>
        <v>1900</v>
      </c>
    </row>
    <row r="4426" spans="9:9" x14ac:dyDescent="0.25">
      <c r="I4426">
        <f t="shared" si="69"/>
        <v>1900</v>
      </c>
    </row>
    <row r="4427" spans="9:9" x14ac:dyDescent="0.25">
      <c r="I4427">
        <f t="shared" si="69"/>
        <v>1900</v>
      </c>
    </row>
    <row r="4428" spans="9:9" x14ac:dyDescent="0.25">
      <c r="I4428">
        <f t="shared" si="69"/>
        <v>1900</v>
      </c>
    </row>
    <row r="4429" spans="9:9" x14ac:dyDescent="0.25">
      <c r="I4429">
        <f t="shared" si="69"/>
        <v>1900</v>
      </c>
    </row>
    <row r="4430" spans="9:9" x14ac:dyDescent="0.25">
      <c r="I4430">
        <f t="shared" si="69"/>
        <v>1900</v>
      </c>
    </row>
    <row r="4431" spans="9:9" x14ac:dyDescent="0.25">
      <c r="I4431">
        <f t="shared" si="69"/>
        <v>1900</v>
      </c>
    </row>
    <row r="4432" spans="9:9" x14ac:dyDescent="0.25">
      <c r="I4432">
        <f t="shared" si="69"/>
        <v>1900</v>
      </c>
    </row>
    <row r="4433" spans="9:9" x14ac:dyDescent="0.25">
      <c r="I4433">
        <f t="shared" si="69"/>
        <v>1900</v>
      </c>
    </row>
    <row r="4434" spans="9:9" x14ac:dyDescent="0.25">
      <c r="I4434">
        <f t="shared" si="69"/>
        <v>1900</v>
      </c>
    </row>
    <row r="4435" spans="9:9" x14ac:dyDescent="0.25">
      <c r="I4435">
        <f t="shared" si="69"/>
        <v>1900</v>
      </c>
    </row>
    <row r="4436" spans="9:9" x14ac:dyDescent="0.25">
      <c r="I4436">
        <f t="shared" si="69"/>
        <v>1900</v>
      </c>
    </row>
    <row r="4437" spans="9:9" x14ac:dyDescent="0.25">
      <c r="I4437">
        <f t="shared" si="69"/>
        <v>1900</v>
      </c>
    </row>
    <row r="4438" spans="9:9" x14ac:dyDescent="0.25">
      <c r="I4438">
        <f t="shared" si="69"/>
        <v>1900</v>
      </c>
    </row>
    <row r="4439" spans="9:9" x14ac:dyDescent="0.25">
      <c r="I4439">
        <f t="shared" si="69"/>
        <v>1900</v>
      </c>
    </row>
    <row r="4440" spans="9:9" x14ac:dyDescent="0.25">
      <c r="I4440">
        <f t="shared" si="69"/>
        <v>1900</v>
      </c>
    </row>
    <row r="4441" spans="9:9" x14ac:dyDescent="0.25">
      <c r="I4441">
        <f t="shared" si="69"/>
        <v>1900</v>
      </c>
    </row>
    <row r="4442" spans="9:9" x14ac:dyDescent="0.25">
      <c r="I4442">
        <f t="shared" si="69"/>
        <v>1900</v>
      </c>
    </row>
    <row r="4443" spans="9:9" x14ac:dyDescent="0.25">
      <c r="I4443">
        <f t="shared" si="69"/>
        <v>1900</v>
      </c>
    </row>
    <row r="4444" spans="9:9" x14ac:dyDescent="0.25">
      <c r="I4444">
        <f t="shared" si="69"/>
        <v>1900</v>
      </c>
    </row>
    <row r="4445" spans="9:9" x14ac:dyDescent="0.25">
      <c r="I4445">
        <f t="shared" si="69"/>
        <v>1900</v>
      </c>
    </row>
    <row r="4446" spans="9:9" x14ac:dyDescent="0.25">
      <c r="I4446">
        <f t="shared" si="69"/>
        <v>1900</v>
      </c>
    </row>
    <row r="4447" spans="9:9" x14ac:dyDescent="0.25">
      <c r="I4447">
        <f t="shared" si="69"/>
        <v>1900</v>
      </c>
    </row>
    <row r="4448" spans="9:9" x14ac:dyDescent="0.25">
      <c r="I4448">
        <f t="shared" si="69"/>
        <v>1900</v>
      </c>
    </row>
    <row r="4449" spans="9:9" x14ac:dyDescent="0.25">
      <c r="I4449">
        <f t="shared" si="69"/>
        <v>1900</v>
      </c>
    </row>
    <row r="4450" spans="9:9" x14ac:dyDescent="0.25">
      <c r="I4450">
        <f t="shared" si="69"/>
        <v>1900</v>
      </c>
    </row>
    <row r="4451" spans="9:9" x14ac:dyDescent="0.25">
      <c r="I4451">
        <f t="shared" si="69"/>
        <v>1900</v>
      </c>
    </row>
    <row r="4452" spans="9:9" x14ac:dyDescent="0.25">
      <c r="I4452">
        <f t="shared" si="69"/>
        <v>1900</v>
      </c>
    </row>
    <row r="4453" spans="9:9" x14ac:dyDescent="0.25">
      <c r="I4453">
        <f t="shared" si="69"/>
        <v>1900</v>
      </c>
    </row>
    <row r="4454" spans="9:9" x14ac:dyDescent="0.25">
      <c r="I4454">
        <f t="shared" si="69"/>
        <v>1900</v>
      </c>
    </row>
    <row r="4455" spans="9:9" x14ac:dyDescent="0.25">
      <c r="I4455">
        <f t="shared" si="69"/>
        <v>1900</v>
      </c>
    </row>
    <row r="4456" spans="9:9" x14ac:dyDescent="0.25">
      <c r="I4456">
        <f t="shared" si="69"/>
        <v>1900</v>
      </c>
    </row>
    <row r="4457" spans="9:9" x14ac:dyDescent="0.25">
      <c r="I4457">
        <f t="shared" si="69"/>
        <v>1900</v>
      </c>
    </row>
    <row r="4458" spans="9:9" x14ac:dyDescent="0.25">
      <c r="I4458">
        <f t="shared" si="69"/>
        <v>1900</v>
      </c>
    </row>
    <row r="4459" spans="9:9" x14ac:dyDescent="0.25">
      <c r="I4459">
        <f t="shared" si="69"/>
        <v>1900</v>
      </c>
    </row>
    <row r="4460" spans="9:9" x14ac:dyDescent="0.25">
      <c r="I4460">
        <f t="shared" si="69"/>
        <v>1900</v>
      </c>
    </row>
    <row r="4461" spans="9:9" x14ac:dyDescent="0.25">
      <c r="I4461">
        <f t="shared" si="69"/>
        <v>1900</v>
      </c>
    </row>
    <row r="4462" spans="9:9" x14ac:dyDescent="0.25">
      <c r="I4462">
        <f t="shared" si="69"/>
        <v>1900</v>
      </c>
    </row>
    <row r="4463" spans="9:9" x14ac:dyDescent="0.25">
      <c r="I4463">
        <f t="shared" si="69"/>
        <v>1900</v>
      </c>
    </row>
    <row r="4464" spans="9:9" x14ac:dyDescent="0.25">
      <c r="I4464">
        <f t="shared" si="69"/>
        <v>1900</v>
      </c>
    </row>
    <row r="4465" spans="9:9" x14ac:dyDescent="0.25">
      <c r="I4465">
        <f t="shared" si="69"/>
        <v>1900</v>
      </c>
    </row>
    <row r="4466" spans="9:9" x14ac:dyDescent="0.25">
      <c r="I4466">
        <f t="shared" si="69"/>
        <v>1900</v>
      </c>
    </row>
    <row r="4467" spans="9:9" x14ac:dyDescent="0.25">
      <c r="I4467">
        <f t="shared" si="69"/>
        <v>1900</v>
      </c>
    </row>
    <row r="4468" spans="9:9" x14ac:dyDescent="0.25">
      <c r="I4468">
        <f t="shared" si="69"/>
        <v>1900</v>
      </c>
    </row>
    <row r="4469" spans="9:9" x14ac:dyDescent="0.25">
      <c r="I4469">
        <f t="shared" si="69"/>
        <v>1900</v>
      </c>
    </row>
    <row r="4470" spans="9:9" x14ac:dyDescent="0.25">
      <c r="I4470">
        <f t="shared" si="69"/>
        <v>1900</v>
      </c>
    </row>
    <row r="4471" spans="9:9" x14ac:dyDescent="0.25">
      <c r="I4471">
        <f t="shared" si="69"/>
        <v>1900</v>
      </c>
    </row>
    <row r="4472" spans="9:9" x14ac:dyDescent="0.25">
      <c r="I4472">
        <f t="shared" si="69"/>
        <v>1900</v>
      </c>
    </row>
    <row r="4473" spans="9:9" x14ac:dyDescent="0.25">
      <c r="I4473">
        <f t="shared" si="69"/>
        <v>1900</v>
      </c>
    </row>
    <row r="4474" spans="9:9" x14ac:dyDescent="0.25">
      <c r="I4474">
        <f t="shared" si="69"/>
        <v>1900</v>
      </c>
    </row>
    <row r="4475" spans="9:9" x14ac:dyDescent="0.25">
      <c r="I4475">
        <f t="shared" si="69"/>
        <v>1900</v>
      </c>
    </row>
    <row r="4476" spans="9:9" x14ac:dyDescent="0.25">
      <c r="I4476">
        <f t="shared" si="69"/>
        <v>1900</v>
      </c>
    </row>
    <row r="4477" spans="9:9" x14ac:dyDescent="0.25">
      <c r="I4477">
        <f t="shared" si="69"/>
        <v>1900</v>
      </c>
    </row>
    <row r="4478" spans="9:9" x14ac:dyDescent="0.25">
      <c r="I4478">
        <f t="shared" si="69"/>
        <v>1900</v>
      </c>
    </row>
    <row r="4479" spans="9:9" x14ac:dyDescent="0.25">
      <c r="I4479">
        <f t="shared" si="69"/>
        <v>1900</v>
      </c>
    </row>
    <row r="4480" spans="9:9" x14ac:dyDescent="0.25">
      <c r="I4480">
        <f t="shared" si="69"/>
        <v>1900</v>
      </c>
    </row>
    <row r="4481" spans="9:9" x14ac:dyDescent="0.25">
      <c r="I4481">
        <f t="shared" si="69"/>
        <v>1900</v>
      </c>
    </row>
    <row r="4482" spans="9:9" x14ac:dyDescent="0.25">
      <c r="I4482">
        <f t="shared" si="69"/>
        <v>1900</v>
      </c>
    </row>
    <row r="4483" spans="9:9" x14ac:dyDescent="0.25">
      <c r="I4483">
        <f t="shared" si="69"/>
        <v>1900</v>
      </c>
    </row>
    <row r="4484" spans="9:9" x14ac:dyDescent="0.25">
      <c r="I4484">
        <f t="shared" ref="I4484:I4547" si="70">IFERROR(YEAR(E4484),"")</f>
        <v>1900</v>
      </c>
    </row>
    <row r="4485" spans="9:9" x14ac:dyDescent="0.25">
      <c r="I4485">
        <f t="shared" si="70"/>
        <v>1900</v>
      </c>
    </row>
    <row r="4486" spans="9:9" x14ac:dyDescent="0.25">
      <c r="I4486">
        <f t="shared" si="70"/>
        <v>1900</v>
      </c>
    </row>
    <row r="4487" spans="9:9" x14ac:dyDescent="0.25">
      <c r="I4487">
        <f t="shared" si="70"/>
        <v>1900</v>
      </c>
    </row>
    <row r="4488" spans="9:9" x14ac:dyDescent="0.25">
      <c r="I4488">
        <f t="shared" si="70"/>
        <v>1900</v>
      </c>
    </row>
    <row r="4489" spans="9:9" x14ac:dyDescent="0.25">
      <c r="I4489">
        <f t="shared" si="70"/>
        <v>1900</v>
      </c>
    </row>
    <row r="4490" spans="9:9" x14ac:dyDescent="0.25">
      <c r="I4490">
        <f t="shared" si="70"/>
        <v>1900</v>
      </c>
    </row>
    <row r="4491" spans="9:9" x14ac:dyDescent="0.25">
      <c r="I4491">
        <f t="shared" si="70"/>
        <v>1900</v>
      </c>
    </row>
    <row r="4492" spans="9:9" x14ac:dyDescent="0.25">
      <c r="I4492">
        <f t="shared" si="70"/>
        <v>1900</v>
      </c>
    </row>
    <row r="4493" spans="9:9" x14ac:dyDescent="0.25">
      <c r="I4493">
        <f t="shared" si="70"/>
        <v>1900</v>
      </c>
    </row>
    <row r="4494" spans="9:9" x14ac:dyDescent="0.25">
      <c r="I4494">
        <f t="shared" si="70"/>
        <v>1900</v>
      </c>
    </row>
    <row r="4495" spans="9:9" x14ac:dyDescent="0.25">
      <c r="I4495">
        <f t="shared" si="70"/>
        <v>1900</v>
      </c>
    </row>
    <row r="4496" spans="9:9" x14ac:dyDescent="0.25">
      <c r="I4496">
        <f t="shared" si="70"/>
        <v>1900</v>
      </c>
    </row>
    <row r="4497" spans="9:9" x14ac:dyDescent="0.25">
      <c r="I4497">
        <f t="shared" si="70"/>
        <v>1900</v>
      </c>
    </row>
    <row r="4498" spans="9:9" x14ac:dyDescent="0.25">
      <c r="I4498">
        <f t="shared" si="70"/>
        <v>1900</v>
      </c>
    </row>
    <row r="4499" spans="9:9" x14ac:dyDescent="0.25">
      <c r="I4499">
        <f t="shared" si="70"/>
        <v>1900</v>
      </c>
    </row>
    <row r="4500" spans="9:9" x14ac:dyDescent="0.25">
      <c r="I4500">
        <f t="shared" si="70"/>
        <v>1900</v>
      </c>
    </row>
    <row r="4501" spans="9:9" x14ac:dyDescent="0.25">
      <c r="I4501">
        <f t="shared" si="70"/>
        <v>1900</v>
      </c>
    </row>
    <row r="4502" spans="9:9" x14ac:dyDescent="0.25">
      <c r="I4502">
        <f t="shared" si="70"/>
        <v>1900</v>
      </c>
    </row>
    <row r="4503" spans="9:9" x14ac:dyDescent="0.25">
      <c r="I4503">
        <f t="shared" si="70"/>
        <v>1900</v>
      </c>
    </row>
    <row r="4504" spans="9:9" x14ac:dyDescent="0.25">
      <c r="I4504">
        <f t="shared" si="70"/>
        <v>1900</v>
      </c>
    </row>
    <row r="4505" spans="9:9" x14ac:dyDescent="0.25">
      <c r="I4505">
        <f t="shared" si="70"/>
        <v>1900</v>
      </c>
    </row>
    <row r="4506" spans="9:9" x14ac:dyDescent="0.25">
      <c r="I4506">
        <f t="shared" si="70"/>
        <v>1900</v>
      </c>
    </row>
    <row r="4507" spans="9:9" x14ac:dyDescent="0.25">
      <c r="I4507">
        <f t="shared" si="70"/>
        <v>1900</v>
      </c>
    </row>
    <row r="4508" spans="9:9" x14ac:dyDescent="0.25">
      <c r="I4508">
        <f t="shared" si="70"/>
        <v>1900</v>
      </c>
    </row>
    <row r="4509" spans="9:9" x14ac:dyDescent="0.25">
      <c r="I4509">
        <f t="shared" si="70"/>
        <v>1900</v>
      </c>
    </row>
    <row r="4510" spans="9:9" x14ac:dyDescent="0.25">
      <c r="I4510">
        <f t="shared" si="70"/>
        <v>1900</v>
      </c>
    </row>
    <row r="4511" spans="9:9" x14ac:dyDescent="0.25">
      <c r="I4511">
        <f t="shared" si="70"/>
        <v>1900</v>
      </c>
    </row>
    <row r="4512" spans="9:9" x14ac:dyDescent="0.25">
      <c r="I4512">
        <f t="shared" si="70"/>
        <v>1900</v>
      </c>
    </row>
    <row r="4513" spans="9:9" x14ac:dyDescent="0.25">
      <c r="I4513">
        <f t="shared" si="70"/>
        <v>1900</v>
      </c>
    </row>
    <row r="4514" spans="9:9" x14ac:dyDescent="0.25">
      <c r="I4514">
        <f t="shared" si="70"/>
        <v>1900</v>
      </c>
    </row>
    <row r="4515" spans="9:9" x14ac:dyDescent="0.25">
      <c r="I4515">
        <f t="shared" si="70"/>
        <v>1900</v>
      </c>
    </row>
    <row r="4516" spans="9:9" x14ac:dyDescent="0.25">
      <c r="I4516">
        <f t="shared" si="70"/>
        <v>1900</v>
      </c>
    </row>
    <row r="4517" spans="9:9" x14ac:dyDescent="0.25">
      <c r="I4517">
        <f t="shared" si="70"/>
        <v>1900</v>
      </c>
    </row>
    <row r="4518" spans="9:9" x14ac:dyDescent="0.25">
      <c r="I4518">
        <f t="shared" si="70"/>
        <v>1900</v>
      </c>
    </row>
    <row r="4519" spans="9:9" x14ac:dyDescent="0.25">
      <c r="I4519">
        <f t="shared" si="70"/>
        <v>1900</v>
      </c>
    </row>
    <row r="4520" spans="9:9" x14ac:dyDescent="0.25">
      <c r="I4520">
        <f t="shared" si="70"/>
        <v>1900</v>
      </c>
    </row>
    <row r="4521" spans="9:9" x14ac:dyDescent="0.25">
      <c r="I4521">
        <f t="shared" si="70"/>
        <v>1900</v>
      </c>
    </row>
    <row r="4522" spans="9:9" x14ac:dyDescent="0.25">
      <c r="I4522">
        <f t="shared" si="70"/>
        <v>1900</v>
      </c>
    </row>
    <row r="4523" spans="9:9" x14ac:dyDescent="0.25">
      <c r="I4523">
        <f t="shared" si="70"/>
        <v>1900</v>
      </c>
    </row>
    <row r="4524" spans="9:9" x14ac:dyDescent="0.25">
      <c r="I4524">
        <f t="shared" si="70"/>
        <v>1900</v>
      </c>
    </row>
    <row r="4525" spans="9:9" x14ac:dyDescent="0.25">
      <c r="I4525">
        <f t="shared" si="70"/>
        <v>1900</v>
      </c>
    </row>
    <row r="4526" spans="9:9" x14ac:dyDescent="0.25">
      <c r="I4526">
        <f t="shared" si="70"/>
        <v>1900</v>
      </c>
    </row>
    <row r="4527" spans="9:9" x14ac:dyDescent="0.25">
      <c r="I4527">
        <f t="shared" si="70"/>
        <v>1900</v>
      </c>
    </row>
    <row r="4528" spans="9:9" x14ac:dyDescent="0.25">
      <c r="I4528">
        <f t="shared" si="70"/>
        <v>1900</v>
      </c>
    </row>
    <row r="4529" spans="9:9" x14ac:dyDescent="0.25">
      <c r="I4529">
        <f t="shared" si="70"/>
        <v>1900</v>
      </c>
    </row>
    <row r="4530" spans="9:9" x14ac:dyDescent="0.25">
      <c r="I4530">
        <f t="shared" si="70"/>
        <v>1900</v>
      </c>
    </row>
    <row r="4531" spans="9:9" x14ac:dyDescent="0.25">
      <c r="I4531">
        <f t="shared" si="70"/>
        <v>1900</v>
      </c>
    </row>
    <row r="4532" spans="9:9" x14ac:dyDescent="0.25">
      <c r="I4532">
        <f t="shared" si="70"/>
        <v>1900</v>
      </c>
    </row>
    <row r="4533" spans="9:9" x14ac:dyDescent="0.25">
      <c r="I4533">
        <f t="shared" si="70"/>
        <v>1900</v>
      </c>
    </row>
    <row r="4534" spans="9:9" x14ac:dyDescent="0.25">
      <c r="I4534">
        <f t="shared" si="70"/>
        <v>1900</v>
      </c>
    </row>
    <row r="4535" spans="9:9" x14ac:dyDescent="0.25">
      <c r="I4535">
        <f t="shared" si="70"/>
        <v>1900</v>
      </c>
    </row>
    <row r="4536" spans="9:9" x14ac:dyDescent="0.25">
      <c r="I4536">
        <f t="shared" si="70"/>
        <v>1900</v>
      </c>
    </row>
    <row r="4537" spans="9:9" x14ac:dyDescent="0.25">
      <c r="I4537">
        <f t="shared" si="70"/>
        <v>1900</v>
      </c>
    </row>
    <row r="4538" spans="9:9" x14ac:dyDescent="0.25">
      <c r="I4538">
        <f t="shared" si="70"/>
        <v>1900</v>
      </c>
    </row>
    <row r="4539" spans="9:9" x14ac:dyDescent="0.25">
      <c r="I4539">
        <f t="shared" si="70"/>
        <v>1900</v>
      </c>
    </row>
    <row r="4540" spans="9:9" x14ac:dyDescent="0.25">
      <c r="I4540">
        <f t="shared" si="70"/>
        <v>1900</v>
      </c>
    </row>
    <row r="4541" spans="9:9" x14ac:dyDescent="0.25">
      <c r="I4541">
        <f t="shared" si="70"/>
        <v>1900</v>
      </c>
    </row>
    <row r="4542" spans="9:9" x14ac:dyDescent="0.25">
      <c r="I4542">
        <f t="shared" si="70"/>
        <v>1900</v>
      </c>
    </row>
    <row r="4543" spans="9:9" x14ac:dyDescent="0.25">
      <c r="I4543">
        <f t="shared" si="70"/>
        <v>1900</v>
      </c>
    </row>
    <row r="4544" spans="9:9" x14ac:dyDescent="0.25">
      <c r="I4544">
        <f t="shared" si="70"/>
        <v>1900</v>
      </c>
    </row>
    <row r="4545" spans="9:9" x14ac:dyDescent="0.25">
      <c r="I4545">
        <f t="shared" si="70"/>
        <v>1900</v>
      </c>
    </row>
    <row r="4546" spans="9:9" x14ac:dyDescent="0.25">
      <c r="I4546">
        <f t="shared" si="70"/>
        <v>1900</v>
      </c>
    </row>
    <row r="4547" spans="9:9" x14ac:dyDescent="0.25">
      <c r="I4547">
        <f t="shared" si="70"/>
        <v>1900</v>
      </c>
    </row>
    <row r="4548" spans="9:9" x14ac:dyDescent="0.25">
      <c r="I4548">
        <f t="shared" ref="I4548:I4611" si="71">IFERROR(YEAR(E4548),"")</f>
        <v>1900</v>
      </c>
    </row>
    <row r="4549" spans="9:9" x14ac:dyDescent="0.25">
      <c r="I4549">
        <f t="shared" si="71"/>
        <v>1900</v>
      </c>
    </row>
    <row r="4550" spans="9:9" x14ac:dyDescent="0.25">
      <c r="I4550">
        <f t="shared" si="71"/>
        <v>1900</v>
      </c>
    </row>
    <row r="4551" spans="9:9" x14ac:dyDescent="0.25">
      <c r="I4551">
        <f t="shared" si="71"/>
        <v>1900</v>
      </c>
    </row>
    <row r="4552" spans="9:9" x14ac:dyDescent="0.25">
      <c r="I4552">
        <f t="shared" si="71"/>
        <v>1900</v>
      </c>
    </row>
    <row r="4553" spans="9:9" x14ac:dyDescent="0.25">
      <c r="I4553">
        <f t="shared" si="71"/>
        <v>1900</v>
      </c>
    </row>
    <row r="4554" spans="9:9" x14ac:dyDescent="0.25">
      <c r="I4554">
        <f t="shared" si="71"/>
        <v>1900</v>
      </c>
    </row>
    <row r="4555" spans="9:9" x14ac:dyDescent="0.25">
      <c r="I4555">
        <f t="shared" si="71"/>
        <v>1900</v>
      </c>
    </row>
    <row r="4556" spans="9:9" x14ac:dyDescent="0.25">
      <c r="I4556">
        <f t="shared" si="71"/>
        <v>1900</v>
      </c>
    </row>
    <row r="4557" spans="9:9" x14ac:dyDescent="0.25">
      <c r="I4557">
        <f t="shared" si="71"/>
        <v>1900</v>
      </c>
    </row>
    <row r="4558" spans="9:9" x14ac:dyDescent="0.25">
      <c r="I4558">
        <f t="shared" si="71"/>
        <v>1900</v>
      </c>
    </row>
    <row r="4559" spans="9:9" x14ac:dyDescent="0.25">
      <c r="I4559">
        <f t="shared" si="71"/>
        <v>1900</v>
      </c>
    </row>
    <row r="4560" spans="9:9" x14ac:dyDescent="0.25">
      <c r="I4560">
        <f t="shared" si="71"/>
        <v>1900</v>
      </c>
    </row>
    <row r="4561" spans="9:9" x14ac:dyDescent="0.25">
      <c r="I4561">
        <f t="shared" si="71"/>
        <v>1900</v>
      </c>
    </row>
    <row r="4562" spans="9:9" x14ac:dyDescent="0.25">
      <c r="I4562">
        <f t="shared" si="71"/>
        <v>1900</v>
      </c>
    </row>
    <row r="4563" spans="9:9" x14ac:dyDescent="0.25">
      <c r="I4563">
        <f t="shared" si="71"/>
        <v>1900</v>
      </c>
    </row>
    <row r="4564" spans="9:9" x14ac:dyDescent="0.25">
      <c r="I4564">
        <f t="shared" si="71"/>
        <v>1900</v>
      </c>
    </row>
    <row r="4565" spans="9:9" x14ac:dyDescent="0.25">
      <c r="I4565">
        <f t="shared" si="71"/>
        <v>1900</v>
      </c>
    </row>
    <row r="4566" spans="9:9" x14ac:dyDescent="0.25">
      <c r="I4566">
        <f t="shared" si="71"/>
        <v>1900</v>
      </c>
    </row>
    <row r="4567" spans="9:9" x14ac:dyDescent="0.25">
      <c r="I4567">
        <f t="shared" si="71"/>
        <v>1900</v>
      </c>
    </row>
    <row r="4568" spans="9:9" x14ac:dyDescent="0.25">
      <c r="I4568">
        <f t="shared" si="71"/>
        <v>1900</v>
      </c>
    </row>
    <row r="4569" spans="9:9" x14ac:dyDescent="0.25">
      <c r="I4569">
        <f t="shared" si="71"/>
        <v>1900</v>
      </c>
    </row>
    <row r="4570" spans="9:9" x14ac:dyDescent="0.25">
      <c r="I4570">
        <f t="shared" si="71"/>
        <v>1900</v>
      </c>
    </row>
    <row r="4571" spans="9:9" x14ac:dyDescent="0.25">
      <c r="I4571">
        <f t="shared" si="71"/>
        <v>1900</v>
      </c>
    </row>
    <row r="4572" spans="9:9" x14ac:dyDescent="0.25">
      <c r="I4572">
        <f t="shared" si="71"/>
        <v>1900</v>
      </c>
    </row>
    <row r="4573" spans="9:9" x14ac:dyDescent="0.25">
      <c r="I4573">
        <f t="shared" si="71"/>
        <v>1900</v>
      </c>
    </row>
    <row r="4574" spans="9:9" x14ac:dyDescent="0.25">
      <c r="I4574">
        <f t="shared" si="71"/>
        <v>1900</v>
      </c>
    </row>
    <row r="4575" spans="9:9" x14ac:dyDescent="0.25">
      <c r="I4575">
        <f t="shared" si="71"/>
        <v>1900</v>
      </c>
    </row>
    <row r="4576" spans="9:9" x14ac:dyDescent="0.25">
      <c r="I4576">
        <f t="shared" si="71"/>
        <v>1900</v>
      </c>
    </row>
    <row r="4577" spans="9:9" x14ac:dyDescent="0.25">
      <c r="I4577">
        <f t="shared" si="71"/>
        <v>1900</v>
      </c>
    </row>
    <row r="4578" spans="9:9" x14ac:dyDescent="0.25">
      <c r="I4578">
        <f t="shared" si="71"/>
        <v>1900</v>
      </c>
    </row>
    <row r="4579" spans="9:9" x14ac:dyDescent="0.25">
      <c r="I4579">
        <f t="shared" si="71"/>
        <v>1900</v>
      </c>
    </row>
    <row r="4580" spans="9:9" x14ac:dyDescent="0.25">
      <c r="I4580">
        <f t="shared" si="71"/>
        <v>1900</v>
      </c>
    </row>
    <row r="4581" spans="9:9" x14ac:dyDescent="0.25">
      <c r="I4581">
        <f t="shared" si="71"/>
        <v>1900</v>
      </c>
    </row>
    <row r="4582" spans="9:9" x14ac:dyDescent="0.25">
      <c r="I4582">
        <f t="shared" si="71"/>
        <v>1900</v>
      </c>
    </row>
    <row r="4583" spans="9:9" x14ac:dyDescent="0.25">
      <c r="I4583">
        <f t="shared" si="71"/>
        <v>1900</v>
      </c>
    </row>
    <row r="4584" spans="9:9" x14ac:dyDescent="0.25">
      <c r="I4584">
        <f t="shared" si="71"/>
        <v>1900</v>
      </c>
    </row>
    <row r="4585" spans="9:9" x14ac:dyDescent="0.25">
      <c r="I4585">
        <f t="shared" si="71"/>
        <v>1900</v>
      </c>
    </row>
    <row r="4586" spans="9:9" x14ac:dyDescent="0.25">
      <c r="I4586">
        <f t="shared" si="71"/>
        <v>1900</v>
      </c>
    </row>
    <row r="4587" spans="9:9" x14ac:dyDescent="0.25">
      <c r="I4587">
        <f t="shared" si="71"/>
        <v>1900</v>
      </c>
    </row>
    <row r="4588" spans="9:9" x14ac:dyDescent="0.25">
      <c r="I4588">
        <f t="shared" si="71"/>
        <v>1900</v>
      </c>
    </row>
    <row r="4589" spans="9:9" x14ac:dyDescent="0.25">
      <c r="I4589">
        <f t="shared" si="71"/>
        <v>1900</v>
      </c>
    </row>
    <row r="4590" spans="9:9" x14ac:dyDescent="0.25">
      <c r="I4590">
        <f t="shared" si="71"/>
        <v>1900</v>
      </c>
    </row>
    <row r="4591" spans="9:9" x14ac:dyDescent="0.25">
      <c r="I4591">
        <f t="shared" si="71"/>
        <v>1900</v>
      </c>
    </row>
    <row r="4592" spans="9:9" x14ac:dyDescent="0.25">
      <c r="I4592">
        <f t="shared" si="71"/>
        <v>1900</v>
      </c>
    </row>
    <row r="4593" spans="9:9" x14ac:dyDescent="0.25">
      <c r="I4593">
        <f t="shared" si="71"/>
        <v>1900</v>
      </c>
    </row>
    <row r="4594" spans="9:9" x14ac:dyDescent="0.25">
      <c r="I4594">
        <f t="shared" si="71"/>
        <v>1900</v>
      </c>
    </row>
    <row r="4595" spans="9:9" x14ac:dyDescent="0.25">
      <c r="I4595">
        <f t="shared" si="71"/>
        <v>1900</v>
      </c>
    </row>
    <row r="4596" spans="9:9" x14ac:dyDescent="0.25">
      <c r="I4596">
        <f t="shared" si="71"/>
        <v>1900</v>
      </c>
    </row>
    <row r="4597" spans="9:9" x14ac:dyDescent="0.25">
      <c r="I4597">
        <f t="shared" si="71"/>
        <v>1900</v>
      </c>
    </row>
    <row r="4598" spans="9:9" x14ac:dyDescent="0.25">
      <c r="I4598">
        <f t="shared" si="71"/>
        <v>1900</v>
      </c>
    </row>
    <row r="4599" spans="9:9" x14ac:dyDescent="0.25">
      <c r="I4599">
        <f t="shared" si="71"/>
        <v>1900</v>
      </c>
    </row>
    <row r="4600" spans="9:9" x14ac:dyDescent="0.25">
      <c r="I4600">
        <f t="shared" si="71"/>
        <v>1900</v>
      </c>
    </row>
    <row r="4601" spans="9:9" x14ac:dyDescent="0.25">
      <c r="I4601">
        <f t="shared" si="71"/>
        <v>1900</v>
      </c>
    </row>
    <row r="4602" spans="9:9" x14ac:dyDescent="0.25">
      <c r="I4602">
        <f t="shared" si="71"/>
        <v>1900</v>
      </c>
    </row>
    <row r="4603" spans="9:9" x14ac:dyDescent="0.25">
      <c r="I4603">
        <f t="shared" si="71"/>
        <v>1900</v>
      </c>
    </row>
    <row r="4604" spans="9:9" x14ac:dyDescent="0.25">
      <c r="I4604">
        <f t="shared" si="71"/>
        <v>1900</v>
      </c>
    </row>
    <row r="4605" spans="9:9" x14ac:dyDescent="0.25">
      <c r="I4605">
        <f t="shared" si="71"/>
        <v>1900</v>
      </c>
    </row>
    <row r="4606" spans="9:9" x14ac:dyDescent="0.25">
      <c r="I4606">
        <f t="shared" si="71"/>
        <v>1900</v>
      </c>
    </row>
    <row r="4607" spans="9:9" x14ac:dyDescent="0.25">
      <c r="I4607">
        <f t="shared" si="71"/>
        <v>1900</v>
      </c>
    </row>
    <row r="4608" spans="9:9" x14ac:dyDescent="0.25">
      <c r="I4608">
        <f t="shared" si="71"/>
        <v>1900</v>
      </c>
    </row>
    <row r="4609" spans="9:9" x14ac:dyDescent="0.25">
      <c r="I4609">
        <f t="shared" si="71"/>
        <v>1900</v>
      </c>
    </row>
    <row r="4610" spans="9:9" x14ac:dyDescent="0.25">
      <c r="I4610">
        <f t="shared" si="71"/>
        <v>1900</v>
      </c>
    </row>
    <row r="4611" spans="9:9" x14ac:dyDescent="0.25">
      <c r="I4611">
        <f t="shared" si="71"/>
        <v>1900</v>
      </c>
    </row>
    <row r="4612" spans="9:9" x14ac:dyDescent="0.25">
      <c r="I4612">
        <f t="shared" ref="I4612:I4675" si="72">IFERROR(YEAR(E4612),"")</f>
        <v>1900</v>
      </c>
    </row>
    <row r="4613" spans="9:9" x14ac:dyDescent="0.25">
      <c r="I4613">
        <f t="shared" si="72"/>
        <v>1900</v>
      </c>
    </row>
    <row r="4614" spans="9:9" x14ac:dyDescent="0.25">
      <c r="I4614">
        <f t="shared" si="72"/>
        <v>1900</v>
      </c>
    </row>
    <row r="4615" spans="9:9" x14ac:dyDescent="0.25">
      <c r="I4615">
        <f t="shared" si="72"/>
        <v>1900</v>
      </c>
    </row>
    <row r="4616" spans="9:9" x14ac:dyDescent="0.25">
      <c r="I4616">
        <f t="shared" si="72"/>
        <v>1900</v>
      </c>
    </row>
    <row r="4617" spans="9:9" x14ac:dyDescent="0.25">
      <c r="I4617">
        <f t="shared" si="72"/>
        <v>1900</v>
      </c>
    </row>
    <row r="4618" spans="9:9" x14ac:dyDescent="0.25">
      <c r="I4618">
        <f t="shared" si="72"/>
        <v>1900</v>
      </c>
    </row>
    <row r="4619" spans="9:9" x14ac:dyDescent="0.25">
      <c r="I4619">
        <f t="shared" si="72"/>
        <v>1900</v>
      </c>
    </row>
    <row r="4620" spans="9:9" x14ac:dyDescent="0.25">
      <c r="I4620">
        <f t="shared" si="72"/>
        <v>1900</v>
      </c>
    </row>
    <row r="4621" spans="9:9" x14ac:dyDescent="0.25">
      <c r="I4621">
        <f t="shared" si="72"/>
        <v>1900</v>
      </c>
    </row>
    <row r="4622" spans="9:9" x14ac:dyDescent="0.25">
      <c r="I4622">
        <f t="shared" si="72"/>
        <v>1900</v>
      </c>
    </row>
    <row r="4623" spans="9:9" x14ac:dyDescent="0.25">
      <c r="I4623">
        <f t="shared" si="72"/>
        <v>1900</v>
      </c>
    </row>
    <row r="4624" spans="9:9" x14ac:dyDescent="0.25">
      <c r="I4624">
        <f t="shared" si="72"/>
        <v>1900</v>
      </c>
    </row>
    <row r="4625" spans="9:9" x14ac:dyDescent="0.25">
      <c r="I4625">
        <f t="shared" si="72"/>
        <v>1900</v>
      </c>
    </row>
    <row r="4626" spans="9:9" x14ac:dyDescent="0.25">
      <c r="I4626">
        <f t="shared" si="72"/>
        <v>1900</v>
      </c>
    </row>
    <row r="4627" spans="9:9" x14ac:dyDescent="0.25">
      <c r="I4627">
        <f t="shared" si="72"/>
        <v>1900</v>
      </c>
    </row>
    <row r="4628" spans="9:9" x14ac:dyDescent="0.25">
      <c r="I4628">
        <f t="shared" si="72"/>
        <v>1900</v>
      </c>
    </row>
    <row r="4629" spans="9:9" x14ac:dyDescent="0.25">
      <c r="I4629">
        <f t="shared" si="72"/>
        <v>1900</v>
      </c>
    </row>
    <row r="4630" spans="9:9" x14ac:dyDescent="0.25">
      <c r="I4630">
        <f t="shared" si="72"/>
        <v>1900</v>
      </c>
    </row>
    <row r="4631" spans="9:9" x14ac:dyDescent="0.25">
      <c r="I4631">
        <f t="shared" si="72"/>
        <v>1900</v>
      </c>
    </row>
    <row r="4632" spans="9:9" x14ac:dyDescent="0.25">
      <c r="I4632">
        <f t="shared" si="72"/>
        <v>1900</v>
      </c>
    </row>
    <row r="4633" spans="9:9" x14ac:dyDescent="0.25">
      <c r="I4633">
        <f t="shared" si="72"/>
        <v>1900</v>
      </c>
    </row>
    <row r="4634" spans="9:9" x14ac:dyDescent="0.25">
      <c r="I4634">
        <f t="shared" si="72"/>
        <v>1900</v>
      </c>
    </row>
    <row r="4635" spans="9:9" x14ac:dyDescent="0.25">
      <c r="I4635">
        <f t="shared" si="72"/>
        <v>1900</v>
      </c>
    </row>
    <row r="4636" spans="9:9" x14ac:dyDescent="0.25">
      <c r="I4636">
        <f t="shared" si="72"/>
        <v>1900</v>
      </c>
    </row>
    <row r="4637" spans="9:9" x14ac:dyDescent="0.25">
      <c r="I4637">
        <f t="shared" si="72"/>
        <v>1900</v>
      </c>
    </row>
    <row r="4638" spans="9:9" x14ac:dyDescent="0.25">
      <c r="I4638">
        <f t="shared" si="72"/>
        <v>1900</v>
      </c>
    </row>
    <row r="4639" spans="9:9" x14ac:dyDescent="0.25">
      <c r="I4639">
        <f t="shared" si="72"/>
        <v>1900</v>
      </c>
    </row>
    <row r="4640" spans="9:9" x14ac:dyDescent="0.25">
      <c r="I4640">
        <f t="shared" si="72"/>
        <v>1900</v>
      </c>
    </row>
    <row r="4641" spans="9:9" x14ac:dyDescent="0.25">
      <c r="I4641">
        <f t="shared" si="72"/>
        <v>1900</v>
      </c>
    </row>
    <row r="4642" spans="9:9" x14ac:dyDescent="0.25">
      <c r="I4642">
        <f t="shared" si="72"/>
        <v>1900</v>
      </c>
    </row>
    <row r="4643" spans="9:9" x14ac:dyDescent="0.25">
      <c r="I4643">
        <f t="shared" si="72"/>
        <v>1900</v>
      </c>
    </row>
    <row r="4644" spans="9:9" x14ac:dyDescent="0.25">
      <c r="I4644">
        <f t="shared" si="72"/>
        <v>1900</v>
      </c>
    </row>
    <row r="4645" spans="9:9" x14ac:dyDescent="0.25">
      <c r="I4645">
        <f t="shared" si="72"/>
        <v>1900</v>
      </c>
    </row>
    <row r="4646" spans="9:9" x14ac:dyDescent="0.25">
      <c r="I4646">
        <f t="shared" si="72"/>
        <v>1900</v>
      </c>
    </row>
    <row r="4647" spans="9:9" x14ac:dyDescent="0.25">
      <c r="I4647">
        <f t="shared" si="72"/>
        <v>1900</v>
      </c>
    </row>
    <row r="4648" spans="9:9" x14ac:dyDescent="0.25">
      <c r="I4648">
        <f t="shared" si="72"/>
        <v>1900</v>
      </c>
    </row>
    <row r="4649" spans="9:9" x14ac:dyDescent="0.25">
      <c r="I4649">
        <f t="shared" si="72"/>
        <v>1900</v>
      </c>
    </row>
    <row r="4650" spans="9:9" x14ac:dyDescent="0.25">
      <c r="I4650">
        <f t="shared" si="72"/>
        <v>1900</v>
      </c>
    </row>
    <row r="4651" spans="9:9" x14ac:dyDescent="0.25">
      <c r="I4651">
        <f t="shared" si="72"/>
        <v>1900</v>
      </c>
    </row>
    <row r="4652" spans="9:9" x14ac:dyDescent="0.25">
      <c r="I4652">
        <f t="shared" si="72"/>
        <v>1900</v>
      </c>
    </row>
    <row r="4653" spans="9:9" x14ac:dyDescent="0.25">
      <c r="I4653">
        <f t="shared" si="72"/>
        <v>1900</v>
      </c>
    </row>
    <row r="4654" spans="9:9" x14ac:dyDescent="0.25">
      <c r="I4654">
        <f t="shared" si="72"/>
        <v>1900</v>
      </c>
    </row>
    <row r="4655" spans="9:9" x14ac:dyDescent="0.25">
      <c r="I4655">
        <f t="shared" si="72"/>
        <v>1900</v>
      </c>
    </row>
    <row r="4656" spans="9:9" x14ac:dyDescent="0.25">
      <c r="I4656">
        <f t="shared" si="72"/>
        <v>1900</v>
      </c>
    </row>
    <row r="4657" spans="9:9" x14ac:dyDescent="0.25">
      <c r="I4657">
        <f t="shared" si="72"/>
        <v>1900</v>
      </c>
    </row>
    <row r="4658" spans="9:9" x14ac:dyDescent="0.25">
      <c r="I4658">
        <f t="shared" si="72"/>
        <v>1900</v>
      </c>
    </row>
    <row r="4659" spans="9:9" x14ac:dyDescent="0.25">
      <c r="I4659">
        <f t="shared" si="72"/>
        <v>1900</v>
      </c>
    </row>
    <row r="4660" spans="9:9" x14ac:dyDescent="0.25">
      <c r="I4660">
        <f t="shared" si="72"/>
        <v>1900</v>
      </c>
    </row>
    <row r="4661" spans="9:9" x14ac:dyDescent="0.25">
      <c r="I4661">
        <f t="shared" si="72"/>
        <v>1900</v>
      </c>
    </row>
    <row r="4662" spans="9:9" x14ac:dyDescent="0.25">
      <c r="I4662">
        <f t="shared" si="72"/>
        <v>1900</v>
      </c>
    </row>
    <row r="4663" spans="9:9" x14ac:dyDescent="0.25">
      <c r="I4663">
        <f t="shared" si="72"/>
        <v>1900</v>
      </c>
    </row>
    <row r="4664" spans="9:9" x14ac:dyDescent="0.25">
      <c r="I4664">
        <f t="shared" si="72"/>
        <v>1900</v>
      </c>
    </row>
    <row r="4665" spans="9:9" x14ac:dyDescent="0.25">
      <c r="I4665">
        <f t="shared" si="72"/>
        <v>1900</v>
      </c>
    </row>
    <row r="4666" spans="9:9" x14ac:dyDescent="0.25">
      <c r="I4666">
        <f t="shared" si="72"/>
        <v>1900</v>
      </c>
    </row>
    <row r="4667" spans="9:9" x14ac:dyDescent="0.25">
      <c r="I4667">
        <f t="shared" si="72"/>
        <v>1900</v>
      </c>
    </row>
    <row r="4668" spans="9:9" x14ac:dyDescent="0.25">
      <c r="I4668">
        <f t="shared" si="72"/>
        <v>1900</v>
      </c>
    </row>
    <row r="4669" spans="9:9" x14ac:dyDescent="0.25">
      <c r="I4669">
        <f t="shared" si="72"/>
        <v>1900</v>
      </c>
    </row>
    <row r="4670" spans="9:9" x14ac:dyDescent="0.25">
      <c r="I4670">
        <f t="shared" si="72"/>
        <v>1900</v>
      </c>
    </row>
    <row r="4671" spans="9:9" x14ac:dyDescent="0.25">
      <c r="I4671">
        <f t="shared" si="72"/>
        <v>1900</v>
      </c>
    </row>
    <row r="4672" spans="9:9" x14ac:dyDescent="0.25">
      <c r="I4672">
        <f t="shared" si="72"/>
        <v>1900</v>
      </c>
    </row>
    <row r="4673" spans="9:9" x14ac:dyDescent="0.25">
      <c r="I4673">
        <f t="shared" si="72"/>
        <v>1900</v>
      </c>
    </row>
    <row r="4674" spans="9:9" x14ac:dyDescent="0.25">
      <c r="I4674">
        <f t="shared" si="72"/>
        <v>1900</v>
      </c>
    </row>
    <row r="4675" spans="9:9" x14ac:dyDescent="0.25">
      <c r="I4675">
        <f t="shared" si="72"/>
        <v>1900</v>
      </c>
    </row>
    <row r="4676" spans="9:9" x14ac:dyDescent="0.25">
      <c r="I4676">
        <f t="shared" ref="I4676:I4739" si="73">IFERROR(YEAR(E4676),"")</f>
        <v>1900</v>
      </c>
    </row>
    <row r="4677" spans="9:9" x14ac:dyDescent="0.25">
      <c r="I4677">
        <f t="shared" si="73"/>
        <v>1900</v>
      </c>
    </row>
    <row r="4678" spans="9:9" x14ac:dyDescent="0.25">
      <c r="I4678">
        <f t="shared" si="73"/>
        <v>1900</v>
      </c>
    </row>
    <row r="4679" spans="9:9" x14ac:dyDescent="0.25">
      <c r="I4679">
        <f t="shared" si="73"/>
        <v>1900</v>
      </c>
    </row>
    <row r="4680" spans="9:9" x14ac:dyDescent="0.25">
      <c r="I4680">
        <f t="shared" si="73"/>
        <v>1900</v>
      </c>
    </row>
    <row r="4681" spans="9:9" x14ac:dyDescent="0.25">
      <c r="I4681">
        <f t="shared" si="73"/>
        <v>1900</v>
      </c>
    </row>
    <row r="4682" spans="9:9" x14ac:dyDescent="0.25">
      <c r="I4682">
        <f t="shared" si="73"/>
        <v>1900</v>
      </c>
    </row>
    <row r="4683" spans="9:9" x14ac:dyDescent="0.25">
      <c r="I4683">
        <f t="shared" si="73"/>
        <v>1900</v>
      </c>
    </row>
    <row r="4684" spans="9:9" x14ac:dyDescent="0.25">
      <c r="I4684">
        <f t="shared" si="73"/>
        <v>1900</v>
      </c>
    </row>
    <row r="4685" spans="9:9" x14ac:dyDescent="0.25">
      <c r="I4685">
        <f t="shared" si="73"/>
        <v>1900</v>
      </c>
    </row>
    <row r="4686" spans="9:9" x14ac:dyDescent="0.25">
      <c r="I4686">
        <f t="shared" si="73"/>
        <v>1900</v>
      </c>
    </row>
    <row r="4687" spans="9:9" x14ac:dyDescent="0.25">
      <c r="I4687">
        <f t="shared" si="73"/>
        <v>1900</v>
      </c>
    </row>
    <row r="4688" spans="9:9" x14ac:dyDescent="0.25">
      <c r="I4688">
        <f t="shared" si="73"/>
        <v>1900</v>
      </c>
    </row>
    <row r="4689" spans="9:9" x14ac:dyDescent="0.25">
      <c r="I4689">
        <f t="shared" si="73"/>
        <v>1900</v>
      </c>
    </row>
    <row r="4690" spans="9:9" x14ac:dyDescent="0.25">
      <c r="I4690">
        <f t="shared" si="73"/>
        <v>1900</v>
      </c>
    </row>
    <row r="4691" spans="9:9" x14ac:dyDescent="0.25">
      <c r="I4691">
        <f t="shared" si="73"/>
        <v>1900</v>
      </c>
    </row>
    <row r="4692" spans="9:9" x14ac:dyDescent="0.25">
      <c r="I4692">
        <f t="shared" si="73"/>
        <v>1900</v>
      </c>
    </row>
    <row r="4693" spans="9:9" x14ac:dyDescent="0.25">
      <c r="I4693">
        <f t="shared" si="73"/>
        <v>1900</v>
      </c>
    </row>
    <row r="4694" spans="9:9" x14ac:dyDescent="0.25">
      <c r="I4694">
        <f t="shared" si="73"/>
        <v>1900</v>
      </c>
    </row>
    <row r="4695" spans="9:9" x14ac:dyDescent="0.25">
      <c r="I4695">
        <f t="shared" si="73"/>
        <v>1900</v>
      </c>
    </row>
    <row r="4696" spans="9:9" x14ac:dyDescent="0.25">
      <c r="I4696">
        <f t="shared" si="73"/>
        <v>1900</v>
      </c>
    </row>
    <row r="4697" spans="9:9" x14ac:dyDescent="0.25">
      <c r="I4697">
        <f t="shared" si="73"/>
        <v>1900</v>
      </c>
    </row>
    <row r="4698" spans="9:9" x14ac:dyDescent="0.25">
      <c r="I4698">
        <f t="shared" si="73"/>
        <v>1900</v>
      </c>
    </row>
    <row r="4699" spans="9:9" x14ac:dyDescent="0.25">
      <c r="I4699">
        <f t="shared" si="73"/>
        <v>1900</v>
      </c>
    </row>
    <row r="4700" spans="9:9" x14ac:dyDescent="0.25">
      <c r="I4700">
        <f t="shared" si="73"/>
        <v>1900</v>
      </c>
    </row>
    <row r="4701" spans="9:9" x14ac:dyDescent="0.25">
      <c r="I4701">
        <f t="shared" si="73"/>
        <v>1900</v>
      </c>
    </row>
    <row r="4702" spans="9:9" x14ac:dyDescent="0.25">
      <c r="I4702">
        <f t="shared" si="73"/>
        <v>1900</v>
      </c>
    </row>
    <row r="4703" spans="9:9" x14ac:dyDescent="0.25">
      <c r="I4703">
        <f t="shared" si="73"/>
        <v>1900</v>
      </c>
    </row>
    <row r="4704" spans="9:9" x14ac:dyDescent="0.25">
      <c r="I4704">
        <f t="shared" si="73"/>
        <v>1900</v>
      </c>
    </row>
    <row r="4705" spans="9:9" x14ac:dyDescent="0.25">
      <c r="I4705">
        <f t="shared" si="73"/>
        <v>1900</v>
      </c>
    </row>
    <row r="4706" spans="9:9" x14ac:dyDescent="0.25">
      <c r="I4706">
        <f t="shared" si="73"/>
        <v>1900</v>
      </c>
    </row>
    <row r="4707" spans="9:9" x14ac:dyDescent="0.25">
      <c r="I4707">
        <f t="shared" si="73"/>
        <v>1900</v>
      </c>
    </row>
    <row r="4708" spans="9:9" x14ac:dyDescent="0.25">
      <c r="I4708">
        <f t="shared" si="73"/>
        <v>1900</v>
      </c>
    </row>
    <row r="4709" spans="9:9" x14ac:dyDescent="0.25">
      <c r="I4709">
        <f t="shared" si="73"/>
        <v>1900</v>
      </c>
    </row>
    <row r="4710" spans="9:9" x14ac:dyDescent="0.25">
      <c r="I4710">
        <f t="shared" si="73"/>
        <v>1900</v>
      </c>
    </row>
    <row r="4711" spans="9:9" x14ac:dyDescent="0.25">
      <c r="I4711">
        <f t="shared" si="73"/>
        <v>1900</v>
      </c>
    </row>
    <row r="4712" spans="9:9" x14ac:dyDescent="0.25">
      <c r="I4712">
        <f t="shared" si="73"/>
        <v>1900</v>
      </c>
    </row>
    <row r="4713" spans="9:9" x14ac:dyDescent="0.25">
      <c r="I4713">
        <f t="shared" si="73"/>
        <v>1900</v>
      </c>
    </row>
    <row r="4714" spans="9:9" x14ac:dyDescent="0.25">
      <c r="I4714">
        <f t="shared" si="73"/>
        <v>1900</v>
      </c>
    </row>
    <row r="4715" spans="9:9" x14ac:dyDescent="0.25">
      <c r="I4715">
        <f t="shared" si="73"/>
        <v>1900</v>
      </c>
    </row>
    <row r="4716" spans="9:9" x14ac:dyDescent="0.25">
      <c r="I4716">
        <f t="shared" si="73"/>
        <v>1900</v>
      </c>
    </row>
    <row r="4717" spans="9:9" x14ac:dyDescent="0.25">
      <c r="I4717">
        <f t="shared" si="73"/>
        <v>1900</v>
      </c>
    </row>
    <row r="4718" spans="9:9" x14ac:dyDescent="0.25">
      <c r="I4718">
        <f t="shared" si="73"/>
        <v>1900</v>
      </c>
    </row>
    <row r="4719" spans="9:9" x14ac:dyDescent="0.25">
      <c r="I4719">
        <f t="shared" si="73"/>
        <v>1900</v>
      </c>
    </row>
    <row r="4720" spans="9:9" x14ac:dyDescent="0.25">
      <c r="I4720">
        <f t="shared" si="73"/>
        <v>1900</v>
      </c>
    </row>
    <row r="4721" spans="9:9" x14ac:dyDescent="0.25">
      <c r="I4721">
        <f t="shared" si="73"/>
        <v>1900</v>
      </c>
    </row>
    <row r="4722" spans="9:9" x14ac:dyDescent="0.25">
      <c r="I4722">
        <f t="shared" si="73"/>
        <v>1900</v>
      </c>
    </row>
    <row r="4723" spans="9:9" x14ac:dyDescent="0.25">
      <c r="I4723">
        <f t="shared" si="73"/>
        <v>1900</v>
      </c>
    </row>
    <row r="4724" spans="9:9" x14ac:dyDescent="0.25">
      <c r="I4724">
        <f t="shared" si="73"/>
        <v>1900</v>
      </c>
    </row>
    <row r="4725" spans="9:9" x14ac:dyDescent="0.25">
      <c r="I4725">
        <f t="shared" si="73"/>
        <v>1900</v>
      </c>
    </row>
    <row r="4726" spans="9:9" x14ac:dyDescent="0.25">
      <c r="I4726">
        <f t="shared" si="73"/>
        <v>1900</v>
      </c>
    </row>
    <row r="4727" spans="9:9" x14ac:dyDescent="0.25">
      <c r="I4727">
        <f t="shared" si="73"/>
        <v>1900</v>
      </c>
    </row>
    <row r="4728" spans="9:9" x14ac:dyDescent="0.25">
      <c r="I4728">
        <f t="shared" si="73"/>
        <v>1900</v>
      </c>
    </row>
    <row r="4729" spans="9:9" x14ac:dyDescent="0.25">
      <c r="I4729">
        <f t="shared" si="73"/>
        <v>1900</v>
      </c>
    </row>
    <row r="4730" spans="9:9" x14ac:dyDescent="0.25">
      <c r="I4730">
        <f t="shared" si="73"/>
        <v>1900</v>
      </c>
    </row>
    <row r="4731" spans="9:9" x14ac:dyDescent="0.25">
      <c r="I4731">
        <f t="shared" si="73"/>
        <v>1900</v>
      </c>
    </row>
    <row r="4732" spans="9:9" x14ac:dyDescent="0.25">
      <c r="I4732">
        <f t="shared" si="73"/>
        <v>1900</v>
      </c>
    </row>
    <row r="4733" spans="9:9" x14ac:dyDescent="0.25">
      <c r="I4733">
        <f t="shared" si="73"/>
        <v>1900</v>
      </c>
    </row>
    <row r="4734" spans="9:9" x14ac:dyDescent="0.25">
      <c r="I4734">
        <f t="shared" si="73"/>
        <v>1900</v>
      </c>
    </row>
    <row r="4735" spans="9:9" x14ac:dyDescent="0.25">
      <c r="I4735">
        <f t="shared" si="73"/>
        <v>1900</v>
      </c>
    </row>
    <row r="4736" spans="9:9" x14ac:dyDescent="0.25">
      <c r="I4736">
        <f t="shared" si="73"/>
        <v>1900</v>
      </c>
    </row>
    <row r="4737" spans="9:9" x14ac:dyDescent="0.25">
      <c r="I4737">
        <f t="shared" si="73"/>
        <v>1900</v>
      </c>
    </row>
    <row r="4738" spans="9:9" x14ac:dyDescent="0.25">
      <c r="I4738">
        <f t="shared" si="73"/>
        <v>1900</v>
      </c>
    </row>
    <row r="4739" spans="9:9" x14ac:dyDescent="0.25">
      <c r="I4739">
        <f t="shared" si="73"/>
        <v>1900</v>
      </c>
    </row>
    <row r="4740" spans="9:9" x14ac:dyDescent="0.25">
      <c r="I4740">
        <f t="shared" ref="I4740:I4803" si="74">IFERROR(YEAR(E4740),"")</f>
        <v>1900</v>
      </c>
    </row>
    <row r="4741" spans="9:9" x14ac:dyDescent="0.25">
      <c r="I4741">
        <f t="shared" si="74"/>
        <v>1900</v>
      </c>
    </row>
    <row r="4742" spans="9:9" x14ac:dyDescent="0.25">
      <c r="I4742">
        <f t="shared" si="74"/>
        <v>1900</v>
      </c>
    </row>
    <row r="4743" spans="9:9" x14ac:dyDescent="0.25">
      <c r="I4743">
        <f t="shared" si="74"/>
        <v>1900</v>
      </c>
    </row>
    <row r="4744" spans="9:9" x14ac:dyDescent="0.25">
      <c r="I4744">
        <f t="shared" si="74"/>
        <v>1900</v>
      </c>
    </row>
    <row r="4745" spans="9:9" x14ac:dyDescent="0.25">
      <c r="I4745">
        <f t="shared" si="74"/>
        <v>1900</v>
      </c>
    </row>
    <row r="4746" spans="9:9" x14ac:dyDescent="0.25">
      <c r="I4746">
        <f t="shared" si="74"/>
        <v>1900</v>
      </c>
    </row>
    <row r="4747" spans="9:9" x14ac:dyDescent="0.25">
      <c r="I4747">
        <f t="shared" si="74"/>
        <v>1900</v>
      </c>
    </row>
    <row r="4748" spans="9:9" x14ac:dyDescent="0.25">
      <c r="I4748">
        <f t="shared" si="74"/>
        <v>1900</v>
      </c>
    </row>
    <row r="4749" spans="9:9" x14ac:dyDescent="0.25">
      <c r="I4749">
        <f t="shared" si="74"/>
        <v>1900</v>
      </c>
    </row>
    <row r="4750" spans="9:9" x14ac:dyDescent="0.25">
      <c r="I4750">
        <f t="shared" si="74"/>
        <v>1900</v>
      </c>
    </row>
    <row r="4751" spans="9:9" x14ac:dyDescent="0.25">
      <c r="I4751">
        <f t="shared" si="74"/>
        <v>1900</v>
      </c>
    </row>
    <row r="4752" spans="9:9" x14ac:dyDescent="0.25">
      <c r="I4752">
        <f t="shared" si="74"/>
        <v>1900</v>
      </c>
    </row>
    <row r="4753" spans="9:9" x14ac:dyDescent="0.25">
      <c r="I4753">
        <f t="shared" si="74"/>
        <v>1900</v>
      </c>
    </row>
    <row r="4754" spans="9:9" x14ac:dyDescent="0.25">
      <c r="I4754">
        <f t="shared" si="74"/>
        <v>1900</v>
      </c>
    </row>
    <row r="4755" spans="9:9" x14ac:dyDescent="0.25">
      <c r="I4755">
        <f t="shared" si="74"/>
        <v>1900</v>
      </c>
    </row>
    <row r="4756" spans="9:9" x14ac:dyDescent="0.25">
      <c r="I4756">
        <f t="shared" si="74"/>
        <v>1900</v>
      </c>
    </row>
    <row r="4757" spans="9:9" x14ac:dyDescent="0.25">
      <c r="I4757">
        <f t="shared" si="74"/>
        <v>1900</v>
      </c>
    </row>
    <row r="4758" spans="9:9" x14ac:dyDescent="0.25">
      <c r="I4758">
        <f t="shared" si="74"/>
        <v>1900</v>
      </c>
    </row>
    <row r="4759" spans="9:9" x14ac:dyDescent="0.25">
      <c r="I4759">
        <f t="shared" si="74"/>
        <v>1900</v>
      </c>
    </row>
    <row r="4760" spans="9:9" x14ac:dyDescent="0.25">
      <c r="I4760">
        <f t="shared" si="74"/>
        <v>1900</v>
      </c>
    </row>
    <row r="4761" spans="9:9" x14ac:dyDescent="0.25">
      <c r="I4761">
        <f t="shared" si="74"/>
        <v>1900</v>
      </c>
    </row>
    <row r="4762" spans="9:9" x14ac:dyDescent="0.25">
      <c r="I4762">
        <f t="shared" si="74"/>
        <v>1900</v>
      </c>
    </row>
    <row r="4763" spans="9:9" x14ac:dyDescent="0.25">
      <c r="I4763">
        <f t="shared" si="74"/>
        <v>1900</v>
      </c>
    </row>
    <row r="4764" spans="9:9" x14ac:dyDescent="0.25">
      <c r="I4764">
        <f t="shared" si="74"/>
        <v>1900</v>
      </c>
    </row>
    <row r="4765" spans="9:9" x14ac:dyDescent="0.25">
      <c r="I4765">
        <f t="shared" si="74"/>
        <v>1900</v>
      </c>
    </row>
    <row r="4766" spans="9:9" x14ac:dyDescent="0.25">
      <c r="I4766">
        <f t="shared" si="74"/>
        <v>1900</v>
      </c>
    </row>
    <row r="4767" spans="9:9" x14ac:dyDescent="0.25">
      <c r="I4767">
        <f t="shared" si="74"/>
        <v>1900</v>
      </c>
    </row>
    <row r="4768" spans="9:9" x14ac:dyDescent="0.25">
      <c r="I4768">
        <f t="shared" si="74"/>
        <v>1900</v>
      </c>
    </row>
    <row r="4769" spans="9:9" x14ac:dyDescent="0.25">
      <c r="I4769">
        <f t="shared" si="74"/>
        <v>1900</v>
      </c>
    </row>
    <row r="4770" spans="9:9" x14ac:dyDescent="0.25">
      <c r="I4770">
        <f t="shared" si="74"/>
        <v>1900</v>
      </c>
    </row>
    <row r="4771" spans="9:9" x14ac:dyDescent="0.25">
      <c r="I4771">
        <f t="shared" si="74"/>
        <v>1900</v>
      </c>
    </row>
    <row r="4772" spans="9:9" x14ac:dyDescent="0.25">
      <c r="I4772">
        <f t="shared" si="74"/>
        <v>1900</v>
      </c>
    </row>
    <row r="4773" spans="9:9" x14ac:dyDescent="0.25">
      <c r="I4773">
        <f t="shared" si="74"/>
        <v>1900</v>
      </c>
    </row>
    <row r="4774" spans="9:9" x14ac:dyDescent="0.25">
      <c r="I4774">
        <f t="shared" si="74"/>
        <v>1900</v>
      </c>
    </row>
    <row r="4775" spans="9:9" x14ac:dyDescent="0.25">
      <c r="I4775">
        <f t="shared" si="74"/>
        <v>1900</v>
      </c>
    </row>
    <row r="4776" spans="9:9" x14ac:dyDescent="0.25">
      <c r="I4776">
        <f t="shared" si="74"/>
        <v>1900</v>
      </c>
    </row>
    <row r="4777" spans="9:9" x14ac:dyDescent="0.25">
      <c r="I4777">
        <f t="shared" si="74"/>
        <v>1900</v>
      </c>
    </row>
    <row r="4778" spans="9:9" x14ac:dyDescent="0.25">
      <c r="I4778">
        <f t="shared" si="74"/>
        <v>1900</v>
      </c>
    </row>
    <row r="4779" spans="9:9" x14ac:dyDescent="0.25">
      <c r="I4779">
        <f t="shared" si="74"/>
        <v>1900</v>
      </c>
    </row>
    <row r="4780" spans="9:9" x14ac:dyDescent="0.25">
      <c r="I4780">
        <f t="shared" si="74"/>
        <v>1900</v>
      </c>
    </row>
    <row r="4781" spans="9:9" x14ac:dyDescent="0.25">
      <c r="I4781">
        <f t="shared" si="74"/>
        <v>1900</v>
      </c>
    </row>
    <row r="4782" spans="9:9" x14ac:dyDescent="0.25">
      <c r="I4782">
        <f t="shared" si="74"/>
        <v>1900</v>
      </c>
    </row>
    <row r="4783" spans="9:9" x14ac:dyDescent="0.25">
      <c r="I4783">
        <f t="shared" si="74"/>
        <v>1900</v>
      </c>
    </row>
    <row r="4784" spans="9:9" x14ac:dyDescent="0.25">
      <c r="I4784">
        <f t="shared" si="74"/>
        <v>1900</v>
      </c>
    </row>
    <row r="4785" spans="9:9" x14ac:dyDescent="0.25">
      <c r="I4785">
        <f t="shared" si="74"/>
        <v>1900</v>
      </c>
    </row>
    <row r="4786" spans="9:9" x14ac:dyDescent="0.25">
      <c r="I4786">
        <f t="shared" si="74"/>
        <v>1900</v>
      </c>
    </row>
    <row r="4787" spans="9:9" x14ac:dyDescent="0.25">
      <c r="I4787">
        <f t="shared" si="74"/>
        <v>1900</v>
      </c>
    </row>
    <row r="4788" spans="9:9" x14ac:dyDescent="0.25">
      <c r="I4788">
        <f t="shared" si="74"/>
        <v>1900</v>
      </c>
    </row>
    <row r="4789" spans="9:9" x14ac:dyDescent="0.25">
      <c r="I4789">
        <f t="shared" si="74"/>
        <v>1900</v>
      </c>
    </row>
    <row r="4790" spans="9:9" x14ac:dyDescent="0.25">
      <c r="I4790">
        <f t="shared" si="74"/>
        <v>1900</v>
      </c>
    </row>
    <row r="4791" spans="9:9" x14ac:dyDescent="0.25">
      <c r="I4791">
        <f t="shared" si="74"/>
        <v>1900</v>
      </c>
    </row>
    <row r="4792" spans="9:9" x14ac:dyDescent="0.25">
      <c r="I4792">
        <f t="shared" si="74"/>
        <v>1900</v>
      </c>
    </row>
    <row r="4793" spans="9:9" x14ac:dyDescent="0.25">
      <c r="I4793">
        <f t="shared" si="74"/>
        <v>1900</v>
      </c>
    </row>
    <row r="4794" spans="9:9" x14ac:dyDescent="0.25">
      <c r="I4794">
        <f t="shared" si="74"/>
        <v>1900</v>
      </c>
    </row>
    <row r="4795" spans="9:9" x14ac:dyDescent="0.25">
      <c r="I4795">
        <f t="shared" si="74"/>
        <v>1900</v>
      </c>
    </row>
    <row r="4796" spans="9:9" x14ac:dyDescent="0.25">
      <c r="I4796">
        <f t="shared" si="74"/>
        <v>1900</v>
      </c>
    </row>
    <row r="4797" spans="9:9" x14ac:dyDescent="0.25">
      <c r="I4797">
        <f t="shared" si="74"/>
        <v>1900</v>
      </c>
    </row>
    <row r="4798" spans="9:9" x14ac:dyDescent="0.25">
      <c r="I4798">
        <f t="shared" si="74"/>
        <v>1900</v>
      </c>
    </row>
    <row r="4799" spans="9:9" x14ac:dyDescent="0.25">
      <c r="I4799">
        <f t="shared" si="74"/>
        <v>1900</v>
      </c>
    </row>
    <row r="4800" spans="9:9" x14ac:dyDescent="0.25">
      <c r="I4800">
        <f t="shared" si="74"/>
        <v>1900</v>
      </c>
    </row>
    <row r="4801" spans="9:9" x14ac:dyDescent="0.25">
      <c r="I4801">
        <f t="shared" si="74"/>
        <v>1900</v>
      </c>
    </row>
    <row r="4802" spans="9:9" x14ac:dyDescent="0.25">
      <c r="I4802">
        <f t="shared" si="74"/>
        <v>1900</v>
      </c>
    </row>
    <row r="4803" spans="9:9" x14ac:dyDescent="0.25">
      <c r="I4803">
        <f t="shared" si="74"/>
        <v>1900</v>
      </c>
    </row>
    <row r="4804" spans="9:9" x14ac:dyDescent="0.25">
      <c r="I4804">
        <f t="shared" ref="I4804:I4867" si="75">IFERROR(YEAR(E4804),"")</f>
        <v>1900</v>
      </c>
    </row>
    <row r="4805" spans="9:9" x14ac:dyDescent="0.25">
      <c r="I4805">
        <f t="shared" si="75"/>
        <v>1900</v>
      </c>
    </row>
    <row r="4806" spans="9:9" x14ac:dyDescent="0.25">
      <c r="I4806">
        <f t="shared" si="75"/>
        <v>1900</v>
      </c>
    </row>
    <row r="4807" spans="9:9" x14ac:dyDescent="0.25">
      <c r="I4807">
        <f t="shared" si="75"/>
        <v>1900</v>
      </c>
    </row>
    <row r="4808" spans="9:9" x14ac:dyDescent="0.25">
      <c r="I4808">
        <f t="shared" si="75"/>
        <v>1900</v>
      </c>
    </row>
    <row r="4809" spans="9:9" x14ac:dyDescent="0.25">
      <c r="I4809">
        <f t="shared" si="75"/>
        <v>1900</v>
      </c>
    </row>
    <row r="4810" spans="9:9" x14ac:dyDescent="0.25">
      <c r="I4810">
        <f t="shared" si="75"/>
        <v>1900</v>
      </c>
    </row>
    <row r="4811" spans="9:9" x14ac:dyDescent="0.25">
      <c r="I4811">
        <f t="shared" si="75"/>
        <v>1900</v>
      </c>
    </row>
    <row r="4812" spans="9:9" x14ac:dyDescent="0.25">
      <c r="I4812">
        <f t="shared" si="75"/>
        <v>1900</v>
      </c>
    </row>
    <row r="4813" spans="9:9" x14ac:dyDescent="0.25">
      <c r="I4813">
        <f t="shared" si="75"/>
        <v>1900</v>
      </c>
    </row>
    <row r="4814" spans="9:9" x14ac:dyDescent="0.25">
      <c r="I4814">
        <f t="shared" si="75"/>
        <v>1900</v>
      </c>
    </row>
    <row r="4815" spans="9:9" x14ac:dyDescent="0.25">
      <c r="I4815">
        <f t="shared" si="75"/>
        <v>1900</v>
      </c>
    </row>
    <row r="4816" spans="9:9" x14ac:dyDescent="0.25">
      <c r="I4816">
        <f t="shared" si="75"/>
        <v>1900</v>
      </c>
    </row>
    <row r="4817" spans="9:9" x14ac:dyDescent="0.25">
      <c r="I4817">
        <f t="shared" si="75"/>
        <v>1900</v>
      </c>
    </row>
    <row r="4818" spans="9:9" x14ac:dyDescent="0.25">
      <c r="I4818">
        <f t="shared" si="75"/>
        <v>1900</v>
      </c>
    </row>
    <row r="4819" spans="9:9" x14ac:dyDescent="0.25">
      <c r="I4819">
        <f t="shared" si="75"/>
        <v>1900</v>
      </c>
    </row>
    <row r="4820" spans="9:9" x14ac:dyDescent="0.25">
      <c r="I4820">
        <f t="shared" si="75"/>
        <v>1900</v>
      </c>
    </row>
    <row r="4821" spans="9:9" x14ac:dyDescent="0.25">
      <c r="I4821">
        <f t="shared" si="75"/>
        <v>1900</v>
      </c>
    </row>
    <row r="4822" spans="9:9" x14ac:dyDescent="0.25">
      <c r="I4822">
        <f t="shared" si="75"/>
        <v>1900</v>
      </c>
    </row>
    <row r="4823" spans="9:9" x14ac:dyDescent="0.25">
      <c r="I4823">
        <f t="shared" si="75"/>
        <v>1900</v>
      </c>
    </row>
    <row r="4824" spans="9:9" x14ac:dyDescent="0.25">
      <c r="I4824">
        <f t="shared" si="75"/>
        <v>1900</v>
      </c>
    </row>
    <row r="4825" spans="9:9" x14ac:dyDescent="0.25">
      <c r="I4825">
        <f t="shared" si="75"/>
        <v>1900</v>
      </c>
    </row>
    <row r="4826" spans="9:9" x14ac:dyDescent="0.25">
      <c r="I4826">
        <f t="shared" si="75"/>
        <v>1900</v>
      </c>
    </row>
    <row r="4827" spans="9:9" x14ac:dyDescent="0.25">
      <c r="I4827">
        <f t="shared" si="75"/>
        <v>1900</v>
      </c>
    </row>
    <row r="4828" spans="9:9" x14ac:dyDescent="0.25">
      <c r="I4828">
        <f t="shared" si="75"/>
        <v>1900</v>
      </c>
    </row>
    <row r="4829" spans="9:9" x14ac:dyDescent="0.25">
      <c r="I4829">
        <f t="shared" si="75"/>
        <v>1900</v>
      </c>
    </row>
    <row r="4830" spans="9:9" x14ac:dyDescent="0.25">
      <c r="I4830">
        <f t="shared" si="75"/>
        <v>1900</v>
      </c>
    </row>
    <row r="4831" spans="9:9" x14ac:dyDescent="0.25">
      <c r="I4831">
        <f t="shared" si="75"/>
        <v>1900</v>
      </c>
    </row>
    <row r="4832" spans="9:9" x14ac:dyDescent="0.25">
      <c r="I4832">
        <f t="shared" si="75"/>
        <v>1900</v>
      </c>
    </row>
    <row r="4833" spans="9:9" x14ac:dyDescent="0.25">
      <c r="I4833">
        <f t="shared" si="75"/>
        <v>1900</v>
      </c>
    </row>
    <row r="4834" spans="9:9" x14ac:dyDescent="0.25">
      <c r="I4834">
        <f t="shared" si="75"/>
        <v>1900</v>
      </c>
    </row>
    <row r="4835" spans="9:9" x14ac:dyDescent="0.25">
      <c r="I4835">
        <f t="shared" si="75"/>
        <v>1900</v>
      </c>
    </row>
    <row r="4836" spans="9:9" x14ac:dyDescent="0.25">
      <c r="I4836">
        <f t="shared" si="75"/>
        <v>1900</v>
      </c>
    </row>
    <row r="4837" spans="9:9" x14ac:dyDescent="0.25">
      <c r="I4837">
        <f t="shared" si="75"/>
        <v>1900</v>
      </c>
    </row>
    <row r="4838" spans="9:9" x14ac:dyDescent="0.25">
      <c r="I4838">
        <f t="shared" si="75"/>
        <v>1900</v>
      </c>
    </row>
    <row r="4839" spans="9:9" x14ac:dyDescent="0.25">
      <c r="I4839">
        <f t="shared" si="75"/>
        <v>1900</v>
      </c>
    </row>
    <row r="4840" spans="9:9" x14ac:dyDescent="0.25">
      <c r="I4840">
        <f t="shared" si="75"/>
        <v>1900</v>
      </c>
    </row>
    <row r="4841" spans="9:9" x14ac:dyDescent="0.25">
      <c r="I4841">
        <f t="shared" si="75"/>
        <v>1900</v>
      </c>
    </row>
    <row r="4842" spans="9:9" x14ac:dyDescent="0.25">
      <c r="I4842">
        <f t="shared" si="75"/>
        <v>1900</v>
      </c>
    </row>
    <row r="4843" spans="9:9" x14ac:dyDescent="0.25">
      <c r="I4843">
        <f t="shared" si="75"/>
        <v>1900</v>
      </c>
    </row>
    <row r="4844" spans="9:9" x14ac:dyDescent="0.25">
      <c r="I4844">
        <f t="shared" si="75"/>
        <v>1900</v>
      </c>
    </row>
    <row r="4845" spans="9:9" x14ac:dyDescent="0.25">
      <c r="I4845">
        <f t="shared" si="75"/>
        <v>1900</v>
      </c>
    </row>
    <row r="4846" spans="9:9" x14ac:dyDescent="0.25">
      <c r="I4846">
        <f t="shared" si="75"/>
        <v>1900</v>
      </c>
    </row>
    <row r="4847" spans="9:9" x14ac:dyDescent="0.25">
      <c r="I4847">
        <f t="shared" si="75"/>
        <v>1900</v>
      </c>
    </row>
    <row r="4848" spans="9:9" x14ac:dyDescent="0.25">
      <c r="I4848">
        <f t="shared" si="75"/>
        <v>1900</v>
      </c>
    </row>
    <row r="4849" spans="9:9" x14ac:dyDescent="0.25">
      <c r="I4849">
        <f t="shared" si="75"/>
        <v>1900</v>
      </c>
    </row>
    <row r="4850" spans="9:9" x14ac:dyDescent="0.25">
      <c r="I4850">
        <f t="shared" si="75"/>
        <v>1900</v>
      </c>
    </row>
    <row r="4851" spans="9:9" x14ac:dyDescent="0.25">
      <c r="I4851">
        <f t="shared" si="75"/>
        <v>1900</v>
      </c>
    </row>
    <row r="4852" spans="9:9" x14ac:dyDescent="0.25">
      <c r="I4852">
        <f t="shared" si="75"/>
        <v>1900</v>
      </c>
    </row>
    <row r="4853" spans="9:9" x14ac:dyDescent="0.25">
      <c r="I4853">
        <f t="shared" si="75"/>
        <v>1900</v>
      </c>
    </row>
    <row r="4854" spans="9:9" x14ac:dyDescent="0.25">
      <c r="I4854">
        <f t="shared" si="75"/>
        <v>1900</v>
      </c>
    </row>
    <row r="4855" spans="9:9" x14ac:dyDescent="0.25">
      <c r="I4855">
        <f t="shared" si="75"/>
        <v>1900</v>
      </c>
    </row>
    <row r="4856" spans="9:9" x14ac:dyDescent="0.25">
      <c r="I4856">
        <f t="shared" si="75"/>
        <v>1900</v>
      </c>
    </row>
    <row r="4857" spans="9:9" x14ac:dyDescent="0.25">
      <c r="I4857">
        <f t="shared" si="75"/>
        <v>1900</v>
      </c>
    </row>
    <row r="4858" spans="9:9" x14ac:dyDescent="0.25">
      <c r="I4858">
        <f t="shared" si="75"/>
        <v>1900</v>
      </c>
    </row>
    <row r="4859" spans="9:9" x14ac:dyDescent="0.25">
      <c r="I4859">
        <f t="shared" si="75"/>
        <v>1900</v>
      </c>
    </row>
    <row r="4860" spans="9:9" x14ac:dyDescent="0.25">
      <c r="I4860">
        <f t="shared" si="75"/>
        <v>1900</v>
      </c>
    </row>
    <row r="4861" spans="9:9" x14ac:dyDescent="0.25">
      <c r="I4861">
        <f t="shared" si="75"/>
        <v>1900</v>
      </c>
    </row>
    <row r="4862" spans="9:9" x14ac:dyDescent="0.25">
      <c r="I4862">
        <f t="shared" si="75"/>
        <v>1900</v>
      </c>
    </row>
    <row r="4863" spans="9:9" x14ac:dyDescent="0.25">
      <c r="I4863">
        <f t="shared" si="75"/>
        <v>1900</v>
      </c>
    </row>
    <row r="4864" spans="9:9" x14ac:dyDescent="0.25">
      <c r="I4864">
        <f t="shared" si="75"/>
        <v>1900</v>
      </c>
    </row>
    <row r="4865" spans="9:9" x14ac:dyDescent="0.25">
      <c r="I4865">
        <f t="shared" si="75"/>
        <v>1900</v>
      </c>
    </row>
    <row r="4866" spans="9:9" x14ac:dyDescent="0.25">
      <c r="I4866">
        <f t="shared" si="75"/>
        <v>1900</v>
      </c>
    </row>
    <row r="4867" spans="9:9" x14ac:dyDescent="0.25">
      <c r="I4867">
        <f t="shared" si="75"/>
        <v>1900</v>
      </c>
    </row>
    <row r="4868" spans="9:9" x14ac:dyDescent="0.25">
      <c r="I4868">
        <f t="shared" ref="I4868:I4931" si="76">IFERROR(YEAR(E4868),"")</f>
        <v>1900</v>
      </c>
    </row>
    <row r="4869" spans="9:9" x14ac:dyDescent="0.25">
      <c r="I4869">
        <f t="shared" si="76"/>
        <v>1900</v>
      </c>
    </row>
    <row r="4870" spans="9:9" x14ac:dyDescent="0.25">
      <c r="I4870">
        <f t="shared" si="76"/>
        <v>1900</v>
      </c>
    </row>
    <row r="4871" spans="9:9" x14ac:dyDescent="0.25">
      <c r="I4871">
        <f t="shared" si="76"/>
        <v>1900</v>
      </c>
    </row>
    <row r="4872" spans="9:9" x14ac:dyDescent="0.25">
      <c r="I4872">
        <f t="shared" si="76"/>
        <v>1900</v>
      </c>
    </row>
    <row r="4873" spans="9:9" x14ac:dyDescent="0.25">
      <c r="I4873">
        <f t="shared" si="76"/>
        <v>1900</v>
      </c>
    </row>
    <row r="4874" spans="9:9" x14ac:dyDescent="0.25">
      <c r="I4874">
        <f t="shared" si="76"/>
        <v>1900</v>
      </c>
    </row>
    <row r="4875" spans="9:9" x14ac:dyDescent="0.25">
      <c r="I4875">
        <f t="shared" si="76"/>
        <v>1900</v>
      </c>
    </row>
    <row r="4876" spans="9:9" x14ac:dyDescent="0.25">
      <c r="I4876">
        <f t="shared" si="76"/>
        <v>1900</v>
      </c>
    </row>
    <row r="4877" spans="9:9" x14ac:dyDescent="0.25">
      <c r="I4877">
        <f t="shared" si="76"/>
        <v>1900</v>
      </c>
    </row>
    <row r="4878" spans="9:9" x14ac:dyDescent="0.25">
      <c r="I4878">
        <f t="shared" si="76"/>
        <v>1900</v>
      </c>
    </row>
    <row r="4879" spans="9:9" x14ac:dyDescent="0.25">
      <c r="I4879">
        <f t="shared" si="76"/>
        <v>1900</v>
      </c>
    </row>
    <row r="4880" spans="9:9" x14ac:dyDescent="0.25">
      <c r="I4880">
        <f t="shared" si="76"/>
        <v>1900</v>
      </c>
    </row>
    <row r="4881" spans="9:9" x14ac:dyDescent="0.25">
      <c r="I4881">
        <f t="shared" si="76"/>
        <v>1900</v>
      </c>
    </row>
    <row r="4882" spans="9:9" x14ac:dyDescent="0.25">
      <c r="I4882">
        <f t="shared" si="76"/>
        <v>1900</v>
      </c>
    </row>
    <row r="4883" spans="9:9" x14ac:dyDescent="0.25">
      <c r="I4883">
        <f t="shared" si="76"/>
        <v>1900</v>
      </c>
    </row>
    <row r="4884" spans="9:9" x14ac:dyDescent="0.25">
      <c r="I4884">
        <f t="shared" si="76"/>
        <v>1900</v>
      </c>
    </row>
    <row r="4885" spans="9:9" x14ac:dyDescent="0.25">
      <c r="I4885">
        <f t="shared" si="76"/>
        <v>1900</v>
      </c>
    </row>
    <row r="4886" spans="9:9" x14ac:dyDescent="0.25">
      <c r="I4886">
        <f t="shared" si="76"/>
        <v>1900</v>
      </c>
    </row>
    <row r="4887" spans="9:9" x14ac:dyDescent="0.25">
      <c r="I4887">
        <f t="shared" si="76"/>
        <v>1900</v>
      </c>
    </row>
    <row r="4888" spans="9:9" x14ac:dyDescent="0.25">
      <c r="I4888">
        <f t="shared" si="76"/>
        <v>1900</v>
      </c>
    </row>
    <row r="4889" spans="9:9" x14ac:dyDescent="0.25">
      <c r="I4889">
        <f t="shared" si="76"/>
        <v>1900</v>
      </c>
    </row>
    <row r="4890" spans="9:9" x14ac:dyDescent="0.25">
      <c r="I4890">
        <f t="shared" si="76"/>
        <v>1900</v>
      </c>
    </row>
    <row r="4891" spans="9:9" x14ac:dyDescent="0.25">
      <c r="I4891">
        <f t="shared" si="76"/>
        <v>1900</v>
      </c>
    </row>
    <row r="4892" spans="9:9" x14ac:dyDescent="0.25">
      <c r="I4892">
        <f t="shared" si="76"/>
        <v>1900</v>
      </c>
    </row>
    <row r="4893" spans="9:9" x14ac:dyDescent="0.25">
      <c r="I4893">
        <f t="shared" si="76"/>
        <v>1900</v>
      </c>
    </row>
    <row r="4894" spans="9:9" x14ac:dyDescent="0.25">
      <c r="I4894">
        <f t="shared" si="76"/>
        <v>1900</v>
      </c>
    </row>
    <row r="4895" spans="9:9" x14ac:dyDescent="0.25">
      <c r="I4895">
        <f t="shared" si="76"/>
        <v>1900</v>
      </c>
    </row>
    <row r="4896" spans="9:9" x14ac:dyDescent="0.25">
      <c r="I4896">
        <f t="shared" si="76"/>
        <v>1900</v>
      </c>
    </row>
    <row r="4897" spans="9:9" x14ac:dyDescent="0.25">
      <c r="I4897">
        <f t="shared" si="76"/>
        <v>1900</v>
      </c>
    </row>
    <row r="4898" spans="9:9" x14ac:dyDescent="0.25">
      <c r="I4898">
        <f t="shared" si="76"/>
        <v>1900</v>
      </c>
    </row>
    <row r="4899" spans="9:9" x14ac:dyDescent="0.25">
      <c r="I4899">
        <f t="shared" si="76"/>
        <v>1900</v>
      </c>
    </row>
    <row r="4900" spans="9:9" x14ac:dyDescent="0.25">
      <c r="I4900">
        <f t="shared" si="76"/>
        <v>1900</v>
      </c>
    </row>
    <row r="4901" spans="9:9" x14ac:dyDescent="0.25">
      <c r="I4901">
        <f t="shared" si="76"/>
        <v>1900</v>
      </c>
    </row>
    <row r="4902" spans="9:9" x14ac:dyDescent="0.25">
      <c r="I4902">
        <f t="shared" si="76"/>
        <v>1900</v>
      </c>
    </row>
    <row r="4903" spans="9:9" x14ac:dyDescent="0.25">
      <c r="I4903">
        <f t="shared" si="76"/>
        <v>1900</v>
      </c>
    </row>
    <row r="4904" spans="9:9" x14ac:dyDescent="0.25">
      <c r="I4904">
        <f t="shared" si="76"/>
        <v>1900</v>
      </c>
    </row>
    <row r="4905" spans="9:9" x14ac:dyDescent="0.25">
      <c r="I4905">
        <f t="shared" si="76"/>
        <v>1900</v>
      </c>
    </row>
    <row r="4906" spans="9:9" x14ac:dyDescent="0.25">
      <c r="I4906">
        <f t="shared" si="76"/>
        <v>1900</v>
      </c>
    </row>
    <row r="4907" spans="9:9" x14ac:dyDescent="0.25">
      <c r="I4907">
        <f t="shared" si="76"/>
        <v>1900</v>
      </c>
    </row>
    <row r="4908" spans="9:9" x14ac:dyDescent="0.25">
      <c r="I4908">
        <f t="shared" si="76"/>
        <v>1900</v>
      </c>
    </row>
    <row r="4909" spans="9:9" x14ac:dyDescent="0.25">
      <c r="I4909">
        <f t="shared" si="76"/>
        <v>1900</v>
      </c>
    </row>
    <row r="4910" spans="9:9" x14ac:dyDescent="0.25">
      <c r="I4910">
        <f t="shared" si="76"/>
        <v>1900</v>
      </c>
    </row>
    <row r="4911" spans="9:9" x14ac:dyDescent="0.25">
      <c r="I4911">
        <f t="shared" si="76"/>
        <v>1900</v>
      </c>
    </row>
    <row r="4912" spans="9:9" x14ac:dyDescent="0.25">
      <c r="I4912">
        <f t="shared" si="76"/>
        <v>1900</v>
      </c>
    </row>
    <row r="4913" spans="9:9" x14ac:dyDescent="0.25">
      <c r="I4913">
        <f t="shared" si="76"/>
        <v>1900</v>
      </c>
    </row>
    <row r="4914" spans="9:9" x14ac:dyDescent="0.25">
      <c r="I4914">
        <f t="shared" si="76"/>
        <v>1900</v>
      </c>
    </row>
    <row r="4915" spans="9:9" x14ac:dyDescent="0.25">
      <c r="I4915">
        <f t="shared" si="76"/>
        <v>1900</v>
      </c>
    </row>
    <row r="4916" spans="9:9" x14ac:dyDescent="0.25">
      <c r="I4916">
        <f t="shared" si="76"/>
        <v>1900</v>
      </c>
    </row>
    <row r="4917" spans="9:9" x14ac:dyDescent="0.25">
      <c r="I4917">
        <f t="shared" si="76"/>
        <v>1900</v>
      </c>
    </row>
    <row r="4918" spans="9:9" x14ac:dyDescent="0.25">
      <c r="I4918">
        <f t="shared" si="76"/>
        <v>1900</v>
      </c>
    </row>
    <row r="4919" spans="9:9" x14ac:dyDescent="0.25">
      <c r="I4919">
        <f t="shared" si="76"/>
        <v>1900</v>
      </c>
    </row>
    <row r="4920" spans="9:9" x14ac:dyDescent="0.25">
      <c r="I4920">
        <f t="shared" si="76"/>
        <v>1900</v>
      </c>
    </row>
    <row r="4921" spans="9:9" x14ac:dyDescent="0.25">
      <c r="I4921">
        <f t="shared" si="76"/>
        <v>1900</v>
      </c>
    </row>
    <row r="4922" spans="9:9" x14ac:dyDescent="0.25">
      <c r="I4922">
        <f t="shared" si="76"/>
        <v>1900</v>
      </c>
    </row>
    <row r="4923" spans="9:9" x14ac:dyDescent="0.25">
      <c r="I4923">
        <f t="shared" si="76"/>
        <v>1900</v>
      </c>
    </row>
    <row r="4924" spans="9:9" x14ac:dyDescent="0.25">
      <c r="I4924">
        <f t="shared" si="76"/>
        <v>1900</v>
      </c>
    </row>
    <row r="4925" spans="9:9" x14ac:dyDescent="0.25">
      <c r="I4925">
        <f t="shared" si="76"/>
        <v>1900</v>
      </c>
    </row>
    <row r="4926" spans="9:9" x14ac:dyDescent="0.25">
      <c r="I4926">
        <f t="shared" si="76"/>
        <v>1900</v>
      </c>
    </row>
    <row r="4927" spans="9:9" x14ac:dyDescent="0.25">
      <c r="I4927">
        <f t="shared" si="76"/>
        <v>1900</v>
      </c>
    </row>
    <row r="4928" spans="9:9" x14ac:dyDescent="0.25">
      <c r="I4928">
        <f t="shared" si="76"/>
        <v>1900</v>
      </c>
    </row>
    <row r="4929" spans="9:9" x14ac:dyDescent="0.25">
      <c r="I4929">
        <f t="shared" si="76"/>
        <v>1900</v>
      </c>
    </row>
    <row r="4930" spans="9:9" x14ac:dyDescent="0.25">
      <c r="I4930">
        <f t="shared" si="76"/>
        <v>1900</v>
      </c>
    </row>
    <row r="4931" spans="9:9" x14ac:dyDescent="0.25">
      <c r="I4931">
        <f t="shared" si="76"/>
        <v>1900</v>
      </c>
    </row>
    <row r="4932" spans="9:9" x14ac:dyDescent="0.25">
      <c r="I4932">
        <f t="shared" ref="I4932:I4995" si="77">IFERROR(YEAR(E4932),"")</f>
        <v>1900</v>
      </c>
    </row>
    <row r="4933" spans="9:9" x14ac:dyDescent="0.25">
      <c r="I4933">
        <f t="shared" si="77"/>
        <v>1900</v>
      </c>
    </row>
    <row r="4934" spans="9:9" x14ac:dyDescent="0.25">
      <c r="I4934">
        <f t="shared" si="77"/>
        <v>1900</v>
      </c>
    </row>
    <row r="4935" spans="9:9" x14ac:dyDescent="0.25">
      <c r="I4935">
        <f t="shared" si="77"/>
        <v>1900</v>
      </c>
    </row>
    <row r="4936" spans="9:9" x14ac:dyDescent="0.25">
      <c r="I4936">
        <f t="shared" si="77"/>
        <v>1900</v>
      </c>
    </row>
    <row r="4937" spans="9:9" x14ac:dyDescent="0.25">
      <c r="I4937">
        <f t="shared" si="77"/>
        <v>1900</v>
      </c>
    </row>
    <row r="4938" spans="9:9" x14ac:dyDescent="0.25">
      <c r="I4938">
        <f t="shared" si="77"/>
        <v>1900</v>
      </c>
    </row>
    <row r="4939" spans="9:9" x14ac:dyDescent="0.25">
      <c r="I4939">
        <f t="shared" si="77"/>
        <v>1900</v>
      </c>
    </row>
    <row r="4940" spans="9:9" x14ac:dyDescent="0.25">
      <c r="I4940">
        <f t="shared" si="77"/>
        <v>1900</v>
      </c>
    </row>
    <row r="4941" spans="9:9" x14ac:dyDescent="0.25">
      <c r="I4941">
        <f t="shared" si="77"/>
        <v>1900</v>
      </c>
    </row>
    <row r="4942" spans="9:9" x14ac:dyDescent="0.25">
      <c r="I4942">
        <f t="shared" si="77"/>
        <v>1900</v>
      </c>
    </row>
    <row r="4943" spans="9:9" x14ac:dyDescent="0.25">
      <c r="I4943">
        <f t="shared" si="77"/>
        <v>1900</v>
      </c>
    </row>
    <row r="4944" spans="9:9" x14ac:dyDescent="0.25">
      <c r="I4944">
        <f t="shared" si="77"/>
        <v>1900</v>
      </c>
    </row>
    <row r="4945" spans="9:9" x14ac:dyDescent="0.25">
      <c r="I4945">
        <f t="shared" si="77"/>
        <v>1900</v>
      </c>
    </row>
    <row r="4946" spans="9:9" x14ac:dyDescent="0.25">
      <c r="I4946">
        <f t="shared" si="77"/>
        <v>1900</v>
      </c>
    </row>
    <row r="4947" spans="9:9" x14ac:dyDescent="0.25">
      <c r="I4947">
        <f t="shared" si="77"/>
        <v>1900</v>
      </c>
    </row>
    <row r="4948" spans="9:9" x14ac:dyDescent="0.25">
      <c r="I4948">
        <f t="shared" si="77"/>
        <v>1900</v>
      </c>
    </row>
    <row r="4949" spans="9:9" x14ac:dyDescent="0.25">
      <c r="I4949">
        <f t="shared" si="77"/>
        <v>1900</v>
      </c>
    </row>
    <row r="4950" spans="9:9" x14ac:dyDescent="0.25">
      <c r="I4950">
        <f t="shared" si="77"/>
        <v>1900</v>
      </c>
    </row>
    <row r="4951" spans="9:9" x14ac:dyDescent="0.25">
      <c r="I4951">
        <f t="shared" si="77"/>
        <v>1900</v>
      </c>
    </row>
    <row r="4952" spans="9:9" x14ac:dyDescent="0.25">
      <c r="I4952">
        <f t="shared" si="77"/>
        <v>1900</v>
      </c>
    </row>
    <row r="4953" spans="9:9" x14ac:dyDescent="0.25">
      <c r="I4953">
        <f t="shared" si="77"/>
        <v>1900</v>
      </c>
    </row>
    <row r="4954" spans="9:9" x14ac:dyDescent="0.25">
      <c r="I4954">
        <f t="shared" si="77"/>
        <v>1900</v>
      </c>
    </row>
    <row r="4955" spans="9:9" x14ac:dyDescent="0.25">
      <c r="I4955">
        <f t="shared" si="77"/>
        <v>1900</v>
      </c>
    </row>
    <row r="4956" spans="9:9" x14ac:dyDescent="0.25">
      <c r="I4956">
        <f t="shared" si="77"/>
        <v>1900</v>
      </c>
    </row>
    <row r="4957" spans="9:9" x14ac:dyDescent="0.25">
      <c r="I4957">
        <f t="shared" si="77"/>
        <v>1900</v>
      </c>
    </row>
    <row r="4958" spans="9:9" x14ac:dyDescent="0.25">
      <c r="I4958">
        <f t="shared" si="77"/>
        <v>1900</v>
      </c>
    </row>
    <row r="4959" spans="9:9" x14ac:dyDescent="0.25">
      <c r="I4959">
        <f t="shared" si="77"/>
        <v>1900</v>
      </c>
    </row>
    <row r="4960" spans="9:9" x14ac:dyDescent="0.25">
      <c r="I4960">
        <f t="shared" si="77"/>
        <v>1900</v>
      </c>
    </row>
    <row r="4961" spans="9:9" x14ac:dyDescent="0.25">
      <c r="I4961">
        <f t="shared" si="77"/>
        <v>1900</v>
      </c>
    </row>
    <row r="4962" spans="9:9" x14ac:dyDescent="0.25">
      <c r="I4962">
        <f t="shared" si="77"/>
        <v>1900</v>
      </c>
    </row>
    <row r="4963" spans="9:9" x14ac:dyDescent="0.25">
      <c r="I4963">
        <f t="shared" si="77"/>
        <v>1900</v>
      </c>
    </row>
    <row r="4964" spans="9:9" x14ac:dyDescent="0.25">
      <c r="I4964">
        <f t="shared" si="77"/>
        <v>1900</v>
      </c>
    </row>
    <row r="4965" spans="9:9" x14ac:dyDescent="0.25">
      <c r="I4965">
        <f t="shared" si="77"/>
        <v>1900</v>
      </c>
    </row>
    <row r="4966" spans="9:9" x14ac:dyDescent="0.25">
      <c r="I4966">
        <f t="shared" si="77"/>
        <v>1900</v>
      </c>
    </row>
    <row r="4967" spans="9:9" x14ac:dyDescent="0.25">
      <c r="I4967">
        <f t="shared" si="77"/>
        <v>1900</v>
      </c>
    </row>
    <row r="4968" spans="9:9" x14ac:dyDescent="0.25">
      <c r="I4968">
        <f t="shared" si="77"/>
        <v>1900</v>
      </c>
    </row>
    <row r="4969" spans="9:9" x14ac:dyDescent="0.25">
      <c r="I4969">
        <f t="shared" si="77"/>
        <v>1900</v>
      </c>
    </row>
    <row r="4970" spans="9:9" x14ac:dyDescent="0.25">
      <c r="I4970">
        <f t="shared" si="77"/>
        <v>1900</v>
      </c>
    </row>
    <row r="4971" spans="9:9" x14ac:dyDescent="0.25">
      <c r="I4971">
        <f t="shared" si="77"/>
        <v>1900</v>
      </c>
    </row>
    <row r="4972" spans="9:9" x14ac:dyDescent="0.25">
      <c r="I4972">
        <f t="shared" si="77"/>
        <v>1900</v>
      </c>
    </row>
    <row r="4973" spans="9:9" x14ac:dyDescent="0.25">
      <c r="I4973">
        <f t="shared" si="77"/>
        <v>1900</v>
      </c>
    </row>
    <row r="4974" spans="9:9" x14ac:dyDescent="0.25">
      <c r="I4974">
        <f t="shared" si="77"/>
        <v>1900</v>
      </c>
    </row>
    <row r="4975" spans="9:9" x14ac:dyDescent="0.25">
      <c r="I4975">
        <f t="shared" si="77"/>
        <v>1900</v>
      </c>
    </row>
    <row r="4976" spans="9:9" x14ac:dyDescent="0.25">
      <c r="I4976">
        <f t="shared" si="77"/>
        <v>1900</v>
      </c>
    </row>
    <row r="4977" spans="9:9" x14ac:dyDescent="0.25">
      <c r="I4977">
        <f t="shared" si="77"/>
        <v>1900</v>
      </c>
    </row>
    <row r="4978" spans="9:9" x14ac:dyDescent="0.25">
      <c r="I4978">
        <f t="shared" si="77"/>
        <v>1900</v>
      </c>
    </row>
    <row r="4979" spans="9:9" x14ac:dyDescent="0.25">
      <c r="I4979">
        <f t="shared" si="77"/>
        <v>1900</v>
      </c>
    </row>
    <row r="4980" spans="9:9" x14ac:dyDescent="0.25">
      <c r="I4980">
        <f t="shared" si="77"/>
        <v>1900</v>
      </c>
    </row>
    <row r="4981" spans="9:9" x14ac:dyDescent="0.25">
      <c r="I4981">
        <f t="shared" si="77"/>
        <v>1900</v>
      </c>
    </row>
    <row r="4982" spans="9:9" x14ac:dyDescent="0.25">
      <c r="I4982">
        <f t="shared" si="77"/>
        <v>1900</v>
      </c>
    </row>
    <row r="4983" spans="9:9" x14ac:dyDescent="0.25">
      <c r="I4983">
        <f t="shared" si="77"/>
        <v>1900</v>
      </c>
    </row>
    <row r="4984" spans="9:9" x14ac:dyDescent="0.25">
      <c r="I4984">
        <f t="shared" si="77"/>
        <v>1900</v>
      </c>
    </row>
    <row r="4985" spans="9:9" x14ac:dyDescent="0.25">
      <c r="I4985">
        <f t="shared" si="77"/>
        <v>1900</v>
      </c>
    </row>
    <row r="4986" spans="9:9" x14ac:dyDescent="0.25">
      <c r="I4986">
        <f t="shared" si="77"/>
        <v>1900</v>
      </c>
    </row>
    <row r="4987" spans="9:9" x14ac:dyDescent="0.25">
      <c r="I4987">
        <f t="shared" si="77"/>
        <v>1900</v>
      </c>
    </row>
    <row r="4988" spans="9:9" x14ac:dyDescent="0.25">
      <c r="I4988">
        <f t="shared" si="77"/>
        <v>1900</v>
      </c>
    </row>
    <row r="4989" spans="9:9" x14ac:dyDescent="0.25">
      <c r="I4989">
        <f t="shared" si="77"/>
        <v>1900</v>
      </c>
    </row>
    <row r="4990" spans="9:9" x14ac:dyDescent="0.25">
      <c r="I4990">
        <f t="shared" si="77"/>
        <v>1900</v>
      </c>
    </row>
    <row r="4991" spans="9:9" x14ac:dyDescent="0.25">
      <c r="I4991">
        <f t="shared" si="77"/>
        <v>1900</v>
      </c>
    </row>
    <row r="4992" spans="9:9" x14ac:dyDescent="0.25">
      <c r="I4992">
        <f t="shared" si="77"/>
        <v>1900</v>
      </c>
    </row>
    <row r="4993" spans="9:9" x14ac:dyDescent="0.25">
      <c r="I4993">
        <f t="shared" si="77"/>
        <v>1900</v>
      </c>
    </row>
    <row r="4994" spans="9:9" x14ac:dyDescent="0.25">
      <c r="I4994">
        <f t="shared" si="77"/>
        <v>1900</v>
      </c>
    </row>
    <row r="4995" spans="9:9" x14ac:dyDescent="0.25">
      <c r="I4995">
        <f t="shared" si="77"/>
        <v>1900</v>
      </c>
    </row>
    <row r="4996" spans="9:9" x14ac:dyDescent="0.25">
      <c r="I4996">
        <f t="shared" ref="I4996:I5003" si="78">IFERROR(YEAR(E4996),"")</f>
        <v>1900</v>
      </c>
    </row>
    <row r="4997" spans="9:9" x14ac:dyDescent="0.25">
      <c r="I4997">
        <f t="shared" si="78"/>
        <v>1900</v>
      </c>
    </row>
    <row r="4998" spans="9:9" x14ac:dyDescent="0.25">
      <c r="I4998">
        <f t="shared" si="78"/>
        <v>1900</v>
      </c>
    </row>
    <row r="4999" spans="9:9" x14ac:dyDescent="0.25">
      <c r="I4999">
        <f t="shared" si="78"/>
        <v>1900</v>
      </c>
    </row>
    <row r="5000" spans="9:9" x14ac:dyDescent="0.25">
      <c r="I5000">
        <f t="shared" si="78"/>
        <v>1900</v>
      </c>
    </row>
    <row r="5001" spans="9:9" x14ac:dyDescent="0.25">
      <c r="I5001">
        <f t="shared" si="78"/>
        <v>1900</v>
      </c>
    </row>
    <row r="5002" spans="9:9" x14ac:dyDescent="0.25">
      <c r="I5002">
        <f t="shared" si="78"/>
        <v>1900</v>
      </c>
    </row>
    <row r="5003" spans="9:9" x14ac:dyDescent="0.25">
      <c r="I5003">
        <f t="shared" si="78"/>
        <v>1900</v>
      </c>
    </row>
  </sheetData>
  <autoFilter ref="A3:J3" xr:uid="{00000000-0009-0000-0000-000028000000}"/>
  <mergeCells count="2">
    <mergeCell ref="A1:J1"/>
    <mergeCell ref="A2:J2"/>
  </mergeCells>
  <pageMargins left="0.75" right="0.75" top="1" bottom="1" header="0.511811023622047" footer="0.511811023622047"/>
  <pageSetup paperSize="9" orientation="portrait" horizontalDpi="300" verticalDpi="30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tabColor rgb="FFC0392B"/>
  </sheetPr>
  <dimension ref="A1:O5003"/>
  <sheetViews>
    <sheetView zoomScaleNormal="100" workbookViewId="0">
      <pane ySplit="3" topLeftCell="A4" activePane="bottomLeft" state="frozen"/>
      <selection pane="bottomLeft" sqref="A1:L1"/>
    </sheetView>
  </sheetViews>
  <sheetFormatPr defaultColWidth="8.7109375" defaultRowHeight="15" x14ac:dyDescent="0.25"/>
  <cols>
    <col min="1" max="1" width="5" customWidth="1"/>
    <col min="2" max="2" width="20" customWidth="1"/>
    <col min="3" max="3" width="16" customWidth="1"/>
    <col min="4" max="4" width="24" customWidth="1"/>
    <col min="5" max="5" width="16" customWidth="1"/>
    <col min="6" max="6" width="13" customWidth="1"/>
    <col min="7" max="7" width="18" customWidth="1"/>
    <col min="8" max="9" width="16" customWidth="1"/>
    <col min="10" max="10" width="12" customWidth="1"/>
    <col min="11" max="11" width="14" customWidth="1"/>
    <col min="12" max="12" width="22" customWidth="1"/>
    <col min="13" max="13" width="20" customWidth="1"/>
    <col min="14" max="14" width="16" customWidth="1"/>
    <col min="15" max="15" width="12" customWidth="1"/>
  </cols>
  <sheetData>
    <row r="1" spans="1:15" ht="31.5" customHeight="1" x14ac:dyDescent="0.25">
      <c r="A1" s="367" t="s">
        <v>410</v>
      </c>
      <c r="B1" s="265"/>
      <c r="C1" s="265"/>
      <c r="D1" s="265"/>
      <c r="E1" s="265"/>
      <c r="F1" s="265"/>
      <c r="G1" s="265"/>
      <c r="H1" s="265"/>
      <c r="I1" s="265"/>
      <c r="J1" s="265"/>
      <c r="K1" s="265"/>
      <c r="L1" s="265"/>
    </row>
    <row r="2" spans="1:15" ht="19.5" customHeight="1" x14ac:dyDescent="0.25">
      <c r="A2" s="366" t="s">
        <v>411</v>
      </c>
      <c r="B2" s="265"/>
      <c r="C2" s="265"/>
      <c r="D2" s="265"/>
      <c r="E2" s="265"/>
      <c r="F2" s="265"/>
      <c r="G2" s="265"/>
      <c r="H2" s="265"/>
      <c r="I2" s="265"/>
      <c r="J2" s="265"/>
      <c r="K2" s="265"/>
      <c r="L2" s="265"/>
    </row>
    <row r="3" spans="1:15" ht="15" customHeight="1" x14ac:dyDescent="0.25">
      <c r="A3" s="93" t="s">
        <v>74</v>
      </c>
      <c r="B3" s="93" t="s">
        <v>407</v>
      </c>
      <c r="C3" s="93" t="s">
        <v>4</v>
      </c>
      <c r="D3" s="93" t="s">
        <v>5</v>
      </c>
      <c r="E3" s="93" t="s">
        <v>412</v>
      </c>
      <c r="F3" s="93" t="s">
        <v>78</v>
      </c>
      <c r="G3" s="93" t="s">
        <v>413</v>
      </c>
      <c r="H3" s="93" t="s">
        <v>414</v>
      </c>
      <c r="I3" s="93" t="s">
        <v>415</v>
      </c>
      <c r="J3" s="93" t="s">
        <v>14</v>
      </c>
      <c r="K3" s="93" t="s">
        <v>13</v>
      </c>
      <c r="L3" s="93" t="s">
        <v>409</v>
      </c>
      <c r="M3" s="101" t="s">
        <v>416</v>
      </c>
      <c r="N3" s="101" t="s">
        <v>417</v>
      </c>
      <c r="O3" s="101" t="s">
        <v>16</v>
      </c>
    </row>
    <row r="4" spans="1:15" ht="15" customHeight="1" x14ac:dyDescent="0.25">
      <c r="A4" s="43"/>
      <c r="B4" s="43"/>
      <c r="C4" s="43"/>
      <c r="D4" s="41"/>
      <c r="E4" s="42"/>
      <c r="F4" s="102"/>
      <c r="G4" s="42"/>
      <c r="H4" s="43"/>
      <c r="I4" s="42">
        <f t="shared" ref="I4:I67" si="0">IFERROR(YEAR(E4),"")</f>
        <v>1900</v>
      </c>
      <c r="J4" s="43"/>
      <c r="K4" s="105"/>
      <c r="L4" s="43"/>
      <c r="M4">
        <f>MAX(0,E4-System_Config!$B$9)</f>
        <v>0</v>
      </c>
      <c r="N4" t="str">
        <f t="shared" ref="N4:N45" si="1">IF(G4&lt;=M4,"✅ COMPLIANT","⚠️ BREACH")</f>
        <v>✅ COMPLIANT</v>
      </c>
      <c r="O4" s="106"/>
    </row>
    <row r="5" spans="1:15" ht="15" customHeight="1" x14ac:dyDescent="0.25">
      <c r="A5" s="39"/>
      <c r="B5" s="39"/>
      <c r="C5" s="39"/>
      <c r="D5" s="37"/>
      <c r="E5" s="38"/>
      <c r="F5" s="103"/>
      <c r="G5" s="38"/>
      <c r="H5" s="39"/>
      <c r="I5" s="38">
        <f t="shared" si="0"/>
        <v>1900</v>
      </c>
      <c r="J5" s="39"/>
      <c r="K5" s="105"/>
      <c r="L5" s="39"/>
      <c r="M5">
        <f>MAX(0,E5-System_Config!$B$9)</f>
        <v>0</v>
      </c>
      <c r="N5" t="str">
        <f t="shared" si="1"/>
        <v>✅ COMPLIANT</v>
      </c>
      <c r="O5" s="106"/>
    </row>
    <row r="6" spans="1:15" ht="15" customHeight="1" x14ac:dyDescent="0.25">
      <c r="A6" s="43"/>
      <c r="B6" s="43"/>
      <c r="C6" s="43"/>
      <c r="D6" s="41"/>
      <c r="E6" s="42"/>
      <c r="F6" s="102"/>
      <c r="G6" s="42"/>
      <c r="H6" s="43"/>
      <c r="I6" s="42">
        <f t="shared" si="0"/>
        <v>1900</v>
      </c>
      <c r="J6" s="43"/>
      <c r="K6" s="105"/>
      <c r="L6" s="43"/>
      <c r="M6">
        <f>MAX(0,E6-System_Config!$B$9)</f>
        <v>0</v>
      </c>
      <c r="N6" t="str">
        <f t="shared" si="1"/>
        <v>✅ COMPLIANT</v>
      </c>
      <c r="O6" s="106"/>
    </row>
    <row r="7" spans="1:15" ht="15" customHeight="1" x14ac:dyDescent="0.25">
      <c r="A7" s="39"/>
      <c r="B7" s="39"/>
      <c r="C7" s="39"/>
      <c r="D7" s="37"/>
      <c r="E7" s="38"/>
      <c r="F7" s="103"/>
      <c r="G7" s="38"/>
      <c r="H7" s="39"/>
      <c r="I7" s="38">
        <f t="shared" si="0"/>
        <v>1900</v>
      </c>
      <c r="J7" s="39"/>
      <c r="K7" s="105"/>
      <c r="L7" s="39"/>
      <c r="M7">
        <f>MAX(0,E7-System_Config!$B$9)</f>
        <v>0</v>
      </c>
      <c r="N7" t="str">
        <f t="shared" si="1"/>
        <v>✅ COMPLIANT</v>
      </c>
      <c r="O7" s="106"/>
    </row>
    <row r="8" spans="1:15" ht="15" customHeight="1" x14ac:dyDescent="0.25">
      <c r="A8" s="43"/>
      <c r="B8" s="43"/>
      <c r="C8" s="43"/>
      <c r="D8" s="41"/>
      <c r="E8" s="42"/>
      <c r="F8" s="102"/>
      <c r="G8" s="42"/>
      <c r="H8" s="43"/>
      <c r="I8" s="42">
        <f t="shared" si="0"/>
        <v>1900</v>
      </c>
      <c r="J8" s="43"/>
      <c r="K8" s="105"/>
      <c r="L8" s="43"/>
      <c r="M8">
        <f>MAX(0,E8-System_Config!$B$9)</f>
        <v>0</v>
      </c>
      <c r="N8" t="str">
        <f t="shared" si="1"/>
        <v>✅ COMPLIANT</v>
      </c>
      <c r="O8" s="106"/>
    </row>
    <row r="9" spans="1:15" ht="15" customHeight="1" x14ac:dyDescent="0.25">
      <c r="A9" s="39"/>
      <c r="B9" s="39"/>
      <c r="C9" s="39"/>
      <c r="D9" s="37"/>
      <c r="E9" s="38"/>
      <c r="F9" s="103"/>
      <c r="G9" s="38"/>
      <c r="H9" s="39"/>
      <c r="I9" s="38">
        <f t="shared" si="0"/>
        <v>1900</v>
      </c>
      <c r="J9" s="39"/>
      <c r="K9" s="105"/>
      <c r="L9" s="39"/>
      <c r="M9">
        <f>MAX(0,E9-System_Config!$B$9)</f>
        <v>0</v>
      </c>
      <c r="N9" t="str">
        <f t="shared" si="1"/>
        <v>✅ COMPLIANT</v>
      </c>
      <c r="O9" s="106"/>
    </row>
    <row r="10" spans="1:15" ht="15" customHeight="1" x14ac:dyDescent="0.25">
      <c r="A10" s="43"/>
      <c r="B10" s="43"/>
      <c r="C10" s="43"/>
      <c r="D10" s="41"/>
      <c r="E10" s="42"/>
      <c r="F10" s="102"/>
      <c r="G10" s="42"/>
      <c r="H10" s="43"/>
      <c r="I10" s="42">
        <f t="shared" si="0"/>
        <v>1900</v>
      </c>
      <c r="J10" s="43"/>
      <c r="K10" s="105"/>
      <c r="L10" s="43"/>
      <c r="M10">
        <f>MAX(0,E10-System_Config!$B$9)</f>
        <v>0</v>
      </c>
      <c r="N10" t="str">
        <f t="shared" si="1"/>
        <v>✅ COMPLIANT</v>
      </c>
      <c r="O10" s="106"/>
    </row>
    <row r="11" spans="1:15" ht="15" customHeight="1" x14ac:dyDescent="0.25">
      <c r="A11" s="39"/>
      <c r="B11" s="39"/>
      <c r="C11" s="39"/>
      <c r="D11" s="37"/>
      <c r="E11" s="38"/>
      <c r="F11" s="103"/>
      <c r="G11" s="38"/>
      <c r="H11" s="39"/>
      <c r="I11" s="38">
        <f t="shared" si="0"/>
        <v>1900</v>
      </c>
      <c r="J11" s="39"/>
      <c r="K11" s="105"/>
      <c r="L11" s="39"/>
      <c r="M11">
        <f>MAX(0,E11-System_Config!$B$9)</f>
        <v>0</v>
      </c>
      <c r="N11" t="str">
        <f t="shared" si="1"/>
        <v>✅ COMPLIANT</v>
      </c>
      <c r="O11" s="106"/>
    </row>
    <row r="12" spans="1:15" ht="15" customHeight="1" x14ac:dyDescent="0.25">
      <c r="A12" s="43"/>
      <c r="B12" s="43"/>
      <c r="C12" s="43"/>
      <c r="D12" s="41"/>
      <c r="E12" s="42"/>
      <c r="F12" s="102"/>
      <c r="G12" s="42"/>
      <c r="H12" s="43"/>
      <c r="I12" s="42">
        <f t="shared" si="0"/>
        <v>1900</v>
      </c>
      <c r="J12" s="43"/>
      <c r="K12" s="105"/>
      <c r="L12" s="43"/>
      <c r="M12">
        <f>MAX(0,E12-System_Config!$B$9)</f>
        <v>0</v>
      </c>
      <c r="N12" t="str">
        <f t="shared" si="1"/>
        <v>✅ COMPLIANT</v>
      </c>
      <c r="O12" s="106"/>
    </row>
    <row r="13" spans="1:15" ht="15" customHeight="1" x14ac:dyDescent="0.25">
      <c r="A13" s="39"/>
      <c r="B13" s="39"/>
      <c r="C13" s="39"/>
      <c r="D13" s="37"/>
      <c r="E13" s="38"/>
      <c r="F13" s="103"/>
      <c r="G13" s="38"/>
      <c r="H13" s="39"/>
      <c r="I13" s="38">
        <f t="shared" si="0"/>
        <v>1900</v>
      </c>
      <c r="J13" s="39"/>
      <c r="K13" s="105"/>
      <c r="L13" s="39"/>
      <c r="M13">
        <f>MAX(0,E13-System_Config!$B$9)</f>
        <v>0</v>
      </c>
      <c r="N13" t="str">
        <f t="shared" si="1"/>
        <v>✅ COMPLIANT</v>
      </c>
      <c r="O13" s="106"/>
    </row>
    <row r="14" spans="1:15" ht="15" customHeight="1" x14ac:dyDescent="0.25">
      <c r="A14" s="43"/>
      <c r="B14" s="43"/>
      <c r="C14" s="43"/>
      <c r="D14" s="41"/>
      <c r="E14" s="42"/>
      <c r="F14" s="102"/>
      <c r="G14" s="42"/>
      <c r="H14" s="43"/>
      <c r="I14" s="42">
        <f t="shared" si="0"/>
        <v>1900</v>
      </c>
      <c r="J14" s="43"/>
      <c r="K14" s="105"/>
      <c r="L14" s="43"/>
      <c r="M14">
        <f>MAX(0,E14-System_Config!$B$9)</f>
        <v>0</v>
      </c>
      <c r="N14" t="str">
        <f t="shared" si="1"/>
        <v>✅ COMPLIANT</v>
      </c>
      <c r="O14" s="106"/>
    </row>
    <row r="15" spans="1:15" ht="15" customHeight="1" x14ac:dyDescent="0.25">
      <c r="A15" s="39"/>
      <c r="B15" s="39"/>
      <c r="C15" s="39"/>
      <c r="D15" s="37"/>
      <c r="E15" s="38"/>
      <c r="F15" s="103"/>
      <c r="G15" s="38"/>
      <c r="H15" s="39"/>
      <c r="I15" s="38">
        <f t="shared" si="0"/>
        <v>1900</v>
      </c>
      <c r="J15" s="39"/>
      <c r="K15" s="105"/>
      <c r="L15" s="39"/>
      <c r="M15">
        <f>MAX(0,E15-System_Config!$B$9)</f>
        <v>0</v>
      </c>
      <c r="N15" t="str">
        <f t="shared" si="1"/>
        <v>✅ COMPLIANT</v>
      </c>
      <c r="O15" s="106"/>
    </row>
    <row r="16" spans="1:15" ht="15" customHeight="1" x14ac:dyDescent="0.25">
      <c r="A16" s="43"/>
      <c r="B16" s="43"/>
      <c r="C16" s="43"/>
      <c r="D16" s="41"/>
      <c r="E16" s="42"/>
      <c r="F16" s="102"/>
      <c r="G16" s="42"/>
      <c r="H16" s="43"/>
      <c r="I16" s="42">
        <f t="shared" si="0"/>
        <v>1900</v>
      </c>
      <c r="J16" s="43"/>
      <c r="K16" s="105"/>
      <c r="L16" s="43"/>
      <c r="M16">
        <f>MAX(0,E16-System_Config!$B$9)</f>
        <v>0</v>
      </c>
      <c r="N16" t="str">
        <f t="shared" si="1"/>
        <v>✅ COMPLIANT</v>
      </c>
      <c r="O16" s="106"/>
    </row>
    <row r="17" spans="1:15" ht="15" customHeight="1" x14ac:dyDescent="0.25">
      <c r="A17" s="39"/>
      <c r="B17" s="39"/>
      <c r="C17" s="39"/>
      <c r="D17" s="37"/>
      <c r="E17" s="38"/>
      <c r="F17" s="103"/>
      <c r="G17" s="38"/>
      <c r="H17" s="39"/>
      <c r="I17" s="38">
        <f t="shared" si="0"/>
        <v>1900</v>
      </c>
      <c r="J17" s="39"/>
      <c r="K17" s="105"/>
      <c r="L17" s="39"/>
      <c r="M17">
        <f>MAX(0,E17-System_Config!$B$9)</f>
        <v>0</v>
      </c>
      <c r="N17" t="str">
        <f t="shared" si="1"/>
        <v>✅ COMPLIANT</v>
      </c>
      <c r="O17" s="106"/>
    </row>
    <row r="18" spans="1:15" ht="15" customHeight="1" x14ac:dyDescent="0.25">
      <c r="A18" s="43"/>
      <c r="B18" s="43"/>
      <c r="C18" s="43"/>
      <c r="D18" s="41"/>
      <c r="E18" s="42"/>
      <c r="F18" s="102"/>
      <c r="G18" s="42"/>
      <c r="H18" s="43"/>
      <c r="I18" s="42">
        <f t="shared" si="0"/>
        <v>1900</v>
      </c>
      <c r="J18" s="43"/>
      <c r="K18" s="105"/>
      <c r="L18" s="43"/>
      <c r="M18">
        <f>MAX(0,E18-System_Config!$B$9)</f>
        <v>0</v>
      </c>
      <c r="N18" t="str">
        <f t="shared" si="1"/>
        <v>✅ COMPLIANT</v>
      </c>
      <c r="O18" s="106"/>
    </row>
    <row r="19" spans="1:15" ht="15" customHeight="1" x14ac:dyDescent="0.25">
      <c r="A19" s="39"/>
      <c r="B19" s="39"/>
      <c r="C19" s="39"/>
      <c r="D19" s="37"/>
      <c r="E19" s="38"/>
      <c r="F19" s="103"/>
      <c r="G19" s="38"/>
      <c r="H19" s="39"/>
      <c r="I19" s="38">
        <f t="shared" si="0"/>
        <v>1900</v>
      </c>
      <c r="J19" s="39"/>
      <c r="K19" s="105"/>
      <c r="L19" s="39"/>
      <c r="M19">
        <f>MAX(0,E19-System_Config!$B$9)</f>
        <v>0</v>
      </c>
      <c r="N19" t="str">
        <f t="shared" si="1"/>
        <v>✅ COMPLIANT</v>
      </c>
      <c r="O19" s="106"/>
    </row>
    <row r="20" spans="1:15" ht="15" customHeight="1" x14ac:dyDescent="0.25">
      <c r="A20" s="43"/>
      <c r="B20" s="43"/>
      <c r="C20" s="43"/>
      <c r="D20" s="41"/>
      <c r="E20" s="42"/>
      <c r="F20" s="102"/>
      <c r="G20" s="42"/>
      <c r="H20" s="43"/>
      <c r="I20" s="42">
        <f t="shared" si="0"/>
        <v>1900</v>
      </c>
      <c r="J20" s="43"/>
      <c r="K20" s="105"/>
      <c r="L20" s="43"/>
      <c r="M20">
        <f>MAX(0,E20-System_Config!$B$9)</f>
        <v>0</v>
      </c>
      <c r="N20" t="str">
        <f t="shared" si="1"/>
        <v>✅ COMPLIANT</v>
      </c>
      <c r="O20" s="106"/>
    </row>
    <row r="21" spans="1:15" ht="15" customHeight="1" x14ac:dyDescent="0.25">
      <c r="A21" s="39"/>
      <c r="B21" s="39"/>
      <c r="C21" s="39"/>
      <c r="D21" s="37"/>
      <c r="E21" s="38"/>
      <c r="F21" s="103"/>
      <c r="G21" s="38"/>
      <c r="H21" s="39"/>
      <c r="I21" s="38">
        <f t="shared" si="0"/>
        <v>1900</v>
      </c>
      <c r="J21" s="39"/>
      <c r="K21" s="105"/>
      <c r="L21" s="39"/>
      <c r="M21">
        <f>MAX(0,E21-System_Config!$B$9)</f>
        <v>0</v>
      </c>
      <c r="N21" t="str">
        <f t="shared" si="1"/>
        <v>✅ COMPLIANT</v>
      </c>
      <c r="O21" s="106"/>
    </row>
    <row r="22" spans="1:15" ht="15" customHeight="1" x14ac:dyDescent="0.25">
      <c r="A22" s="43"/>
      <c r="B22" s="43"/>
      <c r="C22" s="43"/>
      <c r="D22" s="41"/>
      <c r="E22" s="42"/>
      <c r="F22" s="102"/>
      <c r="G22" s="42"/>
      <c r="H22" s="43"/>
      <c r="I22" s="42">
        <f t="shared" si="0"/>
        <v>1900</v>
      </c>
      <c r="J22" s="43"/>
      <c r="K22" s="105"/>
      <c r="L22" s="43"/>
      <c r="M22">
        <f>MAX(0,E22-System_Config!$B$9)</f>
        <v>0</v>
      </c>
      <c r="N22" t="str">
        <f t="shared" si="1"/>
        <v>✅ COMPLIANT</v>
      </c>
      <c r="O22" s="106"/>
    </row>
    <row r="23" spans="1:15" ht="15" customHeight="1" x14ac:dyDescent="0.25">
      <c r="A23" s="39"/>
      <c r="B23" s="39"/>
      <c r="C23" s="39"/>
      <c r="D23" s="37"/>
      <c r="E23" s="38"/>
      <c r="F23" s="103"/>
      <c r="G23" s="38"/>
      <c r="H23" s="39"/>
      <c r="I23" s="38">
        <f t="shared" si="0"/>
        <v>1900</v>
      </c>
      <c r="J23" s="39"/>
      <c r="K23" s="105"/>
      <c r="L23" s="39"/>
      <c r="M23">
        <f>MAX(0,E23-System_Config!$B$9)</f>
        <v>0</v>
      </c>
      <c r="N23" t="str">
        <f t="shared" si="1"/>
        <v>✅ COMPLIANT</v>
      </c>
      <c r="O23" s="106"/>
    </row>
    <row r="24" spans="1:15" ht="15" customHeight="1" x14ac:dyDescent="0.25">
      <c r="A24" s="43"/>
      <c r="B24" s="43"/>
      <c r="C24" s="43"/>
      <c r="D24" s="41"/>
      <c r="E24" s="42"/>
      <c r="F24" s="102"/>
      <c r="G24" s="42"/>
      <c r="H24" s="43"/>
      <c r="I24" s="42">
        <f t="shared" si="0"/>
        <v>1900</v>
      </c>
      <c r="J24" s="43"/>
      <c r="K24" s="105"/>
      <c r="L24" s="43"/>
      <c r="M24">
        <f>MAX(0,E24-System_Config!$B$9)</f>
        <v>0</v>
      </c>
      <c r="N24" t="str">
        <f t="shared" si="1"/>
        <v>✅ COMPLIANT</v>
      </c>
      <c r="O24" s="106"/>
    </row>
    <row r="25" spans="1:15" ht="15" customHeight="1" x14ac:dyDescent="0.25">
      <c r="A25" s="39"/>
      <c r="B25" s="39"/>
      <c r="C25" s="39"/>
      <c r="D25" s="37"/>
      <c r="E25" s="38"/>
      <c r="F25" s="103"/>
      <c r="G25" s="38"/>
      <c r="H25" s="39"/>
      <c r="I25" s="38">
        <f t="shared" si="0"/>
        <v>1900</v>
      </c>
      <c r="J25" s="39"/>
      <c r="K25" s="105"/>
      <c r="L25" s="39"/>
      <c r="M25">
        <f>MAX(0,E25-System_Config!$B$9)</f>
        <v>0</v>
      </c>
      <c r="N25" t="str">
        <f t="shared" si="1"/>
        <v>✅ COMPLIANT</v>
      </c>
      <c r="O25" s="106"/>
    </row>
    <row r="26" spans="1:15" ht="15" customHeight="1" x14ac:dyDescent="0.25">
      <c r="A26" s="43"/>
      <c r="B26" s="43"/>
      <c r="C26" s="43"/>
      <c r="D26" s="41"/>
      <c r="E26" s="42"/>
      <c r="F26" s="102"/>
      <c r="G26" s="42"/>
      <c r="H26" s="43"/>
      <c r="I26" s="42">
        <f t="shared" si="0"/>
        <v>1900</v>
      </c>
      <c r="J26" s="43"/>
      <c r="K26" s="105"/>
      <c r="L26" s="43"/>
      <c r="M26">
        <f>MAX(0,E26-System_Config!$B$9)</f>
        <v>0</v>
      </c>
      <c r="N26" t="str">
        <f t="shared" si="1"/>
        <v>✅ COMPLIANT</v>
      </c>
      <c r="O26" s="106"/>
    </row>
    <row r="27" spans="1:15" ht="15" customHeight="1" x14ac:dyDescent="0.25">
      <c r="A27" s="39"/>
      <c r="B27" s="39"/>
      <c r="C27" s="39"/>
      <c r="D27" s="37"/>
      <c r="E27" s="38"/>
      <c r="F27" s="103"/>
      <c r="G27" s="38"/>
      <c r="H27" s="39"/>
      <c r="I27" s="38">
        <f t="shared" si="0"/>
        <v>1900</v>
      </c>
      <c r="J27" s="39"/>
      <c r="K27" s="105"/>
      <c r="L27" s="39"/>
      <c r="M27">
        <f>MAX(0,E27-System_Config!$B$9)</f>
        <v>0</v>
      </c>
      <c r="N27" t="str">
        <f t="shared" si="1"/>
        <v>✅ COMPLIANT</v>
      </c>
      <c r="O27" s="106"/>
    </row>
    <row r="28" spans="1:15" ht="15" customHeight="1" x14ac:dyDescent="0.25">
      <c r="A28" s="43"/>
      <c r="B28" s="43"/>
      <c r="C28" s="43"/>
      <c r="D28" s="41"/>
      <c r="E28" s="42"/>
      <c r="F28" s="102"/>
      <c r="G28" s="42"/>
      <c r="H28" s="43"/>
      <c r="I28" s="42">
        <f t="shared" si="0"/>
        <v>1900</v>
      </c>
      <c r="J28" s="43"/>
      <c r="K28" s="105"/>
      <c r="L28" s="43"/>
      <c r="M28">
        <f>MAX(0,E28-System_Config!$B$9)</f>
        <v>0</v>
      </c>
      <c r="N28" t="str">
        <f t="shared" si="1"/>
        <v>✅ COMPLIANT</v>
      </c>
      <c r="O28" s="106"/>
    </row>
    <row r="29" spans="1:15" ht="15" customHeight="1" x14ac:dyDescent="0.25">
      <c r="A29" s="39"/>
      <c r="B29" s="39"/>
      <c r="C29" s="39"/>
      <c r="D29" s="37"/>
      <c r="E29" s="38"/>
      <c r="F29" s="103"/>
      <c r="G29" s="38"/>
      <c r="H29" s="39"/>
      <c r="I29" s="38">
        <f t="shared" si="0"/>
        <v>1900</v>
      </c>
      <c r="J29" s="39"/>
      <c r="K29" s="105"/>
      <c r="L29" s="39"/>
      <c r="M29">
        <f>MAX(0,E29-System_Config!$B$9)</f>
        <v>0</v>
      </c>
      <c r="N29" t="str">
        <f t="shared" si="1"/>
        <v>✅ COMPLIANT</v>
      </c>
      <c r="O29" s="106"/>
    </row>
    <row r="30" spans="1:15" ht="15" customHeight="1" x14ac:dyDescent="0.25">
      <c r="A30" s="43"/>
      <c r="B30" s="43"/>
      <c r="C30" s="43"/>
      <c r="D30" s="41"/>
      <c r="E30" s="42"/>
      <c r="F30" s="102"/>
      <c r="G30" s="42"/>
      <c r="H30" s="43"/>
      <c r="I30" s="42">
        <f t="shared" si="0"/>
        <v>1900</v>
      </c>
      <c r="J30" s="43"/>
      <c r="K30" s="105"/>
      <c r="L30" s="43"/>
      <c r="M30">
        <f>MAX(0,E30-System_Config!$B$9)</f>
        <v>0</v>
      </c>
      <c r="N30" t="str">
        <f t="shared" si="1"/>
        <v>✅ COMPLIANT</v>
      </c>
      <c r="O30" s="106"/>
    </row>
    <row r="31" spans="1:15" ht="15" customHeight="1" x14ac:dyDescent="0.25">
      <c r="A31" s="39"/>
      <c r="B31" s="39"/>
      <c r="C31" s="39"/>
      <c r="D31" s="37"/>
      <c r="E31" s="38"/>
      <c r="F31" s="103"/>
      <c r="G31" s="38"/>
      <c r="H31" s="39"/>
      <c r="I31" s="38">
        <f t="shared" si="0"/>
        <v>1900</v>
      </c>
      <c r="J31" s="39"/>
      <c r="K31" s="105"/>
      <c r="L31" s="39"/>
      <c r="M31">
        <f>MAX(0,E31-System_Config!$B$9)</f>
        <v>0</v>
      </c>
      <c r="N31" t="str">
        <f t="shared" si="1"/>
        <v>✅ COMPLIANT</v>
      </c>
      <c r="O31" s="106"/>
    </row>
    <row r="32" spans="1:15" ht="15" customHeight="1" x14ac:dyDescent="0.25">
      <c r="A32" s="43"/>
      <c r="B32" s="43"/>
      <c r="C32" s="43"/>
      <c r="D32" s="41"/>
      <c r="E32" s="42"/>
      <c r="F32" s="102"/>
      <c r="G32" s="42"/>
      <c r="H32" s="43"/>
      <c r="I32" s="42">
        <f t="shared" si="0"/>
        <v>1900</v>
      </c>
      <c r="J32" s="43"/>
      <c r="K32" s="105"/>
      <c r="L32" s="43"/>
      <c r="M32">
        <f>MAX(0,E32-System_Config!$B$9)</f>
        <v>0</v>
      </c>
      <c r="N32" t="str">
        <f t="shared" si="1"/>
        <v>✅ COMPLIANT</v>
      </c>
      <c r="O32" s="106"/>
    </row>
    <row r="33" spans="1:15" ht="15" customHeight="1" x14ac:dyDescent="0.25">
      <c r="A33" s="39"/>
      <c r="B33" s="39"/>
      <c r="C33" s="39"/>
      <c r="D33" s="37"/>
      <c r="E33" s="38"/>
      <c r="F33" s="103"/>
      <c r="G33" s="38"/>
      <c r="H33" s="39"/>
      <c r="I33" s="38">
        <f t="shared" si="0"/>
        <v>1900</v>
      </c>
      <c r="J33" s="39"/>
      <c r="K33" s="105"/>
      <c r="L33" s="39"/>
      <c r="M33">
        <f>MAX(0,E33-System_Config!$B$9)</f>
        <v>0</v>
      </c>
      <c r="N33" t="str">
        <f t="shared" si="1"/>
        <v>✅ COMPLIANT</v>
      </c>
      <c r="O33" s="106"/>
    </row>
    <row r="34" spans="1:15" ht="15" customHeight="1" x14ac:dyDescent="0.25">
      <c r="A34" s="43"/>
      <c r="B34" s="43"/>
      <c r="C34" s="43"/>
      <c r="D34" s="41"/>
      <c r="E34" s="42"/>
      <c r="F34" s="102"/>
      <c r="G34" s="42"/>
      <c r="H34" s="43"/>
      <c r="I34" s="42">
        <f t="shared" si="0"/>
        <v>1900</v>
      </c>
      <c r="J34" s="43"/>
      <c r="K34" s="105"/>
      <c r="L34" s="43"/>
      <c r="M34">
        <f>MAX(0,E34-System_Config!$B$9)</f>
        <v>0</v>
      </c>
      <c r="N34" t="str">
        <f t="shared" si="1"/>
        <v>✅ COMPLIANT</v>
      </c>
      <c r="O34" s="106"/>
    </row>
    <row r="35" spans="1:15" ht="15" customHeight="1" x14ac:dyDescent="0.25">
      <c r="A35" s="39"/>
      <c r="B35" s="39"/>
      <c r="C35" s="39"/>
      <c r="D35" s="37"/>
      <c r="E35" s="38"/>
      <c r="F35" s="103"/>
      <c r="G35" s="38"/>
      <c r="H35" s="39"/>
      <c r="I35" s="38">
        <f t="shared" si="0"/>
        <v>1900</v>
      </c>
      <c r="J35" s="39"/>
      <c r="K35" s="105"/>
      <c r="L35" s="39"/>
      <c r="M35">
        <f>MAX(0,E35-System_Config!$B$9)</f>
        <v>0</v>
      </c>
      <c r="N35" t="str">
        <f t="shared" si="1"/>
        <v>✅ COMPLIANT</v>
      </c>
      <c r="O35" s="106"/>
    </row>
    <row r="36" spans="1:15" ht="15" customHeight="1" x14ac:dyDescent="0.25">
      <c r="A36" s="43"/>
      <c r="B36" s="43"/>
      <c r="C36" s="43"/>
      <c r="D36" s="41"/>
      <c r="E36" s="42"/>
      <c r="F36" s="102"/>
      <c r="G36" s="42"/>
      <c r="H36" s="43"/>
      <c r="I36" s="42">
        <f t="shared" si="0"/>
        <v>1900</v>
      </c>
      <c r="J36" s="43"/>
      <c r="K36" s="105"/>
      <c r="L36" s="43"/>
      <c r="M36">
        <f>MAX(0,E36-System_Config!$B$9)</f>
        <v>0</v>
      </c>
      <c r="N36" t="str">
        <f t="shared" si="1"/>
        <v>✅ COMPLIANT</v>
      </c>
      <c r="O36" s="106"/>
    </row>
    <row r="37" spans="1:15" ht="15" customHeight="1" x14ac:dyDescent="0.25">
      <c r="A37" s="39"/>
      <c r="B37" s="39"/>
      <c r="C37" s="39"/>
      <c r="D37" s="37"/>
      <c r="E37" s="38"/>
      <c r="F37" s="103"/>
      <c r="G37" s="38"/>
      <c r="H37" s="39"/>
      <c r="I37" s="38">
        <f t="shared" si="0"/>
        <v>1900</v>
      </c>
      <c r="J37" s="39"/>
      <c r="K37" s="105"/>
      <c r="L37" s="39"/>
      <c r="M37">
        <f>MAX(0,E37-System_Config!$B$9)</f>
        <v>0</v>
      </c>
      <c r="N37" t="str">
        <f t="shared" si="1"/>
        <v>✅ COMPLIANT</v>
      </c>
      <c r="O37" s="106"/>
    </row>
    <row r="38" spans="1:15" ht="15" customHeight="1" x14ac:dyDescent="0.25">
      <c r="A38" s="43"/>
      <c r="B38" s="43"/>
      <c r="C38" s="43"/>
      <c r="D38" s="41"/>
      <c r="E38" s="42"/>
      <c r="F38" s="102"/>
      <c r="G38" s="42"/>
      <c r="H38" s="43"/>
      <c r="I38" s="42">
        <f t="shared" si="0"/>
        <v>1900</v>
      </c>
      <c r="J38" s="43"/>
      <c r="K38" s="105"/>
      <c r="L38" s="43"/>
      <c r="M38">
        <f>MAX(0,E38-System_Config!$B$9)</f>
        <v>0</v>
      </c>
      <c r="N38" t="str">
        <f t="shared" si="1"/>
        <v>✅ COMPLIANT</v>
      </c>
      <c r="O38" s="106"/>
    </row>
    <row r="39" spans="1:15" ht="15" customHeight="1" x14ac:dyDescent="0.25">
      <c r="A39" s="39"/>
      <c r="B39" s="39"/>
      <c r="C39" s="39"/>
      <c r="D39" s="37"/>
      <c r="E39" s="38"/>
      <c r="F39" s="103"/>
      <c r="G39" s="38"/>
      <c r="H39" s="39"/>
      <c r="I39" s="38">
        <f t="shared" si="0"/>
        <v>1900</v>
      </c>
      <c r="J39" s="39"/>
      <c r="K39" s="105"/>
      <c r="L39" s="39"/>
      <c r="M39">
        <f>MAX(0,E39-System_Config!$B$9)</f>
        <v>0</v>
      </c>
      <c r="N39" t="str">
        <f t="shared" si="1"/>
        <v>✅ COMPLIANT</v>
      </c>
      <c r="O39" s="106"/>
    </row>
    <row r="40" spans="1:15" ht="15" customHeight="1" x14ac:dyDescent="0.25">
      <c r="A40" s="43"/>
      <c r="B40" s="43"/>
      <c r="C40" s="43"/>
      <c r="D40" s="41"/>
      <c r="E40" s="42"/>
      <c r="F40" s="102"/>
      <c r="G40" s="42"/>
      <c r="H40" s="43"/>
      <c r="I40" s="42">
        <f t="shared" si="0"/>
        <v>1900</v>
      </c>
      <c r="J40" s="43"/>
      <c r="K40" s="105"/>
      <c r="L40" s="43"/>
      <c r="M40">
        <f>MAX(0,E40-System_Config!$B$9)</f>
        <v>0</v>
      </c>
      <c r="N40" t="str">
        <f t="shared" si="1"/>
        <v>✅ COMPLIANT</v>
      </c>
      <c r="O40" s="106"/>
    </row>
    <row r="41" spans="1:15" ht="15" customHeight="1" x14ac:dyDescent="0.25">
      <c r="A41" s="39"/>
      <c r="B41" s="39"/>
      <c r="C41" s="39"/>
      <c r="D41" s="37"/>
      <c r="E41" s="38"/>
      <c r="F41" s="103"/>
      <c r="G41" s="38"/>
      <c r="H41" s="39"/>
      <c r="I41" s="38">
        <f t="shared" si="0"/>
        <v>1900</v>
      </c>
      <c r="J41" s="39"/>
      <c r="K41" s="105"/>
      <c r="L41" s="39"/>
      <c r="M41">
        <f>MAX(0,E41-System_Config!$B$9)</f>
        <v>0</v>
      </c>
      <c r="N41" t="str">
        <f t="shared" si="1"/>
        <v>✅ COMPLIANT</v>
      </c>
      <c r="O41" s="106"/>
    </row>
    <row r="42" spans="1:15" ht="15" customHeight="1" x14ac:dyDescent="0.25">
      <c r="A42" s="43"/>
      <c r="B42" s="43"/>
      <c r="C42" s="43"/>
      <c r="D42" s="41"/>
      <c r="E42" s="42"/>
      <c r="F42" s="102"/>
      <c r="G42" s="42"/>
      <c r="H42" s="43"/>
      <c r="I42" s="42">
        <f t="shared" si="0"/>
        <v>1900</v>
      </c>
      <c r="J42" s="43"/>
      <c r="K42" s="105"/>
      <c r="L42" s="43"/>
      <c r="M42">
        <f>MAX(0,E42-System_Config!$B$9)</f>
        <v>0</v>
      </c>
      <c r="N42" t="str">
        <f t="shared" si="1"/>
        <v>✅ COMPLIANT</v>
      </c>
      <c r="O42" s="106"/>
    </row>
    <row r="43" spans="1:15" ht="15" customHeight="1" x14ac:dyDescent="0.25">
      <c r="A43" s="39"/>
      <c r="B43" s="39"/>
      <c r="C43" s="39"/>
      <c r="D43" s="37"/>
      <c r="E43" s="38"/>
      <c r="F43" s="103"/>
      <c r="G43" s="38"/>
      <c r="H43" s="39"/>
      <c r="I43" s="38">
        <f t="shared" si="0"/>
        <v>1900</v>
      </c>
      <c r="J43" s="39"/>
      <c r="K43" s="105"/>
      <c r="L43" s="39"/>
      <c r="M43">
        <f>MAX(0,E43-System_Config!$B$9)</f>
        <v>0</v>
      </c>
      <c r="N43" t="str">
        <f t="shared" si="1"/>
        <v>✅ COMPLIANT</v>
      </c>
      <c r="O43" s="106"/>
    </row>
    <row r="44" spans="1:15" ht="15" customHeight="1" x14ac:dyDescent="0.25">
      <c r="A44" s="43"/>
      <c r="B44" s="43"/>
      <c r="C44" s="43"/>
      <c r="D44" s="41"/>
      <c r="E44" s="42"/>
      <c r="F44" s="102"/>
      <c r="G44" s="42"/>
      <c r="H44" s="43"/>
      <c r="I44" s="42">
        <f t="shared" si="0"/>
        <v>1900</v>
      </c>
      <c r="J44" s="43"/>
      <c r="K44" s="105"/>
      <c r="L44" s="43"/>
      <c r="M44">
        <f>MAX(0,E44-System_Config!$B$9)</f>
        <v>0</v>
      </c>
      <c r="N44" t="str">
        <f t="shared" si="1"/>
        <v>✅ COMPLIANT</v>
      </c>
      <c r="O44" s="106"/>
    </row>
    <row r="45" spans="1:15" ht="15" customHeight="1" x14ac:dyDescent="0.25">
      <c r="A45" s="39"/>
      <c r="B45" s="39"/>
      <c r="C45" s="39"/>
      <c r="D45" s="37"/>
      <c r="E45" s="38"/>
      <c r="F45" s="103"/>
      <c r="G45" s="38"/>
      <c r="H45" s="39"/>
      <c r="I45" s="38">
        <f t="shared" si="0"/>
        <v>1900</v>
      </c>
      <c r="J45" s="39"/>
      <c r="K45" s="105"/>
      <c r="L45" s="39"/>
      <c r="M45">
        <f>MAX(0,E45-System_Config!$B$9)</f>
        <v>0</v>
      </c>
      <c r="N45" t="str">
        <f t="shared" si="1"/>
        <v>✅ COMPLIANT</v>
      </c>
      <c r="O45" s="106"/>
    </row>
    <row r="46" spans="1:15" x14ac:dyDescent="0.25">
      <c r="I46">
        <f t="shared" si="0"/>
        <v>1900</v>
      </c>
    </row>
    <row r="47" spans="1:15" x14ac:dyDescent="0.25">
      <c r="I47">
        <f t="shared" si="0"/>
        <v>1900</v>
      </c>
    </row>
    <row r="48" spans="1:15" x14ac:dyDescent="0.25">
      <c r="I48">
        <f t="shared" si="0"/>
        <v>1900</v>
      </c>
    </row>
    <row r="49" spans="9:9" x14ac:dyDescent="0.25">
      <c r="I49">
        <f t="shared" si="0"/>
        <v>1900</v>
      </c>
    </row>
    <row r="50" spans="9:9" x14ac:dyDescent="0.25">
      <c r="I50">
        <f t="shared" si="0"/>
        <v>1900</v>
      </c>
    </row>
    <row r="51" spans="9:9" x14ac:dyDescent="0.25">
      <c r="I51">
        <f t="shared" si="0"/>
        <v>1900</v>
      </c>
    </row>
    <row r="52" spans="9:9" x14ac:dyDescent="0.25">
      <c r="I52">
        <f t="shared" si="0"/>
        <v>1900</v>
      </c>
    </row>
    <row r="53" spans="9:9" x14ac:dyDescent="0.25">
      <c r="I53">
        <f t="shared" si="0"/>
        <v>1900</v>
      </c>
    </row>
    <row r="54" spans="9:9" x14ac:dyDescent="0.25">
      <c r="I54">
        <f t="shared" si="0"/>
        <v>1900</v>
      </c>
    </row>
    <row r="55" spans="9:9" x14ac:dyDescent="0.25">
      <c r="I55">
        <f t="shared" si="0"/>
        <v>1900</v>
      </c>
    </row>
    <row r="56" spans="9:9" x14ac:dyDescent="0.25">
      <c r="I56">
        <f t="shared" si="0"/>
        <v>1900</v>
      </c>
    </row>
    <row r="57" spans="9:9" x14ac:dyDescent="0.25">
      <c r="I57">
        <f t="shared" si="0"/>
        <v>1900</v>
      </c>
    </row>
    <row r="58" spans="9:9" x14ac:dyDescent="0.25">
      <c r="I58">
        <f t="shared" si="0"/>
        <v>1900</v>
      </c>
    </row>
    <row r="59" spans="9:9" x14ac:dyDescent="0.25">
      <c r="I59">
        <f t="shared" si="0"/>
        <v>1900</v>
      </c>
    </row>
    <row r="60" spans="9:9" x14ac:dyDescent="0.25">
      <c r="I60">
        <f t="shared" si="0"/>
        <v>1900</v>
      </c>
    </row>
    <row r="61" spans="9:9" x14ac:dyDescent="0.25">
      <c r="I61">
        <f t="shared" si="0"/>
        <v>1900</v>
      </c>
    </row>
    <row r="62" spans="9:9" x14ac:dyDescent="0.25">
      <c r="I62">
        <f t="shared" si="0"/>
        <v>1900</v>
      </c>
    </row>
    <row r="63" spans="9:9" x14ac:dyDescent="0.25">
      <c r="I63">
        <f t="shared" si="0"/>
        <v>1900</v>
      </c>
    </row>
    <row r="64" spans="9:9" x14ac:dyDescent="0.25">
      <c r="I64">
        <f t="shared" si="0"/>
        <v>1900</v>
      </c>
    </row>
    <row r="65" spans="9:9" x14ac:dyDescent="0.25">
      <c r="I65">
        <f t="shared" si="0"/>
        <v>1900</v>
      </c>
    </row>
    <row r="66" spans="9:9" x14ac:dyDescent="0.25">
      <c r="I66">
        <f t="shared" si="0"/>
        <v>1900</v>
      </c>
    </row>
    <row r="67" spans="9:9" x14ac:dyDescent="0.25">
      <c r="I67">
        <f t="shared" si="0"/>
        <v>1900</v>
      </c>
    </row>
    <row r="68" spans="9:9" x14ac:dyDescent="0.25">
      <c r="I68">
        <f t="shared" ref="I68:I131" si="2">IFERROR(YEAR(E68),"")</f>
        <v>1900</v>
      </c>
    </row>
    <row r="69" spans="9:9" x14ac:dyDescent="0.25">
      <c r="I69">
        <f t="shared" si="2"/>
        <v>1900</v>
      </c>
    </row>
    <row r="70" spans="9:9" x14ac:dyDescent="0.25">
      <c r="I70">
        <f t="shared" si="2"/>
        <v>1900</v>
      </c>
    </row>
    <row r="71" spans="9:9" x14ac:dyDescent="0.25">
      <c r="I71">
        <f t="shared" si="2"/>
        <v>1900</v>
      </c>
    </row>
    <row r="72" spans="9:9" x14ac:dyDescent="0.25">
      <c r="I72">
        <f t="shared" si="2"/>
        <v>1900</v>
      </c>
    </row>
    <row r="73" spans="9:9" x14ac:dyDescent="0.25">
      <c r="I73">
        <f t="shared" si="2"/>
        <v>1900</v>
      </c>
    </row>
    <row r="74" spans="9:9" x14ac:dyDescent="0.25">
      <c r="I74">
        <f t="shared" si="2"/>
        <v>1900</v>
      </c>
    </row>
    <row r="75" spans="9:9" x14ac:dyDescent="0.25">
      <c r="I75">
        <f t="shared" si="2"/>
        <v>1900</v>
      </c>
    </row>
    <row r="76" spans="9:9" x14ac:dyDescent="0.25">
      <c r="I76">
        <f t="shared" si="2"/>
        <v>1900</v>
      </c>
    </row>
    <row r="77" spans="9:9" x14ac:dyDescent="0.25">
      <c r="I77">
        <f t="shared" si="2"/>
        <v>1900</v>
      </c>
    </row>
    <row r="78" spans="9:9" x14ac:dyDescent="0.25">
      <c r="I78">
        <f t="shared" si="2"/>
        <v>1900</v>
      </c>
    </row>
    <row r="79" spans="9:9" x14ac:dyDescent="0.25">
      <c r="I79">
        <f t="shared" si="2"/>
        <v>1900</v>
      </c>
    </row>
    <row r="80" spans="9:9" x14ac:dyDescent="0.25">
      <c r="I80">
        <f t="shared" si="2"/>
        <v>1900</v>
      </c>
    </row>
    <row r="81" spans="9:9" x14ac:dyDescent="0.25">
      <c r="I81">
        <f t="shared" si="2"/>
        <v>1900</v>
      </c>
    </row>
    <row r="82" spans="9:9" x14ac:dyDescent="0.25">
      <c r="I82">
        <f t="shared" si="2"/>
        <v>1900</v>
      </c>
    </row>
    <row r="83" spans="9:9" x14ac:dyDescent="0.25">
      <c r="I83">
        <f t="shared" si="2"/>
        <v>1900</v>
      </c>
    </row>
    <row r="84" spans="9:9" x14ac:dyDescent="0.25">
      <c r="I84">
        <f t="shared" si="2"/>
        <v>1900</v>
      </c>
    </row>
    <row r="85" spans="9:9" x14ac:dyDescent="0.25">
      <c r="I85">
        <f t="shared" si="2"/>
        <v>1900</v>
      </c>
    </row>
    <row r="86" spans="9:9" x14ac:dyDescent="0.25">
      <c r="I86">
        <f t="shared" si="2"/>
        <v>1900</v>
      </c>
    </row>
    <row r="87" spans="9:9" x14ac:dyDescent="0.25">
      <c r="I87">
        <f t="shared" si="2"/>
        <v>1900</v>
      </c>
    </row>
    <row r="88" spans="9:9" x14ac:dyDescent="0.25">
      <c r="I88">
        <f t="shared" si="2"/>
        <v>1900</v>
      </c>
    </row>
    <row r="89" spans="9:9" x14ac:dyDescent="0.25">
      <c r="I89">
        <f t="shared" si="2"/>
        <v>1900</v>
      </c>
    </row>
    <row r="90" spans="9:9" x14ac:dyDescent="0.25">
      <c r="I90">
        <f t="shared" si="2"/>
        <v>1900</v>
      </c>
    </row>
    <row r="91" spans="9:9" x14ac:dyDescent="0.25">
      <c r="I91">
        <f t="shared" si="2"/>
        <v>1900</v>
      </c>
    </row>
    <row r="92" spans="9:9" x14ac:dyDescent="0.25">
      <c r="I92">
        <f t="shared" si="2"/>
        <v>1900</v>
      </c>
    </row>
    <row r="93" spans="9:9" x14ac:dyDescent="0.25">
      <c r="I93">
        <f t="shared" si="2"/>
        <v>1900</v>
      </c>
    </row>
    <row r="94" spans="9:9" x14ac:dyDescent="0.25">
      <c r="I94">
        <f t="shared" si="2"/>
        <v>1900</v>
      </c>
    </row>
    <row r="95" spans="9:9" x14ac:dyDescent="0.25">
      <c r="I95">
        <f t="shared" si="2"/>
        <v>1900</v>
      </c>
    </row>
    <row r="96" spans="9:9" x14ac:dyDescent="0.25">
      <c r="I96">
        <f t="shared" si="2"/>
        <v>1900</v>
      </c>
    </row>
    <row r="97" spans="9:9" x14ac:dyDescent="0.25">
      <c r="I97">
        <f t="shared" si="2"/>
        <v>1900</v>
      </c>
    </row>
    <row r="98" spans="9:9" x14ac:dyDescent="0.25">
      <c r="I98">
        <f t="shared" si="2"/>
        <v>1900</v>
      </c>
    </row>
    <row r="99" spans="9:9" x14ac:dyDescent="0.25">
      <c r="I99">
        <f t="shared" si="2"/>
        <v>1900</v>
      </c>
    </row>
    <row r="100" spans="9:9" x14ac:dyDescent="0.25">
      <c r="I100">
        <f t="shared" si="2"/>
        <v>1900</v>
      </c>
    </row>
    <row r="101" spans="9:9" x14ac:dyDescent="0.25">
      <c r="I101">
        <f t="shared" si="2"/>
        <v>1900</v>
      </c>
    </row>
    <row r="102" spans="9:9" x14ac:dyDescent="0.25">
      <c r="I102">
        <f t="shared" si="2"/>
        <v>1900</v>
      </c>
    </row>
    <row r="103" spans="9:9" x14ac:dyDescent="0.25">
      <c r="I103">
        <f t="shared" si="2"/>
        <v>1900</v>
      </c>
    </row>
    <row r="104" spans="9:9" x14ac:dyDescent="0.25">
      <c r="I104">
        <f t="shared" si="2"/>
        <v>1900</v>
      </c>
    </row>
    <row r="105" spans="9:9" x14ac:dyDescent="0.25">
      <c r="I105">
        <f t="shared" si="2"/>
        <v>1900</v>
      </c>
    </row>
    <row r="106" spans="9:9" x14ac:dyDescent="0.25">
      <c r="I106">
        <f t="shared" si="2"/>
        <v>1900</v>
      </c>
    </row>
    <row r="107" spans="9:9" x14ac:dyDescent="0.25">
      <c r="I107">
        <f t="shared" si="2"/>
        <v>1900</v>
      </c>
    </row>
    <row r="108" spans="9:9" x14ac:dyDescent="0.25">
      <c r="I108">
        <f t="shared" si="2"/>
        <v>1900</v>
      </c>
    </row>
    <row r="109" spans="9:9" x14ac:dyDescent="0.25">
      <c r="I109">
        <f t="shared" si="2"/>
        <v>1900</v>
      </c>
    </row>
    <row r="110" spans="9:9" x14ac:dyDescent="0.25">
      <c r="I110">
        <f t="shared" si="2"/>
        <v>1900</v>
      </c>
    </row>
    <row r="111" spans="9:9" x14ac:dyDescent="0.25">
      <c r="I111">
        <f t="shared" si="2"/>
        <v>1900</v>
      </c>
    </row>
    <row r="112" spans="9:9" x14ac:dyDescent="0.25">
      <c r="I112">
        <f t="shared" si="2"/>
        <v>1900</v>
      </c>
    </row>
    <row r="113" spans="9:9" x14ac:dyDescent="0.25">
      <c r="I113">
        <f t="shared" si="2"/>
        <v>1900</v>
      </c>
    </row>
    <row r="114" spans="9:9" x14ac:dyDescent="0.25">
      <c r="I114">
        <f t="shared" si="2"/>
        <v>1900</v>
      </c>
    </row>
    <row r="115" spans="9:9" x14ac:dyDescent="0.25">
      <c r="I115">
        <f t="shared" si="2"/>
        <v>1900</v>
      </c>
    </row>
    <row r="116" spans="9:9" x14ac:dyDescent="0.25">
      <c r="I116">
        <f t="shared" si="2"/>
        <v>1900</v>
      </c>
    </row>
    <row r="117" spans="9:9" x14ac:dyDescent="0.25">
      <c r="I117">
        <f t="shared" si="2"/>
        <v>1900</v>
      </c>
    </row>
    <row r="118" spans="9:9" x14ac:dyDescent="0.25">
      <c r="I118">
        <f t="shared" si="2"/>
        <v>1900</v>
      </c>
    </row>
    <row r="119" spans="9:9" x14ac:dyDescent="0.25">
      <c r="I119">
        <f t="shared" si="2"/>
        <v>1900</v>
      </c>
    </row>
    <row r="120" spans="9:9" x14ac:dyDescent="0.25">
      <c r="I120">
        <f t="shared" si="2"/>
        <v>1900</v>
      </c>
    </row>
    <row r="121" spans="9:9" x14ac:dyDescent="0.25">
      <c r="I121">
        <f t="shared" si="2"/>
        <v>1900</v>
      </c>
    </row>
    <row r="122" spans="9:9" x14ac:dyDescent="0.25">
      <c r="I122">
        <f t="shared" si="2"/>
        <v>1900</v>
      </c>
    </row>
    <row r="123" spans="9:9" x14ac:dyDescent="0.25">
      <c r="I123">
        <f t="shared" si="2"/>
        <v>1900</v>
      </c>
    </row>
    <row r="124" spans="9:9" x14ac:dyDescent="0.25">
      <c r="I124">
        <f t="shared" si="2"/>
        <v>1900</v>
      </c>
    </row>
    <row r="125" spans="9:9" x14ac:dyDescent="0.25">
      <c r="I125">
        <f t="shared" si="2"/>
        <v>1900</v>
      </c>
    </row>
    <row r="126" spans="9:9" x14ac:dyDescent="0.25">
      <c r="I126">
        <f t="shared" si="2"/>
        <v>1900</v>
      </c>
    </row>
    <row r="127" spans="9:9" x14ac:dyDescent="0.25">
      <c r="I127">
        <f t="shared" si="2"/>
        <v>1900</v>
      </c>
    </row>
    <row r="128" spans="9:9" x14ac:dyDescent="0.25">
      <c r="I128">
        <f t="shared" si="2"/>
        <v>1900</v>
      </c>
    </row>
    <row r="129" spans="9:9" x14ac:dyDescent="0.25">
      <c r="I129">
        <f t="shared" si="2"/>
        <v>1900</v>
      </c>
    </row>
    <row r="130" spans="9:9" x14ac:dyDescent="0.25">
      <c r="I130">
        <f t="shared" si="2"/>
        <v>1900</v>
      </c>
    </row>
    <row r="131" spans="9:9" x14ac:dyDescent="0.25">
      <c r="I131">
        <f t="shared" si="2"/>
        <v>1900</v>
      </c>
    </row>
    <row r="132" spans="9:9" x14ac:dyDescent="0.25">
      <c r="I132">
        <f t="shared" ref="I132:I195" si="3">IFERROR(YEAR(E132),"")</f>
        <v>1900</v>
      </c>
    </row>
    <row r="133" spans="9:9" x14ac:dyDescent="0.25">
      <c r="I133">
        <f t="shared" si="3"/>
        <v>1900</v>
      </c>
    </row>
    <row r="134" spans="9:9" x14ac:dyDescent="0.25">
      <c r="I134">
        <f t="shared" si="3"/>
        <v>1900</v>
      </c>
    </row>
    <row r="135" spans="9:9" x14ac:dyDescent="0.25">
      <c r="I135">
        <f t="shared" si="3"/>
        <v>1900</v>
      </c>
    </row>
    <row r="136" spans="9:9" x14ac:dyDescent="0.25">
      <c r="I136">
        <f t="shared" si="3"/>
        <v>1900</v>
      </c>
    </row>
    <row r="137" spans="9:9" x14ac:dyDescent="0.25">
      <c r="I137">
        <f t="shared" si="3"/>
        <v>1900</v>
      </c>
    </row>
    <row r="138" spans="9:9" x14ac:dyDescent="0.25">
      <c r="I138">
        <f t="shared" si="3"/>
        <v>1900</v>
      </c>
    </row>
    <row r="139" spans="9:9" x14ac:dyDescent="0.25">
      <c r="I139">
        <f t="shared" si="3"/>
        <v>1900</v>
      </c>
    </row>
    <row r="140" spans="9:9" x14ac:dyDescent="0.25">
      <c r="I140">
        <f t="shared" si="3"/>
        <v>1900</v>
      </c>
    </row>
    <row r="141" spans="9:9" x14ac:dyDescent="0.25">
      <c r="I141">
        <f t="shared" si="3"/>
        <v>1900</v>
      </c>
    </row>
    <row r="142" spans="9:9" x14ac:dyDescent="0.25">
      <c r="I142">
        <f t="shared" si="3"/>
        <v>1900</v>
      </c>
    </row>
    <row r="143" spans="9:9" x14ac:dyDescent="0.25">
      <c r="I143">
        <f t="shared" si="3"/>
        <v>1900</v>
      </c>
    </row>
    <row r="144" spans="9:9" x14ac:dyDescent="0.25">
      <c r="I144">
        <f t="shared" si="3"/>
        <v>1900</v>
      </c>
    </row>
    <row r="145" spans="9:9" x14ac:dyDescent="0.25">
      <c r="I145">
        <f t="shared" si="3"/>
        <v>1900</v>
      </c>
    </row>
    <row r="146" spans="9:9" x14ac:dyDescent="0.25">
      <c r="I146">
        <f t="shared" si="3"/>
        <v>1900</v>
      </c>
    </row>
    <row r="147" spans="9:9" x14ac:dyDescent="0.25">
      <c r="I147">
        <f t="shared" si="3"/>
        <v>1900</v>
      </c>
    </row>
    <row r="148" spans="9:9" x14ac:dyDescent="0.25">
      <c r="I148">
        <f t="shared" si="3"/>
        <v>1900</v>
      </c>
    </row>
    <row r="149" spans="9:9" x14ac:dyDescent="0.25">
      <c r="I149">
        <f t="shared" si="3"/>
        <v>1900</v>
      </c>
    </row>
    <row r="150" spans="9:9" x14ac:dyDescent="0.25">
      <c r="I150">
        <f t="shared" si="3"/>
        <v>1900</v>
      </c>
    </row>
    <row r="151" spans="9:9" x14ac:dyDescent="0.25">
      <c r="I151">
        <f t="shared" si="3"/>
        <v>1900</v>
      </c>
    </row>
    <row r="152" spans="9:9" x14ac:dyDescent="0.25">
      <c r="I152">
        <f t="shared" si="3"/>
        <v>1900</v>
      </c>
    </row>
    <row r="153" spans="9:9" x14ac:dyDescent="0.25">
      <c r="I153">
        <f t="shared" si="3"/>
        <v>1900</v>
      </c>
    </row>
    <row r="154" spans="9:9" x14ac:dyDescent="0.25">
      <c r="I154">
        <f t="shared" si="3"/>
        <v>1900</v>
      </c>
    </row>
    <row r="155" spans="9:9" x14ac:dyDescent="0.25">
      <c r="I155">
        <f t="shared" si="3"/>
        <v>1900</v>
      </c>
    </row>
    <row r="156" spans="9:9" x14ac:dyDescent="0.25">
      <c r="I156">
        <f t="shared" si="3"/>
        <v>1900</v>
      </c>
    </row>
    <row r="157" spans="9:9" x14ac:dyDescent="0.25">
      <c r="I157">
        <f t="shared" si="3"/>
        <v>1900</v>
      </c>
    </row>
    <row r="158" spans="9:9" x14ac:dyDescent="0.25">
      <c r="I158">
        <f t="shared" si="3"/>
        <v>1900</v>
      </c>
    </row>
    <row r="159" spans="9:9" x14ac:dyDescent="0.25">
      <c r="I159">
        <f t="shared" si="3"/>
        <v>1900</v>
      </c>
    </row>
    <row r="160" spans="9:9" x14ac:dyDescent="0.25">
      <c r="I160">
        <f t="shared" si="3"/>
        <v>1900</v>
      </c>
    </row>
    <row r="161" spans="9:9" x14ac:dyDescent="0.25">
      <c r="I161">
        <f t="shared" si="3"/>
        <v>1900</v>
      </c>
    </row>
    <row r="162" spans="9:9" x14ac:dyDescent="0.25">
      <c r="I162">
        <f t="shared" si="3"/>
        <v>1900</v>
      </c>
    </row>
    <row r="163" spans="9:9" x14ac:dyDescent="0.25">
      <c r="I163">
        <f t="shared" si="3"/>
        <v>1900</v>
      </c>
    </row>
    <row r="164" spans="9:9" x14ac:dyDescent="0.25">
      <c r="I164">
        <f t="shared" si="3"/>
        <v>1900</v>
      </c>
    </row>
    <row r="165" spans="9:9" x14ac:dyDescent="0.25">
      <c r="I165">
        <f t="shared" si="3"/>
        <v>1900</v>
      </c>
    </row>
    <row r="166" spans="9:9" x14ac:dyDescent="0.25">
      <c r="I166">
        <f t="shared" si="3"/>
        <v>1900</v>
      </c>
    </row>
    <row r="167" spans="9:9" x14ac:dyDescent="0.25">
      <c r="I167">
        <f t="shared" si="3"/>
        <v>1900</v>
      </c>
    </row>
    <row r="168" spans="9:9" x14ac:dyDescent="0.25">
      <c r="I168">
        <f t="shared" si="3"/>
        <v>1900</v>
      </c>
    </row>
    <row r="169" spans="9:9" x14ac:dyDescent="0.25">
      <c r="I169">
        <f t="shared" si="3"/>
        <v>1900</v>
      </c>
    </row>
    <row r="170" spans="9:9" x14ac:dyDescent="0.25">
      <c r="I170">
        <f t="shared" si="3"/>
        <v>1900</v>
      </c>
    </row>
    <row r="171" spans="9:9" x14ac:dyDescent="0.25">
      <c r="I171">
        <f t="shared" si="3"/>
        <v>1900</v>
      </c>
    </row>
    <row r="172" spans="9:9" x14ac:dyDescent="0.25">
      <c r="I172">
        <f t="shared" si="3"/>
        <v>1900</v>
      </c>
    </row>
    <row r="173" spans="9:9" x14ac:dyDescent="0.25">
      <c r="I173">
        <f t="shared" si="3"/>
        <v>1900</v>
      </c>
    </row>
    <row r="174" spans="9:9" x14ac:dyDescent="0.25">
      <c r="I174">
        <f t="shared" si="3"/>
        <v>1900</v>
      </c>
    </row>
    <row r="175" spans="9:9" x14ac:dyDescent="0.25">
      <c r="I175">
        <f t="shared" si="3"/>
        <v>1900</v>
      </c>
    </row>
    <row r="176" spans="9:9" x14ac:dyDescent="0.25">
      <c r="I176">
        <f t="shared" si="3"/>
        <v>1900</v>
      </c>
    </row>
    <row r="177" spans="9:9" x14ac:dyDescent="0.25">
      <c r="I177">
        <f t="shared" si="3"/>
        <v>1900</v>
      </c>
    </row>
    <row r="178" spans="9:9" x14ac:dyDescent="0.25">
      <c r="I178">
        <f t="shared" si="3"/>
        <v>1900</v>
      </c>
    </row>
    <row r="179" spans="9:9" x14ac:dyDescent="0.25">
      <c r="I179">
        <f t="shared" si="3"/>
        <v>1900</v>
      </c>
    </row>
    <row r="180" spans="9:9" x14ac:dyDescent="0.25">
      <c r="I180">
        <f t="shared" si="3"/>
        <v>1900</v>
      </c>
    </row>
    <row r="181" spans="9:9" x14ac:dyDescent="0.25">
      <c r="I181">
        <f t="shared" si="3"/>
        <v>1900</v>
      </c>
    </row>
    <row r="182" spans="9:9" x14ac:dyDescent="0.25">
      <c r="I182">
        <f t="shared" si="3"/>
        <v>1900</v>
      </c>
    </row>
    <row r="183" spans="9:9" x14ac:dyDescent="0.25">
      <c r="I183">
        <f t="shared" si="3"/>
        <v>1900</v>
      </c>
    </row>
    <row r="184" spans="9:9" x14ac:dyDescent="0.25">
      <c r="I184">
        <f t="shared" si="3"/>
        <v>1900</v>
      </c>
    </row>
    <row r="185" spans="9:9" x14ac:dyDescent="0.25">
      <c r="I185">
        <f t="shared" si="3"/>
        <v>1900</v>
      </c>
    </row>
    <row r="186" spans="9:9" x14ac:dyDescent="0.25">
      <c r="I186">
        <f t="shared" si="3"/>
        <v>1900</v>
      </c>
    </row>
    <row r="187" spans="9:9" x14ac:dyDescent="0.25">
      <c r="I187">
        <f t="shared" si="3"/>
        <v>1900</v>
      </c>
    </row>
    <row r="188" spans="9:9" x14ac:dyDescent="0.25">
      <c r="I188">
        <f t="shared" si="3"/>
        <v>1900</v>
      </c>
    </row>
    <row r="189" spans="9:9" x14ac:dyDescent="0.25">
      <c r="I189">
        <f t="shared" si="3"/>
        <v>1900</v>
      </c>
    </row>
    <row r="190" spans="9:9" x14ac:dyDescent="0.25">
      <c r="I190">
        <f t="shared" si="3"/>
        <v>1900</v>
      </c>
    </row>
    <row r="191" spans="9:9" x14ac:dyDescent="0.25">
      <c r="I191">
        <f t="shared" si="3"/>
        <v>1900</v>
      </c>
    </row>
    <row r="192" spans="9:9" x14ac:dyDescent="0.25">
      <c r="I192">
        <f t="shared" si="3"/>
        <v>1900</v>
      </c>
    </row>
    <row r="193" spans="9:9" x14ac:dyDescent="0.25">
      <c r="I193">
        <f t="shared" si="3"/>
        <v>1900</v>
      </c>
    </row>
    <row r="194" spans="9:9" x14ac:dyDescent="0.25">
      <c r="I194">
        <f t="shared" si="3"/>
        <v>1900</v>
      </c>
    </row>
    <row r="195" spans="9:9" x14ac:dyDescent="0.25">
      <c r="I195">
        <f t="shared" si="3"/>
        <v>1900</v>
      </c>
    </row>
    <row r="196" spans="9:9" x14ac:dyDescent="0.25">
      <c r="I196">
        <f t="shared" ref="I196:I259" si="4">IFERROR(YEAR(E196),"")</f>
        <v>1900</v>
      </c>
    </row>
    <row r="197" spans="9:9" x14ac:dyDescent="0.25">
      <c r="I197">
        <f t="shared" si="4"/>
        <v>1900</v>
      </c>
    </row>
    <row r="198" spans="9:9" x14ac:dyDescent="0.25">
      <c r="I198">
        <f t="shared" si="4"/>
        <v>1900</v>
      </c>
    </row>
    <row r="199" spans="9:9" x14ac:dyDescent="0.25">
      <c r="I199">
        <f t="shared" si="4"/>
        <v>1900</v>
      </c>
    </row>
    <row r="200" spans="9:9" x14ac:dyDescent="0.25">
      <c r="I200">
        <f t="shared" si="4"/>
        <v>1900</v>
      </c>
    </row>
    <row r="201" spans="9:9" x14ac:dyDescent="0.25">
      <c r="I201">
        <f t="shared" si="4"/>
        <v>1900</v>
      </c>
    </row>
    <row r="202" spans="9:9" x14ac:dyDescent="0.25">
      <c r="I202">
        <f t="shared" si="4"/>
        <v>1900</v>
      </c>
    </row>
    <row r="203" spans="9:9" x14ac:dyDescent="0.25">
      <c r="I203">
        <f t="shared" si="4"/>
        <v>1900</v>
      </c>
    </row>
    <row r="204" spans="9:9" x14ac:dyDescent="0.25">
      <c r="I204">
        <f t="shared" si="4"/>
        <v>1900</v>
      </c>
    </row>
    <row r="205" spans="9:9" x14ac:dyDescent="0.25">
      <c r="I205">
        <f t="shared" si="4"/>
        <v>1900</v>
      </c>
    </row>
    <row r="206" spans="9:9" x14ac:dyDescent="0.25">
      <c r="I206">
        <f t="shared" si="4"/>
        <v>1900</v>
      </c>
    </row>
    <row r="207" spans="9:9" x14ac:dyDescent="0.25">
      <c r="I207">
        <f t="shared" si="4"/>
        <v>1900</v>
      </c>
    </row>
    <row r="208" spans="9:9" x14ac:dyDescent="0.25">
      <c r="I208">
        <f t="shared" si="4"/>
        <v>1900</v>
      </c>
    </row>
    <row r="209" spans="9:9" x14ac:dyDescent="0.25">
      <c r="I209">
        <f t="shared" si="4"/>
        <v>1900</v>
      </c>
    </row>
    <row r="210" spans="9:9" x14ac:dyDescent="0.25">
      <c r="I210">
        <f t="shared" si="4"/>
        <v>1900</v>
      </c>
    </row>
    <row r="211" spans="9:9" x14ac:dyDescent="0.25">
      <c r="I211">
        <f t="shared" si="4"/>
        <v>1900</v>
      </c>
    </row>
    <row r="212" spans="9:9" x14ac:dyDescent="0.25">
      <c r="I212">
        <f t="shared" si="4"/>
        <v>1900</v>
      </c>
    </row>
    <row r="213" spans="9:9" x14ac:dyDescent="0.25">
      <c r="I213">
        <f t="shared" si="4"/>
        <v>1900</v>
      </c>
    </row>
    <row r="214" spans="9:9" x14ac:dyDescent="0.25">
      <c r="I214">
        <f t="shared" si="4"/>
        <v>1900</v>
      </c>
    </row>
    <row r="215" spans="9:9" x14ac:dyDescent="0.25">
      <c r="I215">
        <f t="shared" si="4"/>
        <v>1900</v>
      </c>
    </row>
    <row r="216" spans="9:9" x14ac:dyDescent="0.25">
      <c r="I216">
        <f t="shared" si="4"/>
        <v>1900</v>
      </c>
    </row>
    <row r="217" spans="9:9" x14ac:dyDescent="0.25">
      <c r="I217">
        <f t="shared" si="4"/>
        <v>1900</v>
      </c>
    </row>
    <row r="218" spans="9:9" x14ac:dyDescent="0.25">
      <c r="I218">
        <f t="shared" si="4"/>
        <v>1900</v>
      </c>
    </row>
    <row r="219" spans="9:9" x14ac:dyDescent="0.25">
      <c r="I219">
        <f t="shared" si="4"/>
        <v>1900</v>
      </c>
    </row>
    <row r="220" spans="9:9" x14ac:dyDescent="0.25">
      <c r="I220">
        <f t="shared" si="4"/>
        <v>1900</v>
      </c>
    </row>
    <row r="221" spans="9:9" x14ac:dyDescent="0.25">
      <c r="I221">
        <f t="shared" si="4"/>
        <v>1900</v>
      </c>
    </row>
    <row r="222" spans="9:9" x14ac:dyDescent="0.25">
      <c r="I222">
        <f t="shared" si="4"/>
        <v>1900</v>
      </c>
    </row>
    <row r="223" spans="9:9" x14ac:dyDescent="0.25">
      <c r="I223">
        <f t="shared" si="4"/>
        <v>1900</v>
      </c>
    </row>
    <row r="224" spans="9:9" x14ac:dyDescent="0.25">
      <c r="I224">
        <f t="shared" si="4"/>
        <v>1900</v>
      </c>
    </row>
    <row r="225" spans="9:9" x14ac:dyDescent="0.25">
      <c r="I225">
        <f t="shared" si="4"/>
        <v>1900</v>
      </c>
    </row>
    <row r="226" spans="9:9" x14ac:dyDescent="0.25">
      <c r="I226">
        <f t="shared" si="4"/>
        <v>1900</v>
      </c>
    </row>
    <row r="227" spans="9:9" x14ac:dyDescent="0.25">
      <c r="I227">
        <f t="shared" si="4"/>
        <v>1900</v>
      </c>
    </row>
    <row r="228" spans="9:9" x14ac:dyDescent="0.25">
      <c r="I228">
        <f t="shared" si="4"/>
        <v>1900</v>
      </c>
    </row>
    <row r="229" spans="9:9" x14ac:dyDescent="0.25">
      <c r="I229">
        <f t="shared" si="4"/>
        <v>1900</v>
      </c>
    </row>
    <row r="230" spans="9:9" x14ac:dyDescent="0.25">
      <c r="I230">
        <f t="shared" si="4"/>
        <v>1900</v>
      </c>
    </row>
    <row r="231" spans="9:9" x14ac:dyDescent="0.25">
      <c r="I231">
        <f t="shared" si="4"/>
        <v>1900</v>
      </c>
    </row>
    <row r="232" spans="9:9" x14ac:dyDescent="0.25">
      <c r="I232">
        <f t="shared" si="4"/>
        <v>1900</v>
      </c>
    </row>
    <row r="233" spans="9:9" x14ac:dyDescent="0.25">
      <c r="I233">
        <f t="shared" si="4"/>
        <v>1900</v>
      </c>
    </row>
    <row r="234" spans="9:9" x14ac:dyDescent="0.25">
      <c r="I234">
        <f t="shared" si="4"/>
        <v>1900</v>
      </c>
    </row>
    <row r="235" spans="9:9" x14ac:dyDescent="0.25">
      <c r="I235">
        <f t="shared" si="4"/>
        <v>1900</v>
      </c>
    </row>
    <row r="236" spans="9:9" x14ac:dyDescent="0.25">
      <c r="I236">
        <f t="shared" si="4"/>
        <v>1900</v>
      </c>
    </row>
    <row r="237" spans="9:9" x14ac:dyDescent="0.25">
      <c r="I237">
        <f t="shared" si="4"/>
        <v>1900</v>
      </c>
    </row>
    <row r="238" spans="9:9" x14ac:dyDescent="0.25">
      <c r="I238">
        <f t="shared" si="4"/>
        <v>1900</v>
      </c>
    </row>
    <row r="239" spans="9:9" x14ac:dyDescent="0.25">
      <c r="I239">
        <f t="shared" si="4"/>
        <v>1900</v>
      </c>
    </row>
    <row r="240" spans="9:9" x14ac:dyDescent="0.25">
      <c r="I240">
        <f t="shared" si="4"/>
        <v>1900</v>
      </c>
    </row>
    <row r="241" spans="9:9" x14ac:dyDescent="0.25">
      <c r="I241">
        <f t="shared" si="4"/>
        <v>1900</v>
      </c>
    </row>
    <row r="242" spans="9:9" x14ac:dyDescent="0.25">
      <c r="I242">
        <f t="shared" si="4"/>
        <v>1900</v>
      </c>
    </row>
    <row r="243" spans="9:9" x14ac:dyDescent="0.25">
      <c r="I243">
        <f t="shared" si="4"/>
        <v>1900</v>
      </c>
    </row>
    <row r="244" spans="9:9" x14ac:dyDescent="0.25">
      <c r="I244">
        <f t="shared" si="4"/>
        <v>1900</v>
      </c>
    </row>
    <row r="245" spans="9:9" x14ac:dyDescent="0.25">
      <c r="I245">
        <f t="shared" si="4"/>
        <v>1900</v>
      </c>
    </row>
    <row r="246" spans="9:9" x14ac:dyDescent="0.25">
      <c r="I246">
        <f t="shared" si="4"/>
        <v>1900</v>
      </c>
    </row>
    <row r="247" spans="9:9" x14ac:dyDescent="0.25">
      <c r="I247">
        <f t="shared" si="4"/>
        <v>1900</v>
      </c>
    </row>
    <row r="248" spans="9:9" x14ac:dyDescent="0.25">
      <c r="I248">
        <f t="shared" si="4"/>
        <v>1900</v>
      </c>
    </row>
    <row r="249" spans="9:9" x14ac:dyDescent="0.25">
      <c r="I249">
        <f t="shared" si="4"/>
        <v>1900</v>
      </c>
    </row>
    <row r="250" spans="9:9" x14ac:dyDescent="0.25">
      <c r="I250">
        <f t="shared" si="4"/>
        <v>1900</v>
      </c>
    </row>
    <row r="251" spans="9:9" x14ac:dyDescent="0.25">
      <c r="I251">
        <f t="shared" si="4"/>
        <v>1900</v>
      </c>
    </row>
    <row r="252" spans="9:9" x14ac:dyDescent="0.25">
      <c r="I252">
        <f t="shared" si="4"/>
        <v>1900</v>
      </c>
    </row>
    <row r="253" spans="9:9" x14ac:dyDescent="0.25">
      <c r="I253">
        <f t="shared" si="4"/>
        <v>1900</v>
      </c>
    </row>
    <row r="254" spans="9:9" x14ac:dyDescent="0.25">
      <c r="I254">
        <f t="shared" si="4"/>
        <v>1900</v>
      </c>
    </row>
    <row r="255" spans="9:9" x14ac:dyDescent="0.25">
      <c r="I255">
        <f t="shared" si="4"/>
        <v>1900</v>
      </c>
    </row>
    <row r="256" spans="9:9" x14ac:dyDescent="0.25">
      <c r="I256">
        <f t="shared" si="4"/>
        <v>1900</v>
      </c>
    </row>
    <row r="257" spans="9:9" x14ac:dyDescent="0.25">
      <c r="I257">
        <f t="shared" si="4"/>
        <v>1900</v>
      </c>
    </row>
    <row r="258" spans="9:9" x14ac:dyDescent="0.25">
      <c r="I258">
        <f t="shared" si="4"/>
        <v>1900</v>
      </c>
    </row>
    <row r="259" spans="9:9" x14ac:dyDescent="0.25">
      <c r="I259">
        <f t="shared" si="4"/>
        <v>1900</v>
      </c>
    </row>
    <row r="260" spans="9:9" x14ac:dyDescent="0.25">
      <c r="I260">
        <f t="shared" ref="I260:I323" si="5">IFERROR(YEAR(E260),"")</f>
        <v>1900</v>
      </c>
    </row>
    <row r="261" spans="9:9" x14ac:dyDescent="0.25">
      <c r="I261">
        <f t="shared" si="5"/>
        <v>1900</v>
      </c>
    </row>
    <row r="262" spans="9:9" x14ac:dyDescent="0.25">
      <c r="I262">
        <f t="shared" si="5"/>
        <v>1900</v>
      </c>
    </row>
    <row r="263" spans="9:9" x14ac:dyDescent="0.25">
      <c r="I263">
        <f t="shared" si="5"/>
        <v>1900</v>
      </c>
    </row>
    <row r="264" spans="9:9" x14ac:dyDescent="0.25">
      <c r="I264">
        <f t="shared" si="5"/>
        <v>1900</v>
      </c>
    </row>
    <row r="265" spans="9:9" x14ac:dyDescent="0.25">
      <c r="I265">
        <f t="shared" si="5"/>
        <v>1900</v>
      </c>
    </row>
    <row r="266" spans="9:9" x14ac:dyDescent="0.25">
      <c r="I266">
        <f t="shared" si="5"/>
        <v>1900</v>
      </c>
    </row>
    <row r="267" spans="9:9" x14ac:dyDescent="0.25">
      <c r="I267">
        <f t="shared" si="5"/>
        <v>1900</v>
      </c>
    </row>
    <row r="268" spans="9:9" x14ac:dyDescent="0.25">
      <c r="I268">
        <f t="shared" si="5"/>
        <v>1900</v>
      </c>
    </row>
    <row r="269" spans="9:9" x14ac:dyDescent="0.25">
      <c r="I269">
        <f t="shared" si="5"/>
        <v>1900</v>
      </c>
    </row>
    <row r="270" spans="9:9" x14ac:dyDescent="0.25">
      <c r="I270">
        <f t="shared" si="5"/>
        <v>1900</v>
      </c>
    </row>
    <row r="271" spans="9:9" x14ac:dyDescent="0.25">
      <c r="I271">
        <f t="shared" si="5"/>
        <v>1900</v>
      </c>
    </row>
    <row r="272" spans="9:9" x14ac:dyDescent="0.25">
      <c r="I272">
        <f t="shared" si="5"/>
        <v>1900</v>
      </c>
    </row>
    <row r="273" spans="9:9" x14ac:dyDescent="0.25">
      <c r="I273">
        <f t="shared" si="5"/>
        <v>1900</v>
      </c>
    </row>
    <row r="274" spans="9:9" x14ac:dyDescent="0.25">
      <c r="I274">
        <f t="shared" si="5"/>
        <v>1900</v>
      </c>
    </row>
    <row r="275" spans="9:9" x14ac:dyDescent="0.25">
      <c r="I275">
        <f t="shared" si="5"/>
        <v>1900</v>
      </c>
    </row>
    <row r="276" spans="9:9" x14ac:dyDescent="0.25">
      <c r="I276">
        <f t="shared" si="5"/>
        <v>1900</v>
      </c>
    </row>
    <row r="277" spans="9:9" x14ac:dyDescent="0.25">
      <c r="I277">
        <f t="shared" si="5"/>
        <v>1900</v>
      </c>
    </row>
    <row r="278" spans="9:9" x14ac:dyDescent="0.25">
      <c r="I278">
        <f t="shared" si="5"/>
        <v>1900</v>
      </c>
    </row>
    <row r="279" spans="9:9" x14ac:dyDescent="0.25">
      <c r="I279">
        <f t="shared" si="5"/>
        <v>1900</v>
      </c>
    </row>
    <row r="280" spans="9:9" x14ac:dyDescent="0.25">
      <c r="I280">
        <f t="shared" si="5"/>
        <v>1900</v>
      </c>
    </row>
    <row r="281" spans="9:9" x14ac:dyDescent="0.25">
      <c r="I281">
        <f t="shared" si="5"/>
        <v>1900</v>
      </c>
    </row>
    <row r="282" spans="9:9" x14ac:dyDescent="0.25">
      <c r="I282">
        <f t="shared" si="5"/>
        <v>1900</v>
      </c>
    </row>
    <row r="283" spans="9:9" x14ac:dyDescent="0.25">
      <c r="I283">
        <f t="shared" si="5"/>
        <v>1900</v>
      </c>
    </row>
    <row r="284" spans="9:9" x14ac:dyDescent="0.25">
      <c r="I284">
        <f t="shared" si="5"/>
        <v>1900</v>
      </c>
    </row>
    <row r="285" spans="9:9" x14ac:dyDescent="0.25">
      <c r="I285">
        <f t="shared" si="5"/>
        <v>1900</v>
      </c>
    </row>
    <row r="286" spans="9:9" x14ac:dyDescent="0.25">
      <c r="I286">
        <f t="shared" si="5"/>
        <v>1900</v>
      </c>
    </row>
    <row r="287" spans="9:9" x14ac:dyDescent="0.25">
      <c r="I287">
        <f t="shared" si="5"/>
        <v>1900</v>
      </c>
    </row>
    <row r="288" spans="9:9" x14ac:dyDescent="0.25">
      <c r="I288">
        <f t="shared" si="5"/>
        <v>1900</v>
      </c>
    </row>
    <row r="289" spans="9:9" x14ac:dyDescent="0.25">
      <c r="I289">
        <f t="shared" si="5"/>
        <v>1900</v>
      </c>
    </row>
    <row r="290" spans="9:9" x14ac:dyDescent="0.25">
      <c r="I290">
        <f t="shared" si="5"/>
        <v>1900</v>
      </c>
    </row>
    <row r="291" spans="9:9" x14ac:dyDescent="0.25">
      <c r="I291">
        <f t="shared" si="5"/>
        <v>1900</v>
      </c>
    </row>
    <row r="292" spans="9:9" x14ac:dyDescent="0.25">
      <c r="I292">
        <f t="shared" si="5"/>
        <v>1900</v>
      </c>
    </row>
    <row r="293" spans="9:9" x14ac:dyDescent="0.25">
      <c r="I293">
        <f t="shared" si="5"/>
        <v>1900</v>
      </c>
    </row>
    <row r="294" spans="9:9" x14ac:dyDescent="0.25">
      <c r="I294">
        <f t="shared" si="5"/>
        <v>1900</v>
      </c>
    </row>
    <row r="295" spans="9:9" x14ac:dyDescent="0.25">
      <c r="I295">
        <f t="shared" si="5"/>
        <v>1900</v>
      </c>
    </row>
    <row r="296" spans="9:9" x14ac:dyDescent="0.25">
      <c r="I296">
        <f t="shared" si="5"/>
        <v>1900</v>
      </c>
    </row>
    <row r="297" spans="9:9" x14ac:dyDescent="0.25">
      <c r="I297">
        <f t="shared" si="5"/>
        <v>1900</v>
      </c>
    </row>
    <row r="298" spans="9:9" x14ac:dyDescent="0.25">
      <c r="I298">
        <f t="shared" si="5"/>
        <v>1900</v>
      </c>
    </row>
    <row r="299" spans="9:9" x14ac:dyDescent="0.25">
      <c r="I299">
        <f t="shared" si="5"/>
        <v>1900</v>
      </c>
    </row>
    <row r="300" spans="9:9" x14ac:dyDescent="0.25">
      <c r="I300">
        <f t="shared" si="5"/>
        <v>1900</v>
      </c>
    </row>
    <row r="301" spans="9:9" x14ac:dyDescent="0.25">
      <c r="I301">
        <f t="shared" si="5"/>
        <v>1900</v>
      </c>
    </row>
    <row r="302" spans="9:9" x14ac:dyDescent="0.25">
      <c r="I302">
        <f t="shared" si="5"/>
        <v>1900</v>
      </c>
    </row>
    <row r="303" spans="9:9" x14ac:dyDescent="0.25">
      <c r="I303">
        <f t="shared" si="5"/>
        <v>1900</v>
      </c>
    </row>
    <row r="304" spans="9:9" x14ac:dyDescent="0.25">
      <c r="I304">
        <f t="shared" si="5"/>
        <v>1900</v>
      </c>
    </row>
    <row r="305" spans="9:9" x14ac:dyDescent="0.25">
      <c r="I305">
        <f t="shared" si="5"/>
        <v>1900</v>
      </c>
    </row>
    <row r="306" spans="9:9" x14ac:dyDescent="0.25">
      <c r="I306">
        <f t="shared" si="5"/>
        <v>1900</v>
      </c>
    </row>
    <row r="307" spans="9:9" x14ac:dyDescent="0.25">
      <c r="I307">
        <f t="shared" si="5"/>
        <v>1900</v>
      </c>
    </row>
    <row r="308" spans="9:9" x14ac:dyDescent="0.25">
      <c r="I308">
        <f t="shared" si="5"/>
        <v>1900</v>
      </c>
    </row>
    <row r="309" spans="9:9" x14ac:dyDescent="0.25">
      <c r="I309">
        <f t="shared" si="5"/>
        <v>1900</v>
      </c>
    </row>
    <row r="310" spans="9:9" x14ac:dyDescent="0.25">
      <c r="I310">
        <f t="shared" si="5"/>
        <v>1900</v>
      </c>
    </row>
    <row r="311" spans="9:9" x14ac:dyDescent="0.25">
      <c r="I311">
        <f t="shared" si="5"/>
        <v>1900</v>
      </c>
    </row>
    <row r="312" spans="9:9" x14ac:dyDescent="0.25">
      <c r="I312">
        <f t="shared" si="5"/>
        <v>1900</v>
      </c>
    </row>
    <row r="313" spans="9:9" x14ac:dyDescent="0.25">
      <c r="I313">
        <f t="shared" si="5"/>
        <v>1900</v>
      </c>
    </row>
    <row r="314" spans="9:9" x14ac:dyDescent="0.25">
      <c r="I314">
        <f t="shared" si="5"/>
        <v>1900</v>
      </c>
    </row>
    <row r="315" spans="9:9" x14ac:dyDescent="0.25">
      <c r="I315">
        <f t="shared" si="5"/>
        <v>1900</v>
      </c>
    </row>
    <row r="316" spans="9:9" x14ac:dyDescent="0.25">
      <c r="I316">
        <f t="shared" si="5"/>
        <v>1900</v>
      </c>
    </row>
    <row r="317" spans="9:9" x14ac:dyDescent="0.25">
      <c r="I317">
        <f t="shared" si="5"/>
        <v>1900</v>
      </c>
    </row>
    <row r="318" spans="9:9" x14ac:dyDescent="0.25">
      <c r="I318">
        <f t="shared" si="5"/>
        <v>1900</v>
      </c>
    </row>
    <row r="319" spans="9:9" x14ac:dyDescent="0.25">
      <c r="I319">
        <f t="shared" si="5"/>
        <v>1900</v>
      </c>
    </row>
    <row r="320" spans="9:9" x14ac:dyDescent="0.25">
      <c r="I320">
        <f t="shared" si="5"/>
        <v>1900</v>
      </c>
    </row>
    <row r="321" spans="9:9" x14ac:dyDescent="0.25">
      <c r="I321">
        <f t="shared" si="5"/>
        <v>1900</v>
      </c>
    </row>
    <row r="322" spans="9:9" x14ac:dyDescent="0.25">
      <c r="I322">
        <f t="shared" si="5"/>
        <v>1900</v>
      </c>
    </row>
    <row r="323" spans="9:9" x14ac:dyDescent="0.25">
      <c r="I323">
        <f t="shared" si="5"/>
        <v>1900</v>
      </c>
    </row>
    <row r="324" spans="9:9" x14ac:dyDescent="0.25">
      <c r="I324">
        <f t="shared" ref="I324:I387" si="6">IFERROR(YEAR(E324),"")</f>
        <v>1900</v>
      </c>
    </row>
    <row r="325" spans="9:9" x14ac:dyDescent="0.25">
      <c r="I325">
        <f t="shared" si="6"/>
        <v>1900</v>
      </c>
    </row>
    <row r="326" spans="9:9" x14ac:dyDescent="0.25">
      <c r="I326">
        <f t="shared" si="6"/>
        <v>1900</v>
      </c>
    </row>
    <row r="327" spans="9:9" x14ac:dyDescent="0.25">
      <c r="I327">
        <f t="shared" si="6"/>
        <v>1900</v>
      </c>
    </row>
    <row r="328" spans="9:9" x14ac:dyDescent="0.25">
      <c r="I328">
        <f t="shared" si="6"/>
        <v>1900</v>
      </c>
    </row>
    <row r="329" spans="9:9" x14ac:dyDescent="0.25">
      <c r="I329">
        <f t="shared" si="6"/>
        <v>1900</v>
      </c>
    </row>
    <row r="330" spans="9:9" x14ac:dyDescent="0.25">
      <c r="I330">
        <f t="shared" si="6"/>
        <v>1900</v>
      </c>
    </row>
    <row r="331" spans="9:9" x14ac:dyDescent="0.25">
      <c r="I331">
        <f t="shared" si="6"/>
        <v>1900</v>
      </c>
    </row>
    <row r="332" spans="9:9" x14ac:dyDescent="0.25">
      <c r="I332">
        <f t="shared" si="6"/>
        <v>1900</v>
      </c>
    </row>
    <row r="333" spans="9:9" x14ac:dyDescent="0.25">
      <c r="I333">
        <f t="shared" si="6"/>
        <v>1900</v>
      </c>
    </row>
    <row r="334" spans="9:9" x14ac:dyDescent="0.25">
      <c r="I334">
        <f t="shared" si="6"/>
        <v>1900</v>
      </c>
    </row>
    <row r="335" spans="9:9" x14ac:dyDescent="0.25">
      <c r="I335">
        <f t="shared" si="6"/>
        <v>1900</v>
      </c>
    </row>
    <row r="336" spans="9:9" x14ac:dyDescent="0.25">
      <c r="I336">
        <f t="shared" si="6"/>
        <v>1900</v>
      </c>
    </row>
    <row r="337" spans="9:9" x14ac:dyDescent="0.25">
      <c r="I337">
        <f t="shared" si="6"/>
        <v>1900</v>
      </c>
    </row>
    <row r="338" spans="9:9" x14ac:dyDescent="0.25">
      <c r="I338">
        <f t="shared" si="6"/>
        <v>1900</v>
      </c>
    </row>
    <row r="339" spans="9:9" x14ac:dyDescent="0.25">
      <c r="I339">
        <f t="shared" si="6"/>
        <v>1900</v>
      </c>
    </row>
    <row r="340" spans="9:9" x14ac:dyDescent="0.25">
      <c r="I340">
        <f t="shared" si="6"/>
        <v>1900</v>
      </c>
    </row>
    <row r="341" spans="9:9" x14ac:dyDescent="0.25">
      <c r="I341">
        <f t="shared" si="6"/>
        <v>1900</v>
      </c>
    </row>
    <row r="342" spans="9:9" x14ac:dyDescent="0.25">
      <c r="I342">
        <f t="shared" si="6"/>
        <v>1900</v>
      </c>
    </row>
    <row r="343" spans="9:9" x14ac:dyDescent="0.25">
      <c r="I343">
        <f t="shared" si="6"/>
        <v>1900</v>
      </c>
    </row>
    <row r="344" spans="9:9" x14ac:dyDescent="0.25">
      <c r="I344">
        <f t="shared" si="6"/>
        <v>1900</v>
      </c>
    </row>
    <row r="345" spans="9:9" x14ac:dyDescent="0.25">
      <c r="I345">
        <f t="shared" si="6"/>
        <v>1900</v>
      </c>
    </row>
    <row r="346" spans="9:9" x14ac:dyDescent="0.25">
      <c r="I346">
        <f t="shared" si="6"/>
        <v>1900</v>
      </c>
    </row>
    <row r="347" spans="9:9" x14ac:dyDescent="0.25">
      <c r="I347">
        <f t="shared" si="6"/>
        <v>1900</v>
      </c>
    </row>
    <row r="348" spans="9:9" x14ac:dyDescent="0.25">
      <c r="I348">
        <f t="shared" si="6"/>
        <v>1900</v>
      </c>
    </row>
    <row r="349" spans="9:9" x14ac:dyDescent="0.25">
      <c r="I349">
        <f t="shared" si="6"/>
        <v>1900</v>
      </c>
    </row>
    <row r="350" spans="9:9" x14ac:dyDescent="0.25">
      <c r="I350">
        <f t="shared" si="6"/>
        <v>1900</v>
      </c>
    </row>
    <row r="351" spans="9:9" x14ac:dyDescent="0.25">
      <c r="I351">
        <f t="shared" si="6"/>
        <v>1900</v>
      </c>
    </row>
    <row r="352" spans="9:9" x14ac:dyDescent="0.25">
      <c r="I352">
        <f t="shared" si="6"/>
        <v>1900</v>
      </c>
    </row>
    <row r="353" spans="9:9" x14ac:dyDescent="0.25">
      <c r="I353">
        <f t="shared" si="6"/>
        <v>1900</v>
      </c>
    </row>
    <row r="354" spans="9:9" x14ac:dyDescent="0.25">
      <c r="I354">
        <f t="shared" si="6"/>
        <v>1900</v>
      </c>
    </row>
    <row r="355" spans="9:9" x14ac:dyDescent="0.25">
      <c r="I355">
        <f t="shared" si="6"/>
        <v>1900</v>
      </c>
    </row>
    <row r="356" spans="9:9" x14ac:dyDescent="0.25">
      <c r="I356">
        <f t="shared" si="6"/>
        <v>1900</v>
      </c>
    </row>
    <row r="357" spans="9:9" x14ac:dyDescent="0.25">
      <c r="I357">
        <f t="shared" si="6"/>
        <v>1900</v>
      </c>
    </row>
    <row r="358" spans="9:9" x14ac:dyDescent="0.25">
      <c r="I358">
        <f t="shared" si="6"/>
        <v>1900</v>
      </c>
    </row>
    <row r="359" spans="9:9" x14ac:dyDescent="0.25">
      <c r="I359">
        <f t="shared" si="6"/>
        <v>1900</v>
      </c>
    </row>
    <row r="360" spans="9:9" x14ac:dyDescent="0.25">
      <c r="I360">
        <f t="shared" si="6"/>
        <v>1900</v>
      </c>
    </row>
    <row r="361" spans="9:9" x14ac:dyDescent="0.25">
      <c r="I361">
        <f t="shared" si="6"/>
        <v>1900</v>
      </c>
    </row>
    <row r="362" spans="9:9" x14ac:dyDescent="0.25">
      <c r="I362">
        <f t="shared" si="6"/>
        <v>1900</v>
      </c>
    </row>
    <row r="363" spans="9:9" x14ac:dyDescent="0.25">
      <c r="I363">
        <f t="shared" si="6"/>
        <v>1900</v>
      </c>
    </row>
    <row r="364" spans="9:9" x14ac:dyDescent="0.25">
      <c r="I364">
        <f t="shared" si="6"/>
        <v>1900</v>
      </c>
    </row>
    <row r="365" spans="9:9" x14ac:dyDescent="0.25">
      <c r="I365">
        <f t="shared" si="6"/>
        <v>1900</v>
      </c>
    </row>
    <row r="366" spans="9:9" x14ac:dyDescent="0.25">
      <c r="I366">
        <f t="shared" si="6"/>
        <v>1900</v>
      </c>
    </row>
    <row r="367" spans="9:9" x14ac:dyDescent="0.25">
      <c r="I367">
        <f t="shared" si="6"/>
        <v>1900</v>
      </c>
    </row>
    <row r="368" spans="9:9" x14ac:dyDescent="0.25">
      <c r="I368">
        <f t="shared" si="6"/>
        <v>1900</v>
      </c>
    </row>
    <row r="369" spans="9:9" x14ac:dyDescent="0.25">
      <c r="I369">
        <f t="shared" si="6"/>
        <v>1900</v>
      </c>
    </row>
    <row r="370" spans="9:9" x14ac:dyDescent="0.25">
      <c r="I370">
        <f t="shared" si="6"/>
        <v>1900</v>
      </c>
    </row>
    <row r="371" spans="9:9" x14ac:dyDescent="0.25">
      <c r="I371">
        <f t="shared" si="6"/>
        <v>1900</v>
      </c>
    </row>
    <row r="372" spans="9:9" x14ac:dyDescent="0.25">
      <c r="I372">
        <f t="shared" si="6"/>
        <v>1900</v>
      </c>
    </row>
    <row r="373" spans="9:9" x14ac:dyDescent="0.25">
      <c r="I373">
        <f t="shared" si="6"/>
        <v>1900</v>
      </c>
    </row>
    <row r="374" spans="9:9" x14ac:dyDescent="0.25">
      <c r="I374">
        <f t="shared" si="6"/>
        <v>1900</v>
      </c>
    </row>
    <row r="375" spans="9:9" x14ac:dyDescent="0.25">
      <c r="I375">
        <f t="shared" si="6"/>
        <v>1900</v>
      </c>
    </row>
    <row r="376" spans="9:9" x14ac:dyDescent="0.25">
      <c r="I376">
        <f t="shared" si="6"/>
        <v>1900</v>
      </c>
    </row>
    <row r="377" spans="9:9" x14ac:dyDescent="0.25">
      <c r="I377">
        <f t="shared" si="6"/>
        <v>1900</v>
      </c>
    </row>
    <row r="378" spans="9:9" x14ac:dyDescent="0.25">
      <c r="I378">
        <f t="shared" si="6"/>
        <v>1900</v>
      </c>
    </row>
    <row r="379" spans="9:9" x14ac:dyDescent="0.25">
      <c r="I379">
        <f t="shared" si="6"/>
        <v>1900</v>
      </c>
    </row>
    <row r="380" spans="9:9" x14ac:dyDescent="0.25">
      <c r="I380">
        <f t="shared" si="6"/>
        <v>1900</v>
      </c>
    </row>
    <row r="381" spans="9:9" x14ac:dyDescent="0.25">
      <c r="I381">
        <f t="shared" si="6"/>
        <v>1900</v>
      </c>
    </row>
    <row r="382" spans="9:9" x14ac:dyDescent="0.25">
      <c r="I382">
        <f t="shared" si="6"/>
        <v>1900</v>
      </c>
    </row>
    <row r="383" spans="9:9" x14ac:dyDescent="0.25">
      <c r="I383">
        <f t="shared" si="6"/>
        <v>1900</v>
      </c>
    </row>
    <row r="384" spans="9:9" x14ac:dyDescent="0.25">
      <c r="I384">
        <f t="shared" si="6"/>
        <v>1900</v>
      </c>
    </row>
    <row r="385" spans="9:9" x14ac:dyDescent="0.25">
      <c r="I385">
        <f t="shared" si="6"/>
        <v>1900</v>
      </c>
    </row>
    <row r="386" spans="9:9" x14ac:dyDescent="0.25">
      <c r="I386">
        <f t="shared" si="6"/>
        <v>1900</v>
      </c>
    </row>
    <row r="387" spans="9:9" x14ac:dyDescent="0.25">
      <c r="I387">
        <f t="shared" si="6"/>
        <v>1900</v>
      </c>
    </row>
    <row r="388" spans="9:9" x14ac:dyDescent="0.25">
      <c r="I388">
        <f t="shared" ref="I388:I451" si="7">IFERROR(YEAR(E388),"")</f>
        <v>1900</v>
      </c>
    </row>
    <row r="389" spans="9:9" x14ac:dyDescent="0.25">
      <c r="I389">
        <f t="shared" si="7"/>
        <v>1900</v>
      </c>
    </row>
    <row r="390" spans="9:9" x14ac:dyDescent="0.25">
      <c r="I390">
        <f t="shared" si="7"/>
        <v>1900</v>
      </c>
    </row>
    <row r="391" spans="9:9" x14ac:dyDescent="0.25">
      <c r="I391">
        <f t="shared" si="7"/>
        <v>1900</v>
      </c>
    </row>
    <row r="392" spans="9:9" x14ac:dyDescent="0.25">
      <c r="I392">
        <f t="shared" si="7"/>
        <v>1900</v>
      </c>
    </row>
    <row r="393" spans="9:9" x14ac:dyDescent="0.25">
      <c r="I393">
        <f t="shared" si="7"/>
        <v>1900</v>
      </c>
    </row>
    <row r="394" spans="9:9" x14ac:dyDescent="0.25">
      <c r="I394">
        <f t="shared" si="7"/>
        <v>1900</v>
      </c>
    </row>
    <row r="395" spans="9:9" x14ac:dyDescent="0.25">
      <c r="I395">
        <f t="shared" si="7"/>
        <v>1900</v>
      </c>
    </row>
    <row r="396" spans="9:9" x14ac:dyDescent="0.25">
      <c r="I396">
        <f t="shared" si="7"/>
        <v>1900</v>
      </c>
    </row>
    <row r="397" spans="9:9" x14ac:dyDescent="0.25">
      <c r="I397">
        <f t="shared" si="7"/>
        <v>1900</v>
      </c>
    </row>
    <row r="398" spans="9:9" x14ac:dyDescent="0.25">
      <c r="I398">
        <f t="shared" si="7"/>
        <v>1900</v>
      </c>
    </row>
    <row r="399" spans="9:9" x14ac:dyDescent="0.25">
      <c r="I399">
        <f t="shared" si="7"/>
        <v>1900</v>
      </c>
    </row>
    <row r="400" spans="9:9" x14ac:dyDescent="0.25">
      <c r="I400">
        <f t="shared" si="7"/>
        <v>1900</v>
      </c>
    </row>
    <row r="401" spans="9:9" x14ac:dyDescent="0.25">
      <c r="I401">
        <f t="shared" si="7"/>
        <v>1900</v>
      </c>
    </row>
    <row r="402" spans="9:9" x14ac:dyDescent="0.25">
      <c r="I402">
        <f t="shared" si="7"/>
        <v>1900</v>
      </c>
    </row>
    <row r="403" spans="9:9" x14ac:dyDescent="0.25">
      <c r="I403">
        <f t="shared" si="7"/>
        <v>1900</v>
      </c>
    </row>
    <row r="404" spans="9:9" x14ac:dyDescent="0.25">
      <c r="I404">
        <f t="shared" si="7"/>
        <v>1900</v>
      </c>
    </row>
    <row r="405" spans="9:9" x14ac:dyDescent="0.25">
      <c r="I405">
        <f t="shared" si="7"/>
        <v>1900</v>
      </c>
    </row>
    <row r="406" spans="9:9" x14ac:dyDescent="0.25">
      <c r="I406">
        <f t="shared" si="7"/>
        <v>1900</v>
      </c>
    </row>
    <row r="407" spans="9:9" x14ac:dyDescent="0.25">
      <c r="I407">
        <f t="shared" si="7"/>
        <v>1900</v>
      </c>
    </row>
    <row r="408" spans="9:9" x14ac:dyDescent="0.25">
      <c r="I408">
        <f t="shared" si="7"/>
        <v>1900</v>
      </c>
    </row>
    <row r="409" spans="9:9" x14ac:dyDescent="0.25">
      <c r="I409">
        <f t="shared" si="7"/>
        <v>1900</v>
      </c>
    </row>
    <row r="410" spans="9:9" x14ac:dyDescent="0.25">
      <c r="I410">
        <f t="shared" si="7"/>
        <v>1900</v>
      </c>
    </row>
    <row r="411" spans="9:9" x14ac:dyDescent="0.25">
      <c r="I411">
        <f t="shared" si="7"/>
        <v>1900</v>
      </c>
    </row>
    <row r="412" spans="9:9" x14ac:dyDescent="0.25">
      <c r="I412">
        <f t="shared" si="7"/>
        <v>1900</v>
      </c>
    </row>
    <row r="413" spans="9:9" x14ac:dyDescent="0.25">
      <c r="I413">
        <f t="shared" si="7"/>
        <v>1900</v>
      </c>
    </row>
    <row r="414" spans="9:9" x14ac:dyDescent="0.25">
      <c r="I414">
        <f t="shared" si="7"/>
        <v>1900</v>
      </c>
    </row>
    <row r="415" spans="9:9" x14ac:dyDescent="0.25">
      <c r="I415">
        <f t="shared" si="7"/>
        <v>1900</v>
      </c>
    </row>
    <row r="416" spans="9:9" x14ac:dyDescent="0.25">
      <c r="I416">
        <f t="shared" si="7"/>
        <v>1900</v>
      </c>
    </row>
    <row r="417" spans="9:9" x14ac:dyDescent="0.25">
      <c r="I417">
        <f t="shared" si="7"/>
        <v>1900</v>
      </c>
    </row>
    <row r="418" spans="9:9" x14ac:dyDescent="0.25">
      <c r="I418">
        <f t="shared" si="7"/>
        <v>1900</v>
      </c>
    </row>
    <row r="419" spans="9:9" x14ac:dyDescent="0.25">
      <c r="I419">
        <f t="shared" si="7"/>
        <v>1900</v>
      </c>
    </row>
    <row r="420" spans="9:9" x14ac:dyDescent="0.25">
      <c r="I420">
        <f t="shared" si="7"/>
        <v>1900</v>
      </c>
    </row>
    <row r="421" spans="9:9" x14ac:dyDescent="0.25">
      <c r="I421">
        <f t="shared" si="7"/>
        <v>1900</v>
      </c>
    </row>
    <row r="422" spans="9:9" x14ac:dyDescent="0.25">
      <c r="I422">
        <f t="shared" si="7"/>
        <v>1900</v>
      </c>
    </row>
    <row r="423" spans="9:9" x14ac:dyDescent="0.25">
      <c r="I423">
        <f t="shared" si="7"/>
        <v>1900</v>
      </c>
    </row>
    <row r="424" spans="9:9" x14ac:dyDescent="0.25">
      <c r="I424">
        <f t="shared" si="7"/>
        <v>1900</v>
      </c>
    </row>
    <row r="425" spans="9:9" x14ac:dyDescent="0.25">
      <c r="I425">
        <f t="shared" si="7"/>
        <v>1900</v>
      </c>
    </row>
    <row r="426" spans="9:9" x14ac:dyDescent="0.25">
      <c r="I426">
        <f t="shared" si="7"/>
        <v>1900</v>
      </c>
    </row>
    <row r="427" spans="9:9" x14ac:dyDescent="0.25">
      <c r="I427">
        <f t="shared" si="7"/>
        <v>1900</v>
      </c>
    </row>
    <row r="428" spans="9:9" x14ac:dyDescent="0.25">
      <c r="I428">
        <f t="shared" si="7"/>
        <v>1900</v>
      </c>
    </row>
    <row r="429" spans="9:9" x14ac:dyDescent="0.25">
      <c r="I429">
        <f t="shared" si="7"/>
        <v>1900</v>
      </c>
    </row>
    <row r="430" spans="9:9" x14ac:dyDescent="0.25">
      <c r="I430">
        <f t="shared" si="7"/>
        <v>1900</v>
      </c>
    </row>
    <row r="431" spans="9:9" x14ac:dyDescent="0.25">
      <c r="I431">
        <f t="shared" si="7"/>
        <v>1900</v>
      </c>
    </row>
    <row r="432" spans="9:9" x14ac:dyDescent="0.25">
      <c r="I432">
        <f t="shared" si="7"/>
        <v>1900</v>
      </c>
    </row>
    <row r="433" spans="9:9" x14ac:dyDescent="0.25">
      <c r="I433">
        <f t="shared" si="7"/>
        <v>1900</v>
      </c>
    </row>
    <row r="434" spans="9:9" x14ac:dyDescent="0.25">
      <c r="I434">
        <f t="shared" si="7"/>
        <v>1900</v>
      </c>
    </row>
    <row r="435" spans="9:9" x14ac:dyDescent="0.25">
      <c r="I435">
        <f t="shared" si="7"/>
        <v>1900</v>
      </c>
    </row>
    <row r="436" spans="9:9" x14ac:dyDescent="0.25">
      <c r="I436">
        <f t="shared" si="7"/>
        <v>1900</v>
      </c>
    </row>
    <row r="437" spans="9:9" x14ac:dyDescent="0.25">
      <c r="I437">
        <f t="shared" si="7"/>
        <v>1900</v>
      </c>
    </row>
    <row r="438" spans="9:9" x14ac:dyDescent="0.25">
      <c r="I438">
        <f t="shared" si="7"/>
        <v>1900</v>
      </c>
    </row>
    <row r="439" spans="9:9" x14ac:dyDescent="0.25">
      <c r="I439">
        <f t="shared" si="7"/>
        <v>1900</v>
      </c>
    </row>
    <row r="440" spans="9:9" x14ac:dyDescent="0.25">
      <c r="I440">
        <f t="shared" si="7"/>
        <v>1900</v>
      </c>
    </row>
    <row r="441" spans="9:9" x14ac:dyDescent="0.25">
      <c r="I441">
        <f t="shared" si="7"/>
        <v>1900</v>
      </c>
    </row>
    <row r="442" spans="9:9" x14ac:dyDescent="0.25">
      <c r="I442">
        <f t="shared" si="7"/>
        <v>1900</v>
      </c>
    </row>
    <row r="443" spans="9:9" x14ac:dyDescent="0.25">
      <c r="I443">
        <f t="shared" si="7"/>
        <v>1900</v>
      </c>
    </row>
    <row r="444" spans="9:9" x14ac:dyDescent="0.25">
      <c r="I444">
        <f t="shared" si="7"/>
        <v>1900</v>
      </c>
    </row>
    <row r="445" spans="9:9" x14ac:dyDescent="0.25">
      <c r="I445">
        <f t="shared" si="7"/>
        <v>1900</v>
      </c>
    </row>
    <row r="446" spans="9:9" x14ac:dyDescent="0.25">
      <c r="I446">
        <f t="shared" si="7"/>
        <v>1900</v>
      </c>
    </row>
    <row r="447" spans="9:9" x14ac:dyDescent="0.25">
      <c r="I447">
        <f t="shared" si="7"/>
        <v>1900</v>
      </c>
    </row>
    <row r="448" spans="9:9" x14ac:dyDescent="0.25">
      <c r="I448">
        <f t="shared" si="7"/>
        <v>1900</v>
      </c>
    </row>
    <row r="449" spans="9:9" x14ac:dyDescent="0.25">
      <c r="I449">
        <f t="shared" si="7"/>
        <v>1900</v>
      </c>
    </row>
    <row r="450" spans="9:9" x14ac:dyDescent="0.25">
      <c r="I450">
        <f t="shared" si="7"/>
        <v>1900</v>
      </c>
    </row>
    <row r="451" spans="9:9" x14ac:dyDescent="0.25">
      <c r="I451">
        <f t="shared" si="7"/>
        <v>1900</v>
      </c>
    </row>
    <row r="452" spans="9:9" x14ac:dyDescent="0.25">
      <c r="I452">
        <f t="shared" ref="I452:I515" si="8">IFERROR(YEAR(E452),"")</f>
        <v>1900</v>
      </c>
    </row>
    <row r="453" spans="9:9" x14ac:dyDescent="0.25">
      <c r="I453">
        <f t="shared" si="8"/>
        <v>1900</v>
      </c>
    </row>
    <row r="454" spans="9:9" x14ac:dyDescent="0.25">
      <c r="I454">
        <f t="shared" si="8"/>
        <v>1900</v>
      </c>
    </row>
    <row r="455" spans="9:9" x14ac:dyDescent="0.25">
      <c r="I455">
        <f t="shared" si="8"/>
        <v>1900</v>
      </c>
    </row>
    <row r="456" spans="9:9" x14ac:dyDescent="0.25">
      <c r="I456">
        <f t="shared" si="8"/>
        <v>1900</v>
      </c>
    </row>
    <row r="457" spans="9:9" x14ac:dyDescent="0.25">
      <c r="I457">
        <f t="shared" si="8"/>
        <v>1900</v>
      </c>
    </row>
    <row r="458" spans="9:9" x14ac:dyDescent="0.25">
      <c r="I458">
        <f t="shared" si="8"/>
        <v>1900</v>
      </c>
    </row>
    <row r="459" spans="9:9" x14ac:dyDescent="0.25">
      <c r="I459">
        <f t="shared" si="8"/>
        <v>1900</v>
      </c>
    </row>
    <row r="460" spans="9:9" x14ac:dyDescent="0.25">
      <c r="I460">
        <f t="shared" si="8"/>
        <v>1900</v>
      </c>
    </row>
    <row r="461" spans="9:9" x14ac:dyDescent="0.25">
      <c r="I461">
        <f t="shared" si="8"/>
        <v>1900</v>
      </c>
    </row>
    <row r="462" spans="9:9" x14ac:dyDescent="0.25">
      <c r="I462">
        <f t="shared" si="8"/>
        <v>1900</v>
      </c>
    </row>
    <row r="463" spans="9:9" x14ac:dyDescent="0.25">
      <c r="I463">
        <f t="shared" si="8"/>
        <v>1900</v>
      </c>
    </row>
    <row r="464" spans="9:9" x14ac:dyDescent="0.25">
      <c r="I464">
        <f t="shared" si="8"/>
        <v>1900</v>
      </c>
    </row>
    <row r="465" spans="9:9" x14ac:dyDescent="0.25">
      <c r="I465">
        <f t="shared" si="8"/>
        <v>1900</v>
      </c>
    </row>
    <row r="466" spans="9:9" x14ac:dyDescent="0.25">
      <c r="I466">
        <f t="shared" si="8"/>
        <v>1900</v>
      </c>
    </row>
    <row r="467" spans="9:9" x14ac:dyDescent="0.25">
      <c r="I467">
        <f t="shared" si="8"/>
        <v>1900</v>
      </c>
    </row>
    <row r="468" spans="9:9" x14ac:dyDescent="0.25">
      <c r="I468">
        <f t="shared" si="8"/>
        <v>1900</v>
      </c>
    </row>
    <row r="469" spans="9:9" x14ac:dyDescent="0.25">
      <c r="I469">
        <f t="shared" si="8"/>
        <v>1900</v>
      </c>
    </row>
    <row r="470" spans="9:9" x14ac:dyDescent="0.25">
      <c r="I470">
        <f t="shared" si="8"/>
        <v>1900</v>
      </c>
    </row>
    <row r="471" spans="9:9" x14ac:dyDescent="0.25">
      <c r="I471">
        <f t="shared" si="8"/>
        <v>1900</v>
      </c>
    </row>
    <row r="472" spans="9:9" x14ac:dyDescent="0.25">
      <c r="I472">
        <f t="shared" si="8"/>
        <v>1900</v>
      </c>
    </row>
    <row r="473" spans="9:9" x14ac:dyDescent="0.25">
      <c r="I473">
        <f t="shared" si="8"/>
        <v>1900</v>
      </c>
    </row>
    <row r="474" spans="9:9" x14ac:dyDescent="0.25">
      <c r="I474">
        <f t="shared" si="8"/>
        <v>1900</v>
      </c>
    </row>
    <row r="475" spans="9:9" x14ac:dyDescent="0.25">
      <c r="I475">
        <f t="shared" si="8"/>
        <v>1900</v>
      </c>
    </row>
    <row r="476" spans="9:9" x14ac:dyDescent="0.25">
      <c r="I476">
        <f t="shared" si="8"/>
        <v>1900</v>
      </c>
    </row>
    <row r="477" spans="9:9" x14ac:dyDescent="0.25">
      <c r="I477">
        <f t="shared" si="8"/>
        <v>1900</v>
      </c>
    </row>
    <row r="478" spans="9:9" x14ac:dyDescent="0.25">
      <c r="I478">
        <f t="shared" si="8"/>
        <v>1900</v>
      </c>
    </row>
    <row r="479" spans="9:9" x14ac:dyDescent="0.25">
      <c r="I479">
        <f t="shared" si="8"/>
        <v>1900</v>
      </c>
    </row>
    <row r="480" spans="9:9" x14ac:dyDescent="0.25">
      <c r="I480">
        <f t="shared" si="8"/>
        <v>1900</v>
      </c>
    </row>
    <row r="481" spans="9:9" x14ac:dyDescent="0.25">
      <c r="I481">
        <f t="shared" si="8"/>
        <v>1900</v>
      </c>
    </row>
    <row r="482" spans="9:9" x14ac:dyDescent="0.25">
      <c r="I482">
        <f t="shared" si="8"/>
        <v>1900</v>
      </c>
    </row>
    <row r="483" spans="9:9" x14ac:dyDescent="0.25">
      <c r="I483">
        <f t="shared" si="8"/>
        <v>1900</v>
      </c>
    </row>
    <row r="484" spans="9:9" x14ac:dyDescent="0.25">
      <c r="I484">
        <f t="shared" si="8"/>
        <v>1900</v>
      </c>
    </row>
    <row r="485" spans="9:9" x14ac:dyDescent="0.25">
      <c r="I485">
        <f t="shared" si="8"/>
        <v>1900</v>
      </c>
    </row>
    <row r="486" spans="9:9" x14ac:dyDescent="0.25">
      <c r="I486">
        <f t="shared" si="8"/>
        <v>1900</v>
      </c>
    </row>
    <row r="487" spans="9:9" x14ac:dyDescent="0.25">
      <c r="I487">
        <f t="shared" si="8"/>
        <v>1900</v>
      </c>
    </row>
    <row r="488" spans="9:9" x14ac:dyDescent="0.25">
      <c r="I488">
        <f t="shared" si="8"/>
        <v>1900</v>
      </c>
    </row>
    <row r="489" spans="9:9" x14ac:dyDescent="0.25">
      <c r="I489">
        <f t="shared" si="8"/>
        <v>1900</v>
      </c>
    </row>
    <row r="490" spans="9:9" x14ac:dyDescent="0.25">
      <c r="I490">
        <f t="shared" si="8"/>
        <v>1900</v>
      </c>
    </row>
    <row r="491" spans="9:9" x14ac:dyDescent="0.25">
      <c r="I491">
        <f t="shared" si="8"/>
        <v>1900</v>
      </c>
    </row>
    <row r="492" spans="9:9" x14ac:dyDescent="0.25">
      <c r="I492">
        <f t="shared" si="8"/>
        <v>1900</v>
      </c>
    </row>
    <row r="493" spans="9:9" x14ac:dyDescent="0.25">
      <c r="I493">
        <f t="shared" si="8"/>
        <v>1900</v>
      </c>
    </row>
    <row r="494" spans="9:9" x14ac:dyDescent="0.25">
      <c r="I494">
        <f t="shared" si="8"/>
        <v>1900</v>
      </c>
    </row>
    <row r="495" spans="9:9" x14ac:dyDescent="0.25">
      <c r="I495">
        <f t="shared" si="8"/>
        <v>1900</v>
      </c>
    </row>
    <row r="496" spans="9:9" x14ac:dyDescent="0.25">
      <c r="I496">
        <f t="shared" si="8"/>
        <v>1900</v>
      </c>
    </row>
    <row r="497" spans="9:9" x14ac:dyDescent="0.25">
      <c r="I497">
        <f t="shared" si="8"/>
        <v>1900</v>
      </c>
    </row>
    <row r="498" spans="9:9" x14ac:dyDescent="0.25">
      <c r="I498">
        <f t="shared" si="8"/>
        <v>1900</v>
      </c>
    </row>
    <row r="499" spans="9:9" x14ac:dyDescent="0.25">
      <c r="I499">
        <f t="shared" si="8"/>
        <v>1900</v>
      </c>
    </row>
    <row r="500" spans="9:9" x14ac:dyDescent="0.25">
      <c r="I500">
        <f t="shared" si="8"/>
        <v>1900</v>
      </c>
    </row>
    <row r="501" spans="9:9" x14ac:dyDescent="0.25">
      <c r="I501">
        <f t="shared" si="8"/>
        <v>1900</v>
      </c>
    </row>
    <row r="502" spans="9:9" x14ac:dyDescent="0.25">
      <c r="I502">
        <f t="shared" si="8"/>
        <v>1900</v>
      </c>
    </row>
    <row r="503" spans="9:9" x14ac:dyDescent="0.25">
      <c r="I503">
        <f t="shared" si="8"/>
        <v>1900</v>
      </c>
    </row>
    <row r="504" spans="9:9" x14ac:dyDescent="0.25">
      <c r="I504">
        <f t="shared" si="8"/>
        <v>1900</v>
      </c>
    </row>
    <row r="505" spans="9:9" x14ac:dyDescent="0.25">
      <c r="I505">
        <f t="shared" si="8"/>
        <v>1900</v>
      </c>
    </row>
    <row r="506" spans="9:9" x14ac:dyDescent="0.25">
      <c r="I506">
        <f t="shared" si="8"/>
        <v>1900</v>
      </c>
    </row>
    <row r="507" spans="9:9" x14ac:dyDescent="0.25">
      <c r="I507">
        <f t="shared" si="8"/>
        <v>1900</v>
      </c>
    </row>
    <row r="508" spans="9:9" x14ac:dyDescent="0.25">
      <c r="I508">
        <f t="shared" si="8"/>
        <v>1900</v>
      </c>
    </row>
    <row r="509" spans="9:9" x14ac:dyDescent="0.25">
      <c r="I509">
        <f t="shared" si="8"/>
        <v>1900</v>
      </c>
    </row>
    <row r="510" spans="9:9" x14ac:dyDescent="0.25">
      <c r="I510">
        <f t="shared" si="8"/>
        <v>1900</v>
      </c>
    </row>
    <row r="511" spans="9:9" x14ac:dyDescent="0.25">
      <c r="I511">
        <f t="shared" si="8"/>
        <v>1900</v>
      </c>
    </row>
    <row r="512" spans="9:9" x14ac:dyDescent="0.25">
      <c r="I512">
        <f t="shared" si="8"/>
        <v>1900</v>
      </c>
    </row>
    <row r="513" spans="9:9" x14ac:dyDescent="0.25">
      <c r="I513">
        <f t="shared" si="8"/>
        <v>1900</v>
      </c>
    </row>
    <row r="514" spans="9:9" x14ac:dyDescent="0.25">
      <c r="I514">
        <f t="shared" si="8"/>
        <v>1900</v>
      </c>
    </row>
    <row r="515" spans="9:9" x14ac:dyDescent="0.25">
      <c r="I515">
        <f t="shared" si="8"/>
        <v>1900</v>
      </c>
    </row>
    <row r="516" spans="9:9" x14ac:dyDescent="0.25">
      <c r="I516">
        <f t="shared" ref="I516:I579" si="9">IFERROR(YEAR(E516),"")</f>
        <v>1900</v>
      </c>
    </row>
    <row r="517" spans="9:9" x14ac:dyDescent="0.25">
      <c r="I517">
        <f t="shared" si="9"/>
        <v>1900</v>
      </c>
    </row>
    <row r="518" spans="9:9" x14ac:dyDescent="0.25">
      <c r="I518">
        <f t="shared" si="9"/>
        <v>1900</v>
      </c>
    </row>
    <row r="519" spans="9:9" x14ac:dyDescent="0.25">
      <c r="I519">
        <f t="shared" si="9"/>
        <v>1900</v>
      </c>
    </row>
    <row r="520" spans="9:9" x14ac:dyDescent="0.25">
      <c r="I520">
        <f t="shared" si="9"/>
        <v>1900</v>
      </c>
    </row>
    <row r="521" spans="9:9" x14ac:dyDescent="0.25">
      <c r="I521">
        <f t="shared" si="9"/>
        <v>1900</v>
      </c>
    </row>
    <row r="522" spans="9:9" x14ac:dyDescent="0.25">
      <c r="I522">
        <f t="shared" si="9"/>
        <v>1900</v>
      </c>
    </row>
    <row r="523" spans="9:9" x14ac:dyDescent="0.25">
      <c r="I523">
        <f t="shared" si="9"/>
        <v>1900</v>
      </c>
    </row>
    <row r="524" spans="9:9" x14ac:dyDescent="0.25">
      <c r="I524">
        <f t="shared" si="9"/>
        <v>1900</v>
      </c>
    </row>
    <row r="525" spans="9:9" x14ac:dyDescent="0.25">
      <c r="I525">
        <f t="shared" si="9"/>
        <v>1900</v>
      </c>
    </row>
    <row r="526" spans="9:9" x14ac:dyDescent="0.25">
      <c r="I526">
        <f t="shared" si="9"/>
        <v>1900</v>
      </c>
    </row>
    <row r="527" spans="9:9" x14ac:dyDescent="0.25">
      <c r="I527">
        <f t="shared" si="9"/>
        <v>1900</v>
      </c>
    </row>
    <row r="528" spans="9:9" x14ac:dyDescent="0.25">
      <c r="I528">
        <f t="shared" si="9"/>
        <v>1900</v>
      </c>
    </row>
    <row r="529" spans="9:9" x14ac:dyDescent="0.25">
      <c r="I529">
        <f t="shared" si="9"/>
        <v>1900</v>
      </c>
    </row>
    <row r="530" spans="9:9" x14ac:dyDescent="0.25">
      <c r="I530">
        <f t="shared" si="9"/>
        <v>1900</v>
      </c>
    </row>
    <row r="531" spans="9:9" x14ac:dyDescent="0.25">
      <c r="I531">
        <f t="shared" si="9"/>
        <v>1900</v>
      </c>
    </row>
    <row r="532" spans="9:9" x14ac:dyDescent="0.25">
      <c r="I532">
        <f t="shared" si="9"/>
        <v>1900</v>
      </c>
    </row>
    <row r="533" spans="9:9" x14ac:dyDescent="0.25">
      <c r="I533">
        <f t="shared" si="9"/>
        <v>1900</v>
      </c>
    </row>
    <row r="534" spans="9:9" x14ac:dyDescent="0.25">
      <c r="I534">
        <f t="shared" si="9"/>
        <v>1900</v>
      </c>
    </row>
    <row r="535" spans="9:9" x14ac:dyDescent="0.25">
      <c r="I535">
        <f t="shared" si="9"/>
        <v>1900</v>
      </c>
    </row>
    <row r="536" spans="9:9" x14ac:dyDescent="0.25">
      <c r="I536">
        <f t="shared" si="9"/>
        <v>1900</v>
      </c>
    </row>
    <row r="537" spans="9:9" x14ac:dyDescent="0.25">
      <c r="I537">
        <f t="shared" si="9"/>
        <v>1900</v>
      </c>
    </row>
    <row r="538" spans="9:9" x14ac:dyDescent="0.25">
      <c r="I538">
        <f t="shared" si="9"/>
        <v>1900</v>
      </c>
    </row>
    <row r="539" spans="9:9" x14ac:dyDescent="0.25">
      <c r="I539">
        <f t="shared" si="9"/>
        <v>1900</v>
      </c>
    </row>
    <row r="540" spans="9:9" x14ac:dyDescent="0.25">
      <c r="I540">
        <f t="shared" si="9"/>
        <v>1900</v>
      </c>
    </row>
    <row r="541" spans="9:9" x14ac:dyDescent="0.25">
      <c r="I541">
        <f t="shared" si="9"/>
        <v>1900</v>
      </c>
    </row>
    <row r="542" spans="9:9" x14ac:dyDescent="0.25">
      <c r="I542">
        <f t="shared" si="9"/>
        <v>1900</v>
      </c>
    </row>
    <row r="543" spans="9:9" x14ac:dyDescent="0.25">
      <c r="I543">
        <f t="shared" si="9"/>
        <v>1900</v>
      </c>
    </row>
    <row r="544" spans="9:9" x14ac:dyDescent="0.25">
      <c r="I544">
        <f t="shared" si="9"/>
        <v>1900</v>
      </c>
    </row>
    <row r="545" spans="9:9" x14ac:dyDescent="0.25">
      <c r="I545">
        <f t="shared" si="9"/>
        <v>1900</v>
      </c>
    </row>
    <row r="546" spans="9:9" x14ac:dyDescent="0.25">
      <c r="I546">
        <f t="shared" si="9"/>
        <v>1900</v>
      </c>
    </row>
    <row r="547" spans="9:9" x14ac:dyDescent="0.25">
      <c r="I547">
        <f t="shared" si="9"/>
        <v>1900</v>
      </c>
    </row>
    <row r="548" spans="9:9" x14ac:dyDescent="0.25">
      <c r="I548">
        <f t="shared" si="9"/>
        <v>1900</v>
      </c>
    </row>
    <row r="549" spans="9:9" x14ac:dyDescent="0.25">
      <c r="I549">
        <f t="shared" si="9"/>
        <v>1900</v>
      </c>
    </row>
    <row r="550" spans="9:9" x14ac:dyDescent="0.25">
      <c r="I550">
        <f t="shared" si="9"/>
        <v>1900</v>
      </c>
    </row>
    <row r="551" spans="9:9" x14ac:dyDescent="0.25">
      <c r="I551">
        <f t="shared" si="9"/>
        <v>1900</v>
      </c>
    </row>
    <row r="552" spans="9:9" x14ac:dyDescent="0.25">
      <c r="I552">
        <f t="shared" si="9"/>
        <v>1900</v>
      </c>
    </row>
    <row r="553" spans="9:9" x14ac:dyDescent="0.25">
      <c r="I553">
        <f t="shared" si="9"/>
        <v>1900</v>
      </c>
    </row>
    <row r="554" spans="9:9" x14ac:dyDescent="0.25">
      <c r="I554">
        <f t="shared" si="9"/>
        <v>1900</v>
      </c>
    </row>
    <row r="555" spans="9:9" x14ac:dyDescent="0.25">
      <c r="I555">
        <f t="shared" si="9"/>
        <v>1900</v>
      </c>
    </row>
    <row r="556" spans="9:9" x14ac:dyDescent="0.25">
      <c r="I556">
        <f t="shared" si="9"/>
        <v>1900</v>
      </c>
    </row>
    <row r="557" spans="9:9" x14ac:dyDescent="0.25">
      <c r="I557">
        <f t="shared" si="9"/>
        <v>1900</v>
      </c>
    </row>
    <row r="558" spans="9:9" x14ac:dyDescent="0.25">
      <c r="I558">
        <f t="shared" si="9"/>
        <v>1900</v>
      </c>
    </row>
    <row r="559" spans="9:9" x14ac:dyDescent="0.25">
      <c r="I559">
        <f t="shared" si="9"/>
        <v>1900</v>
      </c>
    </row>
    <row r="560" spans="9:9" x14ac:dyDescent="0.25">
      <c r="I560">
        <f t="shared" si="9"/>
        <v>1900</v>
      </c>
    </row>
    <row r="561" spans="9:9" x14ac:dyDescent="0.25">
      <c r="I561">
        <f t="shared" si="9"/>
        <v>1900</v>
      </c>
    </row>
    <row r="562" spans="9:9" x14ac:dyDescent="0.25">
      <c r="I562">
        <f t="shared" si="9"/>
        <v>1900</v>
      </c>
    </row>
    <row r="563" spans="9:9" x14ac:dyDescent="0.25">
      <c r="I563">
        <f t="shared" si="9"/>
        <v>1900</v>
      </c>
    </row>
    <row r="564" spans="9:9" x14ac:dyDescent="0.25">
      <c r="I564">
        <f t="shared" si="9"/>
        <v>1900</v>
      </c>
    </row>
    <row r="565" spans="9:9" x14ac:dyDescent="0.25">
      <c r="I565">
        <f t="shared" si="9"/>
        <v>1900</v>
      </c>
    </row>
    <row r="566" spans="9:9" x14ac:dyDescent="0.25">
      <c r="I566">
        <f t="shared" si="9"/>
        <v>1900</v>
      </c>
    </row>
    <row r="567" spans="9:9" x14ac:dyDescent="0.25">
      <c r="I567">
        <f t="shared" si="9"/>
        <v>1900</v>
      </c>
    </row>
    <row r="568" spans="9:9" x14ac:dyDescent="0.25">
      <c r="I568">
        <f t="shared" si="9"/>
        <v>1900</v>
      </c>
    </row>
    <row r="569" spans="9:9" x14ac:dyDescent="0.25">
      <c r="I569">
        <f t="shared" si="9"/>
        <v>1900</v>
      </c>
    </row>
    <row r="570" spans="9:9" x14ac:dyDescent="0.25">
      <c r="I570">
        <f t="shared" si="9"/>
        <v>1900</v>
      </c>
    </row>
    <row r="571" spans="9:9" x14ac:dyDescent="0.25">
      <c r="I571">
        <f t="shared" si="9"/>
        <v>1900</v>
      </c>
    </row>
    <row r="572" spans="9:9" x14ac:dyDescent="0.25">
      <c r="I572">
        <f t="shared" si="9"/>
        <v>1900</v>
      </c>
    </row>
    <row r="573" spans="9:9" x14ac:dyDescent="0.25">
      <c r="I573">
        <f t="shared" si="9"/>
        <v>1900</v>
      </c>
    </row>
    <row r="574" spans="9:9" x14ac:dyDescent="0.25">
      <c r="I574">
        <f t="shared" si="9"/>
        <v>1900</v>
      </c>
    </row>
    <row r="575" spans="9:9" x14ac:dyDescent="0.25">
      <c r="I575">
        <f t="shared" si="9"/>
        <v>1900</v>
      </c>
    </row>
    <row r="576" spans="9:9" x14ac:dyDescent="0.25">
      <c r="I576">
        <f t="shared" si="9"/>
        <v>1900</v>
      </c>
    </row>
    <row r="577" spans="9:9" x14ac:dyDescent="0.25">
      <c r="I577">
        <f t="shared" si="9"/>
        <v>1900</v>
      </c>
    </row>
    <row r="578" spans="9:9" x14ac:dyDescent="0.25">
      <c r="I578">
        <f t="shared" si="9"/>
        <v>1900</v>
      </c>
    </row>
    <row r="579" spans="9:9" x14ac:dyDescent="0.25">
      <c r="I579">
        <f t="shared" si="9"/>
        <v>1900</v>
      </c>
    </row>
    <row r="580" spans="9:9" x14ac:dyDescent="0.25">
      <c r="I580">
        <f t="shared" ref="I580:I643" si="10">IFERROR(YEAR(E580),"")</f>
        <v>1900</v>
      </c>
    </row>
    <row r="581" spans="9:9" x14ac:dyDescent="0.25">
      <c r="I581">
        <f t="shared" si="10"/>
        <v>1900</v>
      </c>
    </row>
    <row r="582" spans="9:9" x14ac:dyDescent="0.25">
      <c r="I582">
        <f t="shared" si="10"/>
        <v>1900</v>
      </c>
    </row>
    <row r="583" spans="9:9" x14ac:dyDescent="0.25">
      <c r="I583">
        <f t="shared" si="10"/>
        <v>1900</v>
      </c>
    </row>
    <row r="584" spans="9:9" x14ac:dyDescent="0.25">
      <c r="I584">
        <f t="shared" si="10"/>
        <v>1900</v>
      </c>
    </row>
    <row r="585" spans="9:9" x14ac:dyDescent="0.25">
      <c r="I585">
        <f t="shared" si="10"/>
        <v>1900</v>
      </c>
    </row>
    <row r="586" spans="9:9" x14ac:dyDescent="0.25">
      <c r="I586">
        <f t="shared" si="10"/>
        <v>1900</v>
      </c>
    </row>
    <row r="587" spans="9:9" x14ac:dyDescent="0.25">
      <c r="I587">
        <f t="shared" si="10"/>
        <v>1900</v>
      </c>
    </row>
    <row r="588" spans="9:9" x14ac:dyDescent="0.25">
      <c r="I588">
        <f t="shared" si="10"/>
        <v>1900</v>
      </c>
    </row>
    <row r="589" spans="9:9" x14ac:dyDescent="0.25">
      <c r="I589">
        <f t="shared" si="10"/>
        <v>1900</v>
      </c>
    </row>
    <row r="590" spans="9:9" x14ac:dyDescent="0.25">
      <c r="I590">
        <f t="shared" si="10"/>
        <v>1900</v>
      </c>
    </row>
    <row r="591" spans="9:9" x14ac:dyDescent="0.25">
      <c r="I591">
        <f t="shared" si="10"/>
        <v>1900</v>
      </c>
    </row>
    <row r="592" spans="9:9" x14ac:dyDescent="0.25">
      <c r="I592">
        <f t="shared" si="10"/>
        <v>1900</v>
      </c>
    </row>
    <row r="593" spans="9:9" x14ac:dyDescent="0.25">
      <c r="I593">
        <f t="shared" si="10"/>
        <v>1900</v>
      </c>
    </row>
    <row r="594" spans="9:9" x14ac:dyDescent="0.25">
      <c r="I594">
        <f t="shared" si="10"/>
        <v>1900</v>
      </c>
    </row>
    <row r="595" spans="9:9" x14ac:dyDescent="0.25">
      <c r="I595">
        <f t="shared" si="10"/>
        <v>1900</v>
      </c>
    </row>
    <row r="596" spans="9:9" x14ac:dyDescent="0.25">
      <c r="I596">
        <f t="shared" si="10"/>
        <v>1900</v>
      </c>
    </row>
    <row r="597" spans="9:9" x14ac:dyDescent="0.25">
      <c r="I597">
        <f t="shared" si="10"/>
        <v>1900</v>
      </c>
    </row>
    <row r="598" spans="9:9" x14ac:dyDescent="0.25">
      <c r="I598">
        <f t="shared" si="10"/>
        <v>1900</v>
      </c>
    </row>
    <row r="599" spans="9:9" x14ac:dyDescent="0.25">
      <c r="I599">
        <f t="shared" si="10"/>
        <v>1900</v>
      </c>
    </row>
    <row r="600" spans="9:9" x14ac:dyDescent="0.25">
      <c r="I600">
        <f t="shared" si="10"/>
        <v>1900</v>
      </c>
    </row>
    <row r="601" spans="9:9" x14ac:dyDescent="0.25">
      <c r="I601">
        <f t="shared" si="10"/>
        <v>1900</v>
      </c>
    </row>
    <row r="602" spans="9:9" x14ac:dyDescent="0.25">
      <c r="I602">
        <f t="shared" si="10"/>
        <v>1900</v>
      </c>
    </row>
    <row r="603" spans="9:9" x14ac:dyDescent="0.25">
      <c r="I603">
        <f t="shared" si="10"/>
        <v>1900</v>
      </c>
    </row>
    <row r="604" spans="9:9" x14ac:dyDescent="0.25">
      <c r="I604">
        <f t="shared" si="10"/>
        <v>1900</v>
      </c>
    </row>
    <row r="605" spans="9:9" x14ac:dyDescent="0.25">
      <c r="I605">
        <f t="shared" si="10"/>
        <v>1900</v>
      </c>
    </row>
    <row r="606" spans="9:9" x14ac:dyDescent="0.25">
      <c r="I606">
        <f t="shared" si="10"/>
        <v>1900</v>
      </c>
    </row>
    <row r="607" spans="9:9" x14ac:dyDescent="0.25">
      <c r="I607">
        <f t="shared" si="10"/>
        <v>1900</v>
      </c>
    </row>
    <row r="608" spans="9:9" x14ac:dyDescent="0.25">
      <c r="I608">
        <f t="shared" si="10"/>
        <v>1900</v>
      </c>
    </row>
    <row r="609" spans="9:9" x14ac:dyDescent="0.25">
      <c r="I609">
        <f t="shared" si="10"/>
        <v>1900</v>
      </c>
    </row>
    <row r="610" spans="9:9" x14ac:dyDescent="0.25">
      <c r="I610">
        <f t="shared" si="10"/>
        <v>1900</v>
      </c>
    </row>
    <row r="611" spans="9:9" x14ac:dyDescent="0.25">
      <c r="I611">
        <f t="shared" si="10"/>
        <v>1900</v>
      </c>
    </row>
    <row r="612" spans="9:9" x14ac:dyDescent="0.25">
      <c r="I612">
        <f t="shared" si="10"/>
        <v>1900</v>
      </c>
    </row>
    <row r="613" spans="9:9" x14ac:dyDescent="0.25">
      <c r="I613">
        <f t="shared" si="10"/>
        <v>1900</v>
      </c>
    </row>
    <row r="614" spans="9:9" x14ac:dyDescent="0.25">
      <c r="I614">
        <f t="shared" si="10"/>
        <v>1900</v>
      </c>
    </row>
    <row r="615" spans="9:9" x14ac:dyDescent="0.25">
      <c r="I615">
        <f t="shared" si="10"/>
        <v>1900</v>
      </c>
    </row>
    <row r="616" spans="9:9" x14ac:dyDescent="0.25">
      <c r="I616">
        <f t="shared" si="10"/>
        <v>1900</v>
      </c>
    </row>
    <row r="617" spans="9:9" x14ac:dyDescent="0.25">
      <c r="I617">
        <f t="shared" si="10"/>
        <v>1900</v>
      </c>
    </row>
    <row r="618" spans="9:9" x14ac:dyDescent="0.25">
      <c r="I618">
        <f t="shared" si="10"/>
        <v>1900</v>
      </c>
    </row>
    <row r="619" spans="9:9" x14ac:dyDescent="0.25">
      <c r="I619">
        <f t="shared" si="10"/>
        <v>1900</v>
      </c>
    </row>
    <row r="620" spans="9:9" x14ac:dyDescent="0.25">
      <c r="I620">
        <f t="shared" si="10"/>
        <v>1900</v>
      </c>
    </row>
    <row r="621" spans="9:9" x14ac:dyDescent="0.25">
      <c r="I621">
        <f t="shared" si="10"/>
        <v>1900</v>
      </c>
    </row>
    <row r="622" spans="9:9" x14ac:dyDescent="0.25">
      <c r="I622">
        <f t="shared" si="10"/>
        <v>1900</v>
      </c>
    </row>
    <row r="623" spans="9:9" x14ac:dyDescent="0.25">
      <c r="I623">
        <f t="shared" si="10"/>
        <v>1900</v>
      </c>
    </row>
    <row r="624" spans="9:9" x14ac:dyDescent="0.25">
      <c r="I624">
        <f t="shared" si="10"/>
        <v>1900</v>
      </c>
    </row>
    <row r="625" spans="9:9" x14ac:dyDescent="0.25">
      <c r="I625">
        <f t="shared" si="10"/>
        <v>1900</v>
      </c>
    </row>
    <row r="626" spans="9:9" x14ac:dyDescent="0.25">
      <c r="I626">
        <f t="shared" si="10"/>
        <v>1900</v>
      </c>
    </row>
    <row r="627" spans="9:9" x14ac:dyDescent="0.25">
      <c r="I627">
        <f t="shared" si="10"/>
        <v>1900</v>
      </c>
    </row>
    <row r="628" spans="9:9" x14ac:dyDescent="0.25">
      <c r="I628">
        <f t="shared" si="10"/>
        <v>1900</v>
      </c>
    </row>
    <row r="629" spans="9:9" x14ac:dyDescent="0.25">
      <c r="I629">
        <f t="shared" si="10"/>
        <v>1900</v>
      </c>
    </row>
    <row r="630" spans="9:9" x14ac:dyDescent="0.25">
      <c r="I630">
        <f t="shared" si="10"/>
        <v>1900</v>
      </c>
    </row>
    <row r="631" spans="9:9" x14ac:dyDescent="0.25">
      <c r="I631">
        <f t="shared" si="10"/>
        <v>1900</v>
      </c>
    </row>
    <row r="632" spans="9:9" x14ac:dyDescent="0.25">
      <c r="I632">
        <f t="shared" si="10"/>
        <v>1900</v>
      </c>
    </row>
    <row r="633" spans="9:9" x14ac:dyDescent="0.25">
      <c r="I633">
        <f t="shared" si="10"/>
        <v>1900</v>
      </c>
    </row>
    <row r="634" spans="9:9" x14ac:dyDescent="0.25">
      <c r="I634">
        <f t="shared" si="10"/>
        <v>1900</v>
      </c>
    </row>
    <row r="635" spans="9:9" x14ac:dyDescent="0.25">
      <c r="I635">
        <f t="shared" si="10"/>
        <v>1900</v>
      </c>
    </row>
    <row r="636" spans="9:9" x14ac:dyDescent="0.25">
      <c r="I636">
        <f t="shared" si="10"/>
        <v>1900</v>
      </c>
    </row>
    <row r="637" spans="9:9" x14ac:dyDescent="0.25">
      <c r="I637">
        <f t="shared" si="10"/>
        <v>1900</v>
      </c>
    </row>
    <row r="638" spans="9:9" x14ac:dyDescent="0.25">
      <c r="I638">
        <f t="shared" si="10"/>
        <v>1900</v>
      </c>
    </row>
    <row r="639" spans="9:9" x14ac:dyDescent="0.25">
      <c r="I639">
        <f t="shared" si="10"/>
        <v>1900</v>
      </c>
    </row>
    <row r="640" spans="9:9" x14ac:dyDescent="0.25">
      <c r="I640">
        <f t="shared" si="10"/>
        <v>1900</v>
      </c>
    </row>
    <row r="641" spans="9:9" x14ac:dyDescent="0.25">
      <c r="I641">
        <f t="shared" si="10"/>
        <v>1900</v>
      </c>
    </row>
    <row r="642" spans="9:9" x14ac:dyDescent="0.25">
      <c r="I642">
        <f t="shared" si="10"/>
        <v>1900</v>
      </c>
    </row>
    <row r="643" spans="9:9" x14ac:dyDescent="0.25">
      <c r="I643">
        <f t="shared" si="10"/>
        <v>1900</v>
      </c>
    </row>
    <row r="644" spans="9:9" x14ac:dyDescent="0.25">
      <c r="I644">
        <f t="shared" ref="I644:I707" si="11">IFERROR(YEAR(E644),"")</f>
        <v>1900</v>
      </c>
    </row>
    <row r="645" spans="9:9" x14ac:dyDescent="0.25">
      <c r="I645">
        <f t="shared" si="11"/>
        <v>1900</v>
      </c>
    </row>
    <row r="646" spans="9:9" x14ac:dyDescent="0.25">
      <c r="I646">
        <f t="shared" si="11"/>
        <v>1900</v>
      </c>
    </row>
    <row r="647" spans="9:9" x14ac:dyDescent="0.25">
      <c r="I647">
        <f t="shared" si="11"/>
        <v>1900</v>
      </c>
    </row>
    <row r="648" spans="9:9" x14ac:dyDescent="0.25">
      <c r="I648">
        <f t="shared" si="11"/>
        <v>1900</v>
      </c>
    </row>
    <row r="649" spans="9:9" x14ac:dyDescent="0.25">
      <c r="I649">
        <f t="shared" si="11"/>
        <v>1900</v>
      </c>
    </row>
    <row r="650" spans="9:9" x14ac:dyDescent="0.25">
      <c r="I650">
        <f t="shared" si="11"/>
        <v>1900</v>
      </c>
    </row>
    <row r="651" spans="9:9" x14ac:dyDescent="0.25">
      <c r="I651">
        <f t="shared" si="11"/>
        <v>1900</v>
      </c>
    </row>
    <row r="652" spans="9:9" x14ac:dyDescent="0.25">
      <c r="I652">
        <f t="shared" si="11"/>
        <v>1900</v>
      </c>
    </row>
    <row r="653" spans="9:9" x14ac:dyDescent="0.25">
      <c r="I653">
        <f t="shared" si="11"/>
        <v>1900</v>
      </c>
    </row>
    <row r="654" spans="9:9" x14ac:dyDescent="0.25">
      <c r="I654">
        <f t="shared" si="11"/>
        <v>1900</v>
      </c>
    </row>
    <row r="655" spans="9:9" x14ac:dyDescent="0.25">
      <c r="I655">
        <f t="shared" si="11"/>
        <v>1900</v>
      </c>
    </row>
    <row r="656" spans="9:9" x14ac:dyDescent="0.25">
      <c r="I656">
        <f t="shared" si="11"/>
        <v>1900</v>
      </c>
    </row>
    <row r="657" spans="9:9" x14ac:dyDescent="0.25">
      <c r="I657">
        <f t="shared" si="11"/>
        <v>1900</v>
      </c>
    </row>
    <row r="658" spans="9:9" x14ac:dyDescent="0.25">
      <c r="I658">
        <f t="shared" si="11"/>
        <v>1900</v>
      </c>
    </row>
    <row r="659" spans="9:9" x14ac:dyDescent="0.25">
      <c r="I659">
        <f t="shared" si="11"/>
        <v>1900</v>
      </c>
    </row>
    <row r="660" spans="9:9" x14ac:dyDescent="0.25">
      <c r="I660">
        <f t="shared" si="11"/>
        <v>1900</v>
      </c>
    </row>
    <row r="661" spans="9:9" x14ac:dyDescent="0.25">
      <c r="I661">
        <f t="shared" si="11"/>
        <v>1900</v>
      </c>
    </row>
    <row r="662" spans="9:9" x14ac:dyDescent="0.25">
      <c r="I662">
        <f t="shared" si="11"/>
        <v>1900</v>
      </c>
    </row>
    <row r="663" spans="9:9" x14ac:dyDescent="0.25">
      <c r="I663">
        <f t="shared" si="11"/>
        <v>1900</v>
      </c>
    </row>
    <row r="664" spans="9:9" x14ac:dyDescent="0.25">
      <c r="I664">
        <f t="shared" si="11"/>
        <v>1900</v>
      </c>
    </row>
    <row r="665" spans="9:9" x14ac:dyDescent="0.25">
      <c r="I665">
        <f t="shared" si="11"/>
        <v>1900</v>
      </c>
    </row>
    <row r="666" spans="9:9" x14ac:dyDescent="0.25">
      <c r="I666">
        <f t="shared" si="11"/>
        <v>1900</v>
      </c>
    </row>
    <row r="667" spans="9:9" x14ac:dyDescent="0.25">
      <c r="I667">
        <f t="shared" si="11"/>
        <v>1900</v>
      </c>
    </row>
    <row r="668" spans="9:9" x14ac:dyDescent="0.25">
      <c r="I668">
        <f t="shared" si="11"/>
        <v>1900</v>
      </c>
    </row>
    <row r="669" spans="9:9" x14ac:dyDescent="0.25">
      <c r="I669">
        <f t="shared" si="11"/>
        <v>1900</v>
      </c>
    </row>
    <row r="670" spans="9:9" x14ac:dyDescent="0.25">
      <c r="I670">
        <f t="shared" si="11"/>
        <v>1900</v>
      </c>
    </row>
    <row r="671" spans="9:9" x14ac:dyDescent="0.25">
      <c r="I671">
        <f t="shared" si="11"/>
        <v>1900</v>
      </c>
    </row>
    <row r="672" spans="9:9" x14ac:dyDescent="0.25">
      <c r="I672">
        <f t="shared" si="11"/>
        <v>1900</v>
      </c>
    </row>
    <row r="673" spans="9:9" x14ac:dyDescent="0.25">
      <c r="I673">
        <f t="shared" si="11"/>
        <v>1900</v>
      </c>
    </row>
    <row r="674" spans="9:9" x14ac:dyDescent="0.25">
      <c r="I674">
        <f t="shared" si="11"/>
        <v>1900</v>
      </c>
    </row>
    <row r="675" spans="9:9" x14ac:dyDescent="0.25">
      <c r="I675">
        <f t="shared" si="11"/>
        <v>1900</v>
      </c>
    </row>
    <row r="676" spans="9:9" x14ac:dyDescent="0.25">
      <c r="I676">
        <f t="shared" si="11"/>
        <v>1900</v>
      </c>
    </row>
    <row r="677" spans="9:9" x14ac:dyDescent="0.25">
      <c r="I677">
        <f t="shared" si="11"/>
        <v>1900</v>
      </c>
    </row>
    <row r="678" spans="9:9" x14ac:dyDescent="0.25">
      <c r="I678">
        <f t="shared" si="11"/>
        <v>1900</v>
      </c>
    </row>
    <row r="679" spans="9:9" x14ac:dyDescent="0.25">
      <c r="I679">
        <f t="shared" si="11"/>
        <v>1900</v>
      </c>
    </row>
    <row r="680" spans="9:9" x14ac:dyDescent="0.25">
      <c r="I680">
        <f t="shared" si="11"/>
        <v>1900</v>
      </c>
    </row>
    <row r="681" spans="9:9" x14ac:dyDescent="0.25">
      <c r="I681">
        <f t="shared" si="11"/>
        <v>1900</v>
      </c>
    </row>
    <row r="682" spans="9:9" x14ac:dyDescent="0.25">
      <c r="I682">
        <f t="shared" si="11"/>
        <v>1900</v>
      </c>
    </row>
    <row r="683" spans="9:9" x14ac:dyDescent="0.25">
      <c r="I683">
        <f t="shared" si="11"/>
        <v>1900</v>
      </c>
    </row>
    <row r="684" spans="9:9" x14ac:dyDescent="0.25">
      <c r="I684">
        <f t="shared" si="11"/>
        <v>1900</v>
      </c>
    </row>
    <row r="685" spans="9:9" x14ac:dyDescent="0.25">
      <c r="I685">
        <f t="shared" si="11"/>
        <v>1900</v>
      </c>
    </row>
    <row r="686" spans="9:9" x14ac:dyDescent="0.25">
      <c r="I686">
        <f t="shared" si="11"/>
        <v>1900</v>
      </c>
    </row>
    <row r="687" spans="9:9" x14ac:dyDescent="0.25">
      <c r="I687">
        <f t="shared" si="11"/>
        <v>1900</v>
      </c>
    </row>
    <row r="688" spans="9:9" x14ac:dyDescent="0.25">
      <c r="I688">
        <f t="shared" si="11"/>
        <v>1900</v>
      </c>
    </row>
    <row r="689" spans="9:9" x14ac:dyDescent="0.25">
      <c r="I689">
        <f t="shared" si="11"/>
        <v>1900</v>
      </c>
    </row>
    <row r="690" spans="9:9" x14ac:dyDescent="0.25">
      <c r="I690">
        <f t="shared" si="11"/>
        <v>1900</v>
      </c>
    </row>
    <row r="691" spans="9:9" x14ac:dyDescent="0.25">
      <c r="I691">
        <f t="shared" si="11"/>
        <v>1900</v>
      </c>
    </row>
    <row r="692" spans="9:9" x14ac:dyDescent="0.25">
      <c r="I692">
        <f t="shared" si="11"/>
        <v>1900</v>
      </c>
    </row>
    <row r="693" spans="9:9" x14ac:dyDescent="0.25">
      <c r="I693">
        <f t="shared" si="11"/>
        <v>1900</v>
      </c>
    </row>
    <row r="694" spans="9:9" x14ac:dyDescent="0.25">
      <c r="I694">
        <f t="shared" si="11"/>
        <v>1900</v>
      </c>
    </row>
    <row r="695" spans="9:9" x14ac:dyDescent="0.25">
      <c r="I695">
        <f t="shared" si="11"/>
        <v>1900</v>
      </c>
    </row>
    <row r="696" spans="9:9" x14ac:dyDescent="0.25">
      <c r="I696">
        <f t="shared" si="11"/>
        <v>1900</v>
      </c>
    </row>
    <row r="697" spans="9:9" x14ac:dyDescent="0.25">
      <c r="I697">
        <f t="shared" si="11"/>
        <v>1900</v>
      </c>
    </row>
    <row r="698" spans="9:9" x14ac:dyDescent="0.25">
      <c r="I698">
        <f t="shared" si="11"/>
        <v>1900</v>
      </c>
    </row>
    <row r="699" spans="9:9" x14ac:dyDescent="0.25">
      <c r="I699">
        <f t="shared" si="11"/>
        <v>1900</v>
      </c>
    </row>
    <row r="700" spans="9:9" x14ac:dyDescent="0.25">
      <c r="I700">
        <f t="shared" si="11"/>
        <v>1900</v>
      </c>
    </row>
    <row r="701" spans="9:9" x14ac:dyDescent="0.25">
      <c r="I701">
        <f t="shared" si="11"/>
        <v>1900</v>
      </c>
    </row>
    <row r="702" spans="9:9" x14ac:dyDescent="0.25">
      <c r="I702">
        <f t="shared" si="11"/>
        <v>1900</v>
      </c>
    </row>
    <row r="703" spans="9:9" x14ac:dyDescent="0.25">
      <c r="I703">
        <f t="shared" si="11"/>
        <v>1900</v>
      </c>
    </row>
    <row r="704" spans="9:9" x14ac:dyDescent="0.25">
      <c r="I704">
        <f t="shared" si="11"/>
        <v>1900</v>
      </c>
    </row>
    <row r="705" spans="9:9" x14ac:dyDescent="0.25">
      <c r="I705">
        <f t="shared" si="11"/>
        <v>1900</v>
      </c>
    </row>
    <row r="706" spans="9:9" x14ac:dyDescent="0.25">
      <c r="I706">
        <f t="shared" si="11"/>
        <v>1900</v>
      </c>
    </row>
    <row r="707" spans="9:9" x14ac:dyDescent="0.25">
      <c r="I707">
        <f t="shared" si="11"/>
        <v>1900</v>
      </c>
    </row>
    <row r="708" spans="9:9" x14ac:dyDescent="0.25">
      <c r="I708">
        <f t="shared" ref="I708:I771" si="12">IFERROR(YEAR(E708),"")</f>
        <v>1900</v>
      </c>
    </row>
    <row r="709" spans="9:9" x14ac:dyDescent="0.25">
      <c r="I709">
        <f t="shared" si="12"/>
        <v>1900</v>
      </c>
    </row>
    <row r="710" spans="9:9" x14ac:dyDescent="0.25">
      <c r="I710">
        <f t="shared" si="12"/>
        <v>1900</v>
      </c>
    </row>
    <row r="711" spans="9:9" x14ac:dyDescent="0.25">
      <c r="I711">
        <f t="shared" si="12"/>
        <v>1900</v>
      </c>
    </row>
    <row r="712" spans="9:9" x14ac:dyDescent="0.25">
      <c r="I712">
        <f t="shared" si="12"/>
        <v>1900</v>
      </c>
    </row>
    <row r="713" spans="9:9" x14ac:dyDescent="0.25">
      <c r="I713">
        <f t="shared" si="12"/>
        <v>1900</v>
      </c>
    </row>
    <row r="714" spans="9:9" x14ac:dyDescent="0.25">
      <c r="I714">
        <f t="shared" si="12"/>
        <v>1900</v>
      </c>
    </row>
    <row r="715" spans="9:9" x14ac:dyDescent="0.25">
      <c r="I715">
        <f t="shared" si="12"/>
        <v>1900</v>
      </c>
    </row>
    <row r="716" spans="9:9" x14ac:dyDescent="0.25">
      <c r="I716">
        <f t="shared" si="12"/>
        <v>1900</v>
      </c>
    </row>
    <row r="717" spans="9:9" x14ac:dyDescent="0.25">
      <c r="I717">
        <f t="shared" si="12"/>
        <v>1900</v>
      </c>
    </row>
    <row r="718" spans="9:9" x14ac:dyDescent="0.25">
      <c r="I718">
        <f t="shared" si="12"/>
        <v>1900</v>
      </c>
    </row>
    <row r="719" spans="9:9" x14ac:dyDescent="0.25">
      <c r="I719">
        <f t="shared" si="12"/>
        <v>1900</v>
      </c>
    </row>
    <row r="720" spans="9:9" x14ac:dyDescent="0.25">
      <c r="I720">
        <f t="shared" si="12"/>
        <v>1900</v>
      </c>
    </row>
    <row r="721" spans="9:9" x14ac:dyDescent="0.25">
      <c r="I721">
        <f t="shared" si="12"/>
        <v>1900</v>
      </c>
    </row>
    <row r="722" spans="9:9" x14ac:dyDescent="0.25">
      <c r="I722">
        <f t="shared" si="12"/>
        <v>1900</v>
      </c>
    </row>
    <row r="723" spans="9:9" x14ac:dyDescent="0.25">
      <c r="I723">
        <f t="shared" si="12"/>
        <v>1900</v>
      </c>
    </row>
    <row r="724" spans="9:9" x14ac:dyDescent="0.25">
      <c r="I724">
        <f t="shared" si="12"/>
        <v>1900</v>
      </c>
    </row>
    <row r="725" spans="9:9" x14ac:dyDescent="0.25">
      <c r="I725">
        <f t="shared" si="12"/>
        <v>1900</v>
      </c>
    </row>
    <row r="726" spans="9:9" x14ac:dyDescent="0.25">
      <c r="I726">
        <f t="shared" si="12"/>
        <v>1900</v>
      </c>
    </row>
    <row r="727" spans="9:9" x14ac:dyDescent="0.25">
      <c r="I727">
        <f t="shared" si="12"/>
        <v>1900</v>
      </c>
    </row>
    <row r="728" spans="9:9" x14ac:dyDescent="0.25">
      <c r="I728">
        <f t="shared" si="12"/>
        <v>1900</v>
      </c>
    </row>
    <row r="729" spans="9:9" x14ac:dyDescent="0.25">
      <c r="I729">
        <f t="shared" si="12"/>
        <v>1900</v>
      </c>
    </row>
    <row r="730" spans="9:9" x14ac:dyDescent="0.25">
      <c r="I730">
        <f t="shared" si="12"/>
        <v>1900</v>
      </c>
    </row>
    <row r="731" spans="9:9" x14ac:dyDescent="0.25">
      <c r="I731">
        <f t="shared" si="12"/>
        <v>1900</v>
      </c>
    </row>
    <row r="732" spans="9:9" x14ac:dyDescent="0.25">
      <c r="I732">
        <f t="shared" si="12"/>
        <v>1900</v>
      </c>
    </row>
    <row r="733" spans="9:9" x14ac:dyDescent="0.25">
      <c r="I733">
        <f t="shared" si="12"/>
        <v>1900</v>
      </c>
    </row>
    <row r="734" spans="9:9" x14ac:dyDescent="0.25">
      <c r="I734">
        <f t="shared" si="12"/>
        <v>1900</v>
      </c>
    </row>
    <row r="735" spans="9:9" x14ac:dyDescent="0.25">
      <c r="I735">
        <f t="shared" si="12"/>
        <v>1900</v>
      </c>
    </row>
    <row r="736" spans="9:9" x14ac:dyDescent="0.25">
      <c r="I736">
        <f t="shared" si="12"/>
        <v>1900</v>
      </c>
    </row>
    <row r="737" spans="9:9" x14ac:dyDescent="0.25">
      <c r="I737">
        <f t="shared" si="12"/>
        <v>1900</v>
      </c>
    </row>
    <row r="738" spans="9:9" x14ac:dyDescent="0.25">
      <c r="I738">
        <f t="shared" si="12"/>
        <v>1900</v>
      </c>
    </row>
    <row r="739" spans="9:9" x14ac:dyDescent="0.25">
      <c r="I739">
        <f t="shared" si="12"/>
        <v>1900</v>
      </c>
    </row>
    <row r="740" spans="9:9" x14ac:dyDescent="0.25">
      <c r="I740">
        <f t="shared" si="12"/>
        <v>1900</v>
      </c>
    </row>
    <row r="741" spans="9:9" x14ac:dyDescent="0.25">
      <c r="I741">
        <f t="shared" si="12"/>
        <v>1900</v>
      </c>
    </row>
    <row r="742" spans="9:9" x14ac:dyDescent="0.25">
      <c r="I742">
        <f t="shared" si="12"/>
        <v>1900</v>
      </c>
    </row>
    <row r="743" spans="9:9" x14ac:dyDescent="0.25">
      <c r="I743">
        <f t="shared" si="12"/>
        <v>1900</v>
      </c>
    </row>
    <row r="744" spans="9:9" x14ac:dyDescent="0.25">
      <c r="I744">
        <f t="shared" si="12"/>
        <v>1900</v>
      </c>
    </row>
    <row r="745" spans="9:9" x14ac:dyDescent="0.25">
      <c r="I745">
        <f t="shared" si="12"/>
        <v>1900</v>
      </c>
    </row>
    <row r="746" spans="9:9" x14ac:dyDescent="0.25">
      <c r="I746">
        <f t="shared" si="12"/>
        <v>1900</v>
      </c>
    </row>
    <row r="747" spans="9:9" x14ac:dyDescent="0.25">
      <c r="I747">
        <f t="shared" si="12"/>
        <v>1900</v>
      </c>
    </row>
    <row r="748" spans="9:9" x14ac:dyDescent="0.25">
      <c r="I748">
        <f t="shared" si="12"/>
        <v>1900</v>
      </c>
    </row>
    <row r="749" spans="9:9" x14ac:dyDescent="0.25">
      <c r="I749">
        <f t="shared" si="12"/>
        <v>1900</v>
      </c>
    </row>
    <row r="750" spans="9:9" x14ac:dyDescent="0.25">
      <c r="I750">
        <f t="shared" si="12"/>
        <v>1900</v>
      </c>
    </row>
    <row r="751" spans="9:9" x14ac:dyDescent="0.25">
      <c r="I751">
        <f t="shared" si="12"/>
        <v>1900</v>
      </c>
    </row>
    <row r="752" spans="9:9" x14ac:dyDescent="0.25">
      <c r="I752">
        <f t="shared" si="12"/>
        <v>1900</v>
      </c>
    </row>
    <row r="753" spans="9:9" x14ac:dyDescent="0.25">
      <c r="I753">
        <f t="shared" si="12"/>
        <v>1900</v>
      </c>
    </row>
    <row r="754" spans="9:9" x14ac:dyDescent="0.25">
      <c r="I754">
        <f t="shared" si="12"/>
        <v>1900</v>
      </c>
    </row>
    <row r="755" spans="9:9" x14ac:dyDescent="0.25">
      <c r="I755">
        <f t="shared" si="12"/>
        <v>1900</v>
      </c>
    </row>
    <row r="756" spans="9:9" x14ac:dyDescent="0.25">
      <c r="I756">
        <f t="shared" si="12"/>
        <v>1900</v>
      </c>
    </row>
    <row r="757" spans="9:9" x14ac:dyDescent="0.25">
      <c r="I757">
        <f t="shared" si="12"/>
        <v>1900</v>
      </c>
    </row>
    <row r="758" spans="9:9" x14ac:dyDescent="0.25">
      <c r="I758">
        <f t="shared" si="12"/>
        <v>1900</v>
      </c>
    </row>
    <row r="759" spans="9:9" x14ac:dyDescent="0.25">
      <c r="I759">
        <f t="shared" si="12"/>
        <v>1900</v>
      </c>
    </row>
    <row r="760" spans="9:9" x14ac:dyDescent="0.25">
      <c r="I760">
        <f t="shared" si="12"/>
        <v>1900</v>
      </c>
    </row>
    <row r="761" spans="9:9" x14ac:dyDescent="0.25">
      <c r="I761">
        <f t="shared" si="12"/>
        <v>1900</v>
      </c>
    </row>
    <row r="762" spans="9:9" x14ac:dyDescent="0.25">
      <c r="I762">
        <f t="shared" si="12"/>
        <v>1900</v>
      </c>
    </row>
    <row r="763" spans="9:9" x14ac:dyDescent="0.25">
      <c r="I763">
        <f t="shared" si="12"/>
        <v>1900</v>
      </c>
    </row>
    <row r="764" spans="9:9" x14ac:dyDescent="0.25">
      <c r="I764">
        <f t="shared" si="12"/>
        <v>1900</v>
      </c>
    </row>
    <row r="765" spans="9:9" x14ac:dyDescent="0.25">
      <c r="I765">
        <f t="shared" si="12"/>
        <v>1900</v>
      </c>
    </row>
    <row r="766" spans="9:9" x14ac:dyDescent="0.25">
      <c r="I766">
        <f t="shared" si="12"/>
        <v>1900</v>
      </c>
    </row>
    <row r="767" spans="9:9" x14ac:dyDescent="0.25">
      <c r="I767">
        <f t="shared" si="12"/>
        <v>1900</v>
      </c>
    </row>
    <row r="768" spans="9:9" x14ac:dyDescent="0.25">
      <c r="I768">
        <f t="shared" si="12"/>
        <v>1900</v>
      </c>
    </row>
    <row r="769" spans="9:9" x14ac:dyDescent="0.25">
      <c r="I769">
        <f t="shared" si="12"/>
        <v>1900</v>
      </c>
    </row>
    <row r="770" spans="9:9" x14ac:dyDescent="0.25">
      <c r="I770">
        <f t="shared" si="12"/>
        <v>1900</v>
      </c>
    </row>
    <row r="771" spans="9:9" x14ac:dyDescent="0.25">
      <c r="I771">
        <f t="shared" si="12"/>
        <v>1900</v>
      </c>
    </row>
    <row r="772" spans="9:9" x14ac:dyDescent="0.25">
      <c r="I772">
        <f t="shared" ref="I772:I835" si="13">IFERROR(YEAR(E772),"")</f>
        <v>1900</v>
      </c>
    </row>
    <row r="773" spans="9:9" x14ac:dyDescent="0.25">
      <c r="I773">
        <f t="shared" si="13"/>
        <v>1900</v>
      </c>
    </row>
    <row r="774" spans="9:9" x14ac:dyDescent="0.25">
      <c r="I774">
        <f t="shared" si="13"/>
        <v>1900</v>
      </c>
    </row>
    <row r="775" spans="9:9" x14ac:dyDescent="0.25">
      <c r="I775">
        <f t="shared" si="13"/>
        <v>1900</v>
      </c>
    </row>
    <row r="776" spans="9:9" x14ac:dyDescent="0.25">
      <c r="I776">
        <f t="shared" si="13"/>
        <v>1900</v>
      </c>
    </row>
    <row r="777" spans="9:9" x14ac:dyDescent="0.25">
      <c r="I777">
        <f t="shared" si="13"/>
        <v>1900</v>
      </c>
    </row>
    <row r="778" spans="9:9" x14ac:dyDescent="0.25">
      <c r="I778">
        <f t="shared" si="13"/>
        <v>1900</v>
      </c>
    </row>
    <row r="779" spans="9:9" x14ac:dyDescent="0.25">
      <c r="I779">
        <f t="shared" si="13"/>
        <v>1900</v>
      </c>
    </row>
    <row r="780" spans="9:9" x14ac:dyDescent="0.25">
      <c r="I780">
        <f t="shared" si="13"/>
        <v>1900</v>
      </c>
    </row>
    <row r="781" spans="9:9" x14ac:dyDescent="0.25">
      <c r="I781">
        <f t="shared" si="13"/>
        <v>1900</v>
      </c>
    </row>
    <row r="782" spans="9:9" x14ac:dyDescent="0.25">
      <c r="I782">
        <f t="shared" si="13"/>
        <v>1900</v>
      </c>
    </row>
    <row r="783" spans="9:9" x14ac:dyDescent="0.25">
      <c r="I783">
        <f t="shared" si="13"/>
        <v>1900</v>
      </c>
    </row>
    <row r="784" spans="9:9" x14ac:dyDescent="0.25">
      <c r="I784">
        <f t="shared" si="13"/>
        <v>1900</v>
      </c>
    </row>
    <row r="785" spans="9:9" x14ac:dyDescent="0.25">
      <c r="I785">
        <f t="shared" si="13"/>
        <v>1900</v>
      </c>
    </row>
    <row r="786" spans="9:9" x14ac:dyDescent="0.25">
      <c r="I786">
        <f t="shared" si="13"/>
        <v>1900</v>
      </c>
    </row>
    <row r="787" spans="9:9" x14ac:dyDescent="0.25">
      <c r="I787">
        <f t="shared" si="13"/>
        <v>1900</v>
      </c>
    </row>
    <row r="788" spans="9:9" x14ac:dyDescent="0.25">
      <c r="I788">
        <f t="shared" si="13"/>
        <v>1900</v>
      </c>
    </row>
    <row r="789" spans="9:9" x14ac:dyDescent="0.25">
      <c r="I789">
        <f t="shared" si="13"/>
        <v>1900</v>
      </c>
    </row>
    <row r="790" spans="9:9" x14ac:dyDescent="0.25">
      <c r="I790">
        <f t="shared" si="13"/>
        <v>1900</v>
      </c>
    </row>
    <row r="791" spans="9:9" x14ac:dyDescent="0.25">
      <c r="I791">
        <f t="shared" si="13"/>
        <v>1900</v>
      </c>
    </row>
    <row r="792" spans="9:9" x14ac:dyDescent="0.25">
      <c r="I792">
        <f t="shared" si="13"/>
        <v>1900</v>
      </c>
    </row>
    <row r="793" spans="9:9" x14ac:dyDescent="0.25">
      <c r="I793">
        <f t="shared" si="13"/>
        <v>1900</v>
      </c>
    </row>
    <row r="794" spans="9:9" x14ac:dyDescent="0.25">
      <c r="I794">
        <f t="shared" si="13"/>
        <v>1900</v>
      </c>
    </row>
    <row r="795" spans="9:9" x14ac:dyDescent="0.25">
      <c r="I795">
        <f t="shared" si="13"/>
        <v>1900</v>
      </c>
    </row>
    <row r="796" spans="9:9" x14ac:dyDescent="0.25">
      <c r="I796">
        <f t="shared" si="13"/>
        <v>1900</v>
      </c>
    </row>
    <row r="797" spans="9:9" x14ac:dyDescent="0.25">
      <c r="I797">
        <f t="shared" si="13"/>
        <v>1900</v>
      </c>
    </row>
    <row r="798" spans="9:9" x14ac:dyDescent="0.25">
      <c r="I798">
        <f t="shared" si="13"/>
        <v>1900</v>
      </c>
    </row>
    <row r="799" spans="9:9" x14ac:dyDescent="0.25">
      <c r="I799">
        <f t="shared" si="13"/>
        <v>1900</v>
      </c>
    </row>
    <row r="800" spans="9:9" x14ac:dyDescent="0.25">
      <c r="I800">
        <f t="shared" si="13"/>
        <v>1900</v>
      </c>
    </row>
    <row r="801" spans="9:9" x14ac:dyDescent="0.25">
      <c r="I801">
        <f t="shared" si="13"/>
        <v>1900</v>
      </c>
    </row>
    <row r="802" spans="9:9" x14ac:dyDescent="0.25">
      <c r="I802">
        <f t="shared" si="13"/>
        <v>1900</v>
      </c>
    </row>
    <row r="803" spans="9:9" x14ac:dyDescent="0.25">
      <c r="I803">
        <f t="shared" si="13"/>
        <v>1900</v>
      </c>
    </row>
    <row r="804" spans="9:9" x14ac:dyDescent="0.25">
      <c r="I804">
        <f t="shared" si="13"/>
        <v>1900</v>
      </c>
    </row>
    <row r="805" spans="9:9" x14ac:dyDescent="0.25">
      <c r="I805">
        <f t="shared" si="13"/>
        <v>1900</v>
      </c>
    </row>
    <row r="806" spans="9:9" x14ac:dyDescent="0.25">
      <c r="I806">
        <f t="shared" si="13"/>
        <v>1900</v>
      </c>
    </row>
    <row r="807" spans="9:9" x14ac:dyDescent="0.25">
      <c r="I807">
        <f t="shared" si="13"/>
        <v>1900</v>
      </c>
    </row>
    <row r="808" spans="9:9" x14ac:dyDescent="0.25">
      <c r="I808">
        <f t="shared" si="13"/>
        <v>1900</v>
      </c>
    </row>
    <row r="809" spans="9:9" x14ac:dyDescent="0.25">
      <c r="I809">
        <f t="shared" si="13"/>
        <v>1900</v>
      </c>
    </row>
    <row r="810" spans="9:9" x14ac:dyDescent="0.25">
      <c r="I810">
        <f t="shared" si="13"/>
        <v>1900</v>
      </c>
    </row>
    <row r="811" spans="9:9" x14ac:dyDescent="0.25">
      <c r="I811">
        <f t="shared" si="13"/>
        <v>1900</v>
      </c>
    </row>
    <row r="812" spans="9:9" x14ac:dyDescent="0.25">
      <c r="I812">
        <f t="shared" si="13"/>
        <v>1900</v>
      </c>
    </row>
    <row r="813" spans="9:9" x14ac:dyDescent="0.25">
      <c r="I813">
        <f t="shared" si="13"/>
        <v>1900</v>
      </c>
    </row>
    <row r="814" spans="9:9" x14ac:dyDescent="0.25">
      <c r="I814">
        <f t="shared" si="13"/>
        <v>1900</v>
      </c>
    </row>
    <row r="815" spans="9:9" x14ac:dyDescent="0.25">
      <c r="I815">
        <f t="shared" si="13"/>
        <v>1900</v>
      </c>
    </row>
    <row r="816" spans="9:9" x14ac:dyDescent="0.25">
      <c r="I816">
        <f t="shared" si="13"/>
        <v>1900</v>
      </c>
    </row>
    <row r="817" spans="9:9" x14ac:dyDescent="0.25">
      <c r="I817">
        <f t="shared" si="13"/>
        <v>1900</v>
      </c>
    </row>
    <row r="818" spans="9:9" x14ac:dyDescent="0.25">
      <c r="I818">
        <f t="shared" si="13"/>
        <v>1900</v>
      </c>
    </row>
    <row r="819" spans="9:9" x14ac:dyDescent="0.25">
      <c r="I819">
        <f t="shared" si="13"/>
        <v>1900</v>
      </c>
    </row>
    <row r="820" spans="9:9" x14ac:dyDescent="0.25">
      <c r="I820">
        <f t="shared" si="13"/>
        <v>1900</v>
      </c>
    </row>
    <row r="821" spans="9:9" x14ac:dyDescent="0.25">
      <c r="I821">
        <f t="shared" si="13"/>
        <v>1900</v>
      </c>
    </row>
    <row r="822" spans="9:9" x14ac:dyDescent="0.25">
      <c r="I822">
        <f t="shared" si="13"/>
        <v>1900</v>
      </c>
    </row>
    <row r="823" spans="9:9" x14ac:dyDescent="0.25">
      <c r="I823">
        <f t="shared" si="13"/>
        <v>1900</v>
      </c>
    </row>
    <row r="824" spans="9:9" x14ac:dyDescent="0.25">
      <c r="I824">
        <f t="shared" si="13"/>
        <v>1900</v>
      </c>
    </row>
    <row r="825" spans="9:9" x14ac:dyDescent="0.25">
      <c r="I825">
        <f t="shared" si="13"/>
        <v>1900</v>
      </c>
    </row>
    <row r="826" spans="9:9" x14ac:dyDescent="0.25">
      <c r="I826">
        <f t="shared" si="13"/>
        <v>1900</v>
      </c>
    </row>
    <row r="827" spans="9:9" x14ac:dyDescent="0.25">
      <c r="I827">
        <f t="shared" si="13"/>
        <v>1900</v>
      </c>
    </row>
    <row r="828" spans="9:9" x14ac:dyDescent="0.25">
      <c r="I828">
        <f t="shared" si="13"/>
        <v>1900</v>
      </c>
    </row>
    <row r="829" spans="9:9" x14ac:dyDescent="0.25">
      <c r="I829">
        <f t="shared" si="13"/>
        <v>1900</v>
      </c>
    </row>
    <row r="830" spans="9:9" x14ac:dyDescent="0.25">
      <c r="I830">
        <f t="shared" si="13"/>
        <v>1900</v>
      </c>
    </row>
    <row r="831" spans="9:9" x14ac:dyDescent="0.25">
      <c r="I831">
        <f t="shared" si="13"/>
        <v>1900</v>
      </c>
    </row>
    <row r="832" spans="9:9" x14ac:dyDescent="0.25">
      <c r="I832">
        <f t="shared" si="13"/>
        <v>1900</v>
      </c>
    </row>
    <row r="833" spans="9:9" x14ac:dyDescent="0.25">
      <c r="I833">
        <f t="shared" si="13"/>
        <v>1900</v>
      </c>
    </row>
    <row r="834" spans="9:9" x14ac:dyDescent="0.25">
      <c r="I834">
        <f t="shared" si="13"/>
        <v>1900</v>
      </c>
    </row>
    <row r="835" spans="9:9" x14ac:dyDescent="0.25">
      <c r="I835">
        <f t="shared" si="13"/>
        <v>1900</v>
      </c>
    </row>
    <row r="836" spans="9:9" x14ac:dyDescent="0.25">
      <c r="I836">
        <f t="shared" ref="I836:I899" si="14">IFERROR(YEAR(E836),"")</f>
        <v>1900</v>
      </c>
    </row>
    <row r="837" spans="9:9" x14ac:dyDescent="0.25">
      <c r="I837">
        <f t="shared" si="14"/>
        <v>1900</v>
      </c>
    </row>
    <row r="838" spans="9:9" x14ac:dyDescent="0.25">
      <c r="I838">
        <f t="shared" si="14"/>
        <v>1900</v>
      </c>
    </row>
    <row r="839" spans="9:9" x14ac:dyDescent="0.25">
      <c r="I839">
        <f t="shared" si="14"/>
        <v>1900</v>
      </c>
    </row>
    <row r="840" spans="9:9" x14ac:dyDescent="0.25">
      <c r="I840">
        <f t="shared" si="14"/>
        <v>1900</v>
      </c>
    </row>
    <row r="841" spans="9:9" x14ac:dyDescent="0.25">
      <c r="I841">
        <f t="shared" si="14"/>
        <v>1900</v>
      </c>
    </row>
    <row r="842" spans="9:9" x14ac:dyDescent="0.25">
      <c r="I842">
        <f t="shared" si="14"/>
        <v>1900</v>
      </c>
    </row>
    <row r="843" spans="9:9" x14ac:dyDescent="0.25">
      <c r="I843">
        <f t="shared" si="14"/>
        <v>1900</v>
      </c>
    </row>
    <row r="844" spans="9:9" x14ac:dyDescent="0.25">
      <c r="I844">
        <f t="shared" si="14"/>
        <v>1900</v>
      </c>
    </row>
    <row r="845" spans="9:9" x14ac:dyDescent="0.25">
      <c r="I845">
        <f t="shared" si="14"/>
        <v>1900</v>
      </c>
    </row>
    <row r="846" spans="9:9" x14ac:dyDescent="0.25">
      <c r="I846">
        <f t="shared" si="14"/>
        <v>1900</v>
      </c>
    </row>
    <row r="847" spans="9:9" x14ac:dyDescent="0.25">
      <c r="I847">
        <f t="shared" si="14"/>
        <v>1900</v>
      </c>
    </row>
    <row r="848" spans="9:9" x14ac:dyDescent="0.25">
      <c r="I848">
        <f t="shared" si="14"/>
        <v>1900</v>
      </c>
    </row>
    <row r="849" spans="9:9" x14ac:dyDescent="0.25">
      <c r="I849">
        <f t="shared" si="14"/>
        <v>1900</v>
      </c>
    </row>
    <row r="850" spans="9:9" x14ac:dyDescent="0.25">
      <c r="I850">
        <f t="shared" si="14"/>
        <v>1900</v>
      </c>
    </row>
    <row r="851" spans="9:9" x14ac:dyDescent="0.25">
      <c r="I851">
        <f t="shared" si="14"/>
        <v>1900</v>
      </c>
    </row>
    <row r="852" spans="9:9" x14ac:dyDescent="0.25">
      <c r="I852">
        <f t="shared" si="14"/>
        <v>1900</v>
      </c>
    </row>
    <row r="853" spans="9:9" x14ac:dyDescent="0.25">
      <c r="I853">
        <f t="shared" si="14"/>
        <v>1900</v>
      </c>
    </row>
    <row r="854" spans="9:9" x14ac:dyDescent="0.25">
      <c r="I854">
        <f t="shared" si="14"/>
        <v>1900</v>
      </c>
    </row>
    <row r="855" spans="9:9" x14ac:dyDescent="0.25">
      <c r="I855">
        <f t="shared" si="14"/>
        <v>1900</v>
      </c>
    </row>
    <row r="856" spans="9:9" x14ac:dyDescent="0.25">
      <c r="I856">
        <f t="shared" si="14"/>
        <v>1900</v>
      </c>
    </row>
    <row r="857" spans="9:9" x14ac:dyDescent="0.25">
      <c r="I857">
        <f t="shared" si="14"/>
        <v>1900</v>
      </c>
    </row>
    <row r="858" spans="9:9" x14ac:dyDescent="0.25">
      <c r="I858">
        <f t="shared" si="14"/>
        <v>1900</v>
      </c>
    </row>
    <row r="859" spans="9:9" x14ac:dyDescent="0.25">
      <c r="I859">
        <f t="shared" si="14"/>
        <v>1900</v>
      </c>
    </row>
    <row r="860" spans="9:9" x14ac:dyDescent="0.25">
      <c r="I860">
        <f t="shared" si="14"/>
        <v>1900</v>
      </c>
    </row>
    <row r="861" spans="9:9" x14ac:dyDescent="0.25">
      <c r="I861">
        <f t="shared" si="14"/>
        <v>1900</v>
      </c>
    </row>
    <row r="862" spans="9:9" x14ac:dyDescent="0.25">
      <c r="I862">
        <f t="shared" si="14"/>
        <v>1900</v>
      </c>
    </row>
    <row r="863" spans="9:9" x14ac:dyDescent="0.25">
      <c r="I863">
        <f t="shared" si="14"/>
        <v>1900</v>
      </c>
    </row>
    <row r="864" spans="9:9" x14ac:dyDescent="0.25">
      <c r="I864">
        <f t="shared" si="14"/>
        <v>1900</v>
      </c>
    </row>
    <row r="865" spans="9:9" x14ac:dyDescent="0.25">
      <c r="I865">
        <f t="shared" si="14"/>
        <v>1900</v>
      </c>
    </row>
    <row r="866" spans="9:9" x14ac:dyDescent="0.25">
      <c r="I866">
        <f t="shared" si="14"/>
        <v>1900</v>
      </c>
    </row>
    <row r="867" spans="9:9" x14ac:dyDescent="0.25">
      <c r="I867">
        <f t="shared" si="14"/>
        <v>1900</v>
      </c>
    </row>
    <row r="868" spans="9:9" x14ac:dyDescent="0.25">
      <c r="I868">
        <f t="shared" si="14"/>
        <v>1900</v>
      </c>
    </row>
    <row r="869" spans="9:9" x14ac:dyDescent="0.25">
      <c r="I869">
        <f t="shared" si="14"/>
        <v>1900</v>
      </c>
    </row>
    <row r="870" spans="9:9" x14ac:dyDescent="0.25">
      <c r="I870">
        <f t="shared" si="14"/>
        <v>1900</v>
      </c>
    </row>
    <row r="871" spans="9:9" x14ac:dyDescent="0.25">
      <c r="I871">
        <f t="shared" si="14"/>
        <v>1900</v>
      </c>
    </row>
    <row r="872" spans="9:9" x14ac:dyDescent="0.25">
      <c r="I872">
        <f t="shared" si="14"/>
        <v>1900</v>
      </c>
    </row>
    <row r="873" spans="9:9" x14ac:dyDescent="0.25">
      <c r="I873">
        <f t="shared" si="14"/>
        <v>1900</v>
      </c>
    </row>
    <row r="874" spans="9:9" x14ac:dyDescent="0.25">
      <c r="I874">
        <f t="shared" si="14"/>
        <v>1900</v>
      </c>
    </row>
    <row r="875" spans="9:9" x14ac:dyDescent="0.25">
      <c r="I875">
        <f t="shared" si="14"/>
        <v>1900</v>
      </c>
    </row>
    <row r="876" spans="9:9" x14ac:dyDescent="0.25">
      <c r="I876">
        <f t="shared" si="14"/>
        <v>1900</v>
      </c>
    </row>
    <row r="877" spans="9:9" x14ac:dyDescent="0.25">
      <c r="I877">
        <f t="shared" si="14"/>
        <v>1900</v>
      </c>
    </row>
    <row r="878" spans="9:9" x14ac:dyDescent="0.25">
      <c r="I878">
        <f t="shared" si="14"/>
        <v>1900</v>
      </c>
    </row>
    <row r="879" spans="9:9" x14ac:dyDescent="0.25">
      <c r="I879">
        <f t="shared" si="14"/>
        <v>1900</v>
      </c>
    </row>
    <row r="880" spans="9:9" x14ac:dyDescent="0.25">
      <c r="I880">
        <f t="shared" si="14"/>
        <v>1900</v>
      </c>
    </row>
    <row r="881" spans="9:9" x14ac:dyDescent="0.25">
      <c r="I881">
        <f t="shared" si="14"/>
        <v>1900</v>
      </c>
    </row>
    <row r="882" spans="9:9" x14ac:dyDescent="0.25">
      <c r="I882">
        <f t="shared" si="14"/>
        <v>1900</v>
      </c>
    </row>
    <row r="883" spans="9:9" x14ac:dyDescent="0.25">
      <c r="I883">
        <f t="shared" si="14"/>
        <v>1900</v>
      </c>
    </row>
    <row r="884" spans="9:9" x14ac:dyDescent="0.25">
      <c r="I884">
        <f t="shared" si="14"/>
        <v>1900</v>
      </c>
    </row>
    <row r="885" spans="9:9" x14ac:dyDescent="0.25">
      <c r="I885">
        <f t="shared" si="14"/>
        <v>1900</v>
      </c>
    </row>
    <row r="886" spans="9:9" x14ac:dyDescent="0.25">
      <c r="I886">
        <f t="shared" si="14"/>
        <v>1900</v>
      </c>
    </row>
    <row r="887" spans="9:9" x14ac:dyDescent="0.25">
      <c r="I887">
        <f t="shared" si="14"/>
        <v>1900</v>
      </c>
    </row>
    <row r="888" spans="9:9" x14ac:dyDescent="0.25">
      <c r="I888">
        <f t="shared" si="14"/>
        <v>1900</v>
      </c>
    </row>
    <row r="889" spans="9:9" x14ac:dyDescent="0.25">
      <c r="I889">
        <f t="shared" si="14"/>
        <v>1900</v>
      </c>
    </row>
    <row r="890" spans="9:9" x14ac:dyDescent="0.25">
      <c r="I890">
        <f t="shared" si="14"/>
        <v>1900</v>
      </c>
    </row>
    <row r="891" spans="9:9" x14ac:dyDescent="0.25">
      <c r="I891">
        <f t="shared" si="14"/>
        <v>1900</v>
      </c>
    </row>
    <row r="892" spans="9:9" x14ac:dyDescent="0.25">
      <c r="I892">
        <f t="shared" si="14"/>
        <v>1900</v>
      </c>
    </row>
    <row r="893" spans="9:9" x14ac:dyDescent="0.25">
      <c r="I893">
        <f t="shared" si="14"/>
        <v>1900</v>
      </c>
    </row>
    <row r="894" spans="9:9" x14ac:dyDescent="0.25">
      <c r="I894">
        <f t="shared" si="14"/>
        <v>1900</v>
      </c>
    </row>
    <row r="895" spans="9:9" x14ac:dyDescent="0.25">
      <c r="I895">
        <f t="shared" si="14"/>
        <v>1900</v>
      </c>
    </row>
    <row r="896" spans="9:9" x14ac:dyDescent="0.25">
      <c r="I896">
        <f t="shared" si="14"/>
        <v>1900</v>
      </c>
    </row>
    <row r="897" spans="9:9" x14ac:dyDescent="0.25">
      <c r="I897">
        <f t="shared" si="14"/>
        <v>1900</v>
      </c>
    </row>
    <row r="898" spans="9:9" x14ac:dyDescent="0.25">
      <c r="I898">
        <f t="shared" si="14"/>
        <v>1900</v>
      </c>
    </row>
    <row r="899" spans="9:9" x14ac:dyDescent="0.25">
      <c r="I899">
        <f t="shared" si="14"/>
        <v>1900</v>
      </c>
    </row>
    <row r="900" spans="9:9" x14ac:dyDescent="0.25">
      <c r="I900">
        <f t="shared" ref="I900:I963" si="15">IFERROR(YEAR(E900),"")</f>
        <v>1900</v>
      </c>
    </row>
    <row r="901" spans="9:9" x14ac:dyDescent="0.25">
      <c r="I901">
        <f t="shared" si="15"/>
        <v>1900</v>
      </c>
    </row>
    <row r="902" spans="9:9" x14ac:dyDescent="0.25">
      <c r="I902">
        <f t="shared" si="15"/>
        <v>1900</v>
      </c>
    </row>
    <row r="903" spans="9:9" x14ac:dyDescent="0.25">
      <c r="I903">
        <f t="shared" si="15"/>
        <v>1900</v>
      </c>
    </row>
    <row r="904" spans="9:9" x14ac:dyDescent="0.25">
      <c r="I904">
        <f t="shared" si="15"/>
        <v>1900</v>
      </c>
    </row>
    <row r="905" spans="9:9" x14ac:dyDescent="0.25">
      <c r="I905">
        <f t="shared" si="15"/>
        <v>1900</v>
      </c>
    </row>
    <row r="906" spans="9:9" x14ac:dyDescent="0.25">
      <c r="I906">
        <f t="shared" si="15"/>
        <v>1900</v>
      </c>
    </row>
    <row r="907" spans="9:9" x14ac:dyDescent="0.25">
      <c r="I907">
        <f t="shared" si="15"/>
        <v>1900</v>
      </c>
    </row>
    <row r="908" spans="9:9" x14ac:dyDescent="0.25">
      <c r="I908">
        <f t="shared" si="15"/>
        <v>1900</v>
      </c>
    </row>
    <row r="909" spans="9:9" x14ac:dyDescent="0.25">
      <c r="I909">
        <f t="shared" si="15"/>
        <v>1900</v>
      </c>
    </row>
    <row r="910" spans="9:9" x14ac:dyDescent="0.25">
      <c r="I910">
        <f t="shared" si="15"/>
        <v>1900</v>
      </c>
    </row>
    <row r="911" spans="9:9" x14ac:dyDescent="0.25">
      <c r="I911">
        <f t="shared" si="15"/>
        <v>1900</v>
      </c>
    </row>
    <row r="912" spans="9:9" x14ac:dyDescent="0.25">
      <c r="I912">
        <f t="shared" si="15"/>
        <v>1900</v>
      </c>
    </row>
    <row r="913" spans="9:9" x14ac:dyDescent="0.25">
      <c r="I913">
        <f t="shared" si="15"/>
        <v>1900</v>
      </c>
    </row>
    <row r="914" spans="9:9" x14ac:dyDescent="0.25">
      <c r="I914">
        <f t="shared" si="15"/>
        <v>1900</v>
      </c>
    </row>
    <row r="915" spans="9:9" x14ac:dyDescent="0.25">
      <c r="I915">
        <f t="shared" si="15"/>
        <v>1900</v>
      </c>
    </row>
    <row r="916" spans="9:9" x14ac:dyDescent="0.25">
      <c r="I916">
        <f t="shared" si="15"/>
        <v>1900</v>
      </c>
    </row>
    <row r="917" spans="9:9" x14ac:dyDescent="0.25">
      <c r="I917">
        <f t="shared" si="15"/>
        <v>1900</v>
      </c>
    </row>
    <row r="918" spans="9:9" x14ac:dyDescent="0.25">
      <c r="I918">
        <f t="shared" si="15"/>
        <v>1900</v>
      </c>
    </row>
    <row r="919" spans="9:9" x14ac:dyDescent="0.25">
      <c r="I919">
        <f t="shared" si="15"/>
        <v>1900</v>
      </c>
    </row>
    <row r="920" spans="9:9" x14ac:dyDescent="0.25">
      <c r="I920">
        <f t="shared" si="15"/>
        <v>1900</v>
      </c>
    </row>
    <row r="921" spans="9:9" x14ac:dyDescent="0.25">
      <c r="I921">
        <f t="shared" si="15"/>
        <v>1900</v>
      </c>
    </row>
    <row r="922" spans="9:9" x14ac:dyDescent="0.25">
      <c r="I922">
        <f t="shared" si="15"/>
        <v>1900</v>
      </c>
    </row>
    <row r="923" spans="9:9" x14ac:dyDescent="0.25">
      <c r="I923">
        <f t="shared" si="15"/>
        <v>1900</v>
      </c>
    </row>
    <row r="924" spans="9:9" x14ac:dyDescent="0.25">
      <c r="I924">
        <f t="shared" si="15"/>
        <v>1900</v>
      </c>
    </row>
    <row r="925" spans="9:9" x14ac:dyDescent="0.25">
      <c r="I925">
        <f t="shared" si="15"/>
        <v>1900</v>
      </c>
    </row>
    <row r="926" spans="9:9" x14ac:dyDescent="0.25">
      <c r="I926">
        <f t="shared" si="15"/>
        <v>1900</v>
      </c>
    </row>
    <row r="927" spans="9:9" x14ac:dyDescent="0.25">
      <c r="I927">
        <f t="shared" si="15"/>
        <v>1900</v>
      </c>
    </row>
    <row r="928" spans="9:9" x14ac:dyDescent="0.25">
      <c r="I928">
        <f t="shared" si="15"/>
        <v>1900</v>
      </c>
    </row>
    <row r="929" spans="9:9" x14ac:dyDescent="0.25">
      <c r="I929">
        <f t="shared" si="15"/>
        <v>1900</v>
      </c>
    </row>
    <row r="930" spans="9:9" x14ac:dyDescent="0.25">
      <c r="I930">
        <f t="shared" si="15"/>
        <v>1900</v>
      </c>
    </row>
    <row r="931" spans="9:9" x14ac:dyDescent="0.25">
      <c r="I931">
        <f t="shared" si="15"/>
        <v>1900</v>
      </c>
    </row>
    <row r="932" spans="9:9" x14ac:dyDescent="0.25">
      <c r="I932">
        <f t="shared" si="15"/>
        <v>1900</v>
      </c>
    </row>
    <row r="933" spans="9:9" x14ac:dyDescent="0.25">
      <c r="I933">
        <f t="shared" si="15"/>
        <v>1900</v>
      </c>
    </row>
    <row r="934" spans="9:9" x14ac:dyDescent="0.25">
      <c r="I934">
        <f t="shared" si="15"/>
        <v>1900</v>
      </c>
    </row>
    <row r="935" spans="9:9" x14ac:dyDescent="0.25">
      <c r="I935">
        <f t="shared" si="15"/>
        <v>1900</v>
      </c>
    </row>
    <row r="936" spans="9:9" x14ac:dyDescent="0.25">
      <c r="I936">
        <f t="shared" si="15"/>
        <v>1900</v>
      </c>
    </row>
    <row r="937" spans="9:9" x14ac:dyDescent="0.25">
      <c r="I937">
        <f t="shared" si="15"/>
        <v>1900</v>
      </c>
    </row>
    <row r="938" spans="9:9" x14ac:dyDescent="0.25">
      <c r="I938">
        <f t="shared" si="15"/>
        <v>1900</v>
      </c>
    </row>
    <row r="939" spans="9:9" x14ac:dyDescent="0.25">
      <c r="I939">
        <f t="shared" si="15"/>
        <v>1900</v>
      </c>
    </row>
    <row r="940" spans="9:9" x14ac:dyDescent="0.25">
      <c r="I940">
        <f t="shared" si="15"/>
        <v>1900</v>
      </c>
    </row>
    <row r="941" spans="9:9" x14ac:dyDescent="0.25">
      <c r="I941">
        <f t="shared" si="15"/>
        <v>1900</v>
      </c>
    </row>
    <row r="942" spans="9:9" x14ac:dyDescent="0.25">
      <c r="I942">
        <f t="shared" si="15"/>
        <v>1900</v>
      </c>
    </row>
    <row r="943" spans="9:9" x14ac:dyDescent="0.25">
      <c r="I943">
        <f t="shared" si="15"/>
        <v>1900</v>
      </c>
    </row>
    <row r="944" spans="9:9" x14ac:dyDescent="0.25">
      <c r="I944">
        <f t="shared" si="15"/>
        <v>1900</v>
      </c>
    </row>
    <row r="945" spans="9:9" x14ac:dyDescent="0.25">
      <c r="I945">
        <f t="shared" si="15"/>
        <v>1900</v>
      </c>
    </row>
    <row r="946" spans="9:9" x14ac:dyDescent="0.25">
      <c r="I946">
        <f t="shared" si="15"/>
        <v>1900</v>
      </c>
    </row>
    <row r="947" spans="9:9" x14ac:dyDescent="0.25">
      <c r="I947">
        <f t="shared" si="15"/>
        <v>1900</v>
      </c>
    </row>
    <row r="948" spans="9:9" x14ac:dyDescent="0.25">
      <c r="I948">
        <f t="shared" si="15"/>
        <v>1900</v>
      </c>
    </row>
    <row r="949" spans="9:9" x14ac:dyDescent="0.25">
      <c r="I949">
        <f t="shared" si="15"/>
        <v>1900</v>
      </c>
    </row>
    <row r="950" spans="9:9" x14ac:dyDescent="0.25">
      <c r="I950">
        <f t="shared" si="15"/>
        <v>1900</v>
      </c>
    </row>
    <row r="951" spans="9:9" x14ac:dyDescent="0.25">
      <c r="I951">
        <f t="shared" si="15"/>
        <v>1900</v>
      </c>
    </row>
    <row r="952" spans="9:9" x14ac:dyDescent="0.25">
      <c r="I952">
        <f t="shared" si="15"/>
        <v>1900</v>
      </c>
    </row>
    <row r="953" spans="9:9" x14ac:dyDescent="0.25">
      <c r="I953">
        <f t="shared" si="15"/>
        <v>1900</v>
      </c>
    </row>
    <row r="954" spans="9:9" x14ac:dyDescent="0.25">
      <c r="I954">
        <f t="shared" si="15"/>
        <v>1900</v>
      </c>
    </row>
    <row r="955" spans="9:9" x14ac:dyDescent="0.25">
      <c r="I955">
        <f t="shared" si="15"/>
        <v>1900</v>
      </c>
    </row>
    <row r="956" spans="9:9" x14ac:dyDescent="0.25">
      <c r="I956">
        <f t="shared" si="15"/>
        <v>1900</v>
      </c>
    </row>
    <row r="957" spans="9:9" x14ac:dyDescent="0.25">
      <c r="I957">
        <f t="shared" si="15"/>
        <v>1900</v>
      </c>
    </row>
    <row r="958" spans="9:9" x14ac:dyDescent="0.25">
      <c r="I958">
        <f t="shared" si="15"/>
        <v>1900</v>
      </c>
    </row>
    <row r="959" spans="9:9" x14ac:dyDescent="0.25">
      <c r="I959">
        <f t="shared" si="15"/>
        <v>1900</v>
      </c>
    </row>
    <row r="960" spans="9:9" x14ac:dyDescent="0.25">
      <c r="I960">
        <f t="shared" si="15"/>
        <v>1900</v>
      </c>
    </row>
    <row r="961" spans="9:9" x14ac:dyDescent="0.25">
      <c r="I961">
        <f t="shared" si="15"/>
        <v>1900</v>
      </c>
    </row>
    <row r="962" spans="9:9" x14ac:dyDescent="0.25">
      <c r="I962">
        <f t="shared" si="15"/>
        <v>1900</v>
      </c>
    </row>
    <row r="963" spans="9:9" x14ac:dyDescent="0.25">
      <c r="I963">
        <f t="shared" si="15"/>
        <v>1900</v>
      </c>
    </row>
    <row r="964" spans="9:9" x14ac:dyDescent="0.25">
      <c r="I964">
        <f t="shared" ref="I964:I1027" si="16">IFERROR(YEAR(E964),"")</f>
        <v>1900</v>
      </c>
    </row>
    <row r="965" spans="9:9" x14ac:dyDescent="0.25">
      <c r="I965">
        <f t="shared" si="16"/>
        <v>1900</v>
      </c>
    </row>
    <row r="966" spans="9:9" x14ac:dyDescent="0.25">
      <c r="I966">
        <f t="shared" si="16"/>
        <v>1900</v>
      </c>
    </row>
    <row r="967" spans="9:9" x14ac:dyDescent="0.25">
      <c r="I967">
        <f t="shared" si="16"/>
        <v>1900</v>
      </c>
    </row>
    <row r="968" spans="9:9" x14ac:dyDescent="0.25">
      <c r="I968">
        <f t="shared" si="16"/>
        <v>1900</v>
      </c>
    </row>
    <row r="969" spans="9:9" x14ac:dyDescent="0.25">
      <c r="I969">
        <f t="shared" si="16"/>
        <v>1900</v>
      </c>
    </row>
    <row r="970" spans="9:9" x14ac:dyDescent="0.25">
      <c r="I970">
        <f t="shared" si="16"/>
        <v>1900</v>
      </c>
    </row>
    <row r="971" spans="9:9" x14ac:dyDescent="0.25">
      <c r="I971">
        <f t="shared" si="16"/>
        <v>1900</v>
      </c>
    </row>
    <row r="972" spans="9:9" x14ac:dyDescent="0.25">
      <c r="I972">
        <f t="shared" si="16"/>
        <v>1900</v>
      </c>
    </row>
    <row r="973" spans="9:9" x14ac:dyDescent="0.25">
      <c r="I973">
        <f t="shared" si="16"/>
        <v>1900</v>
      </c>
    </row>
    <row r="974" spans="9:9" x14ac:dyDescent="0.25">
      <c r="I974">
        <f t="shared" si="16"/>
        <v>1900</v>
      </c>
    </row>
    <row r="975" spans="9:9" x14ac:dyDescent="0.25">
      <c r="I975">
        <f t="shared" si="16"/>
        <v>1900</v>
      </c>
    </row>
    <row r="976" spans="9:9" x14ac:dyDescent="0.25">
      <c r="I976">
        <f t="shared" si="16"/>
        <v>1900</v>
      </c>
    </row>
    <row r="977" spans="9:9" x14ac:dyDescent="0.25">
      <c r="I977">
        <f t="shared" si="16"/>
        <v>1900</v>
      </c>
    </row>
    <row r="978" spans="9:9" x14ac:dyDescent="0.25">
      <c r="I978">
        <f t="shared" si="16"/>
        <v>1900</v>
      </c>
    </row>
    <row r="979" spans="9:9" x14ac:dyDescent="0.25">
      <c r="I979">
        <f t="shared" si="16"/>
        <v>1900</v>
      </c>
    </row>
    <row r="980" spans="9:9" x14ac:dyDescent="0.25">
      <c r="I980">
        <f t="shared" si="16"/>
        <v>1900</v>
      </c>
    </row>
    <row r="981" spans="9:9" x14ac:dyDescent="0.25">
      <c r="I981">
        <f t="shared" si="16"/>
        <v>1900</v>
      </c>
    </row>
    <row r="982" spans="9:9" x14ac:dyDescent="0.25">
      <c r="I982">
        <f t="shared" si="16"/>
        <v>1900</v>
      </c>
    </row>
    <row r="983" spans="9:9" x14ac:dyDescent="0.25">
      <c r="I983">
        <f t="shared" si="16"/>
        <v>1900</v>
      </c>
    </row>
    <row r="984" spans="9:9" x14ac:dyDescent="0.25">
      <c r="I984">
        <f t="shared" si="16"/>
        <v>1900</v>
      </c>
    </row>
    <row r="985" spans="9:9" x14ac:dyDescent="0.25">
      <c r="I985">
        <f t="shared" si="16"/>
        <v>1900</v>
      </c>
    </row>
    <row r="986" spans="9:9" x14ac:dyDescent="0.25">
      <c r="I986">
        <f t="shared" si="16"/>
        <v>1900</v>
      </c>
    </row>
    <row r="987" spans="9:9" x14ac:dyDescent="0.25">
      <c r="I987">
        <f t="shared" si="16"/>
        <v>1900</v>
      </c>
    </row>
    <row r="988" spans="9:9" x14ac:dyDescent="0.25">
      <c r="I988">
        <f t="shared" si="16"/>
        <v>1900</v>
      </c>
    </row>
    <row r="989" spans="9:9" x14ac:dyDescent="0.25">
      <c r="I989">
        <f t="shared" si="16"/>
        <v>1900</v>
      </c>
    </row>
    <row r="990" spans="9:9" x14ac:dyDescent="0.25">
      <c r="I990">
        <f t="shared" si="16"/>
        <v>1900</v>
      </c>
    </row>
    <row r="991" spans="9:9" x14ac:dyDescent="0.25">
      <c r="I991">
        <f t="shared" si="16"/>
        <v>1900</v>
      </c>
    </row>
    <row r="992" spans="9:9" x14ac:dyDescent="0.25">
      <c r="I992">
        <f t="shared" si="16"/>
        <v>1900</v>
      </c>
    </row>
    <row r="993" spans="9:9" x14ac:dyDescent="0.25">
      <c r="I993">
        <f t="shared" si="16"/>
        <v>1900</v>
      </c>
    </row>
    <row r="994" spans="9:9" x14ac:dyDescent="0.25">
      <c r="I994">
        <f t="shared" si="16"/>
        <v>1900</v>
      </c>
    </row>
    <row r="995" spans="9:9" x14ac:dyDescent="0.25">
      <c r="I995">
        <f t="shared" si="16"/>
        <v>1900</v>
      </c>
    </row>
    <row r="996" spans="9:9" x14ac:dyDescent="0.25">
      <c r="I996">
        <f t="shared" si="16"/>
        <v>1900</v>
      </c>
    </row>
    <row r="997" spans="9:9" x14ac:dyDescent="0.25">
      <c r="I997">
        <f t="shared" si="16"/>
        <v>1900</v>
      </c>
    </row>
    <row r="998" spans="9:9" x14ac:dyDescent="0.25">
      <c r="I998">
        <f t="shared" si="16"/>
        <v>1900</v>
      </c>
    </row>
    <row r="999" spans="9:9" x14ac:dyDescent="0.25">
      <c r="I999">
        <f t="shared" si="16"/>
        <v>1900</v>
      </c>
    </row>
    <row r="1000" spans="9:9" x14ac:dyDescent="0.25">
      <c r="I1000">
        <f t="shared" si="16"/>
        <v>1900</v>
      </c>
    </row>
    <row r="1001" spans="9:9" x14ac:dyDescent="0.25">
      <c r="I1001">
        <f t="shared" si="16"/>
        <v>1900</v>
      </c>
    </row>
    <row r="1002" spans="9:9" x14ac:dyDescent="0.25">
      <c r="I1002">
        <f t="shared" si="16"/>
        <v>1900</v>
      </c>
    </row>
    <row r="1003" spans="9:9" x14ac:dyDescent="0.25">
      <c r="I1003">
        <f t="shared" si="16"/>
        <v>1900</v>
      </c>
    </row>
    <row r="1004" spans="9:9" x14ac:dyDescent="0.25">
      <c r="I1004">
        <f t="shared" si="16"/>
        <v>1900</v>
      </c>
    </row>
    <row r="1005" spans="9:9" x14ac:dyDescent="0.25">
      <c r="I1005">
        <f t="shared" si="16"/>
        <v>1900</v>
      </c>
    </row>
    <row r="1006" spans="9:9" x14ac:dyDescent="0.25">
      <c r="I1006">
        <f t="shared" si="16"/>
        <v>1900</v>
      </c>
    </row>
    <row r="1007" spans="9:9" x14ac:dyDescent="0.25">
      <c r="I1007">
        <f t="shared" si="16"/>
        <v>1900</v>
      </c>
    </row>
    <row r="1008" spans="9:9" x14ac:dyDescent="0.25">
      <c r="I1008">
        <f t="shared" si="16"/>
        <v>1900</v>
      </c>
    </row>
    <row r="1009" spans="9:9" x14ac:dyDescent="0.25">
      <c r="I1009">
        <f t="shared" si="16"/>
        <v>1900</v>
      </c>
    </row>
    <row r="1010" spans="9:9" x14ac:dyDescent="0.25">
      <c r="I1010">
        <f t="shared" si="16"/>
        <v>1900</v>
      </c>
    </row>
    <row r="1011" spans="9:9" x14ac:dyDescent="0.25">
      <c r="I1011">
        <f t="shared" si="16"/>
        <v>1900</v>
      </c>
    </row>
    <row r="1012" spans="9:9" x14ac:dyDescent="0.25">
      <c r="I1012">
        <f t="shared" si="16"/>
        <v>1900</v>
      </c>
    </row>
    <row r="1013" spans="9:9" x14ac:dyDescent="0.25">
      <c r="I1013">
        <f t="shared" si="16"/>
        <v>1900</v>
      </c>
    </row>
    <row r="1014" spans="9:9" x14ac:dyDescent="0.25">
      <c r="I1014">
        <f t="shared" si="16"/>
        <v>1900</v>
      </c>
    </row>
    <row r="1015" spans="9:9" x14ac:dyDescent="0.25">
      <c r="I1015">
        <f t="shared" si="16"/>
        <v>1900</v>
      </c>
    </row>
    <row r="1016" spans="9:9" x14ac:dyDescent="0.25">
      <c r="I1016">
        <f t="shared" si="16"/>
        <v>1900</v>
      </c>
    </row>
    <row r="1017" spans="9:9" x14ac:dyDescent="0.25">
      <c r="I1017">
        <f t="shared" si="16"/>
        <v>1900</v>
      </c>
    </row>
    <row r="1018" spans="9:9" x14ac:dyDescent="0.25">
      <c r="I1018">
        <f t="shared" si="16"/>
        <v>1900</v>
      </c>
    </row>
    <row r="1019" spans="9:9" x14ac:dyDescent="0.25">
      <c r="I1019">
        <f t="shared" si="16"/>
        <v>1900</v>
      </c>
    </row>
    <row r="1020" spans="9:9" x14ac:dyDescent="0.25">
      <c r="I1020">
        <f t="shared" si="16"/>
        <v>1900</v>
      </c>
    </row>
    <row r="1021" spans="9:9" x14ac:dyDescent="0.25">
      <c r="I1021">
        <f t="shared" si="16"/>
        <v>1900</v>
      </c>
    </row>
    <row r="1022" spans="9:9" x14ac:dyDescent="0.25">
      <c r="I1022">
        <f t="shared" si="16"/>
        <v>1900</v>
      </c>
    </row>
    <row r="1023" spans="9:9" x14ac:dyDescent="0.25">
      <c r="I1023">
        <f t="shared" si="16"/>
        <v>1900</v>
      </c>
    </row>
    <row r="1024" spans="9:9" x14ac:dyDescent="0.25">
      <c r="I1024">
        <f t="shared" si="16"/>
        <v>1900</v>
      </c>
    </row>
    <row r="1025" spans="9:9" x14ac:dyDescent="0.25">
      <c r="I1025">
        <f t="shared" si="16"/>
        <v>1900</v>
      </c>
    </row>
    <row r="1026" spans="9:9" x14ac:dyDescent="0.25">
      <c r="I1026">
        <f t="shared" si="16"/>
        <v>1900</v>
      </c>
    </row>
    <row r="1027" spans="9:9" x14ac:dyDescent="0.25">
      <c r="I1027">
        <f t="shared" si="16"/>
        <v>1900</v>
      </c>
    </row>
    <row r="1028" spans="9:9" x14ac:dyDescent="0.25">
      <c r="I1028">
        <f t="shared" ref="I1028:I1091" si="17">IFERROR(YEAR(E1028),"")</f>
        <v>1900</v>
      </c>
    </row>
    <row r="1029" spans="9:9" x14ac:dyDescent="0.25">
      <c r="I1029">
        <f t="shared" si="17"/>
        <v>1900</v>
      </c>
    </row>
    <row r="1030" spans="9:9" x14ac:dyDescent="0.25">
      <c r="I1030">
        <f t="shared" si="17"/>
        <v>1900</v>
      </c>
    </row>
    <row r="1031" spans="9:9" x14ac:dyDescent="0.25">
      <c r="I1031">
        <f t="shared" si="17"/>
        <v>1900</v>
      </c>
    </row>
    <row r="1032" spans="9:9" x14ac:dyDescent="0.25">
      <c r="I1032">
        <f t="shared" si="17"/>
        <v>1900</v>
      </c>
    </row>
    <row r="1033" spans="9:9" x14ac:dyDescent="0.25">
      <c r="I1033">
        <f t="shared" si="17"/>
        <v>1900</v>
      </c>
    </row>
    <row r="1034" spans="9:9" x14ac:dyDescent="0.25">
      <c r="I1034">
        <f t="shared" si="17"/>
        <v>1900</v>
      </c>
    </row>
    <row r="1035" spans="9:9" x14ac:dyDescent="0.25">
      <c r="I1035">
        <f t="shared" si="17"/>
        <v>1900</v>
      </c>
    </row>
    <row r="1036" spans="9:9" x14ac:dyDescent="0.25">
      <c r="I1036">
        <f t="shared" si="17"/>
        <v>1900</v>
      </c>
    </row>
    <row r="1037" spans="9:9" x14ac:dyDescent="0.25">
      <c r="I1037">
        <f t="shared" si="17"/>
        <v>1900</v>
      </c>
    </row>
    <row r="1038" spans="9:9" x14ac:dyDescent="0.25">
      <c r="I1038">
        <f t="shared" si="17"/>
        <v>1900</v>
      </c>
    </row>
    <row r="1039" spans="9:9" x14ac:dyDescent="0.25">
      <c r="I1039">
        <f t="shared" si="17"/>
        <v>1900</v>
      </c>
    </row>
    <row r="1040" spans="9:9" x14ac:dyDescent="0.25">
      <c r="I1040">
        <f t="shared" si="17"/>
        <v>1900</v>
      </c>
    </row>
    <row r="1041" spans="9:9" x14ac:dyDescent="0.25">
      <c r="I1041">
        <f t="shared" si="17"/>
        <v>1900</v>
      </c>
    </row>
    <row r="1042" spans="9:9" x14ac:dyDescent="0.25">
      <c r="I1042">
        <f t="shared" si="17"/>
        <v>1900</v>
      </c>
    </row>
    <row r="1043" spans="9:9" x14ac:dyDescent="0.25">
      <c r="I1043">
        <f t="shared" si="17"/>
        <v>1900</v>
      </c>
    </row>
    <row r="1044" spans="9:9" x14ac:dyDescent="0.25">
      <c r="I1044">
        <f t="shared" si="17"/>
        <v>1900</v>
      </c>
    </row>
    <row r="1045" spans="9:9" x14ac:dyDescent="0.25">
      <c r="I1045">
        <f t="shared" si="17"/>
        <v>1900</v>
      </c>
    </row>
    <row r="1046" spans="9:9" x14ac:dyDescent="0.25">
      <c r="I1046">
        <f t="shared" si="17"/>
        <v>1900</v>
      </c>
    </row>
    <row r="1047" spans="9:9" x14ac:dyDescent="0.25">
      <c r="I1047">
        <f t="shared" si="17"/>
        <v>1900</v>
      </c>
    </row>
    <row r="1048" spans="9:9" x14ac:dyDescent="0.25">
      <c r="I1048">
        <f t="shared" si="17"/>
        <v>1900</v>
      </c>
    </row>
    <row r="1049" spans="9:9" x14ac:dyDescent="0.25">
      <c r="I1049">
        <f t="shared" si="17"/>
        <v>1900</v>
      </c>
    </row>
    <row r="1050" spans="9:9" x14ac:dyDescent="0.25">
      <c r="I1050">
        <f t="shared" si="17"/>
        <v>1900</v>
      </c>
    </row>
    <row r="1051" spans="9:9" x14ac:dyDescent="0.25">
      <c r="I1051">
        <f t="shared" si="17"/>
        <v>1900</v>
      </c>
    </row>
    <row r="1052" spans="9:9" x14ac:dyDescent="0.25">
      <c r="I1052">
        <f t="shared" si="17"/>
        <v>1900</v>
      </c>
    </row>
    <row r="1053" spans="9:9" x14ac:dyDescent="0.25">
      <c r="I1053">
        <f t="shared" si="17"/>
        <v>1900</v>
      </c>
    </row>
    <row r="1054" spans="9:9" x14ac:dyDescent="0.25">
      <c r="I1054">
        <f t="shared" si="17"/>
        <v>1900</v>
      </c>
    </row>
    <row r="1055" spans="9:9" x14ac:dyDescent="0.25">
      <c r="I1055">
        <f t="shared" si="17"/>
        <v>1900</v>
      </c>
    </row>
    <row r="1056" spans="9:9" x14ac:dyDescent="0.25">
      <c r="I1056">
        <f t="shared" si="17"/>
        <v>1900</v>
      </c>
    </row>
    <row r="1057" spans="9:9" x14ac:dyDescent="0.25">
      <c r="I1057">
        <f t="shared" si="17"/>
        <v>1900</v>
      </c>
    </row>
    <row r="1058" spans="9:9" x14ac:dyDescent="0.25">
      <c r="I1058">
        <f t="shared" si="17"/>
        <v>1900</v>
      </c>
    </row>
    <row r="1059" spans="9:9" x14ac:dyDescent="0.25">
      <c r="I1059">
        <f t="shared" si="17"/>
        <v>1900</v>
      </c>
    </row>
    <row r="1060" spans="9:9" x14ac:dyDescent="0.25">
      <c r="I1060">
        <f t="shared" si="17"/>
        <v>1900</v>
      </c>
    </row>
    <row r="1061" spans="9:9" x14ac:dyDescent="0.25">
      <c r="I1061">
        <f t="shared" si="17"/>
        <v>1900</v>
      </c>
    </row>
    <row r="1062" spans="9:9" x14ac:dyDescent="0.25">
      <c r="I1062">
        <f t="shared" si="17"/>
        <v>1900</v>
      </c>
    </row>
    <row r="1063" spans="9:9" x14ac:dyDescent="0.25">
      <c r="I1063">
        <f t="shared" si="17"/>
        <v>1900</v>
      </c>
    </row>
    <row r="1064" spans="9:9" x14ac:dyDescent="0.25">
      <c r="I1064">
        <f t="shared" si="17"/>
        <v>1900</v>
      </c>
    </row>
    <row r="1065" spans="9:9" x14ac:dyDescent="0.25">
      <c r="I1065">
        <f t="shared" si="17"/>
        <v>1900</v>
      </c>
    </row>
    <row r="1066" spans="9:9" x14ac:dyDescent="0.25">
      <c r="I1066">
        <f t="shared" si="17"/>
        <v>1900</v>
      </c>
    </row>
    <row r="1067" spans="9:9" x14ac:dyDescent="0.25">
      <c r="I1067">
        <f t="shared" si="17"/>
        <v>1900</v>
      </c>
    </row>
    <row r="1068" spans="9:9" x14ac:dyDescent="0.25">
      <c r="I1068">
        <f t="shared" si="17"/>
        <v>1900</v>
      </c>
    </row>
    <row r="1069" spans="9:9" x14ac:dyDescent="0.25">
      <c r="I1069">
        <f t="shared" si="17"/>
        <v>1900</v>
      </c>
    </row>
    <row r="1070" spans="9:9" x14ac:dyDescent="0.25">
      <c r="I1070">
        <f t="shared" si="17"/>
        <v>1900</v>
      </c>
    </row>
    <row r="1071" spans="9:9" x14ac:dyDescent="0.25">
      <c r="I1071">
        <f t="shared" si="17"/>
        <v>1900</v>
      </c>
    </row>
    <row r="1072" spans="9:9" x14ac:dyDescent="0.25">
      <c r="I1072">
        <f t="shared" si="17"/>
        <v>1900</v>
      </c>
    </row>
    <row r="1073" spans="9:9" x14ac:dyDescent="0.25">
      <c r="I1073">
        <f t="shared" si="17"/>
        <v>1900</v>
      </c>
    </row>
    <row r="1074" spans="9:9" x14ac:dyDescent="0.25">
      <c r="I1074">
        <f t="shared" si="17"/>
        <v>1900</v>
      </c>
    </row>
    <row r="1075" spans="9:9" x14ac:dyDescent="0.25">
      <c r="I1075">
        <f t="shared" si="17"/>
        <v>1900</v>
      </c>
    </row>
    <row r="1076" spans="9:9" x14ac:dyDescent="0.25">
      <c r="I1076">
        <f t="shared" si="17"/>
        <v>1900</v>
      </c>
    </row>
    <row r="1077" spans="9:9" x14ac:dyDescent="0.25">
      <c r="I1077">
        <f t="shared" si="17"/>
        <v>1900</v>
      </c>
    </row>
    <row r="1078" spans="9:9" x14ac:dyDescent="0.25">
      <c r="I1078">
        <f t="shared" si="17"/>
        <v>1900</v>
      </c>
    </row>
    <row r="1079" spans="9:9" x14ac:dyDescent="0.25">
      <c r="I1079">
        <f t="shared" si="17"/>
        <v>1900</v>
      </c>
    </row>
    <row r="1080" spans="9:9" x14ac:dyDescent="0.25">
      <c r="I1080">
        <f t="shared" si="17"/>
        <v>1900</v>
      </c>
    </row>
    <row r="1081" spans="9:9" x14ac:dyDescent="0.25">
      <c r="I1081">
        <f t="shared" si="17"/>
        <v>1900</v>
      </c>
    </row>
    <row r="1082" spans="9:9" x14ac:dyDescent="0.25">
      <c r="I1082">
        <f t="shared" si="17"/>
        <v>1900</v>
      </c>
    </row>
    <row r="1083" spans="9:9" x14ac:dyDescent="0.25">
      <c r="I1083">
        <f t="shared" si="17"/>
        <v>1900</v>
      </c>
    </row>
    <row r="1084" spans="9:9" x14ac:dyDescent="0.25">
      <c r="I1084">
        <f t="shared" si="17"/>
        <v>1900</v>
      </c>
    </row>
    <row r="1085" spans="9:9" x14ac:dyDescent="0.25">
      <c r="I1085">
        <f t="shared" si="17"/>
        <v>1900</v>
      </c>
    </row>
    <row r="1086" spans="9:9" x14ac:dyDescent="0.25">
      <c r="I1086">
        <f t="shared" si="17"/>
        <v>1900</v>
      </c>
    </row>
    <row r="1087" spans="9:9" x14ac:dyDescent="0.25">
      <c r="I1087">
        <f t="shared" si="17"/>
        <v>1900</v>
      </c>
    </row>
    <row r="1088" spans="9:9" x14ac:dyDescent="0.25">
      <c r="I1088">
        <f t="shared" si="17"/>
        <v>1900</v>
      </c>
    </row>
    <row r="1089" spans="9:9" x14ac:dyDescent="0.25">
      <c r="I1089">
        <f t="shared" si="17"/>
        <v>1900</v>
      </c>
    </row>
    <row r="1090" spans="9:9" x14ac:dyDescent="0.25">
      <c r="I1090">
        <f t="shared" si="17"/>
        <v>1900</v>
      </c>
    </row>
    <row r="1091" spans="9:9" x14ac:dyDescent="0.25">
      <c r="I1091">
        <f t="shared" si="17"/>
        <v>1900</v>
      </c>
    </row>
    <row r="1092" spans="9:9" x14ac:dyDescent="0.25">
      <c r="I1092">
        <f t="shared" ref="I1092:I1155" si="18">IFERROR(YEAR(E1092),"")</f>
        <v>1900</v>
      </c>
    </row>
    <row r="1093" spans="9:9" x14ac:dyDescent="0.25">
      <c r="I1093">
        <f t="shared" si="18"/>
        <v>1900</v>
      </c>
    </row>
    <row r="1094" spans="9:9" x14ac:dyDescent="0.25">
      <c r="I1094">
        <f t="shared" si="18"/>
        <v>1900</v>
      </c>
    </row>
    <row r="1095" spans="9:9" x14ac:dyDescent="0.25">
      <c r="I1095">
        <f t="shared" si="18"/>
        <v>1900</v>
      </c>
    </row>
    <row r="1096" spans="9:9" x14ac:dyDescent="0.25">
      <c r="I1096">
        <f t="shared" si="18"/>
        <v>1900</v>
      </c>
    </row>
    <row r="1097" spans="9:9" x14ac:dyDescent="0.25">
      <c r="I1097">
        <f t="shared" si="18"/>
        <v>1900</v>
      </c>
    </row>
    <row r="1098" spans="9:9" x14ac:dyDescent="0.25">
      <c r="I1098">
        <f t="shared" si="18"/>
        <v>1900</v>
      </c>
    </row>
    <row r="1099" spans="9:9" x14ac:dyDescent="0.25">
      <c r="I1099">
        <f t="shared" si="18"/>
        <v>1900</v>
      </c>
    </row>
    <row r="1100" spans="9:9" x14ac:dyDescent="0.25">
      <c r="I1100">
        <f t="shared" si="18"/>
        <v>1900</v>
      </c>
    </row>
    <row r="1101" spans="9:9" x14ac:dyDescent="0.25">
      <c r="I1101">
        <f t="shared" si="18"/>
        <v>1900</v>
      </c>
    </row>
    <row r="1102" spans="9:9" x14ac:dyDescent="0.25">
      <c r="I1102">
        <f t="shared" si="18"/>
        <v>1900</v>
      </c>
    </row>
    <row r="1103" spans="9:9" x14ac:dyDescent="0.25">
      <c r="I1103">
        <f t="shared" si="18"/>
        <v>1900</v>
      </c>
    </row>
    <row r="1104" spans="9:9" x14ac:dyDescent="0.25">
      <c r="I1104">
        <f t="shared" si="18"/>
        <v>1900</v>
      </c>
    </row>
    <row r="1105" spans="9:9" x14ac:dyDescent="0.25">
      <c r="I1105">
        <f t="shared" si="18"/>
        <v>1900</v>
      </c>
    </row>
    <row r="1106" spans="9:9" x14ac:dyDescent="0.25">
      <c r="I1106">
        <f t="shared" si="18"/>
        <v>1900</v>
      </c>
    </row>
    <row r="1107" spans="9:9" x14ac:dyDescent="0.25">
      <c r="I1107">
        <f t="shared" si="18"/>
        <v>1900</v>
      </c>
    </row>
    <row r="1108" spans="9:9" x14ac:dyDescent="0.25">
      <c r="I1108">
        <f t="shared" si="18"/>
        <v>1900</v>
      </c>
    </row>
    <row r="1109" spans="9:9" x14ac:dyDescent="0.25">
      <c r="I1109">
        <f t="shared" si="18"/>
        <v>1900</v>
      </c>
    </row>
    <row r="1110" spans="9:9" x14ac:dyDescent="0.25">
      <c r="I1110">
        <f t="shared" si="18"/>
        <v>1900</v>
      </c>
    </row>
    <row r="1111" spans="9:9" x14ac:dyDescent="0.25">
      <c r="I1111">
        <f t="shared" si="18"/>
        <v>1900</v>
      </c>
    </row>
    <row r="1112" spans="9:9" x14ac:dyDescent="0.25">
      <c r="I1112">
        <f t="shared" si="18"/>
        <v>1900</v>
      </c>
    </row>
    <row r="1113" spans="9:9" x14ac:dyDescent="0.25">
      <c r="I1113">
        <f t="shared" si="18"/>
        <v>1900</v>
      </c>
    </row>
    <row r="1114" spans="9:9" x14ac:dyDescent="0.25">
      <c r="I1114">
        <f t="shared" si="18"/>
        <v>1900</v>
      </c>
    </row>
    <row r="1115" spans="9:9" x14ac:dyDescent="0.25">
      <c r="I1115">
        <f t="shared" si="18"/>
        <v>1900</v>
      </c>
    </row>
    <row r="1116" spans="9:9" x14ac:dyDescent="0.25">
      <c r="I1116">
        <f t="shared" si="18"/>
        <v>1900</v>
      </c>
    </row>
    <row r="1117" spans="9:9" x14ac:dyDescent="0.25">
      <c r="I1117">
        <f t="shared" si="18"/>
        <v>1900</v>
      </c>
    </row>
    <row r="1118" spans="9:9" x14ac:dyDescent="0.25">
      <c r="I1118">
        <f t="shared" si="18"/>
        <v>1900</v>
      </c>
    </row>
    <row r="1119" spans="9:9" x14ac:dyDescent="0.25">
      <c r="I1119">
        <f t="shared" si="18"/>
        <v>1900</v>
      </c>
    </row>
    <row r="1120" spans="9:9" x14ac:dyDescent="0.25">
      <c r="I1120">
        <f t="shared" si="18"/>
        <v>1900</v>
      </c>
    </row>
    <row r="1121" spans="9:9" x14ac:dyDescent="0.25">
      <c r="I1121">
        <f t="shared" si="18"/>
        <v>1900</v>
      </c>
    </row>
    <row r="1122" spans="9:9" x14ac:dyDescent="0.25">
      <c r="I1122">
        <f t="shared" si="18"/>
        <v>1900</v>
      </c>
    </row>
    <row r="1123" spans="9:9" x14ac:dyDescent="0.25">
      <c r="I1123">
        <f t="shared" si="18"/>
        <v>1900</v>
      </c>
    </row>
    <row r="1124" spans="9:9" x14ac:dyDescent="0.25">
      <c r="I1124">
        <f t="shared" si="18"/>
        <v>1900</v>
      </c>
    </row>
    <row r="1125" spans="9:9" x14ac:dyDescent="0.25">
      <c r="I1125">
        <f t="shared" si="18"/>
        <v>1900</v>
      </c>
    </row>
    <row r="1126" spans="9:9" x14ac:dyDescent="0.25">
      <c r="I1126">
        <f t="shared" si="18"/>
        <v>1900</v>
      </c>
    </row>
    <row r="1127" spans="9:9" x14ac:dyDescent="0.25">
      <c r="I1127">
        <f t="shared" si="18"/>
        <v>1900</v>
      </c>
    </row>
    <row r="1128" spans="9:9" x14ac:dyDescent="0.25">
      <c r="I1128">
        <f t="shared" si="18"/>
        <v>1900</v>
      </c>
    </row>
    <row r="1129" spans="9:9" x14ac:dyDescent="0.25">
      <c r="I1129">
        <f t="shared" si="18"/>
        <v>1900</v>
      </c>
    </row>
    <row r="1130" spans="9:9" x14ac:dyDescent="0.25">
      <c r="I1130">
        <f t="shared" si="18"/>
        <v>1900</v>
      </c>
    </row>
    <row r="1131" spans="9:9" x14ac:dyDescent="0.25">
      <c r="I1131">
        <f t="shared" si="18"/>
        <v>1900</v>
      </c>
    </row>
    <row r="1132" spans="9:9" x14ac:dyDescent="0.25">
      <c r="I1132">
        <f t="shared" si="18"/>
        <v>1900</v>
      </c>
    </row>
    <row r="1133" spans="9:9" x14ac:dyDescent="0.25">
      <c r="I1133">
        <f t="shared" si="18"/>
        <v>1900</v>
      </c>
    </row>
    <row r="1134" spans="9:9" x14ac:dyDescent="0.25">
      <c r="I1134">
        <f t="shared" si="18"/>
        <v>1900</v>
      </c>
    </row>
    <row r="1135" spans="9:9" x14ac:dyDescent="0.25">
      <c r="I1135">
        <f t="shared" si="18"/>
        <v>1900</v>
      </c>
    </row>
    <row r="1136" spans="9:9" x14ac:dyDescent="0.25">
      <c r="I1136">
        <f t="shared" si="18"/>
        <v>1900</v>
      </c>
    </row>
    <row r="1137" spans="9:9" x14ac:dyDescent="0.25">
      <c r="I1137">
        <f t="shared" si="18"/>
        <v>1900</v>
      </c>
    </row>
    <row r="1138" spans="9:9" x14ac:dyDescent="0.25">
      <c r="I1138">
        <f t="shared" si="18"/>
        <v>1900</v>
      </c>
    </row>
    <row r="1139" spans="9:9" x14ac:dyDescent="0.25">
      <c r="I1139">
        <f t="shared" si="18"/>
        <v>1900</v>
      </c>
    </row>
    <row r="1140" spans="9:9" x14ac:dyDescent="0.25">
      <c r="I1140">
        <f t="shared" si="18"/>
        <v>1900</v>
      </c>
    </row>
    <row r="1141" spans="9:9" x14ac:dyDescent="0.25">
      <c r="I1141">
        <f t="shared" si="18"/>
        <v>1900</v>
      </c>
    </row>
    <row r="1142" spans="9:9" x14ac:dyDescent="0.25">
      <c r="I1142">
        <f t="shared" si="18"/>
        <v>1900</v>
      </c>
    </row>
    <row r="1143" spans="9:9" x14ac:dyDescent="0.25">
      <c r="I1143">
        <f t="shared" si="18"/>
        <v>1900</v>
      </c>
    </row>
    <row r="1144" spans="9:9" x14ac:dyDescent="0.25">
      <c r="I1144">
        <f t="shared" si="18"/>
        <v>1900</v>
      </c>
    </row>
    <row r="1145" spans="9:9" x14ac:dyDescent="0.25">
      <c r="I1145">
        <f t="shared" si="18"/>
        <v>1900</v>
      </c>
    </row>
    <row r="1146" spans="9:9" x14ac:dyDescent="0.25">
      <c r="I1146">
        <f t="shared" si="18"/>
        <v>1900</v>
      </c>
    </row>
    <row r="1147" spans="9:9" x14ac:dyDescent="0.25">
      <c r="I1147">
        <f t="shared" si="18"/>
        <v>1900</v>
      </c>
    </row>
    <row r="1148" spans="9:9" x14ac:dyDescent="0.25">
      <c r="I1148">
        <f t="shared" si="18"/>
        <v>1900</v>
      </c>
    </row>
    <row r="1149" spans="9:9" x14ac:dyDescent="0.25">
      <c r="I1149">
        <f t="shared" si="18"/>
        <v>1900</v>
      </c>
    </row>
    <row r="1150" spans="9:9" x14ac:dyDescent="0.25">
      <c r="I1150">
        <f t="shared" si="18"/>
        <v>1900</v>
      </c>
    </row>
    <row r="1151" spans="9:9" x14ac:dyDescent="0.25">
      <c r="I1151">
        <f t="shared" si="18"/>
        <v>1900</v>
      </c>
    </row>
    <row r="1152" spans="9:9" x14ac:dyDescent="0.25">
      <c r="I1152">
        <f t="shared" si="18"/>
        <v>1900</v>
      </c>
    </row>
    <row r="1153" spans="9:9" x14ac:dyDescent="0.25">
      <c r="I1153">
        <f t="shared" si="18"/>
        <v>1900</v>
      </c>
    </row>
    <row r="1154" spans="9:9" x14ac:dyDescent="0.25">
      <c r="I1154">
        <f t="shared" si="18"/>
        <v>1900</v>
      </c>
    </row>
    <row r="1155" spans="9:9" x14ac:dyDescent="0.25">
      <c r="I1155">
        <f t="shared" si="18"/>
        <v>1900</v>
      </c>
    </row>
    <row r="1156" spans="9:9" x14ac:dyDescent="0.25">
      <c r="I1156">
        <f t="shared" ref="I1156:I1219" si="19">IFERROR(YEAR(E1156),"")</f>
        <v>1900</v>
      </c>
    </row>
    <row r="1157" spans="9:9" x14ac:dyDescent="0.25">
      <c r="I1157">
        <f t="shared" si="19"/>
        <v>1900</v>
      </c>
    </row>
    <row r="1158" spans="9:9" x14ac:dyDescent="0.25">
      <c r="I1158">
        <f t="shared" si="19"/>
        <v>1900</v>
      </c>
    </row>
    <row r="1159" spans="9:9" x14ac:dyDescent="0.25">
      <c r="I1159">
        <f t="shared" si="19"/>
        <v>1900</v>
      </c>
    </row>
    <row r="1160" spans="9:9" x14ac:dyDescent="0.25">
      <c r="I1160">
        <f t="shared" si="19"/>
        <v>1900</v>
      </c>
    </row>
    <row r="1161" spans="9:9" x14ac:dyDescent="0.25">
      <c r="I1161">
        <f t="shared" si="19"/>
        <v>1900</v>
      </c>
    </row>
    <row r="1162" spans="9:9" x14ac:dyDescent="0.25">
      <c r="I1162">
        <f t="shared" si="19"/>
        <v>1900</v>
      </c>
    </row>
    <row r="1163" spans="9:9" x14ac:dyDescent="0.25">
      <c r="I1163">
        <f t="shared" si="19"/>
        <v>1900</v>
      </c>
    </row>
    <row r="1164" spans="9:9" x14ac:dyDescent="0.25">
      <c r="I1164">
        <f t="shared" si="19"/>
        <v>1900</v>
      </c>
    </row>
    <row r="1165" spans="9:9" x14ac:dyDescent="0.25">
      <c r="I1165">
        <f t="shared" si="19"/>
        <v>1900</v>
      </c>
    </row>
    <row r="1166" spans="9:9" x14ac:dyDescent="0.25">
      <c r="I1166">
        <f t="shared" si="19"/>
        <v>1900</v>
      </c>
    </row>
    <row r="1167" spans="9:9" x14ac:dyDescent="0.25">
      <c r="I1167">
        <f t="shared" si="19"/>
        <v>1900</v>
      </c>
    </row>
    <row r="1168" spans="9:9" x14ac:dyDescent="0.25">
      <c r="I1168">
        <f t="shared" si="19"/>
        <v>1900</v>
      </c>
    </row>
    <row r="1169" spans="9:9" x14ac:dyDescent="0.25">
      <c r="I1169">
        <f t="shared" si="19"/>
        <v>1900</v>
      </c>
    </row>
    <row r="1170" spans="9:9" x14ac:dyDescent="0.25">
      <c r="I1170">
        <f t="shared" si="19"/>
        <v>1900</v>
      </c>
    </row>
    <row r="1171" spans="9:9" x14ac:dyDescent="0.25">
      <c r="I1171">
        <f t="shared" si="19"/>
        <v>1900</v>
      </c>
    </row>
    <row r="1172" spans="9:9" x14ac:dyDescent="0.25">
      <c r="I1172">
        <f t="shared" si="19"/>
        <v>1900</v>
      </c>
    </row>
    <row r="1173" spans="9:9" x14ac:dyDescent="0.25">
      <c r="I1173">
        <f t="shared" si="19"/>
        <v>1900</v>
      </c>
    </row>
    <row r="1174" spans="9:9" x14ac:dyDescent="0.25">
      <c r="I1174">
        <f t="shared" si="19"/>
        <v>1900</v>
      </c>
    </row>
    <row r="1175" spans="9:9" x14ac:dyDescent="0.25">
      <c r="I1175">
        <f t="shared" si="19"/>
        <v>1900</v>
      </c>
    </row>
    <row r="1176" spans="9:9" x14ac:dyDescent="0.25">
      <c r="I1176">
        <f t="shared" si="19"/>
        <v>1900</v>
      </c>
    </row>
    <row r="1177" spans="9:9" x14ac:dyDescent="0.25">
      <c r="I1177">
        <f t="shared" si="19"/>
        <v>1900</v>
      </c>
    </row>
    <row r="1178" spans="9:9" x14ac:dyDescent="0.25">
      <c r="I1178">
        <f t="shared" si="19"/>
        <v>1900</v>
      </c>
    </row>
    <row r="1179" spans="9:9" x14ac:dyDescent="0.25">
      <c r="I1179">
        <f t="shared" si="19"/>
        <v>1900</v>
      </c>
    </row>
    <row r="1180" spans="9:9" x14ac:dyDescent="0.25">
      <c r="I1180">
        <f t="shared" si="19"/>
        <v>1900</v>
      </c>
    </row>
    <row r="1181" spans="9:9" x14ac:dyDescent="0.25">
      <c r="I1181">
        <f t="shared" si="19"/>
        <v>1900</v>
      </c>
    </row>
    <row r="1182" spans="9:9" x14ac:dyDescent="0.25">
      <c r="I1182">
        <f t="shared" si="19"/>
        <v>1900</v>
      </c>
    </row>
    <row r="1183" spans="9:9" x14ac:dyDescent="0.25">
      <c r="I1183">
        <f t="shared" si="19"/>
        <v>1900</v>
      </c>
    </row>
    <row r="1184" spans="9:9" x14ac:dyDescent="0.25">
      <c r="I1184">
        <f t="shared" si="19"/>
        <v>1900</v>
      </c>
    </row>
    <row r="1185" spans="9:9" x14ac:dyDescent="0.25">
      <c r="I1185">
        <f t="shared" si="19"/>
        <v>1900</v>
      </c>
    </row>
    <row r="1186" spans="9:9" x14ac:dyDescent="0.25">
      <c r="I1186">
        <f t="shared" si="19"/>
        <v>1900</v>
      </c>
    </row>
    <row r="1187" spans="9:9" x14ac:dyDescent="0.25">
      <c r="I1187">
        <f t="shared" si="19"/>
        <v>1900</v>
      </c>
    </row>
    <row r="1188" spans="9:9" x14ac:dyDescent="0.25">
      <c r="I1188">
        <f t="shared" si="19"/>
        <v>1900</v>
      </c>
    </row>
    <row r="1189" spans="9:9" x14ac:dyDescent="0.25">
      <c r="I1189">
        <f t="shared" si="19"/>
        <v>1900</v>
      </c>
    </row>
    <row r="1190" spans="9:9" x14ac:dyDescent="0.25">
      <c r="I1190">
        <f t="shared" si="19"/>
        <v>1900</v>
      </c>
    </row>
    <row r="1191" spans="9:9" x14ac:dyDescent="0.25">
      <c r="I1191">
        <f t="shared" si="19"/>
        <v>1900</v>
      </c>
    </row>
    <row r="1192" spans="9:9" x14ac:dyDescent="0.25">
      <c r="I1192">
        <f t="shared" si="19"/>
        <v>1900</v>
      </c>
    </row>
    <row r="1193" spans="9:9" x14ac:dyDescent="0.25">
      <c r="I1193">
        <f t="shared" si="19"/>
        <v>1900</v>
      </c>
    </row>
    <row r="1194" spans="9:9" x14ac:dyDescent="0.25">
      <c r="I1194">
        <f t="shared" si="19"/>
        <v>1900</v>
      </c>
    </row>
    <row r="1195" spans="9:9" x14ac:dyDescent="0.25">
      <c r="I1195">
        <f t="shared" si="19"/>
        <v>1900</v>
      </c>
    </row>
    <row r="1196" spans="9:9" x14ac:dyDescent="0.25">
      <c r="I1196">
        <f t="shared" si="19"/>
        <v>1900</v>
      </c>
    </row>
    <row r="1197" spans="9:9" x14ac:dyDescent="0.25">
      <c r="I1197">
        <f t="shared" si="19"/>
        <v>1900</v>
      </c>
    </row>
    <row r="1198" spans="9:9" x14ac:dyDescent="0.25">
      <c r="I1198">
        <f t="shared" si="19"/>
        <v>1900</v>
      </c>
    </row>
    <row r="1199" spans="9:9" x14ac:dyDescent="0.25">
      <c r="I1199">
        <f t="shared" si="19"/>
        <v>1900</v>
      </c>
    </row>
    <row r="1200" spans="9:9" x14ac:dyDescent="0.25">
      <c r="I1200">
        <f t="shared" si="19"/>
        <v>1900</v>
      </c>
    </row>
    <row r="1201" spans="9:9" x14ac:dyDescent="0.25">
      <c r="I1201">
        <f t="shared" si="19"/>
        <v>1900</v>
      </c>
    </row>
    <row r="1202" spans="9:9" x14ac:dyDescent="0.25">
      <c r="I1202">
        <f t="shared" si="19"/>
        <v>1900</v>
      </c>
    </row>
    <row r="1203" spans="9:9" x14ac:dyDescent="0.25">
      <c r="I1203">
        <f t="shared" si="19"/>
        <v>1900</v>
      </c>
    </row>
    <row r="1204" spans="9:9" x14ac:dyDescent="0.25">
      <c r="I1204">
        <f t="shared" si="19"/>
        <v>1900</v>
      </c>
    </row>
    <row r="1205" spans="9:9" x14ac:dyDescent="0.25">
      <c r="I1205">
        <f t="shared" si="19"/>
        <v>1900</v>
      </c>
    </row>
    <row r="1206" spans="9:9" x14ac:dyDescent="0.25">
      <c r="I1206">
        <f t="shared" si="19"/>
        <v>1900</v>
      </c>
    </row>
    <row r="1207" spans="9:9" x14ac:dyDescent="0.25">
      <c r="I1207">
        <f t="shared" si="19"/>
        <v>1900</v>
      </c>
    </row>
    <row r="1208" spans="9:9" x14ac:dyDescent="0.25">
      <c r="I1208">
        <f t="shared" si="19"/>
        <v>1900</v>
      </c>
    </row>
    <row r="1209" spans="9:9" x14ac:dyDescent="0.25">
      <c r="I1209">
        <f t="shared" si="19"/>
        <v>1900</v>
      </c>
    </row>
    <row r="1210" spans="9:9" x14ac:dyDescent="0.25">
      <c r="I1210">
        <f t="shared" si="19"/>
        <v>1900</v>
      </c>
    </row>
    <row r="1211" spans="9:9" x14ac:dyDescent="0.25">
      <c r="I1211">
        <f t="shared" si="19"/>
        <v>1900</v>
      </c>
    </row>
    <row r="1212" spans="9:9" x14ac:dyDescent="0.25">
      <c r="I1212">
        <f t="shared" si="19"/>
        <v>1900</v>
      </c>
    </row>
    <row r="1213" spans="9:9" x14ac:dyDescent="0.25">
      <c r="I1213">
        <f t="shared" si="19"/>
        <v>1900</v>
      </c>
    </row>
    <row r="1214" spans="9:9" x14ac:dyDescent="0.25">
      <c r="I1214">
        <f t="shared" si="19"/>
        <v>1900</v>
      </c>
    </row>
    <row r="1215" spans="9:9" x14ac:dyDescent="0.25">
      <c r="I1215">
        <f t="shared" si="19"/>
        <v>1900</v>
      </c>
    </row>
    <row r="1216" spans="9:9" x14ac:dyDescent="0.25">
      <c r="I1216">
        <f t="shared" si="19"/>
        <v>1900</v>
      </c>
    </row>
    <row r="1217" spans="9:9" x14ac:dyDescent="0.25">
      <c r="I1217">
        <f t="shared" si="19"/>
        <v>1900</v>
      </c>
    </row>
    <row r="1218" spans="9:9" x14ac:dyDescent="0.25">
      <c r="I1218">
        <f t="shared" si="19"/>
        <v>1900</v>
      </c>
    </row>
    <row r="1219" spans="9:9" x14ac:dyDescent="0.25">
      <c r="I1219">
        <f t="shared" si="19"/>
        <v>1900</v>
      </c>
    </row>
    <row r="1220" spans="9:9" x14ac:dyDescent="0.25">
      <c r="I1220">
        <f t="shared" ref="I1220:I1283" si="20">IFERROR(YEAR(E1220),"")</f>
        <v>1900</v>
      </c>
    </row>
    <row r="1221" spans="9:9" x14ac:dyDescent="0.25">
      <c r="I1221">
        <f t="shared" si="20"/>
        <v>1900</v>
      </c>
    </row>
    <row r="1222" spans="9:9" x14ac:dyDescent="0.25">
      <c r="I1222">
        <f t="shared" si="20"/>
        <v>1900</v>
      </c>
    </row>
    <row r="1223" spans="9:9" x14ac:dyDescent="0.25">
      <c r="I1223">
        <f t="shared" si="20"/>
        <v>1900</v>
      </c>
    </row>
    <row r="1224" spans="9:9" x14ac:dyDescent="0.25">
      <c r="I1224">
        <f t="shared" si="20"/>
        <v>1900</v>
      </c>
    </row>
    <row r="1225" spans="9:9" x14ac:dyDescent="0.25">
      <c r="I1225">
        <f t="shared" si="20"/>
        <v>1900</v>
      </c>
    </row>
    <row r="1226" spans="9:9" x14ac:dyDescent="0.25">
      <c r="I1226">
        <f t="shared" si="20"/>
        <v>1900</v>
      </c>
    </row>
    <row r="1227" spans="9:9" x14ac:dyDescent="0.25">
      <c r="I1227">
        <f t="shared" si="20"/>
        <v>1900</v>
      </c>
    </row>
    <row r="1228" spans="9:9" x14ac:dyDescent="0.25">
      <c r="I1228">
        <f t="shared" si="20"/>
        <v>1900</v>
      </c>
    </row>
    <row r="1229" spans="9:9" x14ac:dyDescent="0.25">
      <c r="I1229">
        <f t="shared" si="20"/>
        <v>1900</v>
      </c>
    </row>
    <row r="1230" spans="9:9" x14ac:dyDescent="0.25">
      <c r="I1230">
        <f t="shared" si="20"/>
        <v>1900</v>
      </c>
    </row>
    <row r="1231" spans="9:9" x14ac:dyDescent="0.25">
      <c r="I1231">
        <f t="shared" si="20"/>
        <v>1900</v>
      </c>
    </row>
    <row r="1232" spans="9:9" x14ac:dyDescent="0.25">
      <c r="I1232">
        <f t="shared" si="20"/>
        <v>1900</v>
      </c>
    </row>
    <row r="1233" spans="9:9" x14ac:dyDescent="0.25">
      <c r="I1233">
        <f t="shared" si="20"/>
        <v>1900</v>
      </c>
    </row>
    <row r="1234" spans="9:9" x14ac:dyDescent="0.25">
      <c r="I1234">
        <f t="shared" si="20"/>
        <v>1900</v>
      </c>
    </row>
    <row r="1235" spans="9:9" x14ac:dyDescent="0.25">
      <c r="I1235">
        <f t="shared" si="20"/>
        <v>1900</v>
      </c>
    </row>
    <row r="1236" spans="9:9" x14ac:dyDescent="0.25">
      <c r="I1236">
        <f t="shared" si="20"/>
        <v>1900</v>
      </c>
    </row>
    <row r="1237" spans="9:9" x14ac:dyDescent="0.25">
      <c r="I1237">
        <f t="shared" si="20"/>
        <v>1900</v>
      </c>
    </row>
    <row r="1238" spans="9:9" x14ac:dyDescent="0.25">
      <c r="I1238">
        <f t="shared" si="20"/>
        <v>1900</v>
      </c>
    </row>
    <row r="1239" spans="9:9" x14ac:dyDescent="0.25">
      <c r="I1239">
        <f t="shared" si="20"/>
        <v>1900</v>
      </c>
    </row>
    <row r="1240" spans="9:9" x14ac:dyDescent="0.25">
      <c r="I1240">
        <f t="shared" si="20"/>
        <v>1900</v>
      </c>
    </row>
    <row r="1241" spans="9:9" x14ac:dyDescent="0.25">
      <c r="I1241">
        <f t="shared" si="20"/>
        <v>1900</v>
      </c>
    </row>
    <row r="1242" spans="9:9" x14ac:dyDescent="0.25">
      <c r="I1242">
        <f t="shared" si="20"/>
        <v>1900</v>
      </c>
    </row>
    <row r="1243" spans="9:9" x14ac:dyDescent="0.25">
      <c r="I1243">
        <f t="shared" si="20"/>
        <v>1900</v>
      </c>
    </row>
    <row r="1244" spans="9:9" x14ac:dyDescent="0.25">
      <c r="I1244">
        <f t="shared" si="20"/>
        <v>1900</v>
      </c>
    </row>
    <row r="1245" spans="9:9" x14ac:dyDescent="0.25">
      <c r="I1245">
        <f t="shared" si="20"/>
        <v>1900</v>
      </c>
    </row>
    <row r="1246" spans="9:9" x14ac:dyDescent="0.25">
      <c r="I1246">
        <f t="shared" si="20"/>
        <v>1900</v>
      </c>
    </row>
    <row r="1247" spans="9:9" x14ac:dyDescent="0.25">
      <c r="I1247">
        <f t="shared" si="20"/>
        <v>1900</v>
      </c>
    </row>
    <row r="1248" spans="9:9" x14ac:dyDescent="0.25">
      <c r="I1248">
        <f t="shared" si="20"/>
        <v>1900</v>
      </c>
    </row>
    <row r="1249" spans="9:9" x14ac:dyDescent="0.25">
      <c r="I1249">
        <f t="shared" si="20"/>
        <v>1900</v>
      </c>
    </row>
    <row r="1250" spans="9:9" x14ac:dyDescent="0.25">
      <c r="I1250">
        <f t="shared" si="20"/>
        <v>1900</v>
      </c>
    </row>
    <row r="1251" spans="9:9" x14ac:dyDescent="0.25">
      <c r="I1251">
        <f t="shared" si="20"/>
        <v>1900</v>
      </c>
    </row>
    <row r="1252" spans="9:9" x14ac:dyDescent="0.25">
      <c r="I1252">
        <f t="shared" si="20"/>
        <v>1900</v>
      </c>
    </row>
    <row r="1253" spans="9:9" x14ac:dyDescent="0.25">
      <c r="I1253">
        <f t="shared" si="20"/>
        <v>1900</v>
      </c>
    </row>
    <row r="1254" spans="9:9" x14ac:dyDescent="0.25">
      <c r="I1254">
        <f t="shared" si="20"/>
        <v>1900</v>
      </c>
    </row>
    <row r="1255" spans="9:9" x14ac:dyDescent="0.25">
      <c r="I1255">
        <f t="shared" si="20"/>
        <v>1900</v>
      </c>
    </row>
    <row r="1256" spans="9:9" x14ac:dyDescent="0.25">
      <c r="I1256">
        <f t="shared" si="20"/>
        <v>1900</v>
      </c>
    </row>
    <row r="1257" spans="9:9" x14ac:dyDescent="0.25">
      <c r="I1257">
        <f t="shared" si="20"/>
        <v>1900</v>
      </c>
    </row>
    <row r="1258" spans="9:9" x14ac:dyDescent="0.25">
      <c r="I1258">
        <f t="shared" si="20"/>
        <v>1900</v>
      </c>
    </row>
    <row r="1259" spans="9:9" x14ac:dyDescent="0.25">
      <c r="I1259">
        <f t="shared" si="20"/>
        <v>1900</v>
      </c>
    </row>
    <row r="1260" spans="9:9" x14ac:dyDescent="0.25">
      <c r="I1260">
        <f t="shared" si="20"/>
        <v>1900</v>
      </c>
    </row>
    <row r="1261" spans="9:9" x14ac:dyDescent="0.25">
      <c r="I1261">
        <f t="shared" si="20"/>
        <v>1900</v>
      </c>
    </row>
    <row r="1262" spans="9:9" x14ac:dyDescent="0.25">
      <c r="I1262">
        <f t="shared" si="20"/>
        <v>1900</v>
      </c>
    </row>
    <row r="1263" spans="9:9" x14ac:dyDescent="0.25">
      <c r="I1263">
        <f t="shared" si="20"/>
        <v>1900</v>
      </c>
    </row>
    <row r="1264" spans="9:9" x14ac:dyDescent="0.25">
      <c r="I1264">
        <f t="shared" si="20"/>
        <v>1900</v>
      </c>
    </row>
    <row r="1265" spans="9:9" x14ac:dyDescent="0.25">
      <c r="I1265">
        <f t="shared" si="20"/>
        <v>1900</v>
      </c>
    </row>
    <row r="1266" spans="9:9" x14ac:dyDescent="0.25">
      <c r="I1266">
        <f t="shared" si="20"/>
        <v>1900</v>
      </c>
    </row>
    <row r="1267" spans="9:9" x14ac:dyDescent="0.25">
      <c r="I1267">
        <f t="shared" si="20"/>
        <v>1900</v>
      </c>
    </row>
    <row r="1268" spans="9:9" x14ac:dyDescent="0.25">
      <c r="I1268">
        <f t="shared" si="20"/>
        <v>1900</v>
      </c>
    </row>
    <row r="1269" spans="9:9" x14ac:dyDescent="0.25">
      <c r="I1269">
        <f t="shared" si="20"/>
        <v>1900</v>
      </c>
    </row>
    <row r="1270" spans="9:9" x14ac:dyDescent="0.25">
      <c r="I1270">
        <f t="shared" si="20"/>
        <v>1900</v>
      </c>
    </row>
    <row r="1271" spans="9:9" x14ac:dyDescent="0.25">
      <c r="I1271">
        <f t="shared" si="20"/>
        <v>1900</v>
      </c>
    </row>
    <row r="1272" spans="9:9" x14ac:dyDescent="0.25">
      <c r="I1272">
        <f t="shared" si="20"/>
        <v>1900</v>
      </c>
    </row>
    <row r="1273" spans="9:9" x14ac:dyDescent="0.25">
      <c r="I1273">
        <f t="shared" si="20"/>
        <v>1900</v>
      </c>
    </row>
    <row r="1274" spans="9:9" x14ac:dyDescent="0.25">
      <c r="I1274">
        <f t="shared" si="20"/>
        <v>1900</v>
      </c>
    </row>
    <row r="1275" spans="9:9" x14ac:dyDescent="0.25">
      <c r="I1275">
        <f t="shared" si="20"/>
        <v>1900</v>
      </c>
    </row>
    <row r="1276" spans="9:9" x14ac:dyDescent="0.25">
      <c r="I1276">
        <f t="shared" si="20"/>
        <v>1900</v>
      </c>
    </row>
    <row r="1277" spans="9:9" x14ac:dyDescent="0.25">
      <c r="I1277">
        <f t="shared" si="20"/>
        <v>1900</v>
      </c>
    </row>
    <row r="1278" spans="9:9" x14ac:dyDescent="0.25">
      <c r="I1278">
        <f t="shared" si="20"/>
        <v>1900</v>
      </c>
    </row>
    <row r="1279" spans="9:9" x14ac:dyDescent="0.25">
      <c r="I1279">
        <f t="shared" si="20"/>
        <v>1900</v>
      </c>
    </row>
    <row r="1280" spans="9:9" x14ac:dyDescent="0.25">
      <c r="I1280">
        <f t="shared" si="20"/>
        <v>1900</v>
      </c>
    </row>
    <row r="1281" spans="9:9" x14ac:dyDescent="0.25">
      <c r="I1281">
        <f t="shared" si="20"/>
        <v>1900</v>
      </c>
    </row>
    <row r="1282" spans="9:9" x14ac:dyDescent="0.25">
      <c r="I1282">
        <f t="shared" si="20"/>
        <v>1900</v>
      </c>
    </row>
    <row r="1283" spans="9:9" x14ac:dyDescent="0.25">
      <c r="I1283">
        <f t="shared" si="20"/>
        <v>1900</v>
      </c>
    </row>
    <row r="1284" spans="9:9" x14ac:dyDescent="0.25">
      <c r="I1284">
        <f t="shared" ref="I1284:I1347" si="21">IFERROR(YEAR(E1284),"")</f>
        <v>1900</v>
      </c>
    </row>
    <row r="1285" spans="9:9" x14ac:dyDescent="0.25">
      <c r="I1285">
        <f t="shared" si="21"/>
        <v>1900</v>
      </c>
    </row>
    <row r="1286" spans="9:9" x14ac:dyDescent="0.25">
      <c r="I1286">
        <f t="shared" si="21"/>
        <v>1900</v>
      </c>
    </row>
    <row r="1287" spans="9:9" x14ac:dyDescent="0.25">
      <c r="I1287">
        <f t="shared" si="21"/>
        <v>1900</v>
      </c>
    </row>
    <row r="1288" spans="9:9" x14ac:dyDescent="0.25">
      <c r="I1288">
        <f t="shared" si="21"/>
        <v>1900</v>
      </c>
    </row>
    <row r="1289" spans="9:9" x14ac:dyDescent="0.25">
      <c r="I1289">
        <f t="shared" si="21"/>
        <v>1900</v>
      </c>
    </row>
    <row r="1290" spans="9:9" x14ac:dyDescent="0.25">
      <c r="I1290">
        <f t="shared" si="21"/>
        <v>1900</v>
      </c>
    </row>
    <row r="1291" spans="9:9" x14ac:dyDescent="0.25">
      <c r="I1291">
        <f t="shared" si="21"/>
        <v>1900</v>
      </c>
    </row>
    <row r="1292" spans="9:9" x14ac:dyDescent="0.25">
      <c r="I1292">
        <f t="shared" si="21"/>
        <v>1900</v>
      </c>
    </row>
    <row r="1293" spans="9:9" x14ac:dyDescent="0.25">
      <c r="I1293">
        <f t="shared" si="21"/>
        <v>1900</v>
      </c>
    </row>
    <row r="1294" spans="9:9" x14ac:dyDescent="0.25">
      <c r="I1294">
        <f t="shared" si="21"/>
        <v>1900</v>
      </c>
    </row>
    <row r="1295" spans="9:9" x14ac:dyDescent="0.25">
      <c r="I1295">
        <f t="shared" si="21"/>
        <v>1900</v>
      </c>
    </row>
    <row r="1296" spans="9:9" x14ac:dyDescent="0.25">
      <c r="I1296">
        <f t="shared" si="21"/>
        <v>1900</v>
      </c>
    </row>
    <row r="1297" spans="9:9" x14ac:dyDescent="0.25">
      <c r="I1297">
        <f t="shared" si="21"/>
        <v>1900</v>
      </c>
    </row>
    <row r="1298" spans="9:9" x14ac:dyDescent="0.25">
      <c r="I1298">
        <f t="shared" si="21"/>
        <v>1900</v>
      </c>
    </row>
    <row r="1299" spans="9:9" x14ac:dyDescent="0.25">
      <c r="I1299">
        <f t="shared" si="21"/>
        <v>1900</v>
      </c>
    </row>
    <row r="1300" spans="9:9" x14ac:dyDescent="0.25">
      <c r="I1300">
        <f t="shared" si="21"/>
        <v>1900</v>
      </c>
    </row>
    <row r="1301" spans="9:9" x14ac:dyDescent="0.25">
      <c r="I1301">
        <f t="shared" si="21"/>
        <v>1900</v>
      </c>
    </row>
    <row r="1302" spans="9:9" x14ac:dyDescent="0.25">
      <c r="I1302">
        <f t="shared" si="21"/>
        <v>1900</v>
      </c>
    </row>
    <row r="1303" spans="9:9" x14ac:dyDescent="0.25">
      <c r="I1303">
        <f t="shared" si="21"/>
        <v>1900</v>
      </c>
    </row>
    <row r="1304" spans="9:9" x14ac:dyDescent="0.25">
      <c r="I1304">
        <f t="shared" si="21"/>
        <v>1900</v>
      </c>
    </row>
    <row r="1305" spans="9:9" x14ac:dyDescent="0.25">
      <c r="I1305">
        <f t="shared" si="21"/>
        <v>1900</v>
      </c>
    </row>
    <row r="1306" spans="9:9" x14ac:dyDescent="0.25">
      <c r="I1306">
        <f t="shared" si="21"/>
        <v>1900</v>
      </c>
    </row>
    <row r="1307" spans="9:9" x14ac:dyDescent="0.25">
      <c r="I1307">
        <f t="shared" si="21"/>
        <v>1900</v>
      </c>
    </row>
    <row r="1308" spans="9:9" x14ac:dyDescent="0.25">
      <c r="I1308">
        <f t="shared" si="21"/>
        <v>1900</v>
      </c>
    </row>
    <row r="1309" spans="9:9" x14ac:dyDescent="0.25">
      <c r="I1309">
        <f t="shared" si="21"/>
        <v>1900</v>
      </c>
    </row>
    <row r="1310" spans="9:9" x14ac:dyDescent="0.25">
      <c r="I1310">
        <f t="shared" si="21"/>
        <v>1900</v>
      </c>
    </row>
    <row r="1311" spans="9:9" x14ac:dyDescent="0.25">
      <c r="I1311">
        <f t="shared" si="21"/>
        <v>1900</v>
      </c>
    </row>
    <row r="1312" spans="9:9" x14ac:dyDescent="0.25">
      <c r="I1312">
        <f t="shared" si="21"/>
        <v>1900</v>
      </c>
    </row>
    <row r="1313" spans="9:9" x14ac:dyDescent="0.25">
      <c r="I1313">
        <f t="shared" si="21"/>
        <v>1900</v>
      </c>
    </row>
    <row r="1314" spans="9:9" x14ac:dyDescent="0.25">
      <c r="I1314">
        <f t="shared" si="21"/>
        <v>1900</v>
      </c>
    </row>
    <row r="1315" spans="9:9" x14ac:dyDescent="0.25">
      <c r="I1315">
        <f t="shared" si="21"/>
        <v>1900</v>
      </c>
    </row>
    <row r="1316" spans="9:9" x14ac:dyDescent="0.25">
      <c r="I1316">
        <f t="shared" si="21"/>
        <v>1900</v>
      </c>
    </row>
    <row r="1317" spans="9:9" x14ac:dyDescent="0.25">
      <c r="I1317">
        <f t="shared" si="21"/>
        <v>1900</v>
      </c>
    </row>
    <row r="1318" spans="9:9" x14ac:dyDescent="0.25">
      <c r="I1318">
        <f t="shared" si="21"/>
        <v>1900</v>
      </c>
    </row>
    <row r="1319" spans="9:9" x14ac:dyDescent="0.25">
      <c r="I1319">
        <f t="shared" si="21"/>
        <v>1900</v>
      </c>
    </row>
    <row r="1320" spans="9:9" x14ac:dyDescent="0.25">
      <c r="I1320">
        <f t="shared" si="21"/>
        <v>1900</v>
      </c>
    </row>
    <row r="1321" spans="9:9" x14ac:dyDescent="0.25">
      <c r="I1321">
        <f t="shared" si="21"/>
        <v>1900</v>
      </c>
    </row>
    <row r="1322" spans="9:9" x14ac:dyDescent="0.25">
      <c r="I1322">
        <f t="shared" si="21"/>
        <v>1900</v>
      </c>
    </row>
    <row r="1323" spans="9:9" x14ac:dyDescent="0.25">
      <c r="I1323">
        <f t="shared" si="21"/>
        <v>1900</v>
      </c>
    </row>
    <row r="1324" spans="9:9" x14ac:dyDescent="0.25">
      <c r="I1324">
        <f t="shared" si="21"/>
        <v>1900</v>
      </c>
    </row>
    <row r="1325" spans="9:9" x14ac:dyDescent="0.25">
      <c r="I1325">
        <f t="shared" si="21"/>
        <v>1900</v>
      </c>
    </row>
    <row r="1326" spans="9:9" x14ac:dyDescent="0.25">
      <c r="I1326">
        <f t="shared" si="21"/>
        <v>1900</v>
      </c>
    </row>
    <row r="1327" spans="9:9" x14ac:dyDescent="0.25">
      <c r="I1327">
        <f t="shared" si="21"/>
        <v>1900</v>
      </c>
    </row>
    <row r="1328" spans="9:9" x14ac:dyDescent="0.25">
      <c r="I1328">
        <f t="shared" si="21"/>
        <v>1900</v>
      </c>
    </row>
    <row r="1329" spans="9:9" x14ac:dyDescent="0.25">
      <c r="I1329">
        <f t="shared" si="21"/>
        <v>1900</v>
      </c>
    </row>
    <row r="1330" spans="9:9" x14ac:dyDescent="0.25">
      <c r="I1330">
        <f t="shared" si="21"/>
        <v>1900</v>
      </c>
    </row>
    <row r="1331" spans="9:9" x14ac:dyDescent="0.25">
      <c r="I1331">
        <f t="shared" si="21"/>
        <v>1900</v>
      </c>
    </row>
    <row r="1332" spans="9:9" x14ac:dyDescent="0.25">
      <c r="I1332">
        <f t="shared" si="21"/>
        <v>1900</v>
      </c>
    </row>
    <row r="1333" spans="9:9" x14ac:dyDescent="0.25">
      <c r="I1333">
        <f t="shared" si="21"/>
        <v>1900</v>
      </c>
    </row>
    <row r="1334" spans="9:9" x14ac:dyDescent="0.25">
      <c r="I1334">
        <f t="shared" si="21"/>
        <v>1900</v>
      </c>
    </row>
    <row r="1335" spans="9:9" x14ac:dyDescent="0.25">
      <c r="I1335">
        <f t="shared" si="21"/>
        <v>1900</v>
      </c>
    </row>
    <row r="1336" spans="9:9" x14ac:dyDescent="0.25">
      <c r="I1336">
        <f t="shared" si="21"/>
        <v>1900</v>
      </c>
    </row>
    <row r="1337" spans="9:9" x14ac:dyDescent="0.25">
      <c r="I1337">
        <f t="shared" si="21"/>
        <v>1900</v>
      </c>
    </row>
    <row r="1338" spans="9:9" x14ac:dyDescent="0.25">
      <c r="I1338">
        <f t="shared" si="21"/>
        <v>1900</v>
      </c>
    </row>
    <row r="1339" spans="9:9" x14ac:dyDescent="0.25">
      <c r="I1339">
        <f t="shared" si="21"/>
        <v>1900</v>
      </c>
    </row>
    <row r="1340" spans="9:9" x14ac:dyDescent="0.25">
      <c r="I1340">
        <f t="shared" si="21"/>
        <v>1900</v>
      </c>
    </row>
    <row r="1341" spans="9:9" x14ac:dyDescent="0.25">
      <c r="I1341">
        <f t="shared" si="21"/>
        <v>1900</v>
      </c>
    </row>
    <row r="1342" spans="9:9" x14ac:dyDescent="0.25">
      <c r="I1342">
        <f t="shared" si="21"/>
        <v>1900</v>
      </c>
    </row>
    <row r="1343" spans="9:9" x14ac:dyDescent="0.25">
      <c r="I1343">
        <f t="shared" si="21"/>
        <v>1900</v>
      </c>
    </row>
    <row r="1344" spans="9:9" x14ac:dyDescent="0.25">
      <c r="I1344">
        <f t="shared" si="21"/>
        <v>1900</v>
      </c>
    </row>
    <row r="1345" spans="9:9" x14ac:dyDescent="0.25">
      <c r="I1345">
        <f t="shared" si="21"/>
        <v>1900</v>
      </c>
    </row>
    <row r="1346" spans="9:9" x14ac:dyDescent="0.25">
      <c r="I1346">
        <f t="shared" si="21"/>
        <v>1900</v>
      </c>
    </row>
    <row r="1347" spans="9:9" x14ac:dyDescent="0.25">
      <c r="I1347">
        <f t="shared" si="21"/>
        <v>1900</v>
      </c>
    </row>
    <row r="1348" spans="9:9" x14ac:dyDescent="0.25">
      <c r="I1348">
        <f t="shared" ref="I1348:I1411" si="22">IFERROR(YEAR(E1348),"")</f>
        <v>1900</v>
      </c>
    </row>
    <row r="1349" spans="9:9" x14ac:dyDescent="0.25">
      <c r="I1349">
        <f t="shared" si="22"/>
        <v>1900</v>
      </c>
    </row>
    <row r="1350" spans="9:9" x14ac:dyDescent="0.25">
      <c r="I1350">
        <f t="shared" si="22"/>
        <v>1900</v>
      </c>
    </row>
    <row r="1351" spans="9:9" x14ac:dyDescent="0.25">
      <c r="I1351">
        <f t="shared" si="22"/>
        <v>1900</v>
      </c>
    </row>
    <row r="1352" spans="9:9" x14ac:dyDescent="0.25">
      <c r="I1352">
        <f t="shared" si="22"/>
        <v>1900</v>
      </c>
    </row>
    <row r="1353" spans="9:9" x14ac:dyDescent="0.25">
      <c r="I1353">
        <f t="shared" si="22"/>
        <v>1900</v>
      </c>
    </row>
    <row r="1354" spans="9:9" x14ac:dyDescent="0.25">
      <c r="I1354">
        <f t="shared" si="22"/>
        <v>1900</v>
      </c>
    </row>
    <row r="1355" spans="9:9" x14ac:dyDescent="0.25">
      <c r="I1355">
        <f t="shared" si="22"/>
        <v>1900</v>
      </c>
    </row>
    <row r="1356" spans="9:9" x14ac:dyDescent="0.25">
      <c r="I1356">
        <f t="shared" si="22"/>
        <v>1900</v>
      </c>
    </row>
    <row r="1357" spans="9:9" x14ac:dyDescent="0.25">
      <c r="I1357">
        <f t="shared" si="22"/>
        <v>1900</v>
      </c>
    </row>
    <row r="1358" spans="9:9" x14ac:dyDescent="0.25">
      <c r="I1358">
        <f t="shared" si="22"/>
        <v>1900</v>
      </c>
    </row>
    <row r="1359" spans="9:9" x14ac:dyDescent="0.25">
      <c r="I1359">
        <f t="shared" si="22"/>
        <v>1900</v>
      </c>
    </row>
    <row r="1360" spans="9:9" x14ac:dyDescent="0.25">
      <c r="I1360">
        <f t="shared" si="22"/>
        <v>1900</v>
      </c>
    </row>
    <row r="1361" spans="9:9" x14ac:dyDescent="0.25">
      <c r="I1361">
        <f t="shared" si="22"/>
        <v>1900</v>
      </c>
    </row>
    <row r="1362" spans="9:9" x14ac:dyDescent="0.25">
      <c r="I1362">
        <f t="shared" si="22"/>
        <v>1900</v>
      </c>
    </row>
    <row r="1363" spans="9:9" x14ac:dyDescent="0.25">
      <c r="I1363">
        <f t="shared" si="22"/>
        <v>1900</v>
      </c>
    </row>
    <row r="1364" spans="9:9" x14ac:dyDescent="0.25">
      <c r="I1364">
        <f t="shared" si="22"/>
        <v>1900</v>
      </c>
    </row>
    <row r="1365" spans="9:9" x14ac:dyDescent="0.25">
      <c r="I1365">
        <f t="shared" si="22"/>
        <v>1900</v>
      </c>
    </row>
    <row r="1366" spans="9:9" x14ac:dyDescent="0.25">
      <c r="I1366">
        <f t="shared" si="22"/>
        <v>1900</v>
      </c>
    </row>
    <row r="1367" spans="9:9" x14ac:dyDescent="0.25">
      <c r="I1367">
        <f t="shared" si="22"/>
        <v>1900</v>
      </c>
    </row>
    <row r="1368" spans="9:9" x14ac:dyDescent="0.25">
      <c r="I1368">
        <f t="shared" si="22"/>
        <v>1900</v>
      </c>
    </row>
    <row r="1369" spans="9:9" x14ac:dyDescent="0.25">
      <c r="I1369">
        <f t="shared" si="22"/>
        <v>1900</v>
      </c>
    </row>
    <row r="1370" spans="9:9" x14ac:dyDescent="0.25">
      <c r="I1370">
        <f t="shared" si="22"/>
        <v>1900</v>
      </c>
    </row>
    <row r="1371" spans="9:9" x14ac:dyDescent="0.25">
      <c r="I1371">
        <f t="shared" si="22"/>
        <v>1900</v>
      </c>
    </row>
    <row r="1372" spans="9:9" x14ac:dyDescent="0.25">
      <c r="I1372">
        <f t="shared" si="22"/>
        <v>1900</v>
      </c>
    </row>
    <row r="1373" spans="9:9" x14ac:dyDescent="0.25">
      <c r="I1373">
        <f t="shared" si="22"/>
        <v>1900</v>
      </c>
    </row>
    <row r="1374" spans="9:9" x14ac:dyDescent="0.25">
      <c r="I1374">
        <f t="shared" si="22"/>
        <v>1900</v>
      </c>
    </row>
    <row r="1375" spans="9:9" x14ac:dyDescent="0.25">
      <c r="I1375">
        <f t="shared" si="22"/>
        <v>1900</v>
      </c>
    </row>
    <row r="1376" spans="9:9" x14ac:dyDescent="0.25">
      <c r="I1376">
        <f t="shared" si="22"/>
        <v>1900</v>
      </c>
    </row>
    <row r="1377" spans="9:9" x14ac:dyDescent="0.25">
      <c r="I1377">
        <f t="shared" si="22"/>
        <v>1900</v>
      </c>
    </row>
    <row r="1378" spans="9:9" x14ac:dyDescent="0.25">
      <c r="I1378">
        <f t="shared" si="22"/>
        <v>1900</v>
      </c>
    </row>
    <row r="1379" spans="9:9" x14ac:dyDescent="0.25">
      <c r="I1379">
        <f t="shared" si="22"/>
        <v>1900</v>
      </c>
    </row>
    <row r="1380" spans="9:9" x14ac:dyDescent="0.25">
      <c r="I1380">
        <f t="shared" si="22"/>
        <v>1900</v>
      </c>
    </row>
    <row r="1381" spans="9:9" x14ac:dyDescent="0.25">
      <c r="I1381">
        <f t="shared" si="22"/>
        <v>1900</v>
      </c>
    </row>
    <row r="1382" spans="9:9" x14ac:dyDescent="0.25">
      <c r="I1382">
        <f t="shared" si="22"/>
        <v>1900</v>
      </c>
    </row>
    <row r="1383" spans="9:9" x14ac:dyDescent="0.25">
      <c r="I1383">
        <f t="shared" si="22"/>
        <v>1900</v>
      </c>
    </row>
    <row r="1384" spans="9:9" x14ac:dyDescent="0.25">
      <c r="I1384">
        <f t="shared" si="22"/>
        <v>1900</v>
      </c>
    </row>
    <row r="1385" spans="9:9" x14ac:dyDescent="0.25">
      <c r="I1385">
        <f t="shared" si="22"/>
        <v>1900</v>
      </c>
    </row>
    <row r="1386" spans="9:9" x14ac:dyDescent="0.25">
      <c r="I1386">
        <f t="shared" si="22"/>
        <v>1900</v>
      </c>
    </row>
    <row r="1387" spans="9:9" x14ac:dyDescent="0.25">
      <c r="I1387">
        <f t="shared" si="22"/>
        <v>1900</v>
      </c>
    </row>
    <row r="1388" spans="9:9" x14ac:dyDescent="0.25">
      <c r="I1388">
        <f t="shared" si="22"/>
        <v>1900</v>
      </c>
    </row>
    <row r="1389" spans="9:9" x14ac:dyDescent="0.25">
      <c r="I1389">
        <f t="shared" si="22"/>
        <v>1900</v>
      </c>
    </row>
    <row r="1390" spans="9:9" x14ac:dyDescent="0.25">
      <c r="I1390">
        <f t="shared" si="22"/>
        <v>1900</v>
      </c>
    </row>
    <row r="1391" spans="9:9" x14ac:dyDescent="0.25">
      <c r="I1391">
        <f t="shared" si="22"/>
        <v>1900</v>
      </c>
    </row>
    <row r="1392" spans="9:9" x14ac:dyDescent="0.25">
      <c r="I1392">
        <f t="shared" si="22"/>
        <v>1900</v>
      </c>
    </row>
    <row r="1393" spans="9:9" x14ac:dyDescent="0.25">
      <c r="I1393">
        <f t="shared" si="22"/>
        <v>1900</v>
      </c>
    </row>
    <row r="1394" spans="9:9" x14ac:dyDescent="0.25">
      <c r="I1394">
        <f t="shared" si="22"/>
        <v>1900</v>
      </c>
    </row>
    <row r="1395" spans="9:9" x14ac:dyDescent="0.25">
      <c r="I1395">
        <f t="shared" si="22"/>
        <v>1900</v>
      </c>
    </row>
    <row r="1396" spans="9:9" x14ac:dyDescent="0.25">
      <c r="I1396">
        <f t="shared" si="22"/>
        <v>1900</v>
      </c>
    </row>
    <row r="1397" spans="9:9" x14ac:dyDescent="0.25">
      <c r="I1397">
        <f t="shared" si="22"/>
        <v>1900</v>
      </c>
    </row>
    <row r="1398" spans="9:9" x14ac:dyDescent="0.25">
      <c r="I1398">
        <f t="shared" si="22"/>
        <v>1900</v>
      </c>
    </row>
    <row r="1399" spans="9:9" x14ac:dyDescent="0.25">
      <c r="I1399">
        <f t="shared" si="22"/>
        <v>1900</v>
      </c>
    </row>
    <row r="1400" spans="9:9" x14ac:dyDescent="0.25">
      <c r="I1400">
        <f t="shared" si="22"/>
        <v>1900</v>
      </c>
    </row>
    <row r="1401" spans="9:9" x14ac:dyDescent="0.25">
      <c r="I1401">
        <f t="shared" si="22"/>
        <v>1900</v>
      </c>
    </row>
    <row r="1402" spans="9:9" x14ac:dyDescent="0.25">
      <c r="I1402">
        <f t="shared" si="22"/>
        <v>1900</v>
      </c>
    </row>
    <row r="1403" spans="9:9" x14ac:dyDescent="0.25">
      <c r="I1403">
        <f t="shared" si="22"/>
        <v>1900</v>
      </c>
    </row>
    <row r="1404" spans="9:9" x14ac:dyDescent="0.25">
      <c r="I1404">
        <f t="shared" si="22"/>
        <v>1900</v>
      </c>
    </row>
    <row r="1405" spans="9:9" x14ac:dyDescent="0.25">
      <c r="I1405">
        <f t="shared" si="22"/>
        <v>1900</v>
      </c>
    </row>
    <row r="1406" spans="9:9" x14ac:dyDescent="0.25">
      <c r="I1406">
        <f t="shared" si="22"/>
        <v>1900</v>
      </c>
    </row>
    <row r="1407" spans="9:9" x14ac:dyDescent="0.25">
      <c r="I1407">
        <f t="shared" si="22"/>
        <v>1900</v>
      </c>
    </row>
    <row r="1408" spans="9:9" x14ac:dyDescent="0.25">
      <c r="I1408">
        <f t="shared" si="22"/>
        <v>1900</v>
      </c>
    </row>
    <row r="1409" spans="9:9" x14ac:dyDescent="0.25">
      <c r="I1409">
        <f t="shared" si="22"/>
        <v>1900</v>
      </c>
    </row>
    <row r="1410" spans="9:9" x14ac:dyDescent="0.25">
      <c r="I1410">
        <f t="shared" si="22"/>
        <v>1900</v>
      </c>
    </row>
    <row r="1411" spans="9:9" x14ac:dyDescent="0.25">
      <c r="I1411">
        <f t="shared" si="22"/>
        <v>1900</v>
      </c>
    </row>
    <row r="1412" spans="9:9" x14ac:dyDescent="0.25">
      <c r="I1412">
        <f t="shared" ref="I1412:I1475" si="23">IFERROR(YEAR(E1412),"")</f>
        <v>1900</v>
      </c>
    </row>
    <row r="1413" spans="9:9" x14ac:dyDescent="0.25">
      <c r="I1413">
        <f t="shared" si="23"/>
        <v>1900</v>
      </c>
    </row>
    <row r="1414" spans="9:9" x14ac:dyDescent="0.25">
      <c r="I1414">
        <f t="shared" si="23"/>
        <v>1900</v>
      </c>
    </row>
    <row r="1415" spans="9:9" x14ac:dyDescent="0.25">
      <c r="I1415">
        <f t="shared" si="23"/>
        <v>1900</v>
      </c>
    </row>
    <row r="1416" spans="9:9" x14ac:dyDescent="0.25">
      <c r="I1416">
        <f t="shared" si="23"/>
        <v>1900</v>
      </c>
    </row>
    <row r="1417" spans="9:9" x14ac:dyDescent="0.25">
      <c r="I1417">
        <f t="shared" si="23"/>
        <v>1900</v>
      </c>
    </row>
    <row r="1418" spans="9:9" x14ac:dyDescent="0.25">
      <c r="I1418">
        <f t="shared" si="23"/>
        <v>1900</v>
      </c>
    </row>
    <row r="1419" spans="9:9" x14ac:dyDescent="0.25">
      <c r="I1419">
        <f t="shared" si="23"/>
        <v>1900</v>
      </c>
    </row>
    <row r="1420" spans="9:9" x14ac:dyDescent="0.25">
      <c r="I1420">
        <f t="shared" si="23"/>
        <v>1900</v>
      </c>
    </row>
    <row r="1421" spans="9:9" x14ac:dyDescent="0.25">
      <c r="I1421">
        <f t="shared" si="23"/>
        <v>1900</v>
      </c>
    </row>
    <row r="1422" spans="9:9" x14ac:dyDescent="0.25">
      <c r="I1422">
        <f t="shared" si="23"/>
        <v>1900</v>
      </c>
    </row>
    <row r="1423" spans="9:9" x14ac:dyDescent="0.25">
      <c r="I1423">
        <f t="shared" si="23"/>
        <v>1900</v>
      </c>
    </row>
    <row r="1424" spans="9:9" x14ac:dyDescent="0.25">
      <c r="I1424">
        <f t="shared" si="23"/>
        <v>1900</v>
      </c>
    </row>
    <row r="1425" spans="9:9" x14ac:dyDescent="0.25">
      <c r="I1425">
        <f t="shared" si="23"/>
        <v>1900</v>
      </c>
    </row>
    <row r="1426" spans="9:9" x14ac:dyDescent="0.25">
      <c r="I1426">
        <f t="shared" si="23"/>
        <v>1900</v>
      </c>
    </row>
    <row r="1427" spans="9:9" x14ac:dyDescent="0.25">
      <c r="I1427">
        <f t="shared" si="23"/>
        <v>1900</v>
      </c>
    </row>
    <row r="1428" spans="9:9" x14ac:dyDescent="0.25">
      <c r="I1428">
        <f t="shared" si="23"/>
        <v>1900</v>
      </c>
    </row>
    <row r="1429" spans="9:9" x14ac:dyDescent="0.25">
      <c r="I1429">
        <f t="shared" si="23"/>
        <v>1900</v>
      </c>
    </row>
    <row r="1430" spans="9:9" x14ac:dyDescent="0.25">
      <c r="I1430">
        <f t="shared" si="23"/>
        <v>1900</v>
      </c>
    </row>
    <row r="1431" spans="9:9" x14ac:dyDescent="0.25">
      <c r="I1431">
        <f t="shared" si="23"/>
        <v>1900</v>
      </c>
    </row>
    <row r="1432" spans="9:9" x14ac:dyDescent="0.25">
      <c r="I1432">
        <f t="shared" si="23"/>
        <v>1900</v>
      </c>
    </row>
    <row r="1433" spans="9:9" x14ac:dyDescent="0.25">
      <c r="I1433">
        <f t="shared" si="23"/>
        <v>1900</v>
      </c>
    </row>
    <row r="1434" spans="9:9" x14ac:dyDescent="0.25">
      <c r="I1434">
        <f t="shared" si="23"/>
        <v>1900</v>
      </c>
    </row>
    <row r="1435" spans="9:9" x14ac:dyDescent="0.25">
      <c r="I1435">
        <f t="shared" si="23"/>
        <v>1900</v>
      </c>
    </row>
    <row r="1436" spans="9:9" x14ac:dyDescent="0.25">
      <c r="I1436">
        <f t="shared" si="23"/>
        <v>1900</v>
      </c>
    </row>
    <row r="1437" spans="9:9" x14ac:dyDescent="0.25">
      <c r="I1437">
        <f t="shared" si="23"/>
        <v>1900</v>
      </c>
    </row>
    <row r="1438" spans="9:9" x14ac:dyDescent="0.25">
      <c r="I1438">
        <f t="shared" si="23"/>
        <v>1900</v>
      </c>
    </row>
    <row r="1439" spans="9:9" x14ac:dyDescent="0.25">
      <c r="I1439">
        <f t="shared" si="23"/>
        <v>1900</v>
      </c>
    </row>
    <row r="1440" spans="9:9" x14ac:dyDescent="0.25">
      <c r="I1440">
        <f t="shared" si="23"/>
        <v>1900</v>
      </c>
    </row>
    <row r="1441" spans="9:9" x14ac:dyDescent="0.25">
      <c r="I1441">
        <f t="shared" si="23"/>
        <v>1900</v>
      </c>
    </row>
    <row r="1442" spans="9:9" x14ac:dyDescent="0.25">
      <c r="I1442">
        <f t="shared" si="23"/>
        <v>1900</v>
      </c>
    </row>
    <row r="1443" spans="9:9" x14ac:dyDescent="0.25">
      <c r="I1443">
        <f t="shared" si="23"/>
        <v>1900</v>
      </c>
    </row>
    <row r="1444" spans="9:9" x14ac:dyDescent="0.25">
      <c r="I1444">
        <f t="shared" si="23"/>
        <v>1900</v>
      </c>
    </row>
    <row r="1445" spans="9:9" x14ac:dyDescent="0.25">
      <c r="I1445">
        <f t="shared" si="23"/>
        <v>1900</v>
      </c>
    </row>
    <row r="1446" spans="9:9" x14ac:dyDescent="0.25">
      <c r="I1446">
        <f t="shared" si="23"/>
        <v>1900</v>
      </c>
    </row>
    <row r="1447" spans="9:9" x14ac:dyDescent="0.25">
      <c r="I1447">
        <f t="shared" si="23"/>
        <v>1900</v>
      </c>
    </row>
    <row r="1448" spans="9:9" x14ac:dyDescent="0.25">
      <c r="I1448">
        <f t="shared" si="23"/>
        <v>1900</v>
      </c>
    </row>
    <row r="1449" spans="9:9" x14ac:dyDescent="0.25">
      <c r="I1449">
        <f t="shared" si="23"/>
        <v>1900</v>
      </c>
    </row>
    <row r="1450" spans="9:9" x14ac:dyDescent="0.25">
      <c r="I1450">
        <f t="shared" si="23"/>
        <v>1900</v>
      </c>
    </row>
    <row r="1451" spans="9:9" x14ac:dyDescent="0.25">
      <c r="I1451">
        <f t="shared" si="23"/>
        <v>1900</v>
      </c>
    </row>
    <row r="1452" spans="9:9" x14ac:dyDescent="0.25">
      <c r="I1452">
        <f t="shared" si="23"/>
        <v>1900</v>
      </c>
    </row>
    <row r="1453" spans="9:9" x14ac:dyDescent="0.25">
      <c r="I1453">
        <f t="shared" si="23"/>
        <v>1900</v>
      </c>
    </row>
    <row r="1454" spans="9:9" x14ac:dyDescent="0.25">
      <c r="I1454">
        <f t="shared" si="23"/>
        <v>1900</v>
      </c>
    </row>
    <row r="1455" spans="9:9" x14ac:dyDescent="0.25">
      <c r="I1455">
        <f t="shared" si="23"/>
        <v>1900</v>
      </c>
    </row>
    <row r="1456" spans="9:9" x14ac:dyDescent="0.25">
      <c r="I1456">
        <f t="shared" si="23"/>
        <v>1900</v>
      </c>
    </row>
    <row r="1457" spans="9:9" x14ac:dyDescent="0.25">
      <c r="I1457">
        <f t="shared" si="23"/>
        <v>1900</v>
      </c>
    </row>
    <row r="1458" spans="9:9" x14ac:dyDescent="0.25">
      <c r="I1458">
        <f t="shared" si="23"/>
        <v>1900</v>
      </c>
    </row>
    <row r="1459" spans="9:9" x14ac:dyDescent="0.25">
      <c r="I1459">
        <f t="shared" si="23"/>
        <v>1900</v>
      </c>
    </row>
    <row r="1460" spans="9:9" x14ac:dyDescent="0.25">
      <c r="I1460">
        <f t="shared" si="23"/>
        <v>1900</v>
      </c>
    </row>
    <row r="1461" spans="9:9" x14ac:dyDescent="0.25">
      <c r="I1461">
        <f t="shared" si="23"/>
        <v>1900</v>
      </c>
    </row>
    <row r="1462" spans="9:9" x14ac:dyDescent="0.25">
      <c r="I1462">
        <f t="shared" si="23"/>
        <v>1900</v>
      </c>
    </row>
    <row r="1463" spans="9:9" x14ac:dyDescent="0.25">
      <c r="I1463">
        <f t="shared" si="23"/>
        <v>1900</v>
      </c>
    </row>
    <row r="1464" spans="9:9" x14ac:dyDescent="0.25">
      <c r="I1464">
        <f t="shared" si="23"/>
        <v>1900</v>
      </c>
    </row>
    <row r="1465" spans="9:9" x14ac:dyDescent="0.25">
      <c r="I1465">
        <f t="shared" si="23"/>
        <v>1900</v>
      </c>
    </row>
    <row r="1466" spans="9:9" x14ac:dyDescent="0.25">
      <c r="I1466">
        <f t="shared" si="23"/>
        <v>1900</v>
      </c>
    </row>
    <row r="1467" spans="9:9" x14ac:dyDescent="0.25">
      <c r="I1467">
        <f t="shared" si="23"/>
        <v>1900</v>
      </c>
    </row>
    <row r="1468" spans="9:9" x14ac:dyDescent="0.25">
      <c r="I1468">
        <f t="shared" si="23"/>
        <v>1900</v>
      </c>
    </row>
    <row r="1469" spans="9:9" x14ac:dyDescent="0.25">
      <c r="I1469">
        <f t="shared" si="23"/>
        <v>1900</v>
      </c>
    </row>
    <row r="1470" spans="9:9" x14ac:dyDescent="0.25">
      <c r="I1470">
        <f t="shared" si="23"/>
        <v>1900</v>
      </c>
    </row>
    <row r="1471" spans="9:9" x14ac:dyDescent="0.25">
      <c r="I1471">
        <f t="shared" si="23"/>
        <v>1900</v>
      </c>
    </row>
    <row r="1472" spans="9:9" x14ac:dyDescent="0.25">
      <c r="I1472">
        <f t="shared" si="23"/>
        <v>1900</v>
      </c>
    </row>
    <row r="1473" spans="9:9" x14ac:dyDescent="0.25">
      <c r="I1473">
        <f t="shared" si="23"/>
        <v>1900</v>
      </c>
    </row>
    <row r="1474" spans="9:9" x14ac:dyDescent="0.25">
      <c r="I1474">
        <f t="shared" si="23"/>
        <v>1900</v>
      </c>
    </row>
    <row r="1475" spans="9:9" x14ac:dyDescent="0.25">
      <c r="I1475">
        <f t="shared" si="23"/>
        <v>1900</v>
      </c>
    </row>
    <row r="1476" spans="9:9" x14ac:dyDescent="0.25">
      <c r="I1476">
        <f t="shared" ref="I1476:I1539" si="24">IFERROR(YEAR(E1476),"")</f>
        <v>1900</v>
      </c>
    </row>
    <row r="1477" spans="9:9" x14ac:dyDescent="0.25">
      <c r="I1477">
        <f t="shared" si="24"/>
        <v>1900</v>
      </c>
    </row>
    <row r="1478" spans="9:9" x14ac:dyDescent="0.25">
      <c r="I1478">
        <f t="shared" si="24"/>
        <v>1900</v>
      </c>
    </row>
    <row r="1479" spans="9:9" x14ac:dyDescent="0.25">
      <c r="I1479">
        <f t="shared" si="24"/>
        <v>1900</v>
      </c>
    </row>
    <row r="1480" spans="9:9" x14ac:dyDescent="0.25">
      <c r="I1480">
        <f t="shared" si="24"/>
        <v>1900</v>
      </c>
    </row>
    <row r="1481" spans="9:9" x14ac:dyDescent="0.25">
      <c r="I1481">
        <f t="shared" si="24"/>
        <v>1900</v>
      </c>
    </row>
    <row r="1482" spans="9:9" x14ac:dyDescent="0.25">
      <c r="I1482">
        <f t="shared" si="24"/>
        <v>1900</v>
      </c>
    </row>
    <row r="1483" spans="9:9" x14ac:dyDescent="0.25">
      <c r="I1483">
        <f t="shared" si="24"/>
        <v>1900</v>
      </c>
    </row>
    <row r="1484" spans="9:9" x14ac:dyDescent="0.25">
      <c r="I1484">
        <f t="shared" si="24"/>
        <v>1900</v>
      </c>
    </row>
    <row r="1485" spans="9:9" x14ac:dyDescent="0.25">
      <c r="I1485">
        <f t="shared" si="24"/>
        <v>1900</v>
      </c>
    </row>
    <row r="1486" spans="9:9" x14ac:dyDescent="0.25">
      <c r="I1486">
        <f t="shared" si="24"/>
        <v>1900</v>
      </c>
    </row>
    <row r="1487" spans="9:9" x14ac:dyDescent="0.25">
      <c r="I1487">
        <f t="shared" si="24"/>
        <v>1900</v>
      </c>
    </row>
    <row r="1488" spans="9:9" x14ac:dyDescent="0.25">
      <c r="I1488">
        <f t="shared" si="24"/>
        <v>1900</v>
      </c>
    </row>
    <row r="1489" spans="9:9" x14ac:dyDescent="0.25">
      <c r="I1489">
        <f t="shared" si="24"/>
        <v>1900</v>
      </c>
    </row>
    <row r="1490" spans="9:9" x14ac:dyDescent="0.25">
      <c r="I1490">
        <f t="shared" si="24"/>
        <v>1900</v>
      </c>
    </row>
    <row r="1491" spans="9:9" x14ac:dyDescent="0.25">
      <c r="I1491">
        <f t="shared" si="24"/>
        <v>1900</v>
      </c>
    </row>
    <row r="1492" spans="9:9" x14ac:dyDescent="0.25">
      <c r="I1492">
        <f t="shared" si="24"/>
        <v>1900</v>
      </c>
    </row>
    <row r="1493" spans="9:9" x14ac:dyDescent="0.25">
      <c r="I1493">
        <f t="shared" si="24"/>
        <v>1900</v>
      </c>
    </row>
    <row r="1494" spans="9:9" x14ac:dyDescent="0.25">
      <c r="I1494">
        <f t="shared" si="24"/>
        <v>1900</v>
      </c>
    </row>
    <row r="1495" spans="9:9" x14ac:dyDescent="0.25">
      <c r="I1495">
        <f t="shared" si="24"/>
        <v>1900</v>
      </c>
    </row>
    <row r="1496" spans="9:9" x14ac:dyDescent="0.25">
      <c r="I1496">
        <f t="shared" si="24"/>
        <v>1900</v>
      </c>
    </row>
    <row r="1497" spans="9:9" x14ac:dyDescent="0.25">
      <c r="I1497">
        <f t="shared" si="24"/>
        <v>1900</v>
      </c>
    </row>
    <row r="1498" spans="9:9" x14ac:dyDescent="0.25">
      <c r="I1498">
        <f t="shared" si="24"/>
        <v>1900</v>
      </c>
    </row>
    <row r="1499" spans="9:9" x14ac:dyDescent="0.25">
      <c r="I1499">
        <f t="shared" si="24"/>
        <v>1900</v>
      </c>
    </row>
    <row r="1500" spans="9:9" x14ac:dyDescent="0.25">
      <c r="I1500">
        <f t="shared" si="24"/>
        <v>1900</v>
      </c>
    </row>
    <row r="1501" spans="9:9" x14ac:dyDescent="0.25">
      <c r="I1501">
        <f t="shared" si="24"/>
        <v>1900</v>
      </c>
    </row>
    <row r="1502" spans="9:9" x14ac:dyDescent="0.25">
      <c r="I1502">
        <f t="shared" si="24"/>
        <v>1900</v>
      </c>
    </row>
    <row r="1503" spans="9:9" x14ac:dyDescent="0.25">
      <c r="I1503">
        <f t="shared" si="24"/>
        <v>1900</v>
      </c>
    </row>
    <row r="1504" spans="9:9" x14ac:dyDescent="0.25">
      <c r="I1504">
        <f t="shared" si="24"/>
        <v>1900</v>
      </c>
    </row>
    <row r="1505" spans="9:9" x14ac:dyDescent="0.25">
      <c r="I1505">
        <f t="shared" si="24"/>
        <v>1900</v>
      </c>
    </row>
    <row r="1506" spans="9:9" x14ac:dyDescent="0.25">
      <c r="I1506">
        <f t="shared" si="24"/>
        <v>1900</v>
      </c>
    </row>
    <row r="1507" spans="9:9" x14ac:dyDescent="0.25">
      <c r="I1507">
        <f t="shared" si="24"/>
        <v>1900</v>
      </c>
    </row>
    <row r="1508" spans="9:9" x14ac:dyDescent="0.25">
      <c r="I1508">
        <f t="shared" si="24"/>
        <v>1900</v>
      </c>
    </row>
    <row r="1509" spans="9:9" x14ac:dyDescent="0.25">
      <c r="I1509">
        <f t="shared" si="24"/>
        <v>1900</v>
      </c>
    </row>
    <row r="1510" spans="9:9" x14ac:dyDescent="0.25">
      <c r="I1510">
        <f t="shared" si="24"/>
        <v>1900</v>
      </c>
    </row>
    <row r="1511" spans="9:9" x14ac:dyDescent="0.25">
      <c r="I1511">
        <f t="shared" si="24"/>
        <v>1900</v>
      </c>
    </row>
    <row r="1512" spans="9:9" x14ac:dyDescent="0.25">
      <c r="I1512">
        <f t="shared" si="24"/>
        <v>1900</v>
      </c>
    </row>
    <row r="1513" spans="9:9" x14ac:dyDescent="0.25">
      <c r="I1513">
        <f t="shared" si="24"/>
        <v>1900</v>
      </c>
    </row>
    <row r="1514" spans="9:9" x14ac:dyDescent="0.25">
      <c r="I1514">
        <f t="shared" si="24"/>
        <v>1900</v>
      </c>
    </row>
    <row r="1515" spans="9:9" x14ac:dyDescent="0.25">
      <c r="I1515">
        <f t="shared" si="24"/>
        <v>1900</v>
      </c>
    </row>
    <row r="1516" spans="9:9" x14ac:dyDescent="0.25">
      <c r="I1516">
        <f t="shared" si="24"/>
        <v>1900</v>
      </c>
    </row>
    <row r="1517" spans="9:9" x14ac:dyDescent="0.25">
      <c r="I1517">
        <f t="shared" si="24"/>
        <v>1900</v>
      </c>
    </row>
    <row r="1518" spans="9:9" x14ac:dyDescent="0.25">
      <c r="I1518">
        <f t="shared" si="24"/>
        <v>1900</v>
      </c>
    </row>
    <row r="1519" spans="9:9" x14ac:dyDescent="0.25">
      <c r="I1519">
        <f t="shared" si="24"/>
        <v>1900</v>
      </c>
    </row>
    <row r="1520" spans="9:9" x14ac:dyDescent="0.25">
      <c r="I1520">
        <f t="shared" si="24"/>
        <v>1900</v>
      </c>
    </row>
    <row r="1521" spans="9:9" x14ac:dyDescent="0.25">
      <c r="I1521">
        <f t="shared" si="24"/>
        <v>1900</v>
      </c>
    </row>
    <row r="1522" spans="9:9" x14ac:dyDescent="0.25">
      <c r="I1522">
        <f t="shared" si="24"/>
        <v>1900</v>
      </c>
    </row>
    <row r="1523" spans="9:9" x14ac:dyDescent="0.25">
      <c r="I1523">
        <f t="shared" si="24"/>
        <v>1900</v>
      </c>
    </row>
    <row r="1524" spans="9:9" x14ac:dyDescent="0.25">
      <c r="I1524">
        <f t="shared" si="24"/>
        <v>1900</v>
      </c>
    </row>
    <row r="1525" spans="9:9" x14ac:dyDescent="0.25">
      <c r="I1525">
        <f t="shared" si="24"/>
        <v>1900</v>
      </c>
    </row>
    <row r="1526" spans="9:9" x14ac:dyDescent="0.25">
      <c r="I1526">
        <f t="shared" si="24"/>
        <v>1900</v>
      </c>
    </row>
    <row r="1527" spans="9:9" x14ac:dyDescent="0.25">
      <c r="I1527">
        <f t="shared" si="24"/>
        <v>1900</v>
      </c>
    </row>
    <row r="1528" spans="9:9" x14ac:dyDescent="0.25">
      <c r="I1528">
        <f t="shared" si="24"/>
        <v>1900</v>
      </c>
    </row>
    <row r="1529" spans="9:9" x14ac:dyDescent="0.25">
      <c r="I1529">
        <f t="shared" si="24"/>
        <v>1900</v>
      </c>
    </row>
    <row r="1530" spans="9:9" x14ac:dyDescent="0.25">
      <c r="I1530">
        <f t="shared" si="24"/>
        <v>1900</v>
      </c>
    </row>
    <row r="1531" spans="9:9" x14ac:dyDescent="0.25">
      <c r="I1531">
        <f t="shared" si="24"/>
        <v>1900</v>
      </c>
    </row>
    <row r="1532" spans="9:9" x14ac:dyDescent="0.25">
      <c r="I1532">
        <f t="shared" si="24"/>
        <v>1900</v>
      </c>
    </row>
    <row r="1533" spans="9:9" x14ac:dyDescent="0.25">
      <c r="I1533">
        <f t="shared" si="24"/>
        <v>1900</v>
      </c>
    </row>
    <row r="1534" spans="9:9" x14ac:dyDescent="0.25">
      <c r="I1534">
        <f t="shared" si="24"/>
        <v>1900</v>
      </c>
    </row>
    <row r="1535" spans="9:9" x14ac:dyDescent="0.25">
      <c r="I1535">
        <f t="shared" si="24"/>
        <v>1900</v>
      </c>
    </row>
    <row r="1536" spans="9:9" x14ac:dyDescent="0.25">
      <c r="I1536">
        <f t="shared" si="24"/>
        <v>1900</v>
      </c>
    </row>
    <row r="1537" spans="9:9" x14ac:dyDescent="0.25">
      <c r="I1537">
        <f t="shared" si="24"/>
        <v>1900</v>
      </c>
    </row>
    <row r="1538" spans="9:9" x14ac:dyDescent="0.25">
      <c r="I1538">
        <f t="shared" si="24"/>
        <v>1900</v>
      </c>
    </row>
    <row r="1539" spans="9:9" x14ac:dyDescent="0.25">
      <c r="I1539">
        <f t="shared" si="24"/>
        <v>1900</v>
      </c>
    </row>
    <row r="1540" spans="9:9" x14ac:dyDescent="0.25">
      <c r="I1540">
        <f t="shared" ref="I1540:I1603" si="25">IFERROR(YEAR(E1540),"")</f>
        <v>1900</v>
      </c>
    </row>
    <row r="1541" spans="9:9" x14ac:dyDescent="0.25">
      <c r="I1541">
        <f t="shared" si="25"/>
        <v>1900</v>
      </c>
    </row>
    <row r="1542" spans="9:9" x14ac:dyDescent="0.25">
      <c r="I1542">
        <f t="shared" si="25"/>
        <v>1900</v>
      </c>
    </row>
    <row r="1543" spans="9:9" x14ac:dyDescent="0.25">
      <c r="I1543">
        <f t="shared" si="25"/>
        <v>1900</v>
      </c>
    </row>
    <row r="1544" spans="9:9" x14ac:dyDescent="0.25">
      <c r="I1544">
        <f t="shared" si="25"/>
        <v>1900</v>
      </c>
    </row>
    <row r="1545" spans="9:9" x14ac:dyDescent="0.25">
      <c r="I1545">
        <f t="shared" si="25"/>
        <v>1900</v>
      </c>
    </row>
    <row r="1546" spans="9:9" x14ac:dyDescent="0.25">
      <c r="I1546">
        <f t="shared" si="25"/>
        <v>1900</v>
      </c>
    </row>
    <row r="1547" spans="9:9" x14ac:dyDescent="0.25">
      <c r="I1547">
        <f t="shared" si="25"/>
        <v>1900</v>
      </c>
    </row>
    <row r="1548" spans="9:9" x14ac:dyDescent="0.25">
      <c r="I1548">
        <f t="shared" si="25"/>
        <v>1900</v>
      </c>
    </row>
    <row r="1549" spans="9:9" x14ac:dyDescent="0.25">
      <c r="I1549">
        <f t="shared" si="25"/>
        <v>1900</v>
      </c>
    </row>
    <row r="1550" spans="9:9" x14ac:dyDescent="0.25">
      <c r="I1550">
        <f t="shared" si="25"/>
        <v>1900</v>
      </c>
    </row>
    <row r="1551" spans="9:9" x14ac:dyDescent="0.25">
      <c r="I1551">
        <f t="shared" si="25"/>
        <v>1900</v>
      </c>
    </row>
    <row r="1552" spans="9:9" x14ac:dyDescent="0.25">
      <c r="I1552">
        <f t="shared" si="25"/>
        <v>1900</v>
      </c>
    </row>
    <row r="1553" spans="9:9" x14ac:dyDescent="0.25">
      <c r="I1553">
        <f t="shared" si="25"/>
        <v>1900</v>
      </c>
    </row>
    <row r="1554" spans="9:9" x14ac:dyDescent="0.25">
      <c r="I1554">
        <f t="shared" si="25"/>
        <v>1900</v>
      </c>
    </row>
    <row r="1555" spans="9:9" x14ac:dyDescent="0.25">
      <c r="I1555">
        <f t="shared" si="25"/>
        <v>1900</v>
      </c>
    </row>
    <row r="1556" spans="9:9" x14ac:dyDescent="0.25">
      <c r="I1556">
        <f t="shared" si="25"/>
        <v>1900</v>
      </c>
    </row>
    <row r="1557" spans="9:9" x14ac:dyDescent="0.25">
      <c r="I1557">
        <f t="shared" si="25"/>
        <v>1900</v>
      </c>
    </row>
    <row r="1558" spans="9:9" x14ac:dyDescent="0.25">
      <c r="I1558">
        <f t="shared" si="25"/>
        <v>1900</v>
      </c>
    </row>
    <row r="1559" spans="9:9" x14ac:dyDescent="0.25">
      <c r="I1559">
        <f t="shared" si="25"/>
        <v>1900</v>
      </c>
    </row>
    <row r="1560" spans="9:9" x14ac:dyDescent="0.25">
      <c r="I1560">
        <f t="shared" si="25"/>
        <v>1900</v>
      </c>
    </row>
    <row r="1561" spans="9:9" x14ac:dyDescent="0.25">
      <c r="I1561">
        <f t="shared" si="25"/>
        <v>1900</v>
      </c>
    </row>
    <row r="1562" spans="9:9" x14ac:dyDescent="0.25">
      <c r="I1562">
        <f t="shared" si="25"/>
        <v>1900</v>
      </c>
    </row>
    <row r="1563" spans="9:9" x14ac:dyDescent="0.25">
      <c r="I1563">
        <f t="shared" si="25"/>
        <v>1900</v>
      </c>
    </row>
    <row r="1564" spans="9:9" x14ac:dyDescent="0.25">
      <c r="I1564">
        <f t="shared" si="25"/>
        <v>1900</v>
      </c>
    </row>
    <row r="1565" spans="9:9" x14ac:dyDescent="0.25">
      <c r="I1565">
        <f t="shared" si="25"/>
        <v>1900</v>
      </c>
    </row>
    <row r="1566" spans="9:9" x14ac:dyDescent="0.25">
      <c r="I1566">
        <f t="shared" si="25"/>
        <v>1900</v>
      </c>
    </row>
    <row r="1567" spans="9:9" x14ac:dyDescent="0.25">
      <c r="I1567">
        <f t="shared" si="25"/>
        <v>1900</v>
      </c>
    </row>
    <row r="1568" spans="9:9" x14ac:dyDescent="0.25">
      <c r="I1568">
        <f t="shared" si="25"/>
        <v>1900</v>
      </c>
    </row>
    <row r="1569" spans="9:9" x14ac:dyDescent="0.25">
      <c r="I1569">
        <f t="shared" si="25"/>
        <v>1900</v>
      </c>
    </row>
    <row r="1570" spans="9:9" x14ac:dyDescent="0.25">
      <c r="I1570">
        <f t="shared" si="25"/>
        <v>1900</v>
      </c>
    </row>
    <row r="1571" spans="9:9" x14ac:dyDescent="0.25">
      <c r="I1571">
        <f t="shared" si="25"/>
        <v>1900</v>
      </c>
    </row>
    <row r="1572" spans="9:9" x14ac:dyDescent="0.25">
      <c r="I1572">
        <f t="shared" si="25"/>
        <v>1900</v>
      </c>
    </row>
    <row r="1573" spans="9:9" x14ac:dyDescent="0.25">
      <c r="I1573">
        <f t="shared" si="25"/>
        <v>1900</v>
      </c>
    </row>
    <row r="1574" spans="9:9" x14ac:dyDescent="0.25">
      <c r="I1574">
        <f t="shared" si="25"/>
        <v>1900</v>
      </c>
    </row>
    <row r="1575" spans="9:9" x14ac:dyDescent="0.25">
      <c r="I1575">
        <f t="shared" si="25"/>
        <v>1900</v>
      </c>
    </row>
    <row r="1576" spans="9:9" x14ac:dyDescent="0.25">
      <c r="I1576">
        <f t="shared" si="25"/>
        <v>1900</v>
      </c>
    </row>
    <row r="1577" spans="9:9" x14ac:dyDescent="0.25">
      <c r="I1577">
        <f t="shared" si="25"/>
        <v>1900</v>
      </c>
    </row>
    <row r="1578" spans="9:9" x14ac:dyDescent="0.25">
      <c r="I1578">
        <f t="shared" si="25"/>
        <v>1900</v>
      </c>
    </row>
    <row r="1579" spans="9:9" x14ac:dyDescent="0.25">
      <c r="I1579">
        <f t="shared" si="25"/>
        <v>1900</v>
      </c>
    </row>
    <row r="1580" spans="9:9" x14ac:dyDescent="0.25">
      <c r="I1580">
        <f t="shared" si="25"/>
        <v>1900</v>
      </c>
    </row>
    <row r="1581" spans="9:9" x14ac:dyDescent="0.25">
      <c r="I1581">
        <f t="shared" si="25"/>
        <v>1900</v>
      </c>
    </row>
    <row r="1582" spans="9:9" x14ac:dyDescent="0.25">
      <c r="I1582">
        <f t="shared" si="25"/>
        <v>1900</v>
      </c>
    </row>
    <row r="1583" spans="9:9" x14ac:dyDescent="0.25">
      <c r="I1583">
        <f t="shared" si="25"/>
        <v>1900</v>
      </c>
    </row>
    <row r="1584" spans="9:9" x14ac:dyDescent="0.25">
      <c r="I1584">
        <f t="shared" si="25"/>
        <v>1900</v>
      </c>
    </row>
    <row r="1585" spans="9:9" x14ac:dyDescent="0.25">
      <c r="I1585">
        <f t="shared" si="25"/>
        <v>1900</v>
      </c>
    </row>
    <row r="1586" spans="9:9" x14ac:dyDescent="0.25">
      <c r="I1586">
        <f t="shared" si="25"/>
        <v>1900</v>
      </c>
    </row>
    <row r="1587" spans="9:9" x14ac:dyDescent="0.25">
      <c r="I1587">
        <f t="shared" si="25"/>
        <v>1900</v>
      </c>
    </row>
    <row r="1588" spans="9:9" x14ac:dyDescent="0.25">
      <c r="I1588">
        <f t="shared" si="25"/>
        <v>1900</v>
      </c>
    </row>
    <row r="1589" spans="9:9" x14ac:dyDescent="0.25">
      <c r="I1589">
        <f t="shared" si="25"/>
        <v>1900</v>
      </c>
    </row>
    <row r="1590" spans="9:9" x14ac:dyDescent="0.25">
      <c r="I1590">
        <f t="shared" si="25"/>
        <v>1900</v>
      </c>
    </row>
    <row r="1591" spans="9:9" x14ac:dyDescent="0.25">
      <c r="I1591">
        <f t="shared" si="25"/>
        <v>1900</v>
      </c>
    </row>
    <row r="1592" spans="9:9" x14ac:dyDescent="0.25">
      <c r="I1592">
        <f t="shared" si="25"/>
        <v>1900</v>
      </c>
    </row>
    <row r="1593" spans="9:9" x14ac:dyDescent="0.25">
      <c r="I1593">
        <f t="shared" si="25"/>
        <v>1900</v>
      </c>
    </row>
    <row r="1594" spans="9:9" x14ac:dyDescent="0.25">
      <c r="I1594">
        <f t="shared" si="25"/>
        <v>1900</v>
      </c>
    </row>
    <row r="1595" spans="9:9" x14ac:dyDescent="0.25">
      <c r="I1595">
        <f t="shared" si="25"/>
        <v>1900</v>
      </c>
    </row>
    <row r="1596" spans="9:9" x14ac:dyDescent="0.25">
      <c r="I1596">
        <f t="shared" si="25"/>
        <v>1900</v>
      </c>
    </row>
    <row r="1597" spans="9:9" x14ac:dyDescent="0.25">
      <c r="I1597">
        <f t="shared" si="25"/>
        <v>1900</v>
      </c>
    </row>
    <row r="1598" spans="9:9" x14ac:dyDescent="0.25">
      <c r="I1598">
        <f t="shared" si="25"/>
        <v>1900</v>
      </c>
    </row>
    <row r="1599" spans="9:9" x14ac:dyDescent="0.25">
      <c r="I1599">
        <f t="shared" si="25"/>
        <v>1900</v>
      </c>
    </row>
    <row r="1600" spans="9:9" x14ac:dyDescent="0.25">
      <c r="I1600">
        <f t="shared" si="25"/>
        <v>1900</v>
      </c>
    </row>
    <row r="1601" spans="9:9" x14ac:dyDescent="0.25">
      <c r="I1601">
        <f t="shared" si="25"/>
        <v>1900</v>
      </c>
    </row>
    <row r="1602" spans="9:9" x14ac:dyDescent="0.25">
      <c r="I1602">
        <f t="shared" si="25"/>
        <v>1900</v>
      </c>
    </row>
    <row r="1603" spans="9:9" x14ac:dyDescent="0.25">
      <c r="I1603">
        <f t="shared" si="25"/>
        <v>1900</v>
      </c>
    </row>
    <row r="1604" spans="9:9" x14ac:dyDescent="0.25">
      <c r="I1604">
        <f t="shared" ref="I1604:I1667" si="26">IFERROR(YEAR(E1604),"")</f>
        <v>1900</v>
      </c>
    </row>
    <row r="1605" spans="9:9" x14ac:dyDescent="0.25">
      <c r="I1605">
        <f t="shared" si="26"/>
        <v>1900</v>
      </c>
    </row>
    <row r="1606" spans="9:9" x14ac:dyDescent="0.25">
      <c r="I1606">
        <f t="shared" si="26"/>
        <v>1900</v>
      </c>
    </row>
    <row r="1607" spans="9:9" x14ac:dyDescent="0.25">
      <c r="I1607">
        <f t="shared" si="26"/>
        <v>1900</v>
      </c>
    </row>
    <row r="1608" spans="9:9" x14ac:dyDescent="0.25">
      <c r="I1608">
        <f t="shared" si="26"/>
        <v>1900</v>
      </c>
    </row>
    <row r="1609" spans="9:9" x14ac:dyDescent="0.25">
      <c r="I1609">
        <f t="shared" si="26"/>
        <v>1900</v>
      </c>
    </row>
    <row r="1610" spans="9:9" x14ac:dyDescent="0.25">
      <c r="I1610">
        <f t="shared" si="26"/>
        <v>1900</v>
      </c>
    </row>
    <row r="1611" spans="9:9" x14ac:dyDescent="0.25">
      <c r="I1611">
        <f t="shared" si="26"/>
        <v>1900</v>
      </c>
    </row>
    <row r="1612" spans="9:9" x14ac:dyDescent="0.25">
      <c r="I1612">
        <f t="shared" si="26"/>
        <v>1900</v>
      </c>
    </row>
    <row r="1613" spans="9:9" x14ac:dyDescent="0.25">
      <c r="I1613">
        <f t="shared" si="26"/>
        <v>1900</v>
      </c>
    </row>
    <row r="1614" spans="9:9" x14ac:dyDescent="0.25">
      <c r="I1614">
        <f t="shared" si="26"/>
        <v>1900</v>
      </c>
    </row>
    <row r="1615" spans="9:9" x14ac:dyDescent="0.25">
      <c r="I1615">
        <f t="shared" si="26"/>
        <v>1900</v>
      </c>
    </row>
    <row r="1616" spans="9:9" x14ac:dyDescent="0.25">
      <c r="I1616">
        <f t="shared" si="26"/>
        <v>1900</v>
      </c>
    </row>
    <row r="1617" spans="9:9" x14ac:dyDescent="0.25">
      <c r="I1617">
        <f t="shared" si="26"/>
        <v>1900</v>
      </c>
    </row>
    <row r="1618" spans="9:9" x14ac:dyDescent="0.25">
      <c r="I1618">
        <f t="shared" si="26"/>
        <v>1900</v>
      </c>
    </row>
    <row r="1619" spans="9:9" x14ac:dyDescent="0.25">
      <c r="I1619">
        <f t="shared" si="26"/>
        <v>1900</v>
      </c>
    </row>
    <row r="1620" spans="9:9" x14ac:dyDescent="0.25">
      <c r="I1620">
        <f t="shared" si="26"/>
        <v>1900</v>
      </c>
    </row>
    <row r="1621" spans="9:9" x14ac:dyDescent="0.25">
      <c r="I1621">
        <f t="shared" si="26"/>
        <v>1900</v>
      </c>
    </row>
    <row r="1622" spans="9:9" x14ac:dyDescent="0.25">
      <c r="I1622">
        <f t="shared" si="26"/>
        <v>1900</v>
      </c>
    </row>
    <row r="1623" spans="9:9" x14ac:dyDescent="0.25">
      <c r="I1623">
        <f t="shared" si="26"/>
        <v>1900</v>
      </c>
    </row>
    <row r="1624" spans="9:9" x14ac:dyDescent="0.25">
      <c r="I1624">
        <f t="shared" si="26"/>
        <v>1900</v>
      </c>
    </row>
    <row r="1625" spans="9:9" x14ac:dyDescent="0.25">
      <c r="I1625">
        <f t="shared" si="26"/>
        <v>1900</v>
      </c>
    </row>
    <row r="1626" spans="9:9" x14ac:dyDescent="0.25">
      <c r="I1626">
        <f t="shared" si="26"/>
        <v>1900</v>
      </c>
    </row>
    <row r="1627" spans="9:9" x14ac:dyDescent="0.25">
      <c r="I1627">
        <f t="shared" si="26"/>
        <v>1900</v>
      </c>
    </row>
    <row r="1628" spans="9:9" x14ac:dyDescent="0.25">
      <c r="I1628">
        <f t="shared" si="26"/>
        <v>1900</v>
      </c>
    </row>
    <row r="1629" spans="9:9" x14ac:dyDescent="0.25">
      <c r="I1629">
        <f t="shared" si="26"/>
        <v>1900</v>
      </c>
    </row>
    <row r="1630" spans="9:9" x14ac:dyDescent="0.25">
      <c r="I1630">
        <f t="shared" si="26"/>
        <v>1900</v>
      </c>
    </row>
    <row r="1631" spans="9:9" x14ac:dyDescent="0.25">
      <c r="I1631">
        <f t="shared" si="26"/>
        <v>1900</v>
      </c>
    </row>
    <row r="1632" spans="9:9" x14ac:dyDescent="0.25">
      <c r="I1632">
        <f t="shared" si="26"/>
        <v>1900</v>
      </c>
    </row>
    <row r="1633" spans="9:9" x14ac:dyDescent="0.25">
      <c r="I1633">
        <f t="shared" si="26"/>
        <v>1900</v>
      </c>
    </row>
    <row r="1634" spans="9:9" x14ac:dyDescent="0.25">
      <c r="I1634">
        <f t="shared" si="26"/>
        <v>1900</v>
      </c>
    </row>
    <row r="1635" spans="9:9" x14ac:dyDescent="0.25">
      <c r="I1635">
        <f t="shared" si="26"/>
        <v>1900</v>
      </c>
    </row>
    <row r="1636" spans="9:9" x14ac:dyDescent="0.25">
      <c r="I1636">
        <f t="shared" si="26"/>
        <v>1900</v>
      </c>
    </row>
    <row r="1637" spans="9:9" x14ac:dyDescent="0.25">
      <c r="I1637">
        <f t="shared" si="26"/>
        <v>1900</v>
      </c>
    </row>
    <row r="1638" spans="9:9" x14ac:dyDescent="0.25">
      <c r="I1638">
        <f t="shared" si="26"/>
        <v>1900</v>
      </c>
    </row>
    <row r="1639" spans="9:9" x14ac:dyDescent="0.25">
      <c r="I1639">
        <f t="shared" si="26"/>
        <v>1900</v>
      </c>
    </row>
    <row r="1640" spans="9:9" x14ac:dyDescent="0.25">
      <c r="I1640">
        <f t="shared" si="26"/>
        <v>1900</v>
      </c>
    </row>
    <row r="1641" spans="9:9" x14ac:dyDescent="0.25">
      <c r="I1641">
        <f t="shared" si="26"/>
        <v>1900</v>
      </c>
    </row>
    <row r="1642" spans="9:9" x14ac:dyDescent="0.25">
      <c r="I1642">
        <f t="shared" si="26"/>
        <v>1900</v>
      </c>
    </row>
    <row r="1643" spans="9:9" x14ac:dyDescent="0.25">
      <c r="I1643">
        <f t="shared" si="26"/>
        <v>1900</v>
      </c>
    </row>
    <row r="1644" spans="9:9" x14ac:dyDescent="0.25">
      <c r="I1644">
        <f t="shared" si="26"/>
        <v>1900</v>
      </c>
    </row>
    <row r="1645" spans="9:9" x14ac:dyDescent="0.25">
      <c r="I1645">
        <f t="shared" si="26"/>
        <v>1900</v>
      </c>
    </row>
    <row r="1646" spans="9:9" x14ac:dyDescent="0.25">
      <c r="I1646">
        <f t="shared" si="26"/>
        <v>1900</v>
      </c>
    </row>
    <row r="1647" spans="9:9" x14ac:dyDescent="0.25">
      <c r="I1647">
        <f t="shared" si="26"/>
        <v>1900</v>
      </c>
    </row>
    <row r="1648" spans="9:9" x14ac:dyDescent="0.25">
      <c r="I1648">
        <f t="shared" si="26"/>
        <v>1900</v>
      </c>
    </row>
    <row r="1649" spans="9:9" x14ac:dyDescent="0.25">
      <c r="I1649">
        <f t="shared" si="26"/>
        <v>1900</v>
      </c>
    </row>
    <row r="1650" spans="9:9" x14ac:dyDescent="0.25">
      <c r="I1650">
        <f t="shared" si="26"/>
        <v>1900</v>
      </c>
    </row>
    <row r="1651" spans="9:9" x14ac:dyDescent="0.25">
      <c r="I1651">
        <f t="shared" si="26"/>
        <v>1900</v>
      </c>
    </row>
    <row r="1652" spans="9:9" x14ac:dyDescent="0.25">
      <c r="I1652">
        <f t="shared" si="26"/>
        <v>1900</v>
      </c>
    </row>
    <row r="1653" spans="9:9" x14ac:dyDescent="0.25">
      <c r="I1653">
        <f t="shared" si="26"/>
        <v>1900</v>
      </c>
    </row>
    <row r="1654" spans="9:9" x14ac:dyDescent="0.25">
      <c r="I1654">
        <f t="shared" si="26"/>
        <v>1900</v>
      </c>
    </row>
    <row r="1655" spans="9:9" x14ac:dyDescent="0.25">
      <c r="I1655">
        <f t="shared" si="26"/>
        <v>1900</v>
      </c>
    </row>
    <row r="1656" spans="9:9" x14ac:dyDescent="0.25">
      <c r="I1656">
        <f t="shared" si="26"/>
        <v>1900</v>
      </c>
    </row>
    <row r="1657" spans="9:9" x14ac:dyDescent="0.25">
      <c r="I1657">
        <f t="shared" si="26"/>
        <v>1900</v>
      </c>
    </row>
    <row r="1658" spans="9:9" x14ac:dyDescent="0.25">
      <c r="I1658">
        <f t="shared" si="26"/>
        <v>1900</v>
      </c>
    </row>
    <row r="1659" spans="9:9" x14ac:dyDescent="0.25">
      <c r="I1659">
        <f t="shared" si="26"/>
        <v>1900</v>
      </c>
    </row>
    <row r="1660" spans="9:9" x14ac:dyDescent="0.25">
      <c r="I1660">
        <f t="shared" si="26"/>
        <v>1900</v>
      </c>
    </row>
    <row r="1661" spans="9:9" x14ac:dyDescent="0.25">
      <c r="I1661">
        <f t="shared" si="26"/>
        <v>1900</v>
      </c>
    </row>
    <row r="1662" spans="9:9" x14ac:dyDescent="0.25">
      <c r="I1662">
        <f t="shared" si="26"/>
        <v>1900</v>
      </c>
    </row>
    <row r="1663" spans="9:9" x14ac:dyDescent="0.25">
      <c r="I1663">
        <f t="shared" si="26"/>
        <v>1900</v>
      </c>
    </row>
    <row r="1664" spans="9:9" x14ac:dyDescent="0.25">
      <c r="I1664">
        <f t="shared" si="26"/>
        <v>1900</v>
      </c>
    </row>
    <row r="1665" spans="9:9" x14ac:dyDescent="0.25">
      <c r="I1665">
        <f t="shared" si="26"/>
        <v>1900</v>
      </c>
    </row>
    <row r="1666" spans="9:9" x14ac:dyDescent="0.25">
      <c r="I1666">
        <f t="shared" si="26"/>
        <v>1900</v>
      </c>
    </row>
    <row r="1667" spans="9:9" x14ac:dyDescent="0.25">
      <c r="I1667">
        <f t="shared" si="26"/>
        <v>1900</v>
      </c>
    </row>
    <row r="1668" spans="9:9" x14ac:dyDescent="0.25">
      <c r="I1668">
        <f t="shared" ref="I1668:I1731" si="27">IFERROR(YEAR(E1668),"")</f>
        <v>1900</v>
      </c>
    </row>
    <row r="1669" spans="9:9" x14ac:dyDescent="0.25">
      <c r="I1669">
        <f t="shared" si="27"/>
        <v>1900</v>
      </c>
    </row>
    <row r="1670" spans="9:9" x14ac:dyDescent="0.25">
      <c r="I1670">
        <f t="shared" si="27"/>
        <v>1900</v>
      </c>
    </row>
    <row r="1671" spans="9:9" x14ac:dyDescent="0.25">
      <c r="I1671">
        <f t="shared" si="27"/>
        <v>1900</v>
      </c>
    </row>
    <row r="1672" spans="9:9" x14ac:dyDescent="0.25">
      <c r="I1672">
        <f t="shared" si="27"/>
        <v>1900</v>
      </c>
    </row>
    <row r="1673" spans="9:9" x14ac:dyDescent="0.25">
      <c r="I1673">
        <f t="shared" si="27"/>
        <v>1900</v>
      </c>
    </row>
    <row r="1674" spans="9:9" x14ac:dyDescent="0.25">
      <c r="I1674">
        <f t="shared" si="27"/>
        <v>1900</v>
      </c>
    </row>
    <row r="1675" spans="9:9" x14ac:dyDescent="0.25">
      <c r="I1675">
        <f t="shared" si="27"/>
        <v>1900</v>
      </c>
    </row>
    <row r="1676" spans="9:9" x14ac:dyDescent="0.25">
      <c r="I1676">
        <f t="shared" si="27"/>
        <v>1900</v>
      </c>
    </row>
    <row r="1677" spans="9:9" x14ac:dyDescent="0.25">
      <c r="I1677">
        <f t="shared" si="27"/>
        <v>1900</v>
      </c>
    </row>
    <row r="1678" spans="9:9" x14ac:dyDescent="0.25">
      <c r="I1678">
        <f t="shared" si="27"/>
        <v>1900</v>
      </c>
    </row>
    <row r="1679" spans="9:9" x14ac:dyDescent="0.25">
      <c r="I1679">
        <f t="shared" si="27"/>
        <v>1900</v>
      </c>
    </row>
    <row r="1680" spans="9:9" x14ac:dyDescent="0.25">
      <c r="I1680">
        <f t="shared" si="27"/>
        <v>1900</v>
      </c>
    </row>
    <row r="1681" spans="9:9" x14ac:dyDescent="0.25">
      <c r="I1681">
        <f t="shared" si="27"/>
        <v>1900</v>
      </c>
    </row>
    <row r="1682" spans="9:9" x14ac:dyDescent="0.25">
      <c r="I1682">
        <f t="shared" si="27"/>
        <v>1900</v>
      </c>
    </row>
    <row r="1683" spans="9:9" x14ac:dyDescent="0.25">
      <c r="I1683">
        <f t="shared" si="27"/>
        <v>1900</v>
      </c>
    </row>
    <row r="1684" spans="9:9" x14ac:dyDescent="0.25">
      <c r="I1684">
        <f t="shared" si="27"/>
        <v>1900</v>
      </c>
    </row>
    <row r="1685" spans="9:9" x14ac:dyDescent="0.25">
      <c r="I1685">
        <f t="shared" si="27"/>
        <v>1900</v>
      </c>
    </row>
    <row r="1686" spans="9:9" x14ac:dyDescent="0.25">
      <c r="I1686">
        <f t="shared" si="27"/>
        <v>1900</v>
      </c>
    </row>
    <row r="1687" spans="9:9" x14ac:dyDescent="0.25">
      <c r="I1687">
        <f t="shared" si="27"/>
        <v>1900</v>
      </c>
    </row>
    <row r="1688" spans="9:9" x14ac:dyDescent="0.25">
      <c r="I1688">
        <f t="shared" si="27"/>
        <v>1900</v>
      </c>
    </row>
    <row r="1689" spans="9:9" x14ac:dyDescent="0.25">
      <c r="I1689">
        <f t="shared" si="27"/>
        <v>1900</v>
      </c>
    </row>
    <row r="1690" spans="9:9" x14ac:dyDescent="0.25">
      <c r="I1690">
        <f t="shared" si="27"/>
        <v>1900</v>
      </c>
    </row>
    <row r="1691" spans="9:9" x14ac:dyDescent="0.25">
      <c r="I1691">
        <f t="shared" si="27"/>
        <v>1900</v>
      </c>
    </row>
    <row r="1692" spans="9:9" x14ac:dyDescent="0.25">
      <c r="I1692">
        <f t="shared" si="27"/>
        <v>1900</v>
      </c>
    </row>
    <row r="1693" spans="9:9" x14ac:dyDescent="0.25">
      <c r="I1693">
        <f t="shared" si="27"/>
        <v>1900</v>
      </c>
    </row>
    <row r="1694" spans="9:9" x14ac:dyDescent="0.25">
      <c r="I1694">
        <f t="shared" si="27"/>
        <v>1900</v>
      </c>
    </row>
    <row r="1695" spans="9:9" x14ac:dyDescent="0.25">
      <c r="I1695">
        <f t="shared" si="27"/>
        <v>1900</v>
      </c>
    </row>
    <row r="1696" spans="9:9" x14ac:dyDescent="0.25">
      <c r="I1696">
        <f t="shared" si="27"/>
        <v>1900</v>
      </c>
    </row>
    <row r="1697" spans="9:9" x14ac:dyDescent="0.25">
      <c r="I1697">
        <f t="shared" si="27"/>
        <v>1900</v>
      </c>
    </row>
    <row r="1698" spans="9:9" x14ac:dyDescent="0.25">
      <c r="I1698">
        <f t="shared" si="27"/>
        <v>1900</v>
      </c>
    </row>
    <row r="1699" spans="9:9" x14ac:dyDescent="0.25">
      <c r="I1699">
        <f t="shared" si="27"/>
        <v>1900</v>
      </c>
    </row>
    <row r="1700" spans="9:9" x14ac:dyDescent="0.25">
      <c r="I1700">
        <f t="shared" si="27"/>
        <v>1900</v>
      </c>
    </row>
    <row r="1701" spans="9:9" x14ac:dyDescent="0.25">
      <c r="I1701">
        <f t="shared" si="27"/>
        <v>1900</v>
      </c>
    </row>
    <row r="1702" spans="9:9" x14ac:dyDescent="0.25">
      <c r="I1702">
        <f t="shared" si="27"/>
        <v>1900</v>
      </c>
    </row>
    <row r="1703" spans="9:9" x14ac:dyDescent="0.25">
      <c r="I1703">
        <f t="shared" si="27"/>
        <v>1900</v>
      </c>
    </row>
    <row r="1704" spans="9:9" x14ac:dyDescent="0.25">
      <c r="I1704">
        <f t="shared" si="27"/>
        <v>1900</v>
      </c>
    </row>
    <row r="1705" spans="9:9" x14ac:dyDescent="0.25">
      <c r="I1705">
        <f t="shared" si="27"/>
        <v>1900</v>
      </c>
    </row>
    <row r="1706" spans="9:9" x14ac:dyDescent="0.25">
      <c r="I1706">
        <f t="shared" si="27"/>
        <v>1900</v>
      </c>
    </row>
    <row r="1707" spans="9:9" x14ac:dyDescent="0.25">
      <c r="I1707">
        <f t="shared" si="27"/>
        <v>1900</v>
      </c>
    </row>
    <row r="1708" spans="9:9" x14ac:dyDescent="0.25">
      <c r="I1708">
        <f t="shared" si="27"/>
        <v>1900</v>
      </c>
    </row>
    <row r="1709" spans="9:9" x14ac:dyDescent="0.25">
      <c r="I1709">
        <f t="shared" si="27"/>
        <v>1900</v>
      </c>
    </row>
    <row r="1710" spans="9:9" x14ac:dyDescent="0.25">
      <c r="I1710">
        <f t="shared" si="27"/>
        <v>1900</v>
      </c>
    </row>
    <row r="1711" spans="9:9" x14ac:dyDescent="0.25">
      <c r="I1711">
        <f t="shared" si="27"/>
        <v>1900</v>
      </c>
    </row>
    <row r="1712" spans="9:9" x14ac:dyDescent="0.25">
      <c r="I1712">
        <f t="shared" si="27"/>
        <v>1900</v>
      </c>
    </row>
    <row r="1713" spans="9:9" x14ac:dyDescent="0.25">
      <c r="I1713">
        <f t="shared" si="27"/>
        <v>1900</v>
      </c>
    </row>
    <row r="1714" spans="9:9" x14ac:dyDescent="0.25">
      <c r="I1714">
        <f t="shared" si="27"/>
        <v>1900</v>
      </c>
    </row>
    <row r="1715" spans="9:9" x14ac:dyDescent="0.25">
      <c r="I1715">
        <f t="shared" si="27"/>
        <v>1900</v>
      </c>
    </row>
    <row r="1716" spans="9:9" x14ac:dyDescent="0.25">
      <c r="I1716">
        <f t="shared" si="27"/>
        <v>1900</v>
      </c>
    </row>
    <row r="1717" spans="9:9" x14ac:dyDescent="0.25">
      <c r="I1717">
        <f t="shared" si="27"/>
        <v>1900</v>
      </c>
    </row>
    <row r="1718" spans="9:9" x14ac:dyDescent="0.25">
      <c r="I1718">
        <f t="shared" si="27"/>
        <v>1900</v>
      </c>
    </row>
    <row r="1719" spans="9:9" x14ac:dyDescent="0.25">
      <c r="I1719">
        <f t="shared" si="27"/>
        <v>1900</v>
      </c>
    </row>
    <row r="1720" spans="9:9" x14ac:dyDescent="0.25">
      <c r="I1720">
        <f t="shared" si="27"/>
        <v>1900</v>
      </c>
    </row>
    <row r="1721" spans="9:9" x14ac:dyDescent="0.25">
      <c r="I1721">
        <f t="shared" si="27"/>
        <v>1900</v>
      </c>
    </row>
    <row r="1722" spans="9:9" x14ac:dyDescent="0.25">
      <c r="I1722">
        <f t="shared" si="27"/>
        <v>1900</v>
      </c>
    </row>
    <row r="1723" spans="9:9" x14ac:dyDescent="0.25">
      <c r="I1723">
        <f t="shared" si="27"/>
        <v>1900</v>
      </c>
    </row>
    <row r="1724" spans="9:9" x14ac:dyDescent="0.25">
      <c r="I1724">
        <f t="shared" si="27"/>
        <v>1900</v>
      </c>
    </row>
    <row r="1725" spans="9:9" x14ac:dyDescent="0.25">
      <c r="I1725">
        <f t="shared" si="27"/>
        <v>1900</v>
      </c>
    </row>
    <row r="1726" spans="9:9" x14ac:dyDescent="0.25">
      <c r="I1726">
        <f t="shared" si="27"/>
        <v>1900</v>
      </c>
    </row>
    <row r="1727" spans="9:9" x14ac:dyDescent="0.25">
      <c r="I1727">
        <f t="shared" si="27"/>
        <v>1900</v>
      </c>
    </row>
    <row r="1728" spans="9:9" x14ac:dyDescent="0.25">
      <c r="I1728">
        <f t="shared" si="27"/>
        <v>1900</v>
      </c>
    </row>
    <row r="1729" spans="9:9" x14ac:dyDescent="0.25">
      <c r="I1729">
        <f t="shared" si="27"/>
        <v>1900</v>
      </c>
    </row>
    <row r="1730" spans="9:9" x14ac:dyDescent="0.25">
      <c r="I1730">
        <f t="shared" si="27"/>
        <v>1900</v>
      </c>
    </row>
    <row r="1731" spans="9:9" x14ac:dyDescent="0.25">
      <c r="I1731">
        <f t="shared" si="27"/>
        <v>1900</v>
      </c>
    </row>
    <row r="1732" spans="9:9" x14ac:dyDescent="0.25">
      <c r="I1732">
        <f t="shared" ref="I1732:I1795" si="28">IFERROR(YEAR(E1732),"")</f>
        <v>1900</v>
      </c>
    </row>
    <row r="1733" spans="9:9" x14ac:dyDescent="0.25">
      <c r="I1733">
        <f t="shared" si="28"/>
        <v>1900</v>
      </c>
    </row>
    <row r="1734" spans="9:9" x14ac:dyDescent="0.25">
      <c r="I1734">
        <f t="shared" si="28"/>
        <v>1900</v>
      </c>
    </row>
    <row r="1735" spans="9:9" x14ac:dyDescent="0.25">
      <c r="I1735">
        <f t="shared" si="28"/>
        <v>1900</v>
      </c>
    </row>
    <row r="1736" spans="9:9" x14ac:dyDescent="0.25">
      <c r="I1736">
        <f t="shared" si="28"/>
        <v>1900</v>
      </c>
    </row>
    <row r="1737" spans="9:9" x14ac:dyDescent="0.25">
      <c r="I1737">
        <f t="shared" si="28"/>
        <v>1900</v>
      </c>
    </row>
    <row r="1738" spans="9:9" x14ac:dyDescent="0.25">
      <c r="I1738">
        <f t="shared" si="28"/>
        <v>1900</v>
      </c>
    </row>
    <row r="1739" spans="9:9" x14ac:dyDescent="0.25">
      <c r="I1739">
        <f t="shared" si="28"/>
        <v>1900</v>
      </c>
    </row>
    <row r="1740" spans="9:9" x14ac:dyDescent="0.25">
      <c r="I1740">
        <f t="shared" si="28"/>
        <v>1900</v>
      </c>
    </row>
    <row r="1741" spans="9:9" x14ac:dyDescent="0.25">
      <c r="I1741">
        <f t="shared" si="28"/>
        <v>1900</v>
      </c>
    </row>
    <row r="1742" spans="9:9" x14ac:dyDescent="0.25">
      <c r="I1742">
        <f t="shared" si="28"/>
        <v>1900</v>
      </c>
    </row>
    <row r="1743" spans="9:9" x14ac:dyDescent="0.25">
      <c r="I1743">
        <f t="shared" si="28"/>
        <v>1900</v>
      </c>
    </row>
    <row r="1744" spans="9:9" x14ac:dyDescent="0.25">
      <c r="I1744">
        <f t="shared" si="28"/>
        <v>1900</v>
      </c>
    </row>
    <row r="1745" spans="9:9" x14ac:dyDescent="0.25">
      <c r="I1745">
        <f t="shared" si="28"/>
        <v>1900</v>
      </c>
    </row>
    <row r="1746" spans="9:9" x14ac:dyDescent="0.25">
      <c r="I1746">
        <f t="shared" si="28"/>
        <v>1900</v>
      </c>
    </row>
    <row r="1747" spans="9:9" x14ac:dyDescent="0.25">
      <c r="I1747">
        <f t="shared" si="28"/>
        <v>1900</v>
      </c>
    </row>
    <row r="1748" spans="9:9" x14ac:dyDescent="0.25">
      <c r="I1748">
        <f t="shared" si="28"/>
        <v>1900</v>
      </c>
    </row>
    <row r="1749" spans="9:9" x14ac:dyDescent="0.25">
      <c r="I1749">
        <f t="shared" si="28"/>
        <v>1900</v>
      </c>
    </row>
    <row r="1750" spans="9:9" x14ac:dyDescent="0.25">
      <c r="I1750">
        <f t="shared" si="28"/>
        <v>1900</v>
      </c>
    </row>
    <row r="1751" spans="9:9" x14ac:dyDescent="0.25">
      <c r="I1751">
        <f t="shared" si="28"/>
        <v>1900</v>
      </c>
    </row>
    <row r="1752" spans="9:9" x14ac:dyDescent="0.25">
      <c r="I1752">
        <f t="shared" si="28"/>
        <v>1900</v>
      </c>
    </row>
    <row r="1753" spans="9:9" x14ac:dyDescent="0.25">
      <c r="I1753">
        <f t="shared" si="28"/>
        <v>1900</v>
      </c>
    </row>
    <row r="1754" spans="9:9" x14ac:dyDescent="0.25">
      <c r="I1754">
        <f t="shared" si="28"/>
        <v>1900</v>
      </c>
    </row>
    <row r="1755" spans="9:9" x14ac:dyDescent="0.25">
      <c r="I1755">
        <f t="shared" si="28"/>
        <v>1900</v>
      </c>
    </row>
    <row r="1756" spans="9:9" x14ac:dyDescent="0.25">
      <c r="I1756">
        <f t="shared" si="28"/>
        <v>1900</v>
      </c>
    </row>
    <row r="1757" spans="9:9" x14ac:dyDescent="0.25">
      <c r="I1757">
        <f t="shared" si="28"/>
        <v>1900</v>
      </c>
    </row>
    <row r="1758" spans="9:9" x14ac:dyDescent="0.25">
      <c r="I1758">
        <f t="shared" si="28"/>
        <v>1900</v>
      </c>
    </row>
    <row r="1759" spans="9:9" x14ac:dyDescent="0.25">
      <c r="I1759">
        <f t="shared" si="28"/>
        <v>1900</v>
      </c>
    </row>
    <row r="1760" spans="9:9" x14ac:dyDescent="0.25">
      <c r="I1760">
        <f t="shared" si="28"/>
        <v>1900</v>
      </c>
    </row>
    <row r="1761" spans="9:9" x14ac:dyDescent="0.25">
      <c r="I1761">
        <f t="shared" si="28"/>
        <v>1900</v>
      </c>
    </row>
    <row r="1762" spans="9:9" x14ac:dyDescent="0.25">
      <c r="I1762">
        <f t="shared" si="28"/>
        <v>1900</v>
      </c>
    </row>
    <row r="1763" spans="9:9" x14ac:dyDescent="0.25">
      <c r="I1763">
        <f t="shared" si="28"/>
        <v>1900</v>
      </c>
    </row>
    <row r="1764" spans="9:9" x14ac:dyDescent="0.25">
      <c r="I1764">
        <f t="shared" si="28"/>
        <v>1900</v>
      </c>
    </row>
    <row r="1765" spans="9:9" x14ac:dyDescent="0.25">
      <c r="I1765">
        <f t="shared" si="28"/>
        <v>1900</v>
      </c>
    </row>
    <row r="1766" spans="9:9" x14ac:dyDescent="0.25">
      <c r="I1766">
        <f t="shared" si="28"/>
        <v>1900</v>
      </c>
    </row>
    <row r="1767" spans="9:9" x14ac:dyDescent="0.25">
      <c r="I1767">
        <f t="shared" si="28"/>
        <v>1900</v>
      </c>
    </row>
    <row r="1768" spans="9:9" x14ac:dyDescent="0.25">
      <c r="I1768">
        <f t="shared" si="28"/>
        <v>1900</v>
      </c>
    </row>
    <row r="1769" spans="9:9" x14ac:dyDescent="0.25">
      <c r="I1769">
        <f t="shared" si="28"/>
        <v>1900</v>
      </c>
    </row>
    <row r="1770" spans="9:9" x14ac:dyDescent="0.25">
      <c r="I1770">
        <f t="shared" si="28"/>
        <v>1900</v>
      </c>
    </row>
    <row r="1771" spans="9:9" x14ac:dyDescent="0.25">
      <c r="I1771">
        <f t="shared" si="28"/>
        <v>1900</v>
      </c>
    </row>
    <row r="1772" spans="9:9" x14ac:dyDescent="0.25">
      <c r="I1772">
        <f t="shared" si="28"/>
        <v>1900</v>
      </c>
    </row>
    <row r="1773" spans="9:9" x14ac:dyDescent="0.25">
      <c r="I1773">
        <f t="shared" si="28"/>
        <v>1900</v>
      </c>
    </row>
    <row r="1774" spans="9:9" x14ac:dyDescent="0.25">
      <c r="I1774">
        <f t="shared" si="28"/>
        <v>1900</v>
      </c>
    </row>
    <row r="1775" spans="9:9" x14ac:dyDescent="0.25">
      <c r="I1775">
        <f t="shared" si="28"/>
        <v>1900</v>
      </c>
    </row>
    <row r="1776" spans="9:9" x14ac:dyDescent="0.25">
      <c r="I1776">
        <f t="shared" si="28"/>
        <v>1900</v>
      </c>
    </row>
    <row r="1777" spans="9:9" x14ac:dyDescent="0.25">
      <c r="I1777">
        <f t="shared" si="28"/>
        <v>1900</v>
      </c>
    </row>
    <row r="1778" spans="9:9" x14ac:dyDescent="0.25">
      <c r="I1778">
        <f t="shared" si="28"/>
        <v>1900</v>
      </c>
    </row>
    <row r="1779" spans="9:9" x14ac:dyDescent="0.25">
      <c r="I1779">
        <f t="shared" si="28"/>
        <v>1900</v>
      </c>
    </row>
    <row r="1780" spans="9:9" x14ac:dyDescent="0.25">
      <c r="I1780">
        <f t="shared" si="28"/>
        <v>1900</v>
      </c>
    </row>
    <row r="1781" spans="9:9" x14ac:dyDescent="0.25">
      <c r="I1781">
        <f t="shared" si="28"/>
        <v>1900</v>
      </c>
    </row>
    <row r="1782" spans="9:9" x14ac:dyDescent="0.25">
      <c r="I1782">
        <f t="shared" si="28"/>
        <v>1900</v>
      </c>
    </row>
    <row r="1783" spans="9:9" x14ac:dyDescent="0.25">
      <c r="I1783">
        <f t="shared" si="28"/>
        <v>1900</v>
      </c>
    </row>
    <row r="1784" spans="9:9" x14ac:dyDescent="0.25">
      <c r="I1784">
        <f t="shared" si="28"/>
        <v>1900</v>
      </c>
    </row>
    <row r="1785" spans="9:9" x14ac:dyDescent="0.25">
      <c r="I1785">
        <f t="shared" si="28"/>
        <v>1900</v>
      </c>
    </row>
    <row r="1786" spans="9:9" x14ac:dyDescent="0.25">
      <c r="I1786">
        <f t="shared" si="28"/>
        <v>1900</v>
      </c>
    </row>
    <row r="1787" spans="9:9" x14ac:dyDescent="0.25">
      <c r="I1787">
        <f t="shared" si="28"/>
        <v>1900</v>
      </c>
    </row>
    <row r="1788" spans="9:9" x14ac:dyDescent="0.25">
      <c r="I1788">
        <f t="shared" si="28"/>
        <v>1900</v>
      </c>
    </row>
    <row r="1789" spans="9:9" x14ac:dyDescent="0.25">
      <c r="I1789">
        <f t="shared" si="28"/>
        <v>1900</v>
      </c>
    </row>
    <row r="1790" spans="9:9" x14ac:dyDescent="0.25">
      <c r="I1790">
        <f t="shared" si="28"/>
        <v>1900</v>
      </c>
    </row>
    <row r="1791" spans="9:9" x14ac:dyDescent="0.25">
      <c r="I1791">
        <f t="shared" si="28"/>
        <v>1900</v>
      </c>
    </row>
    <row r="1792" spans="9:9" x14ac:dyDescent="0.25">
      <c r="I1792">
        <f t="shared" si="28"/>
        <v>1900</v>
      </c>
    </row>
    <row r="1793" spans="9:9" x14ac:dyDescent="0.25">
      <c r="I1793">
        <f t="shared" si="28"/>
        <v>1900</v>
      </c>
    </row>
    <row r="1794" spans="9:9" x14ac:dyDescent="0.25">
      <c r="I1794">
        <f t="shared" si="28"/>
        <v>1900</v>
      </c>
    </row>
    <row r="1795" spans="9:9" x14ac:dyDescent="0.25">
      <c r="I1795">
        <f t="shared" si="28"/>
        <v>1900</v>
      </c>
    </row>
    <row r="1796" spans="9:9" x14ac:dyDescent="0.25">
      <c r="I1796">
        <f t="shared" ref="I1796:I1859" si="29">IFERROR(YEAR(E1796),"")</f>
        <v>1900</v>
      </c>
    </row>
    <row r="1797" spans="9:9" x14ac:dyDescent="0.25">
      <c r="I1797">
        <f t="shared" si="29"/>
        <v>1900</v>
      </c>
    </row>
    <row r="1798" spans="9:9" x14ac:dyDescent="0.25">
      <c r="I1798">
        <f t="shared" si="29"/>
        <v>1900</v>
      </c>
    </row>
    <row r="1799" spans="9:9" x14ac:dyDescent="0.25">
      <c r="I1799">
        <f t="shared" si="29"/>
        <v>1900</v>
      </c>
    </row>
    <row r="1800" spans="9:9" x14ac:dyDescent="0.25">
      <c r="I1800">
        <f t="shared" si="29"/>
        <v>1900</v>
      </c>
    </row>
    <row r="1801" spans="9:9" x14ac:dyDescent="0.25">
      <c r="I1801">
        <f t="shared" si="29"/>
        <v>1900</v>
      </c>
    </row>
    <row r="1802" spans="9:9" x14ac:dyDescent="0.25">
      <c r="I1802">
        <f t="shared" si="29"/>
        <v>1900</v>
      </c>
    </row>
    <row r="1803" spans="9:9" x14ac:dyDescent="0.25">
      <c r="I1803">
        <f t="shared" si="29"/>
        <v>1900</v>
      </c>
    </row>
    <row r="1804" spans="9:9" x14ac:dyDescent="0.25">
      <c r="I1804">
        <f t="shared" si="29"/>
        <v>1900</v>
      </c>
    </row>
    <row r="1805" spans="9:9" x14ac:dyDescent="0.25">
      <c r="I1805">
        <f t="shared" si="29"/>
        <v>1900</v>
      </c>
    </row>
    <row r="1806" spans="9:9" x14ac:dyDescent="0.25">
      <c r="I1806">
        <f t="shared" si="29"/>
        <v>1900</v>
      </c>
    </row>
    <row r="1807" spans="9:9" x14ac:dyDescent="0.25">
      <c r="I1807">
        <f t="shared" si="29"/>
        <v>1900</v>
      </c>
    </row>
    <row r="1808" spans="9:9" x14ac:dyDescent="0.25">
      <c r="I1808">
        <f t="shared" si="29"/>
        <v>1900</v>
      </c>
    </row>
    <row r="1809" spans="9:9" x14ac:dyDescent="0.25">
      <c r="I1809">
        <f t="shared" si="29"/>
        <v>1900</v>
      </c>
    </row>
    <row r="1810" spans="9:9" x14ac:dyDescent="0.25">
      <c r="I1810">
        <f t="shared" si="29"/>
        <v>1900</v>
      </c>
    </row>
    <row r="1811" spans="9:9" x14ac:dyDescent="0.25">
      <c r="I1811">
        <f t="shared" si="29"/>
        <v>1900</v>
      </c>
    </row>
    <row r="1812" spans="9:9" x14ac:dyDescent="0.25">
      <c r="I1812">
        <f t="shared" si="29"/>
        <v>1900</v>
      </c>
    </row>
    <row r="1813" spans="9:9" x14ac:dyDescent="0.25">
      <c r="I1813">
        <f t="shared" si="29"/>
        <v>1900</v>
      </c>
    </row>
    <row r="1814" spans="9:9" x14ac:dyDescent="0.25">
      <c r="I1814">
        <f t="shared" si="29"/>
        <v>1900</v>
      </c>
    </row>
    <row r="1815" spans="9:9" x14ac:dyDescent="0.25">
      <c r="I1815">
        <f t="shared" si="29"/>
        <v>1900</v>
      </c>
    </row>
    <row r="1816" spans="9:9" x14ac:dyDescent="0.25">
      <c r="I1816">
        <f t="shared" si="29"/>
        <v>1900</v>
      </c>
    </row>
    <row r="1817" spans="9:9" x14ac:dyDescent="0.25">
      <c r="I1817">
        <f t="shared" si="29"/>
        <v>1900</v>
      </c>
    </row>
    <row r="1818" spans="9:9" x14ac:dyDescent="0.25">
      <c r="I1818">
        <f t="shared" si="29"/>
        <v>1900</v>
      </c>
    </row>
    <row r="1819" spans="9:9" x14ac:dyDescent="0.25">
      <c r="I1819">
        <f t="shared" si="29"/>
        <v>1900</v>
      </c>
    </row>
    <row r="1820" spans="9:9" x14ac:dyDescent="0.25">
      <c r="I1820">
        <f t="shared" si="29"/>
        <v>1900</v>
      </c>
    </row>
    <row r="1821" spans="9:9" x14ac:dyDescent="0.25">
      <c r="I1821">
        <f t="shared" si="29"/>
        <v>1900</v>
      </c>
    </row>
    <row r="1822" spans="9:9" x14ac:dyDescent="0.25">
      <c r="I1822">
        <f t="shared" si="29"/>
        <v>1900</v>
      </c>
    </row>
    <row r="1823" spans="9:9" x14ac:dyDescent="0.25">
      <c r="I1823">
        <f t="shared" si="29"/>
        <v>1900</v>
      </c>
    </row>
    <row r="1824" spans="9:9" x14ac:dyDescent="0.25">
      <c r="I1824">
        <f t="shared" si="29"/>
        <v>1900</v>
      </c>
    </row>
    <row r="1825" spans="9:9" x14ac:dyDescent="0.25">
      <c r="I1825">
        <f t="shared" si="29"/>
        <v>1900</v>
      </c>
    </row>
    <row r="1826" spans="9:9" x14ac:dyDescent="0.25">
      <c r="I1826">
        <f t="shared" si="29"/>
        <v>1900</v>
      </c>
    </row>
    <row r="1827" spans="9:9" x14ac:dyDescent="0.25">
      <c r="I1827">
        <f t="shared" si="29"/>
        <v>1900</v>
      </c>
    </row>
    <row r="1828" spans="9:9" x14ac:dyDescent="0.25">
      <c r="I1828">
        <f t="shared" si="29"/>
        <v>1900</v>
      </c>
    </row>
    <row r="1829" spans="9:9" x14ac:dyDescent="0.25">
      <c r="I1829">
        <f t="shared" si="29"/>
        <v>1900</v>
      </c>
    </row>
    <row r="1830" spans="9:9" x14ac:dyDescent="0.25">
      <c r="I1830">
        <f t="shared" si="29"/>
        <v>1900</v>
      </c>
    </row>
    <row r="1831" spans="9:9" x14ac:dyDescent="0.25">
      <c r="I1831">
        <f t="shared" si="29"/>
        <v>1900</v>
      </c>
    </row>
    <row r="1832" spans="9:9" x14ac:dyDescent="0.25">
      <c r="I1832">
        <f t="shared" si="29"/>
        <v>1900</v>
      </c>
    </row>
    <row r="1833" spans="9:9" x14ac:dyDescent="0.25">
      <c r="I1833">
        <f t="shared" si="29"/>
        <v>1900</v>
      </c>
    </row>
    <row r="1834" spans="9:9" x14ac:dyDescent="0.25">
      <c r="I1834">
        <f t="shared" si="29"/>
        <v>1900</v>
      </c>
    </row>
    <row r="1835" spans="9:9" x14ac:dyDescent="0.25">
      <c r="I1835">
        <f t="shared" si="29"/>
        <v>1900</v>
      </c>
    </row>
    <row r="1836" spans="9:9" x14ac:dyDescent="0.25">
      <c r="I1836">
        <f t="shared" si="29"/>
        <v>1900</v>
      </c>
    </row>
    <row r="1837" spans="9:9" x14ac:dyDescent="0.25">
      <c r="I1837">
        <f t="shared" si="29"/>
        <v>1900</v>
      </c>
    </row>
    <row r="1838" spans="9:9" x14ac:dyDescent="0.25">
      <c r="I1838">
        <f t="shared" si="29"/>
        <v>1900</v>
      </c>
    </row>
    <row r="1839" spans="9:9" x14ac:dyDescent="0.25">
      <c r="I1839">
        <f t="shared" si="29"/>
        <v>1900</v>
      </c>
    </row>
    <row r="1840" spans="9:9" x14ac:dyDescent="0.25">
      <c r="I1840">
        <f t="shared" si="29"/>
        <v>1900</v>
      </c>
    </row>
    <row r="1841" spans="9:9" x14ac:dyDescent="0.25">
      <c r="I1841">
        <f t="shared" si="29"/>
        <v>1900</v>
      </c>
    </row>
    <row r="1842" spans="9:9" x14ac:dyDescent="0.25">
      <c r="I1842">
        <f t="shared" si="29"/>
        <v>1900</v>
      </c>
    </row>
    <row r="1843" spans="9:9" x14ac:dyDescent="0.25">
      <c r="I1843">
        <f t="shared" si="29"/>
        <v>1900</v>
      </c>
    </row>
    <row r="1844" spans="9:9" x14ac:dyDescent="0.25">
      <c r="I1844">
        <f t="shared" si="29"/>
        <v>1900</v>
      </c>
    </row>
    <row r="1845" spans="9:9" x14ac:dyDescent="0.25">
      <c r="I1845">
        <f t="shared" si="29"/>
        <v>1900</v>
      </c>
    </row>
    <row r="1846" spans="9:9" x14ac:dyDescent="0.25">
      <c r="I1846">
        <f t="shared" si="29"/>
        <v>1900</v>
      </c>
    </row>
    <row r="1847" spans="9:9" x14ac:dyDescent="0.25">
      <c r="I1847">
        <f t="shared" si="29"/>
        <v>1900</v>
      </c>
    </row>
    <row r="1848" spans="9:9" x14ac:dyDescent="0.25">
      <c r="I1848">
        <f t="shared" si="29"/>
        <v>1900</v>
      </c>
    </row>
    <row r="1849" spans="9:9" x14ac:dyDescent="0.25">
      <c r="I1849">
        <f t="shared" si="29"/>
        <v>1900</v>
      </c>
    </row>
    <row r="1850" spans="9:9" x14ac:dyDescent="0.25">
      <c r="I1850">
        <f t="shared" si="29"/>
        <v>1900</v>
      </c>
    </row>
    <row r="1851" spans="9:9" x14ac:dyDescent="0.25">
      <c r="I1851">
        <f t="shared" si="29"/>
        <v>1900</v>
      </c>
    </row>
    <row r="1852" spans="9:9" x14ac:dyDescent="0.25">
      <c r="I1852">
        <f t="shared" si="29"/>
        <v>1900</v>
      </c>
    </row>
    <row r="1853" spans="9:9" x14ac:dyDescent="0.25">
      <c r="I1853">
        <f t="shared" si="29"/>
        <v>1900</v>
      </c>
    </row>
    <row r="1854" spans="9:9" x14ac:dyDescent="0.25">
      <c r="I1854">
        <f t="shared" si="29"/>
        <v>1900</v>
      </c>
    </row>
    <row r="1855" spans="9:9" x14ac:dyDescent="0.25">
      <c r="I1855">
        <f t="shared" si="29"/>
        <v>1900</v>
      </c>
    </row>
    <row r="1856" spans="9:9" x14ac:dyDescent="0.25">
      <c r="I1856">
        <f t="shared" si="29"/>
        <v>1900</v>
      </c>
    </row>
    <row r="1857" spans="9:9" x14ac:dyDescent="0.25">
      <c r="I1857">
        <f t="shared" si="29"/>
        <v>1900</v>
      </c>
    </row>
    <row r="1858" spans="9:9" x14ac:dyDescent="0.25">
      <c r="I1858">
        <f t="shared" si="29"/>
        <v>1900</v>
      </c>
    </row>
    <row r="1859" spans="9:9" x14ac:dyDescent="0.25">
      <c r="I1859">
        <f t="shared" si="29"/>
        <v>1900</v>
      </c>
    </row>
    <row r="1860" spans="9:9" x14ac:dyDescent="0.25">
      <c r="I1860">
        <f t="shared" ref="I1860:I1923" si="30">IFERROR(YEAR(E1860),"")</f>
        <v>1900</v>
      </c>
    </row>
    <row r="1861" spans="9:9" x14ac:dyDescent="0.25">
      <c r="I1861">
        <f t="shared" si="30"/>
        <v>1900</v>
      </c>
    </row>
    <row r="1862" spans="9:9" x14ac:dyDescent="0.25">
      <c r="I1862">
        <f t="shared" si="30"/>
        <v>1900</v>
      </c>
    </row>
    <row r="1863" spans="9:9" x14ac:dyDescent="0.25">
      <c r="I1863">
        <f t="shared" si="30"/>
        <v>1900</v>
      </c>
    </row>
    <row r="1864" spans="9:9" x14ac:dyDescent="0.25">
      <c r="I1864">
        <f t="shared" si="30"/>
        <v>1900</v>
      </c>
    </row>
    <row r="1865" spans="9:9" x14ac:dyDescent="0.25">
      <c r="I1865">
        <f t="shared" si="30"/>
        <v>1900</v>
      </c>
    </row>
    <row r="1866" spans="9:9" x14ac:dyDescent="0.25">
      <c r="I1866">
        <f t="shared" si="30"/>
        <v>1900</v>
      </c>
    </row>
    <row r="1867" spans="9:9" x14ac:dyDescent="0.25">
      <c r="I1867">
        <f t="shared" si="30"/>
        <v>1900</v>
      </c>
    </row>
    <row r="1868" spans="9:9" x14ac:dyDescent="0.25">
      <c r="I1868">
        <f t="shared" si="30"/>
        <v>1900</v>
      </c>
    </row>
    <row r="1869" spans="9:9" x14ac:dyDescent="0.25">
      <c r="I1869">
        <f t="shared" si="30"/>
        <v>1900</v>
      </c>
    </row>
    <row r="1870" spans="9:9" x14ac:dyDescent="0.25">
      <c r="I1870">
        <f t="shared" si="30"/>
        <v>1900</v>
      </c>
    </row>
    <row r="1871" spans="9:9" x14ac:dyDescent="0.25">
      <c r="I1871">
        <f t="shared" si="30"/>
        <v>1900</v>
      </c>
    </row>
    <row r="1872" spans="9:9" x14ac:dyDescent="0.25">
      <c r="I1872">
        <f t="shared" si="30"/>
        <v>1900</v>
      </c>
    </row>
    <row r="1873" spans="9:9" x14ac:dyDescent="0.25">
      <c r="I1873">
        <f t="shared" si="30"/>
        <v>1900</v>
      </c>
    </row>
    <row r="1874" spans="9:9" x14ac:dyDescent="0.25">
      <c r="I1874">
        <f t="shared" si="30"/>
        <v>1900</v>
      </c>
    </row>
    <row r="1875" spans="9:9" x14ac:dyDescent="0.25">
      <c r="I1875">
        <f t="shared" si="30"/>
        <v>1900</v>
      </c>
    </row>
    <row r="1876" spans="9:9" x14ac:dyDescent="0.25">
      <c r="I1876">
        <f t="shared" si="30"/>
        <v>1900</v>
      </c>
    </row>
    <row r="1877" spans="9:9" x14ac:dyDescent="0.25">
      <c r="I1877">
        <f t="shared" si="30"/>
        <v>1900</v>
      </c>
    </row>
    <row r="1878" spans="9:9" x14ac:dyDescent="0.25">
      <c r="I1878">
        <f t="shared" si="30"/>
        <v>1900</v>
      </c>
    </row>
    <row r="1879" spans="9:9" x14ac:dyDescent="0.25">
      <c r="I1879">
        <f t="shared" si="30"/>
        <v>1900</v>
      </c>
    </row>
    <row r="1880" spans="9:9" x14ac:dyDescent="0.25">
      <c r="I1880">
        <f t="shared" si="30"/>
        <v>1900</v>
      </c>
    </row>
    <row r="1881" spans="9:9" x14ac:dyDescent="0.25">
      <c r="I1881">
        <f t="shared" si="30"/>
        <v>1900</v>
      </c>
    </row>
    <row r="1882" spans="9:9" x14ac:dyDescent="0.25">
      <c r="I1882">
        <f t="shared" si="30"/>
        <v>1900</v>
      </c>
    </row>
    <row r="1883" spans="9:9" x14ac:dyDescent="0.25">
      <c r="I1883">
        <f t="shared" si="30"/>
        <v>1900</v>
      </c>
    </row>
    <row r="1884" spans="9:9" x14ac:dyDescent="0.25">
      <c r="I1884">
        <f t="shared" si="30"/>
        <v>1900</v>
      </c>
    </row>
    <row r="1885" spans="9:9" x14ac:dyDescent="0.25">
      <c r="I1885">
        <f t="shared" si="30"/>
        <v>1900</v>
      </c>
    </row>
    <row r="1886" spans="9:9" x14ac:dyDescent="0.25">
      <c r="I1886">
        <f t="shared" si="30"/>
        <v>1900</v>
      </c>
    </row>
    <row r="1887" spans="9:9" x14ac:dyDescent="0.25">
      <c r="I1887">
        <f t="shared" si="30"/>
        <v>1900</v>
      </c>
    </row>
    <row r="1888" spans="9:9" x14ac:dyDescent="0.25">
      <c r="I1888">
        <f t="shared" si="30"/>
        <v>1900</v>
      </c>
    </row>
    <row r="1889" spans="9:9" x14ac:dyDescent="0.25">
      <c r="I1889">
        <f t="shared" si="30"/>
        <v>1900</v>
      </c>
    </row>
    <row r="1890" spans="9:9" x14ac:dyDescent="0.25">
      <c r="I1890">
        <f t="shared" si="30"/>
        <v>1900</v>
      </c>
    </row>
    <row r="1891" spans="9:9" x14ac:dyDescent="0.25">
      <c r="I1891">
        <f t="shared" si="30"/>
        <v>1900</v>
      </c>
    </row>
    <row r="1892" spans="9:9" x14ac:dyDescent="0.25">
      <c r="I1892">
        <f t="shared" si="30"/>
        <v>1900</v>
      </c>
    </row>
    <row r="1893" spans="9:9" x14ac:dyDescent="0.25">
      <c r="I1893">
        <f t="shared" si="30"/>
        <v>1900</v>
      </c>
    </row>
    <row r="1894" spans="9:9" x14ac:dyDescent="0.25">
      <c r="I1894">
        <f t="shared" si="30"/>
        <v>1900</v>
      </c>
    </row>
    <row r="1895" spans="9:9" x14ac:dyDescent="0.25">
      <c r="I1895">
        <f t="shared" si="30"/>
        <v>1900</v>
      </c>
    </row>
    <row r="1896" spans="9:9" x14ac:dyDescent="0.25">
      <c r="I1896">
        <f t="shared" si="30"/>
        <v>1900</v>
      </c>
    </row>
    <row r="1897" spans="9:9" x14ac:dyDescent="0.25">
      <c r="I1897">
        <f t="shared" si="30"/>
        <v>1900</v>
      </c>
    </row>
    <row r="1898" spans="9:9" x14ac:dyDescent="0.25">
      <c r="I1898">
        <f t="shared" si="30"/>
        <v>1900</v>
      </c>
    </row>
    <row r="1899" spans="9:9" x14ac:dyDescent="0.25">
      <c r="I1899">
        <f t="shared" si="30"/>
        <v>1900</v>
      </c>
    </row>
    <row r="1900" spans="9:9" x14ac:dyDescent="0.25">
      <c r="I1900">
        <f t="shared" si="30"/>
        <v>1900</v>
      </c>
    </row>
    <row r="1901" spans="9:9" x14ac:dyDescent="0.25">
      <c r="I1901">
        <f t="shared" si="30"/>
        <v>1900</v>
      </c>
    </row>
    <row r="1902" spans="9:9" x14ac:dyDescent="0.25">
      <c r="I1902">
        <f t="shared" si="30"/>
        <v>1900</v>
      </c>
    </row>
    <row r="1903" spans="9:9" x14ac:dyDescent="0.25">
      <c r="I1903">
        <f t="shared" si="30"/>
        <v>1900</v>
      </c>
    </row>
    <row r="1904" spans="9:9" x14ac:dyDescent="0.25">
      <c r="I1904">
        <f t="shared" si="30"/>
        <v>1900</v>
      </c>
    </row>
    <row r="1905" spans="9:9" x14ac:dyDescent="0.25">
      <c r="I1905">
        <f t="shared" si="30"/>
        <v>1900</v>
      </c>
    </row>
    <row r="1906" spans="9:9" x14ac:dyDescent="0.25">
      <c r="I1906">
        <f t="shared" si="30"/>
        <v>1900</v>
      </c>
    </row>
    <row r="1907" spans="9:9" x14ac:dyDescent="0.25">
      <c r="I1907">
        <f t="shared" si="30"/>
        <v>1900</v>
      </c>
    </row>
    <row r="1908" spans="9:9" x14ac:dyDescent="0.25">
      <c r="I1908">
        <f t="shared" si="30"/>
        <v>1900</v>
      </c>
    </row>
    <row r="1909" spans="9:9" x14ac:dyDescent="0.25">
      <c r="I1909">
        <f t="shared" si="30"/>
        <v>1900</v>
      </c>
    </row>
    <row r="1910" spans="9:9" x14ac:dyDescent="0.25">
      <c r="I1910">
        <f t="shared" si="30"/>
        <v>1900</v>
      </c>
    </row>
    <row r="1911" spans="9:9" x14ac:dyDescent="0.25">
      <c r="I1911">
        <f t="shared" si="30"/>
        <v>1900</v>
      </c>
    </row>
    <row r="1912" spans="9:9" x14ac:dyDescent="0.25">
      <c r="I1912">
        <f t="shared" si="30"/>
        <v>1900</v>
      </c>
    </row>
    <row r="1913" spans="9:9" x14ac:dyDescent="0.25">
      <c r="I1913">
        <f t="shared" si="30"/>
        <v>1900</v>
      </c>
    </row>
    <row r="1914" spans="9:9" x14ac:dyDescent="0.25">
      <c r="I1914">
        <f t="shared" si="30"/>
        <v>1900</v>
      </c>
    </row>
    <row r="1915" spans="9:9" x14ac:dyDescent="0.25">
      <c r="I1915">
        <f t="shared" si="30"/>
        <v>1900</v>
      </c>
    </row>
    <row r="1916" spans="9:9" x14ac:dyDescent="0.25">
      <c r="I1916">
        <f t="shared" si="30"/>
        <v>1900</v>
      </c>
    </row>
    <row r="1917" spans="9:9" x14ac:dyDescent="0.25">
      <c r="I1917">
        <f t="shared" si="30"/>
        <v>1900</v>
      </c>
    </row>
    <row r="1918" spans="9:9" x14ac:dyDescent="0.25">
      <c r="I1918">
        <f t="shared" si="30"/>
        <v>1900</v>
      </c>
    </row>
    <row r="1919" spans="9:9" x14ac:dyDescent="0.25">
      <c r="I1919">
        <f t="shared" si="30"/>
        <v>1900</v>
      </c>
    </row>
    <row r="1920" spans="9:9" x14ac:dyDescent="0.25">
      <c r="I1920">
        <f t="shared" si="30"/>
        <v>1900</v>
      </c>
    </row>
    <row r="1921" spans="9:9" x14ac:dyDescent="0.25">
      <c r="I1921">
        <f t="shared" si="30"/>
        <v>1900</v>
      </c>
    </row>
    <row r="1922" spans="9:9" x14ac:dyDescent="0.25">
      <c r="I1922">
        <f t="shared" si="30"/>
        <v>1900</v>
      </c>
    </row>
    <row r="1923" spans="9:9" x14ac:dyDescent="0.25">
      <c r="I1923">
        <f t="shared" si="30"/>
        <v>1900</v>
      </c>
    </row>
    <row r="1924" spans="9:9" x14ac:dyDescent="0.25">
      <c r="I1924">
        <f t="shared" ref="I1924:I1987" si="31">IFERROR(YEAR(E1924),"")</f>
        <v>1900</v>
      </c>
    </row>
    <row r="1925" spans="9:9" x14ac:dyDescent="0.25">
      <c r="I1925">
        <f t="shared" si="31"/>
        <v>1900</v>
      </c>
    </row>
    <row r="1926" spans="9:9" x14ac:dyDescent="0.25">
      <c r="I1926">
        <f t="shared" si="31"/>
        <v>1900</v>
      </c>
    </row>
    <row r="1927" spans="9:9" x14ac:dyDescent="0.25">
      <c r="I1927">
        <f t="shared" si="31"/>
        <v>1900</v>
      </c>
    </row>
    <row r="1928" spans="9:9" x14ac:dyDescent="0.25">
      <c r="I1928">
        <f t="shared" si="31"/>
        <v>1900</v>
      </c>
    </row>
    <row r="1929" spans="9:9" x14ac:dyDescent="0.25">
      <c r="I1929">
        <f t="shared" si="31"/>
        <v>1900</v>
      </c>
    </row>
    <row r="1930" spans="9:9" x14ac:dyDescent="0.25">
      <c r="I1930">
        <f t="shared" si="31"/>
        <v>1900</v>
      </c>
    </row>
    <row r="1931" spans="9:9" x14ac:dyDescent="0.25">
      <c r="I1931">
        <f t="shared" si="31"/>
        <v>1900</v>
      </c>
    </row>
    <row r="1932" spans="9:9" x14ac:dyDescent="0.25">
      <c r="I1932">
        <f t="shared" si="31"/>
        <v>1900</v>
      </c>
    </row>
    <row r="1933" spans="9:9" x14ac:dyDescent="0.25">
      <c r="I1933">
        <f t="shared" si="31"/>
        <v>1900</v>
      </c>
    </row>
    <row r="1934" spans="9:9" x14ac:dyDescent="0.25">
      <c r="I1934">
        <f t="shared" si="31"/>
        <v>1900</v>
      </c>
    </row>
    <row r="1935" spans="9:9" x14ac:dyDescent="0.25">
      <c r="I1935">
        <f t="shared" si="31"/>
        <v>1900</v>
      </c>
    </row>
    <row r="1936" spans="9:9" x14ac:dyDescent="0.25">
      <c r="I1936">
        <f t="shared" si="31"/>
        <v>1900</v>
      </c>
    </row>
    <row r="1937" spans="9:9" x14ac:dyDescent="0.25">
      <c r="I1937">
        <f t="shared" si="31"/>
        <v>1900</v>
      </c>
    </row>
    <row r="1938" spans="9:9" x14ac:dyDescent="0.25">
      <c r="I1938">
        <f t="shared" si="31"/>
        <v>1900</v>
      </c>
    </row>
    <row r="1939" spans="9:9" x14ac:dyDescent="0.25">
      <c r="I1939">
        <f t="shared" si="31"/>
        <v>1900</v>
      </c>
    </row>
    <row r="1940" spans="9:9" x14ac:dyDescent="0.25">
      <c r="I1940">
        <f t="shared" si="31"/>
        <v>1900</v>
      </c>
    </row>
    <row r="1941" spans="9:9" x14ac:dyDescent="0.25">
      <c r="I1941">
        <f t="shared" si="31"/>
        <v>1900</v>
      </c>
    </row>
    <row r="1942" spans="9:9" x14ac:dyDescent="0.25">
      <c r="I1942">
        <f t="shared" si="31"/>
        <v>1900</v>
      </c>
    </row>
    <row r="1943" spans="9:9" x14ac:dyDescent="0.25">
      <c r="I1943">
        <f t="shared" si="31"/>
        <v>1900</v>
      </c>
    </row>
    <row r="1944" spans="9:9" x14ac:dyDescent="0.25">
      <c r="I1944">
        <f t="shared" si="31"/>
        <v>1900</v>
      </c>
    </row>
    <row r="1945" spans="9:9" x14ac:dyDescent="0.25">
      <c r="I1945">
        <f t="shared" si="31"/>
        <v>1900</v>
      </c>
    </row>
    <row r="1946" spans="9:9" x14ac:dyDescent="0.25">
      <c r="I1946">
        <f t="shared" si="31"/>
        <v>1900</v>
      </c>
    </row>
    <row r="1947" spans="9:9" x14ac:dyDescent="0.25">
      <c r="I1947">
        <f t="shared" si="31"/>
        <v>1900</v>
      </c>
    </row>
    <row r="1948" spans="9:9" x14ac:dyDescent="0.25">
      <c r="I1948">
        <f t="shared" si="31"/>
        <v>1900</v>
      </c>
    </row>
    <row r="1949" spans="9:9" x14ac:dyDescent="0.25">
      <c r="I1949">
        <f t="shared" si="31"/>
        <v>1900</v>
      </c>
    </row>
    <row r="1950" spans="9:9" x14ac:dyDescent="0.25">
      <c r="I1950">
        <f t="shared" si="31"/>
        <v>1900</v>
      </c>
    </row>
    <row r="1951" spans="9:9" x14ac:dyDescent="0.25">
      <c r="I1951">
        <f t="shared" si="31"/>
        <v>1900</v>
      </c>
    </row>
    <row r="1952" spans="9:9" x14ac:dyDescent="0.25">
      <c r="I1952">
        <f t="shared" si="31"/>
        <v>1900</v>
      </c>
    </row>
    <row r="1953" spans="9:9" x14ac:dyDescent="0.25">
      <c r="I1953">
        <f t="shared" si="31"/>
        <v>1900</v>
      </c>
    </row>
    <row r="1954" spans="9:9" x14ac:dyDescent="0.25">
      <c r="I1954">
        <f t="shared" si="31"/>
        <v>1900</v>
      </c>
    </row>
    <row r="1955" spans="9:9" x14ac:dyDescent="0.25">
      <c r="I1955">
        <f t="shared" si="31"/>
        <v>1900</v>
      </c>
    </row>
    <row r="1956" spans="9:9" x14ac:dyDescent="0.25">
      <c r="I1956">
        <f t="shared" si="31"/>
        <v>1900</v>
      </c>
    </row>
    <row r="1957" spans="9:9" x14ac:dyDescent="0.25">
      <c r="I1957">
        <f t="shared" si="31"/>
        <v>1900</v>
      </c>
    </row>
    <row r="1958" spans="9:9" x14ac:dyDescent="0.25">
      <c r="I1958">
        <f t="shared" si="31"/>
        <v>1900</v>
      </c>
    </row>
    <row r="1959" spans="9:9" x14ac:dyDescent="0.25">
      <c r="I1959">
        <f t="shared" si="31"/>
        <v>1900</v>
      </c>
    </row>
    <row r="1960" spans="9:9" x14ac:dyDescent="0.25">
      <c r="I1960">
        <f t="shared" si="31"/>
        <v>1900</v>
      </c>
    </row>
    <row r="1961" spans="9:9" x14ac:dyDescent="0.25">
      <c r="I1961">
        <f t="shared" si="31"/>
        <v>1900</v>
      </c>
    </row>
    <row r="1962" spans="9:9" x14ac:dyDescent="0.25">
      <c r="I1962">
        <f t="shared" si="31"/>
        <v>1900</v>
      </c>
    </row>
    <row r="1963" spans="9:9" x14ac:dyDescent="0.25">
      <c r="I1963">
        <f t="shared" si="31"/>
        <v>1900</v>
      </c>
    </row>
    <row r="1964" spans="9:9" x14ac:dyDescent="0.25">
      <c r="I1964">
        <f t="shared" si="31"/>
        <v>1900</v>
      </c>
    </row>
    <row r="1965" spans="9:9" x14ac:dyDescent="0.25">
      <c r="I1965">
        <f t="shared" si="31"/>
        <v>1900</v>
      </c>
    </row>
    <row r="1966" spans="9:9" x14ac:dyDescent="0.25">
      <c r="I1966">
        <f t="shared" si="31"/>
        <v>1900</v>
      </c>
    </row>
    <row r="1967" spans="9:9" x14ac:dyDescent="0.25">
      <c r="I1967">
        <f t="shared" si="31"/>
        <v>1900</v>
      </c>
    </row>
    <row r="1968" spans="9:9" x14ac:dyDescent="0.25">
      <c r="I1968">
        <f t="shared" si="31"/>
        <v>1900</v>
      </c>
    </row>
    <row r="1969" spans="9:9" x14ac:dyDescent="0.25">
      <c r="I1969">
        <f t="shared" si="31"/>
        <v>1900</v>
      </c>
    </row>
    <row r="1970" spans="9:9" x14ac:dyDescent="0.25">
      <c r="I1970">
        <f t="shared" si="31"/>
        <v>1900</v>
      </c>
    </row>
    <row r="1971" spans="9:9" x14ac:dyDescent="0.25">
      <c r="I1971">
        <f t="shared" si="31"/>
        <v>1900</v>
      </c>
    </row>
    <row r="1972" spans="9:9" x14ac:dyDescent="0.25">
      <c r="I1972">
        <f t="shared" si="31"/>
        <v>1900</v>
      </c>
    </row>
    <row r="1973" spans="9:9" x14ac:dyDescent="0.25">
      <c r="I1973">
        <f t="shared" si="31"/>
        <v>1900</v>
      </c>
    </row>
    <row r="1974" spans="9:9" x14ac:dyDescent="0.25">
      <c r="I1974">
        <f t="shared" si="31"/>
        <v>1900</v>
      </c>
    </row>
    <row r="1975" spans="9:9" x14ac:dyDescent="0.25">
      <c r="I1975">
        <f t="shared" si="31"/>
        <v>1900</v>
      </c>
    </row>
    <row r="1976" spans="9:9" x14ac:dyDescent="0.25">
      <c r="I1976">
        <f t="shared" si="31"/>
        <v>1900</v>
      </c>
    </row>
    <row r="1977" spans="9:9" x14ac:dyDescent="0.25">
      <c r="I1977">
        <f t="shared" si="31"/>
        <v>1900</v>
      </c>
    </row>
    <row r="1978" spans="9:9" x14ac:dyDescent="0.25">
      <c r="I1978">
        <f t="shared" si="31"/>
        <v>1900</v>
      </c>
    </row>
    <row r="1979" spans="9:9" x14ac:dyDescent="0.25">
      <c r="I1979">
        <f t="shared" si="31"/>
        <v>1900</v>
      </c>
    </row>
    <row r="1980" spans="9:9" x14ac:dyDescent="0.25">
      <c r="I1980">
        <f t="shared" si="31"/>
        <v>1900</v>
      </c>
    </row>
    <row r="1981" spans="9:9" x14ac:dyDescent="0.25">
      <c r="I1981">
        <f t="shared" si="31"/>
        <v>1900</v>
      </c>
    </row>
    <row r="1982" spans="9:9" x14ac:dyDescent="0.25">
      <c r="I1982">
        <f t="shared" si="31"/>
        <v>1900</v>
      </c>
    </row>
    <row r="1983" spans="9:9" x14ac:dyDescent="0.25">
      <c r="I1983">
        <f t="shared" si="31"/>
        <v>1900</v>
      </c>
    </row>
    <row r="1984" spans="9:9" x14ac:dyDescent="0.25">
      <c r="I1984">
        <f t="shared" si="31"/>
        <v>1900</v>
      </c>
    </row>
    <row r="1985" spans="9:9" x14ac:dyDescent="0.25">
      <c r="I1985">
        <f t="shared" si="31"/>
        <v>1900</v>
      </c>
    </row>
    <row r="1986" spans="9:9" x14ac:dyDescent="0.25">
      <c r="I1986">
        <f t="shared" si="31"/>
        <v>1900</v>
      </c>
    </row>
    <row r="1987" spans="9:9" x14ac:dyDescent="0.25">
      <c r="I1987">
        <f t="shared" si="31"/>
        <v>1900</v>
      </c>
    </row>
    <row r="1988" spans="9:9" x14ac:dyDescent="0.25">
      <c r="I1988">
        <f t="shared" ref="I1988:I2051" si="32">IFERROR(YEAR(E1988),"")</f>
        <v>1900</v>
      </c>
    </row>
    <row r="1989" spans="9:9" x14ac:dyDescent="0.25">
      <c r="I1989">
        <f t="shared" si="32"/>
        <v>1900</v>
      </c>
    </row>
    <row r="1990" spans="9:9" x14ac:dyDescent="0.25">
      <c r="I1990">
        <f t="shared" si="32"/>
        <v>1900</v>
      </c>
    </row>
    <row r="1991" spans="9:9" x14ac:dyDescent="0.25">
      <c r="I1991">
        <f t="shared" si="32"/>
        <v>1900</v>
      </c>
    </row>
    <row r="1992" spans="9:9" x14ac:dyDescent="0.25">
      <c r="I1992">
        <f t="shared" si="32"/>
        <v>1900</v>
      </c>
    </row>
    <row r="1993" spans="9:9" x14ac:dyDescent="0.25">
      <c r="I1993">
        <f t="shared" si="32"/>
        <v>1900</v>
      </c>
    </row>
    <row r="1994" spans="9:9" x14ac:dyDescent="0.25">
      <c r="I1994">
        <f t="shared" si="32"/>
        <v>1900</v>
      </c>
    </row>
    <row r="1995" spans="9:9" x14ac:dyDescent="0.25">
      <c r="I1995">
        <f t="shared" si="32"/>
        <v>1900</v>
      </c>
    </row>
    <row r="1996" spans="9:9" x14ac:dyDescent="0.25">
      <c r="I1996">
        <f t="shared" si="32"/>
        <v>1900</v>
      </c>
    </row>
    <row r="1997" spans="9:9" x14ac:dyDescent="0.25">
      <c r="I1997">
        <f t="shared" si="32"/>
        <v>1900</v>
      </c>
    </row>
    <row r="1998" spans="9:9" x14ac:dyDescent="0.25">
      <c r="I1998">
        <f t="shared" si="32"/>
        <v>1900</v>
      </c>
    </row>
    <row r="1999" spans="9:9" x14ac:dyDescent="0.25">
      <c r="I1999">
        <f t="shared" si="32"/>
        <v>1900</v>
      </c>
    </row>
    <row r="2000" spans="9:9" x14ac:dyDescent="0.25">
      <c r="I2000">
        <f t="shared" si="32"/>
        <v>1900</v>
      </c>
    </row>
    <row r="2001" spans="9:9" x14ac:dyDescent="0.25">
      <c r="I2001">
        <f t="shared" si="32"/>
        <v>1900</v>
      </c>
    </row>
    <row r="2002" spans="9:9" x14ac:dyDescent="0.25">
      <c r="I2002">
        <f t="shared" si="32"/>
        <v>1900</v>
      </c>
    </row>
    <row r="2003" spans="9:9" x14ac:dyDescent="0.25">
      <c r="I2003">
        <f t="shared" si="32"/>
        <v>1900</v>
      </c>
    </row>
    <row r="2004" spans="9:9" x14ac:dyDescent="0.25">
      <c r="I2004">
        <f t="shared" si="32"/>
        <v>1900</v>
      </c>
    </row>
    <row r="2005" spans="9:9" x14ac:dyDescent="0.25">
      <c r="I2005">
        <f t="shared" si="32"/>
        <v>1900</v>
      </c>
    </row>
    <row r="2006" spans="9:9" x14ac:dyDescent="0.25">
      <c r="I2006">
        <f t="shared" si="32"/>
        <v>1900</v>
      </c>
    </row>
    <row r="2007" spans="9:9" x14ac:dyDescent="0.25">
      <c r="I2007">
        <f t="shared" si="32"/>
        <v>1900</v>
      </c>
    </row>
    <row r="2008" spans="9:9" x14ac:dyDescent="0.25">
      <c r="I2008">
        <f t="shared" si="32"/>
        <v>1900</v>
      </c>
    </row>
    <row r="2009" spans="9:9" x14ac:dyDescent="0.25">
      <c r="I2009">
        <f t="shared" si="32"/>
        <v>1900</v>
      </c>
    </row>
    <row r="2010" spans="9:9" x14ac:dyDescent="0.25">
      <c r="I2010">
        <f t="shared" si="32"/>
        <v>1900</v>
      </c>
    </row>
    <row r="2011" spans="9:9" x14ac:dyDescent="0.25">
      <c r="I2011">
        <f t="shared" si="32"/>
        <v>1900</v>
      </c>
    </row>
    <row r="2012" spans="9:9" x14ac:dyDescent="0.25">
      <c r="I2012">
        <f t="shared" si="32"/>
        <v>1900</v>
      </c>
    </row>
    <row r="2013" spans="9:9" x14ac:dyDescent="0.25">
      <c r="I2013">
        <f t="shared" si="32"/>
        <v>1900</v>
      </c>
    </row>
    <row r="2014" spans="9:9" x14ac:dyDescent="0.25">
      <c r="I2014">
        <f t="shared" si="32"/>
        <v>1900</v>
      </c>
    </row>
    <row r="2015" spans="9:9" x14ac:dyDescent="0.25">
      <c r="I2015">
        <f t="shared" si="32"/>
        <v>1900</v>
      </c>
    </row>
    <row r="2016" spans="9:9" x14ac:dyDescent="0.25">
      <c r="I2016">
        <f t="shared" si="32"/>
        <v>1900</v>
      </c>
    </row>
    <row r="2017" spans="9:9" x14ac:dyDescent="0.25">
      <c r="I2017">
        <f t="shared" si="32"/>
        <v>1900</v>
      </c>
    </row>
    <row r="2018" spans="9:9" x14ac:dyDescent="0.25">
      <c r="I2018">
        <f t="shared" si="32"/>
        <v>1900</v>
      </c>
    </row>
    <row r="2019" spans="9:9" x14ac:dyDescent="0.25">
      <c r="I2019">
        <f t="shared" si="32"/>
        <v>1900</v>
      </c>
    </row>
    <row r="2020" spans="9:9" x14ac:dyDescent="0.25">
      <c r="I2020">
        <f t="shared" si="32"/>
        <v>1900</v>
      </c>
    </row>
    <row r="2021" spans="9:9" x14ac:dyDescent="0.25">
      <c r="I2021">
        <f t="shared" si="32"/>
        <v>1900</v>
      </c>
    </row>
    <row r="2022" spans="9:9" x14ac:dyDescent="0.25">
      <c r="I2022">
        <f t="shared" si="32"/>
        <v>1900</v>
      </c>
    </row>
    <row r="2023" spans="9:9" x14ac:dyDescent="0.25">
      <c r="I2023">
        <f t="shared" si="32"/>
        <v>1900</v>
      </c>
    </row>
    <row r="2024" spans="9:9" x14ac:dyDescent="0.25">
      <c r="I2024">
        <f t="shared" si="32"/>
        <v>1900</v>
      </c>
    </row>
    <row r="2025" spans="9:9" x14ac:dyDescent="0.25">
      <c r="I2025">
        <f t="shared" si="32"/>
        <v>1900</v>
      </c>
    </row>
    <row r="2026" spans="9:9" x14ac:dyDescent="0.25">
      <c r="I2026">
        <f t="shared" si="32"/>
        <v>1900</v>
      </c>
    </row>
    <row r="2027" spans="9:9" x14ac:dyDescent="0.25">
      <c r="I2027">
        <f t="shared" si="32"/>
        <v>1900</v>
      </c>
    </row>
    <row r="2028" spans="9:9" x14ac:dyDescent="0.25">
      <c r="I2028">
        <f t="shared" si="32"/>
        <v>1900</v>
      </c>
    </row>
    <row r="2029" spans="9:9" x14ac:dyDescent="0.25">
      <c r="I2029">
        <f t="shared" si="32"/>
        <v>1900</v>
      </c>
    </row>
    <row r="2030" spans="9:9" x14ac:dyDescent="0.25">
      <c r="I2030">
        <f t="shared" si="32"/>
        <v>1900</v>
      </c>
    </row>
    <row r="2031" spans="9:9" x14ac:dyDescent="0.25">
      <c r="I2031">
        <f t="shared" si="32"/>
        <v>1900</v>
      </c>
    </row>
    <row r="2032" spans="9:9" x14ac:dyDescent="0.25">
      <c r="I2032">
        <f t="shared" si="32"/>
        <v>1900</v>
      </c>
    </row>
    <row r="2033" spans="9:9" x14ac:dyDescent="0.25">
      <c r="I2033">
        <f t="shared" si="32"/>
        <v>1900</v>
      </c>
    </row>
    <row r="2034" spans="9:9" x14ac:dyDescent="0.25">
      <c r="I2034">
        <f t="shared" si="32"/>
        <v>1900</v>
      </c>
    </row>
    <row r="2035" spans="9:9" x14ac:dyDescent="0.25">
      <c r="I2035">
        <f t="shared" si="32"/>
        <v>1900</v>
      </c>
    </row>
    <row r="2036" spans="9:9" x14ac:dyDescent="0.25">
      <c r="I2036">
        <f t="shared" si="32"/>
        <v>1900</v>
      </c>
    </row>
    <row r="2037" spans="9:9" x14ac:dyDescent="0.25">
      <c r="I2037">
        <f t="shared" si="32"/>
        <v>1900</v>
      </c>
    </row>
    <row r="2038" spans="9:9" x14ac:dyDescent="0.25">
      <c r="I2038">
        <f t="shared" si="32"/>
        <v>1900</v>
      </c>
    </row>
    <row r="2039" spans="9:9" x14ac:dyDescent="0.25">
      <c r="I2039">
        <f t="shared" si="32"/>
        <v>1900</v>
      </c>
    </row>
    <row r="2040" spans="9:9" x14ac:dyDescent="0.25">
      <c r="I2040">
        <f t="shared" si="32"/>
        <v>1900</v>
      </c>
    </row>
    <row r="2041" spans="9:9" x14ac:dyDescent="0.25">
      <c r="I2041">
        <f t="shared" si="32"/>
        <v>1900</v>
      </c>
    </row>
    <row r="2042" spans="9:9" x14ac:dyDescent="0.25">
      <c r="I2042">
        <f t="shared" si="32"/>
        <v>1900</v>
      </c>
    </row>
    <row r="2043" spans="9:9" x14ac:dyDescent="0.25">
      <c r="I2043">
        <f t="shared" si="32"/>
        <v>1900</v>
      </c>
    </row>
    <row r="2044" spans="9:9" x14ac:dyDescent="0.25">
      <c r="I2044">
        <f t="shared" si="32"/>
        <v>1900</v>
      </c>
    </row>
    <row r="2045" spans="9:9" x14ac:dyDescent="0.25">
      <c r="I2045">
        <f t="shared" si="32"/>
        <v>1900</v>
      </c>
    </row>
    <row r="2046" spans="9:9" x14ac:dyDescent="0.25">
      <c r="I2046">
        <f t="shared" si="32"/>
        <v>1900</v>
      </c>
    </row>
    <row r="2047" spans="9:9" x14ac:dyDescent="0.25">
      <c r="I2047">
        <f t="shared" si="32"/>
        <v>1900</v>
      </c>
    </row>
    <row r="2048" spans="9:9" x14ac:dyDescent="0.25">
      <c r="I2048">
        <f t="shared" si="32"/>
        <v>1900</v>
      </c>
    </row>
    <row r="2049" spans="9:9" x14ac:dyDescent="0.25">
      <c r="I2049">
        <f t="shared" si="32"/>
        <v>1900</v>
      </c>
    </row>
    <row r="2050" spans="9:9" x14ac:dyDescent="0.25">
      <c r="I2050">
        <f t="shared" si="32"/>
        <v>1900</v>
      </c>
    </row>
    <row r="2051" spans="9:9" x14ac:dyDescent="0.25">
      <c r="I2051">
        <f t="shared" si="32"/>
        <v>1900</v>
      </c>
    </row>
    <row r="2052" spans="9:9" x14ac:dyDescent="0.25">
      <c r="I2052">
        <f t="shared" ref="I2052:I2115" si="33">IFERROR(YEAR(E2052),"")</f>
        <v>1900</v>
      </c>
    </row>
    <row r="2053" spans="9:9" x14ac:dyDescent="0.25">
      <c r="I2053">
        <f t="shared" si="33"/>
        <v>1900</v>
      </c>
    </row>
    <row r="2054" spans="9:9" x14ac:dyDescent="0.25">
      <c r="I2054">
        <f t="shared" si="33"/>
        <v>1900</v>
      </c>
    </row>
    <row r="2055" spans="9:9" x14ac:dyDescent="0.25">
      <c r="I2055">
        <f t="shared" si="33"/>
        <v>1900</v>
      </c>
    </row>
    <row r="2056" spans="9:9" x14ac:dyDescent="0.25">
      <c r="I2056">
        <f t="shared" si="33"/>
        <v>1900</v>
      </c>
    </row>
    <row r="2057" spans="9:9" x14ac:dyDescent="0.25">
      <c r="I2057">
        <f t="shared" si="33"/>
        <v>1900</v>
      </c>
    </row>
    <row r="2058" spans="9:9" x14ac:dyDescent="0.25">
      <c r="I2058">
        <f t="shared" si="33"/>
        <v>1900</v>
      </c>
    </row>
    <row r="2059" spans="9:9" x14ac:dyDescent="0.25">
      <c r="I2059">
        <f t="shared" si="33"/>
        <v>1900</v>
      </c>
    </row>
    <row r="2060" spans="9:9" x14ac:dyDescent="0.25">
      <c r="I2060">
        <f t="shared" si="33"/>
        <v>1900</v>
      </c>
    </row>
    <row r="2061" spans="9:9" x14ac:dyDescent="0.25">
      <c r="I2061">
        <f t="shared" si="33"/>
        <v>1900</v>
      </c>
    </row>
    <row r="2062" spans="9:9" x14ac:dyDescent="0.25">
      <c r="I2062">
        <f t="shared" si="33"/>
        <v>1900</v>
      </c>
    </row>
    <row r="2063" spans="9:9" x14ac:dyDescent="0.25">
      <c r="I2063">
        <f t="shared" si="33"/>
        <v>1900</v>
      </c>
    </row>
    <row r="2064" spans="9:9" x14ac:dyDescent="0.25">
      <c r="I2064">
        <f t="shared" si="33"/>
        <v>1900</v>
      </c>
    </row>
    <row r="2065" spans="9:9" x14ac:dyDescent="0.25">
      <c r="I2065">
        <f t="shared" si="33"/>
        <v>1900</v>
      </c>
    </row>
    <row r="2066" spans="9:9" x14ac:dyDescent="0.25">
      <c r="I2066">
        <f t="shared" si="33"/>
        <v>1900</v>
      </c>
    </row>
    <row r="2067" spans="9:9" x14ac:dyDescent="0.25">
      <c r="I2067">
        <f t="shared" si="33"/>
        <v>1900</v>
      </c>
    </row>
    <row r="2068" spans="9:9" x14ac:dyDescent="0.25">
      <c r="I2068">
        <f t="shared" si="33"/>
        <v>1900</v>
      </c>
    </row>
    <row r="2069" spans="9:9" x14ac:dyDescent="0.25">
      <c r="I2069">
        <f t="shared" si="33"/>
        <v>1900</v>
      </c>
    </row>
    <row r="2070" spans="9:9" x14ac:dyDescent="0.25">
      <c r="I2070">
        <f t="shared" si="33"/>
        <v>1900</v>
      </c>
    </row>
    <row r="2071" spans="9:9" x14ac:dyDescent="0.25">
      <c r="I2071">
        <f t="shared" si="33"/>
        <v>1900</v>
      </c>
    </row>
    <row r="2072" spans="9:9" x14ac:dyDescent="0.25">
      <c r="I2072">
        <f t="shared" si="33"/>
        <v>1900</v>
      </c>
    </row>
    <row r="2073" spans="9:9" x14ac:dyDescent="0.25">
      <c r="I2073">
        <f t="shared" si="33"/>
        <v>1900</v>
      </c>
    </row>
    <row r="2074" spans="9:9" x14ac:dyDescent="0.25">
      <c r="I2074">
        <f t="shared" si="33"/>
        <v>1900</v>
      </c>
    </row>
    <row r="2075" spans="9:9" x14ac:dyDescent="0.25">
      <c r="I2075">
        <f t="shared" si="33"/>
        <v>1900</v>
      </c>
    </row>
    <row r="2076" spans="9:9" x14ac:dyDescent="0.25">
      <c r="I2076">
        <f t="shared" si="33"/>
        <v>1900</v>
      </c>
    </row>
    <row r="2077" spans="9:9" x14ac:dyDescent="0.25">
      <c r="I2077">
        <f t="shared" si="33"/>
        <v>1900</v>
      </c>
    </row>
    <row r="2078" spans="9:9" x14ac:dyDescent="0.25">
      <c r="I2078">
        <f t="shared" si="33"/>
        <v>1900</v>
      </c>
    </row>
    <row r="2079" spans="9:9" x14ac:dyDescent="0.25">
      <c r="I2079">
        <f t="shared" si="33"/>
        <v>1900</v>
      </c>
    </row>
    <row r="2080" spans="9:9" x14ac:dyDescent="0.25">
      <c r="I2080">
        <f t="shared" si="33"/>
        <v>1900</v>
      </c>
    </row>
    <row r="2081" spans="9:9" x14ac:dyDescent="0.25">
      <c r="I2081">
        <f t="shared" si="33"/>
        <v>1900</v>
      </c>
    </row>
    <row r="2082" spans="9:9" x14ac:dyDescent="0.25">
      <c r="I2082">
        <f t="shared" si="33"/>
        <v>1900</v>
      </c>
    </row>
    <row r="2083" spans="9:9" x14ac:dyDescent="0.25">
      <c r="I2083">
        <f t="shared" si="33"/>
        <v>1900</v>
      </c>
    </row>
    <row r="2084" spans="9:9" x14ac:dyDescent="0.25">
      <c r="I2084">
        <f t="shared" si="33"/>
        <v>1900</v>
      </c>
    </row>
    <row r="2085" spans="9:9" x14ac:dyDescent="0.25">
      <c r="I2085">
        <f t="shared" si="33"/>
        <v>1900</v>
      </c>
    </row>
    <row r="2086" spans="9:9" x14ac:dyDescent="0.25">
      <c r="I2086">
        <f t="shared" si="33"/>
        <v>1900</v>
      </c>
    </row>
    <row r="2087" spans="9:9" x14ac:dyDescent="0.25">
      <c r="I2087">
        <f t="shared" si="33"/>
        <v>1900</v>
      </c>
    </row>
    <row r="2088" spans="9:9" x14ac:dyDescent="0.25">
      <c r="I2088">
        <f t="shared" si="33"/>
        <v>1900</v>
      </c>
    </row>
    <row r="2089" spans="9:9" x14ac:dyDescent="0.25">
      <c r="I2089">
        <f t="shared" si="33"/>
        <v>1900</v>
      </c>
    </row>
    <row r="2090" spans="9:9" x14ac:dyDescent="0.25">
      <c r="I2090">
        <f t="shared" si="33"/>
        <v>1900</v>
      </c>
    </row>
    <row r="2091" spans="9:9" x14ac:dyDescent="0.25">
      <c r="I2091">
        <f t="shared" si="33"/>
        <v>1900</v>
      </c>
    </row>
    <row r="2092" spans="9:9" x14ac:dyDescent="0.25">
      <c r="I2092">
        <f t="shared" si="33"/>
        <v>1900</v>
      </c>
    </row>
    <row r="2093" spans="9:9" x14ac:dyDescent="0.25">
      <c r="I2093">
        <f t="shared" si="33"/>
        <v>1900</v>
      </c>
    </row>
    <row r="2094" spans="9:9" x14ac:dyDescent="0.25">
      <c r="I2094">
        <f t="shared" si="33"/>
        <v>1900</v>
      </c>
    </row>
    <row r="2095" spans="9:9" x14ac:dyDescent="0.25">
      <c r="I2095">
        <f t="shared" si="33"/>
        <v>1900</v>
      </c>
    </row>
    <row r="2096" spans="9:9" x14ac:dyDescent="0.25">
      <c r="I2096">
        <f t="shared" si="33"/>
        <v>1900</v>
      </c>
    </row>
    <row r="2097" spans="9:9" x14ac:dyDescent="0.25">
      <c r="I2097">
        <f t="shared" si="33"/>
        <v>1900</v>
      </c>
    </row>
    <row r="2098" spans="9:9" x14ac:dyDescent="0.25">
      <c r="I2098">
        <f t="shared" si="33"/>
        <v>1900</v>
      </c>
    </row>
    <row r="2099" spans="9:9" x14ac:dyDescent="0.25">
      <c r="I2099">
        <f t="shared" si="33"/>
        <v>1900</v>
      </c>
    </row>
    <row r="2100" spans="9:9" x14ac:dyDescent="0.25">
      <c r="I2100">
        <f t="shared" si="33"/>
        <v>1900</v>
      </c>
    </row>
    <row r="2101" spans="9:9" x14ac:dyDescent="0.25">
      <c r="I2101">
        <f t="shared" si="33"/>
        <v>1900</v>
      </c>
    </row>
    <row r="2102" spans="9:9" x14ac:dyDescent="0.25">
      <c r="I2102">
        <f t="shared" si="33"/>
        <v>1900</v>
      </c>
    </row>
    <row r="2103" spans="9:9" x14ac:dyDescent="0.25">
      <c r="I2103">
        <f t="shared" si="33"/>
        <v>1900</v>
      </c>
    </row>
    <row r="2104" spans="9:9" x14ac:dyDescent="0.25">
      <c r="I2104">
        <f t="shared" si="33"/>
        <v>1900</v>
      </c>
    </row>
    <row r="2105" spans="9:9" x14ac:dyDescent="0.25">
      <c r="I2105">
        <f t="shared" si="33"/>
        <v>1900</v>
      </c>
    </row>
    <row r="2106" spans="9:9" x14ac:dyDescent="0.25">
      <c r="I2106">
        <f t="shared" si="33"/>
        <v>1900</v>
      </c>
    </row>
    <row r="2107" spans="9:9" x14ac:dyDescent="0.25">
      <c r="I2107">
        <f t="shared" si="33"/>
        <v>1900</v>
      </c>
    </row>
    <row r="2108" spans="9:9" x14ac:dyDescent="0.25">
      <c r="I2108">
        <f t="shared" si="33"/>
        <v>1900</v>
      </c>
    </row>
    <row r="2109" spans="9:9" x14ac:dyDescent="0.25">
      <c r="I2109">
        <f t="shared" si="33"/>
        <v>1900</v>
      </c>
    </row>
    <row r="2110" spans="9:9" x14ac:dyDescent="0.25">
      <c r="I2110">
        <f t="shared" si="33"/>
        <v>1900</v>
      </c>
    </row>
    <row r="2111" spans="9:9" x14ac:dyDescent="0.25">
      <c r="I2111">
        <f t="shared" si="33"/>
        <v>1900</v>
      </c>
    </row>
    <row r="2112" spans="9:9" x14ac:dyDescent="0.25">
      <c r="I2112">
        <f t="shared" si="33"/>
        <v>1900</v>
      </c>
    </row>
    <row r="2113" spans="9:9" x14ac:dyDescent="0.25">
      <c r="I2113">
        <f t="shared" si="33"/>
        <v>1900</v>
      </c>
    </row>
    <row r="2114" spans="9:9" x14ac:dyDescent="0.25">
      <c r="I2114">
        <f t="shared" si="33"/>
        <v>1900</v>
      </c>
    </row>
    <row r="2115" spans="9:9" x14ac:dyDescent="0.25">
      <c r="I2115">
        <f t="shared" si="33"/>
        <v>1900</v>
      </c>
    </row>
    <row r="2116" spans="9:9" x14ac:dyDescent="0.25">
      <c r="I2116">
        <f t="shared" ref="I2116:I2179" si="34">IFERROR(YEAR(E2116),"")</f>
        <v>1900</v>
      </c>
    </row>
    <row r="2117" spans="9:9" x14ac:dyDescent="0.25">
      <c r="I2117">
        <f t="shared" si="34"/>
        <v>1900</v>
      </c>
    </row>
    <row r="2118" spans="9:9" x14ac:dyDescent="0.25">
      <c r="I2118">
        <f t="shared" si="34"/>
        <v>1900</v>
      </c>
    </row>
    <row r="2119" spans="9:9" x14ac:dyDescent="0.25">
      <c r="I2119">
        <f t="shared" si="34"/>
        <v>1900</v>
      </c>
    </row>
    <row r="2120" spans="9:9" x14ac:dyDescent="0.25">
      <c r="I2120">
        <f t="shared" si="34"/>
        <v>1900</v>
      </c>
    </row>
    <row r="2121" spans="9:9" x14ac:dyDescent="0.25">
      <c r="I2121">
        <f t="shared" si="34"/>
        <v>1900</v>
      </c>
    </row>
    <row r="2122" spans="9:9" x14ac:dyDescent="0.25">
      <c r="I2122">
        <f t="shared" si="34"/>
        <v>1900</v>
      </c>
    </row>
    <row r="2123" spans="9:9" x14ac:dyDescent="0.25">
      <c r="I2123">
        <f t="shared" si="34"/>
        <v>1900</v>
      </c>
    </row>
    <row r="2124" spans="9:9" x14ac:dyDescent="0.25">
      <c r="I2124">
        <f t="shared" si="34"/>
        <v>1900</v>
      </c>
    </row>
    <row r="2125" spans="9:9" x14ac:dyDescent="0.25">
      <c r="I2125">
        <f t="shared" si="34"/>
        <v>1900</v>
      </c>
    </row>
    <row r="2126" spans="9:9" x14ac:dyDescent="0.25">
      <c r="I2126">
        <f t="shared" si="34"/>
        <v>1900</v>
      </c>
    </row>
    <row r="2127" spans="9:9" x14ac:dyDescent="0.25">
      <c r="I2127">
        <f t="shared" si="34"/>
        <v>1900</v>
      </c>
    </row>
    <row r="2128" spans="9:9" x14ac:dyDescent="0.25">
      <c r="I2128">
        <f t="shared" si="34"/>
        <v>1900</v>
      </c>
    </row>
    <row r="2129" spans="9:9" x14ac:dyDescent="0.25">
      <c r="I2129">
        <f t="shared" si="34"/>
        <v>1900</v>
      </c>
    </row>
    <row r="2130" spans="9:9" x14ac:dyDescent="0.25">
      <c r="I2130">
        <f t="shared" si="34"/>
        <v>1900</v>
      </c>
    </row>
    <row r="2131" spans="9:9" x14ac:dyDescent="0.25">
      <c r="I2131">
        <f t="shared" si="34"/>
        <v>1900</v>
      </c>
    </row>
    <row r="2132" spans="9:9" x14ac:dyDescent="0.25">
      <c r="I2132">
        <f t="shared" si="34"/>
        <v>1900</v>
      </c>
    </row>
    <row r="2133" spans="9:9" x14ac:dyDescent="0.25">
      <c r="I2133">
        <f t="shared" si="34"/>
        <v>1900</v>
      </c>
    </row>
    <row r="2134" spans="9:9" x14ac:dyDescent="0.25">
      <c r="I2134">
        <f t="shared" si="34"/>
        <v>1900</v>
      </c>
    </row>
    <row r="2135" spans="9:9" x14ac:dyDescent="0.25">
      <c r="I2135">
        <f t="shared" si="34"/>
        <v>1900</v>
      </c>
    </row>
    <row r="2136" spans="9:9" x14ac:dyDescent="0.25">
      <c r="I2136">
        <f t="shared" si="34"/>
        <v>1900</v>
      </c>
    </row>
    <row r="2137" spans="9:9" x14ac:dyDescent="0.25">
      <c r="I2137">
        <f t="shared" si="34"/>
        <v>1900</v>
      </c>
    </row>
    <row r="2138" spans="9:9" x14ac:dyDescent="0.25">
      <c r="I2138">
        <f t="shared" si="34"/>
        <v>1900</v>
      </c>
    </row>
    <row r="2139" spans="9:9" x14ac:dyDescent="0.25">
      <c r="I2139">
        <f t="shared" si="34"/>
        <v>1900</v>
      </c>
    </row>
    <row r="2140" spans="9:9" x14ac:dyDescent="0.25">
      <c r="I2140">
        <f t="shared" si="34"/>
        <v>1900</v>
      </c>
    </row>
    <row r="2141" spans="9:9" x14ac:dyDescent="0.25">
      <c r="I2141">
        <f t="shared" si="34"/>
        <v>1900</v>
      </c>
    </row>
    <row r="2142" spans="9:9" x14ac:dyDescent="0.25">
      <c r="I2142">
        <f t="shared" si="34"/>
        <v>1900</v>
      </c>
    </row>
    <row r="2143" spans="9:9" x14ac:dyDescent="0.25">
      <c r="I2143">
        <f t="shared" si="34"/>
        <v>1900</v>
      </c>
    </row>
    <row r="2144" spans="9:9" x14ac:dyDescent="0.25">
      <c r="I2144">
        <f t="shared" si="34"/>
        <v>1900</v>
      </c>
    </row>
    <row r="2145" spans="9:9" x14ac:dyDescent="0.25">
      <c r="I2145">
        <f t="shared" si="34"/>
        <v>1900</v>
      </c>
    </row>
    <row r="2146" spans="9:9" x14ac:dyDescent="0.25">
      <c r="I2146">
        <f t="shared" si="34"/>
        <v>1900</v>
      </c>
    </row>
    <row r="2147" spans="9:9" x14ac:dyDescent="0.25">
      <c r="I2147">
        <f t="shared" si="34"/>
        <v>1900</v>
      </c>
    </row>
    <row r="2148" spans="9:9" x14ac:dyDescent="0.25">
      <c r="I2148">
        <f t="shared" si="34"/>
        <v>1900</v>
      </c>
    </row>
    <row r="2149" spans="9:9" x14ac:dyDescent="0.25">
      <c r="I2149">
        <f t="shared" si="34"/>
        <v>1900</v>
      </c>
    </row>
    <row r="2150" spans="9:9" x14ac:dyDescent="0.25">
      <c r="I2150">
        <f t="shared" si="34"/>
        <v>1900</v>
      </c>
    </row>
    <row r="2151" spans="9:9" x14ac:dyDescent="0.25">
      <c r="I2151">
        <f t="shared" si="34"/>
        <v>1900</v>
      </c>
    </row>
    <row r="2152" spans="9:9" x14ac:dyDescent="0.25">
      <c r="I2152">
        <f t="shared" si="34"/>
        <v>1900</v>
      </c>
    </row>
    <row r="2153" spans="9:9" x14ac:dyDescent="0.25">
      <c r="I2153">
        <f t="shared" si="34"/>
        <v>1900</v>
      </c>
    </row>
    <row r="2154" spans="9:9" x14ac:dyDescent="0.25">
      <c r="I2154">
        <f t="shared" si="34"/>
        <v>1900</v>
      </c>
    </row>
    <row r="2155" spans="9:9" x14ac:dyDescent="0.25">
      <c r="I2155">
        <f t="shared" si="34"/>
        <v>1900</v>
      </c>
    </row>
    <row r="2156" spans="9:9" x14ac:dyDescent="0.25">
      <c r="I2156">
        <f t="shared" si="34"/>
        <v>1900</v>
      </c>
    </row>
    <row r="2157" spans="9:9" x14ac:dyDescent="0.25">
      <c r="I2157">
        <f t="shared" si="34"/>
        <v>1900</v>
      </c>
    </row>
    <row r="2158" spans="9:9" x14ac:dyDescent="0.25">
      <c r="I2158">
        <f t="shared" si="34"/>
        <v>1900</v>
      </c>
    </row>
    <row r="2159" spans="9:9" x14ac:dyDescent="0.25">
      <c r="I2159">
        <f t="shared" si="34"/>
        <v>1900</v>
      </c>
    </row>
    <row r="2160" spans="9:9" x14ac:dyDescent="0.25">
      <c r="I2160">
        <f t="shared" si="34"/>
        <v>1900</v>
      </c>
    </row>
    <row r="2161" spans="9:9" x14ac:dyDescent="0.25">
      <c r="I2161">
        <f t="shared" si="34"/>
        <v>1900</v>
      </c>
    </row>
    <row r="2162" spans="9:9" x14ac:dyDescent="0.25">
      <c r="I2162">
        <f t="shared" si="34"/>
        <v>1900</v>
      </c>
    </row>
    <row r="2163" spans="9:9" x14ac:dyDescent="0.25">
      <c r="I2163">
        <f t="shared" si="34"/>
        <v>1900</v>
      </c>
    </row>
    <row r="2164" spans="9:9" x14ac:dyDescent="0.25">
      <c r="I2164">
        <f t="shared" si="34"/>
        <v>1900</v>
      </c>
    </row>
    <row r="2165" spans="9:9" x14ac:dyDescent="0.25">
      <c r="I2165">
        <f t="shared" si="34"/>
        <v>1900</v>
      </c>
    </row>
    <row r="2166" spans="9:9" x14ac:dyDescent="0.25">
      <c r="I2166">
        <f t="shared" si="34"/>
        <v>1900</v>
      </c>
    </row>
    <row r="2167" spans="9:9" x14ac:dyDescent="0.25">
      <c r="I2167">
        <f t="shared" si="34"/>
        <v>1900</v>
      </c>
    </row>
    <row r="2168" spans="9:9" x14ac:dyDescent="0.25">
      <c r="I2168">
        <f t="shared" si="34"/>
        <v>1900</v>
      </c>
    </row>
    <row r="2169" spans="9:9" x14ac:dyDescent="0.25">
      <c r="I2169">
        <f t="shared" si="34"/>
        <v>1900</v>
      </c>
    </row>
    <row r="2170" spans="9:9" x14ac:dyDescent="0.25">
      <c r="I2170">
        <f t="shared" si="34"/>
        <v>1900</v>
      </c>
    </row>
    <row r="2171" spans="9:9" x14ac:dyDescent="0.25">
      <c r="I2171">
        <f t="shared" si="34"/>
        <v>1900</v>
      </c>
    </row>
    <row r="2172" spans="9:9" x14ac:dyDescent="0.25">
      <c r="I2172">
        <f t="shared" si="34"/>
        <v>1900</v>
      </c>
    </row>
    <row r="2173" spans="9:9" x14ac:dyDescent="0.25">
      <c r="I2173">
        <f t="shared" si="34"/>
        <v>1900</v>
      </c>
    </row>
    <row r="2174" spans="9:9" x14ac:dyDescent="0.25">
      <c r="I2174">
        <f t="shared" si="34"/>
        <v>1900</v>
      </c>
    </row>
    <row r="2175" spans="9:9" x14ac:dyDescent="0.25">
      <c r="I2175">
        <f t="shared" si="34"/>
        <v>1900</v>
      </c>
    </row>
    <row r="2176" spans="9:9" x14ac:dyDescent="0.25">
      <c r="I2176">
        <f t="shared" si="34"/>
        <v>1900</v>
      </c>
    </row>
    <row r="2177" spans="9:9" x14ac:dyDescent="0.25">
      <c r="I2177">
        <f t="shared" si="34"/>
        <v>1900</v>
      </c>
    </row>
    <row r="2178" spans="9:9" x14ac:dyDescent="0.25">
      <c r="I2178">
        <f t="shared" si="34"/>
        <v>1900</v>
      </c>
    </row>
    <row r="2179" spans="9:9" x14ac:dyDescent="0.25">
      <c r="I2179">
        <f t="shared" si="34"/>
        <v>1900</v>
      </c>
    </row>
    <row r="2180" spans="9:9" x14ac:dyDescent="0.25">
      <c r="I2180">
        <f t="shared" ref="I2180:I2243" si="35">IFERROR(YEAR(E2180),"")</f>
        <v>1900</v>
      </c>
    </row>
    <row r="2181" spans="9:9" x14ac:dyDescent="0.25">
      <c r="I2181">
        <f t="shared" si="35"/>
        <v>1900</v>
      </c>
    </row>
    <row r="2182" spans="9:9" x14ac:dyDescent="0.25">
      <c r="I2182">
        <f t="shared" si="35"/>
        <v>1900</v>
      </c>
    </row>
    <row r="2183" spans="9:9" x14ac:dyDescent="0.25">
      <c r="I2183">
        <f t="shared" si="35"/>
        <v>1900</v>
      </c>
    </row>
    <row r="2184" spans="9:9" x14ac:dyDescent="0.25">
      <c r="I2184">
        <f t="shared" si="35"/>
        <v>1900</v>
      </c>
    </row>
    <row r="2185" spans="9:9" x14ac:dyDescent="0.25">
      <c r="I2185">
        <f t="shared" si="35"/>
        <v>1900</v>
      </c>
    </row>
    <row r="2186" spans="9:9" x14ac:dyDescent="0.25">
      <c r="I2186">
        <f t="shared" si="35"/>
        <v>1900</v>
      </c>
    </row>
    <row r="2187" spans="9:9" x14ac:dyDescent="0.25">
      <c r="I2187">
        <f t="shared" si="35"/>
        <v>1900</v>
      </c>
    </row>
    <row r="2188" spans="9:9" x14ac:dyDescent="0.25">
      <c r="I2188">
        <f t="shared" si="35"/>
        <v>1900</v>
      </c>
    </row>
    <row r="2189" spans="9:9" x14ac:dyDescent="0.25">
      <c r="I2189">
        <f t="shared" si="35"/>
        <v>1900</v>
      </c>
    </row>
    <row r="2190" spans="9:9" x14ac:dyDescent="0.25">
      <c r="I2190">
        <f t="shared" si="35"/>
        <v>1900</v>
      </c>
    </row>
    <row r="2191" spans="9:9" x14ac:dyDescent="0.25">
      <c r="I2191">
        <f t="shared" si="35"/>
        <v>1900</v>
      </c>
    </row>
    <row r="2192" spans="9:9" x14ac:dyDescent="0.25">
      <c r="I2192">
        <f t="shared" si="35"/>
        <v>1900</v>
      </c>
    </row>
    <row r="2193" spans="9:9" x14ac:dyDescent="0.25">
      <c r="I2193">
        <f t="shared" si="35"/>
        <v>1900</v>
      </c>
    </row>
    <row r="2194" spans="9:9" x14ac:dyDescent="0.25">
      <c r="I2194">
        <f t="shared" si="35"/>
        <v>1900</v>
      </c>
    </row>
    <row r="2195" spans="9:9" x14ac:dyDescent="0.25">
      <c r="I2195">
        <f t="shared" si="35"/>
        <v>1900</v>
      </c>
    </row>
    <row r="2196" spans="9:9" x14ac:dyDescent="0.25">
      <c r="I2196">
        <f t="shared" si="35"/>
        <v>1900</v>
      </c>
    </row>
    <row r="2197" spans="9:9" x14ac:dyDescent="0.25">
      <c r="I2197">
        <f t="shared" si="35"/>
        <v>1900</v>
      </c>
    </row>
    <row r="2198" spans="9:9" x14ac:dyDescent="0.25">
      <c r="I2198">
        <f t="shared" si="35"/>
        <v>1900</v>
      </c>
    </row>
    <row r="2199" spans="9:9" x14ac:dyDescent="0.25">
      <c r="I2199">
        <f t="shared" si="35"/>
        <v>1900</v>
      </c>
    </row>
    <row r="2200" spans="9:9" x14ac:dyDescent="0.25">
      <c r="I2200">
        <f t="shared" si="35"/>
        <v>1900</v>
      </c>
    </row>
    <row r="2201" spans="9:9" x14ac:dyDescent="0.25">
      <c r="I2201">
        <f t="shared" si="35"/>
        <v>1900</v>
      </c>
    </row>
    <row r="2202" spans="9:9" x14ac:dyDescent="0.25">
      <c r="I2202">
        <f t="shared" si="35"/>
        <v>1900</v>
      </c>
    </row>
    <row r="2203" spans="9:9" x14ac:dyDescent="0.25">
      <c r="I2203">
        <f t="shared" si="35"/>
        <v>1900</v>
      </c>
    </row>
    <row r="2204" spans="9:9" x14ac:dyDescent="0.25">
      <c r="I2204">
        <f t="shared" si="35"/>
        <v>1900</v>
      </c>
    </row>
    <row r="2205" spans="9:9" x14ac:dyDescent="0.25">
      <c r="I2205">
        <f t="shared" si="35"/>
        <v>1900</v>
      </c>
    </row>
    <row r="2206" spans="9:9" x14ac:dyDescent="0.25">
      <c r="I2206">
        <f t="shared" si="35"/>
        <v>1900</v>
      </c>
    </row>
    <row r="2207" spans="9:9" x14ac:dyDescent="0.25">
      <c r="I2207">
        <f t="shared" si="35"/>
        <v>1900</v>
      </c>
    </row>
    <row r="2208" spans="9:9" x14ac:dyDescent="0.25">
      <c r="I2208">
        <f t="shared" si="35"/>
        <v>1900</v>
      </c>
    </row>
    <row r="2209" spans="9:9" x14ac:dyDescent="0.25">
      <c r="I2209">
        <f t="shared" si="35"/>
        <v>1900</v>
      </c>
    </row>
    <row r="2210" spans="9:9" x14ac:dyDescent="0.25">
      <c r="I2210">
        <f t="shared" si="35"/>
        <v>1900</v>
      </c>
    </row>
    <row r="2211" spans="9:9" x14ac:dyDescent="0.25">
      <c r="I2211">
        <f t="shared" si="35"/>
        <v>1900</v>
      </c>
    </row>
    <row r="2212" spans="9:9" x14ac:dyDescent="0.25">
      <c r="I2212">
        <f t="shared" si="35"/>
        <v>1900</v>
      </c>
    </row>
    <row r="2213" spans="9:9" x14ac:dyDescent="0.25">
      <c r="I2213">
        <f t="shared" si="35"/>
        <v>1900</v>
      </c>
    </row>
    <row r="2214" spans="9:9" x14ac:dyDescent="0.25">
      <c r="I2214">
        <f t="shared" si="35"/>
        <v>1900</v>
      </c>
    </row>
    <row r="2215" spans="9:9" x14ac:dyDescent="0.25">
      <c r="I2215">
        <f t="shared" si="35"/>
        <v>1900</v>
      </c>
    </row>
    <row r="2216" spans="9:9" x14ac:dyDescent="0.25">
      <c r="I2216">
        <f t="shared" si="35"/>
        <v>1900</v>
      </c>
    </row>
    <row r="2217" spans="9:9" x14ac:dyDescent="0.25">
      <c r="I2217">
        <f t="shared" si="35"/>
        <v>1900</v>
      </c>
    </row>
    <row r="2218" spans="9:9" x14ac:dyDescent="0.25">
      <c r="I2218">
        <f t="shared" si="35"/>
        <v>1900</v>
      </c>
    </row>
    <row r="2219" spans="9:9" x14ac:dyDescent="0.25">
      <c r="I2219">
        <f t="shared" si="35"/>
        <v>1900</v>
      </c>
    </row>
    <row r="2220" spans="9:9" x14ac:dyDescent="0.25">
      <c r="I2220">
        <f t="shared" si="35"/>
        <v>1900</v>
      </c>
    </row>
    <row r="2221" spans="9:9" x14ac:dyDescent="0.25">
      <c r="I2221">
        <f t="shared" si="35"/>
        <v>1900</v>
      </c>
    </row>
    <row r="2222" spans="9:9" x14ac:dyDescent="0.25">
      <c r="I2222">
        <f t="shared" si="35"/>
        <v>1900</v>
      </c>
    </row>
    <row r="2223" spans="9:9" x14ac:dyDescent="0.25">
      <c r="I2223">
        <f t="shared" si="35"/>
        <v>1900</v>
      </c>
    </row>
    <row r="2224" spans="9:9" x14ac:dyDescent="0.25">
      <c r="I2224">
        <f t="shared" si="35"/>
        <v>1900</v>
      </c>
    </row>
    <row r="2225" spans="9:9" x14ac:dyDescent="0.25">
      <c r="I2225">
        <f t="shared" si="35"/>
        <v>1900</v>
      </c>
    </row>
    <row r="2226" spans="9:9" x14ac:dyDescent="0.25">
      <c r="I2226">
        <f t="shared" si="35"/>
        <v>1900</v>
      </c>
    </row>
    <row r="2227" spans="9:9" x14ac:dyDescent="0.25">
      <c r="I2227">
        <f t="shared" si="35"/>
        <v>1900</v>
      </c>
    </row>
    <row r="2228" spans="9:9" x14ac:dyDescent="0.25">
      <c r="I2228">
        <f t="shared" si="35"/>
        <v>1900</v>
      </c>
    </row>
    <row r="2229" spans="9:9" x14ac:dyDescent="0.25">
      <c r="I2229">
        <f t="shared" si="35"/>
        <v>1900</v>
      </c>
    </row>
    <row r="2230" spans="9:9" x14ac:dyDescent="0.25">
      <c r="I2230">
        <f t="shared" si="35"/>
        <v>1900</v>
      </c>
    </row>
    <row r="2231" spans="9:9" x14ac:dyDescent="0.25">
      <c r="I2231">
        <f t="shared" si="35"/>
        <v>1900</v>
      </c>
    </row>
    <row r="2232" spans="9:9" x14ac:dyDescent="0.25">
      <c r="I2232">
        <f t="shared" si="35"/>
        <v>1900</v>
      </c>
    </row>
    <row r="2233" spans="9:9" x14ac:dyDescent="0.25">
      <c r="I2233">
        <f t="shared" si="35"/>
        <v>1900</v>
      </c>
    </row>
    <row r="2234" spans="9:9" x14ac:dyDescent="0.25">
      <c r="I2234">
        <f t="shared" si="35"/>
        <v>1900</v>
      </c>
    </row>
    <row r="2235" spans="9:9" x14ac:dyDescent="0.25">
      <c r="I2235">
        <f t="shared" si="35"/>
        <v>1900</v>
      </c>
    </row>
    <row r="2236" spans="9:9" x14ac:dyDescent="0.25">
      <c r="I2236">
        <f t="shared" si="35"/>
        <v>1900</v>
      </c>
    </row>
    <row r="2237" spans="9:9" x14ac:dyDescent="0.25">
      <c r="I2237">
        <f t="shared" si="35"/>
        <v>1900</v>
      </c>
    </row>
    <row r="2238" spans="9:9" x14ac:dyDescent="0.25">
      <c r="I2238">
        <f t="shared" si="35"/>
        <v>1900</v>
      </c>
    </row>
    <row r="2239" spans="9:9" x14ac:dyDescent="0.25">
      <c r="I2239">
        <f t="shared" si="35"/>
        <v>1900</v>
      </c>
    </row>
    <row r="2240" spans="9:9" x14ac:dyDescent="0.25">
      <c r="I2240">
        <f t="shared" si="35"/>
        <v>1900</v>
      </c>
    </row>
    <row r="2241" spans="9:9" x14ac:dyDescent="0.25">
      <c r="I2241">
        <f t="shared" si="35"/>
        <v>1900</v>
      </c>
    </row>
    <row r="2242" spans="9:9" x14ac:dyDescent="0.25">
      <c r="I2242">
        <f t="shared" si="35"/>
        <v>1900</v>
      </c>
    </row>
    <row r="2243" spans="9:9" x14ac:dyDescent="0.25">
      <c r="I2243">
        <f t="shared" si="35"/>
        <v>1900</v>
      </c>
    </row>
    <row r="2244" spans="9:9" x14ac:dyDescent="0.25">
      <c r="I2244">
        <f t="shared" ref="I2244:I2307" si="36">IFERROR(YEAR(E2244),"")</f>
        <v>1900</v>
      </c>
    </row>
    <row r="2245" spans="9:9" x14ac:dyDescent="0.25">
      <c r="I2245">
        <f t="shared" si="36"/>
        <v>1900</v>
      </c>
    </row>
    <row r="2246" spans="9:9" x14ac:dyDescent="0.25">
      <c r="I2246">
        <f t="shared" si="36"/>
        <v>1900</v>
      </c>
    </row>
    <row r="2247" spans="9:9" x14ac:dyDescent="0.25">
      <c r="I2247">
        <f t="shared" si="36"/>
        <v>1900</v>
      </c>
    </row>
    <row r="2248" spans="9:9" x14ac:dyDescent="0.25">
      <c r="I2248">
        <f t="shared" si="36"/>
        <v>1900</v>
      </c>
    </row>
    <row r="2249" spans="9:9" x14ac:dyDescent="0.25">
      <c r="I2249">
        <f t="shared" si="36"/>
        <v>1900</v>
      </c>
    </row>
    <row r="2250" spans="9:9" x14ac:dyDescent="0.25">
      <c r="I2250">
        <f t="shared" si="36"/>
        <v>1900</v>
      </c>
    </row>
    <row r="2251" spans="9:9" x14ac:dyDescent="0.25">
      <c r="I2251">
        <f t="shared" si="36"/>
        <v>1900</v>
      </c>
    </row>
    <row r="2252" spans="9:9" x14ac:dyDescent="0.25">
      <c r="I2252">
        <f t="shared" si="36"/>
        <v>1900</v>
      </c>
    </row>
    <row r="2253" spans="9:9" x14ac:dyDescent="0.25">
      <c r="I2253">
        <f t="shared" si="36"/>
        <v>1900</v>
      </c>
    </row>
    <row r="2254" spans="9:9" x14ac:dyDescent="0.25">
      <c r="I2254">
        <f t="shared" si="36"/>
        <v>1900</v>
      </c>
    </row>
    <row r="2255" spans="9:9" x14ac:dyDescent="0.25">
      <c r="I2255">
        <f t="shared" si="36"/>
        <v>1900</v>
      </c>
    </row>
    <row r="2256" spans="9:9" x14ac:dyDescent="0.25">
      <c r="I2256">
        <f t="shared" si="36"/>
        <v>1900</v>
      </c>
    </row>
    <row r="2257" spans="9:9" x14ac:dyDescent="0.25">
      <c r="I2257">
        <f t="shared" si="36"/>
        <v>1900</v>
      </c>
    </row>
    <row r="2258" spans="9:9" x14ac:dyDescent="0.25">
      <c r="I2258">
        <f t="shared" si="36"/>
        <v>1900</v>
      </c>
    </row>
    <row r="2259" spans="9:9" x14ac:dyDescent="0.25">
      <c r="I2259">
        <f t="shared" si="36"/>
        <v>1900</v>
      </c>
    </row>
    <row r="2260" spans="9:9" x14ac:dyDescent="0.25">
      <c r="I2260">
        <f t="shared" si="36"/>
        <v>1900</v>
      </c>
    </row>
    <row r="2261" spans="9:9" x14ac:dyDescent="0.25">
      <c r="I2261">
        <f t="shared" si="36"/>
        <v>1900</v>
      </c>
    </row>
    <row r="2262" spans="9:9" x14ac:dyDescent="0.25">
      <c r="I2262">
        <f t="shared" si="36"/>
        <v>1900</v>
      </c>
    </row>
    <row r="2263" spans="9:9" x14ac:dyDescent="0.25">
      <c r="I2263">
        <f t="shared" si="36"/>
        <v>1900</v>
      </c>
    </row>
    <row r="2264" spans="9:9" x14ac:dyDescent="0.25">
      <c r="I2264">
        <f t="shared" si="36"/>
        <v>1900</v>
      </c>
    </row>
    <row r="2265" spans="9:9" x14ac:dyDescent="0.25">
      <c r="I2265">
        <f t="shared" si="36"/>
        <v>1900</v>
      </c>
    </row>
    <row r="2266" spans="9:9" x14ac:dyDescent="0.25">
      <c r="I2266">
        <f t="shared" si="36"/>
        <v>1900</v>
      </c>
    </row>
    <row r="2267" spans="9:9" x14ac:dyDescent="0.25">
      <c r="I2267">
        <f t="shared" si="36"/>
        <v>1900</v>
      </c>
    </row>
    <row r="2268" spans="9:9" x14ac:dyDescent="0.25">
      <c r="I2268">
        <f t="shared" si="36"/>
        <v>1900</v>
      </c>
    </row>
    <row r="2269" spans="9:9" x14ac:dyDescent="0.25">
      <c r="I2269">
        <f t="shared" si="36"/>
        <v>1900</v>
      </c>
    </row>
    <row r="2270" spans="9:9" x14ac:dyDescent="0.25">
      <c r="I2270">
        <f t="shared" si="36"/>
        <v>1900</v>
      </c>
    </row>
    <row r="2271" spans="9:9" x14ac:dyDescent="0.25">
      <c r="I2271">
        <f t="shared" si="36"/>
        <v>1900</v>
      </c>
    </row>
    <row r="2272" spans="9:9" x14ac:dyDescent="0.25">
      <c r="I2272">
        <f t="shared" si="36"/>
        <v>1900</v>
      </c>
    </row>
    <row r="2273" spans="9:9" x14ac:dyDescent="0.25">
      <c r="I2273">
        <f t="shared" si="36"/>
        <v>1900</v>
      </c>
    </row>
    <row r="2274" spans="9:9" x14ac:dyDescent="0.25">
      <c r="I2274">
        <f t="shared" si="36"/>
        <v>1900</v>
      </c>
    </row>
    <row r="2275" spans="9:9" x14ac:dyDescent="0.25">
      <c r="I2275">
        <f t="shared" si="36"/>
        <v>1900</v>
      </c>
    </row>
    <row r="2276" spans="9:9" x14ac:dyDescent="0.25">
      <c r="I2276">
        <f t="shared" si="36"/>
        <v>1900</v>
      </c>
    </row>
    <row r="2277" spans="9:9" x14ac:dyDescent="0.25">
      <c r="I2277">
        <f t="shared" si="36"/>
        <v>1900</v>
      </c>
    </row>
    <row r="2278" spans="9:9" x14ac:dyDescent="0.25">
      <c r="I2278">
        <f t="shared" si="36"/>
        <v>1900</v>
      </c>
    </row>
    <row r="2279" spans="9:9" x14ac:dyDescent="0.25">
      <c r="I2279">
        <f t="shared" si="36"/>
        <v>1900</v>
      </c>
    </row>
    <row r="2280" spans="9:9" x14ac:dyDescent="0.25">
      <c r="I2280">
        <f t="shared" si="36"/>
        <v>1900</v>
      </c>
    </row>
    <row r="2281" spans="9:9" x14ac:dyDescent="0.25">
      <c r="I2281">
        <f t="shared" si="36"/>
        <v>1900</v>
      </c>
    </row>
    <row r="2282" spans="9:9" x14ac:dyDescent="0.25">
      <c r="I2282">
        <f t="shared" si="36"/>
        <v>1900</v>
      </c>
    </row>
    <row r="2283" spans="9:9" x14ac:dyDescent="0.25">
      <c r="I2283">
        <f t="shared" si="36"/>
        <v>1900</v>
      </c>
    </row>
    <row r="2284" spans="9:9" x14ac:dyDescent="0.25">
      <c r="I2284">
        <f t="shared" si="36"/>
        <v>1900</v>
      </c>
    </row>
    <row r="2285" spans="9:9" x14ac:dyDescent="0.25">
      <c r="I2285">
        <f t="shared" si="36"/>
        <v>1900</v>
      </c>
    </row>
    <row r="2286" spans="9:9" x14ac:dyDescent="0.25">
      <c r="I2286">
        <f t="shared" si="36"/>
        <v>1900</v>
      </c>
    </row>
    <row r="2287" spans="9:9" x14ac:dyDescent="0.25">
      <c r="I2287">
        <f t="shared" si="36"/>
        <v>1900</v>
      </c>
    </row>
    <row r="2288" spans="9:9" x14ac:dyDescent="0.25">
      <c r="I2288">
        <f t="shared" si="36"/>
        <v>1900</v>
      </c>
    </row>
    <row r="2289" spans="9:9" x14ac:dyDescent="0.25">
      <c r="I2289">
        <f t="shared" si="36"/>
        <v>1900</v>
      </c>
    </row>
    <row r="2290" spans="9:9" x14ac:dyDescent="0.25">
      <c r="I2290">
        <f t="shared" si="36"/>
        <v>1900</v>
      </c>
    </row>
    <row r="2291" spans="9:9" x14ac:dyDescent="0.25">
      <c r="I2291">
        <f t="shared" si="36"/>
        <v>1900</v>
      </c>
    </row>
    <row r="2292" spans="9:9" x14ac:dyDescent="0.25">
      <c r="I2292">
        <f t="shared" si="36"/>
        <v>1900</v>
      </c>
    </row>
    <row r="2293" spans="9:9" x14ac:dyDescent="0.25">
      <c r="I2293">
        <f t="shared" si="36"/>
        <v>1900</v>
      </c>
    </row>
    <row r="2294" spans="9:9" x14ac:dyDescent="0.25">
      <c r="I2294">
        <f t="shared" si="36"/>
        <v>1900</v>
      </c>
    </row>
    <row r="2295" spans="9:9" x14ac:dyDescent="0.25">
      <c r="I2295">
        <f t="shared" si="36"/>
        <v>1900</v>
      </c>
    </row>
    <row r="2296" spans="9:9" x14ac:dyDescent="0.25">
      <c r="I2296">
        <f t="shared" si="36"/>
        <v>1900</v>
      </c>
    </row>
    <row r="2297" spans="9:9" x14ac:dyDescent="0.25">
      <c r="I2297">
        <f t="shared" si="36"/>
        <v>1900</v>
      </c>
    </row>
    <row r="2298" spans="9:9" x14ac:dyDescent="0.25">
      <c r="I2298">
        <f t="shared" si="36"/>
        <v>1900</v>
      </c>
    </row>
    <row r="2299" spans="9:9" x14ac:dyDescent="0.25">
      <c r="I2299">
        <f t="shared" si="36"/>
        <v>1900</v>
      </c>
    </row>
    <row r="2300" spans="9:9" x14ac:dyDescent="0.25">
      <c r="I2300">
        <f t="shared" si="36"/>
        <v>1900</v>
      </c>
    </row>
    <row r="2301" spans="9:9" x14ac:dyDescent="0.25">
      <c r="I2301">
        <f t="shared" si="36"/>
        <v>1900</v>
      </c>
    </row>
    <row r="2302" spans="9:9" x14ac:dyDescent="0.25">
      <c r="I2302">
        <f t="shared" si="36"/>
        <v>1900</v>
      </c>
    </row>
    <row r="2303" spans="9:9" x14ac:dyDescent="0.25">
      <c r="I2303">
        <f t="shared" si="36"/>
        <v>1900</v>
      </c>
    </row>
    <row r="2304" spans="9:9" x14ac:dyDescent="0.25">
      <c r="I2304">
        <f t="shared" si="36"/>
        <v>1900</v>
      </c>
    </row>
    <row r="2305" spans="9:9" x14ac:dyDescent="0.25">
      <c r="I2305">
        <f t="shared" si="36"/>
        <v>1900</v>
      </c>
    </row>
    <row r="2306" spans="9:9" x14ac:dyDescent="0.25">
      <c r="I2306">
        <f t="shared" si="36"/>
        <v>1900</v>
      </c>
    </row>
    <row r="2307" spans="9:9" x14ac:dyDescent="0.25">
      <c r="I2307">
        <f t="shared" si="36"/>
        <v>1900</v>
      </c>
    </row>
    <row r="2308" spans="9:9" x14ac:dyDescent="0.25">
      <c r="I2308">
        <f t="shared" ref="I2308:I2371" si="37">IFERROR(YEAR(E2308),"")</f>
        <v>1900</v>
      </c>
    </row>
    <row r="2309" spans="9:9" x14ac:dyDescent="0.25">
      <c r="I2309">
        <f t="shared" si="37"/>
        <v>1900</v>
      </c>
    </row>
    <row r="2310" spans="9:9" x14ac:dyDescent="0.25">
      <c r="I2310">
        <f t="shared" si="37"/>
        <v>1900</v>
      </c>
    </row>
    <row r="2311" spans="9:9" x14ac:dyDescent="0.25">
      <c r="I2311">
        <f t="shared" si="37"/>
        <v>1900</v>
      </c>
    </row>
    <row r="2312" spans="9:9" x14ac:dyDescent="0.25">
      <c r="I2312">
        <f t="shared" si="37"/>
        <v>1900</v>
      </c>
    </row>
    <row r="2313" spans="9:9" x14ac:dyDescent="0.25">
      <c r="I2313">
        <f t="shared" si="37"/>
        <v>1900</v>
      </c>
    </row>
    <row r="2314" spans="9:9" x14ac:dyDescent="0.25">
      <c r="I2314">
        <f t="shared" si="37"/>
        <v>1900</v>
      </c>
    </row>
    <row r="2315" spans="9:9" x14ac:dyDescent="0.25">
      <c r="I2315">
        <f t="shared" si="37"/>
        <v>1900</v>
      </c>
    </row>
    <row r="2316" spans="9:9" x14ac:dyDescent="0.25">
      <c r="I2316">
        <f t="shared" si="37"/>
        <v>1900</v>
      </c>
    </row>
    <row r="2317" spans="9:9" x14ac:dyDescent="0.25">
      <c r="I2317">
        <f t="shared" si="37"/>
        <v>1900</v>
      </c>
    </row>
    <row r="2318" spans="9:9" x14ac:dyDescent="0.25">
      <c r="I2318">
        <f t="shared" si="37"/>
        <v>1900</v>
      </c>
    </row>
    <row r="2319" spans="9:9" x14ac:dyDescent="0.25">
      <c r="I2319">
        <f t="shared" si="37"/>
        <v>1900</v>
      </c>
    </row>
    <row r="2320" spans="9:9" x14ac:dyDescent="0.25">
      <c r="I2320">
        <f t="shared" si="37"/>
        <v>1900</v>
      </c>
    </row>
    <row r="2321" spans="9:9" x14ac:dyDescent="0.25">
      <c r="I2321">
        <f t="shared" si="37"/>
        <v>1900</v>
      </c>
    </row>
    <row r="2322" spans="9:9" x14ac:dyDescent="0.25">
      <c r="I2322">
        <f t="shared" si="37"/>
        <v>1900</v>
      </c>
    </row>
    <row r="2323" spans="9:9" x14ac:dyDescent="0.25">
      <c r="I2323">
        <f t="shared" si="37"/>
        <v>1900</v>
      </c>
    </row>
    <row r="2324" spans="9:9" x14ac:dyDescent="0.25">
      <c r="I2324">
        <f t="shared" si="37"/>
        <v>1900</v>
      </c>
    </row>
    <row r="2325" spans="9:9" x14ac:dyDescent="0.25">
      <c r="I2325">
        <f t="shared" si="37"/>
        <v>1900</v>
      </c>
    </row>
    <row r="2326" spans="9:9" x14ac:dyDescent="0.25">
      <c r="I2326">
        <f t="shared" si="37"/>
        <v>1900</v>
      </c>
    </row>
    <row r="2327" spans="9:9" x14ac:dyDescent="0.25">
      <c r="I2327">
        <f t="shared" si="37"/>
        <v>1900</v>
      </c>
    </row>
    <row r="2328" spans="9:9" x14ac:dyDescent="0.25">
      <c r="I2328">
        <f t="shared" si="37"/>
        <v>1900</v>
      </c>
    </row>
    <row r="2329" spans="9:9" x14ac:dyDescent="0.25">
      <c r="I2329">
        <f t="shared" si="37"/>
        <v>1900</v>
      </c>
    </row>
    <row r="2330" spans="9:9" x14ac:dyDescent="0.25">
      <c r="I2330">
        <f t="shared" si="37"/>
        <v>1900</v>
      </c>
    </row>
    <row r="2331" spans="9:9" x14ac:dyDescent="0.25">
      <c r="I2331">
        <f t="shared" si="37"/>
        <v>1900</v>
      </c>
    </row>
    <row r="2332" spans="9:9" x14ac:dyDescent="0.25">
      <c r="I2332">
        <f t="shared" si="37"/>
        <v>1900</v>
      </c>
    </row>
    <row r="2333" spans="9:9" x14ac:dyDescent="0.25">
      <c r="I2333">
        <f t="shared" si="37"/>
        <v>1900</v>
      </c>
    </row>
    <row r="2334" spans="9:9" x14ac:dyDescent="0.25">
      <c r="I2334">
        <f t="shared" si="37"/>
        <v>1900</v>
      </c>
    </row>
    <row r="2335" spans="9:9" x14ac:dyDescent="0.25">
      <c r="I2335">
        <f t="shared" si="37"/>
        <v>1900</v>
      </c>
    </row>
    <row r="2336" spans="9:9" x14ac:dyDescent="0.25">
      <c r="I2336">
        <f t="shared" si="37"/>
        <v>1900</v>
      </c>
    </row>
    <row r="2337" spans="9:9" x14ac:dyDescent="0.25">
      <c r="I2337">
        <f t="shared" si="37"/>
        <v>1900</v>
      </c>
    </row>
    <row r="2338" spans="9:9" x14ac:dyDescent="0.25">
      <c r="I2338">
        <f t="shared" si="37"/>
        <v>1900</v>
      </c>
    </row>
    <row r="2339" spans="9:9" x14ac:dyDescent="0.25">
      <c r="I2339">
        <f t="shared" si="37"/>
        <v>1900</v>
      </c>
    </row>
    <row r="2340" spans="9:9" x14ac:dyDescent="0.25">
      <c r="I2340">
        <f t="shared" si="37"/>
        <v>1900</v>
      </c>
    </row>
    <row r="2341" spans="9:9" x14ac:dyDescent="0.25">
      <c r="I2341">
        <f t="shared" si="37"/>
        <v>1900</v>
      </c>
    </row>
    <row r="2342" spans="9:9" x14ac:dyDescent="0.25">
      <c r="I2342">
        <f t="shared" si="37"/>
        <v>1900</v>
      </c>
    </row>
    <row r="2343" spans="9:9" x14ac:dyDescent="0.25">
      <c r="I2343">
        <f t="shared" si="37"/>
        <v>1900</v>
      </c>
    </row>
    <row r="2344" spans="9:9" x14ac:dyDescent="0.25">
      <c r="I2344">
        <f t="shared" si="37"/>
        <v>1900</v>
      </c>
    </row>
    <row r="2345" spans="9:9" x14ac:dyDescent="0.25">
      <c r="I2345">
        <f t="shared" si="37"/>
        <v>1900</v>
      </c>
    </row>
    <row r="2346" spans="9:9" x14ac:dyDescent="0.25">
      <c r="I2346">
        <f t="shared" si="37"/>
        <v>1900</v>
      </c>
    </row>
    <row r="2347" spans="9:9" x14ac:dyDescent="0.25">
      <c r="I2347">
        <f t="shared" si="37"/>
        <v>1900</v>
      </c>
    </row>
    <row r="2348" spans="9:9" x14ac:dyDescent="0.25">
      <c r="I2348">
        <f t="shared" si="37"/>
        <v>1900</v>
      </c>
    </row>
    <row r="2349" spans="9:9" x14ac:dyDescent="0.25">
      <c r="I2349">
        <f t="shared" si="37"/>
        <v>1900</v>
      </c>
    </row>
    <row r="2350" spans="9:9" x14ac:dyDescent="0.25">
      <c r="I2350">
        <f t="shared" si="37"/>
        <v>1900</v>
      </c>
    </row>
    <row r="2351" spans="9:9" x14ac:dyDescent="0.25">
      <c r="I2351">
        <f t="shared" si="37"/>
        <v>1900</v>
      </c>
    </row>
    <row r="2352" spans="9:9" x14ac:dyDescent="0.25">
      <c r="I2352">
        <f t="shared" si="37"/>
        <v>1900</v>
      </c>
    </row>
    <row r="2353" spans="9:9" x14ac:dyDescent="0.25">
      <c r="I2353">
        <f t="shared" si="37"/>
        <v>1900</v>
      </c>
    </row>
    <row r="2354" spans="9:9" x14ac:dyDescent="0.25">
      <c r="I2354">
        <f t="shared" si="37"/>
        <v>1900</v>
      </c>
    </row>
    <row r="2355" spans="9:9" x14ac:dyDescent="0.25">
      <c r="I2355">
        <f t="shared" si="37"/>
        <v>1900</v>
      </c>
    </row>
    <row r="2356" spans="9:9" x14ac:dyDescent="0.25">
      <c r="I2356">
        <f t="shared" si="37"/>
        <v>1900</v>
      </c>
    </row>
    <row r="2357" spans="9:9" x14ac:dyDescent="0.25">
      <c r="I2357">
        <f t="shared" si="37"/>
        <v>1900</v>
      </c>
    </row>
    <row r="2358" spans="9:9" x14ac:dyDescent="0.25">
      <c r="I2358">
        <f t="shared" si="37"/>
        <v>1900</v>
      </c>
    </row>
    <row r="2359" spans="9:9" x14ac:dyDescent="0.25">
      <c r="I2359">
        <f t="shared" si="37"/>
        <v>1900</v>
      </c>
    </row>
    <row r="2360" spans="9:9" x14ac:dyDescent="0.25">
      <c r="I2360">
        <f t="shared" si="37"/>
        <v>1900</v>
      </c>
    </row>
    <row r="2361" spans="9:9" x14ac:dyDescent="0.25">
      <c r="I2361">
        <f t="shared" si="37"/>
        <v>1900</v>
      </c>
    </row>
    <row r="2362" spans="9:9" x14ac:dyDescent="0.25">
      <c r="I2362">
        <f t="shared" si="37"/>
        <v>1900</v>
      </c>
    </row>
    <row r="2363" spans="9:9" x14ac:dyDescent="0.25">
      <c r="I2363">
        <f t="shared" si="37"/>
        <v>1900</v>
      </c>
    </row>
    <row r="2364" spans="9:9" x14ac:dyDescent="0.25">
      <c r="I2364">
        <f t="shared" si="37"/>
        <v>1900</v>
      </c>
    </row>
    <row r="2365" spans="9:9" x14ac:dyDescent="0.25">
      <c r="I2365">
        <f t="shared" si="37"/>
        <v>1900</v>
      </c>
    </row>
    <row r="2366" spans="9:9" x14ac:dyDescent="0.25">
      <c r="I2366">
        <f t="shared" si="37"/>
        <v>1900</v>
      </c>
    </row>
    <row r="2367" spans="9:9" x14ac:dyDescent="0.25">
      <c r="I2367">
        <f t="shared" si="37"/>
        <v>1900</v>
      </c>
    </row>
    <row r="2368" spans="9:9" x14ac:dyDescent="0.25">
      <c r="I2368">
        <f t="shared" si="37"/>
        <v>1900</v>
      </c>
    </row>
    <row r="2369" spans="9:9" x14ac:dyDescent="0.25">
      <c r="I2369">
        <f t="shared" si="37"/>
        <v>1900</v>
      </c>
    </row>
    <row r="2370" spans="9:9" x14ac:dyDescent="0.25">
      <c r="I2370">
        <f t="shared" si="37"/>
        <v>1900</v>
      </c>
    </row>
    <row r="2371" spans="9:9" x14ac:dyDescent="0.25">
      <c r="I2371">
        <f t="shared" si="37"/>
        <v>1900</v>
      </c>
    </row>
    <row r="2372" spans="9:9" x14ac:dyDescent="0.25">
      <c r="I2372">
        <f t="shared" ref="I2372:I2435" si="38">IFERROR(YEAR(E2372),"")</f>
        <v>1900</v>
      </c>
    </row>
    <row r="2373" spans="9:9" x14ac:dyDescent="0.25">
      <c r="I2373">
        <f t="shared" si="38"/>
        <v>1900</v>
      </c>
    </row>
    <row r="2374" spans="9:9" x14ac:dyDescent="0.25">
      <c r="I2374">
        <f t="shared" si="38"/>
        <v>1900</v>
      </c>
    </row>
    <row r="2375" spans="9:9" x14ac:dyDescent="0.25">
      <c r="I2375">
        <f t="shared" si="38"/>
        <v>1900</v>
      </c>
    </row>
    <row r="2376" spans="9:9" x14ac:dyDescent="0.25">
      <c r="I2376">
        <f t="shared" si="38"/>
        <v>1900</v>
      </c>
    </row>
    <row r="2377" spans="9:9" x14ac:dyDescent="0.25">
      <c r="I2377">
        <f t="shared" si="38"/>
        <v>1900</v>
      </c>
    </row>
    <row r="2378" spans="9:9" x14ac:dyDescent="0.25">
      <c r="I2378">
        <f t="shared" si="38"/>
        <v>1900</v>
      </c>
    </row>
    <row r="2379" spans="9:9" x14ac:dyDescent="0.25">
      <c r="I2379">
        <f t="shared" si="38"/>
        <v>1900</v>
      </c>
    </row>
    <row r="2380" spans="9:9" x14ac:dyDescent="0.25">
      <c r="I2380">
        <f t="shared" si="38"/>
        <v>1900</v>
      </c>
    </row>
    <row r="2381" spans="9:9" x14ac:dyDescent="0.25">
      <c r="I2381">
        <f t="shared" si="38"/>
        <v>1900</v>
      </c>
    </row>
    <row r="2382" spans="9:9" x14ac:dyDescent="0.25">
      <c r="I2382">
        <f t="shared" si="38"/>
        <v>1900</v>
      </c>
    </row>
    <row r="2383" spans="9:9" x14ac:dyDescent="0.25">
      <c r="I2383">
        <f t="shared" si="38"/>
        <v>1900</v>
      </c>
    </row>
    <row r="2384" spans="9:9" x14ac:dyDescent="0.25">
      <c r="I2384">
        <f t="shared" si="38"/>
        <v>1900</v>
      </c>
    </row>
    <row r="2385" spans="9:9" x14ac:dyDescent="0.25">
      <c r="I2385">
        <f t="shared" si="38"/>
        <v>1900</v>
      </c>
    </row>
    <row r="2386" spans="9:9" x14ac:dyDescent="0.25">
      <c r="I2386">
        <f t="shared" si="38"/>
        <v>1900</v>
      </c>
    </row>
    <row r="2387" spans="9:9" x14ac:dyDescent="0.25">
      <c r="I2387">
        <f t="shared" si="38"/>
        <v>1900</v>
      </c>
    </row>
    <row r="2388" spans="9:9" x14ac:dyDescent="0.25">
      <c r="I2388">
        <f t="shared" si="38"/>
        <v>1900</v>
      </c>
    </row>
    <row r="2389" spans="9:9" x14ac:dyDescent="0.25">
      <c r="I2389">
        <f t="shared" si="38"/>
        <v>1900</v>
      </c>
    </row>
    <row r="2390" spans="9:9" x14ac:dyDescent="0.25">
      <c r="I2390">
        <f t="shared" si="38"/>
        <v>1900</v>
      </c>
    </row>
    <row r="2391" spans="9:9" x14ac:dyDescent="0.25">
      <c r="I2391">
        <f t="shared" si="38"/>
        <v>1900</v>
      </c>
    </row>
    <row r="2392" spans="9:9" x14ac:dyDescent="0.25">
      <c r="I2392">
        <f t="shared" si="38"/>
        <v>1900</v>
      </c>
    </row>
    <row r="2393" spans="9:9" x14ac:dyDescent="0.25">
      <c r="I2393">
        <f t="shared" si="38"/>
        <v>1900</v>
      </c>
    </row>
    <row r="2394" spans="9:9" x14ac:dyDescent="0.25">
      <c r="I2394">
        <f t="shared" si="38"/>
        <v>1900</v>
      </c>
    </row>
    <row r="2395" spans="9:9" x14ac:dyDescent="0.25">
      <c r="I2395">
        <f t="shared" si="38"/>
        <v>1900</v>
      </c>
    </row>
    <row r="2396" spans="9:9" x14ac:dyDescent="0.25">
      <c r="I2396">
        <f t="shared" si="38"/>
        <v>1900</v>
      </c>
    </row>
    <row r="2397" spans="9:9" x14ac:dyDescent="0.25">
      <c r="I2397">
        <f t="shared" si="38"/>
        <v>1900</v>
      </c>
    </row>
    <row r="2398" spans="9:9" x14ac:dyDescent="0.25">
      <c r="I2398">
        <f t="shared" si="38"/>
        <v>1900</v>
      </c>
    </row>
    <row r="2399" spans="9:9" x14ac:dyDescent="0.25">
      <c r="I2399">
        <f t="shared" si="38"/>
        <v>1900</v>
      </c>
    </row>
    <row r="2400" spans="9:9" x14ac:dyDescent="0.25">
      <c r="I2400">
        <f t="shared" si="38"/>
        <v>1900</v>
      </c>
    </row>
    <row r="2401" spans="9:9" x14ac:dyDescent="0.25">
      <c r="I2401">
        <f t="shared" si="38"/>
        <v>1900</v>
      </c>
    </row>
    <row r="2402" spans="9:9" x14ac:dyDescent="0.25">
      <c r="I2402">
        <f t="shared" si="38"/>
        <v>1900</v>
      </c>
    </row>
    <row r="2403" spans="9:9" x14ac:dyDescent="0.25">
      <c r="I2403">
        <f t="shared" si="38"/>
        <v>1900</v>
      </c>
    </row>
    <row r="2404" spans="9:9" x14ac:dyDescent="0.25">
      <c r="I2404">
        <f t="shared" si="38"/>
        <v>1900</v>
      </c>
    </row>
    <row r="2405" spans="9:9" x14ac:dyDescent="0.25">
      <c r="I2405">
        <f t="shared" si="38"/>
        <v>1900</v>
      </c>
    </row>
    <row r="2406" spans="9:9" x14ac:dyDescent="0.25">
      <c r="I2406">
        <f t="shared" si="38"/>
        <v>1900</v>
      </c>
    </row>
    <row r="2407" spans="9:9" x14ac:dyDescent="0.25">
      <c r="I2407">
        <f t="shared" si="38"/>
        <v>1900</v>
      </c>
    </row>
    <row r="2408" spans="9:9" x14ac:dyDescent="0.25">
      <c r="I2408">
        <f t="shared" si="38"/>
        <v>1900</v>
      </c>
    </row>
    <row r="2409" spans="9:9" x14ac:dyDescent="0.25">
      <c r="I2409">
        <f t="shared" si="38"/>
        <v>1900</v>
      </c>
    </row>
    <row r="2410" spans="9:9" x14ac:dyDescent="0.25">
      <c r="I2410">
        <f t="shared" si="38"/>
        <v>1900</v>
      </c>
    </row>
    <row r="2411" spans="9:9" x14ac:dyDescent="0.25">
      <c r="I2411">
        <f t="shared" si="38"/>
        <v>1900</v>
      </c>
    </row>
    <row r="2412" spans="9:9" x14ac:dyDescent="0.25">
      <c r="I2412">
        <f t="shared" si="38"/>
        <v>1900</v>
      </c>
    </row>
    <row r="2413" spans="9:9" x14ac:dyDescent="0.25">
      <c r="I2413">
        <f t="shared" si="38"/>
        <v>1900</v>
      </c>
    </row>
    <row r="2414" spans="9:9" x14ac:dyDescent="0.25">
      <c r="I2414">
        <f t="shared" si="38"/>
        <v>1900</v>
      </c>
    </row>
    <row r="2415" spans="9:9" x14ac:dyDescent="0.25">
      <c r="I2415">
        <f t="shared" si="38"/>
        <v>1900</v>
      </c>
    </row>
    <row r="2416" spans="9:9" x14ac:dyDescent="0.25">
      <c r="I2416">
        <f t="shared" si="38"/>
        <v>1900</v>
      </c>
    </row>
    <row r="2417" spans="9:9" x14ac:dyDescent="0.25">
      <c r="I2417">
        <f t="shared" si="38"/>
        <v>1900</v>
      </c>
    </row>
    <row r="2418" spans="9:9" x14ac:dyDescent="0.25">
      <c r="I2418">
        <f t="shared" si="38"/>
        <v>1900</v>
      </c>
    </row>
    <row r="2419" spans="9:9" x14ac:dyDescent="0.25">
      <c r="I2419">
        <f t="shared" si="38"/>
        <v>1900</v>
      </c>
    </row>
    <row r="2420" spans="9:9" x14ac:dyDescent="0.25">
      <c r="I2420">
        <f t="shared" si="38"/>
        <v>1900</v>
      </c>
    </row>
    <row r="2421" spans="9:9" x14ac:dyDescent="0.25">
      <c r="I2421">
        <f t="shared" si="38"/>
        <v>1900</v>
      </c>
    </row>
    <row r="2422" spans="9:9" x14ac:dyDescent="0.25">
      <c r="I2422">
        <f t="shared" si="38"/>
        <v>1900</v>
      </c>
    </row>
    <row r="2423" spans="9:9" x14ac:dyDescent="0.25">
      <c r="I2423">
        <f t="shared" si="38"/>
        <v>1900</v>
      </c>
    </row>
    <row r="2424" spans="9:9" x14ac:dyDescent="0.25">
      <c r="I2424">
        <f t="shared" si="38"/>
        <v>1900</v>
      </c>
    </row>
    <row r="2425" spans="9:9" x14ac:dyDescent="0.25">
      <c r="I2425">
        <f t="shared" si="38"/>
        <v>1900</v>
      </c>
    </row>
    <row r="2426" spans="9:9" x14ac:dyDescent="0.25">
      <c r="I2426">
        <f t="shared" si="38"/>
        <v>1900</v>
      </c>
    </row>
    <row r="2427" spans="9:9" x14ac:dyDescent="0.25">
      <c r="I2427">
        <f t="shared" si="38"/>
        <v>1900</v>
      </c>
    </row>
    <row r="2428" spans="9:9" x14ac:dyDescent="0.25">
      <c r="I2428">
        <f t="shared" si="38"/>
        <v>1900</v>
      </c>
    </row>
    <row r="2429" spans="9:9" x14ac:dyDescent="0.25">
      <c r="I2429">
        <f t="shared" si="38"/>
        <v>1900</v>
      </c>
    </row>
    <row r="2430" spans="9:9" x14ac:dyDescent="0.25">
      <c r="I2430">
        <f t="shared" si="38"/>
        <v>1900</v>
      </c>
    </row>
    <row r="2431" spans="9:9" x14ac:dyDescent="0.25">
      <c r="I2431">
        <f t="shared" si="38"/>
        <v>1900</v>
      </c>
    </row>
    <row r="2432" spans="9:9" x14ac:dyDescent="0.25">
      <c r="I2432">
        <f t="shared" si="38"/>
        <v>1900</v>
      </c>
    </row>
    <row r="2433" spans="9:9" x14ac:dyDescent="0.25">
      <c r="I2433">
        <f t="shared" si="38"/>
        <v>1900</v>
      </c>
    </row>
    <row r="2434" spans="9:9" x14ac:dyDescent="0.25">
      <c r="I2434">
        <f t="shared" si="38"/>
        <v>1900</v>
      </c>
    </row>
    <row r="2435" spans="9:9" x14ac:dyDescent="0.25">
      <c r="I2435">
        <f t="shared" si="38"/>
        <v>1900</v>
      </c>
    </row>
    <row r="2436" spans="9:9" x14ac:dyDescent="0.25">
      <c r="I2436">
        <f t="shared" ref="I2436:I2499" si="39">IFERROR(YEAR(E2436),"")</f>
        <v>1900</v>
      </c>
    </row>
    <row r="2437" spans="9:9" x14ac:dyDescent="0.25">
      <c r="I2437">
        <f t="shared" si="39"/>
        <v>1900</v>
      </c>
    </row>
    <row r="2438" spans="9:9" x14ac:dyDescent="0.25">
      <c r="I2438">
        <f t="shared" si="39"/>
        <v>1900</v>
      </c>
    </row>
    <row r="2439" spans="9:9" x14ac:dyDescent="0.25">
      <c r="I2439">
        <f t="shared" si="39"/>
        <v>1900</v>
      </c>
    </row>
    <row r="2440" spans="9:9" x14ac:dyDescent="0.25">
      <c r="I2440">
        <f t="shared" si="39"/>
        <v>1900</v>
      </c>
    </row>
    <row r="2441" spans="9:9" x14ac:dyDescent="0.25">
      <c r="I2441">
        <f t="shared" si="39"/>
        <v>1900</v>
      </c>
    </row>
    <row r="2442" spans="9:9" x14ac:dyDescent="0.25">
      <c r="I2442">
        <f t="shared" si="39"/>
        <v>1900</v>
      </c>
    </row>
    <row r="2443" spans="9:9" x14ac:dyDescent="0.25">
      <c r="I2443">
        <f t="shared" si="39"/>
        <v>1900</v>
      </c>
    </row>
    <row r="2444" spans="9:9" x14ac:dyDescent="0.25">
      <c r="I2444">
        <f t="shared" si="39"/>
        <v>1900</v>
      </c>
    </row>
    <row r="2445" spans="9:9" x14ac:dyDescent="0.25">
      <c r="I2445">
        <f t="shared" si="39"/>
        <v>1900</v>
      </c>
    </row>
    <row r="2446" spans="9:9" x14ac:dyDescent="0.25">
      <c r="I2446">
        <f t="shared" si="39"/>
        <v>1900</v>
      </c>
    </row>
    <row r="2447" spans="9:9" x14ac:dyDescent="0.25">
      <c r="I2447">
        <f t="shared" si="39"/>
        <v>1900</v>
      </c>
    </row>
    <row r="2448" spans="9:9" x14ac:dyDescent="0.25">
      <c r="I2448">
        <f t="shared" si="39"/>
        <v>1900</v>
      </c>
    </row>
    <row r="2449" spans="9:9" x14ac:dyDescent="0.25">
      <c r="I2449">
        <f t="shared" si="39"/>
        <v>1900</v>
      </c>
    </row>
    <row r="2450" spans="9:9" x14ac:dyDescent="0.25">
      <c r="I2450">
        <f t="shared" si="39"/>
        <v>1900</v>
      </c>
    </row>
    <row r="2451" spans="9:9" x14ac:dyDescent="0.25">
      <c r="I2451">
        <f t="shared" si="39"/>
        <v>1900</v>
      </c>
    </row>
    <row r="2452" spans="9:9" x14ac:dyDescent="0.25">
      <c r="I2452">
        <f t="shared" si="39"/>
        <v>1900</v>
      </c>
    </row>
    <row r="2453" spans="9:9" x14ac:dyDescent="0.25">
      <c r="I2453">
        <f t="shared" si="39"/>
        <v>1900</v>
      </c>
    </row>
    <row r="2454" spans="9:9" x14ac:dyDescent="0.25">
      <c r="I2454">
        <f t="shared" si="39"/>
        <v>1900</v>
      </c>
    </row>
    <row r="2455" spans="9:9" x14ac:dyDescent="0.25">
      <c r="I2455">
        <f t="shared" si="39"/>
        <v>1900</v>
      </c>
    </row>
    <row r="2456" spans="9:9" x14ac:dyDescent="0.25">
      <c r="I2456">
        <f t="shared" si="39"/>
        <v>1900</v>
      </c>
    </row>
    <row r="2457" spans="9:9" x14ac:dyDescent="0.25">
      <c r="I2457">
        <f t="shared" si="39"/>
        <v>1900</v>
      </c>
    </row>
    <row r="2458" spans="9:9" x14ac:dyDescent="0.25">
      <c r="I2458">
        <f t="shared" si="39"/>
        <v>1900</v>
      </c>
    </row>
    <row r="2459" spans="9:9" x14ac:dyDescent="0.25">
      <c r="I2459">
        <f t="shared" si="39"/>
        <v>1900</v>
      </c>
    </row>
    <row r="2460" spans="9:9" x14ac:dyDescent="0.25">
      <c r="I2460">
        <f t="shared" si="39"/>
        <v>1900</v>
      </c>
    </row>
    <row r="2461" spans="9:9" x14ac:dyDescent="0.25">
      <c r="I2461">
        <f t="shared" si="39"/>
        <v>1900</v>
      </c>
    </row>
    <row r="2462" spans="9:9" x14ac:dyDescent="0.25">
      <c r="I2462">
        <f t="shared" si="39"/>
        <v>1900</v>
      </c>
    </row>
    <row r="2463" spans="9:9" x14ac:dyDescent="0.25">
      <c r="I2463">
        <f t="shared" si="39"/>
        <v>1900</v>
      </c>
    </row>
    <row r="2464" spans="9:9" x14ac:dyDescent="0.25">
      <c r="I2464">
        <f t="shared" si="39"/>
        <v>1900</v>
      </c>
    </row>
    <row r="2465" spans="9:9" x14ac:dyDescent="0.25">
      <c r="I2465">
        <f t="shared" si="39"/>
        <v>1900</v>
      </c>
    </row>
    <row r="2466" spans="9:9" x14ac:dyDescent="0.25">
      <c r="I2466">
        <f t="shared" si="39"/>
        <v>1900</v>
      </c>
    </row>
    <row r="2467" spans="9:9" x14ac:dyDescent="0.25">
      <c r="I2467">
        <f t="shared" si="39"/>
        <v>1900</v>
      </c>
    </row>
    <row r="2468" spans="9:9" x14ac:dyDescent="0.25">
      <c r="I2468">
        <f t="shared" si="39"/>
        <v>1900</v>
      </c>
    </row>
    <row r="2469" spans="9:9" x14ac:dyDescent="0.25">
      <c r="I2469">
        <f t="shared" si="39"/>
        <v>1900</v>
      </c>
    </row>
    <row r="2470" spans="9:9" x14ac:dyDescent="0.25">
      <c r="I2470">
        <f t="shared" si="39"/>
        <v>1900</v>
      </c>
    </row>
    <row r="2471" spans="9:9" x14ac:dyDescent="0.25">
      <c r="I2471">
        <f t="shared" si="39"/>
        <v>1900</v>
      </c>
    </row>
    <row r="2472" spans="9:9" x14ac:dyDescent="0.25">
      <c r="I2472">
        <f t="shared" si="39"/>
        <v>1900</v>
      </c>
    </row>
    <row r="2473" spans="9:9" x14ac:dyDescent="0.25">
      <c r="I2473">
        <f t="shared" si="39"/>
        <v>1900</v>
      </c>
    </row>
    <row r="2474" spans="9:9" x14ac:dyDescent="0.25">
      <c r="I2474">
        <f t="shared" si="39"/>
        <v>1900</v>
      </c>
    </row>
    <row r="2475" spans="9:9" x14ac:dyDescent="0.25">
      <c r="I2475">
        <f t="shared" si="39"/>
        <v>1900</v>
      </c>
    </row>
    <row r="2476" spans="9:9" x14ac:dyDescent="0.25">
      <c r="I2476">
        <f t="shared" si="39"/>
        <v>1900</v>
      </c>
    </row>
    <row r="2477" spans="9:9" x14ac:dyDescent="0.25">
      <c r="I2477">
        <f t="shared" si="39"/>
        <v>1900</v>
      </c>
    </row>
    <row r="2478" spans="9:9" x14ac:dyDescent="0.25">
      <c r="I2478">
        <f t="shared" si="39"/>
        <v>1900</v>
      </c>
    </row>
    <row r="2479" spans="9:9" x14ac:dyDescent="0.25">
      <c r="I2479">
        <f t="shared" si="39"/>
        <v>1900</v>
      </c>
    </row>
    <row r="2480" spans="9:9" x14ac:dyDescent="0.25">
      <c r="I2480">
        <f t="shared" si="39"/>
        <v>1900</v>
      </c>
    </row>
    <row r="2481" spans="9:9" x14ac:dyDescent="0.25">
      <c r="I2481">
        <f t="shared" si="39"/>
        <v>1900</v>
      </c>
    </row>
    <row r="2482" spans="9:9" x14ac:dyDescent="0.25">
      <c r="I2482">
        <f t="shared" si="39"/>
        <v>1900</v>
      </c>
    </row>
    <row r="2483" spans="9:9" x14ac:dyDescent="0.25">
      <c r="I2483">
        <f t="shared" si="39"/>
        <v>1900</v>
      </c>
    </row>
    <row r="2484" spans="9:9" x14ac:dyDescent="0.25">
      <c r="I2484">
        <f t="shared" si="39"/>
        <v>1900</v>
      </c>
    </row>
    <row r="2485" spans="9:9" x14ac:dyDescent="0.25">
      <c r="I2485">
        <f t="shared" si="39"/>
        <v>1900</v>
      </c>
    </row>
    <row r="2486" spans="9:9" x14ac:dyDescent="0.25">
      <c r="I2486">
        <f t="shared" si="39"/>
        <v>1900</v>
      </c>
    </row>
    <row r="2487" spans="9:9" x14ac:dyDescent="0.25">
      <c r="I2487">
        <f t="shared" si="39"/>
        <v>1900</v>
      </c>
    </row>
    <row r="2488" spans="9:9" x14ac:dyDescent="0.25">
      <c r="I2488">
        <f t="shared" si="39"/>
        <v>1900</v>
      </c>
    </row>
    <row r="2489" spans="9:9" x14ac:dyDescent="0.25">
      <c r="I2489">
        <f t="shared" si="39"/>
        <v>1900</v>
      </c>
    </row>
    <row r="2490" spans="9:9" x14ac:dyDescent="0.25">
      <c r="I2490">
        <f t="shared" si="39"/>
        <v>1900</v>
      </c>
    </row>
    <row r="2491" spans="9:9" x14ac:dyDescent="0.25">
      <c r="I2491">
        <f t="shared" si="39"/>
        <v>1900</v>
      </c>
    </row>
    <row r="2492" spans="9:9" x14ac:dyDescent="0.25">
      <c r="I2492">
        <f t="shared" si="39"/>
        <v>1900</v>
      </c>
    </row>
    <row r="2493" spans="9:9" x14ac:dyDescent="0.25">
      <c r="I2493">
        <f t="shared" si="39"/>
        <v>1900</v>
      </c>
    </row>
    <row r="2494" spans="9:9" x14ac:dyDescent="0.25">
      <c r="I2494">
        <f t="shared" si="39"/>
        <v>1900</v>
      </c>
    </row>
    <row r="2495" spans="9:9" x14ac:dyDescent="0.25">
      <c r="I2495">
        <f t="shared" si="39"/>
        <v>1900</v>
      </c>
    </row>
    <row r="2496" spans="9:9" x14ac:dyDescent="0.25">
      <c r="I2496">
        <f t="shared" si="39"/>
        <v>1900</v>
      </c>
    </row>
    <row r="2497" spans="9:9" x14ac:dyDescent="0.25">
      <c r="I2497">
        <f t="shared" si="39"/>
        <v>1900</v>
      </c>
    </row>
    <row r="2498" spans="9:9" x14ac:dyDescent="0.25">
      <c r="I2498">
        <f t="shared" si="39"/>
        <v>1900</v>
      </c>
    </row>
    <row r="2499" spans="9:9" x14ac:dyDescent="0.25">
      <c r="I2499">
        <f t="shared" si="39"/>
        <v>1900</v>
      </c>
    </row>
    <row r="2500" spans="9:9" x14ac:dyDescent="0.25">
      <c r="I2500">
        <f t="shared" ref="I2500:I2563" si="40">IFERROR(YEAR(E2500),"")</f>
        <v>1900</v>
      </c>
    </row>
    <row r="2501" spans="9:9" x14ac:dyDescent="0.25">
      <c r="I2501">
        <f t="shared" si="40"/>
        <v>1900</v>
      </c>
    </row>
    <row r="2502" spans="9:9" x14ac:dyDescent="0.25">
      <c r="I2502">
        <f t="shared" si="40"/>
        <v>1900</v>
      </c>
    </row>
    <row r="2503" spans="9:9" x14ac:dyDescent="0.25">
      <c r="I2503">
        <f t="shared" si="40"/>
        <v>1900</v>
      </c>
    </row>
    <row r="2504" spans="9:9" x14ac:dyDescent="0.25">
      <c r="I2504">
        <f t="shared" si="40"/>
        <v>1900</v>
      </c>
    </row>
    <row r="2505" spans="9:9" x14ac:dyDescent="0.25">
      <c r="I2505">
        <f t="shared" si="40"/>
        <v>1900</v>
      </c>
    </row>
    <row r="2506" spans="9:9" x14ac:dyDescent="0.25">
      <c r="I2506">
        <f t="shared" si="40"/>
        <v>1900</v>
      </c>
    </row>
    <row r="2507" spans="9:9" x14ac:dyDescent="0.25">
      <c r="I2507">
        <f t="shared" si="40"/>
        <v>1900</v>
      </c>
    </row>
    <row r="2508" spans="9:9" x14ac:dyDescent="0.25">
      <c r="I2508">
        <f t="shared" si="40"/>
        <v>1900</v>
      </c>
    </row>
    <row r="2509" spans="9:9" x14ac:dyDescent="0.25">
      <c r="I2509">
        <f t="shared" si="40"/>
        <v>1900</v>
      </c>
    </row>
    <row r="2510" spans="9:9" x14ac:dyDescent="0.25">
      <c r="I2510">
        <f t="shared" si="40"/>
        <v>1900</v>
      </c>
    </row>
    <row r="2511" spans="9:9" x14ac:dyDescent="0.25">
      <c r="I2511">
        <f t="shared" si="40"/>
        <v>1900</v>
      </c>
    </row>
    <row r="2512" spans="9:9" x14ac:dyDescent="0.25">
      <c r="I2512">
        <f t="shared" si="40"/>
        <v>1900</v>
      </c>
    </row>
    <row r="2513" spans="9:9" x14ac:dyDescent="0.25">
      <c r="I2513">
        <f t="shared" si="40"/>
        <v>1900</v>
      </c>
    </row>
    <row r="2514" spans="9:9" x14ac:dyDescent="0.25">
      <c r="I2514">
        <f t="shared" si="40"/>
        <v>1900</v>
      </c>
    </row>
    <row r="2515" spans="9:9" x14ac:dyDescent="0.25">
      <c r="I2515">
        <f t="shared" si="40"/>
        <v>1900</v>
      </c>
    </row>
    <row r="2516" spans="9:9" x14ac:dyDescent="0.25">
      <c r="I2516">
        <f t="shared" si="40"/>
        <v>1900</v>
      </c>
    </row>
    <row r="2517" spans="9:9" x14ac:dyDescent="0.25">
      <c r="I2517">
        <f t="shared" si="40"/>
        <v>1900</v>
      </c>
    </row>
    <row r="2518" spans="9:9" x14ac:dyDescent="0.25">
      <c r="I2518">
        <f t="shared" si="40"/>
        <v>1900</v>
      </c>
    </row>
    <row r="2519" spans="9:9" x14ac:dyDescent="0.25">
      <c r="I2519">
        <f t="shared" si="40"/>
        <v>1900</v>
      </c>
    </row>
    <row r="2520" spans="9:9" x14ac:dyDescent="0.25">
      <c r="I2520">
        <f t="shared" si="40"/>
        <v>1900</v>
      </c>
    </row>
    <row r="2521" spans="9:9" x14ac:dyDescent="0.25">
      <c r="I2521">
        <f t="shared" si="40"/>
        <v>1900</v>
      </c>
    </row>
    <row r="2522" spans="9:9" x14ac:dyDescent="0.25">
      <c r="I2522">
        <f t="shared" si="40"/>
        <v>1900</v>
      </c>
    </row>
    <row r="2523" spans="9:9" x14ac:dyDescent="0.25">
      <c r="I2523">
        <f t="shared" si="40"/>
        <v>1900</v>
      </c>
    </row>
    <row r="2524" spans="9:9" x14ac:dyDescent="0.25">
      <c r="I2524">
        <f t="shared" si="40"/>
        <v>1900</v>
      </c>
    </row>
    <row r="2525" spans="9:9" x14ac:dyDescent="0.25">
      <c r="I2525">
        <f t="shared" si="40"/>
        <v>1900</v>
      </c>
    </row>
    <row r="2526" spans="9:9" x14ac:dyDescent="0.25">
      <c r="I2526">
        <f t="shared" si="40"/>
        <v>1900</v>
      </c>
    </row>
    <row r="2527" spans="9:9" x14ac:dyDescent="0.25">
      <c r="I2527">
        <f t="shared" si="40"/>
        <v>1900</v>
      </c>
    </row>
    <row r="2528" spans="9:9" x14ac:dyDescent="0.25">
      <c r="I2528">
        <f t="shared" si="40"/>
        <v>1900</v>
      </c>
    </row>
    <row r="2529" spans="9:9" x14ac:dyDescent="0.25">
      <c r="I2529">
        <f t="shared" si="40"/>
        <v>1900</v>
      </c>
    </row>
    <row r="2530" spans="9:9" x14ac:dyDescent="0.25">
      <c r="I2530">
        <f t="shared" si="40"/>
        <v>1900</v>
      </c>
    </row>
    <row r="2531" spans="9:9" x14ac:dyDescent="0.25">
      <c r="I2531">
        <f t="shared" si="40"/>
        <v>1900</v>
      </c>
    </row>
    <row r="2532" spans="9:9" x14ac:dyDescent="0.25">
      <c r="I2532">
        <f t="shared" si="40"/>
        <v>1900</v>
      </c>
    </row>
    <row r="2533" spans="9:9" x14ac:dyDescent="0.25">
      <c r="I2533">
        <f t="shared" si="40"/>
        <v>1900</v>
      </c>
    </row>
    <row r="2534" spans="9:9" x14ac:dyDescent="0.25">
      <c r="I2534">
        <f t="shared" si="40"/>
        <v>1900</v>
      </c>
    </row>
    <row r="2535" spans="9:9" x14ac:dyDescent="0.25">
      <c r="I2535">
        <f t="shared" si="40"/>
        <v>1900</v>
      </c>
    </row>
    <row r="2536" spans="9:9" x14ac:dyDescent="0.25">
      <c r="I2536">
        <f t="shared" si="40"/>
        <v>1900</v>
      </c>
    </row>
    <row r="2537" spans="9:9" x14ac:dyDescent="0.25">
      <c r="I2537">
        <f t="shared" si="40"/>
        <v>1900</v>
      </c>
    </row>
    <row r="2538" spans="9:9" x14ac:dyDescent="0.25">
      <c r="I2538">
        <f t="shared" si="40"/>
        <v>1900</v>
      </c>
    </row>
    <row r="2539" spans="9:9" x14ac:dyDescent="0.25">
      <c r="I2539">
        <f t="shared" si="40"/>
        <v>1900</v>
      </c>
    </row>
    <row r="2540" spans="9:9" x14ac:dyDescent="0.25">
      <c r="I2540">
        <f t="shared" si="40"/>
        <v>1900</v>
      </c>
    </row>
    <row r="2541" spans="9:9" x14ac:dyDescent="0.25">
      <c r="I2541">
        <f t="shared" si="40"/>
        <v>1900</v>
      </c>
    </row>
    <row r="2542" spans="9:9" x14ac:dyDescent="0.25">
      <c r="I2542">
        <f t="shared" si="40"/>
        <v>1900</v>
      </c>
    </row>
    <row r="2543" spans="9:9" x14ac:dyDescent="0.25">
      <c r="I2543">
        <f t="shared" si="40"/>
        <v>1900</v>
      </c>
    </row>
    <row r="2544" spans="9:9" x14ac:dyDescent="0.25">
      <c r="I2544">
        <f t="shared" si="40"/>
        <v>1900</v>
      </c>
    </row>
    <row r="2545" spans="9:9" x14ac:dyDescent="0.25">
      <c r="I2545">
        <f t="shared" si="40"/>
        <v>1900</v>
      </c>
    </row>
    <row r="2546" spans="9:9" x14ac:dyDescent="0.25">
      <c r="I2546">
        <f t="shared" si="40"/>
        <v>1900</v>
      </c>
    </row>
    <row r="2547" spans="9:9" x14ac:dyDescent="0.25">
      <c r="I2547">
        <f t="shared" si="40"/>
        <v>1900</v>
      </c>
    </row>
    <row r="2548" spans="9:9" x14ac:dyDescent="0.25">
      <c r="I2548">
        <f t="shared" si="40"/>
        <v>1900</v>
      </c>
    </row>
    <row r="2549" spans="9:9" x14ac:dyDescent="0.25">
      <c r="I2549">
        <f t="shared" si="40"/>
        <v>1900</v>
      </c>
    </row>
    <row r="2550" spans="9:9" x14ac:dyDescent="0.25">
      <c r="I2550">
        <f t="shared" si="40"/>
        <v>1900</v>
      </c>
    </row>
    <row r="2551" spans="9:9" x14ac:dyDescent="0.25">
      <c r="I2551">
        <f t="shared" si="40"/>
        <v>1900</v>
      </c>
    </row>
    <row r="2552" spans="9:9" x14ac:dyDescent="0.25">
      <c r="I2552">
        <f t="shared" si="40"/>
        <v>1900</v>
      </c>
    </row>
    <row r="2553" spans="9:9" x14ac:dyDescent="0.25">
      <c r="I2553">
        <f t="shared" si="40"/>
        <v>1900</v>
      </c>
    </row>
    <row r="2554" spans="9:9" x14ac:dyDescent="0.25">
      <c r="I2554">
        <f t="shared" si="40"/>
        <v>1900</v>
      </c>
    </row>
    <row r="2555" spans="9:9" x14ac:dyDescent="0.25">
      <c r="I2555">
        <f t="shared" si="40"/>
        <v>1900</v>
      </c>
    </row>
    <row r="2556" spans="9:9" x14ac:dyDescent="0.25">
      <c r="I2556">
        <f t="shared" si="40"/>
        <v>1900</v>
      </c>
    </row>
    <row r="2557" spans="9:9" x14ac:dyDescent="0.25">
      <c r="I2557">
        <f t="shared" si="40"/>
        <v>1900</v>
      </c>
    </row>
    <row r="2558" spans="9:9" x14ac:dyDescent="0.25">
      <c r="I2558">
        <f t="shared" si="40"/>
        <v>1900</v>
      </c>
    </row>
    <row r="2559" spans="9:9" x14ac:dyDescent="0.25">
      <c r="I2559">
        <f t="shared" si="40"/>
        <v>1900</v>
      </c>
    </row>
    <row r="2560" spans="9:9" x14ac:dyDescent="0.25">
      <c r="I2560">
        <f t="shared" si="40"/>
        <v>1900</v>
      </c>
    </row>
    <row r="2561" spans="9:9" x14ac:dyDescent="0.25">
      <c r="I2561">
        <f t="shared" si="40"/>
        <v>1900</v>
      </c>
    </row>
    <row r="2562" spans="9:9" x14ac:dyDescent="0.25">
      <c r="I2562">
        <f t="shared" si="40"/>
        <v>1900</v>
      </c>
    </row>
    <row r="2563" spans="9:9" x14ac:dyDescent="0.25">
      <c r="I2563">
        <f t="shared" si="40"/>
        <v>1900</v>
      </c>
    </row>
    <row r="2564" spans="9:9" x14ac:dyDescent="0.25">
      <c r="I2564">
        <f t="shared" ref="I2564:I2627" si="41">IFERROR(YEAR(E2564),"")</f>
        <v>1900</v>
      </c>
    </row>
    <row r="2565" spans="9:9" x14ac:dyDescent="0.25">
      <c r="I2565">
        <f t="shared" si="41"/>
        <v>1900</v>
      </c>
    </row>
    <row r="2566" spans="9:9" x14ac:dyDescent="0.25">
      <c r="I2566">
        <f t="shared" si="41"/>
        <v>1900</v>
      </c>
    </row>
    <row r="2567" spans="9:9" x14ac:dyDescent="0.25">
      <c r="I2567">
        <f t="shared" si="41"/>
        <v>1900</v>
      </c>
    </row>
    <row r="2568" spans="9:9" x14ac:dyDescent="0.25">
      <c r="I2568">
        <f t="shared" si="41"/>
        <v>1900</v>
      </c>
    </row>
    <row r="2569" spans="9:9" x14ac:dyDescent="0.25">
      <c r="I2569">
        <f t="shared" si="41"/>
        <v>1900</v>
      </c>
    </row>
    <row r="2570" spans="9:9" x14ac:dyDescent="0.25">
      <c r="I2570">
        <f t="shared" si="41"/>
        <v>1900</v>
      </c>
    </row>
    <row r="2571" spans="9:9" x14ac:dyDescent="0.25">
      <c r="I2571">
        <f t="shared" si="41"/>
        <v>1900</v>
      </c>
    </row>
    <row r="2572" spans="9:9" x14ac:dyDescent="0.25">
      <c r="I2572">
        <f t="shared" si="41"/>
        <v>1900</v>
      </c>
    </row>
    <row r="2573" spans="9:9" x14ac:dyDescent="0.25">
      <c r="I2573">
        <f t="shared" si="41"/>
        <v>1900</v>
      </c>
    </row>
    <row r="2574" spans="9:9" x14ac:dyDescent="0.25">
      <c r="I2574">
        <f t="shared" si="41"/>
        <v>1900</v>
      </c>
    </row>
    <row r="2575" spans="9:9" x14ac:dyDescent="0.25">
      <c r="I2575">
        <f t="shared" si="41"/>
        <v>1900</v>
      </c>
    </row>
    <row r="2576" spans="9:9" x14ac:dyDescent="0.25">
      <c r="I2576">
        <f t="shared" si="41"/>
        <v>1900</v>
      </c>
    </row>
    <row r="2577" spans="9:9" x14ac:dyDescent="0.25">
      <c r="I2577">
        <f t="shared" si="41"/>
        <v>1900</v>
      </c>
    </row>
    <row r="2578" spans="9:9" x14ac:dyDescent="0.25">
      <c r="I2578">
        <f t="shared" si="41"/>
        <v>1900</v>
      </c>
    </row>
    <row r="2579" spans="9:9" x14ac:dyDescent="0.25">
      <c r="I2579">
        <f t="shared" si="41"/>
        <v>1900</v>
      </c>
    </row>
    <row r="2580" spans="9:9" x14ac:dyDescent="0.25">
      <c r="I2580">
        <f t="shared" si="41"/>
        <v>1900</v>
      </c>
    </row>
    <row r="2581" spans="9:9" x14ac:dyDescent="0.25">
      <c r="I2581">
        <f t="shared" si="41"/>
        <v>1900</v>
      </c>
    </row>
    <row r="2582" spans="9:9" x14ac:dyDescent="0.25">
      <c r="I2582">
        <f t="shared" si="41"/>
        <v>1900</v>
      </c>
    </row>
    <row r="2583" spans="9:9" x14ac:dyDescent="0.25">
      <c r="I2583">
        <f t="shared" si="41"/>
        <v>1900</v>
      </c>
    </row>
    <row r="2584" spans="9:9" x14ac:dyDescent="0.25">
      <c r="I2584">
        <f t="shared" si="41"/>
        <v>1900</v>
      </c>
    </row>
    <row r="2585" spans="9:9" x14ac:dyDescent="0.25">
      <c r="I2585">
        <f t="shared" si="41"/>
        <v>1900</v>
      </c>
    </row>
    <row r="2586" spans="9:9" x14ac:dyDescent="0.25">
      <c r="I2586">
        <f t="shared" si="41"/>
        <v>1900</v>
      </c>
    </row>
    <row r="2587" spans="9:9" x14ac:dyDescent="0.25">
      <c r="I2587">
        <f t="shared" si="41"/>
        <v>1900</v>
      </c>
    </row>
    <row r="2588" spans="9:9" x14ac:dyDescent="0.25">
      <c r="I2588">
        <f t="shared" si="41"/>
        <v>1900</v>
      </c>
    </row>
    <row r="2589" spans="9:9" x14ac:dyDescent="0.25">
      <c r="I2589">
        <f t="shared" si="41"/>
        <v>1900</v>
      </c>
    </row>
    <row r="2590" spans="9:9" x14ac:dyDescent="0.25">
      <c r="I2590">
        <f t="shared" si="41"/>
        <v>1900</v>
      </c>
    </row>
    <row r="2591" spans="9:9" x14ac:dyDescent="0.25">
      <c r="I2591">
        <f t="shared" si="41"/>
        <v>1900</v>
      </c>
    </row>
    <row r="2592" spans="9:9" x14ac:dyDescent="0.25">
      <c r="I2592">
        <f t="shared" si="41"/>
        <v>1900</v>
      </c>
    </row>
    <row r="2593" spans="9:9" x14ac:dyDescent="0.25">
      <c r="I2593">
        <f t="shared" si="41"/>
        <v>1900</v>
      </c>
    </row>
    <row r="2594" spans="9:9" x14ac:dyDescent="0.25">
      <c r="I2594">
        <f t="shared" si="41"/>
        <v>1900</v>
      </c>
    </row>
    <row r="2595" spans="9:9" x14ac:dyDescent="0.25">
      <c r="I2595">
        <f t="shared" si="41"/>
        <v>1900</v>
      </c>
    </row>
    <row r="2596" spans="9:9" x14ac:dyDescent="0.25">
      <c r="I2596">
        <f t="shared" si="41"/>
        <v>1900</v>
      </c>
    </row>
    <row r="2597" spans="9:9" x14ac:dyDescent="0.25">
      <c r="I2597">
        <f t="shared" si="41"/>
        <v>1900</v>
      </c>
    </row>
    <row r="2598" spans="9:9" x14ac:dyDescent="0.25">
      <c r="I2598">
        <f t="shared" si="41"/>
        <v>1900</v>
      </c>
    </row>
    <row r="2599" spans="9:9" x14ac:dyDescent="0.25">
      <c r="I2599">
        <f t="shared" si="41"/>
        <v>1900</v>
      </c>
    </row>
    <row r="2600" spans="9:9" x14ac:dyDescent="0.25">
      <c r="I2600">
        <f t="shared" si="41"/>
        <v>1900</v>
      </c>
    </row>
    <row r="2601" spans="9:9" x14ac:dyDescent="0.25">
      <c r="I2601">
        <f t="shared" si="41"/>
        <v>1900</v>
      </c>
    </row>
    <row r="2602" spans="9:9" x14ac:dyDescent="0.25">
      <c r="I2602">
        <f t="shared" si="41"/>
        <v>1900</v>
      </c>
    </row>
    <row r="2603" spans="9:9" x14ac:dyDescent="0.25">
      <c r="I2603">
        <f t="shared" si="41"/>
        <v>1900</v>
      </c>
    </row>
    <row r="2604" spans="9:9" x14ac:dyDescent="0.25">
      <c r="I2604">
        <f t="shared" si="41"/>
        <v>1900</v>
      </c>
    </row>
    <row r="2605" spans="9:9" x14ac:dyDescent="0.25">
      <c r="I2605">
        <f t="shared" si="41"/>
        <v>1900</v>
      </c>
    </row>
    <row r="2606" spans="9:9" x14ac:dyDescent="0.25">
      <c r="I2606">
        <f t="shared" si="41"/>
        <v>1900</v>
      </c>
    </row>
    <row r="2607" spans="9:9" x14ac:dyDescent="0.25">
      <c r="I2607">
        <f t="shared" si="41"/>
        <v>1900</v>
      </c>
    </row>
    <row r="2608" spans="9:9" x14ac:dyDescent="0.25">
      <c r="I2608">
        <f t="shared" si="41"/>
        <v>1900</v>
      </c>
    </row>
    <row r="2609" spans="9:9" x14ac:dyDescent="0.25">
      <c r="I2609">
        <f t="shared" si="41"/>
        <v>1900</v>
      </c>
    </row>
    <row r="2610" spans="9:9" x14ac:dyDescent="0.25">
      <c r="I2610">
        <f t="shared" si="41"/>
        <v>1900</v>
      </c>
    </row>
    <row r="2611" spans="9:9" x14ac:dyDescent="0.25">
      <c r="I2611">
        <f t="shared" si="41"/>
        <v>1900</v>
      </c>
    </row>
    <row r="2612" spans="9:9" x14ac:dyDescent="0.25">
      <c r="I2612">
        <f t="shared" si="41"/>
        <v>1900</v>
      </c>
    </row>
    <row r="2613" spans="9:9" x14ac:dyDescent="0.25">
      <c r="I2613">
        <f t="shared" si="41"/>
        <v>1900</v>
      </c>
    </row>
    <row r="2614" spans="9:9" x14ac:dyDescent="0.25">
      <c r="I2614">
        <f t="shared" si="41"/>
        <v>1900</v>
      </c>
    </row>
    <row r="2615" spans="9:9" x14ac:dyDescent="0.25">
      <c r="I2615">
        <f t="shared" si="41"/>
        <v>1900</v>
      </c>
    </row>
    <row r="2616" spans="9:9" x14ac:dyDescent="0.25">
      <c r="I2616">
        <f t="shared" si="41"/>
        <v>1900</v>
      </c>
    </row>
    <row r="2617" spans="9:9" x14ac:dyDescent="0.25">
      <c r="I2617">
        <f t="shared" si="41"/>
        <v>1900</v>
      </c>
    </row>
    <row r="2618" spans="9:9" x14ac:dyDescent="0.25">
      <c r="I2618">
        <f t="shared" si="41"/>
        <v>1900</v>
      </c>
    </row>
    <row r="2619" spans="9:9" x14ac:dyDescent="0.25">
      <c r="I2619">
        <f t="shared" si="41"/>
        <v>1900</v>
      </c>
    </row>
    <row r="2620" spans="9:9" x14ac:dyDescent="0.25">
      <c r="I2620">
        <f t="shared" si="41"/>
        <v>1900</v>
      </c>
    </row>
    <row r="2621" spans="9:9" x14ac:dyDescent="0.25">
      <c r="I2621">
        <f t="shared" si="41"/>
        <v>1900</v>
      </c>
    </row>
    <row r="2622" spans="9:9" x14ac:dyDescent="0.25">
      <c r="I2622">
        <f t="shared" si="41"/>
        <v>1900</v>
      </c>
    </row>
    <row r="2623" spans="9:9" x14ac:dyDescent="0.25">
      <c r="I2623">
        <f t="shared" si="41"/>
        <v>1900</v>
      </c>
    </row>
    <row r="2624" spans="9:9" x14ac:dyDescent="0.25">
      <c r="I2624">
        <f t="shared" si="41"/>
        <v>1900</v>
      </c>
    </row>
    <row r="2625" spans="9:9" x14ac:dyDescent="0.25">
      <c r="I2625">
        <f t="shared" si="41"/>
        <v>1900</v>
      </c>
    </row>
    <row r="2626" spans="9:9" x14ac:dyDescent="0.25">
      <c r="I2626">
        <f t="shared" si="41"/>
        <v>1900</v>
      </c>
    </row>
    <row r="2627" spans="9:9" x14ac:dyDescent="0.25">
      <c r="I2627">
        <f t="shared" si="41"/>
        <v>1900</v>
      </c>
    </row>
    <row r="2628" spans="9:9" x14ac:dyDescent="0.25">
      <c r="I2628">
        <f t="shared" ref="I2628:I2691" si="42">IFERROR(YEAR(E2628),"")</f>
        <v>1900</v>
      </c>
    </row>
    <row r="2629" spans="9:9" x14ac:dyDescent="0.25">
      <c r="I2629">
        <f t="shared" si="42"/>
        <v>1900</v>
      </c>
    </row>
    <row r="2630" spans="9:9" x14ac:dyDescent="0.25">
      <c r="I2630">
        <f t="shared" si="42"/>
        <v>1900</v>
      </c>
    </row>
    <row r="2631" spans="9:9" x14ac:dyDescent="0.25">
      <c r="I2631">
        <f t="shared" si="42"/>
        <v>1900</v>
      </c>
    </row>
    <row r="2632" spans="9:9" x14ac:dyDescent="0.25">
      <c r="I2632">
        <f t="shared" si="42"/>
        <v>1900</v>
      </c>
    </row>
    <row r="2633" spans="9:9" x14ac:dyDescent="0.25">
      <c r="I2633">
        <f t="shared" si="42"/>
        <v>1900</v>
      </c>
    </row>
    <row r="2634" spans="9:9" x14ac:dyDescent="0.25">
      <c r="I2634">
        <f t="shared" si="42"/>
        <v>1900</v>
      </c>
    </row>
    <row r="2635" spans="9:9" x14ac:dyDescent="0.25">
      <c r="I2635">
        <f t="shared" si="42"/>
        <v>1900</v>
      </c>
    </row>
    <row r="2636" spans="9:9" x14ac:dyDescent="0.25">
      <c r="I2636">
        <f t="shared" si="42"/>
        <v>1900</v>
      </c>
    </row>
    <row r="2637" spans="9:9" x14ac:dyDescent="0.25">
      <c r="I2637">
        <f t="shared" si="42"/>
        <v>1900</v>
      </c>
    </row>
    <row r="2638" spans="9:9" x14ac:dyDescent="0.25">
      <c r="I2638">
        <f t="shared" si="42"/>
        <v>1900</v>
      </c>
    </row>
    <row r="2639" spans="9:9" x14ac:dyDescent="0.25">
      <c r="I2639">
        <f t="shared" si="42"/>
        <v>1900</v>
      </c>
    </row>
    <row r="2640" spans="9:9" x14ac:dyDescent="0.25">
      <c r="I2640">
        <f t="shared" si="42"/>
        <v>1900</v>
      </c>
    </row>
    <row r="2641" spans="9:9" x14ac:dyDescent="0.25">
      <c r="I2641">
        <f t="shared" si="42"/>
        <v>1900</v>
      </c>
    </row>
    <row r="2642" spans="9:9" x14ac:dyDescent="0.25">
      <c r="I2642">
        <f t="shared" si="42"/>
        <v>1900</v>
      </c>
    </row>
    <row r="2643" spans="9:9" x14ac:dyDescent="0.25">
      <c r="I2643">
        <f t="shared" si="42"/>
        <v>1900</v>
      </c>
    </row>
    <row r="2644" spans="9:9" x14ac:dyDescent="0.25">
      <c r="I2644">
        <f t="shared" si="42"/>
        <v>1900</v>
      </c>
    </row>
    <row r="2645" spans="9:9" x14ac:dyDescent="0.25">
      <c r="I2645">
        <f t="shared" si="42"/>
        <v>1900</v>
      </c>
    </row>
    <row r="2646" spans="9:9" x14ac:dyDescent="0.25">
      <c r="I2646">
        <f t="shared" si="42"/>
        <v>1900</v>
      </c>
    </row>
    <row r="2647" spans="9:9" x14ac:dyDescent="0.25">
      <c r="I2647">
        <f t="shared" si="42"/>
        <v>1900</v>
      </c>
    </row>
    <row r="2648" spans="9:9" x14ac:dyDescent="0.25">
      <c r="I2648">
        <f t="shared" si="42"/>
        <v>1900</v>
      </c>
    </row>
    <row r="2649" spans="9:9" x14ac:dyDescent="0.25">
      <c r="I2649">
        <f t="shared" si="42"/>
        <v>1900</v>
      </c>
    </row>
    <row r="2650" spans="9:9" x14ac:dyDescent="0.25">
      <c r="I2650">
        <f t="shared" si="42"/>
        <v>1900</v>
      </c>
    </row>
    <row r="2651" spans="9:9" x14ac:dyDescent="0.25">
      <c r="I2651">
        <f t="shared" si="42"/>
        <v>1900</v>
      </c>
    </row>
    <row r="2652" spans="9:9" x14ac:dyDescent="0.25">
      <c r="I2652">
        <f t="shared" si="42"/>
        <v>1900</v>
      </c>
    </row>
    <row r="2653" spans="9:9" x14ac:dyDescent="0.25">
      <c r="I2653">
        <f t="shared" si="42"/>
        <v>1900</v>
      </c>
    </row>
    <row r="2654" spans="9:9" x14ac:dyDescent="0.25">
      <c r="I2654">
        <f t="shared" si="42"/>
        <v>1900</v>
      </c>
    </row>
    <row r="2655" spans="9:9" x14ac:dyDescent="0.25">
      <c r="I2655">
        <f t="shared" si="42"/>
        <v>1900</v>
      </c>
    </row>
    <row r="2656" spans="9:9" x14ac:dyDescent="0.25">
      <c r="I2656">
        <f t="shared" si="42"/>
        <v>1900</v>
      </c>
    </row>
    <row r="2657" spans="9:9" x14ac:dyDescent="0.25">
      <c r="I2657">
        <f t="shared" si="42"/>
        <v>1900</v>
      </c>
    </row>
    <row r="2658" spans="9:9" x14ac:dyDescent="0.25">
      <c r="I2658">
        <f t="shared" si="42"/>
        <v>1900</v>
      </c>
    </row>
    <row r="2659" spans="9:9" x14ac:dyDescent="0.25">
      <c r="I2659">
        <f t="shared" si="42"/>
        <v>1900</v>
      </c>
    </row>
    <row r="2660" spans="9:9" x14ac:dyDescent="0.25">
      <c r="I2660">
        <f t="shared" si="42"/>
        <v>1900</v>
      </c>
    </row>
    <row r="2661" spans="9:9" x14ac:dyDescent="0.25">
      <c r="I2661">
        <f t="shared" si="42"/>
        <v>1900</v>
      </c>
    </row>
    <row r="2662" spans="9:9" x14ac:dyDescent="0.25">
      <c r="I2662">
        <f t="shared" si="42"/>
        <v>1900</v>
      </c>
    </row>
    <row r="2663" spans="9:9" x14ac:dyDescent="0.25">
      <c r="I2663">
        <f t="shared" si="42"/>
        <v>1900</v>
      </c>
    </row>
    <row r="2664" spans="9:9" x14ac:dyDescent="0.25">
      <c r="I2664">
        <f t="shared" si="42"/>
        <v>1900</v>
      </c>
    </row>
    <row r="2665" spans="9:9" x14ac:dyDescent="0.25">
      <c r="I2665">
        <f t="shared" si="42"/>
        <v>1900</v>
      </c>
    </row>
    <row r="2666" spans="9:9" x14ac:dyDescent="0.25">
      <c r="I2666">
        <f t="shared" si="42"/>
        <v>1900</v>
      </c>
    </row>
    <row r="2667" spans="9:9" x14ac:dyDescent="0.25">
      <c r="I2667">
        <f t="shared" si="42"/>
        <v>1900</v>
      </c>
    </row>
    <row r="2668" spans="9:9" x14ac:dyDescent="0.25">
      <c r="I2668">
        <f t="shared" si="42"/>
        <v>1900</v>
      </c>
    </row>
    <row r="2669" spans="9:9" x14ac:dyDescent="0.25">
      <c r="I2669">
        <f t="shared" si="42"/>
        <v>1900</v>
      </c>
    </row>
    <row r="2670" spans="9:9" x14ac:dyDescent="0.25">
      <c r="I2670">
        <f t="shared" si="42"/>
        <v>1900</v>
      </c>
    </row>
    <row r="2671" spans="9:9" x14ac:dyDescent="0.25">
      <c r="I2671">
        <f t="shared" si="42"/>
        <v>1900</v>
      </c>
    </row>
    <row r="2672" spans="9:9" x14ac:dyDescent="0.25">
      <c r="I2672">
        <f t="shared" si="42"/>
        <v>1900</v>
      </c>
    </row>
    <row r="2673" spans="9:9" x14ac:dyDescent="0.25">
      <c r="I2673">
        <f t="shared" si="42"/>
        <v>1900</v>
      </c>
    </row>
    <row r="2674" spans="9:9" x14ac:dyDescent="0.25">
      <c r="I2674">
        <f t="shared" si="42"/>
        <v>1900</v>
      </c>
    </row>
    <row r="2675" spans="9:9" x14ac:dyDescent="0.25">
      <c r="I2675">
        <f t="shared" si="42"/>
        <v>1900</v>
      </c>
    </row>
    <row r="2676" spans="9:9" x14ac:dyDescent="0.25">
      <c r="I2676">
        <f t="shared" si="42"/>
        <v>1900</v>
      </c>
    </row>
    <row r="2677" spans="9:9" x14ac:dyDescent="0.25">
      <c r="I2677">
        <f t="shared" si="42"/>
        <v>1900</v>
      </c>
    </row>
    <row r="2678" spans="9:9" x14ac:dyDescent="0.25">
      <c r="I2678">
        <f t="shared" si="42"/>
        <v>1900</v>
      </c>
    </row>
    <row r="2679" spans="9:9" x14ac:dyDescent="0.25">
      <c r="I2679">
        <f t="shared" si="42"/>
        <v>1900</v>
      </c>
    </row>
    <row r="2680" spans="9:9" x14ac:dyDescent="0.25">
      <c r="I2680">
        <f t="shared" si="42"/>
        <v>1900</v>
      </c>
    </row>
    <row r="2681" spans="9:9" x14ac:dyDescent="0.25">
      <c r="I2681">
        <f t="shared" si="42"/>
        <v>1900</v>
      </c>
    </row>
    <row r="2682" spans="9:9" x14ac:dyDescent="0.25">
      <c r="I2682">
        <f t="shared" si="42"/>
        <v>1900</v>
      </c>
    </row>
    <row r="2683" spans="9:9" x14ac:dyDescent="0.25">
      <c r="I2683">
        <f t="shared" si="42"/>
        <v>1900</v>
      </c>
    </row>
    <row r="2684" spans="9:9" x14ac:dyDescent="0.25">
      <c r="I2684">
        <f t="shared" si="42"/>
        <v>1900</v>
      </c>
    </row>
    <row r="2685" spans="9:9" x14ac:dyDescent="0.25">
      <c r="I2685">
        <f t="shared" si="42"/>
        <v>1900</v>
      </c>
    </row>
    <row r="2686" spans="9:9" x14ac:dyDescent="0.25">
      <c r="I2686">
        <f t="shared" si="42"/>
        <v>1900</v>
      </c>
    </row>
    <row r="2687" spans="9:9" x14ac:dyDescent="0.25">
      <c r="I2687">
        <f t="shared" si="42"/>
        <v>1900</v>
      </c>
    </row>
    <row r="2688" spans="9:9" x14ac:dyDescent="0.25">
      <c r="I2688">
        <f t="shared" si="42"/>
        <v>1900</v>
      </c>
    </row>
    <row r="2689" spans="9:9" x14ac:dyDescent="0.25">
      <c r="I2689">
        <f t="shared" si="42"/>
        <v>1900</v>
      </c>
    </row>
    <row r="2690" spans="9:9" x14ac:dyDescent="0.25">
      <c r="I2690">
        <f t="shared" si="42"/>
        <v>1900</v>
      </c>
    </row>
    <row r="2691" spans="9:9" x14ac:dyDescent="0.25">
      <c r="I2691">
        <f t="shared" si="42"/>
        <v>1900</v>
      </c>
    </row>
    <row r="2692" spans="9:9" x14ac:dyDescent="0.25">
      <c r="I2692">
        <f t="shared" ref="I2692:I2755" si="43">IFERROR(YEAR(E2692),"")</f>
        <v>1900</v>
      </c>
    </row>
    <row r="2693" spans="9:9" x14ac:dyDescent="0.25">
      <c r="I2693">
        <f t="shared" si="43"/>
        <v>1900</v>
      </c>
    </row>
    <row r="2694" spans="9:9" x14ac:dyDescent="0.25">
      <c r="I2694">
        <f t="shared" si="43"/>
        <v>1900</v>
      </c>
    </row>
    <row r="2695" spans="9:9" x14ac:dyDescent="0.25">
      <c r="I2695">
        <f t="shared" si="43"/>
        <v>1900</v>
      </c>
    </row>
    <row r="2696" spans="9:9" x14ac:dyDescent="0.25">
      <c r="I2696">
        <f t="shared" si="43"/>
        <v>1900</v>
      </c>
    </row>
    <row r="2697" spans="9:9" x14ac:dyDescent="0.25">
      <c r="I2697">
        <f t="shared" si="43"/>
        <v>1900</v>
      </c>
    </row>
    <row r="2698" spans="9:9" x14ac:dyDescent="0.25">
      <c r="I2698">
        <f t="shared" si="43"/>
        <v>1900</v>
      </c>
    </row>
    <row r="2699" spans="9:9" x14ac:dyDescent="0.25">
      <c r="I2699">
        <f t="shared" si="43"/>
        <v>1900</v>
      </c>
    </row>
    <row r="2700" spans="9:9" x14ac:dyDescent="0.25">
      <c r="I2700">
        <f t="shared" si="43"/>
        <v>1900</v>
      </c>
    </row>
    <row r="2701" spans="9:9" x14ac:dyDescent="0.25">
      <c r="I2701">
        <f t="shared" si="43"/>
        <v>1900</v>
      </c>
    </row>
    <row r="2702" spans="9:9" x14ac:dyDescent="0.25">
      <c r="I2702">
        <f t="shared" si="43"/>
        <v>1900</v>
      </c>
    </row>
    <row r="2703" spans="9:9" x14ac:dyDescent="0.25">
      <c r="I2703">
        <f t="shared" si="43"/>
        <v>1900</v>
      </c>
    </row>
    <row r="2704" spans="9:9" x14ac:dyDescent="0.25">
      <c r="I2704">
        <f t="shared" si="43"/>
        <v>1900</v>
      </c>
    </row>
    <row r="2705" spans="9:9" x14ac:dyDescent="0.25">
      <c r="I2705">
        <f t="shared" si="43"/>
        <v>1900</v>
      </c>
    </row>
    <row r="2706" spans="9:9" x14ac:dyDescent="0.25">
      <c r="I2706">
        <f t="shared" si="43"/>
        <v>1900</v>
      </c>
    </row>
    <row r="2707" spans="9:9" x14ac:dyDescent="0.25">
      <c r="I2707">
        <f t="shared" si="43"/>
        <v>1900</v>
      </c>
    </row>
    <row r="2708" spans="9:9" x14ac:dyDescent="0.25">
      <c r="I2708">
        <f t="shared" si="43"/>
        <v>1900</v>
      </c>
    </row>
    <row r="2709" spans="9:9" x14ac:dyDescent="0.25">
      <c r="I2709">
        <f t="shared" si="43"/>
        <v>1900</v>
      </c>
    </row>
    <row r="2710" spans="9:9" x14ac:dyDescent="0.25">
      <c r="I2710">
        <f t="shared" si="43"/>
        <v>1900</v>
      </c>
    </row>
    <row r="2711" spans="9:9" x14ac:dyDescent="0.25">
      <c r="I2711">
        <f t="shared" si="43"/>
        <v>1900</v>
      </c>
    </row>
    <row r="2712" spans="9:9" x14ac:dyDescent="0.25">
      <c r="I2712">
        <f t="shared" si="43"/>
        <v>1900</v>
      </c>
    </row>
    <row r="2713" spans="9:9" x14ac:dyDescent="0.25">
      <c r="I2713">
        <f t="shared" si="43"/>
        <v>1900</v>
      </c>
    </row>
    <row r="2714" spans="9:9" x14ac:dyDescent="0.25">
      <c r="I2714">
        <f t="shared" si="43"/>
        <v>1900</v>
      </c>
    </row>
    <row r="2715" spans="9:9" x14ac:dyDescent="0.25">
      <c r="I2715">
        <f t="shared" si="43"/>
        <v>1900</v>
      </c>
    </row>
    <row r="2716" spans="9:9" x14ac:dyDescent="0.25">
      <c r="I2716">
        <f t="shared" si="43"/>
        <v>1900</v>
      </c>
    </row>
    <row r="2717" spans="9:9" x14ac:dyDescent="0.25">
      <c r="I2717">
        <f t="shared" si="43"/>
        <v>1900</v>
      </c>
    </row>
    <row r="2718" spans="9:9" x14ac:dyDescent="0.25">
      <c r="I2718">
        <f t="shared" si="43"/>
        <v>1900</v>
      </c>
    </row>
    <row r="2719" spans="9:9" x14ac:dyDescent="0.25">
      <c r="I2719">
        <f t="shared" si="43"/>
        <v>1900</v>
      </c>
    </row>
    <row r="2720" spans="9:9" x14ac:dyDescent="0.25">
      <c r="I2720">
        <f t="shared" si="43"/>
        <v>1900</v>
      </c>
    </row>
    <row r="2721" spans="9:9" x14ac:dyDescent="0.25">
      <c r="I2721">
        <f t="shared" si="43"/>
        <v>1900</v>
      </c>
    </row>
    <row r="2722" spans="9:9" x14ac:dyDescent="0.25">
      <c r="I2722">
        <f t="shared" si="43"/>
        <v>1900</v>
      </c>
    </row>
    <row r="2723" spans="9:9" x14ac:dyDescent="0.25">
      <c r="I2723">
        <f t="shared" si="43"/>
        <v>1900</v>
      </c>
    </row>
    <row r="2724" spans="9:9" x14ac:dyDescent="0.25">
      <c r="I2724">
        <f t="shared" si="43"/>
        <v>1900</v>
      </c>
    </row>
    <row r="2725" spans="9:9" x14ac:dyDescent="0.25">
      <c r="I2725">
        <f t="shared" si="43"/>
        <v>1900</v>
      </c>
    </row>
    <row r="2726" spans="9:9" x14ac:dyDescent="0.25">
      <c r="I2726">
        <f t="shared" si="43"/>
        <v>1900</v>
      </c>
    </row>
    <row r="2727" spans="9:9" x14ac:dyDescent="0.25">
      <c r="I2727">
        <f t="shared" si="43"/>
        <v>1900</v>
      </c>
    </row>
    <row r="2728" spans="9:9" x14ac:dyDescent="0.25">
      <c r="I2728">
        <f t="shared" si="43"/>
        <v>1900</v>
      </c>
    </row>
    <row r="2729" spans="9:9" x14ac:dyDescent="0.25">
      <c r="I2729">
        <f t="shared" si="43"/>
        <v>1900</v>
      </c>
    </row>
    <row r="2730" spans="9:9" x14ac:dyDescent="0.25">
      <c r="I2730">
        <f t="shared" si="43"/>
        <v>1900</v>
      </c>
    </row>
    <row r="2731" spans="9:9" x14ac:dyDescent="0.25">
      <c r="I2731">
        <f t="shared" si="43"/>
        <v>1900</v>
      </c>
    </row>
    <row r="2732" spans="9:9" x14ac:dyDescent="0.25">
      <c r="I2732">
        <f t="shared" si="43"/>
        <v>1900</v>
      </c>
    </row>
    <row r="2733" spans="9:9" x14ac:dyDescent="0.25">
      <c r="I2733">
        <f t="shared" si="43"/>
        <v>1900</v>
      </c>
    </row>
    <row r="2734" spans="9:9" x14ac:dyDescent="0.25">
      <c r="I2734">
        <f t="shared" si="43"/>
        <v>1900</v>
      </c>
    </row>
    <row r="2735" spans="9:9" x14ac:dyDescent="0.25">
      <c r="I2735">
        <f t="shared" si="43"/>
        <v>1900</v>
      </c>
    </row>
    <row r="2736" spans="9:9" x14ac:dyDescent="0.25">
      <c r="I2736">
        <f t="shared" si="43"/>
        <v>1900</v>
      </c>
    </row>
    <row r="2737" spans="9:9" x14ac:dyDescent="0.25">
      <c r="I2737">
        <f t="shared" si="43"/>
        <v>1900</v>
      </c>
    </row>
    <row r="2738" spans="9:9" x14ac:dyDescent="0.25">
      <c r="I2738">
        <f t="shared" si="43"/>
        <v>1900</v>
      </c>
    </row>
    <row r="2739" spans="9:9" x14ac:dyDescent="0.25">
      <c r="I2739">
        <f t="shared" si="43"/>
        <v>1900</v>
      </c>
    </row>
    <row r="2740" spans="9:9" x14ac:dyDescent="0.25">
      <c r="I2740">
        <f t="shared" si="43"/>
        <v>1900</v>
      </c>
    </row>
    <row r="2741" spans="9:9" x14ac:dyDescent="0.25">
      <c r="I2741">
        <f t="shared" si="43"/>
        <v>1900</v>
      </c>
    </row>
    <row r="2742" spans="9:9" x14ac:dyDescent="0.25">
      <c r="I2742">
        <f t="shared" si="43"/>
        <v>1900</v>
      </c>
    </row>
    <row r="2743" spans="9:9" x14ac:dyDescent="0.25">
      <c r="I2743">
        <f t="shared" si="43"/>
        <v>1900</v>
      </c>
    </row>
    <row r="2744" spans="9:9" x14ac:dyDescent="0.25">
      <c r="I2744">
        <f t="shared" si="43"/>
        <v>1900</v>
      </c>
    </row>
    <row r="2745" spans="9:9" x14ac:dyDescent="0.25">
      <c r="I2745">
        <f t="shared" si="43"/>
        <v>1900</v>
      </c>
    </row>
    <row r="2746" spans="9:9" x14ac:dyDescent="0.25">
      <c r="I2746">
        <f t="shared" si="43"/>
        <v>1900</v>
      </c>
    </row>
    <row r="2747" spans="9:9" x14ac:dyDescent="0.25">
      <c r="I2747">
        <f t="shared" si="43"/>
        <v>1900</v>
      </c>
    </row>
    <row r="2748" spans="9:9" x14ac:dyDescent="0.25">
      <c r="I2748">
        <f t="shared" si="43"/>
        <v>1900</v>
      </c>
    </row>
    <row r="2749" spans="9:9" x14ac:dyDescent="0.25">
      <c r="I2749">
        <f t="shared" si="43"/>
        <v>1900</v>
      </c>
    </row>
    <row r="2750" spans="9:9" x14ac:dyDescent="0.25">
      <c r="I2750">
        <f t="shared" si="43"/>
        <v>1900</v>
      </c>
    </row>
    <row r="2751" spans="9:9" x14ac:dyDescent="0.25">
      <c r="I2751">
        <f t="shared" si="43"/>
        <v>1900</v>
      </c>
    </row>
    <row r="2752" spans="9:9" x14ac:dyDescent="0.25">
      <c r="I2752">
        <f t="shared" si="43"/>
        <v>1900</v>
      </c>
    </row>
    <row r="2753" spans="9:9" x14ac:dyDescent="0.25">
      <c r="I2753">
        <f t="shared" si="43"/>
        <v>1900</v>
      </c>
    </row>
    <row r="2754" spans="9:9" x14ac:dyDescent="0.25">
      <c r="I2754">
        <f t="shared" si="43"/>
        <v>1900</v>
      </c>
    </row>
    <row r="2755" spans="9:9" x14ac:dyDescent="0.25">
      <c r="I2755">
        <f t="shared" si="43"/>
        <v>1900</v>
      </c>
    </row>
    <row r="2756" spans="9:9" x14ac:dyDescent="0.25">
      <c r="I2756">
        <f t="shared" ref="I2756:I2819" si="44">IFERROR(YEAR(E2756),"")</f>
        <v>1900</v>
      </c>
    </row>
    <row r="2757" spans="9:9" x14ac:dyDescent="0.25">
      <c r="I2757">
        <f t="shared" si="44"/>
        <v>1900</v>
      </c>
    </row>
    <row r="2758" spans="9:9" x14ac:dyDescent="0.25">
      <c r="I2758">
        <f t="shared" si="44"/>
        <v>1900</v>
      </c>
    </row>
    <row r="2759" spans="9:9" x14ac:dyDescent="0.25">
      <c r="I2759">
        <f t="shared" si="44"/>
        <v>1900</v>
      </c>
    </row>
    <row r="2760" spans="9:9" x14ac:dyDescent="0.25">
      <c r="I2760">
        <f t="shared" si="44"/>
        <v>1900</v>
      </c>
    </row>
    <row r="2761" spans="9:9" x14ac:dyDescent="0.25">
      <c r="I2761">
        <f t="shared" si="44"/>
        <v>1900</v>
      </c>
    </row>
    <row r="2762" spans="9:9" x14ac:dyDescent="0.25">
      <c r="I2762">
        <f t="shared" si="44"/>
        <v>1900</v>
      </c>
    </row>
    <row r="2763" spans="9:9" x14ac:dyDescent="0.25">
      <c r="I2763">
        <f t="shared" si="44"/>
        <v>1900</v>
      </c>
    </row>
    <row r="2764" spans="9:9" x14ac:dyDescent="0.25">
      <c r="I2764">
        <f t="shared" si="44"/>
        <v>1900</v>
      </c>
    </row>
    <row r="2765" spans="9:9" x14ac:dyDescent="0.25">
      <c r="I2765">
        <f t="shared" si="44"/>
        <v>1900</v>
      </c>
    </row>
    <row r="2766" spans="9:9" x14ac:dyDescent="0.25">
      <c r="I2766">
        <f t="shared" si="44"/>
        <v>1900</v>
      </c>
    </row>
    <row r="2767" spans="9:9" x14ac:dyDescent="0.25">
      <c r="I2767">
        <f t="shared" si="44"/>
        <v>1900</v>
      </c>
    </row>
    <row r="2768" spans="9:9" x14ac:dyDescent="0.25">
      <c r="I2768">
        <f t="shared" si="44"/>
        <v>1900</v>
      </c>
    </row>
    <row r="2769" spans="9:9" x14ac:dyDescent="0.25">
      <c r="I2769">
        <f t="shared" si="44"/>
        <v>1900</v>
      </c>
    </row>
    <row r="2770" spans="9:9" x14ac:dyDescent="0.25">
      <c r="I2770">
        <f t="shared" si="44"/>
        <v>1900</v>
      </c>
    </row>
    <row r="2771" spans="9:9" x14ac:dyDescent="0.25">
      <c r="I2771">
        <f t="shared" si="44"/>
        <v>1900</v>
      </c>
    </row>
    <row r="2772" spans="9:9" x14ac:dyDescent="0.25">
      <c r="I2772">
        <f t="shared" si="44"/>
        <v>1900</v>
      </c>
    </row>
    <row r="2773" spans="9:9" x14ac:dyDescent="0.25">
      <c r="I2773">
        <f t="shared" si="44"/>
        <v>1900</v>
      </c>
    </row>
    <row r="2774" spans="9:9" x14ac:dyDescent="0.25">
      <c r="I2774">
        <f t="shared" si="44"/>
        <v>1900</v>
      </c>
    </row>
    <row r="2775" spans="9:9" x14ac:dyDescent="0.25">
      <c r="I2775">
        <f t="shared" si="44"/>
        <v>1900</v>
      </c>
    </row>
    <row r="2776" spans="9:9" x14ac:dyDescent="0.25">
      <c r="I2776">
        <f t="shared" si="44"/>
        <v>1900</v>
      </c>
    </row>
    <row r="2777" spans="9:9" x14ac:dyDescent="0.25">
      <c r="I2777">
        <f t="shared" si="44"/>
        <v>1900</v>
      </c>
    </row>
    <row r="2778" spans="9:9" x14ac:dyDescent="0.25">
      <c r="I2778">
        <f t="shared" si="44"/>
        <v>1900</v>
      </c>
    </row>
    <row r="2779" spans="9:9" x14ac:dyDescent="0.25">
      <c r="I2779">
        <f t="shared" si="44"/>
        <v>1900</v>
      </c>
    </row>
    <row r="2780" spans="9:9" x14ac:dyDescent="0.25">
      <c r="I2780">
        <f t="shared" si="44"/>
        <v>1900</v>
      </c>
    </row>
    <row r="2781" spans="9:9" x14ac:dyDescent="0.25">
      <c r="I2781">
        <f t="shared" si="44"/>
        <v>1900</v>
      </c>
    </row>
    <row r="2782" spans="9:9" x14ac:dyDescent="0.25">
      <c r="I2782">
        <f t="shared" si="44"/>
        <v>1900</v>
      </c>
    </row>
    <row r="2783" spans="9:9" x14ac:dyDescent="0.25">
      <c r="I2783">
        <f t="shared" si="44"/>
        <v>1900</v>
      </c>
    </row>
    <row r="2784" spans="9:9" x14ac:dyDescent="0.25">
      <c r="I2784">
        <f t="shared" si="44"/>
        <v>1900</v>
      </c>
    </row>
    <row r="2785" spans="9:9" x14ac:dyDescent="0.25">
      <c r="I2785">
        <f t="shared" si="44"/>
        <v>1900</v>
      </c>
    </row>
    <row r="2786" spans="9:9" x14ac:dyDescent="0.25">
      <c r="I2786">
        <f t="shared" si="44"/>
        <v>1900</v>
      </c>
    </row>
    <row r="2787" spans="9:9" x14ac:dyDescent="0.25">
      <c r="I2787">
        <f t="shared" si="44"/>
        <v>1900</v>
      </c>
    </row>
    <row r="2788" spans="9:9" x14ac:dyDescent="0.25">
      <c r="I2788">
        <f t="shared" si="44"/>
        <v>1900</v>
      </c>
    </row>
    <row r="2789" spans="9:9" x14ac:dyDescent="0.25">
      <c r="I2789">
        <f t="shared" si="44"/>
        <v>1900</v>
      </c>
    </row>
    <row r="2790" spans="9:9" x14ac:dyDescent="0.25">
      <c r="I2790">
        <f t="shared" si="44"/>
        <v>1900</v>
      </c>
    </row>
    <row r="2791" spans="9:9" x14ac:dyDescent="0.25">
      <c r="I2791">
        <f t="shared" si="44"/>
        <v>1900</v>
      </c>
    </row>
    <row r="2792" spans="9:9" x14ac:dyDescent="0.25">
      <c r="I2792">
        <f t="shared" si="44"/>
        <v>1900</v>
      </c>
    </row>
    <row r="2793" spans="9:9" x14ac:dyDescent="0.25">
      <c r="I2793">
        <f t="shared" si="44"/>
        <v>1900</v>
      </c>
    </row>
    <row r="2794" spans="9:9" x14ac:dyDescent="0.25">
      <c r="I2794">
        <f t="shared" si="44"/>
        <v>1900</v>
      </c>
    </row>
    <row r="2795" spans="9:9" x14ac:dyDescent="0.25">
      <c r="I2795">
        <f t="shared" si="44"/>
        <v>1900</v>
      </c>
    </row>
    <row r="2796" spans="9:9" x14ac:dyDescent="0.25">
      <c r="I2796">
        <f t="shared" si="44"/>
        <v>1900</v>
      </c>
    </row>
    <row r="2797" spans="9:9" x14ac:dyDescent="0.25">
      <c r="I2797">
        <f t="shared" si="44"/>
        <v>1900</v>
      </c>
    </row>
    <row r="2798" spans="9:9" x14ac:dyDescent="0.25">
      <c r="I2798">
        <f t="shared" si="44"/>
        <v>1900</v>
      </c>
    </row>
    <row r="2799" spans="9:9" x14ac:dyDescent="0.25">
      <c r="I2799">
        <f t="shared" si="44"/>
        <v>1900</v>
      </c>
    </row>
    <row r="2800" spans="9:9" x14ac:dyDescent="0.25">
      <c r="I2800">
        <f t="shared" si="44"/>
        <v>1900</v>
      </c>
    </row>
    <row r="2801" spans="9:9" x14ac:dyDescent="0.25">
      <c r="I2801">
        <f t="shared" si="44"/>
        <v>1900</v>
      </c>
    </row>
    <row r="2802" spans="9:9" x14ac:dyDescent="0.25">
      <c r="I2802">
        <f t="shared" si="44"/>
        <v>1900</v>
      </c>
    </row>
    <row r="2803" spans="9:9" x14ac:dyDescent="0.25">
      <c r="I2803">
        <f t="shared" si="44"/>
        <v>1900</v>
      </c>
    </row>
    <row r="2804" spans="9:9" x14ac:dyDescent="0.25">
      <c r="I2804">
        <f t="shared" si="44"/>
        <v>1900</v>
      </c>
    </row>
    <row r="2805" spans="9:9" x14ac:dyDescent="0.25">
      <c r="I2805">
        <f t="shared" si="44"/>
        <v>1900</v>
      </c>
    </row>
    <row r="2806" spans="9:9" x14ac:dyDescent="0.25">
      <c r="I2806">
        <f t="shared" si="44"/>
        <v>1900</v>
      </c>
    </row>
    <row r="2807" spans="9:9" x14ac:dyDescent="0.25">
      <c r="I2807">
        <f t="shared" si="44"/>
        <v>1900</v>
      </c>
    </row>
    <row r="2808" spans="9:9" x14ac:dyDescent="0.25">
      <c r="I2808">
        <f t="shared" si="44"/>
        <v>1900</v>
      </c>
    </row>
    <row r="2809" spans="9:9" x14ac:dyDescent="0.25">
      <c r="I2809">
        <f t="shared" si="44"/>
        <v>1900</v>
      </c>
    </row>
    <row r="2810" spans="9:9" x14ac:dyDescent="0.25">
      <c r="I2810">
        <f t="shared" si="44"/>
        <v>1900</v>
      </c>
    </row>
    <row r="2811" spans="9:9" x14ac:dyDescent="0.25">
      <c r="I2811">
        <f t="shared" si="44"/>
        <v>1900</v>
      </c>
    </row>
    <row r="2812" spans="9:9" x14ac:dyDescent="0.25">
      <c r="I2812">
        <f t="shared" si="44"/>
        <v>1900</v>
      </c>
    </row>
    <row r="2813" spans="9:9" x14ac:dyDescent="0.25">
      <c r="I2813">
        <f t="shared" si="44"/>
        <v>1900</v>
      </c>
    </row>
    <row r="2814" spans="9:9" x14ac:dyDescent="0.25">
      <c r="I2814">
        <f t="shared" si="44"/>
        <v>1900</v>
      </c>
    </row>
    <row r="2815" spans="9:9" x14ac:dyDescent="0.25">
      <c r="I2815">
        <f t="shared" si="44"/>
        <v>1900</v>
      </c>
    </row>
    <row r="2816" spans="9:9" x14ac:dyDescent="0.25">
      <c r="I2816">
        <f t="shared" si="44"/>
        <v>1900</v>
      </c>
    </row>
    <row r="2817" spans="9:9" x14ac:dyDescent="0.25">
      <c r="I2817">
        <f t="shared" si="44"/>
        <v>1900</v>
      </c>
    </row>
    <row r="2818" spans="9:9" x14ac:dyDescent="0.25">
      <c r="I2818">
        <f t="shared" si="44"/>
        <v>1900</v>
      </c>
    </row>
    <row r="2819" spans="9:9" x14ac:dyDescent="0.25">
      <c r="I2819">
        <f t="shared" si="44"/>
        <v>1900</v>
      </c>
    </row>
    <row r="2820" spans="9:9" x14ac:dyDescent="0.25">
      <c r="I2820">
        <f t="shared" ref="I2820:I2883" si="45">IFERROR(YEAR(E2820),"")</f>
        <v>1900</v>
      </c>
    </row>
    <row r="2821" spans="9:9" x14ac:dyDescent="0.25">
      <c r="I2821">
        <f t="shared" si="45"/>
        <v>1900</v>
      </c>
    </row>
    <row r="2822" spans="9:9" x14ac:dyDescent="0.25">
      <c r="I2822">
        <f t="shared" si="45"/>
        <v>1900</v>
      </c>
    </row>
    <row r="2823" spans="9:9" x14ac:dyDescent="0.25">
      <c r="I2823">
        <f t="shared" si="45"/>
        <v>1900</v>
      </c>
    </row>
    <row r="2824" spans="9:9" x14ac:dyDescent="0.25">
      <c r="I2824">
        <f t="shared" si="45"/>
        <v>1900</v>
      </c>
    </row>
    <row r="2825" spans="9:9" x14ac:dyDescent="0.25">
      <c r="I2825">
        <f t="shared" si="45"/>
        <v>1900</v>
      </c>
    </row>
    <row r="2826" spans="9:9" x14ac:dyDescent="0.25">
      <c r="I2826">
        <f t="shared" si="45"/>
        <v>1900</v>
      </c>
    </row>
    <row r="2827" spans="9:9" x14ac:dyDescent="0.25">
      <c r="I2827">
        <f t="shared" si="45"/>
        <v>1900</v>
      </c>
    </row>
    <row r="2828" spans="9:9" x14ac:dyDescent="0.25">
      <c r="I2828">
        <f t="shared" si="45"/>
        <v>1900</v>
      </c>
    </row>
    <row r="2829" spans="9:9" x14ac:dyDescent="0.25">
      <c r="I2829">
        <f t="shared" si="45"/>
        <v>1900</v>
      </c>
    </row>
    <row r="2830" spans="9:9" x14ac:dyDescent="0.25">
      <c r="I2830">
        <f t="shared" si="45"/>
        <v>1900</v>
      </c>
    </row>
    <row r="2831" spans="9:9" x14ac:dyDescent="0.25">
      <c r="I2831">
        <f t="shared" si="45"/>
        <v>1900</v>
      </c>
    </row>
    <row r="2832" spans="9:9" x14ac:dyDescent="0.25">
      <c r="I2832">
        <f t="shared" si="45"/>
        <v>1900</v>
      </c>
    </row>
    <row r="2833" spans="9:9" x14ac:dyDescent="0.25">
      <c r="I2833">
        <f t="shared" si="45"/>
        <v>1900</v>
      </c>
    </row>
    <row r="2834" spans="9:9" x14ac:dyDescent="0.25">
      <c r="I2834">
        <f t="shared" si="45"/>
        <v>1900</v>
      </c>
    </row>
    <row r="2835" spans="9:9" x14ac:dyDescent="0.25">
      <c r="I2835">
        <f t="shared" si="45"/>
        <v>1900</v>
      </c>
    </row>
    <row r="2836" spans="9:9" x14ac:dyDescent="0.25">
      <c r="I2836">
        <f t="shared" si="45"/>
        <v>1900</v>
      </c>
    </row>
    <row r="2837" spans="9:9" x14ac:dyDescent="0.25">
      <c r="I2837">
        <f t="shared" si="45"/>
        <v>1900</v>
      </c>
    </row>
    <row r="2838" spans="9:9" x14ac:dyDescent="0.25">
      <c r="I2838">
        <f t="shared" si="45"/>
        <v>1900</v>
      </c>
    </row>
    <row r="2839" spans="9:9" x14ac:dyDescent="0.25">
      <c r="I2839">
        <f t="shared" si="45"/>
        <v>1900</v>
      </c>
    </row>
    <row r="2840" spans="9:9" x14ac:dyDescent="0.25">
      <c r="I2840">
        <f t="shared" si="45"/>
        <v>1900</v>
      </c>
    </row>
    <row r="2841" spans="9:9" x14ac:dyDescent="0.25">
      <c r="I2841">
        <f t="shared" si="45"/>
        <v>1900</v>
      </c>
    </row>
    <row r="2842" spans="9:9" x14ac:dyDescent="0.25">
      <c r="I2842">
        <f t="shared" si="45"/>
        <v>1900</v>
      </c>
    </row>
    <row r="2843" spans="9:9" x14ac:dyDescent="0.25">
      <c r="I2843">
        <f t="shared" si="45"/>
        <v>1900</v>
      </c>
    </row>
    <row r="2844" spans="9:9" x14ac:dyDescent="0.25">
      <c r="I2844">
        <f t="shared" si="45"/>
        <v>1900</v>
      </c>
    </row>
    <row r="2845" spans="9:9" x14ac:dyDescent="0.25">
      <c r="I2845">
        <f t="shared" si="45"/>
        <v>1900</v>
      </c>
    </row>
    <row r="2846" spans="9:9" x14ac:dyDescent="0.25">
      <c r="I2846">
        <f t="shared" si="45"/>
        <v>1900</v>
      </c>
    </row>
    <row r="2847" spans="9:9" x14ac:dyDescent="0.25">
      <c r="I2847">
        <f t="shared" si="45"/>
        <v>1900</v>
      </c>
    </row>
    <row r="2848" spans="9:9" x14ac:dyDescent="0.25">
      <c r="I2848">
        <f t="shared" si="45"/>
        <v>1900</v>
      </c>
    </row>
    <row r="2849" spans="9:9" x14ac:dyDescent="0.25">
      <c r="I2849">
        <f t="shared" si="45"/>
        <v>1900</v>
      </c>
    </row>
    <row r="2850" spans="9:9" x14ac:dyDescent="0.25">
      <c r="I2850">
        <f t="shared" si="45"/>
        <v>1900</v>
      </c>
    </row>
    <row r="2851" spans="9:9" x14ac:dyDescent="0.25">
      <c r="I2851">
        <f t="shared" si="45"/>
        <v>1900</v>
      </c>
    </row>
    <row r="2852" spans="9:9" x14ac:dyDescent="0.25">
      <c r="I2852">
        <f t="shared" si="45"/>
        <v>1900</v>
      </c>
    </row>
    <row r="2853" spans="9:9" x14ac:dyDescent="0.25">
      <c r="I2853">
        <f t="shared" si="45"/>
        <v>1900</v>
      </c>
    </row>
    <row r="2854" spans="9:9" x14ac:dyDescent="0.25">
      <c r="I2854">
        <f t="shared" si="45"/>
        <v>1900</v>
      </c>
    </row>
    <row r="2855" spans="9:9" x14ac:dyDescent="0.25">
      <c r="I2855">
        <f t="shared" si="45"/>
        <v>1900</v>
      </c>
    </row>
    <row r="2856" spans="9:9" x14ac:dyDescent="0.25">
      <c r="I2856">
        <f t="shared" si="45"/>
        <v>1900</v>
      </c>
    </row>
    <row r="2857" spans="9:9" x14ac:dyDescent="0.25">
      <c r="I2857">
        <f t="shared" si="45"/>
        <v>1900</v>
      </c>
    </row>
    <row r="2858" spans="9:9" x14ac:dyDescent="0.25">
      <c r="I2858">
        <f t="shared" si="45"/>
        <v>1900</v>
      </c>
    </row>
    <row r="2859" spans="9:9" x14ac:dyDescent="0.25">
      <c r="I2859">
        <f t="shared" si="45"/>
        <v>1900</v>
      </c>
    </row>
    <row r="2860" spans="9:9" x14ac:dyDescent="0.25">
      <c r="I2860">
        <f t="shared" si="45"/>
        <v>1900</v>
      </c>
    </row>
    <row r="2861" spans="9:9" x14ac:dyDescent="0.25">
      <c r="I2861">
        <f t="shared" si="45"/>
        <v>1900</v>
      </c>
    </row>
    <row r="2862" spans="9:9" x14ac:dyDescent="0.25">
      <c r="I2862">
        <f t="shared" si="45"/>
        <v>1900</v>
      </c>
    </row>
    <row r="2863" spans="9:9" x14ac:dyDescent="0.25">
      <c r="I2863">
        <f t="shared" si="45"/>
        <v>1900</v>
      </c>
    </row>
    <row r="2864" spans="9:9" x14ac:dyDescent="0.25">
      <c r="I2864">
        <f t="shared" si="45"/>
        <v>1900</v>
      </c>
    </row>
    <row r="2865" spans="9:9" x14ac:dyDescent="0.25">
      <c r="I2865">
        <f t="shared" si="45"/>
        <v>1900</v>
      </c>
    </row>
    <row r="2866" spans="9:9" x14ac:dyDescent="0.25">
      <c r="I2866">
        <f t="shared" si="45"/>
        <v>1900</v>
      </c>
    </row>
    <row r="2867" spans="9:9" x14ac:dyDescent="0.25">
      <c r="I2867">
        <f t="shared" si="45"/>
        <v>1900</v>
      </c>
    </row>
    <row r="2868" spans="9:9" x14ac:dyDescent="0.25">
      <c r="I2868">
        <f t="shared" si="45"/>
        <v>1900</v>
      </c>
    </row>
    <row r="2869" spans="9:9" x14ac:dyDescent="0.25">
      <c r="I2869">
        <f t="shared" si="45"/>
        <v>1900</v>
      </c>
    </row>
    <row r="2870" spans="9:9" x14ac:dyDescent="0.25">
      <c r="I2870">
        <f t="shared" si="45"/>
        <v>1900</v>
      </c>
    </row>
    <row r="2871" spans="9:9" x14ac:dyDescent="0.25">
      <c r="I2871">
        <f t="shared" si="45"/>
        <v>1900</v>
      </c>
    </row>
    <row r="2872" spans="9:9" x14ac:dyDescent="0.25">
      <c r="I2872">
        <f t="shared" si="45"/>
        <v>1900</v>
      </c>
    </row>
    <row r="2873" spans="9:9" x14ac:dyDescent="0.25">
      <c r="I2873">
        <f t="shared" si="45"/>
        <v>1900</v>
      </c>
    </row>
    <row r="2874" spans="9:9" x14ac:dyDescent="0.25">
      <c r="I2874">
        <f t="shared" si="45"/>
        <v>1900</v>
      </c>
    </row>
    <row r="2875" spans="9:9" x14ac:dyDescent="0.25">
      <c r="I2875">
        <f t="shared" si="45"/>
        <v>1900</v>
      </c>
    </row>
    <row r="2876" spans="9:9" x14ac:dyDescent="0.25">
      <c r="I2876">
        <f t="shared" si="45"/>
        <v>1900</v>
      </c>
    </row>
    <row r="2877" spans="9:9" x14ac:dyDescent="0.25">
      <c r="I2877">
        <f t="shared" si="45"/>
        <v>1900</v>
      </c>
    </row>
    <row r="2878" spans="9:9" x14ac:dyDescent="0.25">
      <c r="I2878">
        <f t="shared" si="45"/>
        <v>1900</v>
      </c>
    </row>
    <row r="2879" spans="9:9" x14ac:dyDescent="0.25">
      <c r="I2879">
        <f t="shared" si="45"/>
        <v>1900</v>
      </c>
    </row>
    <row r="2880" spans="9:9" x14ac:dyDescent="0.25">
      <c r="I2880">
        <f t="shared" si="45"/>
        <v>1900</v>
      </c>
    </row>
    <row r="2881" spans="9:9" x14ac:dyDescent="0.25">
      <c r="I2881">
        <f t="shared" si="45"/>
        <v>1900</v>
      </c>
    </row>
    <row r="2882" spans="9:9" x14ac:dyDescent="0.25">
      <c r="I2882">
        <f t="shared" si="45"/>
        <v>1900</v>
      </c>
    </row>
    <row r="2883" spans="9:9" x14ac:dyDescent="0.25">
      <c r="I2883">
        <f t="shared" si="45"/>
        <v>1900</v>
      </c>
    </row>
    <row r="2884" spans="9:9" x14ac:dyDescent="0.25">
      <c r="I2884">
        <f t="shared" ref="I2884:I2947" si="46">IFERROR(YEAR(E2884),"")</f>
        <v>1900</v>
      </c>
    </row>
    <row r="2885" spans="9:9" x14ac:dyDescent="0.25">
      <c r="I2885">
        <f t="shared" si="46"/>
        <v>1900</v>
      </c>
    </row>
    <row r="2886" spans="9:9" x14ac:dyDescent="0.25">
      <c r="I2886">
        <f t="shared" si="46"/>
        <v>1900</v>
      </c>
    </row>
    <row r="2887" spans="9:9" x14ac:dyDescent="0.25">
      <c r="I2887">
        <f t="shared" si="46"/>
        <v>1900</v>
      </c>
    </row>
    <row r="2888" spans="9:9" x14ac:dyDescent="0.25">
      <c r="I2888">
        <f t="shared" si="46"/>
        <v>1900</v>
      </c>
    </row>
    <row r="2889" spans="9:9" x14ac:dyDescent="0.25">
      <c r="I2889">
        <f t="shared" si="46"/>
        <v>1900</v>
      </c>
    </row>
    <row r="2890" spans="9:9" x14ac:dyDescent="0.25">
      <c r="I2890">
        <f t="shared" si="46"/>
        <v>1900</v>
      </c>
    </row>
    <row r="2891" spans="9:9" x14ac:dyDescent="0.25">
      <c r="I2891">
        <f t="shared" si="46"/>
        <v>1900</v>
      </c>
    </row>
    <row r="2892" spans="9:9" x14ac:dyDescent="0.25">
      <c r="I2892">
        <f t="shared" si="46"/>
        <v>1900</v>
      </c>
    </row>
    <row r="2893" spans="9:9" x14ac:dyDescent="0.25">
      <c r="I2893">
        <f t="shared" si="46"/>
        <v>1900</v>
      </c>
    </row>
    <row r="2894" spans="9:9" x14ac:dyDescent="0.25">
      <c r="I2894">
        <f t="shared" si="46"/>
        <v>1900</v>
      </c>
    </row>
    <row r="2895" spans="9:9" x14ac:dyDescent="0.25">
      <c r="I2895">
        <f t="shared" si="46"/>
        <v>1900</v>
      </c>
    </row>
    <row r="2896" spans="9:9" x14ac:dyDescent="0.25">
      <c r="I2896">
        <f t="shared" si="46"/>
        <v>1900</v>
      </c>
    </row>
    <row r="2897" spans="9:9" x14ac:dyDescent="0.25">
      <c r="I2897">
        <f t="shared" si="46"/>
        <v>1900</v>
      </c>
    </row>
    <row r="2898" spans="9:9" x14ac:dyDescent="0.25">
      <c r="I2898">
        <f t="shared" si="46"/>
        <v>1900</v>
      </c>
    </row>
    <row r="2899" spans="9:9" x14ac:dyDescent="0.25">
      <c r="I2899">
        <f t="shared" si="46"/>
        <v>1900</v>
      </c>
    </row>
    <row r="2900" spans="9:9" x14ac:dyDescent="0.25">
      <c r="I2900">
        <f t="shared" si="46"/>
        <v>1900</v>
      </c>
    </row>
    <row r="2901" spans="9:9" x14ac:dyDescent="0.25">
      <c r="I2901">
        <f t="shared" si="46"/>
        <v>1900</v>
      </c>
    </row>
    <row r="2902" spans="9:9" x14ac:dyDescent="0.25">
      <c r="I2902">
        <f t="shared" si="46"/>
        <v>1900</v>
      </c>
    </row>
    <row r="2903" spans="9:9" x14ac:dyDescent="0.25">
      <c r="I2903">
        <f t="shared" si="46"/>
        <v>1900</v>
      </c>
    </row>
    <row r="2904" spans="9:9" x14ac:dyDescent="0.25">
      <c r="I2904">
        <f t="shared" si="46"/>
        <v>1900</v>
      </c>
    </row>
    <row r="2905" spans="9:9" x14ac:dyDescent="0.25">
      <c r="I2905">
        <f t="shared" si="46"/>
        <v>1900</v>
      </c>
    </row>
    <row r="2906" spans="9:9" x14ac:dyDescent="0.25">
      <c r="I2906">
        <f t="shared" si="46"/>
        <v>1900</v>
      </c>
    </row>
    <row r="2907" spans="9:9" x14ac:dyDescent="0.25">
      <c r="I2907">
        <f t="shared" si="46"/>
        <v>1900</v>
      </c>
    </row>
    <row r="2908" spans="9:9" x14ac:dyDescent="0.25">
      <c r="I2908">
        <f t="shared" si="46"/>
        <v>1900</v>
      </c>
    </row>
    <row r="2909" spans="9:9" x14ac:dyDescent="0.25">
      <c r="I2909">
        <f t="shared" si="46"/>
        <v>1900</v>
      </c>
    </row>
    <row r="2910" spans="9:9" x14ac:dyDescent="0.25">
      <c r="I2910">
        <f t="shared" si="46"/>
        <v>1900</v>
      </c>
    </row>
    <row r="2911" spans="9:9" x14ac:dyDescent="0.25">
      <c r="I2911">
        <f t="shared" si="46"/>
        <v>1900</v>
      </c>
    </row>
    <row r="2912" spans="9:9" x14ac:dyDescent="0.25">
      <c r="I2912">
        <f t="shared" si="46"/>
        <v>1900</v>
      </c>
    </row>
    <row r="2913" spans="9:9" x14ac:dyDescent="0.25">
      <c r="I2913">
        <f t="shared" si="46"/>
        <v>1900</v>
      </c>
    </row>
    <row r="2914" spans="9:9" x14ac:dyDescent="0.25">
      <c r="I2914">
        <f t="shared" si="46"/>
        <v>1900</v>
      </c>
    </row>
    <row r="2915" spans="9:9" x14ac:dyDescent="0.25">
      <c r="I2915">
        <f t="shared" si="46"/>
        <v>1900</v>
      </c>
    </row>
    <row r="2916" spans="9:9" x14ac:dyDescent="0.25">
      <c r="I2916">
        <f t="shared" si="46"/>
        <v>1900</v>
      </c>
    </row>
    <row r="2917" spans="9:9" x14ac:dyDescent="0.25">
      <c r="I2917">
        <f t="shared" si="46"/>
        <v>1900</v>
      </c>
    </row>
    <row r="2918" spans="9:9" x14ac:dyDescent="0.25">
      <c r="I2918">
        <f t="shared" si="46"/>
        <v>1900</v>
      </c>
    </row>
    <row r="2919" spans="9:9" x14ac:dyDescent="0.25">
      <c r="I2919">
        <f t="shared" si="46"/>
        <v>1900</v>
      </c>
    </row>
    <row r="2920" spans="9:9" x14ac:dyDescent="0.25">
      <c r="I2920">
        <f t="shared" si="46"/>
        <v>1900</v>
      </c>
    </row>
    <row r="2921" spans="9:9" x14ac:dyDescent="0.25">
      <c r="I2921">
        <f t="shared" si="46"/>
        <v>1900</v>
      </c>
    </row>
    <row r="2922" spans="9:9" x14ac:dyDescent="0.25">
      <c r="I2922">
        <f t="shared" si="46"/>
        <v>1900</v>
      </c>
    </row>
    <row r="2923" spans="9:9" x14ac:dyDescent="0.25">
      <c r="I2923">
        <f t="shared" si="46"/>
        <v>1900</v>
      </c>
    </row>
    <row r="2924" spans="9:9" x14ac:dyDescent="0.25">
      <c r="I2924">
        <f t="shared" si="46"/>
        <v>1900</v>
      </c>
    </row>
    <row r="2925" spans="9:9" x14ac:dyDescent="0.25">
      <c r="I2925">
        <f t="shared" si="46"/>
        <v>1900</v>
      </c>
    </row>
    <row r="2926" spans="9:9" x14ac:dyDescent="0.25">
      <c r="I2926">
        <f t="shared" si="46"/>
        <v>1900</v>
      </c>
    </row>
    <row r="2927" spans="9:9" x14ac:dyDescent="0.25">
      <c r="I2927">
        <f t="shared" si="46"/>
        <v>1900</v>
      </c>
    </row>
    <row r="2928" spans="9:9" x14ac:dyDescent="0.25">
      <c r="I2928">
        <f t="shared" si="46"/>
        <v>1900</v>
      </c>
    </row>
    <row r="2929" spans="9:9" x14ac:dyDescent="0.25">
      <c r="I2929">
        <f t="shared" si="46"/>
        <v>1900</v>
      </c>
    </row>
    <row r="2930" spans="9:9" x14ac:dyDescent="0.25">
      <c r="I2930">
        <f t="shared" si="46"/>
        <v>1900</v>
      </c>
    </row>
    <row r="2931" spans="9:9" x14ac:dyDescent="0.25">
      <c r="I2931">
        <f t="shared" si="46"/>
        <v>1900</v>
      </c>
    </row>
    <row r="2932" spans="9:9" x14ac:dyDescent="0.25">
      <c r="I2932">
        <f t="shared" si="46"/>
        <v>1900</v>
      </c>
    </row>
    <row r="2933" spans="9:9" x14ac:dyDescent="0.25">
      <c r="I2933">
        <f t="shared" si="46"/>
        <v>1900</v>
      </c>
    </row>
    <row r="2934" spans="9:9" x14ac:dyDescent="0.25">
      <c r="I2934">
        <f t="shared" si="46"/>
        <v>1900</v>
      </c>
    </row>
    <row r="2935" spans="9:9" x14ac:dyDescent="0.25">
      <c r="I2935">
        <f t="shared" si="46"/>
        <v>1900</v>
      </c>
    </row>
    <row r="2936" spans="9:9" x14ac:dyDescent="0.25">
      <c r="I2936">
        <f t="shared" si="46"/>
        <v>1900</v>
      </c>
    </row>
    <row r="2937" spans="9:9" x14ac:dyDescent="0.25">
      <c r="I2937">
        <f t="shared" si="46"/>
        <v>1900</v>
      </c>
    </row>
    <row r="2938" spans="9:9" x14ac:dyDescent="0.25">
      <c r="I2938">
        <f t="shared" si="46"/>
        <v>1900</v>
      </c>
    </row>
    <row r="2939" spans="9:9" x14ac:dyDescent="0.25">
      <c r="I2939">
        <f t="shared" si="46"/>
        <v>1900</v>
      </c>
    </row>
    <row r="2940" spans="9:9" x14ac:dyDescent="0.25">
      <c r="I2940">
        <f t="shared" si="46"/>
        <v>1900</v>
      </c>
    </row>
    <row r="2941" spans="9:9" x14ac:dyDescent="0.25">
      <c r="I2941">
        <f t="shared" si="46"/>
        <v>1900</v>
      </c>
    </row>
    <row r="2942" spans="9:9" x14ac:dyDescent="0.25">
      <c r="I2942">
        <f t="shared" si="46"/>
        <v>1900</v>
      </c>
    </row>
    <row r="2943" spans="9:9" x14ac:dyDescent="0.25">
      <c r="I2943">
        <f t="shared" si="46"/>
        <v>1900</v>
      </c>
    </row>
    <row r="2944" spans="9:9" x14ac:dyDescent="0.25">
      <c r="I2944">
        <f t="shared" si="46"/>
        <v>1900</v>
      </c>
    </row>
    <row r="2945" spans="9:9" x14ac:dyDescent="0.25">
      <c r="I2945">
        <f t="shared" si="46"/>
        <v>1900</v>
      </c>
    </row>
    <row r="2946" spans="9:9" x14ac:dyDescent="0.25">
      <c r="I2946">
        <f t="shared" si="46"/>
        <v>1900</v>
      </c>
    </row>
    <row r="2947" spans="9:9" x14ac:dyDescent="0.25">
      <c r="I2947">
        <f t="shared" si="46"/>
        <v>1900</v>
      </c>
    </row>
    <row r="2948" spans="9:9" x14ac:dyDescent="0.25">
      <c r="I2948">
        <f t="shared" ref="I2948:I3011" si="47">IFERROR(YEAR(E2948),"")</f>
        <v>1900</v>
      </c>
    </row>
    <row r="2949" spans="9:9" x14ac:dyDescent="0.25">
      <c r="I2949">
        <f t="shared" si="47"/>
        <v>1900</v>
      </c>
    </row>
    <row r="2950" spans="9:9" x14ac:dyDescent="0.25">
      <c r="I2950">
        <f t="shared" si="47"/>
        <v>1900</v>
      </c>
    </row>
    <row r="2951" spans="9:9" x14ac:dyDescent="0.25">
      <c r="I2951">
        <f t="shared" si="47"/>
        <v>1900</v>
      </c>
    </row>
    <row r="2952" spans="9:9" x14ac:dyDescent="0.25">
      <c r="I2952">
        <f t="shared" si="47"/>
        <v>1900</v>
      </c>
    </row>
    <row r="2953" spans="9:9" x14ac:dyDescent="0.25">
      <c r="I2953">
        <f t="shared" si="47"/>
        <v>1900</v>
      </c>
    </row>
    <row r="2954" spans="9:9" x14ac:dyDescent="0.25">
      <c r="I2954">
        <f t="shared" si="47"/>
        <v>1900</v>
      </c>
    </row>
    <row r="2955" spans="9:9" x14ac:dyDescent="0.25">
      <c r="I2955">
        <f t="shared" si="47"/>
        <v>1900</v>
      </c>
    </row>
    <row r="2956" spans="9:9" x14ac:dyDescent="0.25">
      <c r="I2956">
        <f t="shared" si="47"/>
        <v>1900</v>
      </c>
    </row>
    <row r="2957" spans="9:9" x14ac:dyDescent="0.25">
      <c r="I2957">
        <f t="shared" si="47"/>
        <v>1900</v>
      </c>
    </row>
    <row r="2958" spans="9:9" x14ac:dyDescent="0.25">
      <c r="I2958">
        <f t="shared" si="47"/>
        <v>1900</v>
      </c>
    </row>
    <row r="2959" spans="9:9" x14ac:dyDescent="0.25">
      <c r="I2959">
        <f t="shared" si="47"/>
        <v>1900</v>
      </c>
    </row>
    <row r="2960" spans="9:9" x14ac:dyDescent="0.25">
      <c r="I2960">
        <f t="shared" si="47"/>
        <v>1900</v>
      </c>
    </row>
    <row r="2961" spans="9:9" x14ac:dyDescent="0.25">
      <c r="I2961">
        <f t="shared" si="47"/>
        <v>1900</v>
      </c>
    </row>
    <row r="2962" spans="9:9" x14ac:dyDescent="0.25">
      <c r="I2962">
        <f t="shared" si="47"/>
        <v>1900</v>
      </c>
    </row>
    <row r="2963" spans="9:9" x14ac:dyDescent="0.25">
      <c r="I2963">
        <f t="shared" si="47"/>
        <v>1900</v>
      </c>
    </row>
    <row r="2964" spans="9:9" x14ac:dyDescent="0.25">
      <c r="I2964">
        <f t="shared" si="47"/>
        <v>1900</v>
      </c>
    </row>
    <row r="2965" spans="9:9" x14ac:dyDescent="0.25">
      <c r="I2965">
        <f t="shared" si="47"/>
        <v>1900</v>
      </c>
    </row>
    <row r="2966" spans="9:9" x14ac:dyDescent="0.25">
      <c r="I2966">
        <f t="shared" si="47"/>
        <v>1900</v>
      </c>
    </row>
    <row r="2967" spans="9:9" x14ac:dyDescent="0.25">
      <c r="I2967">
        <f t="shared" si="47"/>
        <v>1900</v>
      </c>
    </row>
    <row r="2968" spans="9:9" x14ac:dyDescent="0.25">
      <c r="I2968">
        <f t="shared" si="47"/>
        <v>1900</v>
      </c>
    </row>
    <row r="2969" spans="9:9" x14ac:dyDescent="0.25">
      <c r="I2969">
        <f t="shared" si="47"/>
        <v>1900</v>
      </c>
    </row>
    <row r="2970" spans="9:9" x14ac:dyDescent="0.25">
      <c r="I2970">
        <f t="shared" si="47"/>
        <v>1900</v>
      </c>
    </row>
    <row r="2971" spans="9:9" x14ac:dyDescent="0.25">
      <c r="I2971">
        <f t="shared" si="47"/>
        <v>1900</v>
      </c>
    </row>
    <row r="2972" spans="9:9" x14ac:dyDescent="0.25">
      <c r="I2972">
        <f t="shared" si="47"/>
        <v>1900</v>
      </c>
    </row>
    <row r="2973" spans="9:9" x14ac:dyDescent="0.25">
      <c r="I2973">
        <f t="shared" si="47"/>
        <v>1900</v>
      </c>
    </row>
    <row r="2974" spans="9:9" x14ac:dyDescent="0.25">
      <c r="I2974">
        <f t="shared" si="47"/>
        <v>1900</v>
      </c>
    </row>
    <row r="2975" spans="9:9" x14ac:dyDescent="0.25">
      <c r="I2975">
        <f t="shared" si="47"/>
        <v>1900</v>
      </c>
    </row>
    <row r="2976" spans="9:9" x14ac:dyDescent="0.25">
      <c r="I2976">
        <f t="shared" si="47"/>
        <v>1900</v>
      </c>
    </row>
    <row r="2977" spans="9:9" x14ac:dyDescent="0.25">
      <c r="I2977">
        <f t="shared" si="47"/>
        <v>1900</v>
      </c>
    </row>
    <row r="2978" spans="9:9" x14ac:dyDescent="0.25">
      <c r="I2978">
        <f t="shared" si="47"/>
        <v>1900</v>
      </c>
    </row>
    <row r="2979" spans="9:9" x14ac:dyDescent="0.25">
      <c r="I2979">
        <f t="shared" si="47"/>
        <v>1900</v>
      </c>
    </row>
    <row r="2980" spans="9:9" x14ac:dyDescent="0.25">
      <c r="I2980">
        <f t="shared" si="47"/>
        <v>1900</v>
      </c>
    </row>
    <row r="2981" spans="9:9" x14ac:dyDescent="0.25">
      <c r="I2981">
        <f t="shared" si="47"/>
        <v>1900</v>
      </c>
    </row>
    <row r="2982" spans="9:9" x14ac:dyDescent="0.25">
      <c r="I2982">
        <f t="shared" si="47"/>
        <v>1900</v>
      </c>
    </row>
    <row r="2983" spans="9:9" x14ac:dyDescent="0.25">
      <c r="I2983">
        <f t="shared" si="47"/>
        <v>1900</v>
      </c>
    </row>
    <row r="2984" spans="9:9" x14ac:dyDescent="0.25">
      <c r="I2984">
        <f t="shared" si="47"/>
        <v>1900</v>
      </c>
    </row>
    <row r="2985" spans="9:9" x14ac:dyDescent="0.25">
      <c r="I2985">
        <f t="shared" si="47"/>
        <v>1900</v>
      </c>
    </row>
    <row r="2986" spans="9:9" x14ac:dyDescent="0.25">
      <c r="I2986">
        <f t="shared" si="47"/>
        <v>1900</v>
      </c>
    </row>
    <row r="2987" spans="9:9" x14ac:dyDescent="0.25">
      <c r="I2987">
        <f t="shared" si="47"/>
        <v>1900</v>
      </c>
    </row>
    <row r="2988" spans="9:9" x14ac:dyDescent="0.25">
      <c r="I2988">
        <f t="shared" si="47"/>
        <v>1900</v>
      </c>
    </row>
    <row r="2989" spans="9:9" x14ac:dyDescent="0.25">
      <c r="I2989">
        <f t="shared" si="47"/>
        <v>1900</v>
      </c>
    </row>
    <row r="2990" spans="9:9" x14ac:dyDescent="0.25">
      <c r="I2990">
        <f t="shared" si="47"/>
        <v>1900</v>
      </c>
    </row>
    <row r="2991" spans="9:9" x14ac:dyDescent="0.25">
      <c r="I2991">
        <f t="shared" si="47"/>
        <v>1900</v>
      </c>
    </row>
    <row r="2992" spans="9:9" x14ac:dyDescent="0.25">
      <c r="I2992">
        <f t="shared" si="47"/>
        <v>1900</v>
      </c>
    </row>
    <row r="2993" spans="9:9" x14ac:dyDescent="0.25">
      <c r="I2993">
        <f t="shared" si="47"/>
        <v>1900</v>
      </c>
    </row>
    <row r="2994" spans="9:9" x14ac:dyDescent="0.25">
      <c r="I2994">
        <f t="shared" si="47"/>
        <v>1900</v>
      </c>
    </row>
    <row r="2995" spans="9:9" x14ac:dyDescent="0.25">
      <c r="I2995">
        <f t="shared" si="47"/>
        <v>1900</v>
      </c>
    </row>
    <row r="2996" spans="9:9" x14ac:dyDescent="0.25">
      <c r="I2996">
        <f t="shared" si="47"/>
        <v>1900</v>
      </c>
    </row>
    <row r="2997" spans="9:9" x14ac:dyDescent="0.25">
      <c r="I2997">
        <f t="shared" si="47"/>
        <v>1900</v>
      </c>
    </row>
    <row r="2998" spans="9:9" x14ac:dyDescent="0.25">
      <c r="I2998">
        <f t="shared" si="47"/>
        <v>1900</v>
      </c>
    </row>
    <row r="2999" spans="9:9" x14ac:dyDescent="0.25">
      <c r="I2999">
        <f t="shared" si="47"/>
        <v>1900</v>
      </c>
    </row>
    <row r="3000" spans="9:9" x14ac:dyDescent="0.25">
      <c r="I3000">
        <f t="shared" si="47"/>
        <v>1900</v>
      </c>
    </row>
    <row r="3001" spans="9:9" x14ac:dyDescent="0.25">
      <c r="I3001">
        <f t="shared" si="47"/>
        <v>1900</v>
      </c>
    </row>
    <row r="3002" spans="9:9" x14ac:dyDescent="0.25">
      <c r="I3002">
        <f t="shared" si="47"/>
        <v>1900</v>
      </c>
    </row>
    <row r="3003" spans="9:9" x14ac:dyDescent="0.25">
      <c r="I3003">
        <f t="shared" si="47"/>
        <v>1900</v>
      </c>
    </row>
    <row r="3004" spans="9:9" x14ac:dyDescent="0.25">
      <c r="I3004">
        <f t="shared" si="47"/>
        <v>1900</v>
      </c>
    </row>
    <row r="3005" spans="9:9" x14ac:dyDescent="0.25">
      <c r="I3005">
        <f t="shared" si="47"/>
        <v>1900</v>
      </c>
    </row>
    <row r="3006" spans="9:9" x14ac:dyDescent="0.25">
      <c r="I3006">
        <f t="shared" si="47"/>
        <v>1900</v>
      </c>
    </row>
    <row r="3007" spans="9:9" x14ac:dyDescent="0.25">
      <c r="I3007">
        <f t="shared" si="47"/>
        <v>1900</v>
      </c>
    </row>
    <row r="3008" spans="9:9" x14ac:dyDescent="0.25">
      <c r="I3008">
        <f t="shared" si="47"/>
        <v>1900</v>
      </c>
    </row>
    <row r="3009" spans="9:9" x14ac:dyDescent="0.25">
      <c r="I3009">
        <f t="shared" si="47"/>
        <v>1900</v>
      </c>
    </row>
    <row r="3010" spans="9:9" x14ac:dyDescent="0.25">
      <c r="I3010">
        <f t="shared" si="47"/>
        <v>1900</v>
      </c>
    </row>
    <row r="3011" spans="9:9" x14ac:dyDescent="0.25">
      <c r="I3011">
        <f t="shared" si="47"/>
        <v>1900</v>
      </c>
    </row>
    <row r="3012" spans="9:9" x14ac:dyDescent="0.25">
      <c r="I3012">
        <f t="shared" ref="I3012:I3075" si="48">IFERROR(YEAR(E3012),"")</f>
        <v>1900</v>
      </c>
    </row>
    <row r="3013" spans="9:9" x14ac:dyDescent="0.25">
      <c r="I3013">
        <f t="shared" si="48"/>
        <v>1900</v>
      </c>
    </row>
    <row r="3014" spans="9:9" x14ac:dyDescent="0.25">
      <c r="I3014">
        <f t="shared" si="48"/>
        <v>1900</v>
      </c>
    </row>
    <row r="3015" spans="9:9" x14ac:dyDescent="0.25">
      <c r="I3015">
        <f t="shared" si="48"/>
        <v>1900</v>
      </c>
    </row>
    <row r="3016" spans="9:9" x14ac:dyDescent="0.25">
      <c r="I3016">
        <f t="shared" si="48"/>
        <v>1900</v>
      </c>
    </row>
    <row r="3017" spans="9:9" x14ac:dyDescent="0.25">
      <c r="I3017">
        <f t="shared" si="48"/>
        <v>1900</v>
      </c>
    </row>
    <row r="3018" spans="9:9" x14ac:dyDescent="0.25">
      <c r="I3018">
        <f t="shared" si="48"/>
        <v>1900</v>
      </c>
    </row>
    <row r="3019" spans="9:9" x14ac:dyDescent="0.25">
      <c r="I3019">
        <f t="shared" si="48"/>
        <v>1900</v>
      </c>
    </row>
    <row r="3020" spans="9:9" x14ac:dyDescent="0.25">
      <c r="I3020">
        <f t="shared" si="48"/>
        <v>1900</v>
      </c>
    </row>
    <row r="3021" spans="9:9" x14ac:dyDescent="0.25">
      <c r="I3021">
        <f t="shared" si="48"/>
        <v>1900</v>
      </c>
    </row>
    <row r="3022" spans="9:9" x14ac:dyDescent="0.25">
      <c r="I3022">
        <f t="shared" si="48"/>
        <v>1900</v>
      </c>
    </row>
    <row r="3023" spans="9:9" x14ac:dyDescent="0.25">
      <c r="I3023">
        <f t="shared" si="48"/>
        <v>1900</v>
      </c>
    </row>
    <row r="3024" spans="9:9" x14ac:dyDescent="0.25">
      <c r="I3024">
        <f t="shared" si="48"/>
        <v>1900</v>
      </c>
    </row>
    <row r="3025" spans="9:9" x14ac:dyDescent="0.25">
      <c r="I3025">
        <f t="shared" si="48"/>
        <v>1900</v>
      </c>
    </row>
    <row r="3026" spans="9:9" x14ac:dyDescent="0.25">
      <c r="I3026">
        <f t="shared" si="48"/>
        <v>1900</v>
      </c>
    </row>
    <row r="3027" spans="9:9" x14ac:dyDescent="0.25">
      <c r="I3027">
        <f t="shared" si="48"/>
        <v>1900</v>
      </c>
    </row>
    <row r="3028" spans="9:9" x14ac:dyDescent="0.25">
      <c r="I3028">
        <f t="shared" si="48"/>
        <v>1900</v>
      </c>
    </row>
    <row r="3029" spans="9:9" x14ac:dyDescent="0.25">
      <c r="I3029">
        <f t="shared" si="48"/>
        <v>1900</v>
      </c>
    </row>
    <row r="3030" spans="9:9" x14ac:dyDescent="0.25">
      <c r="I3030">
        <f t="shared" si="48"/>
        <v>1900</v>
      </c>
    </row>
    <row r="3031" spans="9:9" x14ac:dyDescent="0.25">
      <c r="I3031">
        <f t="shared" si="48"/>
        <v>1900</v>
      </c>
    </row>
    <row r="3032" spans="9:9" x14ac:dyDescent="0.25">
      <c r="I3032">
        <f t="shared" si="48"/>
        <v>1900</v>
      </c>
    </row>
    <row r="3033" spans="9:9" x14ac:dyDescent="0.25">
      <c r="I3033">
        <f t="shared" si="48"/>
        <v>1900</v>
      </c>
    </row>
    <row r="3034" spans="9:9" x14ac:dyDescent="0.25">
      <c r="I3034">
        <f t="shared" si="48"/>
        <v>1900</v>
      </c>
    </row>
    <row r="3035" spans="9:9" x14ac:dyDescent="0.25">
      <c r="I3035">
        <f t="shared" si="48"/>
        <v>1900</v>
      </c>
    </row>
    <row r="3036" spans="9:9" x14ac:dyDescent="0.25">
      <c r="I3036">
        <f t="shared" si="48"/>
        <v>1900</v>
      </c>
    </row>
    <row r="3037" spans="9:9" x14ac:dyDescent="0.25">
      <c r="I3037">
        <f t="shared" si="48"/>
        <v>1900</v>
      </c>
    </row>
    <row r="3038" spans="9:9" x14ac:dyDescent="0.25">
      <c r="I3038">
        <f t="shared" si="48"/>
        <v>1900</v>
      </c>
    </row>
    <row r="3039" spans="9:9" x14ac:dyDescent="0.25">
      <c r="I3039">
        <f t="shared" si="48"/>
        <v>1900</v>
      </c>
    </row>
    <row r="3040" spans="9:9" x14ac:dyDescent="0.25">
      <c r="I3040">
        <f t="shared" si="48"/>
        <v>1900</v>
      </c>
    </row>
    <row r="3041" spans="9:9" x14ac:dyDescent="0.25">
      <c r="I3041">
        <f t="shared" si="48"/>
        <v>1900</v>
      </c>
    </row>
    <row r="3042" spans="9:9" x14ac:dyDescent="0.25">
      <c r="I3042">
        <f t="shared" si="48"/>
        <v>1900</v>
      </c>
    </row>
    <row r="3043" spans="9:9" x14ac:dyDescent="0.25">
      <c r="I3043">
        <f t="shared" si="48"/>
        <v>1900</v>
      </c>
    </row>
    <row r="3044" spans="9:9" x14ac:dyDescent="0.25">
      <c r="I3044">
        <f t="shared" si="48"/>
        <v>1900</v>
      </c>
    </row>
    <row r="3045" spans="9:9" x14ac:dyDescent="0.25">
      <c r="I3045">
        <f t="shared" si="48"/>
        <v>1900</v>
      </c>
    </row>
    <row r="3046" spans="9:9" x14ac:dyDescent="0.25">
      <c r="I3046">
        <f t="shared" si="48"/>
        <v>1900</v>
      </c>
    </row>
    <row r="3047" spans="9:9" x14ac:dyDescent="0.25">
      <c r="I3047">
        <f t="shared" si="48"/>
        <v>1900</v>
      </c>
    </row>
    <row r="3048" spans="9:9" x14ac:dyDescent="0.25">
      <c r="I3048">
        <f t="shared" si="48"/>
        <v>1900</v>
      </c>
    </row>
    <row r="3049" spans="9:9" x14ac:dyDescent="0.25">
      <c r="I3049">
        <f t="shared" si="48"/>
        <v>1900</v>
      </c>
    </row>
    <row r="3050" spans="9:9" x14ac:dyDescent="0.25">
      <c r="I3050">
        <f t="shared" si="48"/>
        <v>1900</v>
      </c>
    </row>
    <row r="3051" spans="9:9" x14ac:dyDescent="0.25">
      <c r="I3051">
        <f t="shared" si="48"/>
        <v>1900</v>
      </c>
    </row>
    <row r="3052" spans="9:9" x14ac:dyDescent="0.25">
      <c r="I3052">
        <f t="shared" si="48"/>
        <v>1900</v>
      </c>
    </row>
    <row r="3053" spans="9:9" x14ac:dyDescent="0.25">
      <c r="I3053">
        <f t="shared" si="48"/>
        <v>1900</v>
      </c>
    </row>
    <row r="3054" spans="9:9" x14ac:dyDescent="0.25">
      <c r="I3054">
        <f t="shared" si="48"/>
        <v>1900</v>
      </c>
    </row>
    <row r="3055" spans="9:9" x14ac:dyDescent="0.25">
      <c r="I3055">
        <f t="shared" si="48"/>
        <v>1900</v>
      </c>
    </row>
    <row r="3056" spans="9:9" x14ac:dyDescent="0.25">
      <c r="I3056">
        <f t="shared" si="48"/>
        <v>1900</v>
      </c>
    </row>
    <row r="3057" spans="9:9" x14ac:dyDescent="0.25">
      <c r="I3057">
        <f t="shared" si="48"/>
        <v>1900</v>
      </c>
    </row>
    <row r="3058" spans="9:9" x14ac:dyDescent="0.25">
      <c r="I3058">
        <f t="shared" si="48"/>
        <v>1900</v>
      </c>
    </row>
    <row r="3059" spans="9:9" x14ac:dyDescent="0.25">
      <c r="I3059">
        <f t="shared" si="48"/>
        <v>1900</v>
      </c>
    </row>
    <row r="3060" spans="9:9" x14ac:dyDescent="0.25">
      <c r="I3060">
        <f t="shared" si="48"/>
        <v>1900</v>
      </c>
    </row>
    <row r="3061" spans="9:9" x14ac:dyDescent="0.25">
      <c r="I3061">
        <f t="shared" si="48"/>
        <v>1900</v>
      </c>
    </row>
    <row r="3062" spans="9:9" x14ac:dyDescent="0.25">
      <c r="I3062">
        <f t="shared" si="48"/>
        <v>1900</v>
      </c>
    </row>
    <row r="3063" spans="9:9" x14ac:dyDescent="0.25">
      <c r="I3063">
        <f t="shared" si="48"/>
        <v>1900</v>
      </c>
    </row>
    <row r="3064" spans="9:9" x14ac:dyDescent="0.25">
      <c r="I3064">
        <f t="shared" si="48"/>
        <v>1900</v>
      </c>
    </row>
    <row r="3065" spans="9:9" x14ac:dyDescent="0.25">
      <c r="I3065">
        <f t="shared" si="48"/>
        <v>1900</v>
      </c>
    </row>
    <row r="3066" spans="9:9" x14ac:dyDescent="0.25">
      <c r="I3066">
        <f t="shared" si="48"/>
        <v>1900</v>
      </c>
    </row>
    <row r="3067" spans="9:9" x14ac:dyDescent="0.25">
      <c r="I3067">
        <f t="shared" si="48"/>
        <v>1900</v>
      </c>
    </row>
    <row r="3068" spans="9:9" x14ac:dyDescent="0.25">
      <c r="I3068">
        <f t="shared" si="48"/>
        <v>1900</v>
      </c>
    </row>
    <row r="3069" spans="9:9" x14ac:dyDescent="0.25">
      <c r="I3069">
        <f t="shared" si="48"/>
        <v>1900</v>
      </c>
    </row>
    <row r="3070" spans="9:9" x14ac:dyDescent="0.25">
      <c r="I3070">
        <f t="shared" si="48"/>
        <v>1900</v>
      </c>
    </row>
    <row r="3071" spans="9:9" x14ac:dyDescent="0.25">
      <c r="I3071">
        <f t="shared" si="48"/>
        <v>1900</v>
      </c>
    </row>
    <row r="3072" spans="9:9" x14ac:dyDescent="0.25">
      <c r="I3072">
        <f t="shared" si="48"/>
        <v>1900</v>
      </c>
    </row>
    <row r="3073" spans="9:9" x14ac:dyDescent="0.25">
      <c r="I3073">
        <f t="shared" si="48"/>
        <v>1900</v>
      </c>
    </row>
    <row r="3074" spans="9:9" x14ac:dyDescent="0.25">
      <c r="I3074">
        <f t="shared" si="48"/>
        <v>1900</v>
      </c>
    </row>
    <row r="3075" spans="9:9" x14ac:dyDescent="0.25">
      <c r="I3075">
        <f t="shared" si="48"/>
        <v>1900</v>
      </c>
    </row>
    <row r="3076" spans="9:9" x14ac:dyDescent="0.25">
      <c r="I3076">
        <f t="shared" ref="I3076:I3139" si="49">IFERROR(YEAR(E3076),"")</f>
        <v>1900</v>
      </c>
    </row>
    <row r="3077" spans="9:9" x14ac:dyDescent="0.25">
      <c r="I3077">
        <f t="shared" si="49"/>
        <v>1900</v>
      </c>
    </row>
    <row r="3078" spans="9:9" x14ac:dyDescent="0.25">
      <c r="I3078">
        <f t="shared" si="49"/>
        <v>1900</v>
      </c>
    </row>
    <row r="3079" spans="9:9" x14ac:dyDescent="0.25">
      <c r="I3079">
        <f t="shared" si="49"/>
        <v>1900</v>
      </c>
    </row>
    <row r="3080" spans="9:9" x14ac:dyDescent="0.25">
      <c r="I3080">
        <f t="shared" si="49"/>
        <v>1900</v>
      </c>
    </row>
    <row r="3081" spans="9:9" x14ac:dyDescent="0.25">
      <c r="I3081">
        <f t="shared" si="49"/>
        <v>1900</v>
      </c>
    </row>
    <row r="3082" spans="9:9" x14ac:dyDescent="0.25">
      <c r="I3082">
        <f t="shared" si="49"/>
        <v>1900</v>
      </c>
    </row>
    <row r="3083" spans="9:9" x14ac:dyDescent="0.25">
      <c r="I3083">
        <f t="shared" si="49"/>
        <v>1900</v>
      </c>
    </row>
    <row r="3084" spans="9:9" x14ac:dyDescent="0.25">
      <c r="I3084">
        <f t="shared" si="49"/>
        <v>1900</v>
      </c>
    </row>
    <row r="3085" spans="9:9" x14ac:dyDescent="0.25">
      <c r="I3085">
        <f t="shared" si="49"/>
        <v>1900</v>
      </c>
    </row>
    <row r="3086" spans="9:9" x14ac:dyDescent="0.25">
      <c r="I3086">
        <f t="shared" si="49"/>
        <v>1900</v>
      </c>
    </row>
    <row r="3087" spans="9:9" x14ac:dyDescent="0.25">
      <c r="I3087">
        <f t="shared" si="49"/>
        <v>1900</v>
      </c>
    </row>
    <row r="3088" spans="9:9" x14ac:dyDescent="0.25">
      <c r="I3088">
        <f t="shared" si="49"/>
        <v>1900</v>
      </c>
    </row>
    <row r="3089" spans="9:9" x14ac:dyDescent="0.25">
      <c r="I3089">
        <f t="shared" si="49"/>
        <v>1900</v>
      </c>
    </row>
    <row r="3090" spans="9:9" x14ac:dyDescent="0.25">
      <c r="I3090">
        <f t="shared" si="49"/>
        <v>1900</v>
      </c>
    </row>
    <row r="3091" spans="9:9" x14ac:dyDescent="0.25">
      <c r="I3091">
        <f t="shared" si="49"/>
        <v>1900</v>
      </c>
    </row>
    <row r="3092" spans="9:9" x14ac:dyDescent="0.25">
      <c r="I3092">
        <f t="shared" si="49"/>
        <v>1900</v>
      </c>
    </row>
    <row r="3093" spans="9:9" x14ac:dyDescent="0.25">
      <c r="I3093">
        <f t="shared" si="49"/>
        <v>1900</v>
      </c>
    </row>
    <row r="3094" spans="9:9" x14ac:dyDescent="0.25">
      <c r="I3094">
        <f t="shared" si="49"/>
        <v>1900</v>
      </c>
    </row>
    <row r="3095" spans="9:9" x14ac:dyDescent="0.25">
      <c r="I3095">
        <f t="shared" si="49"/>
        <v>1900</v>
      </c>
    </row>
    <row r="3096" spans="9:9" x14ac:dyDescent="0.25">
      <c r="I3096">
        <f t="shared" si="49"/>
        <v>1900</v>
      </c>
    </row>
    <row r="3097" spans="9:9" x14ac:dyDescent="0.25">
      <c r="I3097">
        <f t="shared" si="49"/>
        <v>1900</v>
      </c>
    </row>
    <row r="3098" spans="9:9" x14ac:dyDescent="0.25">
      <c r="I3098">
        <f t="shared" si="49"/>
        <v>1900</v>
      </c>
    </row>
    <row r="3099" spans="9:9" x14ac:dyDescent="0.25">
      <c r="I3099">
        <f t="shared" si="49"/>
        <v>1900</v>
      </c>
    </row>
    <row r="3100" spans="9:9" x14ac:dyDescent="0.25">
      <c r="I3100">
        <f t="shared" si="49"/>
        <v>1900</v>
      </c>
    </row>
    <row r="3101" spans="9:9" x14ac:dyDescent="0.25">
      <c r="I3101">
        <f t="shared" si="49"/>
        <v>1900</v>
      </c>
    </row>
    <row r="3102" spans="9:9" x14ac:dyDescent="0.25">
      <c r="I3102">
        <f t="shared" si="49"/>
        <v>1900</v>
      </c>
    </row>
    <row r="3103" spans="9:9" x14ac:dyDescent="0.25">
      <c r="I3103">
        <f t="shared" si="49"/>
        <v>1900</v>
      </c>
    </row>
    <row r="3104" spans="9:9" x14ac:dyDescent="0.25">
      <c r="I3104">
        <f t="shared" si="49"/>
        <v>1900</v>
      </c>
    </row>
    <row r="3105" spans="9:9" x14ac:dyDescent="0.25">
      <c r="I3105">
        <f t="shared" si="49"/>
        <v>1900</v>
      </c>
    </row>
    <row r="3106" spans="9:9" x14ac:dyDescent="0.25">
      <c r="I3106">
        <f t="shared" si="49"/>
        <v>1900</v>
      </c>
    </row>
    <row r="3107" spans="9:9" x14ac:dyDescent="0.25">
      <c r="I3107">
        <f t="shared" si="49"/>
        <v>1900</v>
      </c>
    </row>
    <row r="3108" spans="9:9" x14ac:dyDescent="0.25">
      <c r="I3108">
        <f t="shared" si="49"/>
        <v>1900</v>
      </c>
    </row>
    <row r="3109" spans="9:9" x14ac:dyDescent="0.25">
      <c r="I3109">
        <f t="shared" si="49"/>
        <v>1900</v>
      </c>
    </row>
    <row r="3110" spans="9:9" x14ac:dyDescent="0.25">
      <c r="I3110">
        <f t="shared" si="49"/>
        <v>1900</v>
      </c>
    </row>
    <row r="3111" spans="9:9" x14ac:dyDescent="0.25">
      <c r="I3111">
        <f t="shared" si="49"/>
        <v>1900</v>
      </c>
    </row>
    <row r="3112" spans="9:9" x14ac:dyDescent="0.25">
      <c r="I3112">
        <f t="shared" si="49"/>
        <v>1900</v>
      </c>
    </row>
    <row r="3113" spans="9:9" x14ac:dyDescent="0.25">
      <c r="I3113">
        <f t="shared" si="49"/>
        <v>1900</v>
      </c>
    </row>
    <row r="3114" spans="9:9" x14ac:dyDescent="0.25">
      <c r="I3114">
        <f t="shared" si="49"/>
        <v>1900</v>
      </c>
    </row>
    <row r="3115" spans="9:9" x14ac:dyDescent="0.25">
      <c r="I3115">
        <f t="shared" si="49"/>
        <v>1900</v>
      </c>
    </row>
    <row r="3116" spans="9:9" x14ac:dyDescent="0.25">
      <c r="I3116">
        <f t="shared" si="49"/>
        <v>1900</v>
      </c>
    </row>
    <row r="3117" spans="9:9" x14ac:dyDescent="0.25">
      <c r="I3117">
        <f t="shared" si="49"/>
        <v>1900</v>
      </c>
    </row>
    <row r="3118" spans="9:9" x14ac:dyDescent="0.25">
      <c r="I3118">
        <f t="shared" si="49"/>
        <v>1900</v>
      </c>
    </row>
    <row r="3119" spans="9:9" x14ac:dyDescent="0.25">
      <c r="I3119">
        <f t="shared" si="49"/>
        <v>1900</v>
      </c>
    </row>
    <row r="3120" spans="9:9" x14ac:dyDescent="0.25">
      <c r="I3120">
        <f t="shared" si="49"/>
        <v>1900</v>
      </c>
    </row>
    <row r="3121" spans="9:9" x14ac:dyDescent="0.25">
      <c r="I3121">
        <f t="shared" si="49"/>
        <v>1900</v>
      </c>
    </row>
    <row r="3122" spans="9:9" x14ac:dyDescent="0.25">
      <c r="I3122">
        <f t="shared" si="49"/>
        <v>1900</v>
      </c>
    </row>
    <row r="3123" spans="9:9" x14ac:dyDescent="0.25">
      <c r="I3123">
        <f t="shared" si="49"/>
        <v>1900</v>
      </c>
    </row>
    <row r="3124" spans="9:9" x14ac:dyDescent="0.25">
      <c r="I3124">
        <f t="shared" si="49"/>
        <v>1900</v>
      </c>
    </row>
    <row r="3125" spans="9:9" x14ac:dyDescent="0.25">
      <c r="I3125">
        <f t="shared" si="49"/>
        <v>1900</v>
      </c>
    </row>
    <row r="3126" spans="9:9" x14ac:dyDescent="0.25">
      <c r="I3126">
        <f t="shared" si="49"/>
        <v>1900</v>
      </c>
    </row>
    <row r="3127" spans="9:9" x14ac:dyDescent="0.25">
      <c r="I3127">
        <f t="shared" si="49"/>
        <v>1900</v>
      </c>
    </row>
    <row r="3128" spans="9:9" x14ac:dyDescent="0.25">
      <c r="I3128">
        <f t="shared" si="49"/>
        <v>1900</v>
      </c>
    </row>
    <row r="3129" spans="9:9" x14ac:dyDescent="0.25">
      <c r="I3129">
        <f t="shared" si="49"/>
        <v>1900</v>
      </c>
    </row>
    <row r="3130" spans="9:9" x14ac:dyDescent="0.25">
      <c r="I3130">
        <f t="shared" si="49"/>
        <v>1900</v>
      </c>
    </row>
    <row r="3131" spans="9:9" x14ac:dyDescent="0.25">
      <c r="I3131">
        <f t="shared" si="49"/>
        <v>1900</v>
      </c>
    </row>
    <row r="3132" spans="9:9" x14ac:dyDescent="0.25">
      <c r="I3132">
        <f t="shared" si="49"/>
        <v>1900</v>
      </c>
    </row>
    <row r="3133" spans="9:9" x14ac:dyDescent="0.25">
      <c r="I3133">
        <f t="shared" si="49"/>
        <v>1900</v>
      </c>
    </row>
    <row r="3134" spans="9:9" x14ac:dyDescent="0.25">
      <c r="I3134">
        <f t="shared" si="49"/>
        <v>1900</v>
      </c>
    </row>
    <row r="3135" spans="9:9" x14ac:dyDescent="0.25">
      <c r="I3135">
        <f t="shared" si="49"/>
        <v>1900</v>
      </c>
    </row>
    <row r="3136" spans="9:9" x14ac:dyDescent="0.25">
      <c r="I3136">
        <f t="shared" si="49"/>
        <v>1900</v>
      </c>
    </row>
    <row r="3137" spans="9:9" x14ac:dyDescent="0.25">
      <c r="I3137">
        <f t="shared" si="49"/>
        <v>1900</v>
      </c>
    </row>
    <row r="3138" spans="9:9" x14ac:dyDescent="0.25">
      <c r="I3138">
        <f t="shared" si="49"/>
        <v>1900</v>
      </c>
    </row>
    <row r="3139" spans="9:9" x14ac:dyDescent="0.25">
      <c r="I3139">
        <f t="shared" si="49"/>
        <v>1900</v>
      </c>
    </row>
    <row r="3140" spans="9:9" x14ac:dyDescent="0.25">
      <c r="I3140">
        <f t="shared" ref="I3140:I3203" si="50">IFERROR(YEAR(E3140),"")</f>
        <v>1900</v>
      </c>
    </row>
    <row r="3141" spans="9:9" x14ac:dyDescent="0.25">
      <c r="I3141">
        <f t="shared" si="50"/>
        <v>1900</v>
      </c>
    </row>
    <row r="3142" spans="9:9" x14ac:dyDescent="0.25">
      <c r="I3142">
        <f t="shared" si="50"/>
        <v>1900</v>
      </c>
    </row>
    <row r="3143" spans="9:9" x14ac:dyDescent="0.25">
      <c r="I3143">
        <f t="shared" si="50"/>
        <v>1900</v>
      </c>
    </row>
    <row r="3144" spans="9:9" x14ac:dyDescent="0.25">
      <c r="I3144">
        <f t="shared" si="50"/>
        <v>1900</v>
      </c>
    </row>
    <row r="3145" spans="9:9" x14ac:dyDescent="0.25">
      <c r="I3145">
        <f t="shared" si="50"/>
        <v>1900</v>
      </c>
    </row>
    <row r="3146" spans="9:9" x14ac:dyDescent="0.25">
      <c r="I3146">
        <f t="shared" si="50"/>
        <v>1900</v>
      </c>
    </row>
    <row r="3147" spans="9:9" x14ac:dyDescent="0.25">
      <c r="I3147">
        <f t="shared" si="50"/>
        <v>1900</v>
      </c>
    </row>
    <row r="3148" spans="9:9" x14ac:dyDescent="0.25">
      <c r="I3148">
        <f t="shared" si="50"/>
        <v>1900</v>
      </c>
    </row>
    <row r="3149" spans="9:9" x14ac:dyDescent="0.25">
      <c r="I3149">
        <f t="shared" si="50"/>
        <v>1900</v>
      </c>
    </row>
    <row r="3150" spans="9:9" x14ac:dyDescent="0.25">
      <c r="I3150">
        <f t="shared" si="50"/>
        <v>1900</v>
      </c>
    </row>
    <row r="3151" spans="9:9" x14ac:dyDescent="0.25">
      <c r="I3151">
        <f t="shared" si="50"/>
        <v>1900</v>
      </c>
    </row>
    <row r="3152" spans="9:9" x14ac:dyDescent="0.25">
      <c r="I3152">
        <f t="shared" si="50"/>
        <v>1900</v>
      </c>
    </row>
    <row r="3153" spans="9:9" x14ac:dyDescent="0.25">
      <c r="I3153">
        <f t="shared" si="50"/>
        <v>1900</v>
      </c>
    </row>
    <row r="3154" spans="9:9" x14ac:dyDescent="0.25">
      <c r="I3154">
        <f t="shared" si="50"/>
        <v>1900</v>
      </c>
    </row>
    <row r="3155" spans="9:9" x14ac:dyDescent="0.25">
      <c r="I3155">
        <f t="shared" si="50"/>
        <v>1900</v>
      </c>
    </row>
    <row r="3156" spans="9:9" x14ac:dyDescent="0.25">
      <c r="I3156">
        <f t="shared" si="50"/>
        <v>1900</v>
      </c>
    </row>
    <row r="3157" spans="9:9" x14ac:dyDescent="0.25">
      <c r="I3157">
        <f t="shared" si="50"/>
        <v>1900</v>
      </c>
    </row>
    <row r="3158" spans="9:9" x14ac:dyDescent="0.25">
      <c r="I3158">
        <f t="shared" si="50"/>
        <v>1900</v>
      </c>
    </row>
    <row r="3159" spans="9:9" x14ac:dyDescent="0.25">
      <c r="I3159">
        <f t="shared" si="50"/>
        <v>1900</v>
      </c>
    </row>
    <row r="3160" spans="9:9" x14ac:dyDescent="0.25">
      <c r="I3160">
        <f t="shared" si="50"/>
        <v>1900</v>
      </c>
    </row>
    <row r="3161" spans="9:9" x14ac:dyDescent="0.25">
      <c r="I3161">
        <f t="shared" si="50"/>
        <v>1900</v>
      </c>
    </row>
    <row r="3162" spans="9:9" x14ac:dyDescent="0.25">
      <c r="I3162">
        <f t="shared" si="50"/>
        <v>1900</v>
      </c>
    </row>
    <row r="3163" spans="9:9" x14ac:dyDescent="0.25">
      <c r="I3163">
        <f t="shared" si="50"/>
        <v>1900</v>
      </c>
    </row>
    <row r="3164" spans="9:9" x14ac:dyDescent="0.25">
      <c r="I3164">
        <f t="shared" si="50"/>
        <v>1900</v>
      </c>
    </row>
    <row r="3165" spans="9:9" x14ac:dyDescent="0.25">
      <c r="I3165">
        <f t="shared" si="50"/>
        <v>1900</v>
      </c>
    </row>
    <row r="3166" spans="9:9" x14ac:dyDescent="0.25">
      <c r="I3166">
        <f t="shared" si="50"/>
        <v>1900</v>
      </c>
    </row>
    <row r="3167" spans="9:9" x14ac:dyDescent="0.25">
      <c r="I3167">
        <f t="shared" si="50"/>
        <v>1900</v>
      </c>
    </row>
    <row r="3168" spans="9:9" x14ac:dyDescent="0.25">
      <c r="I3168">
        <f t="shared" si="50"/>
        <v>1900</v>
      </c>
    </row>
    <row r="3169" spans="9:9" x14ac:dyDescent="0.25">
      <c r="I3169">
        <f t="shared" si="50"/>
        <v>1900</v>
      </c>
    </row>
    <row r="3170" spans="9:9" x14ac:dyDescent="0.25">
      <c r="I3170">
        <f t="shared" si="50"/>
        <v>1900</v>
      </c>
    </row>
    <row r="3171" spans="9:9" x14ac:dyDescent="0.25">
      <c r="I3171">
        <f t="shared" si="50"/>
        <v>1900</v>
      </c>
    </row>
    <row r="3172" spans="9:9" x14ac:dyDescent="0.25">
      <c r="I3172">
        <f t="shared" si="50"/>
        <v>1900</v>
      </c>
    </row>
    <row r="3173" spans="9:9" x14ac:dyDescent="0.25">
      <c r="I3173">
        <f t="shared" si="50"/>
        <v>1900</v>
      </c>
    </row>
    <row r="3174" spans="9:9" x14ac:dyDescent="0.25">
      <c r="I3174">
        <f t="shared" si="50"/>
        <v>1900</v>
      </c>
    </row>
    <row r="3175" spans="9:9" x14ac:dyDescent="0.25">
      <c r="I3175">
        <f t="shared" si="50"/>
        <v>1900</v>
      </c>
    </row>
    <row r="3176" spans="9:9" x14ac:dyDescent="0.25">
      <c r="I3176">
        <f t="shared" si="50"/>
        <v>1900</v>
      </c>
    </row>
    <row r="3177" spans="9:9" x14ac:dyDescent="0.25">
      <c r="I3177">
        <f t="shared" si="50"/>
        <v>1900</v>
      </c>
    </row>
    <row r="3178" spans="9:9" x14ac:dyDescent="0.25">
      <c r="I3178">
        <f t="shared" si="50"/>
        <v>1900</v>
      </c>
    </row>
    <row r="3179" spans="9:9" x14ac:dyDescent="0.25">
      <c r="I3179">
        <f t="shared" si="50"/>
        <v>1900</v>
      </c>
    </row>
    <row r="3180" spans="9:9" x14ac:dyDescent="0.25">
      <c r="I3180">
        <f t="shared" si="50"/>
        <v>1900</v>
      </c>
    </row>
    <row r="3181" spans="9:9" x14ac:dyDescent="0.25">
      <c r="I3181">
        <f t="shared" si="50"/>
        <v>1900</v>
      </c>
    </row>
    <row r="3182" spans="9:9" x14ac:dyDescent="0.25">
      <c r="I3182">
        <f t="shared" si="50"/>
        <v>1900</v>
      </c>
    </row>
    <row r="3183" spans="9:9" x14ac:dyDescent="0.25">
      <c r="I3183">
        <f t="shared" si="50"/>
        <v>1900</v>
      </c>
    </row>
    <row r="3184" spans="9:9" x14ac:dyDescent="0.25">
      <c r="I3184">
        <f t="shared" si="50"/>
        <v>1900</v>
      </c>
    </row>
    <row r="3185" spans="9:9" x14ac:dyDescent="0.25">
      <c r="I3185">
        <f t="shared" si="50"/>
        <v>1900</v>
      </c>
    </row>
    <row r="3186" spans="9:9" x14ac:dyDescent="0.25">
      <c r="I3186">
        <f t="shared" si="50"/>
        <v>1900</v>
      </c>
    </row>
    <row r="3187" spans="9:9" x14ac:dyDescent="0.25">
      <c r="I3187">
        <f t="shared" si="50"/>
        <v>1900</v>
      </c>
    </row>
    <row r="3188" spans="9:9" x14ac:dyDescent="0.25">
      <c r="I3188">
        <f t="shared" si="50"/>
        <v>1900</v>
      </c>
    </row>
    <row r="3189" spans="9:9" x14ac:dyDescent="0.25">
      <c r="I3189">
        <f t="shared" si="50"/>
        <v>1900</v>
      </c>
    </row>
    <row r="3190" spans="9:9" x14ac:dyDescent="0.25">
      <c r="I3190">
        <f t="shared" si="50"/>
        <v>1900</v>
      </c>
    </row>
    <row r="3191" spans="9:9" x14ac:dyDescent="0.25">
      <c r="I3191">
        <f t="shared" si="50"/>
        <v>1900</v>
      </c>
    </row>
    <row r="3192" spans="9:9" x14ac:dyDescent="0.25">
      <c r="I3192">
        <f t="shared" si="50"/>
        <v>1900</v>
      </c>
    </row>
    <row r="3193" spans="9:9" x14ac:dyDescent="0.25">
      <c r="I3193">
        <f t="shared" si="50"/>
        <v>1900</v>
      </c>
    </row>
    <row r="3194" spans="9:9" x14ac:dyDescent="0.25">
      <c r="I3194">
        <f t="shared" si="50"/>
        <v>1900</v>
      </c>
    </row>
    <row r="3195" spans="9:9" x14ac:dyDescent="0.25">
      <c r="I3195">
        <f t="shared" si="50"/>
        <v>1900</v>
      </c>
    </row>
    <row r="3196" spans="9:9" x14ac:dyDescent="0.25">
      <c r="I3196">
        <f t="shared" si="50"/>
        <v>1900</v>
      </c>
    </row>
    <row r="3197" spans="9:9" x14ac:dyDescent="0.25">
      <c r="I3197">
        <f t="shared" si="50"/>
        <v>1900</v>
      </c>
    </row>
    <row r="3198" spans="9:9" x14ac:dyDescent="0.25">
      <c r="I3198">
        <f t="shared" si="50"/>
        <v>1900</v>
      </c>
    </row>
    <row r="3199" spans="9:9" x14ac:dyDescent="0.25">
      <c r="I3199">
        <f t="shared" si="50"/>
        <v>1900</v>
      </c>
    </row>
    <row r="3200" spans="9:9" x14ac:dyDescent="0.25">
      <c r="I3200">
        <f t="shared" si="50"/>
        <v>1900</v>
      </c>
    </row>
    <row r="3201" spans="9:9" x14ac:dyDescent="0.25">
      <c r="I3201">
        <f t="shared" si="50"/>
        <v>1900</v>
      </c>
    </row>
    <row r="3202" spans="9:9" x14ac:dyDescent="0.25">
      <c r="I3202">
        <f t="shared" si="50"/>
        <v>1900</v>
      </c>
    </row>
    <row r="3203" spans="9:9" x14ac:dyDescent="0.25">
      <c r="I3203">
        <f t="shared" si="50"/>
        <v>1900</v>
      </c>
    </row>
    <row r="3204" spans="9:9" x14ac:dyDescent="0.25">
      <c r="I3204">
        <f t="shared" ref="I3204:I3267" si="51">IFERROR(YEAR(E3204),"")</f>
        <v>1900</v>
      </c>
    </row>
    <row r="3205" spans="9:9" x14ac:dyDescent="0.25">
      <c r="I3205">
        <f t="shared" si="51"/>
        <v>1900</v>
      </c>
    </row>
    <row r="3206" spans="9:9" x14ac:dyDescent="0.25">
      <c r="I3206">
        <f t="shared" si="51"/>
        <v>1900</v>
      </c>
    </row>
    <row r="3207" spans="9:9" x14ac:dyDescent="0.25">
      <c r="I3207">
        <f t="shared" si="51"/>
        <v>1900</v>
      </c>
    </row>
    <row r="3208" spans="9:9" x14ac:dyDescent="0.25">
      <c r="I3208">
        <f t="shared" si="51"/>
        <v>1900</v>
      </c>
    </row>
    <row r="3209" spans="9:9" x14ac:dyDescent="0.25">
      <c r="I3209">
        <f t="shared" si="51"/>
        <v>1900</v>
      </c>
    </row>
    <row r="3210" spans="9:9" x14ac:dyDescent="0.25">
      <c r="I3210">
        <f t="shared" si="51"/>
        <v>1900</v>
      </c>
    </row>
    <row r="3211" spans="9:9" x14ac:dyDescent="0.25">
      <c r="I3211">
        <f t="shared" si="51"/>
        <v>1900</v>
      </c>
    </row>
    <row r="3212" spans="9:9" x14ac:dyDescent="0.25">
      <c r="I3212">
        <f t="shared" si="51"/>
        <v>1900</v>
      </c>
    </row>
    <row r="3213" spans="9:9" x14ac:dyDescent="0.25">
      <c r="I3213">
        <f t="shared" si="51"/>
        <v>1900</v>
      </c>
    </row>
    <row r="3214" spans="9:9" x14ac:dyDescent="0.25">
      <c r="I3214">
        <f t="shared" si="51"/>
        <v>1900</v>
      </c>
    </row>
    <row r="3215" spans="9:9" x14ac:dyDescent="0.25">
      <c r="I3215">
        <f t="shared" si="51"/>
        <v>1900</v>
      </c>
    </row>
    <row r="3216" spans="9:9" x14ac:dyDescent="0.25">
      <c r="I3216">
        <f t="shared" si="51"/>
        <v>1900</v>
      </c>
    </row>
    <row r="3217" spans="9:9" x14ac:dyDescent="0.25">
      <c r="I3217">
        <f t="shared" si="51"/>
        <v>1900</v>
      </c>
    </row>
    <row r="3218" spans="9:9" x14ac:dyDescent="0.25">
      <c r="I3218">
        <f t="shared" si="51"/>
        <v>1900</v>
      </c>
    </row>
    <row r="3219" spans="9:9" x14ac:dyDescent="0.25">
      <c r="I3219">
        <f t="shared" si="51"/>
        <v>1900</v>
      </c>
    </row>
    <row r="3220" spans="9:9" x14ac:dyDescent="0.25">
      <c r="I3220">
        <f t="shared" si="51"/>
        <v>1900</v>
      </c>
    </row>
    <row r="3221" spans="9:9" x14ac:dyDescent="0.25">
      <c r="I3221">
        <f t="shared" si="51"/>
        <v>1900</v>
      </c>
    </row>
    <row r="3222" spans="9:9" x14ac:dyDescent="0.25">
      <c r="I3222">
        <f t="shared" si="51"/>
        <v>1900</v>
      </c>
    </row>
    <row r="3223" spans="9:9" x14ac:dyDescent="0.25">
      <c r="I3223">
        <f t="shared" si="51"/>
        <v>1900</v>
      </c>
    </row>
    <row r="3224" spans="9:9" x14ac:dyDescent="0.25">
      <c r="I3224">
        <f t="shared" si="51"/>
        <v>1900</v>
      </c>
    </row>
    <row r="3225" spans="9:9" x14ac:dyDescent="0.25">
      <c r="I3225">
        <f t="shared" si="51"/>
        <v>1900</v>
      </c>
    </row>
    <row r="3226" spans="9:9" x14ac:dyDescent="0.25">
      <c r="I3226">
        <f t="shared" si="51"/>
        <v>1900</v>
      </c>
    </row>
    <row r="3227" spans="9:9" x14ac:dyDescent="0.25">
      <c r="I3227">
        <f t="shared" si="51"/>
        <v>1900</v>
      </c>
    </row>
    <row r="3228" spans="9:9" x14ac:dyDescent="0.25">
      <c r="I3228">
        <f t="shared" si="51"/>
        <v>1900</v>
      </c>
    </row>
    <row r="3229" spans="9:9" x14ac:dyDescent="0.25">
      <c r="I3229">
        <f t="shared" si="51"/>
        <v>1900</v>
      </c>
    </row>
    <row r="3230" spans="9:9" x14ac:dyDescent="0.25">
      <c r="I3230">
        <f t="shared" si="51"/>
        <v>1900</v>
      </c>
    </row>
    <row r="3231" spans="9:9" x14ac:dyDescent="0.25">
      <c r="I3231">
        <f t="shared" si="51"/>
        <v>1900</v>
      </c>
    </row>
    <row r="3232" spans="9:9" x14ac:dyDescent="0.25">
      <c r="I3232">
        <f t="shared" si="51"/>
        <v>1900</v>
      </c>
    </row>
    <row r="3233" spans="9:9" x14ac:dyDescent="0.25">
      <c r="I3233">
        <f t="shared" si="51"/>
        <v>1900</v>
      </c>
    </row>
    <row r="3234" spans="9:9" x14ac:dyDescent="0.25">
      <c r="I3234">
        <f t="shared" si="51"/>
        <v>1900</v>
      </c>
    </row>
    <row r="3235" spans="9:9" x14ac:dyDescent="0.25">
      <c r="I3235">
        <f t="shared" si="51"/>
        <v>1900</v>
      </c>
    </row>
    <row r="3236" spans="9:9" x14ac:dyDescent="0.25">
      <c r="I3236">
        <f t="shared" si="51"/>
        <v>1900</v>
      </c>
    </row>
    <row r="3237" spans="9:9" x14ac:dyDescent="0.25">
      <c r="I3237">
        <f t="shared" si="51"/>
        <v>1900</v>
      </c>
    </row>
    <row r="3238" spans="9:9" x14ac:dyDescent="0.25">
      <c r="I3238">
        <f t="shared" si="51"/>
        <v>1900</v>
      </c>
    </row>
    <row r="3239" spans="9:9" x14ac:dyDescent="0.25">
      <c r="I3239">
        <f t="shared" si="51"/>
        <v>1900</v>
      </c>
    </row>
    <row r="3240" spans="9:9" x14ac:dyDescent="0.25">
      <c r="I3240">
        <f t="shared" si="51"/>
        <v>1900</v>
      </c>
    </row>
    <row r="3241" spans="9:9" x14ac:dyDescent="0.25">
      <c r="I3241">
        <f t="shared" si="51"/>
        <v>1900</v>
      </c>
    </row>
    <row r="3242" spans="9:9" x14ac:dyDescent="0.25">
      <c r="I3242">
        <f t="shared" si="51"/>
        <v>1900</v>
      </c>
    </row>
    <row r="3243" spans="9:9" x14ac:dyDescent="0.25">
      <c r="I3243">
        <f t="shared" si="51"/>
        <v>1900</v>
      </c>
    </row>
    <row r="3244" spans="9:9" x14ac:dyDescent="0.25">
      <c r="I3244">
        <f t="shared" si="51"/>
        <v>1900</v>
      </c>
    </row>
    <row r="3245" spans="9:9" x14ac:dyDescent="0.25">
      <c r="I3245">
        <f t="shared" si="51"/>
        <v>1900</v>
      </c>
    </row>
    <row r="3246" spans="9:9" x14ac:dyDescent="0.25">
      <c r="I3246">
        <f t="shared" si="51"/>
        <v>1900</v>
      </c>
    </row>
    <row r="3247" spans="9:9" x14ac:dyDescent="0.25">
      <c r="I3247">
        <f t="shared" si="51"/>
        <v>1900</v>
      </c>
    </row>
    <row r="3248" spans="9:9" x14ac:dyDescent="0.25">
      <c r="I3248">
        <f t="shared" si="51"/>
        <v>1900</v>
      </c>
    </row>
    <row r="3249" spans="9:9" x14ac:dyDescent="0.25">
      <c r="I3249">
        <f t="shared" si="51"/>
        <v>1900</v>
      </c>
    </row>
    <row r="3250" spans="9:9" x14ac:dyDescent="0.25">
      <c r="I3250">
        <f t="shared" si="51"/>
        <v>1900</v>
      </c>
    </row>
    <row r="3251" spans="9:9" x14ac:dyDescent="0.25">
      <c r="I3251">
        <f t="shared" si="51"/>
        <v>1900</v>
      </c>
    </row>
    <row r="3252" spans="9:9" x14ac:dyDescent="0.25">
      <c r="I3252">
        <f t="shared" si="51"/>
        <v>1900</v>
      </c>
    </row>
    <row r="3253" spans="9:9" x14ac:dyDescent="0.25">
      <c r="I3253">
        <f t="shared" si="51"/>
        <v>1900</v>
      </c>
    </row>
    <row r="3254" spans="9:9" x14ac:dyDescent="0.25">
      <c r="I3254">
        <f t="shared" si="51"/>
        <v>1900</v>
      </c>
    </row>
    <row r="3255" spans="9:9" x14ac:dyDescent="0.25">
      <c r="I3255">
        <f t="shared" si="51"/>
        <v>1900</v>
      </c>
    </row>
    <row r="3256" spans="9:9" x14ac:dyDescent="0.25">
      <c r="I3256">
        <f t="shared" si="51"/>
        <v>1900</v>
      </c>
    </row>
    <row r="3257" spans="9:9" x14ac:dyDescent="0.25">
      <c r="I3257">
        <f t="shared" si="51"/>
        <v>1900</v>
      </c>
    </row>
    <row r="3258" spans="9:9" x14ac:dyDescent="0.25">
      <c r="I3258">
        <f t="shared" si="51"/>
        <v>1900</v>
      </c>
    </row>
    <row r="3259" spans="9:9" x14ac:dyDescent="0.25">
      <c r="I3259">
        <f t="shared" si="51"/>
        <v>1900</v>
      </c>
    </row>
    <row r="3260" spans="9:9" x14ac:dyDescent="0.25">
      <c r="I3260">
        <f t="shared" si="51"/>
        <v>1900</v>
      </c>
    </row>
    <row r="3261" spans="9:9" x14ac:dyDescent="0.25">
      <c r="I3261">
        <f t="shared" si="51"/>
        <v>1900</v>
      </c>
    </row>
    <row r="3262" spans="9:9" x14ac:dyDescent="0.25">
      <c r="I3262">
        <f t="shared" si="51"/>
        <v>1900</v>
      </c>
    </row>
    <row r="3263" spans="9:9" x14ac:dyDescent="0.25">
      <c r="I3263">
        <f t="shared" si="51"/>
        <v>1900</v>
      </c>
    </row>
    <row r="3264" spans="9:9" x14ac:dyDescent="0.25">
      <c r="I3264">
        <f t="shared" si="51"/>
        <v>1900</v>
      </c>
    </row>
    <row r="3265" spans="9:9" x14ac:dyDescent="0.25">
      <c r="I3265">
        <f t="shared" si="51"/>
        <v>1900</v>
      </c>
    </row>
    <row r="3266" spans="9:9" x14ac:dyDescent="0.25">
      <c r="I3266">
        <f t="shared" si="51"/>
        <v>1900</v>
      </c>
    </row>
    <row r="3267" spans="9:9" x14ac:dyDescent="0.25">
      <c r="I3267">
        <f t="shared" si="51"/>
        <v>1900</v>
      </c>
    </row>
    <row r="3268" spans="9:9" x14ac:dyDescent="0.25">
      <c r="I3268">
        <f t="shared" ref="I3268:I3331" si="52">IFERROR(YEAR(E3268),"")</f>
        <v>1900</v>
      </c>
    </row>
    <row r="3269" spans="9:9" x14ac:dyDescent="0.25">
      <c r="I3269">
        <f t="shared" si="52"/>
        <v>1900</v>
      </c>
    </row>
    <row r="3270" spans="9:9" x14ac:dyDescent="0.25">
      <c r="I3270">
        <f t="shared" si="52"/>
        <v>1900</v>
      </c>
    </row>
    <row r="3271" spans="9:9" x14ac:dyDescent="0.25">
      <c r="I3271">
        <f t="shared" si="52"/>
        <v>1900</v>
      </c>
    </row>
    <row r="3272" spans="9:9" x14ac:dyDescent="0.25">
      <c r="I3272">
        <f t="shared" si="52"/>
        <v>1900</v>
      </c>
    </row>
    <row r="3273" spans="9:9" x14ac:dyDescent="0.25">
      <c r="I3273">
        <f t="shared" si="52"/>
        <v>1900</v>
      </c>
    </row>
    <row r="3274" spans="9:9" x14ac:dyDescent="0.25">
      <c r="I3274">
        <f t="shared" si="52"/>
        <v>1900</v>
      </c>
    </row>
    <row r="3275" spans="9:9" x14ac:dyDescent="0.25">
      <c r="I3275">
        <f t="shared" si="52"/>
        <v>1900</v>
      </c>
    </row>
    <row r="3276" spans="9:9" x14ac:dyDescent="0.25">
      <c r="I3276">
        <f t="shared" si="52"/>
        <v>1900</v>
      </c>
    </row>
    <row r="3277" spans="9:9" x14ac:dyDescent="0.25">
      <c r="I3277">
        <f t="shared" si="52"/>
        <v>1900</v>
      </c>
    </row>
    <row r="3278" spans="9:9" x14ac:dyDescent="0.25">
      <c r="I3278">
        <f t="shared" si="52"/>
        <v>1900</v>
      </c>
    </row>
    <row r="3279" spans="9:9" x14ac:dyDescent="0.25">
      <c r="I3279">
        <f t="shared" si="52"/>
        <v>1900</v>
      </c>
    </row>
    <row r="3280" spans="9:9" x14ac:dyDescent="0.25">
      <c r="I3280">
        <f t="shared" si="52"/>
        <v>1900</v>
      </c>
    </row>
    <row r="3281" spans="9:9" x14ac:dyDescent="0.25">
      <c r="I3281">
        <f t="shared" si="52"/>
        <v>1900</v>
      </c>
    </row>
    <row r="3282" spans="9:9" x14ac:dyDescent="0.25">
      <c r="I3282">
        <f t="shared" si="52"/>
        <v>1900</v>
      </c>
    </row>
    <row r="3283" spans="9:9" x14ac:dyDescent="0.25">
      <c r="I3283">
        <f t="shared" si="52"/>
        <v>1900</v>
      </c>
    </row>
    <row r="3284" spans="9:9" x14ac:dyDescent="0.25">
      <c r="I3284">
        <f t="shared" si="52"/>
        <v>1900</v>
      </c>
    </row>
    <row r="3285" spans="9:9" x14ac:dyDescent="0.25">
      <c r="I3285">
        <f t="shared" si="52"/>
        <v>1900</v>
      </c>
    </row>
    <row r="3286" spans="9:9" x14ac:dyDescent="0.25">
      <c r="I3286">
        <f t="shared" si="52"/>
        <v>1900</v>
      </c>
    </row>
    <row r="3287" spans="9:9" x14ac:dyDescent="0.25">
      <c r="I3287">
        <f t="shared" si="52"/>
        <v>1900</v>
      </c>
    </row>
    <row r="3288" spans="9:9" x14ac:dyDescent="0.25">
      <c r="I3288">
        <f t="shared" si="52"/>
        <v>1900</v>
      </c>
    </row>
    <row r="3289" spans="9:9" x14ac:dyDescent="0.25">
      <c r="I3289">
        <f t="shared" si="52"/>
        <v>1900</v>
      </c>
    </row>
    <row r="3290" spans="9:9" x14ac:dyDescent="0.25">
      <c r="I3290">
        <f t="shared" si="52"/>
        <v>1900</v>
      </c>
    </row>
    <row r="3291" spans="9:9" x14ac:dyDescent="0.25">
      <c r="I3291">
        <f t="shared" si="52"/>
        <v>1900</v>
      </c>
    </row>
    <row r="3292" spans="9:9" x14ac:dyDescent="0.25">
      <c r="I3292">
        <f t="shared" si="52"/>
        <v>1900</v>
      </c>
    </row>
    <row r="3293" spans="9:9" x14ac:dyDescent="0.25">
      <c r="I3293">
        <f t="shared" si="52"/>
        <v>1900</v>
      </c>
    </row>
    <row r="3294" spans="9:9" x14ac:dyDescent="0.25">
      <c r="I3294">
        <f t="shared" si="52"/>
        <v>1900</v>
      </c>
    </row>
    <row r="3295" spans="9:9" x14ac:dyDescent="0.25">
      <c r="I3295">
        <f t="shared" si="52"/>
        <v>1900</v>
      </c>
    </row>
    <row r="3296" spans="9:9" x14ac:dyDescent="0.25">
      <c r="I3296">
        <f t="shared" si="52"/>
        <v>1900</v>
      </c>
    </row>
    <row r="3297" spans="9:9" x14ac:dyDescent="0.25">
      <c r="I3297">
        <f t="shared" si="52"/>
        <v>1900</v>
      </c>
    </row>
    <row r="3298" spans="9:9" x14ac:dyDescent="0.25">
      <c r="I3298">
        <f t="shared" si="52"/>
        <v>1900</v>
      </c>
    </row>
    <row r="3299" spans="9:9" x14ac:dyDescent="0.25">
      <c r="I3299">
        <f t="shared" si="52"/>
        <v>1900</v>
      </c>
    </row>
    <row r="3300" spans="9:9" x14ac:dyDescent="0.25">
      <c r="I3300">
        <f t="shared" si="52"/>
        <v>1900</v>
      </c>
    </row>
    <row r="3301" spans="9:9" x14ac:dyDescent="0.25">
      <c r="I3301">
        <f t="shared" si="52"/>
        <v>1900</v>
      </c>
    </row>
    <row r="3302" spans="9:9" x14ac:dyDescent="0.25">
      <c r="I3302">
        <f t="shared" si="52"/>
        <v>1900</v>
      </c>
    </row>
    <row r="3303" spans="9:9" x14ac:dyDescent="0.25">
      <c r="I3303">
        <f t="shared" si="52"/>
        <v>1900</v>
      </c>
    </row>
    <row r="3304" spans="9:9" x14ac:dyDescent="0.25">
      <c r="I3304">
        <f t="shared" si="52"/>
        <v>1900</v>
      </c>
    </row>
    <row r="3305" spans="9:9" x14ac:dyDescent="0.25">
      <c r="I3305">
        <f t="shared" si="52"/>
        <v>1900</v>
      </c>
    </row>
    <row r="3306" spans="9:9" x14ac:dyDescent="0.25">
      <c r="I3306">
        <f t="shared" si="52"/>
        <v>1900</v>
      </c>
    </row>
    <row r="3307" spans="9:9" x14ac:dyDescent="0.25">
      <c r="I3307">
        <f t="shared" si="52"/>
        <v>1900</v>
      </c>
    </row>
    <row r="3308" spans="9:9" x14ac:dyDescent="0.25">
      <c r="I3308">
        <f t="shared" si="52"/>
        <v>1900</v>
      </c>
    </row>
    <row r="3309" spans="9:9" x14ac:dyDescent="0.25">
      <c r="I3309">
        <f t="shared" si="52"/>
        <v>1900</v>
      </c>
    </row>
    <row r="3310" spans="9:9" x14ac:dyDescent="0.25">
      <c r="I3310">
        <f t="shared" si="52"/>
        <v>1900</v>
      </c>
    </row>
    <row r="3311" spans="9:9" x14ac:dyDescent="0.25">
      <c r="I3311">
        <f t="shared" si="52"/>
        <v>1900</v>
      </c>
    </row>
    <row r="3312" spans="9:9" x14ac:dyDescent="0.25">
      <c r="I3312">
        <f t="shared" si="52"/>
        <v>1900</v>
      </c>
    </row>
    <row r="3313" spans="9:9" x14ac:dyDescent="0.25">
      <c r="I3313">
        <f t="shared" si="52"/>
        <v>1900</v>
      </c>
    </row>
    <row r="3314" spans="9:9" x14ac:dyDescent="0.25">
      <c r="I3314">
        <f t="shared" si="52"/>
        <v>1900</v>
      </c>
    </row>
    <row r="3315" spans="9:9" x14ac:dyDescent="0.25">
      <c r="I3315">
        <f t="shared" si="52"/>
        <v>1900</v>
      </c>
    </row>
    <row r="3316" spans="9:9" x14ac:dyDescent="0.25">
      <c r="I3316">
        <f t="shared" si="52"/>
        <v>1900</v>
      </c>
    </row>
    <row r="3317" spans="9:9" x14ac:dyDescent="0.25">
      <c r="I3317">
        <f t="shared" si="52"/>
        <v>1900</v>
      </c>
    </row>
    <row r="3318" spans="9:9" x14ac:dyDescent="0.25">
      <c r="I3318">
        <f t="shared" si="52"/>
        <v>1900</v>
      </c>
    </row>
    <row r="3319" spans="9:9" x14ac:dyDescent="0.25">
      <c r="I3319">
        <f t="shared" si="52"/>
        <v>1900</v>
      </c>
    </row>
    <row r="3320" spans="9:9" x14ac:dyDescent="0.25">
      <c r="I3320">
        <f t="shared" si="52"/>
        <v>1900</v>
      </c>
    </row>
    <row r="3321" spans="9:9" x14ac:dyDescent="0.25">
      <c r="I3321">
        <f t="shared" si="52"/>
        <v>1900</v>
      </c>
    </row>
    <row r="3322" spans="9:9" x14ac:dyDescent="0.25">
      <c r="I3322">
        <f t="shared" si="52"/>
        <v>1900</v>
      </c>
    </row>
    <row r="3323" spans="9:9" x14ac:dyDescent="0.25">
      <c r="I3323">
        <f t="shared" si="52"/>
        <v>1900</v>
      </c>
    </row>
    <row r="3324" spans="9:9" x14ac:dyDescent="0.25">
      <c r="I3324">
        <f t="shared" si="52"/>
        <v>1900</v>
      </c>
    </row>
    <row r="3325" spans="9:9" x14ac:dyDescent="0.25">
      <c r="I3325">
        <f t="shared" si="52"/>
        <v>1900</v>
      </c>
    </row>
    <row r="3326" spans="9:9" x14ac:dyDescent="0.25">
      <c r="I3326">
        <f t="shared" si="52"/>
        <v>1900</v>
      </c>
    </row>
    <row r="3327" spans="9:9" x14ac:dyDescent="0.25">
      <c r="I3327">
        <f t="shared" si="52"/>
        <v>1900</v>
      </c>
    </row>
    <row r="3328" spans="9:9" x14ac:dyDescent="0.25">
      <c r="I3328">
        <f t="shared" si="52"/>
        <v>1900</v>
      </c>
    </row>
    <row r="3329" spans="9:9" x14ac:dyDescent="0.25">
      <c r="I3329">
        <f t="shared" si="52"/>
        <v>1900</v>
      </c>
    </row>
    <row r="3330" spans="9:9" x14ac:dyDescent="0.25">
      <c r="I3330">
        <f t="shared" si="52"/>
        <v>1900</v>
      </c>
    </row>
    <row r="3331" spans="9:9" x14ac:dyDescent="0.25">
      <c r="I3331">
        <f t="shared" si="52"/>
        <v>1900</v>
      </c>
    </row>
    <row r="3332" spans="9:9" x14ac:dyDescent="0.25">
      <c r="I3332">
        <f t="shared" ref="I3332:I3395" si="53">IFERROR(YEAR(E3332),"")</f>
        <v>1900</v>
      </c>
    </row>
    <row r="3333" spans="9:9" x14ac:dyDescent="0.25">
      <c r="I3333">
        <f t="shared" si="53"/>
        <v>1900</v>
      </c>
    </row>
    <row r="3334" spans="9:9" x14ac:dyDescent="0.25">
      <c r="I3334">
        <f t="shared" si="53"/>
        <v>1900</v>
      </c>
    </row>
    <row r="3335" spans="9:9" x14ac:dyDescent="0.25">
      <c r="I3335">
        <f t="shared" si="53"/>
        <v>1900</v>
      </c>
    </row>
    <row r="3336" spans="9:9" x14ac:dyDescent="0.25">
      <c r="I3336">
        <f t="shared" si="53"/>
        <v>1900</v>
      </c>
    </row>
    <row r="3337" spans="9:9" x14ac:dyDescent="0.25">
      <c r="I3337">
        <f t="shared" si="53"/>
        <v>1900</v>
      </c>
    </row>
    <row r="3338" spans="9:9" x14ac:dyDescent="0.25">
      <c r="I3338">
        <f t="shared" si="53"/>
        <v>1900</v>
      </c>
    </row>
    <row r="3339" spans="9:9" x14ac:dyDescent="0.25">
      <c r="I3339">
        <f t="shared" si="53"/>
        <v>1900</v>
      </c>
    </row>
    <row r="3340" spans="9:9" x14ac:dyDescent="0.25">
      <c r="I3340">
        <f t="shared" si="53"/>
        <v>1900</v>
      </c>
    </row>
    <row r="3341" spans="9:9" x14ac:dyDescent="0.25">
      <c r="I3341">
        <f t="shared" si="53"/>
        <v>1900</v>
      </c>
    </row>
    <row r="3342" spans="9:9" x14ac:dyDescent="0.25">
      <c r="I3342">
        <f t="shared" si="53"/>
        <v>1900</v>
      </c>
    </row>
    <row r="3343" spans="9:9" x14ac:dyDescent="0.25">
      <c r="I3343">
        <f t="shared" si="53"/>
        <v>1900</v>
      </c>
    </row>
    <row r="3344" spans="9:9" x14ac:dyDescent="0.25">
      <c r="I3344">
        <f t="shared" si="53"/>
        <v>1900</v>
      </c>
    </row>
    <row r="3345" spans="9:9" x14ac:dyDescent="0.25">
      <c r="I3345">
        <f t="shared" si="53"/>
        <v>1900</v>
      </c>
    </row>
    <row r="3346" spans="9:9" x14ac:dyDescent="0.25">
      <c r="I3346">
        <f t="shared" si="53"/>
        <v>1900</v>
      </c>
    </row>
    <row r="3347" spans="9:9" x14ac:dyDescent="0.25">
      <c r="I3347">
        <f t="shared" si="53"/>
        <v>1900</v>
      </c>
    </row>
    <row r="3348" spans="9:9" x14ac:dyDescent="0.25">
      <c r="I3348">
        <f t="shared" si="53"/>
        <v>1900</v>
      </c>
    </row>
    <row r="3349" spans="9:9" x14ac:dyDescent="0.25">
      <c r="I3349">
        <f t="shared" si="53"/>
        <v>1900</v>
      </c>
    </row>
    <row r="3350" spans="9:9" x14ac:dyDescent="0.25">
      <c r="I3350">
        <f t="shared" si="53"/>
        <v>1900</v>
      </c>
    </row>
    <row r="3351" spans="9:9" x14ac:dyDescent="0.25">
      <c r="I3351">
        <f t="shared" si="53"/>
        <v>1900</v>
      </c>
    </row>
    <row r="3352" spans="9:9" x14ac:dyDescent="0.25">
      <c r="I3352">
        <f t="shared" si="53"/>
        <v>1900</v>
      </c>
    </row>
    <row r="3353" spans="9:9" x14ac:dyDescent="0.25">
      <c r="I3353">
        <f t="shared" si="53"/>
        <v>1900</v>
      </c>
    </row>
    <row r="3354" spans="9:9" x14ac:dyDescent="0.25">
      <c r="I3354">
        <f t="shared" si="53"/>
        <v>1900</v>
      </c>
    </row>
    <row r="3355" spans="9:9" x14ac:dyDescent="0.25">
      <c r="I3355">
        <f t="shared" si="53"/>
        <v>1900</v>
      </c>
    </row>
    <row r="3356" spans="9:9" x14ac:dyDescent="0.25">
      <c r="I3356">
        <f t="shared" si="53"/>
        <v>1900</v>
      </c>
    </row>
    <row r="3357" spans="9:9" x14ac:dyDescent="0.25">
      <c r="I3357">
        <f t="shared" si="53"/>
        <v>1900</v>
      </c>
    </row>
    <row r="3358" spans="9:9" x14ac:dyDescent="0.25">
      <c r="I3358">
        <f t="shared" si="53"/>
        <v>1900</v>
      </c>
    </row>
    <row r="3359" spans="9:9" x14ac:dyDescent="0.25">
      <c r="I3359">
        <f t="shared" si="53"/>
        <v>1900</v>
      </c>
    </row>
    <row r="3360" spans="9:9" x14ac:dyDescent="0.25">
      <c r="I3360">
        <f t="shared" si="53"/>
        <v>1900</v>
      </c>
    </row>
    <row r="3361" spans="9:9" x14ac:dyDescent="0.25">
      <c r="I3361">
        <f t="shared" si="53"/>
        <v>1900</v>
      </c>
    </row>
    <row r="3362" spans="9:9" x14ac:dyDescent="0.25">
      <c r="I3362">
        <f t="shared" si="53"/>
        <v>1900</v>
      </c>
    </row>
    <row r="3363" spans="9:9" x14ac:dyDescent="0.25">
      <c r="I3363">
        <f t="shared" si="53"/>
        <v>1900</v>
      </c>
    </row>
    <row r="3364" spans="9:9" x14ac:dyDescent="0.25">
      <c r="I3364">
        <f t="shared" si="53"/>
        <v>1900</v>
      </c>
    </row>
    <row r="3365" spans="9:9" x14ac:dyDescent="0.25">
      <c r="I3365">
        <f t="shared" si="53"/>
        <v>1900</v>
      </c>
    </row>
    <row r="3366" spans="9:9" x14ac:dyDescent="0.25">
      <c r="I3366">
        <f t="shared" si="53"/>
        <v>1900</v>
      </c>
    </row>
    <row r="3367" spans="9:9" x14ac:dyDescent="0.25">
      <c r="I3367">
        <f t="shared" si="53"/>
        <v>1900</v>
      </c>
    </row>
    <row r="3368" spans="9:9" x14ac:dyDescent="0.25">
      <c r="I3368">
        <f t="shared" si="53"/>
        <v>1900</v>
      </c>
    </row>
    <row r="3369" spans="9:9" x14ac:dyDescent="0.25">
      <c r="I3369">
        <f t="shared" si="53"/>
        <v>1900</v>
      </c>
    </row>
    <row r="3370" spans="9:9" x14ac:dyDescent="0.25">
      <c r="I3370">
        <f t="shared" si="53"/>
        <v>1900</v>
      </c>
    </row>
    <row r="3371" spans="9:9" x14ac:dyDescent="0.25">
      <c r="I3371">
        <f t="shared" si="53"/>
        <v>1900</v>
      </c>
    </row>
    <row r="3372" spans="9:9" x14ac:dyDescent="0.25">
      <c r="I3372">
        <f t="shared" si="53"/>
        <v>1900</v>
      </c>
    </row>
    <row r="3373" spans="9:9" x14ac:dyDescent="0.25">
      <c r="I3373">
        <f t="shared" si="53"/>
        <v>1900</v>
      </c>
    </row>
    <row r="3374" spans="9:9" x14ac:dyDescent="0.25">
      <c r="I3374">
        <f t="shared" si="53"/>
        <v>1900</v>
      </c>
    </row>
    <row r="3375" spans="9:9" x14ac:dyDescent="0.25">
      <c r="I3375">
        <f t="shared" si="53"/>
        <v>1900</v>
      </c>
    </row>
    <row r="3376" spans="9:9" x14ac:dyDescent="0.25">
      <c r="I3376">
        <f t="shared" si="53"/>
        <v>1900</v>
      </c>
    </row>
    <row r="3377" spans="9:9" x14ac:dyDescent="0.25">
      <c r="I3377">
        <f t="shared" si="53"/>
        <v>1900</v>
      </c>
    </row>
    <row r="3378" spans="9:9" x14ac:dyDescent="0.25">
      <c r="I3378">
        <f t="shared" si="53"/>
        <v>1900</v>
      </c>
    </row>
    <row r="3379" spans="9:9" x14ac:dyDescent="0.25">
      <c r="I3379">
        <f t="shared" si="53"/>
        <v>1900</v>
      </c>
    </row>
    <row r="3380" spans="9:9" x14ac:dyDescent="0.25">
      <c r="I3380">
        <f t="shared" si="53"/>
        <v>1900</v>
      </c>
    </row>
    <row r="3381" spans="9:9" x14ac:dyDescent="0.25">
      <c r="I3381">
        <f t="shared" si="53"/>
        <v>1900</v>
      </c>
    </row>
    <row r="3382" spans="9:9" x14ac:dyDescent="0.25">
      <c r="I3382">
        <f t="shared" si="53"/>
        <v>1900</v>
      </c>
    </row>
    <row r="3383" spans="9:9" x14ac:dyDescent="0.25">
      <c r="I3383">
        <f t="shared" si="53"/>
        <v>1900</v>
      </c>
    </row>
    <row r="3384" spans="9:9" x14ac:dyDescent="0.25">
      <c r="I3384">
        <f t="shared" si="53"/>
        <v>1900</v>
      </c>
    </row>
    <row r="3385" spans="9:9" x14ac:dyDescent="0.25">
      <c r="I3385">
        <f t="shared" si="53"/>
        <v>1900</v>
      </c>
    </row>
    <row r="3386" spans="9:9" x14ac:dyDescent="0.25">
      <c r="I3386">
        <f t="shared" si="53"/>
        <v>1900</v>
      </c>
    </row>
    <row r="3387" spans="9:9" x14ac:dyDescent="0.25">
      <c r="I3387">
        <f t="shared" si="53"/>
        <v>1900</v>
      </c>
    </row>
    <row r="3388" spans="9:9" x14ac:dyDescent="0.25">
      <c r="I3388">
        <f t="shared" si="53"/>
        <v>1900</v>
      </c>
    </row>
    <row r="3389" spans="9:9" x14ac:dyDescent="0.25">
      <c r="I3389">
        <f t="shared" si="53"/>
        <v>1900</v>
      </c>
    </row>
    <row r="3390" spans="9:9" x14ac:dyDescent="0.25">
      <c r="I3390">
        <f t="shared" si="53"/>
        <v>1900</v>
      </c>
    </row>
    <row r="3391" spans="9:9" x14ac:dyDescent="0.25">
      <c r="I3391">
        <f t="shared" si="53"/>
        <v>1900</v>
      </c>
    </row>
    <row r="3392" spans="9:9" x14ac:dyDescent="0.25">
      <c r="I3392">
        <f t="shared" si="53"/>
        <v>1900</v>
      </c>
    </row>
    <row r="3393" spans="9:9" x14ac:dyDescent="0.25">
      <c r="I3393">
        <f t="shared" si="53"/>
        <v>1900</v>
      </c>
    </row>
    <row r="3394" spans="9:9" x14ac:dyDescent="0.25">
      <c r="I3394">
        <f t="shared" si="53"/>
        <v>1900</v>
      </c>
    </row>
    <row r="3395" spans="9:9" x14ac:dyDescent="0.25">
      <c r="I3395">
        <f t="shared" si="53"/>
        <v>1900</v>
      </c>
    </row>
    <row r="3396" spans="9:9" x14ac:dyDescent="0.25">
      <c r="I3396">
        <f t="shared" ref="I3396:I3459" si="54">IFERROR(YEAR(E3396),"")</f>
        <v>1900</v>
      </c>
    </row>
    <row r="3397" spans="9:9" x14ac:dyDescent="0.25">
      <c r="I3397">
        <f t="shared" si="54"/>
        <v>1900</v>
      </c>
    </row>
    <row r="3398" spans="9:9" x14ac:dyDescent="0.25">
      <c r="I3398">
        <f t="shared" si="54"/>
        <v>1900</v>
      </c>
    </row>
    <row r="3399" spans="9:9" x14ac:dyDescent="0.25">
      <c r="I3399">
        <f t="shared" si="54"/>
        <v>1900</v>
      </c>
    </row>
    <row r="3400" spans="9:9" x14ac:dyDescent="0.25">
      <c r="I3400">
        <f t="shared" si="54"/>
        <v>1900</v>
      </c>
    </row>
    <row r="3401" spans="9:9" x14ac:dyDescent="0.25">
      <c r="I3401">
        <f t="shared" si="54"/>
        <v>1900</v>
      </c>
    </row>
    <row r="3402" spans="9:9" x14ac:dyDescent="0.25">
      <c r="I3402">
        <f t="shared" si="54"/>
        <v>1900</v>
      </c>
    </row>
    <row r="3403" spans="9:9" x14ac:dyDescent="0.25">
      <c r="I3403">
        <f t="shared" si="54"/>
        <v>1900</v>
      </c>
    </row>
    <row r="3404" spans="9:9" x14ac:dyDescent="0.25">
      <c r="I3404">
        <f t="shared" si="54"/>
        <v>1900</v>
      </c>
    </row>
    <row r="3405" spans="9:9" x14ac:dyDescent="0.25">
      <c r="I3405">
        <f t="shared" si="54"/>
        <v>1900</v>
      </c>
    </row>
    <row r="3406" spans="9:9" x14ac:dyDescent="0.25">
      <c r="I3406">
        <f t="shared" si="54"/>
        <v>1900</v>
      </c>
    </row>
    <row r="3407" spans="9:9" x14ac:dyDescent="0.25">
      <c r="I3407">
        <f t="shared" si="54"/>
        <v>1900</v>
      </c>
    </row>
    <row r="3408" spans="9:9" x14ac:dyDescent="0.25">
      <c r="I3408">
        <f t="shared" si="54"/>
        <v>1900</v>
      </c>
    </row>
    <row r="3409" spans="9:9" x14ac:dyDescent="0.25">
      <c r="I3409">
        <f t="shared" si="54"/>
        <v>1900</v>
      </c>
    </row>
    <row r="3410" spans="9:9" x14ac:dyDescent="0.25">
      <c r="I3410">
        <f t="shared" si="54"/>
        <v>1900</v>
      </c>
    </row>
    <row r="3411" spans="9:9" x14ac:dyDescent="0.25">
      <c r="I3411">
        <f t="shared" si="54"/>
        <v>1900</v>
      </c>
    </row>
    <row r="3412" spans="9:9" x14ac:dyDescent="0.25">
      <c r="I3412">
        <f t="shared" si="54"/>
        <v>1900</v>
      </c>
    </row>
    <row r="3413" spans="9:9" x14ac:dyDescent="0.25">
      <c r="I3413">
        <f t="shared" si="54"/>
        <v>1900</v>
      </c>
    </row>
    <row r="3414" spans="9:9" x14ac:dyDescent="0.25">
      <c r="I3414">
        <f t="shared" si="54"/>
        <v>1900</v>
      </c>
    </row>
    <row r="3415" spans="9:9" x14ac:dyDescent="0.25">
      <c r="I3415">
        <f t="shared" si="54"/>
        <v>1900</v>
      </c>
    </row>
    <row r="3416" spans="9:9" x14ac:dyDescent="0.25">
      <c r="I3416">
        <f t="shared" si="54"/>
        <v>1900</v>
      </c>
    </row>
    <row r="3417" spans="9:9" x14ac:dyDescent="0.25">
      <c r="I3417">
        <f t="shared" si="54"/>
        <v>1900</v>
      </c>
    </row>
    <row r="3418" spans="9:9" x14ac:dyDescent="0.25">
      <c r="I3418">
        <f t="shared" si="54"/>
        <v>1900</v>
      </c>
    </row>
    <row r="3419" spans="9:9" x14ac:dyDescent="0.25">
      <c r="I3419">
        <f t="shared" si="54"/>
        <v>1900</v>
      </c>
    </row>
    <row r="3420" spans="9:9" x14ac:dyDescent="0.25">
      <c r="I3420">
        <f t="shared" si="54"/>
        <v>1900</v>
      </c>
    </row>
    <row r="3421" spans="9:9" x14ac:dyDescent="0.25">
      <c r="I3421">
        <f t="shared" si="54"/>
        <v>1900</v>
      </c>
    </row>
    <row r="3422" spans="9:9" x14ac:dyDescent="0.25">
      <c r="I3422">
        <f t="shared" si="54"/>
        <v>1900</v>
      </c>
    </row>
    <row r="3423" spans="9:9" x14ac:dyDescent="0.25">
      <c r="I3423">
        <f t="shared" si="54"/>
        <v>1900</v>
      </c>
    </row>
    <row r="3424" spans="9:9" x14ac:dyDescent="0.25">
      <c r="I3424">
        <f t="shared" si="54"/>
        <v>1900</v>
      </c>
    </row>
    <row r="3425" spans="9:9" x14ac:dyDescent="0.25">
      <c r="I3425">
        <f t="shared" si="54"/>
        <v>1900</v>
      </c>
    </row>
    <row r="3426" spans="9:9" x14ac:dyDescent="0.25">
      <c r="I3426">
        <f t="shared" si="54"/>
        <v>1900</v>
      </c>
    </row>
    <row r="3427" spans="9:9" x14ac:dyDescent="0.25">
      <c r="I3427">
        <f t="shared" si="54"/>
        <v>1900</v>
      </c>
    </row>
    <row r="3428" spans="9:9" x14ac:dyDescent="0.25">
      <c r="I3428">
        <f t="shared" si="54"/>
        <v>1900</v>
      </c>
    </row>
    <row r="3429" spans="9:9" x14ac:dyDescent="0.25">
      <c r="I3429">
        <f t="shared" si="54"/>
        <v>1900</v>
      </c>
    </row>
    <row r="3430" spans="9:9" x14ac:dyDescent="0.25">
      <c r="I3430">
        <f t="shared" si="54"/>
        <v>1900</v>
      </c>
    </row>
    <row r="3431" spans="9:9" x14ac:dyDescent="0.25">
      <c r="I3431">
        <f t="shared" si="54"/>
        <v>1900</v>
      </c>
    </row>
    <row r="3432" spans="9:9" x14ac:dyDescent="0.25">
      <c r="I3432">
        <f t="shared" si="54"/>
        <v>1900</v>
      </c>
    </row>
    <row r="3433" spans="9:9" x14ac:dyDescent="0.25">
      <c r="I3433">
        <f t="shared" si="54"/>
        <v>1900</v>
      </c>
    </row>
    <row r="3434" spans="9:9" x14ac:dyDescent="0.25">
      <c r="I3434">
        <f t="shared" si="54"/>
        <v>1900</v>
      </c>
    </row>
    <row r="3435" spans="9:9" x14ac:dyDescent="0.25">
      <c r="I3435">
        <f t="shared" si="54"/>
        <v>1900</v>
      </c>
    </row>
    <row r="3436" spans="9:9" x14ac:dyDescent="0.25">
      <c r="I3436">
        <f t="shared" si="54"/>
        <v>1900</v>
      </c>
    </row>
    <row r="3437" spans="9:9" x14ac:dyDescent="0.25">
      <c r="I3437">
        <f t="shared" si="54"/>
        <v>1900</v>
      </c>
    </row>
    <row r="3438" spans="9:9" x14ac:dyDescent="0.25">
      <c r="I3438">
        <f t="shared" si="54"/>
        <v>1900</v>
      </c>
    </row>
    <row r="3439" spans="9:9" x14ac:dyDescent="0.25">
      <c r="I3439">
        <f t="shared" si="54"/>
        <v>1900</v>
      </c>
    </row>
    <row r="3440" spans="9:9" x14ac:dyDescent="0.25">
      <c r="I3440">
        <f t="shared" si="54"/>
        <v>1900</v>
      </c>
    </row>
    <row r="3441" spans="9:9" x14ac:dyDescent="0.25">
      <c r="I3441">
        <f t="shared" si="54"/>
        <v>1900</v>
      </c>
    </row>
    <row r="3442" spans="9:9" x14ac:dyDescent="0.25">
      <c r="I3442">
        <f t="shared" si="54"/>
        <v>1900</v>
      </c>
    </row>
    <row r="3443" spans="9:9" x14ac:dyDescent="0.25">
      <c r="I3443">
        <f t="shared" si="54"/>
        <v>1900</v>
      </c>
    </row>
    <row r="3444" spans="9:9" x14ac:dyDescent="0.25">
      <c r="I3444">
        <f t="shared" si="54"/>
        <v>1900</v>
      </c>
    </row>
    <row r="3445" spans="9:9" x14ac:dyDescent="0.25">
      <c r="I3445">
        <f t="shared" si="54"/>
        <v>1900</v>
      </c>
    </row>
    <row r="3446" spans="9:9" x14ac:dyDescent="0.25">
      <c r="I3446">
        <f t="shared" si="54"/>
        <v>1900</v>
      </c>
    </row>
    <row r="3447" spans="9:9" x14ac:dyDescent="0.25">
      <c r="I3447">
        <f t="shared" si="54"/>
        <v>1900</v>
      </c>
    </row>
    <row r="3448" spans="9:9" x14ac:dyDescent="0.25">
      <c r="I3448">
        <f t="shared" si="54"/>
        <v>1900</v>
      </c>
    </row>
    <row r="3449" spans="9:9" x14ac:dyDescent="0.25">
      <c r="I3449">
        <f t="shared" si="54"/>
        <v>1900</v>
      </c>
    </row>
    <row r="3450" spans="9:9" x14ac:dyDescent="0.25">
      <c r="I3450">
        <f t="shared" si="54"/>
        <v>1900</v>
      </c>
    </row>
    <row r="3451" spans="9:9" x14ac:dyDescent="0.25">
      <c r="I3451">
        <f t="shared" si="54"/>
        <v>1900</v>
      </c>
    </row>
    <row r="3452" spans="9:9" x14ac:dyDescent="0.25">
      <c r="I3452">
        <f t="shared" si="54"/>
        <v>1900</v>
      </c>
    </row>
    <row r="3453" spans="9:9" x14ac:dyDescent="0.25">
      <c r="I3453">
        <f t="shared" si="54"/>
        <v>1900</v>
      </c>
    </row>
    <row r="3454" spans="9:9" x14ac:dyDescent="0.25">
      <c r="I3454">
        <f t="shared" si="54"/>
        <v>1900</v>
      </c>
    </row>
    <row r="3455" spans="9:9" x14ac:dyDescent="0.25">
      <c r="I3455">
        <f t="shared" si="54"/>
        <v>1900</v>
      </c>
    </row>
    <row r="3456" spans="9:9" x14ac:dyDescent="0.25">
      <c r="I3456">
        <f t="shared" si="54"/>
        <v>1900</v>
      </c>
    </row>
    <row r="3457" spans="9:9" x14ac:dyDescent="0.25">
      <c r="I3457">
        <f t="shared" si="54"/>
        <v>1900</v>
      </c>
    </row>
    <row r="3458" spans="9:9" x14ac:dyDescent="0.25">
      <c r="I3458">
        <f t="shared" si="54"/>
        <v>1900</v>
      </c>
    </row>
    <row r="3459" spans="9:9" x14ac:dyDescent="0.25">
      <c r="I3459">
        <f t="shared" si="54"/>
        <v>1900</v>
      </c>
    </row>
    <row r="3460" spans="9:9" x14ac:dyDescent="0.25">
      <c r="I3460">
        <f t="shared" ref="I3460:I3523" si="55">IFERROR(YEAR(E3460),"")</f>
        <v>1900</v>
      </c>
    </row>
    <row r="3461" spans="9:9" x14ac:dyDescent="0.25">
      <c r="I3461">
        <f t="shared" si="55"/>
        <v>1900</v>
      </c>
    </row>
    <row r="3462" spans="9:9" x14ac:dyDescent="0.25">
      <c r="I3462">
        <f t="shared" si="55"/>
        <v>1900</v>
      </c>
    </row>
    <row r="3463" spans="9:9" x14ac:dyDescent="0.25">
      <c r="I3463">
        <f t="shared" si="55"/>
        <v>1900</v>
      </c>
    </row>
    <row r="3464" spans="9:9" x14ac:dyDescent="0.25">
      <c r="I3464">
        <f t="shared" si="55"/>
        <v>1900</v>
      </c>
    </row>
    <row r="3465" spans="9:9" x14ac:dyDescent="0.25">
      <c r="I3465">
        <f t="shared" si="55"/>
        <v>1900</v>
      </c>
    </row>
    <row r="3466" spans="9:9" x14ac:dyDescent="0.25">
      <c r="I3466">
        <f t="shared" si="55"/>
        <v>1900</v>
      </c>
    </row>
    <row r="3467" spans="9:9" x14ac:dyDescent="0.25">
      <c r="I3467">
        <f t="shared" si="55"/>
        <v>1900</v>
      </c>
    </row>
    <row r="3468" spans="9:9" x14ac:dyDescent="0.25">
      <c r="I3468">
        <f t="shared" si="55"/>
        <v>1900</v>
      </c>
    </row>
    <row r="3469" spans="9:9" x14ac:dyDescent="0.25">
      <c r="I3469">
        <f t="shared" si="55"/>
        <v>1900</v>
      </c>
    </row>
    <row r="3470" spans="9:9" x14ac:dyDescent="0.25">
      <c r="I3470">
        <f t="shared" si="55"/>
        <v>1900</v>
      </c>
    </row>
    <row r="3471" spans="9:9" x14ac:dyDescent="0.25">
      <c r="I3471">
        <f t="shared" si="55"/>
        <v>1900</v>
      </c>
    </row>
    <row r="3472" spans="9:9" x14ac:dyDescent="0.25">
      <c r="I3472">
        <f t="shared" si="55"/>
        <v>1900</v>
      </c>
    </row>
    <row r="3473" spans="9:9" x14ac:dyDescent="0.25">
      <c r="I3473">
        <f t="shared" si="55"/>
        <v>1900</v>
      </c>
    </row>
    <row r="3474" spans="9:9" x14ac:dyDescent="0.25">
      <c r="I3474">
        <f t="shared" si="55"/>
        <v>1900</v>
      </c>
    </row>
    <row r="3475" spans="9:9" x14ac:dyDescent="0.25">
      <c r="I3475">
        <f t="shared" si="55"/>
        <v>1900</v>
      </c>
    </row>
    <row r="3476" spans="9:9" x14ac:dyDescent="0.25">
      <c r="I3476">
        <f t="shared" si="55"/>
        <v>1900</v>
      </c>
    </row>
    <row r="3477" spans="9:9" x14ac:dyDescent="0.25">
      <c r="I3477">
        <f t="shared" si="55"/>
        <v>1900</v>
      </c>
    </row>
    <row r="3478" spans="9:9" x14ac:dyDescent="0.25">
      <c r="I3478">
        <f t="shared" si="55"/>
        <v>1900</v>
      </c>
    </row>
    <row r="3479" spans="9:9" x14ac:dyDescent="0.25">
      <c r="I3479">
        <f t="shared" si="55"/>
        <v>1900</v>
      </c>
    </row>
    <row r="3480" spans="9:9" x14ac:dyDescent="0.25">
      <c r="I3480">
        <f t="shared" si="55"/>
        <v>1900</v>
      </c>
    </row>
    <row r="3481" spans="9:9" x14ac:dyDescent="0.25">
      <c r="I3481">
        <f t="shared" si="55"/>
        <v>1900</v>
      </c>
    </row>
    <row r="3482" spans="9:9" x14ac:dyDescent="0.25">
      <c r="I3482">
        <f t="shared" si="55"/>
        <v>1900</v>
      </c>
    </row>
    <row r="3483" spans="9:9" x14ac:dyDescent="0.25">
      <c r="I3483">
        <f t="shared" si="55"/>
        <v>1900</v>
      </c>
    </row>
    <row r="3484" spans="9:9" x14ac:dyDescent="0.25">
      <c r="I3484">
        <f t="shared" si="55"/>
        <v>1900</v>
      </c>
    </row>
    <row r="3485" spans="9:9" x14ac:dyDescent="0.25">
      <c r="I3485">
        <f t="shared" si="55"/>
        <v>1900</v>
      </c>
    </row>
    <row r="3486" spans="9:9" x14ac:dyDescent="0.25">
      <c r="I3486">
        <f t="shared" si="55"/>
        <v>1900</v>
      </c>
    </row>
    <row r="3487" spans="9:9" x14ac:dyDescent="0.25">
      <c r="I3487">
        <f t="shared" si="55"/>
        <v>1900</v>
      </c>
    </row>
    <row r="3488" spans="9:9" x14ac:dyDescent="0.25">
      <c r="I3488">
        <f t="shared" si="55"/>
        <v>1900</v>
      </c>
    </row>
    <row r="3489" spans="9:9" x14ac:dyDescent="0.25">
      <c r="I3489">
        <f t="shared" si="55"/>
        <v>1900</v>
      </c>
    </row>
    <row r="3490" spans="9:9" x14ac:dyDescent="0.25">
      <c r="I3490">
        <f t="shared" si="55"/>
        <v>1900</v>
      </c>
    </row>
    <row r="3491" spans="9:9" x14ac:dyDescent="0.25">
      <c r="I3491">
        <f t="shared" si="55"/>
        <v>1900</v>
      </c>
    </row>
    <row r="3492" spans="9:9" x14ac:dyDescent="0.25">
      <c r="I3492">
        <f t="shared" si="55"/>
        <v>1900</v>
      </c>
    </row>
    <row r="3493" spans="9:9" x14ac:dyDescent="0.25">
      <c r="I3493">
        <f t="shared" si="55"/>
        <v>1900</v>
      </c>
    </row>
    <row r="3494" spans="9:9" x14ac:dyDescent="0.25">
      <c r="I3494">
        <f t="shared" si="55"/>
        <v>1900</v>
      </c>
    </row>
    <row r="3495" spans="9:9" x14ac:dyDescent="0.25">
      <c r="I3495">
        <f t="shared" si="55"/>
        <v>1900</v>
      </c>
    </row>
    <row r="3496" spans="9:9" x14ac:dyDescent="0.25">
      <c r="I3496">
        <f t="shared" si="55"/>
        <v>1900</v>
      </c>
    </row>
    <row r="3497" spans="9:9" x14ac:dyDescent="0.25">
      <c r="I3497">
        <f t="shared" si="55"/>
        <v>1900</v>
      </c>
    </row>
    <row r="3498" spans="9:9" x14ac:dyDescent="0.25">
      <c r="I3498">
        <f t="shared" si="55"/>
        <v>1900</v>
      </c>
    </row>
    <row r="3499" spans="9:9" x14ac:dyDescent="0.25">
      <c r="I3499">
        <f t="shared" si="55"/>
        <v>1900</v>
      </c>
    </row>
    <row r="3500" spans="9:9" x14ac:dyDescent="0.25">
      <c r="I3500">
        <f t="shared" si="55"/>
        <v>1900</v>
      </c>
    </row>
    <row r="3501" spans="9:9" x14ac:dyDescent="0.25">
      <c r="I3501">
        <f t="shared" si="55"/>
        <v>1900</v>
      </c>
    </row>
    <row r="3502" spans="9:9" x14ac:dyDescent="0.25">
      <c r="I3502">
        <f t="shared" si="55"/>
        <v>1900</v>
      </c>
    </row>
    <row r="3503" spans="9:9" x14ac:dyDescent="0.25">
      <c r="I3503">
        <f t="shared" si="55"/>
        <v>1900</v>
      </c>
    </row>
    <row r="3504" spans="9:9" x14ac:dyDescent="0.25">
      <c r="I3504">
        <f t="shared" si="55"/>
        <v>1900</v>
      </c>
    </row>
    <row r="3505" spans="9:9" x14ac:dyDescent="0.25">
      <c r="I3505">
        <f t="shared" si="55"/>
        <v>1900</v>
      </c>
    </row>
    <row r="3506" spans="9:9" x14ac:dyDescent="0.25">
      <c r="I3506">
        <f t="shared" si="55"/>
        <v>1900</v>
      </c>
    </row>
    <row r="3507" spans="9:9" x14ac:dyDescent="0.25">
      <c r="I3507">
        <f t="shared" si="55"/>
        <v>1900</v>
      </c>
    </row>
    <row r="3508" spans="9:9" x14ac:dyDescent="0.25">
      <c r="I3508">
        <f t="shared" si="55"/>
        <v>1900</v>
      </c>
    </row>
    <row r="3509" spans="9:9" x14ac:dyDescent="0.25">
      <c r="I3509">
        <f t="shared" si="55"/>
        <v>1900</v>
      </c>
    </row>
    <row r="3510" spans="9:9" x14ac:dyDescent="0.25">
      <c r="I3510">
        <f t="shared" si="55"/>
        <v>1900</v>
      </c>
    </row>
    <row r="3511" spans="9:9" x14ac:dyDescent="0.25">
      <c r="I3511">
        <f t="shared" si="55"/>
        <v>1900</v>
      </c>
    </row>
    <row r="3512" spans="9:9" x14ac:dyDescent="0.25">
      <c r="I3512">
        <f t="shared" si="55"/>
        <v>1900</v>
      </c>
    </row>
    <row r="3513" spans="9:9" x14ac:dyDescent="0.25">
      <c r="I3513">
        <f t="shared" si="55"/>
        <v>1900</v>
      </c>
    </row>
    <row r="3514" spans="9:9" x14ac:dyDescent="0.25">
      <c r="I3514">
        <f t="shared" si="55"/>
        <v>1900</v>
      </c>
    </row>
    <row r="3515" spans="9:9" x14ac:dyDescent="0.25">
      <c r="I3515">
        <f t="shared" si="55"/>
        <v>1900</v>
      </c>
    </row>
    <row r="3516" spans="9:9" x14ac:dyDescent="0.25">
      <c r="I3516">
        <f t="shared" si="55"/>
        <v>1900</v>
      </c>
    </row>
    <row r="3517" spans="9:9" x14ac:dyDescent="0.25">
      <c r="I3517">
        <f t="shared" si="55"/>
        <v>1900</v>
      </c>
    </row>
    <row r="3518" spans="9:9" x14ac:dyDescent="0.25">
      <c r="I3518">
        <f t="shared" si="55"/>
        <v>1900</v>
      </c>
    </row>
    <row r="3519" spans="9:9" x14ac:dyDescent="0.25">
      <c r="I3519">
        <f t="shared" si="55"/>
        <v>1900</v>
      </c>
    </row>
    <row r="3520" spans="9:9" x14ac:dyDescent="0.25">
      <c r="I3520">
        <f t="shared" si="55"/>
        <v>1900</v>
      </c>
    </row>
    <row r="3521" spans="9:9" x14ac:dyDescent="0.25">
      <c r="I3521">
        <f t="shared" si="55"/>
        <v>1900</v>
      </c>
    </row>
    <row r="3522" spans="9:9" x14ac:dyDescent="0.25">
      <c r="I3522">
        <f t="shared" si="55"/>
        <v>1900</v>
      </c>
    </row>
    <row r="3523" spans="9:9" x14ac:dyDescent="0.25">
      <c r="I3523">
        <f t="shared" si="55"/>
        <v>1900</v>
      </c>
    </row>
    <row r="3524" spans="9:9" x14ac:dyDescent="0.25">
      <c r="I3524">
        <f t="shared" ref="I3524:I3587" si="56">IFERROR(YEAR(E3524),"")</f>
        <v>1900</v>
      </c>
    </row>
    <row r="3525" spans="9:9" x14ac:dyDescent="0.25">
      <c r="I3525">
        <f t="shared" si="56"/>
        <v>1900</v>
      </c>
    </row>
    <row r="3526" spans="9:9" x14ac:dyDescent="0.25">
      <c r="I3526">
        <f t="shared" si="56"/>
        <v>1900</v>
      </c>
    </row>
    <row r="3527" spans="9:9" x14ac:dyDescent="0.25">
      <c r="I3527">
        <f t="shared" si="56"/>
        <v>1900</v>
      </c>
    </row>
    <row r="3528" spans="9:9" x14ac:dyDescent="0.25">
      <c r="I3528">
        <f t="shared" si="56"/>
        <v>1900</v>
      </c>
    </row>
    <row r="3529" spans="9:9" x14ac:dyDescent="0.25">
      <c r="I3529">
        <f t="shared" si="56"/>
        <v>1900</v>
      </c>
    </row>
    <row r="3530" spans="9:9" x14ac:dyDescent="0.25">
      <c r="I3530">
        <f t="shared" si="56"/>
        <v>1900</v>
      </c>
    </row>
    <row r="3531" spans="9:9" x14ac:dyDescent="0.25">
      <c r="I3531">
        <f t="shared" si="56"/>
        <v>1900</v>
      </c>
    </row>
    <row r="3532" spans="9:9" x14ac:dyDescent="0.25">
      <c r="I3532">
        <f t="shared" si="56"/>
        <v>1900</v>
      </c>
    </row>
    <row r="3533" spans="9:9" x14ac:dyDescent="0.25">
      <c r="I3533">
        <f t="shared" si="56"/>
        <v>1900</v>
      </c>
    </row>
    <row r="3534" spans="9:9" x14ac:dyDescent="0.25">
      <c r="I3534">
        <f t="shared" si="56"/>
        <v>1900</v>
      </c>
    </row>
    <row r="3535" spans="9:9" x14ac:dyDescent="0.25">
      <c r="I3535">
        <f t="shared" si="56"/>
        <v>1900</v>
      </c>
    </row>
    <row r="3536" spans="9:9" x14ac:dyDescent="0.25">
      <c r="I3536">
        <f t="shared" si="56"/>
        <v>1900</v>
      </c>
    </row>
    <row r="3537" spans="9:9" x14ac:dyDescent="0.25">
      <c r="I3537">
        <f t="shared" si="56"/>
        <v>1900</v>
      </c>
    </row>
    <row r="3538" spans="9:9" x14ac:dyDescent="0.25">
      <c r="I3538">
        <f t="shared" si="56"/>
        <v>1900</v>
      </c>
    </row>
    <row r="3539" spans="9:9" x14ac:dyDescent="0.25">
      <c r="I3539">
        <f t="shared" si="56"/>
        <v>1900</v>
      </c>
    </row>
    <row r="3540" spans="9:9" x14ac:dyDescent="0.25">
      <c r="I3540">
        <f t="shared" si="56"/>
        <v>1900</v>
      </c>
    </row>
    <row r="3541" spans="9:9" x14ac:dyDescent="0.25">
      <c r="I3541">
        <f t="shared" si="56"/>
        <v>1900</v>
      </c>
    </row>
    <row r="3542" spans="9:9" x14ac:dyDescent="0.25">
      <c r="I3542">
        <f t="shared" si="56"/>
        <v>1900</v>
      </c>
    </row>
    <row r="3543" spans="9:9" x14ac:dyDescent="0.25">
      <c r="I3543">
        <f t="shared" si="56"/>
        <v>1900</v>
      </c>
    </row>
    <row r="3544" spans="9:9" x14ac:dyDescent="0.25">
      <c r="I3544">
        <f t="shared" si="56"/>
        <v>1900</v>
      </c>
    </row>
    <row r="3545" spans="9:9" x14ac:dyDescent="0.25">
      <c r="I3545">
        <f t="shared" si="56"/>
        <v>1900</v>
      </c>
    </row>
    <row r="3546" spans="9:9" x14ac:dyDescent="0.25">
      <c r="I3546">
        <f t="shared" si="56"/>
        <v>1900</v>
      </c>
    </row>
    <row r="3547" spans="9:9" x14ac:dyDescent="0.25">
      <c r="I3547">
        <f t="shared" si="56"/>
        <v>1900</v>
      </c>
    </row>
    <row r="3548" spans="9:9" x14ac:dyDescent="0.25">
      <c r="I3548">
        <f t="shared" si="56"/>
        <v>1900</v>
      </c>
    </row>
    <row r="3549" spans="9:9" x14ac:dyDescent="0.25">
      <c r="I3549">
        <f t="shared" si="56"/>
        <v>1900</v>
      </c>
    </row>
    <row r="3550" spans="9:9" x14ac:dyDescent="0.25">
      <c r="I3550">
        <f t="shared" si="56"/>
        <v>1900</v>
      </c>
    </row>
    <row r="3551" spans="9:9" x14ac:dyDescent="0.25">
      <c r="I3551">
        <f t="shared" si="56"/>
        <v>1900</v>
      </c>
    </row>
    <row r="3552" spans="9:9" x14ac:dyDescent="0.25">
      <c r="I3552">
        <f t="shared" si="56"/>
        <v>1900</v>
      </c>
    </row>
    <row r="3553" spans="9:9" x14ac:dyDescent="0.25">
      <c r="I3553">
        <f t="shared" si="56"/>
        <v>1900</v>
      </c>
    </row>
    <row r="3554" spans="9:9" x14ac:dyDescent="0.25">
      <c r="I3554">
        <f t="shared" si="56"/>
        <v>1900</v>
      </c>
    </row>
    <row r="3555" spans="9:9" x14ac:dyDescent="0.25">
      <c r="I3555">
        <f t="shared" si="56"/>
        <v>1900</v>
      </c>
    </row>
    <row r="3556" spans="9:9" x14ac:dyDescent="0.25">
      <c r="I3556">
        <f t="shared" si="56"/>
        <v>1900</v>
      </c>
    </row>
    <row r="3557" spans="9:9" x14ac:dyDescent="0.25">
      <c r="I3557">
        <f t="shared" si="56"/>
        <v>1900</v>
      </c>
    </row>
    <row r="3558" spans="9:9" x14ac:dyDescent="0.25">
      <c r="I3558">
        <f t="shared" si="56"/>
        <v>1900</v>
      </c>
    </row>
    <row r="3559" spans="9:9" x14ac:dyDescent="0.25">
      <c r="I3559">
        <f t="shared" si="56"/>
        <v>1900</v>
      </c>
    </row>
    <row r="3560" spans="9:9" x14ac:dyDescent="0.25">
      <c r="I3560">
        <f t="shared" si="56"/>
        <v>1900</v>
      </c>
    </row>
    <row r="3561" spans="9:9" x14ac:dyDescent="0.25">
      <c r="I3561">
        <f t="shared" si="56"/>
        <v>1900</v>
      </c>
    </row>
    <row r="3562" spans="9:9" x14ac:dyDescent="0.25">
      <c r="I3562">
        <f t="shared" si="56"/>
        <v>1900</v>
      </c>
    </row>
    <row r="3563" spans="9:9" x14ac:dyDescent="0.25">
      <c r="I3563">
        <f t="shared" si="56"/>
        <v>1900</v>
      </c>
    </row>
    <row r="3564" spans="9:9" x14ac:dyDescent="0.25">
      <c r="I3564">
        <f t="shared" si="56"/>
        <v>1900</v>
      </c>
    </row>
    <row r="3565" spans="9:9" x14ac:dyDescent="0.25">
      <c r="I3565">
        <f t="shared" si="56"/>
        <v>1900</v>
      </c>
    </row>
    <row r="3566" spans="9:9" x14ac:dyDescent="0.25">
      <c r="I3566">
        <f t="shared" si="56"/>
        <v>1900</v>
      </c>
    </row>
    <row r="3567" spans="9:9" x14ac:dyDescent="0.25">
      <c r="I3567">
        <f t="shared" si="56"/>
        <v>1900</v>
      </c>
    </row>
    <row r="3568" spans="9:9" x14ac:dyDescent="0.25">
      <c r="I3568">
        <f t="shared" si="56"/>
        <v>1900</v>
      </c>
    </row>
    <row r="3569" spans="9:9" x14ac:dyDescent="0.25">
      <c r="I3569">
        <f t="shared" si="56"/>
        <v>1900</v>
      </c>
    </row>
    <row r="3570" spans="9:9" x14ac:dyDescent="0.25">
      <c r="I3570">
        <f t="shared" si="56"/>
        <v>1900</v>
      </c>
    </row>
    <row r="3571" spans="9:9" x14ac:dyDescent="0.25">
      <c r="I3571">
        <f t="shared" si="56"/>
        <v>1900</v>
      </c>
    </row>
    <row r="3572" spans="9:9" x14ac:dyDescent="0.25">
      <c r="I3572">
        <f t="shared" si="56"/>
        <v>1900</v>
      </c>
    </row>
    <row r="3573" spans="9:9" x14ac:dyDescent="0.25">
      <c r="I3573">
        <f t="shared" si="56"/>
        <v>1900</v>
      </c>
    </row>
    <row r="3574" spans="9:9" x14ac:dyDescent="0.25">
      <c r="I3574">
        <f t="shared" si="56"/>
        <v>1900</v>
      </c>
    </row>
    <row r="3575" spans="9:9" x14ac:dyDescent="0.25">
      <c r="I3575">
        <f t="shared" si="56"/>
        <v>1900</v>
      </c>
    </row>
    <row r="3576" spans="9:9" x14ac:dyDescent="0.25">
      <c r="I3576">
        <f t="shared" si="56"/>
        <v>1900</v>
      </c>
    </row>
    <row r="3577" spans="9:9" x14ac:dyDescent="0.25">
      <c r="I3577">
        <f t="shared" si="56"/>
        <v>1900</v>
      </c>
    </row>
    <row r="3578" spans="9:9" x14ac:dyDescent="0.25">
      <c r="I3578">
        <f t="shared" si="56"/>
        <v>1900</v>
      </c>
    </row>
    <row r="3579" spans="9:9" x14ac:dyDescent="0.25">
      <c r="I3579">
        <f t="shared" si="56"/>
        <v>1900</v>
      </c>
    </row>
    <row r="3580" spans="9:9" x14ac:dyDescent="0.25">
      <c r="I3580">
        <f t="shared" si="56"/>
        <v>1900</v>
      </c>
    </row>
    <row r="3581" spans="9:9" x14ac:dyDescent="0.25">
      <c r="I3581">
        <f t="shared" si="56"/>
        <v>1900</v>
      </c>
    </row>
    <row r="3582" spans="9:9" x14ac:dyDescent="0.25">
      <c r="I3582">
        <f t="shared" si="56"/>
        <v>1900</v>
      </c>
    </row>
    <row r="3583" spans="9:9" x14ac:dyDescent="0.25">
      <c r="I3583">
        <f t="shared" si="56"/>
        <v>1900</v>
      </c>
    </row>
    <row r="3584" spans="9:9" x14ac:dyDescent="0.25">
      <c r="I3584">
        <f t="shared" si="56"/>
        <v>1900</v>
      </c>
    </row>
    <row r="3585" spans="9:9" x14ac:dyDescent="0.25">
      <c r="I3585">
        <f t="shared" si="56"/>
        <v>1900</v>
      </c>
    </row>
    <row r="3586" spans="9:9" x14ac:dyDescent="0.25">
      <c r="I3586">
        <f t="shared" si="56"/>
        <v>1900</v>
      </c>
    </row>
    <row r="3587" spans="9:9" x14ac:dyDescent="0.25">
      <c r="I3587">
        <f t="shared" si="56"/>
        <v>1900</v>
      </c>
    </row>
    <row r="3588" spans="9:9" x14ac:dyDescent="0.25">
      <c r="I3588">
        <f t="shared" ref="I3588:I3651" si="57">IFERROR(YEAR(E3588),"")</f>
        <v>1900</v>
      </c>
    </row>
    <row r="3589" spans="9:9" x14ac:dyDescent="0.25">
      <c r="I3589">
        <f t="shared" si="57"/>
        <v>1900</v>
      </c>
    </row>
    <row r="3590" spans="9:9" x14ac:dyDescent="0.25">
      <c r="I3590">
        <f t="shared" si="57"/>
        <v>1900</v>
      </c>
    </row>
    <row r="3591" spans="9:9" x14ac:dyDescent="0.25">
      <c r="I3591">
        <f t="shared" si="57"/>
        <v>1900</v>
      </c>
    </row>
    <row r="3592" spans="9:9" x14ac:dyDescent="0.25">
      <c r="I3592">
        <f t="shared" si="57"/>
        <v>1900</v>
      </c>
    </row>
    <row r="3593" spans="9:9" x14ac:dyDescent="0.25">
      <c r="I3593">
        <f t="shared" si="57"/>
        <v>1900</v>
      </c>
    </row>
    <row r="3594" spans="9:9" x14ac:dyDescent="0.25">
      <c r="I3594">
        <f t="shared" si="57"/>
        <v>1900</v>
      </c>
    </row>
    <row r="3595" spans="9:9" x14ac:dyDescent="0.25">
      <c r="I3595">
        <f t="shared" si="57"/>
        <v>1900</v>
      </c>
    </row>
    <row r="3596" spans="9:9" x14ac:dyDescent="0.25">
      <c r="I3596">
        <f t="shared" si="57"/>
        <v>1900</v>
      </c>
    </row>
    <row r="3597" spans="9:9" x14ac:dyDescent="0.25">
      <c r="I3597">
        <f t="shared" si="57"/>
        <v>1900</v>
      </c>
    </row>
    <row r="3598" spans="9:9" x14ac:dyDescent="0.25">
      <c r="I3598">
        <f t="shared" si="57"/>
        <v>1900</v>
      </c>
    </row>
    <row r="3599" spans="9:9" x14ac:dyDescent="0.25">
      <c r="I3599">
        <f t="shared" si="57"/>
        <v>1900</v>
      </c>
    </row>
    <row r="3600" spans="9:9" x14ac:dyDescent="0.25">
      <c r="I3600">
        <f t="shared" si="57"/>
        <v>1900</v>
      </c>
    </row>
    <row r="3601" spans="9:9" x14ac:dyDescent="0.25">
      <c r="I3601">
        <f t="shared" si="57"/>
        <v>1900</v>
      </c>
    </row>
    <row r="3602" spans="9:9" x14ac:dyDescent="0.25">
      <c r="I3602">
        <f t="shared" si="57"/>
        <v>1900</v>
      </c>
    </row>
    <row r="3603" spans="9:9" x14ac:dyDescent="0.25">
      <c r="I3603">
        <f t="shared" si="57"/>
        <v>1900</v>
      </c>
    </row>
    <row r="3604" spans="9:9" x14ac:dyDescent="0.25">
      <c r="I3604">
        <f t="shared" si="57"/>
        <v>1900</v>
      </c>
    </row>
    <row r="3605" spans="9:9" x14ac:dyDescent="0.25">
      <c r="I3605">
        <f t="shared" si="57"/>
        <v>1900</v>
      </c>
    </row>
    <row r="3606" spans="9:9" x14ac:dyDescent="0.25">
      <c r="I3606">
        <f t="shared" si="57"/>
        <v>1900</v>
      </c>
    </row>
    <row r="3607" spans="9:9" x14ac:dyDescent="0.25">
      <c r="I3607">
        <f t="shared" si="57"/>
        <v>1900</v>
      </c>
    </row>
    <row r="3608" spans="9:9" x14ac:dyDescent="0.25">
      <c r="I3608">
        <f t="shared" si="57"/>
        <v>1900</v>
      </c>
    </row>
    <row r="3609" spans="9:9" x14ac:dyDescent="0.25">
      <c r="I3609">
        <f t="shared" si="57"/>
        <v>1900</v>
      </c>
    </row>
    <row r="3610" spans="9:9" x14ac:dyDescent="0.25">
      <c r="I3610">
        <f t="shared" si="57"/>
        <v>1900</v>
      </c>
    </row>
    <row r="3611" spans="9:9" x14ac:dyDescent="0.25">
      <c r="I3611">
        <f t="shared" si="57"/>
        <v>1900</v>
      </c>
    </row>
    <row r="3612" spans="9:9" x14ac:dyDescent="0.25">
      <c r="I3612">
        <f t="shared" si="57"/>
        <v>1900</v>
      </c>
    </row>
    <row r="3613" spans="9:9" x14ac:dyDescent="0.25">
      <c r="I3613">
        <f t="shared" si="57"/>
        <v>1900</v>
      </c>
    </row>
    <row r="3614" spans="9:9" x14ac:dyDescent="0.25">
      <c r="I3614">
        <f t="shared" si="57"/>
        <v>1900</v>
      </c>
    </row>
    <row r="3615" spans="9:9" x14ac:dyDescent="0.25">
      <c r="I3615">
        <f t="shared" si="57"/>
        <v>1900</v>
      </c>
    </row>
    <row r="3616" spans="9:9" x14ac:dyDescent="0.25">
      <c r="I3616">
        <f t="shared" si="57"/>
        <v>1900</v>
      </c>
    </row>
    <row r="3617" spans="9:9" x14ac:dyDescent="0.25">
      <c r="I3617">
        <f t="shared" si="57"/>
        <v>1900</v>
      </c>
    </row>
    <row r="3618" spans="9:9" x14ac:dyDescent="0.25">
      <c r="I3618">
        <f t="shared" si="57"/>
        <v>1900</v>
      </c>
    </row>
    <row r="3619" spans="9:9" x14ac:dyDescent="0.25">
      <c r="I3619">
        <f t="shared" si="57"/>
        <v>1900</v>
      </c>
    </row>
    <row r="3620" spans="9:9" x14ac:dyDescent="0.25">
      <c r="I3620">
        <f t="shared" si="57"/>
        <v>1900</v>
      </c>
    </row>
    <row r="3621" spans="9:9" x14ac:dyDescent="0.25">
      <c r="I3621">
        <f t="shared" si="57"/>
        <v>1900</v>
      </c>
    </row>
    <row r="3622" spans="9:9" x14ac:dyDescent="0.25">
      <c r="I3622">
        <f t="shared" si="57"/>
        <v>1900</v>
      </c>
    </row>
    <row r="3623" spans="9:9" x14ac:dyDescent="0.25">
      <c r="I3623">
        <f t="shared" si="57"/>
        <v>1900</v>
      </c>
    </row>
    <row r="3624" spans="9:9" x14ac:dyDescent="0.25">
      <c r="I3624">
        <f t="shared" si="57"/>
        <v>1900</v>
      </c>
    </row>
    <row r="3625" spans="9:9" x14ac:dyDescent="0.25">
      <c r="I3625">
        <f t="shared" si="57"/>
        <v>1900</v>
      </c>
    </row>
    <row r="3626" spans="9:9" x14ac:dyDescent="0.25">
      <c r="I3626">
        <f t="shared" si="57"/>
        <v>1900</v>
      </c>
    </row>
    <row r="3627" spans="9:9" x14ac:dyDescent="0.25">
      <c r="I3627">
        <f t="shared" si="57"/>
        <v>1900</v>
      </c>
    </row>
    <row r="3628" spans="9:9" x14ac:dyDescent="0.25">
      <c r="I3628">
        <f t="shared" si="57"/>
        <v>1900</v>
      </c>
    </row>
    <row r="3629" spans="9:9" x14ac:dyDescent="0.25">
      <c r="I3629">
        <f t="shared" si="57"/>
        <v>1900</v>
      </c>
    </row>
    <row r="3630" spans="9:9" x14ac:dyDescent="0.25">
      <c r="I3630">
        <f t="shared" si="57"/>
        <v>1900</v>
      </c>
    </row>
    <row r="3631" spans="9:9" x14ac:dyDescent="0.25">
      <c r="I3631">
        <f t="shared" si="57"/>
        <v>1900</v>
      </c>
    </row>
    <row r="3632" spans="9:9" x14ac:dyDescent="0.25">
      <c r="I3632">
        <f t="shared" si="57"/>
        <v>1900</v>
      </c>
    </row>
    <row r="3633" spans="9:9" x14ac:dyDescent="0.25">
      <c r="I3633">
        <f t="shared" si="57"/>
        <v>1900</v>
      </c>
    </row>
    <row r="3634" spans="9:9" x14ac:dyDescent="0.25">
      <c r="I3634">
        <f t="shared" si="57"/>
        <v>1900</v>
      </c>
    </row>
    <row r="3635" spans="9:9" x14ac:dyDescent="0.25">
      <c r="I3635">
        <f t="shared" si="57"/>
        <v>1900</v>
      </c>
    </row>
    <row r="3636" spans="9:9" x14ac:dyDescent="0.25">
      <c r="I3636">
        <f t="shared" si="57"/>
        <v>1900</v>
      </c>
    </row>
    <row r="3637" spans="9:9" x14ac:dyDescent="0.25">
      <c r="I3637">
        <f t="shared" si="57"/>
        <v>1900</v>
      </c>
    </row>
    <row r="3638" spans="9:9" x14ac:dyDescent="0.25">
      <c r="I3638">
        <f t="shared" si="57"/>
        <v>1900</v>
      </c>
    </row>
    <row r="3639" spans="9:9" x14ac:dyDescent="0.25">
      <c r="I3639">
        <f t="shared" si="57"/>
        <v>1900</v>
      </c>
    </row>
    <row r="3640" spans="9:9" x14ac:dyDescent="0.25">
      <c r="I3640">
        <f t="shared" si="57"/>
        <v>1900</v>
      </c>
    </row>
    <row r="3641" spans="9:9" x14ac:dyDescent="0.25">
      <c r="I3641">
        <f t="shared" si="57"/>
        <v>1900</v>
      </c>
    </row>
    <row r="3642" spans="9:9" x14ac:dyDescent="0.25">
      <c r="I3642">
        <f t="shared" si="57"/>
        <v>1900</v>
      </c>
    </row>
    <row r="3643" spans="9:9" x14ac:dyDescent="0.25">
      <c r="I3643">
        <f t="shared" si="57"/>
        <v>1900</v>
      </c>
    </row>
    <row r="3644" spans="9:9" x14ac:dyDescent="0.25">
      <c r="I3644">
        <f t="shared" si="57"/>
        <v>1900</v>
      </c>
    </row>
    <row r="3645" spans="9:9" x14ac:dyDescent="0.25">
      <c r="I3645">
        <f t="shared" si="57"/>
        <v>1900</v>
      </c>
    </row>
    <row r="3646" spans="9:9" x14ac:dyDescent="0.25">
      <c r="I3646">
        <f t="shared" si="57"/>
        <v>1900</v>
      </c>
    </row>
    <row r="3647" spans="9:9" x14ac:dyDescent="0.25">
      <c r="I3647">
        <f t="shared" si="57"/>
        <v>1900</v>
      </c>
    </row>
    <row r="3648" spans="9:9" x14ac:dyDescent="0.25">
      <c r="I3648">
        <f t="shared" si="57"/>
        <v>1900</v>
      </c>
    </row>
    <row r="3649" spans="9:9" x14ac:dyDescent="0.25">
      <c r="I3649">
        <f t="shared" si="57"/>
        <v>1900</v>
      </c>
    </row>
    <row r="3650" spans="9:9" x14ac:dyDescent="0.25">
      <c r="I3650">
        <f t="shared" si="57"/>
        <v>1900</v>
      </c>
    </row>
    <row r="3651" spans="9:9" x14ac:dyDescent="0.25">
      <c r="I3651">
        <f t="shared" si="57"/>
        <v>1900</v>
      </c>
    </row>
    <row r="3652" spans="9:9" x14ac:dyDescent="0.25">
      <c r="I3652">
        <f t="shared" ref="I3652:I3715" si="58">IFERROR(YEAR(E3652),"")</f>
        <v>1900</v>
      </c>
    </row>
    <row r="3653" spans="9:9" x14ac:dyDescent="0.25">
      <c r="I3653">
        <f t="shared" si="58"/>
        <v>1900</v>
      </c>
    </row>
    <row r="3654" spans="9:9" x14ac:dyDescent="0.25">
      <c r="I3654">
        <f t="shared" si="58"/>
        <v>1900</v>
      </c>
    </row>
    <row r="3655" spans="9:9" x14ac:dyDescent="0.25">
      <c r="I3655">
        <f t="shared" si="58"/>
        <v>1900</v>
      </c>
    </row>
    <row r="3656" spans="9:9" x14ac:dyDescent="0.25">
      <c r="I3656">
        <f t="shared" si="58"/>
        <v>1900</v>
      </c>
    </row>
    <row r="3657" spans="9:9" x14ac:dyDescent="0.25">
      <c r="I3657">
        <f t="shared" si="58"/>
        <v>1900</v>
      </c>
    </row>
    <row r="3658" spans="9:9" x14ac:dyDescent="0.25">
      <c r="I3658">
        <f t="shared" si="58"/>
        <v>1900</v>
      </c>
    </row>
    <row r="3659" spans="9:9" x14ac:dyDescent="0.25">
      <c r="I3659">
        <f t="shared" si="58"/>
        <v>1900</v>
      </c>
    </row>
    <row r="3660" spans="9:9" x14ac:dyDescent="0.25">
      <c r="I3660">
        <f t="shared" si="58"/>
        <v>1900</v>
      </c>
    </row>
    <row r="3661" spans="9:9" x14ac:dyDescent="0.25">
      <c r="I3661">
        <f t="shared" si="58"/>
        <v>1900</v>
      </c>
    </row>
    <row r="3662" spans="9:9" x14ac:dyDescent="0.25">
      <c r="I3662">
        <f t="shared" si="58"/>
        <v>1900</v>
      </c>
    </row>
    <row r="3663" spans="9:9" x14ac:dyDescent="0.25">
      <c r="I3663">
        <f t="shared" si="58"/>
        <v>1900</v>
      </c>
    </row>
    <row r="3664" spans="9:9" x14ac:dyDescent="0.25">
      <c r="I3664">
        <f t="shared" si="58"/>
        <v>1900</v>
      </c>
    </row>
    <row r="3665" spans="9:9" x14ac:dyDescent="0.25">
      <c r="I3665">
        <f t="shared" si="58"/>
        <v>1900</v>
      </c>
    </row>
    <row r="3666" spans="9:9" x14ac:dyDescent="0.25">
      <c r="I3666">
        <f t="shared" si="58"/>
        <v>1900</v>
      </c>
    </row>
    <row r="3667" spans="9:9" x14ac:dyDescent="0.25">
      <c r="I3667">
        <f t="shared" si="58"/>
        <v>1900</v>
      </c>
    </row>
    <row r="3668" spans="9:9" x14ac:dyDescent="0.25">
      <c r="I3668">
        <f t="shared" si="58"/>
        <v>1900</v>
      </c>
    </row>
    <row r="3669" spans="9:9" x14ac:dyDescent="0.25">
      <c r="I3669">
        <f t="shared" si="58"/>
        <v>1900</v>
      </c>
    </row>
    <row r="3670" spans="9:9" x14ac:dyDescent="0.25">
      <c r="I3670">
        <f t="shared" si="58"/>
        <v>1900</v>
      </c>
    </row>
    <row r="3671" spans="9:9" x14ac:dyDescent="0.25">
      <c r="I3671">
        <f t="shared" si="58"/>
        <v>1900</v>
      </c>
    </row>
    <row r="3672" spans="9:9" x14ac:dyDescent="0.25">
      <c r="I3672">
        <f t="shared" si="58"/>
        <v>1900</v>
      </c>
    </row>
    <row r="3673" spans="9:9" x14ac:dyDescent="0.25">
      <c r="I3673">
        <f t="shared" si="58"/>
        <v>1900</v>
      </c>
    </row>
    <row r="3674" spans="9:9" x14ac:dyDescent="0.25">
      <c r="I3674">
        <f t="shared" si="58"/>
        <v>1900</v>
      </c>
    </row>
    <row r="3675" spans="9:9" x14ac:dyDescent="0.25">
      <c r="I3675">
        <f t="shared" si="58"/>
        <v>1900</v>
      </c>
    </row>
    <row r="3676" spans="9:9" x14ac:dyDescent="0.25">
      <c r="I3676">
        <f t="shared" si="58"/>
        <v>1900</v>
      </c>
    </row>
    <row r="3677" spans="9:9" x14ac:dyDescent="0.25">
      <c r="I3677">
        <f t="shared" si="58"/>
        <v>1900</v>
      </c>
    </row>
    <row r="3678" spans="9:9" x14ac:dyDescent="0.25">
      <c r="I3678">
        <f t="shared" si="58"/>
        <v>1900</v>
      </c>
    </row>
    <row r="3679" spans="9:9" x14ac:dyDescent="0.25">
      <c r="I3679">
        <f t="shared" si="58"/>
        <v>1900</v>
      </c>
    </row>
    <row r="3680" spans="9:9" x14ac:dyDescent="0.25">
      <c r="I3680">
        <f t="shared" si="58"/>
        <v>1900</v>
      </c>
    </row>
    <row r="3681" spans="9:9" x14ac:dyDescent="0.25">
      <c r="I3681">
        <f t="shared" si="58"/>
        <v>1900</v>
      </c>
    </row>
    <row r="3682" spans="9:9" x14ac:dyDescent="0.25">
      <c r="I3682">
        <f t="shared" si="58"/>
        <v>1900</v>
      </c>
    </row>
    <row r="3683" spans="9:9" x14ac:dyDescent="0.25">
      <c r="I3683">
        <f t="shared" si="58"/>
        <v>1900</v>
      </c>
    </row>
    <row r="3684" spans="9:9" x14ac:dyDescent="0.25">
      <c r="I3684">
        <f t="shared" si="58"/>
        <v>1900</v>
      </c>
    </row>
    <row r="3685" spans="9:9" x14ac:dyDescent="0.25">
      <c r="I3685">
        <f t="shared" si="58"/>
        <v>1900</v>
      </c>
    </row>
    <row r="3686" spans="9:9" x14ac:dyDescent="0.25">
      <c r="I3686">
        <f t="shared" si="58"/>
        <v>1900</v>
      </c>
    </row>
    <row r="3687" spans="9:9" x14ac:dyDescent="0.25">
      <c r="I3687">
        <f t="shared" si="58"/>
        <v>1900</v>
      </c>
    </row>
    <row r="3688" spans="9:9" x14ac:dyDescent="0.25">
      <c r="I3688">
        <f t="shared" si="58"/>
        <v>1900</v>
      </c>
    </row>
    <row r="3689" spans="9:9" x14ac:dyDescent="0.25">
      <c r="I3689">
        <f t="shared" si="58"/>
        <v>1900</v>
      </c>
    </row>
    <row r="3690" spans="9:9" x14ac:dyDescent="0.25">
      <c r="I3690">
        <f t="shared" si="58"/>
        <v>1900</v>
      </c>
    </row>
    <row r="3691" spans="9:9" x14ac:dyDescent="0.25">
      <c r="I3691">
        <f t="shared" si="58"/>
        <v>1900</v>
      </c>
    </row>
    <row r="3692" spans="9:9" x14ac:dyDescent="0.25">
      <c r="I3692">
        <f t="shared" si="58"/>
        <v>1900</v>
      </c>
    </row>
    <row r="3693" spans="9:9" x14ac:dyDescent="0.25">
      <c r="I3693">
        <f t="shared" si="58"/>
        <v>1900</v>
      </c>
    </row>
    <row r="3694" spans="9:9" x14ac:dyDescent="0.25">
      <c r="I3694">
        <f t="shared" si="58"/>
        <v>1900</v>
      </c>
    </row>
    <row r="3695" spans="9:9" x14ac:dyDescent="0.25">
      <c r="I3695">
        <f t="shared" si="58"/>
        <v>1900</v>
      </c>
    </row>
    <row r="3696" spans="9:9" x14ac:dyDescent="0.25">
      <c r="I3696">
        <f t="shared" si="58"/>
        <v>1900</v>
      </c>
    </row>
    <row r="3697" spans="9:9" x14ac:dyDescent="0.25">
      <c r="I3697">
        <f t="shared" si="58"/>
        <v>1900</v>
      </c>
    </row>
    <row r="3698" spans="9:9" x14ac:dyDescent="0.25">
      <c r="I3698">
        <f t="shared" si="58"/>
        <v>1900</v>
      </c>
    </row>
    <row r="3699" spans="9:9" x14ac:dyDescent="0.25">
      <c r="I3699">
        <f t="shared" si="58"/>
        <v>1900</v>
      </c>
    </row>
    <row r="3700" spans="9:9" x14ac:dyDescent="0.25">
      <c r="I3700">
        <f t="shared" si="58"/>
        <v>1900</v>
      </c>
    </row>
    <row r="3701" spans="9:9" x14ac:dyDescent="0.25">
      <c r="I3701">
        <f t="shared" si="58"/>
        <v>1900</v>
      </c>
    </row>
    <row r="3702" spans="9:9" x14ac:dyDescent="0.25">
      <c r="I3702">
        <f t="shared" si="58"/>
        <v>1900</v>
      </c>
    </row>
    <row r="3703" spans="9:9" x14ac:dyDescent="0.25">
      <c r="I3703">
        <f t="shared" si="58"/>
        <v>1900</v>
      </c>
    </row>
    <row r="3704" spans="9:9" x14ac:dyDescent="0.25">
      <c r="I3704">
        <f t="shared" si="58"/>
        <v>1900</v>
      </c>
    </row>
    <row r="3705" spans="9:9" x14ac:dyDescent="0.25">
      <c r="I3705">
        <f t="shared" si="58"/>
        <v>1900</v>
      </c>
    </row>
    <row r="3706" spans="9:9" x14ac:dyDescent="0.25">
      <c r="I3706">
        <f t="shared" si="58"/>
        <v>1900</v>
      </c>
    </row>
    <row r="3707" spans="9:9" x14ac:dyDescent="0.25">
      <c r="I3707">
        <f t="shared" si="58"/>
        <v>1900</v>
      </c>
    </row>
    <row r="3708" spans="9:9" x14ac:dyDescent="0.25">
      <c r="I3708">
        <f t="shared" si="58"/>
        <v>1900</v>
      </c>
    </row>
    <row r="3709" spans="9:9" x14ac:dyDescent="0.25">
      <c r="I3709">
        <f t="shared" si="58"/>
        <v>1900</v>
      </c>
    </row>
    <row r="3710" spans="9:9" x14ac:dyDescent="0.25">
      <c r="I3710">
        <f t="shared" si="58"/>
        <v>1900</v>
      </c>
    </row>
    <row r="3711" spans="9:9" x14ac:dyDescent="0.25">
      <c r="I3711">
        <f t="shared" si="58"/>
        <v>1900</v>
      </c>
    </row>
    <row r="3712" spans="9:9" x14ac:dyDescent="0.25">
      <c r="I3712">
        <f t="shared" si="58"/>
        <v>1900</v>
      </c>
    </row>
    <row r="3713" spans="9:9" x14ac:dyDescent="0.25">
      <c r="I3713">
        <f t="shared" si="58"/>
        <v>1900</v>
      </c>
    </row>
    <row r="3714" spans="9:9" x14ac:dyDescent="0.25">
      <c r="I3714">
        <f t="shared" si="58"/>
        <v>1900</v>
      </c>
    </row>
    <row r="3715" spans="9:9" x14ac:dyDescent="0.25">
      <c r="I3715">
        <f t="shared" si="58"/>
        <v>1900</v>
      </c>
    </row>
    <row r="3716" spans="9:9" x14ac:dyDescent="0.25">
      <c r="I3716">
        <f t="shared" ref="I3716:I3779" si="59">IFERROR(YEAR(E3716),"")</f>
        <v>1900</v>
      </c>
    </row>
    <row r="3717" spans="9:9" x14ac:dyDescent="0.25">
      <c r="I3717">
        <f t="shared" si="59"/>
        <v>1900</v>
      </c>
    </row>
    <row r="3718" spans="9:9" x14ac:dyDescent="0.25">
      <c r="I3718">
        <f t="shared" si="59"/>
        <v>1900</v>
      </c>
    </row>
    <row r="3719" spans="9:9" x14ac:dyDescent="0.25">
      <c r="I3719">
        <f t="shared" si="59"/>
        <v>1900</v>
      </c>
    </row>
    <row r="3720" spans="9:9" x14ac:dyDescent="0.25">
      <c r="I3720">
        <f t="shared" si="59"/>
        <v>1900</v>
      </c>
    </row>
    <row r="3721" spans="9:9" x14ac:dyDescent="0.25">
      <c r="I3721">
        <f t="shared" si="59"/>
        <v>1900</v>
      </c>
    </row>
    <row r="3722" spans="9:9" x14ac:dyDescent="0.25">
      <c r="I3722">
        <f t="shared" si="59"/>
        <v>1900</v>
      </c>
    </row>
    <row r="3723" spans="9:9" x14ac:dyDescent="0.25">
      <c r="I3723">
        <f t="shared" si="59"/>
        <v>1900</v>
      </c>
    </row>
    <row r="3724" spans="9:9" x14ac:dyDescent="0.25">
      <c r="I3724">
        <f t="shared" si="59"/>
        <v>1900</v>
      </c>
    </row>
    <row r="3725" spans="9:9" x14ac:dyDescent="0.25">
      <c r="I3725">
        <f t="shared" si="59"/>
        <v>1900</v>
      </c>
    </row>
    <row r="3726" spans="9:9" x14ac:dyDescent="0.25">
      <c r="I3726">
        <f t="shared" si="59"/>
        <v>1900</v>
      </c>
    </row>
    <row r="3727" spans="9:9" x14ac:dyDescent="0.25">
      <c r="I3727">
        <f t="shared" si="59"/>
        <v>1900</v>
      </c>
    </row>
    <row r="3728" spans="9:9" x14ac:dyDescent="0.25">
      <c r="I3728">
        <f t="shared" si="59"/>
        <v>1900</v>
      </c>
    </row>
    <row r="3729" spans="9:9" x14ac:dyDescent="0.25">
      <c r="I3729">
        <f t="shared" si="59"/>
        <v>1900</v>
      </c>
    </row>
    <row r="3730" spans="9:9" x14ac:dyDescent="0.25">
      <c r="I3730">
        <f t="shared" si="59"/>
        <v>1900</v>
      </c>
    </row>
    <row r="3731" spans="9:9" x14ac:dyDescent="0.25">
      <c r="I3731">
        <f t="shared" si="59"/>
        <v>1900</v>
      </c>
    </row>
    <row r="3732" spans="9:9" x14ac:dyDescent="0.25">
      <c r="I3732">
        <f t="shared" si="59"/>
        <v>1900</v>
      </c>
    </row>
    <row r="3733" spans="9:9" x14ac:dyDescent="0.25">
      <c r="I3733">
        <f t="shared" si="59"/>
        <v>1900</v>
      </c>
    </row>
    <row r="3734" spans="9:9" x14ac:dyDescent="0.25">
      <c r="I3734">
        <f t="shared" si="59"/>
        <v>1900</v>
      </c>
    </row>
    <row r="3735" spans="9:9" x14ac:dyDescent="0.25">
      <c r="I3735">
        <f t="shared" si="59"/>
        <v>1900</v>
      </c>
    </row>
    <row r="3736" spans="9:9" x14ac:dyDescent="0.25">
      <c r="I3736">
        <f t="shared" si="59"/>
        <v>1900</v>
      </c>
    </row>
    <row r="3737" spans="9:9" x14ac:dyDescent="0.25">
      <c r="I3737">
        <f t="shared" si="59"/>
        <v>1900</v>
      </c>
    </row>
    <row r="3738" spans="9:9" x14ac:dyDescent="0.25">
      <c r="I3738">
        <f t="shared" si="59"/>
        <v>1900</v>
      </c>
    </row>
    <row r="3739" spans="9:9" x14ac:dyDescent="0.25">
      <c r="I3739">
        <f t="shared" si="59"/>
        <v>1900</v>
      </c>
    </row>
    <row r="3740" spans="9:9" x14ac:dyDescent="0.25">
      <c r="I3740">
        <f t="shared" si="59"/>
        <v>1900</v>
      </c>
    </row>
    <row r="3741" spans="9:9" x14ac:dyDescent="0.25">
      <c r="I3741">
        <f t="shared" si="59"/>
        <v>1900</v>
      </c>
    </row>
    <row r="3742" spans="9:9" x14ac:dyDescent="0.25">
      <c r="I3742">
        <f t="shared" si="59"/>
        <v>1900</v>
      </c>
    </row>
    <row r="3743" spans="9:9" x14ac:dyDescent="0.25">
      <c r="I3743">
        <f t="shared" si="59"/>
        <v>1900</v>
      </c>
    </row>
    <row r="3744" spans="9:9" x14ac:dyDescent="0.25">
      <c r="I3744">
        <f t="shared" si="59"/>
        <v>1900</v>
      </c>
    </row>
    <row r="3745" spans="9:9" x14ac:dyDescent="0.25">
      <c r="I3745">
        <f t="shared" si="59"/>
        <v>1900</v>
      </c>
    </row>
    <row r="3746" spans="9:9" x14ac:dyDescent="0.25">
      <c r="I3746">
        <f t="shared" si="59"/>
        <v>1900</v>
      </c>
    </row>
    <row r="3747" spans="9:9" x14ac:dyDescent="0.25">
      <c r="I3747">
        <f t="shared" si="59"/>
        <v>1900</v>
      </c>
    </row>
    <row r="3748" spans="9:9" x14ac:dyDescent="0.25">
      <c r="I3748">
        <f t="shared" si="59"/>
        <v>1900</v>
      </c>
    </row>
    <row r="3749" spans="9:9" x14ac:dyDescent="0.25">
      <c r="I3749">
        <f t="shared" si="59"/>
        <v>1900</v>
      </c>
    </row>
    <row r="3750" spans="9:9" x14ac:dyDescent="0.25">
      <c r="I3750">
        <f t="shared" si="59"/>
        <v>1900</v>
      </c>
    </row>
    <row r="3751" spans="9:9" x14ac:dyDescent="0.25">
      <c r="I3751">
        <f t="shared" si="59"/>
        <v>1900</v>
      </c>
    </row>
    <row r="3752" spans="9:9" x14ac:dyDescent="0.25">
      <c r="I3752">
        <f t="shared" si="59"/>
        <v>1900</v>
      </c>
    </row>
    <row r="3753" spans="9:9" x14ac:dyDescent="0.25">
      <c r="I3753">
        <f t="shared" si="59"/>
        <v>1900</v>
      </c>
    </row>
    <row r="3754" spans="9:9" x14ac:dyDescent="0.25">
      <c r="I3754">
        <f t="shared" si="59"/>
        <v>1900</v>
      </c>
    </row>
    <row r="3755" spans="9:9" x14ac:dyDescent="0.25">
      <c r="I3755">
        <f t="shared" si="59"/>
        <v>1900</v>
      </c>
    </row>
    <row r="3756" spans="9:9" x14ac:dyDescent="0.25">
      <c r="I3756">
        <f t="shared" si="59"/>
        <v>1900</v>
      </c>
    </row>
    <row r="3757" spans="9:9" x14ac:dyDescent="0.25">
      <c r="I3757">
        <f t="shared" si="59"/>
        <v>1900</v>
      </c>
    </row>
    <row r="3758" spans="9:9" x14ac:dyDescent="0.25">
      <c r="I3758">
        <f t="shared" si="59"/>
        <v>1900</v>
      </c>
    </row>
    <row r="3759" spans="9:9" x14ac:dyDescent="0.25">
      <c r="I3759">
        <f t="shared" si="59"/>
        <v>1900</v>
      </c>
    </row>
    <row r="3760" spans="9:9" x14ac:dyDescent="0.25">
      <c r="I3760">
        <f t="shared" si="59"/>
        <v>1900</v>
      </c>
    </row>
    <row r="3761" spans="9:9" x14ac:dyDescent="0.25">
      <c r="I3761">
        <f t="shared" si="59"/>
        <v>1900</v>
      </c>
    </row>
    <row r="3762" spans="9:9" x14ac:dyDescent="0.25">
      <c r="I3762">
        <f t="shared" si="59"/>
        <v>1900</v>
      </c>
    </row>
    <row r="3763" spans="9:9" x14ac:dyDescent="0.25">
      <c r="I3763">
        <f t="shared" si="59"/>
        <v>1900</v>
      </c>
    </row>
    <row r="3764" spans="9:9" x14ac:dyDescent="0.25">
      <c r="I3764">
        <f t="shared" si="59"/>
        <v>1900</v>
      </c>
    </row>
    <row r="3765" spans="9:9" x14ac:dyDescent="0.25">
      <c r="I3765">
        <f t="shared" si="59"/>
        <v>1900</v>
      </c>
    </row>
    <row r="3766" spans="9:9" x14ac:dyDescent="0.25">
      <c r="I3766">
        <f t="shared" si="59"/>
        <v>1900</v>
      </c>
    </row>
    <row r="3767" spans="9:9" x14ac:dyDescent="0.25">
      <c r="I3767">
        <f t="shared" si="59"/>
        <v>1900</v>
      </c>
    </row>
    <row r="3768" spans="9:9" x14ac:dyDescent="0.25">
      <c r="I3768">
        <f t="shared" si="59"/>
        <v>1900</v>
      </c>
    </row>
    <row r="3769" spans="9:9" x14ac:dyDescent="0.25">
      <c r="I3769">
        <f t="shared" si="59"/>
        <v>1900</v>
      </c>
    </row>
    <row r="3770" spans="9:9" x14ac:dyDescent="0.25">
      <c r="I3770">
        <f t="shared" si="59"/>
        <v>1900</v>
      </c>
    </row>
    <row r="3771" spans="9:9" x14ac:dyDescent="0.25">
      <c r="I3771">
        <f t="shared" si="59"/>
        <v>1900</v>
      </c>
    </row>
    <row r="3772" spans="9:9" x14ac:dyDescent="0.25">
      <c r="I3772">
        <f t="shared" si="59"/>
        <v>1900</v>
      </c>
    </row>
    <row r="3773" spans="9:9" x14ac:dyDescent="0.25">
      <c r="I3773">
        <f t="shared" si="59"/>
        <v>1900</v>
      </c>
    </row>
    <row r="3774" spans="9:9" x14ac:dyDescent="0.25">
      <c r="I3774">
        <f t="shared" si="59"/>
        <v>1900</v>
      </c>
    </row>
    <row r="3775" spans="9:9" x14ac:dyDescent="0.25">
      <c r="I3775">
        <f t="shared" si="59"/>
        <v>1900</v>
      </c>
    </row>
    <row r="3776" spans="9:9" x14ac:dyDescent="0.25">
      <c r="I3776">
        <f t="shared" si="59"/>
        <v>1900</v>
      </c>
    </row>
    <row r="3777" spans="9:9" x14ac:dyDescent="0.25">
      <c r="I3777">
        <f t="shared" si="59"/>
        <v>1900</v>
      </c>
    </row>
    <row r="3778" spans="9:9" x14ac:dyDescent="0.25">
      <c r="I3778">
        <f t="shared" si="59"/>
        <v>1900</v>
      </c>
    </row>
    <row r="3779" spans="9:9" x14ac:dyDescent="0.25">
      <c r="I3779">
        <f t="shared" si="59"/>
        <v>1900</v>
      </c>
    </row>
    <row r="3780" spans="9:9" x14ac:dyDescent="0.25">
      <c r="I3780">
        <f t="shared" ref="I3780:I3843" si="60">IFERROR(YEAR(E3780),"")</f>
        <v>1900</v>
      </c>
    </row>
    <row r="3781" spans="9:9" x14ac:dyDescent="0.25">
      <c r="I3781">
        <f t="shared" si="60"/>
        <v>1900</v>
      </c>
    </row>
    <row r="3782" spans="9:9" x14ac:dyDescent="0.25">
      <c r="I3782">
        <f t="shared" si="60"/>
        <v>1900</v>
      </c>
    </row>
    <row r="3783" spans="9:9" x14ac:dyDescent="0.25">
      <c r="I3783">
        <f t="shared" si="60"/>
        <v>1900</v>
      </c>
    </row>
    <row r="3784" spans="9:9" x14ac:dyDescent="0.25">
      <c r="I3784">
        <f t="shared" si="60"/>
        <v>1900</v>
      </c>
    </row>
    <row r="3785" spans="9:9" x14ac:dyDescent="0.25">
      <c r="I3785">
        <f t="shared" si="60"/>
        <v>1900</v>
      </c>
    </row>
    <row r="3786" spans="9:9" x14ac:dyDescent="0.25">
      <c r="I3786">
        <f t="shared" si="60"/>
        <v>1900</v>
      </c>
    </row>
    <row r="3787" spans="9:9" x14ac:dyDescent="0.25">
      <c r="I3787">
        <f t="shared" si="60"/>
        <v>1900</v>
      </c>
    </row>
    <row r="3788" spans="9:9" x14ac:dyDescent="0.25">
      <c r="I3788">
        <f t="shared" si="60"/>
        <v>1900</v>
      </c>
    </row>
    <row r="3789" spans="9:9" x14ac:dyDescent="0.25">
      <c r="I3789">
        <f t="shared" si="60"/>
        <v>1900</v>
      </c>
    </row>
    <row r="3790" spans="9:9" x14ac:dyDescent="0.25">
      <c r="I3790">
        <f t="shared" si="60"/>
        <v>1900</v>
      </c>
    </row>
    <row r="3791" spans="9:9" x14ac:dyDescent="0.25">
      <c r="I3791">
        <f t="shared" si="60"/>
        <v>1900</v>
      </c>
    </row>
    <row r="3792" spans="9:9" x14ac:dyDescent="0.25">
      <c r="I3792">
        <f t="shared" si="60"/>
        <v>1900</v>
      </c>
    </row>
    <row r="3793" spans="9:9" x14ac:dyDescent="0.25">
      <c r="I3793">
        <f t="shared" si="60"/>
        <v>1900</v>
      </c>
    </row>
    <row r="3794" spans="9:9" x14ac:dyDescent="0.25">
      <c r="I3794">
        <f t="shared" si="60"/>
        <v>1900</v>
      </c>
    </row>
    <row r="3795" spans="9:9" x14ac:dyDescent="0.25">
      <c r="I3795">
        <f t="shared" si="60"/>
        <v>1900</v>
      </c>
    </row>
    <row r="3796" spans="9:9" x14ac:dyDescent="0.25">
      <c r="I3796">
        <f t="shared" si="60"/>
        <v>1900</v>
      </c>
    </row>
    <row r="3797" spans="9:9" x14ac:dyDescent="0.25">
      <c r="I3797">
        <f t="shared" si="60"/>
        <v>1900</v>
      </c>
    </row>
    <row r="3798" spans="9:9" x14ac:dyDescent="0.25">
      <c r="I3798">
        <f t="shared" si="60"/>
        <v>1900</v>
      </c>
    </row>
    <row r="3799" spans="9:9" x14ac:dyDescent="0.25">
      <c r="I3799">
        <f t="shared" si="60"/>
        <v>1900</v>
      </c>
    </row>
    <row r="3800" spans="9:9" x14ac:dyDescent="0.25">
      <c r="I3800">
        <f t="shared" si="60"/>
        <v>1900</v>
      </c>
    </row>
    <row r="3801" spans="9:9" x14ac:dyDescent="0.25">
      <c r="I3801">
        <f t="shared" si="60"/>
        <v>1900</v>
      </c>
    </row>
    <row r="3802" spans="9:9" x14ac:dyDescent="0.25">
      <c r="I3802">
        <f t="shared" si="60"/>
        <v>1900</v>
      </c>
    </row>
    <row r="3803" spans="9:9" x14ac:dyDescent="0.25">
      <c r="I3803">
        <f t="shared" si="60"/>
        <v>1900</v>
      </c>
    </row>
    <row r="3804" spans="9:9" x14ac:dyDescent="0.25">
      <c r="I3804">
        <f t="shared" si="60"/>
        <v>1900</v>
      </c>
    </row>
    <row r="3805" spans="9:9" x14ac:dyDescent="0.25">
      <c r="I3805">
        <f t="shared" si="60"/>
        <v>1900</v>
      </c>
    </row>
    <row r="3806" spans="9:9" x14ac:dyDescent="0.25">
      <c r="I3806">
        <f t="shared" si="60"/>
        <v>1900</v>
      </c>
    </row>
    <row r="3807" spans="9:9" x14ac:dyDescent="0.25">
      <c r="I3807">
        <f t="shared" si="60"/>
        <v>1900</v>
      </c>
    </row>
    <row r="3808" spans="9:9" x14ac:dyDescent="0.25">
      <c r="I3808">
        <f t="shared" si="60"/>
        <v>1900</v>
      </c>
    </row>
    <row r="3809" spans="9:9" x14ac:dyDescent="0.25">
      <c r="I3809">
        <f t="shared" si="60"/>
        <v>1900</v>
      </c>
    </row>
    <row r="3810" spans="9:9" x14ac:dyDescent="0.25">
      <c r="I3810">
        <f t="shared" si="60"/>
        <v>1900</v>
      </c>
    </row>
    <row r="3811" spans="9:9" x14ac:dyDescent="0.25">
      <c r="I3811">
        <f t="shared" si="60"/>
        <v>1900</v>
      </c>
    </row>
    <row r="3812" spans="9:9" x14ac:dyDescent="0.25">
      <c r="I3812">
        <f t="shared" si="60"/>
        <v>1900</v>
      </c>
    </row>
    <row r="3813" spans="9:9" x14ac:dyDescent="0.25">
      <c r="I3813">
        <f t="shared" si="60"/>
        <v>1900</v>
      </c>
    </row>
    <row r="3814" spans="9:9" x14ac:dyDescent="0.25">
      <c r="I3814">
        <f t="shared" si="60"/>
        <v>1900</v>
      </c>
    </row>
    <row r="3815" spans="9:9" x14ac:dyDescent="0.25">
      <c r="I3815">
        <f t="shared" si="60"/>
        <v>1900</v>
      </c>
    </row>
    <row r="3816" spans="9:9" x14ac:dyDescent="0.25">
      <c r="I3816">
        <f t="shared" si="60"/>
        <v>1900</v>
      </c>
    </row>
    <row r="3817" spans="9:9" x14ac:dyDescent="0.25">
      <c r="I3817">
        <f t="shared" si="60"/>
        <v>1900</v>
      </c>
    </row>
    <row r="3818" spans="9:9" x14ac:dyDescent="0.25">
      <c r="I3818">
        <f t="shared" si="60"/>
        <v>1900</v>
      </c>
    </row>
    <row r="3819" spans="9:9" x14ac:dyDescent="0.25">
      <c r="I3819">
        <f t="shared" si="60"/>
        <v>1900</v>
      </c>
    </row>
    <row r="3820" spans="9:9" x14ac:dyDescent="0.25">
      <c r="I3820">
        <f t="shared" si="60"/>
        <v>1900</v>
      </c>
    </row>
    <row r="3821" spans="9:9" x14ac:dyDescent="0.25">
      <c r="I3821">
        <f t="shared" si="60"/>
        <v>1900</v>
      </c>
    </row>
    <row r="3822" spans="9:9" x14ac:dyDescent="0.25">
      <c r="I3822">
        <f t="shared" si="60"/>
        <v>1900</v>
      </c>
    </row>
    <row r="3823" spans="9:9" x14ac:dyDescent="0.25">
      <c r="I3823">
        <f t="shared" si="60"/>
        <v>1900</v>
      </c>
    </row>
    <row r="3824" spans="9:9" x14ac:dyDescent="0.25">
      <c r="I3824">
        <f t="shared" si="60"/>
        <v>1900</v>
      </c>
    </row>
    <row r="3825" spans="9:9" x14ac:dyDescent="0.25">
      <c r="I3825">
        <f t="shared" si="60"/>
        <v>1900</v>
      </c>
    </row>
    <row r="3826" spans="9:9" x14ac:dyDescent="0.25">
      <c r="I3826">
        <f t="shared" si="60"/>
        <v>1900</v>
      </c>
    </row>
    <row r="3827" spans="9:9" x14ac:dyDescent="0.25">
      <c r="I3827">
        <f t="shared" si="60"/>
        <v>1900</v>
      </c>
    </row>
    <row r="3828" spans="9:9" x14ac:dyDescent="0.25">
      <c r="I3828">
        <f t="shared" si="60"/>
        <v>1900</v>
      </c>
    </row>
    <row r="3829" spans="9:9" x14ac:dyDescent="0.25">
      <c r="I3829">
        <f t="shared" si="60"/>
        <v>1900</v>
      </c>
    </row>
    <row r="3830" spans="9:9" x14ac:dyDescent="0.25">
      <c r="I3830">
        <f t="shared" si="60"/>
        <v>1900</v>
      </c>
    </row>
    <row r="3831" spans="9:9" x14ac:dyDescent="0.25">
      <c r="I3831">
        <f t="shared" si="60"/>
        <v>1900</v>
      </c>
    </row>
    <row r="3832" spans="9:9" x14ac:dyDescent="0.25">
      <c r="I3832">
        <f t="shared" si="60"/>
        <v>1900</v>
      </c>
    </row>
    <row r="3833" spans="9:9" x14ac:dyDescent="0.25">
      <c r="I3833">
        <f t="shared" si="60"/>
        <v>1900</v>
      </c>
    </row>
    <row r="3834" spans="9:9" x14ac:dyDescent="0.25">
      <c r="I3834">
        <f t="shared" si="60"/>
        <v>1900</v>
      </c>
    </row>
    <row r="3835" spans="9:9" x14ac:dyDescent="0.25">
      <c r="I3835">
        <f t="shared" si="60"/>
        <v>1900</v>
      </c>
    </row>
    <row r="3836" spans="9:9" x14ac:dyDescent="0.25">
      <c r="I3836">
        <f t="shared" si="60"/>
        <v>1900</v>
      </c>
    </row>
    <row r="3837" spans="9:9" x14ac:dyDescent="0.25">
      <c r="I3837">
        <f t="shared" si="60"/>
        <v>1900</v>
      </c>
    </row>
    <row r="3838" spans="9:9" x14ac:dyDescent="0.25">
      <c r="I3838">
        <f t="shared" si="60"/>
        <v>1900</v>
      </c>
    </row>
    <row r="3839" spans="9:9" x14ac:dyDescent="0.25">
      <c r="I3839">
        <f t="shared" si="60"/>
        <v>1900</v>
      </c>
    </row>
    <row r="3840" spans="9:9" x14ac:dyDescent="0.25">
      <c r="I3840">
        <f t="shared" si="60"/>
        <v>1900</v>
      </c>
    </row>
    <row r="3841" spans="9:9" x14ac:dyDescent="0.25">
      <c r="I3841">
        <f t="shared" si="60"/>
        <v>1900</v>
      </c>
    </row>
    <row r="3842" spans="9:9" x14ac:dyDescent="0.25">
      <c r="I3842">
        <f t="shared" si="60"/>
        <v>1900</v>
      </c>
    </row>
    <row r="3843" spans="9:9" x14ac:dyDescent="0.25">
      <c r="I3843">
        <f t="shared" si="60"/>
        <v>1900</v>
      </c>
    </row>
    <row r="3844" spans="9:9" x14ac:dyDescent="0.25">
      <c r="I3844">
        <f t="shared" ref="I3844:I3907" si="61">IFERROR(YEAR(E3844),"")</f>
        <v>1900</v>
      </c>
    </row>
    <row r="3845" spans="9:9" x14ac:dyDescent="0.25">
      <c r="I3845">
        <f t="shared" si="61"/>
        <v>1900</v>
      </c>
    </row>
    <row r="3846" spans="9:9" x14ac:dyDescent="0.25">
      <c r="I3846">
        <f t="shared" si="61"/>
        <v>1900</v>
      </c>
    </row>
    <row r="3847" spans="9:9" x14ac:dyDescent="0.25">
      <c r="I3847">
        <f t="shared" si="61"/>
        <v>1900</v>
      </c>
    </row>
    <row r="3848" spans="9:9" x14ac:dyDescent="0.25">
      <c r="I3848">
        <f t="shared" si="61"/>
        <v>1900</v>
      </c>
    </row>
    <row r="3849" spans="9:9" x14ac:dyDescent="0.25">
      <c r="I3849">
        <f t="shared" si="61"/>
        <v>1900</v>
      </c>
    </row>
    <row r="3850" spans="9:9" x14ac:dyDescent="0.25">
      <c r="I3850">
        <f t="shared" si="61"/>
        <v>1900</v>
      </c>
    </row>
    <row r="3851" spans="9:9" x14ac:dyDescent="0.25">
      <c r="I3851">
        <f t="shared" si="61"/>
        <v>1900</v>
      </c>
    </row>
    <row r="3852" spans="9:9" x14ac:dyDescent="0.25">
      <c r="I3852">
        <f t="shared" si="61"/>
        <v>1900</v>
      </c>
    </row>
    <row r="3853" spans="9:9" x14ac:dyDescent="0.25">
      <c r="I3853">
        <f t="shared" si="61"/>
        <v>1900</v>
      </c>
    </row>
    <row r="3854" spans="9:9" x14ac:dyDescent="0.25">
      <c r="I3854">
        <f t="shared" si="61"/>
        <v>1900</v>
      </c>
    </row>
    <row r="3855" spans="9:9" x14ac:dyDescent="0.25">
      <c r="I3855">
        <f t="shared" si="61"/>
        <v>1900</v>
      </c>
    </row>
    <row r="3856" spans="9:9" x14ac:dyDescent="0.25">
      <c r="I3856">
        <f t="shared" si="61"/>
        <v>1900</v>
      </c>
    </row>
    <row r="3857" spans="9:9" x14ac:dyDescent="0.25">
      <c r="I3857">
        <f t="shared" si="61"/>
        <v>1900</v>
      </c>
    </row>
    <row r="3858" spans="9:9" x14ac:dyDescent="0.25">
      <c r="I3858">
        <f t="shared" si="61"/>
        <v>1900</v>
      </c>
    </row>
    <row r="3859" spans="9:9" x14ac:dyDescent="0.25">
      <c r="I3859">
        <f t="shared" si="61"/>
        <v>1900</v>
      </c>
    </row>
    <row r="3860" spans="9:9" x14ac:dyDescent="0.25">
      <c r="I3860">
        <f t="shared" si="61"/>
        <v>1900</v>
      </c>
    </row>
    <row r="3861" spans="9:9" x14ac:dyDescent="0.25">
      <c r="I3861">
        <f t="shared" si="61"/>
        <v>1900</v>
      </c>
    </row>
    <row r="3862" spans="9:9" x14ac:dyDescent="0.25">
      <c r="I3862">
        <f t="shared" si="61"/>
        <v>1900</v>
      </c>
    </row>
    <row r="3863" spans="9:9" x14ac:dyDescent="0.25">
      <c r="I3863">
        <f t="shared" si="61"/>
        <v>1900</v>
      </c>
    </row>
    <row r="3864" spans="9:9" x14ac:dyDescent="0.25">
      <c r="I3864">
        <f t="shared" si="61"/>
        <v>1900</v>
      </c>
    </row>
    <row r="3865" spans="9:9" x14ac:dyDescent="0.25">
      <c r="I3865">
        <f t="shared" si="61"/>
        <v>1900</v>
      </c>
    </row>
    <row r="3866" spans="9:9" x14ac:dyDescent="0.25">
      <c r="I3866">
        <f t="shared" si="61"/>
        <v>1900</v>
      </c>
    </row>
    <row r="3867" spans="9:9" x14ac:dyDescent="0.25">
      <c r="I3867">
        <f t="shared" si="61"/>
        <v>1900</v>
      </c>
    </row>
    <row r="3868" spans="9:9" x14ac:dyDescent="0.25">
      <c r="I3868">
        <f t="shared" si="61"/>
        <v>1900</v>
      </c>
    </row>
    <row r="3869" spans="9:9" x14ac:dyDescent="0.25">
      <c r="I3869">
        <f t="shared" si="61"/>
        <v>1900</v>
      </c>
    </row>
    <row r="3870" spans="9:9" x14ac:dyDescent="0.25">
      <c r="I3870">
        <f t="shared" si="61"/>
        <v>1900</v>
      </c>
    </row>
    <row r="3871" spans="9:9" x14ac:dyDescent="0.25">
      <c r="I3871">
        <f t="shared" si="61"/>
        <v>1900</v>
      </c>
    </row>
    <row r="3872" spans="9:9" x14ac:dyDescent="0.25">
      <c r="I3872">
        <f t="shared" si="61"/>
        <v>1900</v>
      </c>
    </row>
    <row r="3873" spans="9:9" x14ac:dyDescent="0.25">
      <c r="I3873">
        <f t="shared" si="61"/>
        <v>1900</v>
      </c>
    </row>
    <row r="3874" spans="9:9" x14ac:dyDescent="0.25">
      <c r="I3874">
        <f t="shared" si="61"/>
        <v>1900</v>
      </c>
    </row>
    <row r="3875" spans="9:9" x14ac:dyDescent="0.25">
      <c r="I3875">
        <f t="shared" si="61"/>
        <v>1900</v>
      </c>
    </row>
    <row r="3876" spans="9:9" x14ac:dyDescent="0.25">
      <c r="I3876">
        <f t="shared" si="61"/>
        <v>1900</v>
      </c>
    </row>
    <row r="3877" spans="9:9" x14ac:dyDescent="0.25">
      <c r="I3877">
        <f t="shared" si="61"/>
        <v>1900</v>
      </c>
    </row>
    <row r="3878" spans="9:9" x14ac:dyDescent="0.25">
      <c r="I3878">
        <f t="shared" si="61"/>
        <v>1900</v>
      </c>
    </row>
    <row r="3879" spans="9:9" x14ac:dyDescent="0.25">
      <c r="I3879">
        <f t="shared" si="61"/>
        <v>1900</v>
      </c>
    </row>
    <row r="3880" spans="9:9" x14ac:dyDescent="0.25">
      <c r="I3880">
        <f t="shared" si="61"/>
        <v>1900</v>
      </c>
    </row>
    <row r="3881" spans="9:9" x14ac:dyDescent="0.25">
      <c r="I3881">
        <f t="shared" si="61"/>
        <v>1900</v>
      </c>
    </row>
    <row r="3882" spans="9:9" x14ac:dyDescent="0.25">
      <c r="I3882">
        <f t="shared" si="61"/>
        <v>1900</v>
      </c>
    </row>
    <row r="3883" spans="9:9" x14ac:dyDescent="0.25">
      <c r="I3883">
        <f t="shared" si="61"/>
        <v>1900</v>
      </c>
    </row>
    <row r="3884" spans="9:9" x14ac:dyDescent="0.25">
      <c r="I3884">
        <f t="shared" si="61"/>
        <v>1900</v>
      </c>
    </row>
    <row r="3885" spans="9:9" x14ac:dyDescent="0.25">
      <c r="I3885">
        <f t="shared" si="61"/>
        <v>1900</v>
      </c>
    </row>
    <row r="3886" spans="9:9" x14ac:dyDescent="0.25">
      <c r="I3886">
        <f t="shared" si="61"/>
        <v>1900</v>
      </c>
    </row>
    <row r="3887" spans="9:9" x14ac:dyDescent="0.25">
      <c r="I3887">
        <f t="shared" si="61"/>
        <v>1900</v>
      </c>
    </row>
    <row r="3888" spans="9:9" x14ac:dyDescent="0.25">
      <c r="I3888">
        <f t="shared" si="61"/>
        <v>1900</v>
      </c>
    </row>
    <row r="3889" spans="9:9" x14ac:dyDescent="0.25">
      <c r="I3889">
        <f t="shared" si="61"/>
        <v>1900</v>
      </c>
    </row>
    <row r="3890" spans="9:9" x14ac:dyDescent="0.25">
      <c r="I3890">
        <f t="shared" si="61"/>
        <v>1900</v>
      </c>
    </row>
    <row r="3891" spans="9:9" x14ac:dyDescent="0.25">
      <c r="I3891">
        <f t="shared" si="61"/>
        <v>1900</v>
      </c>
    </row>
    <row r="3892" spans="9:9" x14ac:dyDescent="0.25">
      <c r="I3892">
        <f t="shared" si="61"/>
        <v>1900</v>
      </c>
    </row>
    <row r="3893" spans="9:9" x14ac:dyDescent="0.25">
      <c r="I3893">
        <f t="shared" si="61"/>
        <v>1900</v>
      </c>
    </row>
    <row r="3894" spans="9:9" x14ac:dyDescent="0.25">
      <c r="I3894">
        <f t="shared" si="61"/>
        <v>1900</v>
      </c>
    </row>
    <row r="3895" spans="9:9" x14ac:dyDescent="0.25">
      <c r="I3895">
        <f t="shared" si="61"/>
        <v>1900</v>
      </c>
    </row>
    <row r="3896" spans="9:9" x14ac:dyDescent="0.25">
      <c r="I3896">
        <f t="shared" si="61"/>
        <v>1900</v>
      </c>
    </row>
    <row r="3897" spans="9:9" x14ac:dyDescent="0.25">
      <c r="I3897">
        <f t="shared" si="61"/>
        <v>1900</v>
      </c>
    </row>
    <row r="3898" spans="9:9" x14ac:dyDescent="0.25">
      <c r="I3898">
        <f t="shared" si="61"/>
        <v>1900</v>
      </c>
    </row>
    <row r="3899" spans="9:9" x14ac:dyDescent="0.25">
      <c r="I3899">
        <f t="shared" si="61"/>
        <v>1900</v>
      </c>
    </row>
    <row r="3900" spans="9:9" x14ac:dyDescent="0.25">
      <c r="I3900">
        <f t="shared" si="61"/>
        <v>1900</v>
      </c>
    </row>
    <row r="3901" spans="9:9" x14ac:dyDescent="0.25">
      <c r="I3901">
        <f t="shared" si="61"/>
        <v>1900</v>
      </c>
    </row>
    <row r="3902" spans="9:9" x14ac:dyDescent="0.25">
      <c r="I3902">
        <f t="shared" si="61"/>
        <v>1900</v>
      </c>
    </row>
    <row r="3903" spans="9:9" x14ac:dyDescent="0.25">
      <c r="I3903">
        <f t="shared" si="61"/>
        <v>1900</v>
      </c>
    </row>
    <row r="3904" spans="9:9" x14ac:dyDescent="0.25">
      <c r="I3904">
        <f t="shared" si="61"/>
        <v>1900</v>
      </c>
    </row>
    <row r="3905" spans="9:9" x14ac:dyDescent="0.25">
      <c r="I3905">
        <f t="shared" si="61"/>
        <v>1900</v>
      </c>
    </row>
    <row r="3906" spans="9:9" x14ac:dyDescent="0.25">
      <c r="I3906">
        <f t="shared" si="61"/>
        <v>1900</v>
      </c>
    </row>
    <row r="3907" spans="9:9" x14ac:dyDescent="0.25">
      <c r="I3907">
        <f t="shared" si="61"/>
        <v>1900</v>
      </c>
    </row>
    <row r="3908" spans="9:9" x14ac:dyDescent="0.25">
      <c r="I3908">
        <f t="shared" ref="I3908:I3971" si="62">IFERROR(YEAR(E3908),"")</f>
        <v>1900</v>
      </c>
    </row>
    <row r="3909" spans="9:9" x14ac:dyDescent="0.25">
      <c r="I3909">
        <f t="shared" si="62"/>
        <v>1900</v>
      </c>
    </row>
    <row r="3910" spans="9:9" x14ac:dyDescent="0.25">
      <c r="I3910">
        <f t="shared" si="62"/>
        <v>1900</v>
      </c>
    </row>
    <row r="3911" spans="9:9" x14ac:dyDescent="0.25">
      <c r="I3911">
        <f t="shared" si="62"/>
        <v>1900</v>
      </c>
    </row>
    <row r="3912" spans="9:9" x14ac:dyDescent="0.25">
      <c r="I3912">
        <f t="shared" si="62"/>
        <v>1900</v>
      </c>
    </row>
    <row r="3913" spans="9:9" x14ac:dyDescent="0.25">
      <c r="I3913">
        <f t="shared" si="62"/>
        <v>1900</v>
      </c>
    </row>
    <row r="3914" spans="9:9" x14ac:dyDescent="0.25">
      <c r="I3914">
        <f t="shared" si="62"/>
        <v>1900</v>
      </c>
    </row>
    <row r="3915" spans="9:9" x14ac:dyDescent="0.25">
      <c r="I3915">
        <f t="shared" si="62"/>
        <v>1900</v>
      </c>
    </row>
    <row r="3916" spans="9:9" x14ac:dyDescent="0.25">
      <c r="I3916">
        <f t="shared" si="62"/>
        <v>1900</v>
      </c>
    </row>
    <row r="3917" spans="9:9" x14ac:dyDescent="0.25">
      <c r="I3917">
        <f t="shared" si="62"/>
        <v>1900</v>
      </c>
    </row>
    <row r="3918" spans="9:9" x14ac:dyDescent="0.25">
      <c r="I3918">
        <f t="shared" si="62"/>
        <v>1900</v>
      </c>
    </row>
    <row r="3919" spans="9:9" x14ac:dyDescent="0.25">
      <c r="I3919">
        <f t="shared" si="62"/>
        <v>1900</v>
      </c>
    </row>
    <row r="3920" spans="9:9" x14ac:dyDescent="0.25">
      <c r="I3920">
        <f t="shared" si="62"/>
        <v>1900</v>
      </c>
    </row>
    <row r="3921" spans="9:9" x14ac:dyDescent="0.25">
      <c r="I3921">
        <f t="shared" si="62"/>
        <v>1900</v>
      </c>
    </row>
    <row r="3922" spans="9:9" x14ac:dyDescent="0.25">
      <c r="I3922">
        <f t="shared" si="62"/>
        <v>1900</v>
      </c>
    </row>
    <row r="3923" spans="9:9" x14ac:dyDescent="0.25">
      <c r="I3923">
        <f t="shared" si="62"/>
        <v>1900</v>
      </c>
    </row>
    <row r="3924" spans="9:9" x14ac:dyDescent="0.25">
      <c r="I3924">
        <f t="shared" si="62"/>
        <v>1900</v>
      </c>
    </row>
    <row r="3925" spans="9:9" x14ac:dyDescent="0.25">
      <c r="I3925">
        <f t="shared" si="62"/>
        <v>1900</v>
      </c>
    </row>
    <row r="3926" spans="9:9" x14ac:dyDescent="0.25">
      <c r="I3926">
        <f t="shared" si="62"/>
        <v>1900</v>
      </c>
    </row>
    <row r="3927" spans="9:9" x14ac:dyDescent="0.25">
      <c r="I3927">
        <f t="shared" si="62"/>
        <v>1900</v>
      </c>
    </row>
    <row r="3928" spans="9:9" x14ac:dyDescent="0.25">
      <c r="I3928">
        <f t="shared" si="62"/>
        <v>1900</v>
      </c>
    </row>
    <row r="3929" spans="9:9" x14ac:dyDescent="0.25">
      <c r="I3929">
        <f t="shared" si="62"/>
        <v>1900</v>
      </c>
    </row>
    <row r="3930" spans="9:9" x14ac:dyDescent="0.25">
      <c r="I3930">
        <f t="shared" si="62"/>
        <v>1900</v>
      </c>
    </row>
    <row r="3931" spans="9:9" x14ac:dyDescent="0.25">
      <c r="I3931">
        <f t="shared" si="62"/>
        <v>1900</v>
      </c>
    </row>
    <row r="3932" spans="9:9" x14ac:dyDescent="0.25">
      <c r="I3932">
        <f t="shared" si="62"/>
        <v>1900</v>
      </c>
    </row>
    <row r="3933" spans="9:9" x14ac:dyDescent="0.25">
      <c r="I3933">
        <f t="shared" si="62"/>
        <v>1900</v>
      </c>
    </row>
    <row r="3934" spans="9:9" x14ac:dyDescent="0.25">
      <c r="I3934">
        <f t="shared" si="62"/>
        <v>1900</v>
      </c>
    </row>
    <row r="3935" spans="9:9" x14ac:dyDescent="0.25">
      <c r="I3935">
        <f t="shared" si="62"/>
        <v>1900</v>
      </c>
    </row>
    <row r="3936" spans="9:9" x14ac:dyDescent="0.25">
      <c r="I3936">
        <f t="shared" si="62"/>
        <v>1900</v>
      </c>
    </row>
    <row r="3937" spans="9:9" x14ac:dyDescent="0.25">
      <c r="I3937">
        <f t="shared" si="62"/>
        <v>1900</v>
      </c>
    </row>
    <row r="3938" spans="9:9" x14ac:dyDescent="0.25">
      <c r="I3938">
        <f t="shared" si="62"/>
        <v>1900</v>
      </c>
    </row>
    <row r="3939" spans="9:9" x14ac:dyDescent="0.25">
      <c r="I3939">
        <f t="shared" si="62"/>
        <v>1900</v>
      </c>
    </row>
    <row r="3940" spans="9:9" x14ac:dyDescent="0.25">
      <c r="I3940">
        <f t="shared" si="62"/>
        <v>1900</v>
      </c>
    </row>
    <row r="3941" spans="9:9" x14ac:dyDescent="0.25">
      <c r="I3941">
        <f t="shared" si="62"/>
        <v>1900</v>
      </c>
    </row>
    <row r="3942" spans="9:9" x14ac:dyDescent="0.25">
      <c r="I3942">
        <f t="shared" si="62"/>
        <v>1900</v>
      </c>
    </row>
    <row r="3943" spans="9:9" x14ac:dyDescent="0.25">
      <c r="I3943">
        <f t="shared" si="62"/>
        <v>1900</v>
      </c>
    </row>
    <row r="3944" spans="9:9" x14ac:dyDescent="0.25">
      <c r="I3944">
        <f t="shared" si="62"/>
        <v>1900</v>
      </c>
    </row>
    <row r="3945" spans="9:9" x14ac:dyDescent="0.25">
      <c r="I3945">
        <f t="shared" si="62"/>
        <v>1900</v>
      </c>
    </row>
    <row r="3946" spans="9:9" x14ac:dyDescent="0.25">
      <c r="I3946">
        <f t="shared" si="62"/>
        <v>1900</v>
      </c>
    </row>
    <row r="3947" spans="9:9" x14ac:dyDescent="0.25">
      <c r="I3947">
        <f t="shared" si="62"/>
        <v>1900</v>
      </c>
    </row>
    <row r="3948" spans="9:9" x14ac:dyDescent="0.25">
      <c r="I3948">
        <f t="shared" si="62"/>
        <v>1900</v>
      </c>
    </row>
    <row r="3949" spans="9:9" x14ac:dyDescent="0.25">
      <c r="I3949">
        <f t="shared" si="62"/>
        <v>1900</v>
      </c>
    </row>
    <row r="3950" spans="9:9" x14ac:dyDescent="0.25">
      <c r="I3950">
        <f t="shared" si="62"/>
        <v>1900</v>
      </c>
    </row>
    <row r="3951" spans="9:9" x14ac:dyDescent="0.25">
      <c r="I3951">
        <f t="shared" si="62"/>
        <v>1900</v>
      </c>
    </row>
    <row r="3952" spans="9:9" x14ac:dyDescent="0.25">
      <c r="I3952">
        <f t="shared" si="62"/>
        <v>1900</v>
      </c>
    </row>
    <row r="3953" spans="9:9" x14ac:dyDescent="0.25">
      <c r="I3953">
        <f t="shared" si="62"/>
        <v>1900</v>
      </c>
    </row>
    <row r="3954" spans="9:9" x14ac:dyDescent="0.25">
      <c r="I3954">
        <f t="shared" si="62"/>
        <v>1900</v>
      </c>
    </row>
    <row r="3955" spans="9:9" x14ac:dyDescent="0.25">
      <c r="I3955">
        <f t="shared" si="62"/>
        <v>1900</v>
      </c>
    </row>
    <row r="3956" spans="9:9" x14ac:dyDescent="0.25">
      <c r="I3956">
        <f t="shared" si="62"/>
        <v>1900</v>
      </c>
    </row>
    <row r="3957" spans="9:9" x14ac:dyDescent="0.25">
      <c r="I3957">
        <f t="shared" si="62"/>
        <v>1900</v>
      </c>
    </row>
    <row r="3958" spans="9:9" x14ac:dyDescent="0.25">
      <c r="I3958">
        <f t="shared" si="62"/>
        <v>1900</v>
      </c>
    </row>
    <row r="3959" spans="9:9" x14ac:dyDescent="0.25">
      <c r="I3959">
        <f t="shared" si="62"/>
        <v>1900</v>
      </c>
    </row>
    <row r="3960" spans="9:9" x14ac:dyDescent="0.25">
      <c r="I3960">
        <f t="shared" si="62"/>
        <v>1900</v>
      </c>
    </row>
    <row r="3961" spans="9:9" x14ac:dyDescent="0.25">
      <c r="I3961">
        <f t="shared" si="62"/>
        <v>1900</v>
      </c>
    </row>
    <row r="3962" spans="9:9" x14ac:dyDescent="0.25">
      <c r="I3962">
        <f t="shared" si="62"/>
        <v>1900</v>
      </c>
    </row>
    <row r="3963" spans="9:9" x14ac:dyDescent="0.25">
      <c r="I3963">
        <f t="shared" si="62"/>
        <v>1900</v>
      </c>
    </row>
    <row r="3964" spans="9:9" x14ac:dyDescent="0.25">
      <c r="I3964">
        <f t="shared" si="62"/>
        <v>1900</v>
      </c>
    </row>
    <row r="3965" spans="9:9" x14ac:dyDescent="0.25">
      <c r="I3965">
        <f t="shared" si="62"/>
        <v>1900</v>
      </c>
    </row>
    <row r="3966" spans="9:9" x14ac:dyDescent="0.25">
      <c r="I3966">
        <f t="shared" si="62"/>
        <v>1900</v>
      </c>
    </row>
    <row r="3967" spans="9:9" x14ac:dyDescent="0.25">
      <c r="I3967">
        <f t="shared" si="62"/>
        <v>1900</v>
      </c>
    </row>
    <row r="3968" spans="9:9" x14ac:dyDescent="0.25">
      <c r="I3968">
        <f t="shared" si="62"/>
        <v>1900</v>
      </c>
    </row>
    <row r="3969" spans="9:9" x14ac:dyDescent="0.25">
      <c r="I3969">
        <f t="shared" si="62"/>
        <v>1900</v>
      </c>
    </row>
    <row r="3970" spans="9:9" x14ac:dyDescent="0.25">
      <c r="I3970">
        <f t="shared" si="62"/>
        <v>1900</v>
      </c>
    </row>
    <row r="3971" spans="9:9" x14ac:dyDescent="0.25">
      <c r="I3971">
        <f t="shared" si="62"/>
        <v>1900</v>
      </c>
    </row>
    <row r="3972" spans="9:9" x14ac:dyDescent="0.25">
      <c r="I3972">
        <f t="shared" ref="I3972:I4035" si="63">IFERROR(YEAR(E3972),"")</f>
        <v>1900</v>
      </c>
    </row>
    <row r="3973" spans="9:9" x14ac:dyDescent="0.25">
      <c r="I3973">
        <f t="shared" si="63"/>
        <v>1900</v>
      </c>
    </row>
    <row r="3974" spans="9:9" x14ac:dyDescent="0.25">
      <c r="I3974">
        <f t="shared" si="63"/>
        <v>1900</v>
      </c>
    </row>
    <row r="3975" spans="9:9" x14ac:dyDescent="0.25">
      <c r="I3975">
        <f t="shared" si="63"/>
        <v>1900</v>
      </c>
    </row>
    <row r="3976" spans="9:9" x14ac:dyDescent="0.25">
      <c r="I3976">
        <f t="shared" si="63"/>
        <v>1900</v>
      </c>
    </row>
    <row r="3977" spans="9:9" x14ac:dyDescent="0.25">
      <c r="I3977">
        <f t="shared" si="63"/>
        <v>1900</v>
      </c>
    </row>
    <row r="3978" spans="9:9" x14ac:dyDescent="0.25">
      <c r="I3978">
        <f t="shared" si="63"/>
        <v>1900</v>
      </c>
    </row>
    <row r="3979" spans="9:9" x14ac:dyDescent="0.25">
      <c r="I3979">
        <f t="shared" si="63"/>
        <v>1900</v>
      </c>
    </row>
    <row r="3980" spans="9:9" x14ac:dyDescent="0.25">
      <c r="I3980">
        <f t="shared" si="63"/>
        <v>1900</v>
      </c>
    </row>
    <row r="3981" spans="9:9" x14ac:dyDescent="0.25">
      <c r="I3981">
        <f t="shared" si="63"/>
        <v>1900</v>
      </c>
    </row>
    <row r="3982" spans="9:9" x14ac:dyDescent="0.25">
      <c r="I3982">
        <f t="shared" si="63"/>
        <v>1900</v>
      </c>
    </row>
    <row r="3983" spans="9:9" x14ac:dyDescent="0.25">
      <c r="I3983">
        <f t="shared" si="63"/>
        <v>1900</v>
      </c>
    </row>
    <row r="3984" spans="9:9" x14ac:dyDescent="0.25">
      <c r="I3984">
        <f t="shared" si="63"/>
        <v>1900</v>
      </c>
    </row>
    <row r="3985" spans="9:9" x14ac:dyDescent="0.25">
      <c r="I3985">
        <f t="shared" si="63"/>
        <v>1900</v>
      </c>
    </row>
    <row r="3986" spans="9:9" x14ac:dyDescent="0.25">
      <c r="I3986">
        <f t="shared" si="63"/>
        <v>1900</v>
      </c>
    </row>
    <row r="3987" spans="9:9" x14ac:dyDescent="0.25">
      <c r="I3987">
        <f t="shared" si="63"/>
        <v>1900</v>
      </c>
    </row>
    <row r="3988" spans="9:9" x14ac:dyDescent="0.25">
      <c r="I3988">
        <f t="shared" si="63"/>
        <v>1900</v>
      </c>
    </row>
    <row r="3989" spans="9:9" x14ac:dyDescent="0.25">
      <c r="I3989">
        <f t="shared" si="63"/>
        <v>1900</v>
      </c>
    </row>
    <row r="3990" spans="9:9" x14ac:dyDescent="0.25">
      <c r="I3990">
        <f t="shared" si="63"/>
        <v>1900</v>
      </c>
    </row>
    <row r="3991" spans="9:9" x14ac:dyDescent="0.25">
      <c r="I3991">
        <f t="shared" si="63"/>
        <v>1900</v>
      </c>
    </row>
    <row r="3992" spans="9:9" x14ac:dyDescent="0.25">
      <c r="I3992">
        <f t="shared" si="63"/>
        <v>1900</v>
      </c>
    </row>
    <row r="3993" spans="9:9" x14ac:dyDescent="0.25">
      <c r="I3993">
        <f t="shared" si="63"/>
        <v>1900</v>
      </c>
    </row>
    <row r="3994" spans="9:9" x14ac:dyDescent="0.25">
      <c r="I3994">
        <f t="shared" si="63"/>
        <v>1900</v>
      </c>
    </row>
    <row r="3995" spans="9:9" x14ac:dyDescent="0.25">
      <c r="I3995">
        <f t="shared" si="63"/>
        <v>1900</v>
      </c>
    </row>
    <row r="3996" spans="9:9" x14ac:dyDescent="0.25">
      <c r="I3996">
        <f t="shared" si="63"/>
        <v>1900</v>
      </c>
    </row>
    <row r="3997" spans="9:9" x14ac:dyDescent="0.25">
      <c r="I3997">
        <f t="shared" si="63"/>
        <v>1900</v>
      </c>
    </row>
    <row r="3998" spans="9:9" x14ac:dyDescent="0.25">
      <c r="I3998">
        <f t="shared" si="63"/>
        <v>1900</v>
      </c>
    </row>
    <row r="3999" spans="9:9" x14ac:dyDescent="0.25">
      <c r="I3999">
        <f t="shared" si="63"/>
        <v>1900</v>
      </c>
    </row>
    <row r="4000" spans="9:9" x14ac:dyDescent="0.25">
      <c r="I4000">
        <f t="shared" si="63"/>
        <v>1900</v>
      </c>
    </row>
    <row r="4001" spans="9:9" x14ac:dyDescent="0.25">
      <c r="I4001">
        <f t="shared" si="63"/>
        <v>1900</v>
      </c>
    </row>
    <row r="4002" spans="9:9" x14ac:dyDescent="0.25">
      <c r="I4002">
        <f t="shared" si="63"/>
        <v>1900</v>
      </c>
    </row>
    <row r="4003" spans="9:9" x14ac:dyDescent="0.25">
      <c r="I4003">
        <f t="shared" si="63"/>
        <v>1900</v>
      </c>
    </row>
    <row r="4004" spans="9:9" x14ac:dyDescent="0.25">
      <c r="I4004">
        <f t="shared" si="63"/>
        <v>1900</v>
      </c>
    </row>
    <row r="4005" spans="9:9" x14ac:dyDescent="0.25">
      <c r="I4005">
        <f t="shared" si="63"/>
        <v>1900</v>
      </c>
    </row>
    <row r="4006" spans="9:9" x14ac:dyDescent="0.25">
      <c r="I4006">
        <f t="shared" si="63"/>
        <v>1900</v>
      </c>
    </row>
    <row r="4007" spans="9:9" x14ac:dyDescent="0.25">
      <c r="I4007">
        <f t="shared" si="63"/>
        <v>1900</v>
      </c>
    </row>
    <row r="4008" spans="9:9" x14ac:dyDescent="0.25">
      <c r="I4008">
        <f t="shared" si="63"/>
        <v>1900</v>
      </c>
    </row>
    <row r="4009" spans="9:9" x14ac:dyDescent="0.25">
      <c r="I4009">
        <f t="shared" si="63"/>
        <v>1900</v>
      </c>
    </row>
    <row r="4010" spans="9:9" x14ac:dyDescent="0.25">
      <c r="I4010">
        <f t="shared" si="63"/>
        <v>1900</v>
      </c>
    </row>
    <row r="4011" spans="9:9" x14ac:dyDescent="0.25">
      <c r="I4011">
        <f t="shared" si="63"/>
        <v>1900</v>
      </c>
    </row>
    <row r="4012" spans="9:9" x14ac:dyDescent="0.25">
      <c r="I4012">
        <f t="shared" si="63"/>
        <v>1900</v>
      </c>
    </row>
    <row r="4013" spans="9:9" x14ac:dyDescent="0.25">
      <c r="I4013">
        <f t="shared" si="63"/>
        <v>1900</v>
      </c>
    </row>
    <row r="4014" spans="9:9" x14ac:dyDescent="0.25">
      <c r="I4014">
        <f t="shared" si="63"/>
        <v>1900</v>
      </c>
    </row>
    <row r="4015" spans="9:9" x14ac:dyDescent="0.25">
      <c r="I4015">
        <f t="shared" si="63"/>
        <v>1900</v>
      </c>
    </row>
    <row r="4016" spans="9:9" x14ac:dyDescent="0.25">
      <c r="I4016">
        <f t="shared" si="63"/>
        <v>1900</v>
      </c>
    </row>
    <row r="4017" spans="9:9" x14ac:dyDescent="0.25">
      <c r="I4017">
        <f t="shared" si="63"/>
        <v>1900</v>
      </c>
    </row>
    <row r="4018" spans="9:9" x14ac:dyDescent="0.25">
      <c r="I4018">
        <f t="shared" si="63"/>
        <v>1900</v>
      </c>
    </row>
    <row r="4019" spans="9:9" x14ac:dyDescent="0.25">
      <c r="I4019">
        <f t="shared" si="63"/>
        <v>1900</v>
      </c>
    </row>
    <row r="4020" spans="9:9" x14ac:dyDescent="0.25">
      <c r="I4020">
        <f t="shared" si="63"/>
        <v>1900</v>
      </c>
    </row>
    <row r="4021" spans="9:9" x14ac:dyDescent="0.25">
      <c r="I4021">
        <f t="shared" si="63"/>
        <v>1900</v>
      </c>
    </row>
    <row r="4022" spans="9:9" x14ac:dyDescent="0.25">
      <c r="I4022">
        <f t="shared" si="63"/>
        <v>1900</v>
      </c>
    </row>
    <row r="4023" spans="9:9" x14ac:dyDescent="0.25">
      <c r="I4023">
        <f t="shared" si="63"/>
        <v>1900</v>
      </c>
    </row>
    <row r="4024" spans="9:9" x14ac:dyDescent="0.25">
      <c r="I4024">
        <f t="shared" si="63"/>
        <v>1900</v>
      </c>
    </row>
    <row r="4025" spans="9:9" x14ac:dyDescent="0.25">
      <c r="I4025">
        <f t="shared" si="63"/>
        <v>1900</v>
      </c>
    </row>
    <row r="4026" spans="9:9" x14ac:dyDescent="0.25">
      <c r="I4026">
        <f t="shared" si="63"/>
        <v>1900</v>
      </c>
    </row>
    <row r="4027" spans="9:9" x14ac:dyDescent="0.25">
      <c r="I4027">
        <f t="shared" si="63"/>
        <v>1900</v>
      </c>
    </row>
    <row r="4028" spans="9:9" x14ac:dyDescent="0.25">
      <c r="I4028">
        <f t="shared" si="63"/>
        <v>1900</v>
      </c>
    </row>
    <row r="4029" spans="9:9" x14ac:dyDescent="0.25">
      <c r="I4029">
        <f t="shared" si="63"/>
        <v>1900</v>
      </c>
    </row>
    <row r="4030" spans="9:9" x14ac:dyDescent="0.25">
      <c r="I4030">
        <f t="shared" si="63"/>
        <v>1900</v>
      </c>
    </row>
    <row r="4031" spans="9:9" x14ac:dyDescent="0.25">
      <c r="I4031">
        <f t="shared" si="63"/>
        <v>1900</v>
      </c>
    </row>
    <row r="4032" spans="9:9" x14ac:dyDescent="0.25">
      <c r="I4032">
        <f t="shared" si="63"/>
        <v>1900</v>
      </c>
    </row>
    <row r="4033" spans="9:9" x14ac:dyDescent="0.25">
      <c r="I4033">
        <f t="shared" si="63"/>
        <v>1900</v>
      </c>
    </row>
    <row r="4034" spans="9:9" x14ac:dyDescent="0.25">
      <c r="I4034">
        <f t="shared" si="63"/>
        <v>1900</v>
      </c>
    </row>
    <row r="4035" spans="9:9" x14ac:dyDescent="0.25">
      <c r="I4035">
        <f t="shared" si="63"/>
        <v>1900</v>
      </c>
    </row>
    <row r="4036" spans="9:9" x14ac:dyDescent="0.25">
      <c r="I4036">
        <f t="shared" ref="I4036:I4099" si="64">IFERROR(YEAR(E4036),"")</f>
        <v>1900</v>
      </c>
    </row>
    <row r="4037" spans="9:9" x14ac:dyDescent="0.25">
      <c r="I4037">
        <f t="shared" si="64"/>
        <v>1900</v>
      </c>
    </row>
    <row r="4038" spans="9:9" x14ac:dyDescent="0.25">
      <c r="I4038">
        <f t="shared" si="64"/>
        <v>1900</v>
      </c>
    </row>
    <row r="4039" spans="9:9" x14ac:dyDescent="0.25">
      <c r="I4039">
        <f t="shared" si="64"/>
        <v>1900</v>
      </c>
    </row>
    <row r="4040" spans="9:9" x14ac:dyDescent="0.25">
      <c r="I4040">
        <f t="shared" si="64"/>
        <v>1900</v>
      </c>
    </row>
    <row r="4041" spans="9:9" x14ac:dyDescent="0.25">
      <c r="I4041">
        <f t="shared" si="64"/>
        <v>1900</v>
      </c>
    </row>
    <row r="4042" spans="9:9" x14ac:dyDescent="0.25">
      <c r="I4042">
        <f t="shared" si="64"/>
        <v>1900</v>
      </c>
    </row>
    <row r="4043" spans="9:9" x14ac:dyDescent="0.25">
      <c r="I4043">
        <f t="shared" si="64"/>
        <v>1900</v>
      </c>
    </row>
    <row r="4044" spans="9:9" x14ac:dyDescent="0.25">
      <c r="I4044">
        <f t="shared" si="64"/>
        <v>1900</v>
      </c>
    </row>
    <row r="4045" spans="9:9" x14ac:dyDescent="0.25">
      <c r="I4045">
        <f t="shared" si="64"/>
        <v>1900</v>
      </c>
    </row>
    <row r="4046" spans="9:9" x14ac:dyDescent="0.25">
      <c r="I4046">
        <f t="shared" si="64"/>
        <v>1900</v>
      </c>
    </row>
    <row r="4047" spans="9:9" x14ac:dyDescent="0.25">
      <c r="I4047">
        <f t="shared" si="64"/>
        <v>1900</v>
      </c>
    </row>
    <row r="4048" spans="9:9" x14ac:dyDescent="0.25">
      <c r="I4048">
        <f t="shared" si="64"/>
        <v>1900</v>
      </c>
    </row>
    <row r="4049" spans="9:9" x14ac:dyDescent="0.25">
      <c r="I4049">
        <f t="shared" si="64"/>
        <v>1900</v>
      </c>
    </row>
    <row r="4050" spans="9:9" x14ac:dyDescent="0.25">
      <c r="I4050">
        <f t="shared" si="64"/>
        <v>1900</v>
      </c>
    </row>
    <row r="4051" spans="9:9" x14ac:dyDescent="0.25">
      <c r="I4051">
        <f t="shared" si="64"/>
        <v>1900</v>
      </c>
    </row>
    <row r="4052" spans="9:9" x14ac:dyDescent="0.25">
      <c r="I4052">
        <f t="shared" si="64"/>
        <v>1900</v>
      </c>
    </row>
    <row r="4053" spans="9:9" x14ac:dyDescent="0.25">
      <c r="I4053">
        <f t="shared" si="64"/>
        <v>1900</v>
      </c>
    </row>
    <row r="4054" spans="9:9" x14ac:dyDescent="0.25">
      <c r="I4054">
        <f t="shared" si="64"/>
        <v>1900</v>
      </c>
    </row>
    <row r="4055" spans="9:9" x14ac:dyDescent="0.25">
      <c r="I4055">
        <f t="shared" si="64"/>
        <v>1900</v>
      </c>
    </row>
    <row r="4056" spans="9:9" x14ac:dyDescent="0.25">
      <c r="I4056">
        <f t="shared" si="64"/>
        <v>1900</v>
      </c>
    </row>
    <row r="4057" spans="9:9" x14ac:dyDescent="0.25">
      <c r="I4057">
        <f t="shared" si="64"/>
        <v>1900</v>
      </c>
    </row>
    <row r="4058" spans="9:9" x14ac:dyDescent="0.25">
      <c r="I4058">
        <f t="shared" si="64"/>
        <v>1900</v>
      </c>
    </row>
    <row r="4059" spans="9:9" x14ac:dyDescent="0.25">
      <c r="I4059">
        <f t="shared" si="64"/>
        <v>1900</v>
      </c>
    </row>
    <row r="4060" spans="9:9" x14ac:dyDescent="0.25">
      <c r="I4060">
        <f t="shared" si="64"/>
        <v>1900</v>
      </c>
    </row>
    <row r="4061" spans="9:9" x14ac:dyDescent="0.25">
      <c r="I4061">
        <f t="shared" si="64"/>
        <v>1900</v>
      </c>
    </row>
    <row r="4062" spans="9:9" x14ac:dyDescent="0.25">
      <c r="I4062">
        <f t="shared" si="64"/>
        <v>1900</v>
      </c>
    </row>
    <row r="4063" spans="9:9" x14ac:dyDescent="0.25">
      <c r="I4063">
        <f t="shared" si="64"/>
        <v>1900</v>
      </c>
    </row>
    <row r="4064" spans="9:9" x14ac:dyDescent="0.25">
      <c r="I4064">
        <f t="shared" si="64"/>
        <v>1900</v>
      </c>
    </row>
    <row r="4065" spans="9:9" x14ac:dyDescent="0.25">
      <c r="I4065">
        <f t="shared" si="64"/>
        <v>1900</v>
      </c>
    </row>
    <row r="4066" spans="9:9" x14ac:dyDescent="0.25">
      <c r="I4066">
        <f t="shared" si="64"/>
        <v>1900</v>
      </c>
    </row>
    <row r="4067" spans="9:9" x14ac:dyDescent="0.25">
      <c r="I4067">
        <f t="shared" si="64"/>
        <v>1900</v>
      </c>
    </row>
    <row r="4068" spans="9:9" x14ac:dyDescent="0.25">
      <c r="I4068">
        <f t="shared" si="64"/>
        <v>1900</v>
      </c>
    </row>
    <row r="4069" spans="9:9" x14ac:dyDescent="0.25">
      <c r="I4069">
        <f t="shared" si="64"/>
        <v>1900</v>
      </c>
    </row>
    <row r="4070" spans="9:9" x14ac:dyDescent="0.25">
      <c r="I4070">
        <f t="shared" si="64"/>
        <v>1900</v>
      </c>
    </row>
    <row r="4071" spans="9:9" x14ac:dyDescent="0.25">
      <c r="I4071">
        <f t="shared" si="64"/>
        <v>1900</v>
      </c>
    </row>
    <row r="4072" spans="9:9" x14ac:dyDescent="0.25">
      <c r="I4072">
        <f t="shared" si="64"/>
        <v>1900</v>
      </c>
    </row>
    <row r="4073" spans="9:9" x14ac:dyDescent="0.25">
      <c r="I4073">
        <f t="shared" si="64"/>
        <v>1900</v>
      </c>
    </row>
    <row r="4074" spans="9:9" x14ac:dyDescent="0.25">
      <c r="I4074">
        <f t="shared" si="64"/>
        <v>1900</v>
      </c>
    </row>
    <row r="4075" spans="9:9" x14ac:dyDescent="0.25">
      <c r="I4075">
        <f t="shared" si="64"/>
        <v>1900</v>
      </c>
    </row>
    <row r="4076" spans="9:9" x14ac:dyDescent="0.25">
      <c r="I4076">
        <f t="shared" si="64"/>
        <v>1900</v>
      </c>
    </row>
    <row r="4077" spans="9:9" x14ac:dyDescent="0.25">
      <c r="I4077">
        <f t="shared" si="64"/>
        <v>1900</v>
      </c>
    </row>
    <row r="4078" spans="9:9" x14ac:dyDescent="0.25">
      <c r="I4078">
        <f t="shared" si="64"/>
        <v>1900</v>
      </c>
    </row>
    <row r="4079" spans="9:9" x14ac:dyDescent="0.25">
      <c r="I4079">
        <f t="shared" si="64"/>
        <v>1900</v>
      </c>
    </row>
    <row r="4080" spans="9:9" x14ac:dyDescent="0.25">
      <c r="I4080">
        <f t="shared" si="64"/>
        <v>1900</v>
      </c>
    </row>
    <row r="4081" spans="9:9" x14ac:dyDescent="0.25">
      <c r="I4081">
        <f t="shared" si="64"/>
        <v>1900</v>
      </c>
    </row>
    <row r="4082" spans="9:9" x14ac:dyDescent="0.25">
      <c r="I4082">
        <f t="shared" si="64"/>
        <v>1900</v>
      </c>
    </row>
    <row r="4083" spans="9:9" x14ac:dyDescent="0.25">
      <c r="I4083">
        <f t="shared" si="64"/>
        <v>1900</v>
      </c>
    </row>
    <row r="4084" spans="9:9" x14ac:dyDescent="0.25">
      <c r="I4084">
        <f t="shared" si="64"/>
        <v>1900</v>
      </c>
    </row>
    <row r="4085" spans="9:9" x14ac:dyDescent="0.25">
      <c r="I4085">
        <f t="shared" si="64"/>
        <v>1900</v>
      </c>
    </row>
    <row r="4086" spans="9:9" x14ac:dyDescent="0.25">
      <c r="I4086">
        <f t="shared" si="64"/>
        <v>1900</v>
      </c>
    </row>
    <row r="4087" spans="9:9" x14ac:dyDescent="0.25">
      <c r="I4087">
        <f t="shared" si="64"/>
        <v>1900</v>
      </c>
    </row>
    <row r="4088" spans="9:9" x14ac:dyDescent="0.25">
      <c r="I4088">
        <f t="shared" si="64"/>
        <v>1900</v>
      </c>
    </row>
    <row r="4089" spans="9:9" x14ac:dyDescent="0.25">
      <c r="I4089">
        <f t="shared" si="64"/>
        <v>1900</v>
      </c>
    </row>
    <row r="4090" spans="9:9" x14ac:dyDescent="0.25">
      <c r="I4090">
        <f t="shared" si="64"/>
        <v>1900</v>
      </c>
    </row>
    <row r="4091" spans="9:9" x14ac:dyDescent="0.25">
      <c r="I4091">
        <f t="shared" si="64"/>
        <v>1900</v>
      </c>
    </row>
    <row r="4092" spans="9:9" x14ac:dyDescent="0.25">
      <c r="I4092">
        <f t="shared" si="64"/>
        <v>1900</v>
      </c>
    </row>
    <row r="4093" spans="9:9" x14ac:dyDescent="0.25">
      <c r="I4093">
        <f t="shared" si="64"/>
        <v>1900</v>
      </c>
    </row>
    <row r="4094" spans="9:9" x14ac:dyDescent="0.25">
      <c r="I4094">
        <f t="shared" si="64"/>
        <v>1900</v>
      </c>
    </row>
    <row r="4095" spans="9:9" x14ac:dyDescent="0.25">
      <c r="I4095">
        <f t="shared" si="64"/>
        <v>1900</v>
      </c>
    </row>
    <row r="4096" spans="9:9" x14ac:dyDescent="0.25">
      <c r="I4096">
        <f t="shared" si="64"/>
        <v>1900</v>
      </c>
    </row>
    <row r="4097" spans="9:9" x14ac:dyDescent="0.25">
      <c r="I4097">
        <f t="shared" si="64"/>
        <v>1900</v>
      </c>
    </row>
    <row r="4098" spans="9:9" x14ac:dyDescent="0.25">
      <c r="I4098">
        <f t="shared" si="64"/>
        <v>1900</v>
      </c>
    </row>
    <row r="4099" spans="9:9" x14ac:dyDescent="0.25">
      <c r="I4099">
        <f t="shared" si="64"/>
        <v>1900</v>
      </c>
    </row>
    <row r="4100" spans="9:9" x14ac:dyDescent="0.25">
      <c r="I4100">
        <f t="shared" ref="I4100:I4163" si="65">IFERROR(YEAR(E4100),"")</f>
        <v>1900</v>
      </c>
    </row>
    <row r="4101" spans="9:9" x14ac:dyDescent="0.25">
      <c r="I4101">
        <f t="shared" si="65"/>
        <v>1900</v>
      </c>
    </row>
    <row r="4102" spans="9:9" x14ac:dyDescent="0.25">
      <c r="I4102">
        <f t="shared" si="65"/>
        <v>1900</v>
      </c>
    </row>
    <row r="4103" spans="9:9" x14ac:dyDescent="0.25">
      <c r="I4103">
        <f t="shared" si="65"/>
        <v>1900</v>
      </c>
    </row>
    <row r="4104" spans="9:9" x14ac:dyDescent="0.25">
      <c r="I4104">
        <f t="shared" si="65"/>
        <v>1900</v>
      </c>
    </row>
    <row r="4105" spans="9:9" x14ac:dyDescent="0.25">
      <c r="I4105">
        <f t="shared" si="65"/>
        <v>1900</v>
      </c>
    </row>
    <row r="4106" spans="9:9" x14ac:dyDescent="0.25">
      <c r="I4106">
        <f t="shared" si="65"/>
        <v>1900</v>
      </c>
    </row>
    <row r="4107" spans="9:9" x14ac:dyDescent="0.25">
      <c r="I4107">
        <f t="shared" si="65"/>
        <v>1900</v>
      </c>
    </row>
    <row r="4108" spans="9:9" x14ac:dyDescent="0.25">
      <c r="I4108">
        <f t="shared" si="65"/>
        <v>1900</v>
      </c>
    </row>
    <row r="4109" spans="9:9" x14ac:dyDescent="0.25">
      <c r="I4109">
        <f t="shared" si="65"/>
        <v>1900</v>
      </c>
    </row>
    <row r="4110" spans="9:9" x14ac:dyDescent="0.25">
      <c r="I4110">
        <f t="shared" si="65"/>
        <v>1900</v>
      </c>
    </row>
    <row r="4111" spans="9:9" x14ac:dyDescent="0.25">
      <c r="I4111">
        <f t="shared" si="65"/>
        <v>1900</v>
      </c>
    </row>
    <row r="4112" spans="9:9" x14ac:dyDescent="0.25">
      <c r="I4112">
        <f t="shared" si="65"/>
        <v>1900</v>
      </c>
    </row>
    <row r="4113" spans="9:9" x14ac:dyDescent="0.25">
      <c r="I4113">
        <f t="shared" si="65"/>
        <v>1900</v>
      </c>
    </row>
    <row r="4114" spans="9:9" x14ac:dyDescent="0.25">
      <c r="I4114">
        <f t="shared" si="65"/>
        <v>1900</v>
      </c>
    </row>
    <row r="4115" spans="9:9" x14ac:dyDescent="0.25">
      <c r="I4115">
        <f t="shared" si="65"/>
        <v>1900</v>
      </c>
    </row>
    <row r="4116" spans="9:9" x14ac:dyDescent="0.25">
      <c r="I4116">
        <f t="shared" si="65"/>
        <v>1900</v>
      </c>
    </row>
    <row r="4117" spans="9:9" x14ac:dyDescent="0.25">
      <c r="I4117">
        <f t="shared" si="65"/>
        <v>1900</v>
      </c>
    </row>
    <row r="4118" spans="9:9" x14ac:dyDescent="0.25">
      <c r="I4118">
        <f t="shared" si="65"/>
        <v>1900</v>
      </c>
    </row>
    <row r="4119" spans="9:9" x14ac:dyDescent="0.25">
      <c r="I4119">
        <f t="shared" si="65"/>
        <v>1900</v>
      </c>
    </row>
    <row r="4120" spans="9:9" x14ac:dyDescent="0.25">
      <c r="I4120">
        <f t="shared" si="65"/>
        <v>1900</v>
      </c>
    </row>
    <row r="4121" spans="9:9" x14ac:dyDescent="0.25">
      <c r="I4121">
        <f t="shared" si="65"/>
        <v>1900</v>
      </c>
    </row>
    <row r="4122" spans="9:9" x14ac:dyDescent="0.25">
      <c r="I4122">
        <f t="shared" si="65"/>
        <v>1900</v>
      </c>
    </row>
    <row r="4123" spans="9:9" x14ac:dyDescent="0.25">
      <c r="I4123">
        <f t="shared" si="65"/>
        <v>1900</v>
      </c>
    </row>
    <row r="4124" spans="9:9" x14ac:dyDescent="0.25">
      <c r="I4124">
        <f t="shared" si="65"/>
        <v>1900</v>
      </c>
    </row>
    <row r="4125" spans="9:9" x14ac:dyDescent="0.25">
      <c r="I4125">
        <f t="shared" si="65"/>
        <v>1900</v>
      </c>
    </row>
    <row r="4126" spans="9:9" x14ac:dyDescent="0.25">
      <c r="I4126">
        <f t="shared" si="65"/>
        <v>1900</v>
      </c>
    </row>
    <row r="4127" spans="9:9" x14ac:dyDescent="0.25">
      <c r="I4127">
        <f t="shared" si="65"/>
        <v>1900</v>
      </c>
    </row>
    <row r="4128" spans="9:9" x14ac:dyDescent="0.25">
      <c r="I4128">
        <f t="shared" si="65"/>
        <v>1900</v>
      </c>
    </row>
    <row r="4129" spans="9:9" x14ac:dyDescent="0.25">
      <c r="I4129">
        <f t="shared" si="65"/>
        <v>1900</v>
      </c>
    </row>
    <row r="4130" spans="9:9" x14ac:dyDescent="0.25">
      <c r="I4130">
        <f t="shared" si="65"/>
        <v>1900</v>
      </c>
    </row>
    <row r="4131" spans="9:9" x14ac:dyDescent="0.25">
      <c r="I4131">
        <f t="shared" si="65"/>
        <v>1900</v>
      </c>
    </row>
    <row r="4132" spans="9:9" x14ac:dyDescent="0.25">
      <c r="I4132">
        <f t="shared" si="65"/>
        <v>1900</v>
      </c>
    </row>
    <row r="4133" spans="9:9" x14ac:dyDescent="0.25">
      <c r="I4133">
        <f t="shared" si="65"/>
        <v>1900</v>
      </c>
    </row>
    <row r="4134" spans="9:9" x14ac:dyDescent="0.25">
      <c r="I4134">
        <f t="shared" si="65"/>
        <v>1900</v>
      </c>
    </row>
    <row r="4135" spans="9:9" x14ac:dyDescent="0.25">
      <c r="I4135">
        <f t="shared" si="65"/>
        <v>1900</v>
      </c>
    </row>
    <row r="4136" spans="9:9" x14ac:dyDescent="0.25">
      <c r="I4136">
        <f t="shared" si="65"/>
        <v>1900</v>
      </c>
    </row>
    <row r="4137" spans="9:9" x14ac:dyDescent="0.25">
      <c r="I4137">
        <f t="shared" si="65"/>
        <v>1900</v>
      </c>
    </row>
    <row r="4138" spans="9:9" x14ac:dyDescent="0.25">
      <c r="I4138">
        <f t="shared" si="65"/>
        <v>1900</v>
      </c>
    </row>
    <row r="4139" spans="9:9" x14ac:dyDescent="0.25">
      <c r="I4139">
        <f t="shared" si="65"/>
        <v>1900</v>
      </c>
    </row>
    <row r="4140" spans="9:9" x14ac:dyDescent="0.25">
      <c r="I4140">
        <f t="shared" si="65"/>
        <v>1900</v>
      </c>
    </row>
    <row r="4141" spans="9:9" x14ac:dyDescent="0.25">
      <c r="I4141">
        <f t="shared" si="65"/>
        <v>1900</v>
      </c>
    </row>
    <row r="4142" spans="9:9" x14ac:dyDescent="0.25">
      <c r="I4142">
        <f t="shared" si="65"/>
        <v>1900</v>
      </c>
    </row>
    <row r="4143" spans="9:9" x14ac:dyDescent="0.25">
      <c r="I4143">
        <f t="shared" si="65"/>
        <v>1900</v>
      </c>
    </row>
    <row r="4144" spans="9:9" x14ac:dyDescent="0.25">
      <c r="I4144">
        <f t="shared" si="65"/>
        <v>1900</v>
      </c>
    </row>
    <row r="4145" spans="9:9" x14ac:dyDescent="0.25">
      <c r="I4145">
        <f t="shared" si="65"/>
        <v>1900</v>
      </c>
    </row>
    <row r="4146" spans="9:9" x14ac:dyDescent="0.25">
      <c r="I4146">
        <f t="shared" si="65"/>
        <v>1900</v>
      </c>
    </row>
    <row r="4147" spans="9:9" x14ac:dyDescent="0.25">
      <c r="I4147">
        <f t="shared" si="65"/>
        <v>1900</v>
      </c>
    </row>
    <row r="4148" spans="9:9" x14ac:dyDescent="0.25">
      <c r="I4148">
        <f t="shared" si="65"/>
        <v>1900</v>
      </c>
    </row>
    <row r="4149" spans="9:9" x14ac:dyDescent="0.25">
      <c r="I4149">
        <f t="shared" si="65"/>
        <v>1900</v>
      </c>
    </row>
    <row r="4150" spans="9:9" x14ac:dyDescent="0.25">
      <c r="I4150">
        <f t="shared" si="65"/>
        <v>1900</v>
      </c>
    </row>
    <row r="4151" spans="9:9" x14ac:dyDescent="0.25">
      <c r="I4151">
        <f t="shared" si="65"/>
        <v>1900</v>
      </c>
    </row>
    <row r="4152" spans="9:9" x14ac:dyDescent="0.25">
      <c r="I4152">
        <f t="shared" si="65"/>
        <v>1900</v>
      </c>
    </row>
    <row r="4153" spans="9:9" x14ac:dyDescent="0.25">
      <c r="I4153">
        <f t="shared" si="65"/>
        <v>1900</v>
      </c>
    </row>
    <row r="4154" spans="9:9" x14ac:dyDescent="0.25">
      <c r="I4154">
        <f t="shared" si="65"/>
        <v>1900</v>
      </c>
    </row>
    <row r="4155" spans="9:9" x14ac:dyDescent="0.25">
      <c r="I4155">
        <f t="shared" si="65"/>
        <v>1900</v>
      </c>
    </row>
    <row r="4156" spans="9:9" x14ac:dyDescent="0.25">
      <c r="I4156">
        <f t="shared" si="65"/>
        <v>1900</v>
      </c>
    </row>
    <row r="4157" spans="9:9" x14ac:dyDescent="0.25">
      <c r="I4157">
        <f t="shared" si="65"/>
        <v>1900</v>
      </c>
    </row>
    <row r="4158" spans="9:9" x14ac:dyDescent="0.25">
      <c r="I4158">
        <f t="shared" si="65"/>
        <v>1900</v>
      </c>
    </row>
    <row r="4159" spans="9:9" x14ac:dyDescent="0.25">
      <c r="I4159">
        <f t="shared" si="65"/>
        <v>1900</v>
      </c>
    </row>
    <row r="4160" spans="9:9" x14ac:dyDescent="0.25">
      <c r="I4160">
        <f t="shared" si="65"/>
        <v>1900</v>
      </c>
    </row>
    <row r="4161" spans="9:9" x14ac:dyDescent="0.25">
      <c r="I4161">
        <f t="shared" si="65"/>
        <v>1900</v>
      </c>
    </row>
    <row r="4162" spans="9:9" x14ac:dyDescent="0.25">
      <c r="I4162">
        <f t="shared" si="65"/>
        <v>1900</v>
      </c>
    </row>
    <row r="4163" spans="9:9" x14ac:dyDescent="0.25">
      <c r="I4163">
        <f t="shared" si="65"/>
        <v>1900</v>
      </c>
    </row>
    <row r="4164" spans="9:9" x14ac:dyDescent="0.25">
      <c r="I4164">
        <f t="shared" ref="I4164:I4227" si="66">IFERROR(YEAR(E4164),"")</f>
        <v>1900</v>
      </c>
    </row>
    <row r="4165" spans="9:9" x14ac:dyDescent="0.25">
      <c r="I4165">
        <f t="shared" si="66"/>
        <v>1900</v>
      </c>
    </row>
    <row r="4166" spans="9:9" x14ac:dyDescent="0.25">
      <c r="I4166">
        <f t="shared" si="66"/>
        <v>1900</v>
      </c>
    </row>
    <row r="4167" spans="9:9" x14ac:dyDescent="0.25">
      <c r="I4167">
        <f t="shared" si="66"/>
        <v>1900</v>
      </c>
    </row>
    <row r="4168" spans="9:9" x14ac:dyDescent="0.25">
      <c r="I4168">
        <f t="shared" si="66"/>
        <v>1900</v>
      </c>
    </row>
    <row r="4169" spans="9:9" x14ac:dyDescent="0.25">
      <c r="I4169">
        <f t="shared" si="66"/>
        <v>1900</v>
      </c>
    </row>
    <row r="4170" spans="9:9" x14ac:dyDescent="0.25">
      <c r="I4170">
        <f t="shared" si="66"/>
        <v>1900</v>
      </c>
    </row>
    <row r="4171" spans="9:9" x14ac:dyDescent="0.25">
      <c r="I4171">
        <f t="shared" si="66"/>
        <v>1900</v>
      </c>
    </row>
    <row r="4172" spans="9:9" x14ac:dyDescent="0.25">
      <c r="I4172">
        <f t="shared" si="66"/>
        <v>1900</v>
      </c>
    </row>
    <row r="4173" spans="9:9" x14ac:dyDescent="0.25">
      <c r="I4173">
        <f t="shared" si="66"/>
        <v>1900</v>
      </c>
    </row>
    <row r="4174" spans="9:9" x14ac:dyDescent="0.25">
      <c r="I4174">
        <f t="shared" si="66"/>
        <v>1900</v>
      </c>
    </row>
    <row r="4175" spans="9:9" x14ac:dyDescent="0.25">
      <c r="I4175">
        <f t="shared" si="66"/>
        <v>1900</v>
      </c>
    </row>
    <row r="4176" spans="9:9" x14ac:dyDescent="0.25">
      <c r="I4176">
        <f t="shared" si="66"/>
        <v>1900</v>
      </c>
    </row>
    <row r="4177" spans="9:9" x14ac:dyDescent="0.25">
      <c r="I4177">
        <f t="shared" si="66"/>
        <v>1900</v>
      </c>
    </row>
    <row r="4178" spans="9:9" x14ac:dyDescent="0.25">
      <c r="I4178">
        <f t="shared" si="66"/>
        <v>1900</v>
      </c>
    </row>
    <row r="4179" spans="9:9" x14ac:dyDescent="0.25">
      <c r="I4179">
        <f t="shared" si="66"/>
        <v>1900</v>
      </c>
    </row>
    <row r="4180" spans="9:9" x14ac:dyDescent="0.25">
      <c r="I4180">
        <f t="shared" si="66"/>
        <v>1900</v>
      </c>
    </row>
    <row r="4181" spans="9:9" x14ac:dyDescent="0.25">
      <c r="I4181">
        <f t="shared" si="66"/>
        <v>1900</v>
      </c>
    </row>
    <row r="4182" spans="9:9" x14ac:dyDescent="0.25">
      <c r="I4182">
        <f t="shared" si="66"/>
        <v>1900</v>
      </c>
    </row>
    <row r="4183" spans="9:9" x14ac:dyDescent="0.25">
      <c r="I4183">
        <f t="shared" si="66"/>
        <v>1900</v>
      </c>
    </row>
    <row r="4184" spans="9:9" x14ac:dyDescent="0.25">
      <c r="I4184">
        <f t="shared" si="66"/>
        <v>1900</v>
      </c>
    </row>
    <row r="4185" spans="9:9" x14ac:dyDescent="0.25">
      <c r="I4185">
        <f t="shared" si="66"/>
        <v>1900</v>
      </c>
    </row>
    <row r="4186" spans="9:9" x14ac:dyDescent="0.25">
      <c r="I4186">
        <f t="shared" si="66"/>
        <v>1900</v>
      </c>
    </row>
    <row r="4187" spans="9:9" x14ac:dyDescent="0.25">
      <c r="I4187">
        <f t="shared" si="66"/>
        <v>1900</v>
      </c>
    </row>
    <row r="4188" spans="9:9" x14ac:dyDescent="0.25">
      <c r="I4188">
        <f t="shared" si="66"/>
        <v>1900</v>
      </c>
    </row>
    <row r="4189" spans="9:9" x14ac:dyDescent="0.25">
      <c r="I4189">
        <f t="shared" si="66"/>
        <v>1900</v>
      </c>
    </row>
    <row r="4190" spans="9:9" x14ac:dyDescent="0.25">
      <c r="I4190">
        <f t="shared" si="66"/>
        <v>1900</v>
      </c>
    </row>
    <row r="4191" spans="9:9" x14ac:dyDescent="0.25">
      <c r="I4191">
        <f t="shared" si="66"/>
        <v>1900</v>
      </c>
    </row>
    <row r="4192" spans="9:9" x14ac:dyDescent="0.25">
      <c r="I4192">
        <f t="shared" si="66"/>
        <v>1900</v>
      </c>
    </row>
    <row r="4193" spans="9:9" x14ac:dyDescent="0.25">
      <c r="I4193">
        <f t="shared" si="66"/>
        <v>1900</v>
      </c>
    </row>
    <row r="4194" spans="9:9" x14ac:dyDescent="0.25">
      <c r="I4194">
        <f t="shared" si="66"/>
        <v>1900</v>
      </c>
    </row>
    <row r="4195" spans="9:9" x14ac:dyDescent="0.25">
      <c r="I4195">
        <f t="shared" si="66"/>
        <v>1900</v>
      </c>
    </row>
    <row r="4196" spans="9:9" x14ac:dyDescent="0.25">
      <c r="I4196">
        <f t="shared" si="66"/>
        <v>1900</v>
      </c>
    </row>
    <row r="4197" spans="9:9" x14ac:dyDescent="0.25">
      <c r="I4197">
        <f t="shared" si="66"/>
        <v>1900</v>
      </c>
    </row>
    <row r="4198" spans="9:9" x14ac:dyDescent="0.25">
      <c r="I4198">
        <f t="shared" si="66"/>
        <v>1900</v>
      </c>
    </row>
    <row r="4199" spans="9:9" x14ac:dyDescent="0.25">
      <c r="I4199">
        <f t="shared" si="66"/>
        <v>1900</v>
      </c>
    </row>
    <row r="4200" spans="9:9" x14ac:dyDescent="0.25">
      <c r="I4200">
        <f t="shared" si="66"/>
        <v>1900</v>
      </c>
    </row>
    <row r="4201" spans="9:9" x14ac:dyDescent="0.25">
      <c r="I4201">
        <f t="shared" si="66"/>
        <v>1900</v>
      </c>
    </row>
    <row r="4202" spans="9:9" x14ac:dyDescent="0.25">
      <c r="I4202">
        <f t="shared" si="66"/>
        <v>1900</v>
      </c>
    </row>
    <row r="4203" spans="9:9" x14ac:dyDescent="0.25">
      <c r="I4203">
        <f t="shared" si="66"/>
        <v>1900</v>
      </c>
    </row>
    <row r="4204" spans="9:9" x14ac:dyDescent="0.25">
      <c r="I4204">
        <f t="shared" si="66"/>
        <v>1900</v>
      </c>
    </row>
    <row r="4205" spans="9:9" x14ac:dyDescent="0.25">
      <c r="I4205">
        <f t="shared" si="66"/>
        <v>1900</v>
      </c>
    </row>
    <row r="4206" spans="9:9" x14ac:dyDescent="0.25">
      <c r="I4206">
        <f t="shared" si="66"/>
        <v>1900</v>
      </c>
    </row>
    <row r="4207" spans="9:9" x14ac:dyDescent="0.25">
      <c r="I4207">
        <f t="shared" si="66"/>
        <v>1900</v>
      </c>
    </row>
    <row r="4208" spans="9:9" x14ac:dyDescent="0.25">
      <c r="I4208">
        <f t="shared" si="66"/>
        <v>1900</v>
      </c>
    </row>
    <row r="4209" spans="9:9" x14ac:dyDescent="0.25">
      <c r="I4209">
        <f t="shared" si="66"/>
        <v>1900</v>
      </c>
    </row>
    <row r="4210" spans="9:9" x14ac:dyDescent="0.25">
      <c r="I4210">
        <f t="shared" si="66"/>
        <v>1900</v>
      </c>
    </row>
    <row r="4211" spans="9:9" x14ac:dyDescent="0.25">
      <c r="I4211">
        <f t="shared" si="66"/>
        <v>1900</v>
      </c>
    </row>
    <row r="4212" spans="9:9" x14ac:dyDescent="0.25">
      <c r="I4212">
        <f t="shared" si="66"/>
        <v>1900</v>
      </c>
    </row>
    <row r="4213" spans="9:9" x14ac:dyDescent="0.25">
      <c r="I4213">
        <f t="shared" si="66"/>
        <v>1900</v>
      </c>
    </row>
    <row r="4214" spans="9:9" x14ac:dyDescent="0.25">
      <c r="I4214">
        <f t="shared" si="66"/>
        <v>1900</v>
      </c>
    </row>
    <row r="4215" spans="9:9" x14ac:dyDescent="0.25">
      <c r="I4215">
        <f t="shared" si="66"/>
        <v>1900</v>
      </c>
    </row>
    <row r="4216" spans="9:9" x14ac:dyDescent="0.25">
      <c r="I4216">
        <f t="shared" si="66"/>
        <v>1900</v>
      </c>
    </row>
    <row r="4217" spans="9:9" x14ac:dyDescent="0.25">
      <c r="I4217">
        <f t="shared" si="66"/>
        <v>1900</v>
      </c>
    </row>
    <row r="4218" spans="9:9" x14ac:dyDescent="0.25">
      <c r="I4218">
        <f t="shared" si="66"/>
        <v>1900</v>
      </c>
    </row>
    <row r="4219" spans="9:9" x14ac:dyDescent="0.25">
      <c r="I4219">
        <f t="shared" si="66"/>
        <v>1900</v>
      </c>
    </row>
    <row r="4220" spans="9:9" x14ac:dyDescent="0.25">
      <c r="I4220">
        <f t="shared" si="66"/>
        <v>1900</v>
      </c>
    </row>
    <row r="4221" spans="9:9" x14ac:dyDescent="0.25">
      <c r="I4221">
        <f t="shared" si="66"/>
        <v>1900</v>
      </c>
    </row>
    <row r="4222" spans="9:9" x14ac:dyDescent="0.25">
      <c r="I4222">
        <f t="shared" si="66"/>
        <v>1900</v>
      </c>
    </row>
    <row r="4223" spans="9:9" x14ac:dyDescent="0.25">
      <c r="I4223">
        <f t="shared" si="66"/>
        <v>1900</v>
      </c>
    </row>
    <row r="4224" spans="9:9" x14ac:dyDescent="0.25">
      <c r="I4224">
        <f t="shared" si="66"/>
        <v>1900</v>
      </c>
    </row>
    <row r="4225" spans="9:9" x14ac:dyDescent="0.25">
      <c r="I4225">
        <f t="shared" si="66"/>
        <v>1900</v>
      </c>
    </row>
    <row r="4226" spans="9:9" x14ac:dyDescent="0.25">
      <c r="I4226">
        <f t="shared" si="66"/>
        <v>1900</v>
      </c>
    </row>
    <row r="4227" spans="9:9" x14ac:dyDescent="0.25">
      <c r="I4227">
        <f t="shared" si="66"/>
        <v>1900</v>
      </c>
    </row>
    <row r="4228" spans="9:9" x14ac:dyDescent="0.25">
      <c r="I4228">
        <f t="shared" ref="I4228:I4291" si="67">IFERROR(YEAR(E4228),"")</f>
        <v>1900</v>
      </c>
    </row>
    <row r="4229" spans="9:9" x14ac:dyDescent="0.25">
      <c r="I4229">
        <f t="shared" si="67"/>
        <v>1900</v>
      </c>
    </row>
    <row r="4230" spans="9:9" x14ac:dyDescent="0.25">
      <c r="I4230">
        <f t="shared" si="67"/>
        <v>1900</v>
      </c>
    </row>
    <row r="4231" spans="9:9" x14ac:dyDescent="0.25">
      <c r="I4231">
        <f t="shared" si="67"/>
        <v>1900</v>
      </c>
    </row>
    <row r="4232" spans="9:9" x14ac:dyDescent="0.25">
      <c r="I4232">
        <f t="shared" si="67"/>
        <v>1900</v>
      </c>
    </row>
    <row r="4233" spans="9:9" x14ac:dyDescent="0.25">
      <c r="I4233">
        <f t="shared" si="67"/>
        <v>1900</v>
      </c>
    </row>
    <row r="4234" spans="9:9" x14ac:dyDescent="0.25">
      <c r="I4234">
        <f t="shared" si="67"/>
        <v>1900</v>
      </c>
    </row>
    <row r="4235" spans="9:9" x14ac:dyDescent="0.25">
      <c r="I4235">
        <f t="shared" si="67"/>
        <v>1900</v>
      </c>
    </row>
    <row r="4236" spans="9:9" x14ac:dyDescent="0.25">
      <c r="I4236">
        <f t="shared" si="67"/>
        <v>1900</v>
      </c>
    </row>
    <row r="4237" spans="9:9" x14ac:dyDescent="0.25">
      <c r="I4237">
        <f t="shared" si="67"/>
        <v>1900</v>
      </c>
    </row>
    <row r="4238" spans="9:9" x14ac:dyDescent="0.25">
      <c r="I4238">
        <f t="shared" si="67"/>
        <v>1900</v>
      </c>
    </row>
    <row r="4239" spans="9:9" x14ac:dyDescent="0.25">
      <c r="I4239">
        <f t="shared" si="67"/>
        <v>1900</v>
      </c>
    </row>
    <row r="4240" spans="9:9" x14ac:dyDescent="0.25">
      <c r="I4240">
        <f t="shared" si="67"/>
        <v>1900</v>
      </c>
    </row>
    <row r="4241" spans="9:9" x14ac:dyDescent="0.25">
      <c r="I4241">
        <f t="shared" si="67"/>
        <v>1900</v>
      </c>
    </row>
    <row r="4242" spans="9:9" x14ac:dyDescent="0.25">
      <c r="I4242">
        <f t="shared" si="67"/>
        <v>1900</v>
      </c>
    </row>
    <row r="4243" spans="9:9" x14ac:dyDescent="0.25">
      <c r="I4243">
        <f t="shared" si="67"/>
        <v>1900</v>
      </c>
    </row>
    <row r="4244" spans="9:9" x14ac:dyDescent="0.25">
      <c r="I4244">
        <f t="shared" si="67"/>
        <v>1900</v>
      </c>
    </row>
    <row r="4245" spans="9:9" x14ac:dyDescent="0.25">
      <c r="I4245">
        <f t="shared" si="67"/>
        <v>1900</v>
      </c>
    </row>
    <row r="4246" spans="9:9" x14ac:dyDescent="0.25">
      <c r="I4246">
        <f t="shared" si="67"/>
        <v>1900</v>
      </c>
    </row>
    <row r="4247" spans="9:9" x14ac:dyDescent="0.25">
      <c r="I4247">
        <f t="shared" si="67"/>
        <v>1900</v>
      </c>
    </row>
    <row r="4248" spans="9:9" x14ac:dyDescent="0.25">
      <c r="I4248">
        <f t="shared" si="67"/>
        <v>1900</v>
      </c>
    </row>
    <row r="4249" spans="9:9" x14ac:dyDescent="0.25">
      <c r="I4249">
        <f t="shared" si="67"/>
        <v>1900</v>
      </c>
    </row>
    <row r="4250" spans="9:9" x14ac:dyDescent="0.25">
      <c r="I4250">
        <f t="shared" si="67"/>
        <v>1900</v>
      </c>
    </row>
    <row r="4251" spans="9:9" x14ac:dyDescent="0.25">
      <c r="I4251">
        <f t="shared" si="67"/>
        <v>1900</v>
      </c>
    </row>
    <row r="4252" spans="9:9" x14ac:dyDescent="0.25">
      <c r="I4252">
        <f t="shared" si="67"/>
        <v>1900</v>
      </c>
    </row>
    <row r="4253" spans="9:9" x14ac:dyDescent="0.25">
      <c r="I4253">
        <f t="shared" si="67"/>
        <v>1900</v>
      </c>
    </row>
    <row r="4254" spans="9:9" x14ac:dyDescent="0.25">
      <c r="I4254">
        <f t="shared" si="67"/>
        <v>1900</v>
      </c>
    </row>
    <row r="4255" spans="9:9" x14ac:dyDescent="0.25">
      <c r="I4255">
        <f t="shared" si="67"/>
        <v>1900</v>
      </c>
    </row>
    <row r="4256" spans="9:9" x14ac:dyDescent="0.25">
      <c r="I4256">
        <f t="shared" si="67"/>
        <v>1900</v>
      </c>
    </row>
    <row r="4257" spans="9:9" x14ac:dyDescent="0.25">
      <c r="I4257">
        <f t="shared" si="67"/>
        <v>1900</v>
      </c>
    </row>
    <row r="4258" spans="9:9" x14ac:dyDescent="0.25">
      <c r="I4258">
        <f t="shared" si="67"/>
        <v>1900</v>
      </c>
    </row>
    <row r="4259" spans="9:9" x14ac:dyDescent="0.25">
      <c r="I4259">
        <f t="shared" si="67"/>
        <v>1900</v>
      </c>
    </row>
    <row r="4260" spans="9:9" x14ac:dyDescent="0.25">
      <c r="I4260">
        <f t="shared" si="67"/>
        <v>1900</v>
      </c>
    </row>
    <row r="4261" spans="9:9" x14ac:dyDescent="0.25">
      <c r="I4261">
        <f t="shared" si="67"/>
        <v>1900</v>
      </c>
    </row>
    <row r="4262" spans="9:9" x14ac:dyDescent="0.25">
      <c r="I4262">
        <f t="shared" si="67"/>
        <v>1900</v>
      </c>
    </row>
    <row r="4263" spans="9:9" x14ac:dyDescent="0.25">
      <c r="I4263">
        <f t="shared" si="67"/>
        <v>1900</v>
      </c>
    </row>
    <row r="4264" spans="9:9" x14ac:dyDescent="0.25">
      <c r="I4264">
        <f t="shared" si="67"/>
        <v>1900</v>
      </c>
    </row>
    <row r="4265" spans="9:9" x14ac:dyDescent="0.25">
      <c r="I4265">
        <f t="shared" si="67"/>
        <v>1900</v>
      </c>
    </row>
    <row r="4266" spans="9:9" x14ac:dyDescent="0.25">
      <c r="I4266">
        <f t="shared" si="67"/>
        <v>1900</v>
      </c>
    </row>
    <row r="4267" spans="9:9" x14ac:dyDescent="0.25">
      <c r="I4267">
        <f t="shared" si="67"/>
        <v>1900</v>
      </c>
    </row>
    <row r="4268" spans="9:9" x14ac:dyDescent="0.25">
      <c r="I4268">
        <f t="shared" si="67"/>
        <v>1900</v>
      </c>
    </row>
    <row r="4269" spans="9:9" x14ac:dyDescent="0.25">
      <c r="I4269">
        <f t="shared" si="67"/>
        <v>1900</v>
      </c>
    </row>
    <row r="4270" spans="9:9" x14ac:dyDescent="0.25">
      <c r="I4270">
        <f t="shared" si="67"/>
        <v>1900</v>
      </c>
    </row>
    <row r="4271" spans="9:9" x14ac:dyDescent="0.25">
      <c r="I4271">
        <f t="shared" si="67"/>
        <v>1900</v>
      </c>
    </row>
    <row r="4272" spans="9:9" x14ac:dyDescent="0.25">
      <c r="I4272">
        <f t="shared" si="67"/>
        <v>1900</v>
      </c>
    </row>
    <row r="4273" spans="9:9" x14ac:dyDescent="0.25">
      <c r="I4273">
        <f t="shared" si="67"/>
        <v>1900</v>
      </c>
    </row>
    <row r="4274" spans="9:9" x14ac:dyDescent="0.25">
      <c r="I4274">
        <f t="shared" si="67"/>
        <v>1900</v>
      </c>
    </row>
    <row r="4275" spans="9:9" x14ac:dyDescent="0.25">
      <c r="I4275">
        <f t="shared" si="67"/>
        <v>1900</v>
      </c>
    </row>
    <row r="4276" spans="9:9" x14ac:dyDescent="0.25">
      <c r="I4276">
        <f t="shared" si="67"/>
        <v>1900</v>
      </c>
    </row>
    <row r="4277" spans="9:9" x14ac:dyDescent="0.25">
      <c r="I4277">
        <f t="shared" si="67"/>
        <v>1900</v>
      </c>
    </row>
    <row r="4278" spans="9:9" x14ac:dyDescent="0.25">
      <c r="I4278">
        <f t="shared" si="67"/>
        <v>1900</v>
      </c>
    </row>
    <row r="4279" spans="9:9" x14ac:dyDescent="0.25">
      <c r="I4279">
        <f t="shared" si="67"/>
        <v>1900</v>
      </c>
    </row>
    <row r="4280" spans="9:9" x14ac:dyDescent="0.25">
      <c r="I4280">
        <f t="shared" si="67"/>
        <v>1900</v>
      </c>
    </row>
    <row r="4281" spans="9:9" x14ac:dyDescent="0.25">
      <c r="I4281">
        <f t="shared" si="67"/>
        <v>1900</v>
      </c>
    </row>
    <row r="4282" spans="9:9" x14ac:dyDescent="0.25">
      <c r="I4282">
        <f t="shared" si="67"/>
        <v>1900</v>
      </c>
    </row>
    <row r="4283" spans="9:9" x14ac:dyDescent="0.25">
      <c r="I4283">
        <f t="shared" si="67"/>
        <v>1900</v>
      </c>
    </row>
    <row r="4284" spans="9:9" x14ac:dyDescent="0.25">
      <c r="I4284">
        <f t="shared" si="67"/>
        <v>1900</v>
      </c>
    </row>
    <row r="4285" spans="9:9" x14ac:dyDescent="0.25">
      <c r="I4285">
        <f t="shared" si="67"/>
        <v>1900</v>
      </c>
    </row>
    <row r="4286" spans="9:9" x14ac:dyDescent="0.25">
      <c r="I4286">
        <f t="shared" si="67"/>
        <v>1900</v>
      </c>
    </row>
    <row r="4287" spans="9:9" x14ac:dyDescent="0.25">
      <c r="I4287">
        <f t="shared" si="67"/>
        <v>1900</v>
      </c>
    </row>
    <row r="4288" spans="9:9" x14ac:dyDescent="0.25">
      <c r="I4288">
        <f t="shared" si="67"/>
        <v>1900</v>
      </c>
    </row>
    <row r="4289" spans="9:9" x14ac:dyDescent="0.25">
      <c r="I4289">
        <f t="shared" si="67"/>
        <v>1900</v>
      </c>
    </row>
    <row r="4290" spans="9:9" x14ac:dyDescent="0.25">
      <c r="I4290">
        <f t="shared" si="67"/>
        <v>1900</v>
      </c>
    </row>
    <row r="4291" spans="9:9" x14ac:dyDescent="0.25">
      <c r="I4291">
        <f t="shared" si="67"/>
        <v>1900</v>
      </c>
    </row>
    <row r="4292" spans="9:9" x14ac:dyDescent="0.25">
      <c r="I4292">
        <f t="shared" ref="I4292:I4355" si="68">IFERROR(YEAR(E4292),"")</f>
        <v>1900</v>
      </c>
    </row>
    <row r="4293" spans="9:9" x14ac:dyDescent="0.25">
      <c r="I4293">
        <f t="shared" si="68"/>
        <v>1900</v>
      </c>
    </row>
    <row r="4294" spans="9:9" x14ac:dyDescent="0.25">
      <c r="I4294">
        <f t="shared" si="68"/>
        <v>1900</v>
      </c>
    </row>
    <row r="4295" spans="9:9" x14ac:dyDescent="0.25">
      <c r="I4295">
        <f t="shared" si="68"/>
        <v>1900</v>
      </c>
    </row>
    <row r="4296" spans="9:9" x14ac:dyDescent="0.25">
      <c r="I4296">
        <f t="shared" si="68"/>
        <v>1900</v>
      </c>
    </row>
    <row r="4297" spans="9:9" x14ac:dyDescent="0.25">
      <c r="I4297">
        <f t="shared" si="68"/>
        <v>1900</v>
      </c>
    </row>
    <row r="4298" spans="9:9" x14ac:dyDescent="0.25">
      <c r="I4298">
        <f t="shared" si="68"/>
        <v>1900</v>
      </c>
    </row>
    <row r="4299" spans="9:9" x14ac:dyDescent="0.25">
      <c r="I4299">
        <f t="shared" si="68"/>
        <v>1900</v>
      </c>
    </row>
    <row r="4300" spans="9:9" x14ac:dyDescent="0.25">
      <c r="I4300">
        <f t="shared" si="68"/>
        <v>1900</v>
      </c>
    </row>
    <row r="4301" spans="9:9" x14ac:dyDescent="0.25">
      <c r="I4301">
        <f t="shared" si="68"/>
        <v>1900</v>
      </c>
    </row>
    <row r="4302" spans="9:9" x14ac:dyDescent="0.25">
      <c r="I4302">
        <f t="shared" si="68"/>
        <v>1900</v>
      </c>
    </row>
    <row r="4303" spans="9:9" x14ac:dyDescent="0.25">
      <c r="I4303">
        <f t="shared" si="68"/>
        <v>1900</v>
      </c>
    </row>
    <row r="4304" spans="9:9" x14ac:dyDescent="0.25">
      <c r="I4304">
        <f t="shared" si="68"/>
        <v>1900</v>
      </c>
    </row>
    <row r="4305" spans="9:9" x14ac:dyDescent="0.25">
      <c r="I4305">
        <f t="shared" si="68"/>
        <v>1900</v>
      </c>
    </row>
    <row r="4306" spans="9:9" x14ac:dyDescent="0.25">
      <c r="I4306">
        <f t="shared" si="68"/>
        <v>1900</v>
      </c>
    </row>
    <row r="4307" spans="9:9" x14ac:dyDescent="0.25">
      <c r="I4307">
        <f t="shared" si="68"/>
        <v>1900</v>
      </c>
    </row>
    <row r="4308" spans="9:9" x14ac:dyDescent="0.25">
      <c r="I4308">
        <f t="shared" si="68"/>
        <v>1900</v>
      </c>
    </row>
    <row r="4309" spans="9:9" x14ac:dyDescent="0.25">
      <c r="I4309">
        <f t="shared" si="68"/>
        <v>1900</v>
      </c>
    </row>
    <row r="4310" spans="9:9" x14ac:dyDescent="0.25">
      <c r="I4310">
        <f t="shared" si="68"/>
        <v>1900</v>
      </c>
    </row>
    <row r="4311" spans="9:9" x14ac:dyDescent="0.25">
      <c r="I4311">
        <f t="shared" si="68"/>
        <v>1900</v>
      </c>
    </row>
    <row r="4312" spans="9:9" x14ac:dyDescent="0.25">
      <c r="I4312">
        <f t="shared" si="68"/>
        <v>1900</v>
      </c>
    </row>
    <row r="4313" spans="9:9" x14ac:dyDescent="0.25">
      <c r="I4313">
        <f t="shared" si="68"/>
        <v>1900</v>
      </c>
    </row>
    <row r="4314" spans="9:9" x14ac:dyDescent="0.25">
      <c r="I4314">
        <f t="shared" si="68"/>
        <v>1900</v>
      </c>
    </row>
    <row r="4315" spans="9:9" x14ac:dyDescent="0.25">
      <c r="I4315">
        <f t="shared" si="68"/>
        <v>1900</v>
      </c>
    </row>
    <row r="4316" spans="9:9" x14ac:dyDescent="0.25">
      <c r="I4316">
        <f t="shared" si="68"/>
        <v>1900</v>
      </c>
    </row>
    <row r="4317" spans="9:9" x14ac:dyDescent="0.25">
      <c r="I4317">
        <f t="shared" si="68"/>
        <v>1900</v>
      </c>
    </row>
    <row r="4318" spans="9:9" x14ac:dyDescent="0.25">
      <c r="I4318">
        <f t="shared" si="68"/>
        <v>1900</v>
      </c>
    </row>
    <row r="4319" spans="9:9" x14ac:dyDescent="0.25">
      <c r="I4319">
        <f t="shared" si="68"/>
        <v>1900</v>
      </c>
    </row>
    <row r="4320" spans="9:9" x14ac:dyDescent="0.25">
      <c r="I4320">
        <f t="shared" si="68"/>
        <v>1900</v>
      </c>
    </row>
    <row r="4321" spans="9:9" x14ac:dyDescent="0.25">
      <c r="I4321">
        <f t="shared" si="68"/>
        <v>1900</v>
      </c>
    </row>
    <row r="4322" spans="9:9" x14ac:dyDescent="0.25">
      <c r="I4322">
        <f t="shared" si="68"/>
        <v>1900</v>
      </c>
    </row>
    <row r="4323" spans="9:9" x14ac:dyDescent="0.25">
      <c r="I4323">
        <f t="shared" si="68"/>
        <v>1900</v>
      </c>
    </row>
    <row r="4324" spans="9:9" x14ac:dyDescent="0.25">
      <c r="I4324">
        <f t="shared" si="68"/>
        <v>1900</v>
      </c>
    </row>
    <row r="4325" spans="9:9" x14ac:dyDescent="0.25">
      <c r="I4325">
        <f t="shared" si="68"/>
        <v>1900</v>
      </c>
    </row>
    <row r="4326" spans="9:9" x14ac:dyDescent="0.25">
      <c r="I4326">
        <f t="shared" si="68"/>
        <v>1900</v>
      </c>
    </row>
    <row r="4327" spans="9:9" x14ac:dyDescent="0.25">
      <c r="I4327">
        <f t="shared" si="68"/>
        <v>1900</v>
      </c>
    </row>
    <row r="4328" spans="9:9" x14ac:dyDescent="0.25">
      <c r="I4328">
        <f t="shared" si="68"/>
        <v>1900</v>
      </c>
    </row>
    <row r="4329" spans="9:9" x14ac:dyDescent="0.25">
      <c r="I4329">
        <f t="shared" si="68"/>
        <v>1900</v>
      </c>
    </row>
    <row r="4330" spans="9:9" x14ac:dyDescent="0.25">
      <c r="I4330">
        <f t="shared" si="68"/>
        <v>1900</v>
      </c>
    </row>
    <row r="4331" spans="9:9" x14ac:dyDescent="0.25">
      <c r="I4331">
        <f t="shared" si="68"/>
        <v>1900</v>
      </c>
    </row>
    <row r="4332" spans="9:9" x14ac:dyDescent="0.25">
      <c r="I4332">
        <f t="shared" si="68"/>
        <v>1900</v>
      </c>
    </row>
    <row r="4333" spans="9:9" x14ac:dyDescent="0.25">
      <c r="I4333">
        <f t="shared" si="68"/>
        <v>1900</v>
      </c>
    </row>
    <row r="4334" spans="9:9" x14ac:dyDescent="0.25">
      <c r="I4334">
        <f t="shared" si="68"/>
        <v>1900</v>
      </c>
    </row>
    <row r="4335" spans="9:9" x14ac:dyDescent="0.25">
      <c r="I4335">
        <f t="shared" si="68"/>
        <v>1900</v>
      </c>
    </row>
    <row r="4336" spans="9:9" x14ac:dyDescent="0.25">
      <c r="I4336">
        <f t="shared" si="68"/>
        <v>1900</v>
      </c>
    </row>
    <row r="4337" spans="9:9" x14ac:dyDescent="0.25">
      <c r="I4337">
        <f t="shared" si="68"/>
        <v>1900</v>
      </c>
    </row>
    <row r="4338" spans="9:9" x14ac:dyDescent="0.25">
      <c r="I4338">
        <f t="shared" si="68"/>
        <v>1900</v>
      </c>
    </row>
    <row r="4339" spans="9:9" x14ac:dyDescent="0.25">
      <c r="I4339">
        <f t="shared" si="68"/>
        <v>1900</v>
      </c>
    </row>
    <row r="4340" spans="9:9" x14ac:dyDescent="0.25">
      <c r="I4340">
        <f t="shared" si="68"/>
        <v>1900</v>
      </c>
    </row>
    <row r="4341" spans="9:9" x14ac:dyDescent="0.25">
      <c r="I4341">
        <f t="shared" si="68"/>
        <v>1900</v>
      </c>
    </row>
    <row r="4342" spans="9:9" x14ac:dyDescent="0.25">
      <c r="I4342">
        <f t="shared" si="68"/>
        <v>1900</v>
      </c>
    </row>
    <row r="4343" spans="9:9" x14ac:dyDescent="0.25">
      <c r="I4343">
        <f t="shared" si="68"/>
        <v>1900</v>
      </c>
    </row>
    <row r="4344" spans="9:9" x14ac:dyDescent="0.25">
      <c r="I4344">
        <f t="shared" si="68"/>
        <v>1900</v>
      </c>
    </row>
    <row r="4345" spans="9:9" x14ac:dyDescent="0.25">
      <c r="I4345">
        <f t="shared" si="68"/>
        <v>1900</v>
      </c>
    </row>
    <row r="4346" spans="9:9" x14ac:dyDescent="0.25">
      <c r="I4346">
        <f t="shared" si="68"/>
        <v>1900</v>
      </c>
    </row>
    <row r="4347" spans="9:9" x14ac:dyDescent="0.25">
      <c r="I4347">
        <f t="shared" si="68"/>
        <v>1900</v>
      </c>
    </row>
    <row r="4348" spans="9:9" x14ac:dyDescent="0.25">
      <c r="I4348">
        <f t="shared" si="68"/>
        <v>1900</v>
      </c>
    </row>
    <row r="4349" spans="9:9" x14ac:dyDescent="0.25">
      <c r="I4349">
        <f t="shared" si="68"/>
        <v>1900</v>
      </c>
    </row>
    <row r="4350" spans="9:9" x14ac:dyDescent="0.25">
      <c r="I4350">
        <f t="shared" si="68"/>
        <v>1900</v>
      </c>
    </row>
    <row r="4351" spans="9:9" x14ac:dyDescent="0.25">
      <c r="I4351">
        <f t="shared" si="68"/>
        <v>1900</v>
      </c>
    </row>
    <row r="4352" spans="9:9" x14ac:dyDescent="0.25">
      <c r="I4352">
        <f t="shared" si="68"/>
        <v>1900</v>
      </c>
    </row>
    <row r="4353" spans="9:9" x14ac:dyDescent="0.25">
      <c r="I4353">
        <f t="shared" si="68"/>
        <v>1900</v>
      </c>
    </row>
    <row r="4354" spans="9:9" x14ac:dyDescent="0.25">
      <c r="I4354">
        <f t="shared" si="68"/>
        <v>1900</v>
      </c>
    </row>
    <row r="4355" spans="9:9" x14ac:dyDescent="0.25">
      <c r="I4355">
        <f t="shared" si="68"/>
        <v>1900</v>
      </c>
    </row>
    <row r="4356" spans="9:9" x14ac:dyDescent="0.25">
      <c r="I4356">
        <f t="shared" ref="I4356:I4419" si="69">IFERROR(YEAR(E4356),"")</f>
        <v>1900</v>
      </c>
    </row>
    <row r="4357" spans="9:9" x14ac:dyDescent="0.25">
      <c r="I4357">
        <f t="shared" si="69"/>
        <v>1900</v>
      </c>
    </row>
    <row r="4358" spans="9:9" x14ac:dyDescent="0.25">
      <c r="I4358">
        <f t="shared" si="69"/>
        <v>1900</v>
      </c>
    </row>
    <row r="4359" spans="9:9" x14ac:dyDescent="0.25">
      <c r="I4359">
        <f t="shared" si="69"/>
        <v>1900</v>
      </c>
    </row>
    <row r="4360" spans="9:9" x14ac:dyDescent="0.25">
      <c r="I4360">
        <f t="shared" si="69"/>
        <v>1900</v>
      </c>
    </row>
    <row r="4361" spans="9:9" x14ac:dyDescent="0.25">
      <c r="I4361">
        <f t="shared" si="69"/>
        <v>1900</v>
      </c>
    </row>
    <row r="4362" spans="9:9" x14ac:dyDescent="0.25">
      <c r="I4362">
        <f t="shared" si="69"/>
        <v>1900</v>
      </c>
    </row>
    <row r="4363" spans="9:9" x14ac:dyDescent="0.25">
      <c r="I4363">
        <f t="shared" si="69"/>
        <v>1900</v>
      </c>
    </row>
    <row r="4364" spans="9:9" x14ac:dyDescent="0.25">
      <c r="I4364">
        <f t="shared" si="69"/>
        <v>1900</v>
      </c>
    </row>
    <row r="4365" spans="9:9" x14ac:dyDescent="0.25">
      <c r="I4365">
        <f t="shared" si="69"/>
        <v>1900</v>
      </c>
    </row>
    <row r="4366" spans="9:9" x14ac:dyDescent="0.25">
      <c r="I4366">
        <f t="shared" si="69"/>
        <v>1900</v>
      </c>
    </row>
    <row r="4367" spans="9:9" x14ac:dyDescent="0.25">
      <c r="I4367">
        <f t="shared" si="69"/>
        <v>1900</v>
      </c>
    </row>
    <row r="4368" spans="9:9" x14ac:dyDescent="0.25">
      <c r="I4368">
        <f t="shared" si="69"/>
        <v>1900</v>
      </c>
    </row>
    <row r="4369" spans="9:9" x14ac:dyDescent="0.25">
      <c r="I4369">
        <f t="shared" si="69"/>
        <v>1900</v>
      </c>
    </row>
    <row r="4370" spans="9:9" x14ac:dyDescent="0.25">
      <c r="I4370">
        <f t="shared" si="69"/>
        <v>1900</v>
      </c>
    </row>
    <row r="4371" spans="9:9" x14ac:dyDescent="0.25">
      <c r="I4371">
        <f t="shared" si="69"/>
        <v>1900</v>
      </c>
    </row>
    <row r="4372" spans="9:9" x14ac:dyDescent="0.25">
      <c r="I4372">
        <f t="shared" si="69"/>
        <v>1900</v>
      </c>
    </row>
    <row r="4373" spans="9:9" x14ac:dyDescent="0.25">
      <c r="I4373">
        <f t="shared" si="69"/>
        <v>1900</v>
      </c>
    </row>
    <row r="4374" spans="9:9" x14ac:dyDescent="0.25">
      <c r="I4374">
        <f t="shared" si="69"/>
        <v>1900</v>
      </c>
    </row>
    <row r="4375" spans="9:9" x14ac:dyDescent="0.25">
      <c r="I4375">
        <f t="shared" si="69"/>
        <v>1900</v>
      </c>
    </row>
    <row r="4376" spans="9:9" x14ac:dyDescent="0.25">
      <c r="I4376">
        <f t="shared" si="69"/>
        <v>1900</v>
      </c>
    </row>
    <row r="4377" spans="9:9" x14ac:dyDescent="0.25">
      <c r="I4377">
        <f t="shared" si="69"/>
        <v>1900</v>
      </c>
    </row>
    <row r="4378" spans="9:9" x14ac:dyDescent="0.25">
      <c r="I4378">
        <f t="shared" si="69"/>
        <v>1900</v>
      </c>
    </row>
    <row r="4379" spans="9:9" x14ac:dyDescent="0.25">
      <c r="I4379">
        <f t="shared" si="69"/>
        <v>1900</v>
      </c>
    </row>
    <row r="4380" spans="9:9" x14ac:dyDescent="0.25">
      <c r="I4380">
        <f t="shared" si="69"/>
        <v>1900</v>
      </c>
    </row>
    <row r="4381" spans="9:9" x14ac:dyDescent="0.25">
      <c r="I4381">
        <f t="shared" si="69"/>
        <v>1900</v>
      </c>
    </row>
    <row r="4382" spans="9:9" x14ac:dyDescent="0.25">
      <c r="I4382">
        <f t="shared" si="69"/>
        <v>1900</v>
      </c>
    </row>
    <row r="4383" spans="9:9" x14ac:dyDescent="0.25">
      <c r="I4383">
        <f t="shared" si="69"/>
        <v>1900</v>
      </c>
    </row>
    <row r="4384" spans="9:9" x14ac:dyDescent="0.25">
      <c r="I4384">
        <f t="shared" si="69"/>
        <v>1900</v>
      </c>
    </row>
    <row r="4385" spans="9:9" x14ac:dyDescent="0.25">
      <c r="I4385">
        <f t="shared" si="69"/>
        <v>1900</v>
      </c>
    </row>
    <row r="4386" spans="9:9" x14ac:dyDescent="0.25">
      <c r="I4386">
        <f t="shared" si="69"/>
        <v>1900</v>
      </c>
    </row>
    <row r="4387" spans="9:9" x14ac:dyDescent="0.25">
      <c r="I4387">
        <f t="shared" si="69"/>
        <v>1900</v>
      </c>
    </row>
    <row r="4388" spans="9:9" x14ac:dyDescent="0.25">
      <c r="I4388">
        <f t="shared" si="69"/>
        <v>1900</v>
      </c>
    </row>
    <row r="4389" spans="9:9" x14ac:dyDescent="0.25">
      <c r="I4389">
        <f t="shared" si="69"/>
        <v>1900</v>
      </c>
    </row>
    <row r="4390" spans="9:9" x14ac:dyDescent="0.25">
      <c r="I4390">
        <f t="shared" si="69"/>
        <v>1900</v>
      </c>
    </row>
    <row r="4391" spans="9:9" x14ac:dyDescent="0.25">
      <c r="I4391">
        <f t="shared" si="69"/>
        <v>1900</v>
      </c>
    </row>
    <row r="4392" spans="9:9" x14ac:dyDescent="0.25">
      <c r="I4392">
        <f t="shared" si="69"/>
        <v>1900</v>
      </c>
    </row>
    <row r="4393" spans="9:9" x14ac:dyDescent="0.25">
      <c r="I4393">
        <f t="shared" si="69"/>
        <v>1900</v>
      </c>
    </row>
    <row r="4394" spans="9:9" x14ac:dyDescent="0.25">
      <c r="I4394">
        <f t="shared" si="69"/>
        <v>1900</v>
      </c>
    </row>
    <row r="4395" spans="9:9" x14ac:dyDescent="0.25">
      <c r="I4395">
        <f t="shared" si="69"/>
        <v>1900</v>
      </c>
    </row>
    <row r="4396" spans="9:9" x14ac:dyDescent="0.25">
      <c r="I4396">
        <f t="shared" si="69"/>
        <v>1900</v>
      </c>
    </row>
    <row r="4397" spans="9:9" x14ac:dyDescent="0.25">
      <c r="I4397">
        <f t="shared" si="69"/>
        <v>1900</v>
      </c>
    </row>
    <row r="4398" spans="9:9" x14ac:dyDescent="0.25">
      <c r="I4398">
        <f t="shared" si="69"/>
        <v>1900</v>
      </c>
    </row>
    <row r="4399" spans="9:9" x14ac:dyDescent="0.25">
      <c r="I4399">
        <f t="shared" si="69"/>
        <v>1900</v>
      </c>
    </row>
    <row r="4400" spans="9:9" x14ac:dyDescent="0.25">
      <c r="I4400">
        <f t="shared" si="69"/>
        <v>1900</v>
      </c>
    </row>
    <row r="4401" spans="9:9" x14ac:dyDescent="0.25">
      <c r="I4401">
        <f t="shared" si="69"/>
        <v>1900</v>
      </c>
    </row>
    <row r="4402" spans="9:9" x14ac:dyDescent="0.25">
      <c r="I4402">
        <f t="shared" si="69"/>
        <v>1900</v>
      </c>
    </row>
    <row r="4403" spans="9:9" x14ac:dyDescent="0.25">
      <c r="I4403">
        <f t="shared" si="69"/>
        <v>1900</v>
      </c>
    </row>
    <row r="4404" spans="9:9" x14ac:dyDescent="0.25">
      <c r="I4404">
        <f t="shared" si="69"/>
        <v>1900</v>
      </c>
    </row>
    <row r="4405" spans="9:9" x14ac:dyDescent="0.25">
      <c r="I4405">
        <f t="shared" si="69"/>
        <v>1900</v>
      </c>
    </row>
    <row r="4406" spans="9:9" x14ac:dyDescent="0.25">
      <c r="I4406">
        <f t="shared" si="69"/>
        <v>1900</v>
      </c>
    </row>
    <row r="4407" spans="9:9" x14ac:dyDescent="0.25">
      <c r="I4407">
        <f t="shared" si="69"/>
        <v>1900</v>
      </c>
    </row>
    <row r="4408" spans="9:9" x14ac:dyDescent="0.25">
      <c r="I4408">
        <f t="shared" si="69"/>
        <v>1900</v>
      </c>
    </row>
    <row r="4409" spans="9:9" x14ac:dyDescent="0.25">
      <c r="I4409">
        <f t="shared" si="69"/>
        <v>1900</v>
      </c>
    </row>
    <row r="4410" spans="9:9" x14ac:dyDescent="0.25">
      <c r="I4410">
        <f t="shared" si="69"/>
        <v>1900</v>
      </c>
    </row>
    <row r="4411" spans="9:9" x14ac:dyDescent="0.25">
      <c r="I4411">
        <f t="shared" si="69"/>
        <v>1900</v>
      </c>
    </row>
    <row r="4412" spans="9:9" x14ac:dyDescent="0.25">
      <c r="I4412">
        <f t="shared" si="69"/>
        <v>1900</v>
      </c>
    </row>
    <row r="4413" spans="9:9" x14ac:dyDescent="0.25">
      <c r="I4413">
        <f t="shared" si="69"/>
        <v>1900</v>
      </c>
    </row>
    <row r="4414" spans="9:9" x14ac:dyDescent="0.25">
      <c r="I4414">
        <f t="shared" si="69"/>
        <v>1900</v>
      </c>
    </row>
    <row r="4415" spans="9:9" x14ac:dyDescent="0.25">
      <c r="I4415">
        <f t="shared" si="69"/>
        <v>1900</v>
      </c>
    </row>
    <row r="4416" spans="9:9" x14ac:dyDescent="0.25">
      <c r="I4416">
        <f t="shared" si="69"/>
        <v>1900</v>
      </c>
    </row>
    <row r="4417" spans="9:9" x14ac:dyDescent="0.25">
      <c r="I4417">
        <f t="shared" si="69"/>
        <v>1900</v>
      </c>
    </row>
    <row r="4418" spans="9:9" x14ac:dyDescent="0.25">
      <c r="I4418">
        <f t="shared" si="69"/>
        <v>1900</v>
      </c>
    </row>
    <row r="4419" spans="9:9" x14ac:dyDescent="0.25">
      <c r="I4419">
        <f t="shared" si="69"/>
        <v>1900</v>
      </c>
    </row>
    <row r="4420" spans="9:9" x14ac:dyDescent="0.25">
      <c r="I4420">
        <f t="shared" ref="I4420:I4483" si="70">IFERROR(YEAR(E4420),"")</f>
        <v>1900</v>
      </c>
    </row>
    <row r="4421" spans="9:9" x14ac:dyDescent="0.25">
      <c r="I4421">
        <f t="shared" si="70"/>
        <v>1900</v>
      </c>
    </row>
    <row r="4422" spans="9:9" x14ac:dyDescent="0.25">
      <c r="I4422">
        <f t="shared" si="70"/>
        <v>1900</v>
      </c>
    </row>
    <row r="4423" spans="9:9" x14ac:dyDescent="0.25">
      <c r="I4423">
        <f t="shared" si="70"/>
        <v>1900</v>
      </c>
    </row>
    <row r="4424" spans="9:9" x14ac:dyDescent="0.25">
      <c r="I4424">
        <f t="shared" si="70"/>
        <v>1900</v>
      </c>
    </row>
    <row r="4425" spans="9:9" x14ac:dyDescent="0.25">
      <c r="I4425">
        <f t="shared" si="70"/>
        <v>1900</v>
      </c>
    </row>
    <row r="4426" spans="9:9" x14ac:dyDescent="0.25">
      <c r="I4426">
        <f t="shared" si="70"/>
        <v>1900</v>
      </c>
    </row>
    <row r="4427" spans="9:9" x14ac:dyDescent="0.25">
      <c r="I4427">
        <f t="shared" si="70"/>
        <v>1900</v>
      </c>
    </row>
    <row r="4428" spans="9:9" x14ac:dyDescent="0.25">
      <c r="I4428">
        <f t="shared" si="70"/>
        <v>1900</v>
      </c>
    </row>
    <row r="4429" spans="9:9" x14ac:dyDescent="0.25">
      <c r="I4429">
        <f t="shared" si="70"/>
        <v>1900</v>
      </c>
    </row>
    <row r="4430" spans="9:9" x14ac:dyDescent="0.25">
      <c r="I4430">
        <f t="shared" si="70"/>
        <v>1900</v>
      </c>
    </row>
    <row r="4431" spans="9:9" x14ac:dyDescent="0.25">
      <c r="I4431">
        <f t="shared" si="70"/>
        <v>1900</v>
      </c>
    </row>
    <row r="4432" spans="9:9" x14ac:dyDescent="0.25">
      <c r="I4432">
        <f t="shared" si="70"/>
        <v>1900</v>
      </c>
    </row>
    <row r="4433" spans="9:9" x14ac:dyDescent="0.25">
      <c r="I4433">
        <f t="shared" si="70"/>
        <v>1900</v>
      </c>
    </row>
    <row r="4434" spans="9:9" x14ac:dyDescent="0.25">
      <c r="I4434">
        <f t="shared" si="70"/>
        <v>1900</v>
      </c>
    </row>
    <row r="4435" spans="9:9" x14ac:dyDescent="0.25">
      <c r="I4435">
        <f t="shared" si="70"/>
        <v>1900</v>
      </c>
    </row>
    <row r="4436" spans="9:9" x14ac:dyDescent="0.25">
      <c r="I4436">
        <f t="shared" si="70"/>
        <v>1900</v>
      </c>
    </row>
    <row r="4437" spans="9:9" x14ac:dyDescent="0.25">
      <c r="I4437">
        <f t="shared" si="70"/>
        <v>1900</v>
      </c>
    </row>
    <row r="4438" spans="9:9" x14ac:dyDescent="0.25">
      <c r="I4438">
        <f t="shared" si="70"/>
        <v>1900</v>
      </c>
    </row>
    <row r="4439" spans="9:9" x14ac:dyDescent="0.25">
      <c r="I4439">
        <f t="shared" si="70"/>
        <v>1900</v>
      </c>
    </row>
    <row r="4440" spans="9:9" x14ac:dyDescent="0.25">
      <c r="I4440">
        <f t="shared" si="70"/>
        <v>1900</v>
      </c>
    </row>
    <row r="4441" spans="9:9" x14ac:dyDescent="0.25">
      <c r="I4441">
        <f t="shared" si="70"/>
        <v>1900</v>
      </c>
    </row>
    <row r="4442" spans="9:9" x14ac:dyDescent="0.25">
      <c r="I4442">
        <f t="shared" si="70"/>
        <v>1900</v>
      </c>
    </row>
    <row r="4443" spans="9:9" x14ac:dyDescent="0.25">
      <c r="I4443">
        <f t="shared" si="70"/>
        <v>1900</v>
      </c>
    </row>
    <row r="4444" spans="9:9" x14ac:dyDescent="0.25">
      <c r="I4444">
        <f t="shared" si="70"/>
        <v>1900</v>
      </c>
    </row>
    <row r="4445" spans="9:9" x14ac:dyDescent="0.25">
      <c r="I4445">
        <f t="shared" si="70"/>
        <v>1900</v>
      </c>
    </row>
    <row r="4446" spans="9:9" x14ac:dyDescent="0.25">
      <c r="I4446">
        <f t="shared" si="70"/>
        <v>1900</v>
      </c>
    </row>
    <row r="4447" spans="9:9" x14ac:dyDescent="0.25">
      <c r="I4447">
        <f t="shared" si="70"/>
        <v>1900</v>
      </c>
    </row>
    <row r="4448" spans="9:9" x14ac:dyDescent="0.25">
      <c r="I4448">
        <f t="shared" si="70"/>
        <v>1900</v>
      </c>
    </row>
    <row r="4449" spans="9:9" x14ac:dyDescent="0.25">
      <c r="I4449">
        <f t="shared" si="70"/>
        <v>1900</v>
      </c>
    </row>
    <row r="4450" spans="9:9" x14ac:dyDescent="0.25">
      <c r="I4450">
        <f t="shared" si="70"/>
        <v>1900</v>
      </c>
    </row>
    <row r="4451" spans="9:9" x14ac:dyDescent="0.25">
      <c r="I4451">
        <f t="shared" si="70"/>
        <v>1900</v>
      </c>
    </row>
    <row r="4452" spans="9:9" x14ac:dyDescent="0.25">
      <c r="I4452">
        <f t="shared" si="70"/>
        <v>1900</v>
      </c>
    </row>
    <row r="4453" spans="9:9" x14ac:dyDescent="0.25">
      <c r="I4453">
        <f t="shared" si="70"/>
        <v>1900</v>
      </c>
    </row>
    <row r="4454" spans="9:9" x14ac:dyDescent="0.25">
      <c r="I4454">
        <f t="shared" si="70"/>
        <v>1900</v>
      </c>
    </row>
    <row r="4455" spans="9:9" x14ac:dyDescent="0.25">
      <c r="I4455">
        <f t="shared" si="70"/>
        <v>1900</v>
      </c>
    </row>
    <row r="4456" spans="9:9" x14ac:dyDescent="0.25">
      <c r="I4456">
        <f t="shared" si="70"/>
        <v>1900</v>
      </c>
    </row>
    <row r="4457" spans="9:9" x14ac:dyDescent="0.25">
      <c r="I4457">
        <f t="shared" si="70"/>
        <v>1900</v>
      </c>
    </row>
    <row r="4458" spans="9:9" x14ac:dyDescent="0.25">
      <c r="I4458">
        <f t="shared" si="70"/>
        <v>1900</v>
      </c>
    </row>
    <row r="4459" spans="9:9" x14ac:dyDescent="0.25">
      <c r="I4459">
        <f t="shared" si="70"/>
        <v>1900</v>
      </c>
    </row>
    <row r="4460" spans="9:9" x14ac:dyDescent="0.25">
      <c r="I4460">
        <f t="shared" si="70"/>
        <v>1900</v>
      </c>
    </row>
    <row r="4461" spans="9:9" x14ac:dyDescent="0.25">
      <c r="I4461">
        <f t="shared" si="70"/>
        <v>1900</v>
      </c>
    </row>
    <row r="4462" spans="9:9" x14ac:dyDescent="0.25">
      <c r="I4462">
        <f t="shared" si="70"/>
        <v>1900</v>
      </c>
    </row>
    <row r="4463" spans="9:9" x14ac:dyDescent="0.25">
      <c r="I4463">
        <f t="shared" si="70"/>
        <v>1900</v>
      </c>
    </row>
    <row r="4464" spans="9:9" x14ac:dyDescent="0.25">
      <c r="I4464">
        <f t="shared" si="70"/>
        <v>1900</v>
      </c>
    </row>
    <row r="4465" spans="9:9" x14ac:dyDescent="0.25">
      <c r="I4465">
        <f t="shared" si="70"/>
        <v>1900</v>
      </c>
    </row>
    <row r="4466" spans="9:9" x14ac:dyDescent="0.25">
      <c r="I4466">
        <f t="shared" si="70"/>
        <v>1900</v>
      </c>
    </row>
    <row r="4467" spans="9:9" x14ac:dyDescent="0.25">
      <c r="I4467">
        <f t="shared" si="70"/>
        <v>1900</v>
      </c>
    </row>
    <row r="4468" spans="9:9" x14ac:dyDescent="0.25">
      <c r="I4468">
        <f t="shared" si="70"/>
        <v>1900</v>
      </c>
    </row>
    <row r="4469" spans="9:9" x14ac:dyDescent="0.25">
      <c r="I4469">
        <f t="shared" si="70"/>
        <v>1900</v>
      </c>
    </row>
    <row r="4470" spans="9:9" x14ac:dyDescent="0.25">
      <c r="I4470">
        <f t="shared" si="70"/>
        <v>1900</v>
      </c>
    </row>
    <row r="4471" spans="9:9" x14ac:dyDescent="0.25">
      <c r="I4471">
        <f t="shared" si="70"/>
        <v>1900</v>
      </c>
    </row>
    <row r="4472" spans="9:9" x14ac:dyDescent="0.25">
      <c r="I4472">
        <f t="shared" si="70"/>
        <v>1900</v>
      </c>
    </row>
    <row r="4473" spans="9:9" x14ac:dyDescent="0.25">
      <c r="I4473">
        <f t="shared" si="70"/>
        <v>1900</v>
      </c>
    </row>
    <row r="4474" spans="9:9" x14ac:dyDescent="0.25">
      <c r="I4474">
        <f t="shared" si="70"/>
        <v>1900</v>
      </c>
    </row>
    <row r="4475" spans="9:9" x14ac:dyDescent="0.25">
      <c r="I4475">
        <f t="shared" si="70"/>
        <v>1900</v>
      </c>
    </row>
    <row r="4476" spans="9:9" x14ac:dyDescent="0.25">
      <c r="I4476">
        <f t="shared" si="70"/>
        <v>1900</v>
      </c>
    </row>
    <row r="4477" spans="9:9" x14ac:dyDescent="0.25">
      <c r="I4477">
        <f t="shared" si="70"/>
        <v>1900</v>
      </c>
    </row>
    <row r="4478" spans="9:9" x14ac:dyDescent="0.25">
      <c r="I4478">
        <f t="shared" si="70"/>
        <v>1900</v>
      </c>
    </row>
    <row r="4479" spans="9:9" x14ac:dyDescent="0.25">
      <c r="I4479">
        <f t="shared" si="70"/>
        <v>1900</v>
      </c>
    </row>
    <row r="4480" spans="9:9" x14ac:dyDescent="0.25">
      <c r="I4480">
        <f t="shared" si="70"/>
        <v>1900</v>
      </c>
    </row>
    <row r="4481" spans="9:9" x14ac:dyDescent="0.25">
      <c r="I4481">
        <f t="shared" si="70"/>
        <v>1900</v>
      </c>
    </row>
    <row r="4482" spans="9:9" x14ac:dyDescent="0.25">
      <c r="I4482">
        <f t="shared" si="70"/>
        <v>1900</v>
      </c>
    </row>
    <row r="4483" spans="9:9" x14ac:dyDescent="0.25">
      <c r="I4483">
        <f t="shared" si="70"/>
        <v>1900</v>
      </c>
    </row>
    <row r="4484" spans="9:9" x14ac:dyDescent="0.25">
      <c r="I4484">
        <f t="shared" ref="I4484:I4547" si="71">IFERROR(YEAR(E4484),"")</f>
        <v>1900</v>
      </c>
    </row>
    <row r="4485" spans="9:9" x14ac:dyDescent="0.25">
      <c r="I4485">
        <f t="shared" si="71"/>
        <v>1900</v>
      </c>
    </row>
    <row r="4486" spans="9:9" x14ac:dyDescent="0.25">
      <c r="I4486">
        <f t="shared" si="71"/>
        <v>1900</v>
      </c>
    </row>
    <row r="4487" spans="9:9" x14ac:dyDescent="0.25">
      <c r="I4487">
        <f t="shared" si="71"/>
        <v>1900</v>
      </c>
    </row>
    <row r="4488" spans="9:9" x14ac:dyDescent="0.25">
      <c r="I4488">
        <f t="shared" si="71"/>
        <v>1900</v>
      </c>
    </row>
    <row r="4489" spans="9:9" x14ac:dyDescent="0.25">
      <c r="I4489">
        <f t="shared" si="71"/>
        <v>1900</v>
      </c>
    </row>
    <row r="4490" spans="9:9" x14ac:dyDescent="0.25">
      <c r="I4490">
        <f t="shared" si="71"/>
        <v>1900</v>
      </c>
    </row>
    <row r="4491" spans="9:9" x14ac:dyDescent="0.25">
      <c r="I4491">
        <f t="shared" si="71"/>
        <v>1900</v>
      </c>
    </row>
    <row r="4492" spans="9:9" x14ac:dyDescent="0.25">
      <c r="I4492">
        <f t="shared" si="71"/>
        <v>1900</v>
      </c>
    </row>
    <row r="4493" spans="9:9" x14ac:dyDescent="0.25">
      <c r="I4493">
        <f t="shared" si="71"/>
        <v>1900</v>
      </c>
    </row>
    <row r="4494" spans="9:9" x14ac:dyDescent="0.25">
      <c r="I4494">
        <f t="shared" si="71"/>
        <v>1900</v>
      </c>
    </row>
    <row r="4495" spans="9:9" x14ac:dyDescent="0.25">
      <c r="I4495">
        <f t="shared" si="71"/>
        <v>1900</v>
      </c>
    </row>
    <row r="4496" spans="9:9" x14ac:dyDescent="0.25">
      <c r="I4496">
        <f t="shared" si="71"/>
        <v>1900</v>
      </c>
    </row>
    <row r="4497" spans="9:9" x14ac:dyDescent="0.25">
      <c r="I4497">
        <f t="shared" si="71"/>
        <v>1900</v>
      </c>
    </row>
    <row r="4498" spans="9:9" x14ac:dyDescent="0.25">
      <c r="I4498">
        <f t="shared" si="71"/>
        <v>1900</v>
      </c>
    </row>
    <row r="4499" spans="9:9" x14ac:dyDescent="0.25">
      <c r="I4499">
        <f t="shared" si="71"/>
        <v>1900</v>
      </c>
    </row>
    <row r="4500" spans="9:9" x14ac:dyDescent="0.25">
      <c r="I4500">
        <f t="shared" si="71"/>
        <v>1900</v>
      </c>
    </row>
    <row r="4501" spans="9:9" x14ac:dyDescent="0.25">
      <c r="I4501">
        <f t="shared" si="71"/>
        <v>1900</v>
      </c>
    </row>
    <row r="4502" spans="9:9" x14ac:dyDescent="0.25">
      <c r="I4502">
        <f t="shared" si="71"/>
        <v>1900</v>
      </c>
    </row>
    <row r="4503" spans="9:9" x14ac:dyDescent="0.25">
      <c r="I4503">
        <f t="shared" si="71"/>
        <v>1900</v>
      </c>
    </row>
    <row r="4504" spans="9:9" x14ac:dyDescent="0.25">
      <c r="I4504">
        <f t="shared" si="71"/>
        <v>1900</v>
      </c>
    </row>
    <row r="4505" spans="9:9" x14ac:dyDescent="0.25">
      <c r="I4505">
        <f t="shared" si="71"/>
        <v>1900</v>
      </c>
    </row>
    <row r="4506" spans="9:9" x14ac:dyDescent="0.25">
      <c r="I4506">
        <f t="shared" si="71"/>
        <v>1900</v>
      </c>
    </row>
    <row r="4507" spans="9:9" x14ac:dyDescent="0.25">
      <c r="I4507">
        <f t="shared" si="71"/>
        <v>1900</v>
      </c>
    </row>
    <row r="4508" spans="9:9" x14ac:dyDescent="0.25">
      <c r="I4508">
        <f t="shared" si="71"/>
        <v>1900</v>
      </c>
    </row>
    <row r="4509" spans="9:9" x14ac:dyDescent="0.25">
      <c r="I4509">
        <f t="shared" si="71"/>
        <v>1900</v>
      </c>
    </row>
    <row r="4510" spans="9:9" x14ac:dyDescent="0.25">
      <c r="I4510">
        <f t="shared" si="71"/>
        <v>1900</v>
      </c>
    </row>
    <row r="4511" spans="9:9" x14ac:dyDescent="0.25">
      <c r="I4511">
        <f t="shared" si="71"/>
        <v>1900</v>
      </c>
    </row>
    <row r="4512" spans="9:9" x14ac:dyDescent="0.25">
      <c r="I4512">
        <f t="shared" si="71"/>
        <v>1900</v>
      </c>
    </row>
    <row r="4513" spans="9:9" x14ac:dyDescent="0.25">
      <c r="I4513">
        <f t="shared" si="71"/>
        <v>1900</v>
      </c>
    </row>
    <row r="4514" spans="9:9" x14ac:dyDescent="0.25">
      <c r="I4514">
        <f t="shared" si="71"/>
        <v>1900</v>
      </c>
    </row>
    <row r="4515" spans="9:9" x14ac:dyDescent="0.25">
      <c r="I4515">
        <f t="shared" si="71"/>
        <v>1900</v>
      </c>
    </row>
    <row r="4516" spans="9:9" x14ac:dyDescent="0.25">
      <c r="I4516">
        <f t="shared" si="71"/>
        <v>1900</v>
      </c>
    </row>
    <row r="4517" spans="9:9" x14ac:dyDescent="0.25">
      <c r="I4517">
        <f t="shared" si="71"/>
        <v>1900</v>
      </c>
    </row>
    <row r="4518" spans="9:9" x14ac:dyDescent="0.25">
      <c r="I4518">
        <f t="shared" si="71"/>
        <v>1900</v>
      </c>
    </row>
    <row r="4519" spans="9:9" x14ac:dyDescent="0.25">
      <c r="I4519">
        <f t="shared" si="71"/>
        <v>1900</v>
      </c>
    </row>
    <row r="4520" spans="9:9" x14ac:dyDescent="0.25">
      <c r="I4520">
        <f t="shared" si="71"/>
        <v>1900</v>
      </c>
    </row>
    <row r="4521" spans="9:9" x14ac:dyDescent="0.25">
      <c r="I4521">
        <f t="shared" si="71"/>
        <v>1900</v>
      </c>
    </row>
    <row r="4522" spans="9:9" x14ac:dyDescent="0.25">
      <c r="I4522">
        <f t="shared" si="71"/>
        <v>1900</v>
      </c>
    </row>
    <row r="4523" spans="9:9" x14ac:dyDescent="0.25">
      <c r="I4523">
        <f t="shared" si="71"/>
        <v>1900</v>
      </c>
    </row>
    <row r="4524" spans="9:9" x14ac:dyDescent="0.25">
      <c r="I4524">
        <f t="shared" si="71"/>
        <v>1900</v>
      </c>
    </row>
    <row r="4525" spans="9:9" x14ac:dyDescent="0.25">
      <c r="I4525">
        <f t="shared" si="71"/>
        <v>1900</v>
      </c>
    </row>
    <row r="4526" spans="9:9" x14ac:dyDescent="0.25">
      <c r="I4526">
        <f t="shared" si="71"/>
        <v>1900</v>
      </c>
    </row>
    <row r="4527" spans="9:9" x14ac:dyDescent="0.25">
      <c r="I4527">
        <f t="shared" si="71"/>
        <v>1900</v>
      </c>
    </row>
    <row r="4528" spans="9:9" x14ac:dyDescent="0.25">
      <c r="I4528">
        <f t="shared" si="71"/>
        <v>1900</v>
      </c>
    </row>
    <row r="4529" spans="9:9" x14ac:dyDescent="0.25">
      <c r="I4529">
        <f t="shared" si="71"/>
        <v>1900</v>
      </c>
    </row>
    <row r="4530" spans="9:9" x14ac:dyDescent="0.25">
      <c r="I4530">
        <f t="shared" si="71"/>
        <v>1900</v>
      </c>
    </row>
    <row r="4531" spans="9:9" x14ac:dyDescent="0.25">
      <c r="I4531">
        <f t="shared" si="71"/>
        <v>1900</v>
      </c>
    </row>
    <row r="4532" spans="9:9" x14ac:dyDescent="0.25">
      <c r="I4532">
        <f t="shared" si="71"/>
        <v>1900</v>
      </c>
    </row>
    <row r="4533" spans="9:9" x14ac:dyDescent="0.25">
      <c r="I4533">
        <f t="shared" si="71"/>
        <v>1900</v>
      </c>
    </row>
    <row r="4534" spans="9:9" x14ac:dyDescent="0.25">
      <c r="I4534">
        <f t="shared" si="71"/>
        <v>1900</v>
      </c>
    </row>
    <row r="4535" spans="9:9" x14ac:dyDescent="0.25">
      <c r="I4535">
        <f t="shared" si="71"/>
        <v>1900</v>
      </c>
    </row>
    <row r="4536" spans="9:9" x14ac:dyDescent="0.25">
      <c r="I4536">
        <f t="shared" si="71"/>
        <v>1900</v>
      </c>
    </row>
    <row r="4537" spans="9:9" x14ac:dyDescent="0.25">
      <c r="I4537">
        <f t="shared" si="71"/>
        <v>1900</v>
      </c>
    </row>
    <row r="4538" spans="9:9" x14ac:dyDescent="0.25">
      <c r="I4538">
        <f t="shared" si="71"/>
        <v>1900</v>
      </c>
    </row>
    <row r="4539" spans="9:9" x14ac:dyDescent="0.25">
      <c r="I4539">
        <f t="shared" si="71"/>
        <v>1900</v>
      </c>
    </row>
    <row r="4540" spans="9:9" x14ac:dyDescent="0.25">
      <c r="I4540">
        <f t="shared" si="71"/>
        <v>1900</v>
      </c>
    </row>
    <row r="4541" spans="9:9" x14ac:dyDescent="0.25">
      <c r="I4541">
        <f t="shared" si="71"/>
        <v>1900</v>
      </c>
    </row>
    <row r="4542" spans="9:9" x14ac:dyDescent="0.25">
      <c r="I4542">
        <f t="shared" si="71"/>
        <v>1900</v>
      </c>
    </row>
    <row r="4543" spans="9:9" x14ac:dyDescent="0.25">
      <c r="I4543">
        <f t="shared" si="71"/>
        <v>1900</v>
      </c>
    </row>
    <row r="4544" spans="9:9" x14ac:dyDescent="0.25">
      <c r="I4544">
        <f t="shared" si="71"/>
        <v>1900</v>
      </c>
    </row>
    <row r="4545" spans="9:9" x14ac:dyDescent="0.25">
      <c r="I4545">
        <f t="shared" si="71"/>
        <v>1900</v>
      </c>
    </row>
    <row r="4546" spans="9:9" x14ac:dyDescent="0.25">
      <c r="I4546">
        <f t="shared" si="71"/>
        <v>1900</v>
      </c>
    </row>
    <row r="4547" spans="9:9" x14ac:dyDescent="0.25">
      <c r="I4547">
        <f t="shared" si="71"/>
        <v>1900</v>
      </c>
    </row>
    <row r="4548" spans="9:9" x14ac:dyDescent="0.25">
      <c r="I4548">
        <f t="shared" ref="I4548:I4611" si="72">IFERROR(YEAR(E4548),"")</f>
        <v>1900</v>
      </c>
    </row>
    <row r="4549" spans="9:9" x14ac:dyDescent="0.25">
      <c r="I4549">
        <f t="shared" si="72"/>
        <v>1900</v>
      </c>
    </row>
    <row r="4550" spans="9:9" x14ac:dyDescent="0.25">
      <c r="I4550">
        <f t="shared" si="72"/>
        <v>1900</v>
      </c>
    </row>
    <row r="4551" spans="9:9" x14ac:dyDescent="0.25">
      <c r="I4551">
        <f t="shared" si="72"/>
        <v>1900</v>
      </c>
    </row>
    <row r="4552" spans="9:9" x14ac:dyDescent="0.25">
      <c r="I4552">
        <f t="shared" si="72"/>
        <v>1900</v>
      </c>
    </row>
    <row r="4553" spans="9:9" x14ac:dyDescent="0.25">
      <c r="I4553">
        <f t="shared" si="72"/>
        <v>1900</v>
      </c>
    </row>
    <row r="4554" spans="9:9" x14ac:dyDescent="0.25">
      <c r="I4554">
        <f t="shared" si="72"/>
        <v>1900</v>
      </c>
    </row>
    <row r="4555" spans="9:9" x14ac:dyDescent="0.25">
      <c r="I4555">
        <f t="shared" si="72"/>
        <v>1900</v>
      </c>
    </row>
    <row r="4556" spans="9:9" x14ac:dyDescent="0.25">
      <c r="I4556">
        <f t="shared" si="72"/>
        <v>1900</v>
      </c>
    </row>
    <row r="4557" spans="9:9" x14ac:dyDescent="0.25">
      <c r="I4557">
        <f t="shared" si="72"/>
        <v>1900</v>
      </c>
    </row>
    <row r="4558" spans="9:9" x14ac:dyDescent="0.25">
      <c r="I4558">
        <f t="shared" si="72"/>
        <v>1900</v>
      </c>
    </row>
    <row r="4559" spans="9:9" x14ac:dyDescent="0.25">
      <c r="I4559">
        <f t="shared" si="72"/>
        <v>1900</v>
      </c>
    </row>
    <row r="4560" spans="9:9" x14ac:dyDescent="0.25">
      <c r="I4560">
        <f t="shared" si="72"/>
        <v>1900</v>
      </c>
    </row>
    <row r="4561" spans="9:9" x14ac:dyDescent="0.25">
      <c r="I4561">
        <f t="shared" si="72"/>
        <v>1900</v>
      </c>
    </row>
    <row r="4562" spans="9:9" x14ac:dyDescent="0.25">
      <c r="I4562">
        <f t="shared" si="72"/>
        <v>1900</v>
      </c>
    </row>
    <row r="4563" spans="9:9" x14ac:dyDescent="0.25">
      <c r="I4563">
        <f t="shared" si="72"/>
        <v>1900</v>
      </c>
    </row>
    <row r="4564" spans="9:9" x14ac:dyDescent="0.25">
      <c r="I4564">
        <f t="shared" si="72"/>
        <v>1900</v>
      </c>
    </row>
    <row r="4565" spans="9:9" x14ac:dyDescent="0.25">
      <c r="I4565">
        <f t="shared" si="72"/>
        <v>1900</v>
      </c>
    </row>
    <row r="4566" spans="9:9" x14ac:dyDescent="0.25">
      <c r="I4566">
        <f t="shared" si="72"/>
        <v>1900</v>
      </c>
    </row>
    <row r="4567" spans="9:9" x14ac:dyDescent="0.25">
      <c r="I4567">
        <f t="shared" si="72"/>
        <v>1900</v>
      </c>
    </row>
    <row r="4568" spans="9:9" x14ac:dyDescent="0.25">
      <c r="I4568">
        <f t="shared" si="72"/>
        <v>1900</v>
      </c>
    </row>
    <row r="4569" spans="9:9" x14ac:dyDescent="0.25">
      <c r="I4569">
        <f t="shared" si="72"/>
        <v>1900</v>
      </c>
    </row>
    <row r="4570" spans="9:9" x14ac:dyDescent="0.25">
      <c r="I4570">
        <f t="shared" si="72"/>
        <v>1900</v>
      </c>
    </row>
    <row r="4571" spans="9:9" x14ac:dyDescent="0.25">
      <c r="I4571">
        <f t="shared" si="72"/>
        <v>1900</v>
      </c>
    </row>
    <row r="4572" spans="9:9" x14ac:dyDescent="0.25">
      <c r="I4572">
        <f t="shared" si="72"/>
        <v>1900</v>
      </c>
    </row>
    <row r="4573" spans="9:9" x14ac:dyDescent="0.25">
      <c r="I4573">
        <f t="shared" si="72"/>
        <v>1900</v>
      </c>
    </row>
    <row r="4574" spans="9:9" x14ac:dyDescent="0.25">
      <c r="I4574">
        <f t="shared" si="72"/>
        <v>1900</v>
      </c>
    </row>
    <row r="4575" spans="9:9" x14ac:dyDescent="0.25">
      <c r="I4575">
        <f t="shared" si="72"/>
        <v>1900</v>
      </c>
    </row>
    <row r="4576" spans="9:9" x14ac:dyDescent="0.25">
      <c r="I4576">
        <f t="shared" si="72"/>
        <v>1900</v>
      </c>
    </row>
    <row r="4577" spans="9:9" x14ac:dyDescent="0.25">
      <c r="I4577">
        <f t="shared" si="72"/>
        <v>1900</v>
      </c>
    </row>
    <row r="4578" spans="9:9" x14ac:dyDescent="0.25">
      <c r="I4578">
        <f t="shared" si="72"/>
        <v>1900</v>
      </c>
    </row>
    <row r="4579" spans="9:9" x14ac:dyDescent="0.25">
      <c r="I4579">
        <f t="shared" si="72"/>
        <v>1900</v>
      </c>
    </row>
    <row r="4580" spans="9:9" x14ac:dyDescent="0.25">
      <c r="I4580">
        <f t="shared" si="72"/>
        <v>1900</v>
      </c>
    </row>
    <row r="4581" spans="9:9" x14ac:dyDescent="0.25">
      <c r="I4581">
        <f t="shared" si="72"/>
        <v>1900</v>
      </c>
    </row>
    <row r="4582" spans="9:9" x14ac:dyDescent="0.25">
      <c r="I4582">
        <f t="shared" si="72"/>
        <v>1900</v>
      </c>
    </row>
    <row r="4583" spans="9:9" x14ac:dyDescent="0.25">
      <c r="I4583">
        <f t="shared" si="72"/>
        <v>1900</v>
      </c>
    </row>
    <row r="4584" spans="9:9" x14ac:dyDescent="0.25">
      <c r="I4584">
        <f t="shared" si="72"/>
        <v>1900</v>
      </c>
    </row>
    <row r="4585" spans="9:9" x14ac:dyDescent="0.25">
      <c r="I4585">
        <f t="shared" si="72"/>
        <v>1900</v>
      </c>
    </row>
    <row r="4586" spans="9:9" x14ac:dyDescent="0.25">
      <c r="I4586">
        <f t="shared" si="72"/>
        <v>1900</v>
      </c>
    </row>
    <row r="4587" spans="9:9" x14ac:dyDescent="0.25">
      <c r="I4587">
        <f t="shared" si="72"/>
        <v>1900</v>
      </c>
    </row>
    <row r="4588" spans="9:9" x14ac:dyDescent="0.25">
      <c r="I4588">
        <f t="shared" si="72"/>
        <v>1900</v>
      </c>
    </row>
    <row r="4589" spans="9:9" x14ac:dyDescent="0.25">
      <c r="I4589">
        <f t="shared" si="72"/>
        <v>1900</v>
      </c>
    </row>
    <row r="4590" spans="9:9" x14ac:dyDescent="0.25">
      <c r="I4590">
        <f t="shared" si="72"/>
        <v>1900</v>
      </c>
    </row>
    <row r="4591" spans="9:9" x14ac:dyDescent="0.25">
      <c r="I4591">
        <f t="shared" si="72"/>
        <v>1900</v>
      </c>
    </row>
    <row r="4592" spans="9:9" x14ac:dyDescent="0.25">
      <c r="I4592">
        <f t="shared" si="72"/>
        <v>1900</v>
      </c>
    </row>
    <row r="4593" spans="9:9" x14ac:dyDescent="0.25">
      <c r="I4593">
        <f t="shared" si="72"/>
        <v>1900</v>
      </c>
    </row>
    <row r="4594" spans="9:9" x14ac:dyDescent="0.25">
      <c r="I4594">
        <f t="shared" si="72"/>
        <v>1900</v>
      </c>
    </row>
    <row r="4595" spans="9:9" x14ac:dyDescent="0.25">
      <c r="I4595">
        <f t="shared" si="72"/>
        <v>1900</v>
      </c>
    </row>
    <row r="4596" spans="9:9" x14ac:dyDescent="0.25">
      <c r="I4596">
        <f t="shared" si="72"/>
        <v>1900</v>
      </c>
    </row>
    <row r="4597" spans="9:9" x14ac:dyDescent="0.25">
      <c r="I4597">
        <f t="shared" si="72"/>
        <v>1900</v>
      </c>
    </row>
    <row r="4598" spans="9:9" x14ac:dyDescent="0.25">
      <c r="I4598">
        <f t="shared" si="72"/>
        <v>1900</v>
      </c>
    </row>
    <row r="4599" spans="9:9" x14ac:dyDescent="0.25">
      <c r="I4599">
        <f t="shared" si="72"/>
        <v>1900</v>
      </c>
    </row>
    <row r="4600" spans="9:9" x14ac:dyDescent="0.25">
      <c r="I4600">
        <f t="shared" si="72"/>
        <v>1900</v>
      </c>
    </row>
    <row r="4601" spans="9:9" x14ac:dyDescent="0.25">
      <c r="I4601">
        <f t="shared" si="72"/>
        <v>1900</v>
      </c>
    </row>
    <row r="4602" spans="9:9" x14ac:dyDescent="0.25">
      <c r="I4602">
        <f t="shared" si="72"/>
        <v>1900</v>
      </c>
    </row>
    <row r="4603" spans="9:9" x14ac:dyDescent="0.25">
      <c r="I4603">
        <f t="shared" si="72"/>
        <v>1900</v>
      </c>
    </row>
    <row r="4604" spans="9:9" x14ac:dyDescent="0.25">
      <c r="I4604">
        <f t="shared" si="72"/>
        <v>1900</v>
      </c>
    </row>
    <row r="4605" spans="9:9" x14ac:dyDescent="0.25">
      <c r="I4605">
        <f t="shared" si="72"/>
        <v>1900</v>
      </c>
    </row>
    <row r="4606" spans="9:9" x14ac:dyDescent="0.25">
      <c r="I4606">
        <f t="shared" si="72"/>
        <v>1900</v>
      </c>
    </row>
    <row r="4607" spans="9:9" x14ac:dyDescent="0.25">
      <c r="I4607">
        <f t="shared" si="72"/>
        <v>1900</v>
      </c>
    </row>
    <row r="4608" spans="9:9" x14ac:dyDescent="0.25">
      <c r="I4608">
        <f t="shared" si="72"/>
        <v>1900</v>
      </c>
    </row>
    <row r="4609" spans="9:9" x14ac:dyDescent="0.25">
      <c r="I4609">
        <f t="shared" si="72"/>
        <v>1900</v>
      </c>
    </row>
    <row r="4610" spans="9:9" x14ac:dyDescent="0.25">
      <c r="I4610">
        <f t="shared" si="72"/>
        <v>1900</v>
      </c>
    </row>
    <row r="4611" spans="9:9" x14ac:dyDescent="0.25">
      <c r="I4611">
        <f t="shared" si="72"/>
        <v>1900</v>
      </c>
    </row>
    <row r="4612" spans="9:9" x14ac:dyDescent="0.25">
      <c r="I4612">
        <f t="shared" ref="I4612:I4675" si="73">IFERROR(YEAR(E4612),"")</f>
        <v>1900</v>
      </c>
    </row>
    <row r="4613" spans="9:9" x14ac:dyDescent="0.25">
      <c r="I4613">
        <f t="shared" si="73"/>
        <v>1900</v>
      </c>
    </row>
    <row r="4614" spans="9:9" x14ac:dyDescent="0.25">
      <c r="I4614">
        <f t="shared" si="73"/>
        <v>1900</v>
      </c>
    </row>
    <row r="4615" spans="9:9" x14ac:dyDescent="0.25">
      <c r="I4615">
        <f t="shared" si="73"/>
        <v>1900</v>
      </c>
    </row>
    <row r="4616" spans="9:9" x14ac:dyDescent="0.25">
      <c r="I4616">
        <f t="shared" si="73"/>
        <v>1900</v>
      </c>
    </row>
    <row r="4617" spans="9:9" x14ac:dyDescent="0.25">
      <c r="I4617">
        <f t="shared" si="73"/>
        <v>1900</v>
      </c>
    </row>
    <row r="4618" spans="9:9" x14ac:dyDescent="0.25">
      <c r="I4618">
        <f t="shared" si="73"/>
        <v>1900</v>
      </c>
    </row>
    <row r="4619" spans="9:9" x14ac:dyDescent="0.25">
      <c r="I4619">
        <f t="shared" si="73"/>
        <v>1900</v>
      </c>
    </row>
    <row r="4620" spans="9:9" x14ac:dyDescent="0.25">
      <c r="I4620">
        <f t="shared" si="73"/>
        <v>1900</v>
      </c>
    </row>
    <row r="4621" spans="9:9" x14ac:dyDescent="0.25">
      <c r="I4621">
        <f t="shared" si="73"/>
        <v>1900</v>
      </c>
    </row>
    <row r="4622" spans="9:9" x14ac:dyDescent="0.25">
      <c r="I4622">
        <f t="shared" si="73"/>
        <v>1900</v>
      </c>
    </row>
    <row r="4623" spans="9:9" x14ac:dyDescent="0.25">
      <c r="I4623">
        <f t="shared" si="73"/>
        <v>1900</v>
      </c>
    </row>
    <row r="4624" spans="9:9" x14ac:dyDescent="0.25">
      <c r="I4624">
        <f t="shared" si="73"/>
        <v>1900</v>
      </c>
    </row>
    <row r="4625" spans="9:9" x14ac:dyDescent="0.25">
      <c r="I4625">
        <f t="shared" si="73"/>
        <v>1900</v>
      </c>
    </row>
    <row r="4626" spans="9:9" x14ac:dyDescent="0.25">
      <c r="I4626">
        <f t="shared" si="73"/>
        <v>1900</v>
      </c>
    </row>
    <row r="4627" spans="9:9" x14ac:dyDescent="0.25">
      <c r="I4627">
        <f t="shared" si="73"/>
        <v>1900</v>
      </c>
    </row>
    <row r="4628" spans="9:9" x14ac:dyDescent="0.25">
      <c r="I4628">
        <f t="shared" si="73"/>
        <v>1900</v>
      </c>
    </row>
    <row r="4629" spans="9:9" x14ac:dyDescent="0.25">
      <c r="I4629">
        <f t="shared" si="73"/>
        <v>1900</v>
      </c>
    </row>
    <row r="4630" spans="9:9" x14ac:dyDescent="0.25">
      <c r="I4630">
        <f t="shared" si="73"/>
        <v>1900</v>
      </c>
    </row>
    <row r="4631" spans="9:9" x14ac:dyDescent="0.25">
      <c r="I4631">
        <f t="shared" si="73"/>
        <v>1900</v>
      </c>
    </row>
    <row r="4632" spans="9:9" x14ac:dyDescent="0.25">
      <c r="I4632">
        <f t="shared" si="73"/>
        <v>1900</v>
      </c>
    </row>
    <row r="4633" spans="9:9" x14ac:dyDescent="0.25">
      <c r="I4633">
        <f t="shared" si="73"/>
        <v>1900</v>
      </c>
    </row>
    <row r="4634" spans="9:9" x14ac:dyDescent="0.25">
      <c r="I4634">
        <f t="shared" si="73"/>
        <v>1900</v>
      </c>
    </row>
    <row r="4635" spans="9:9" x14ac:dyDescent="0.25">
      <c r="I4635">
        <f t="shared" si="73"/>
        <v>1900</v>
      </c>
    </row>
    <row r="4636" spans="9:9" x14ac:dyDescent="0.25">
      <c r="I4636">
        <f t="shared" si="73"/>
        <v>1900</v>
      </c>
    </row>
    <row r="4637" spans="9:9" x14ac:dyDescent="0.25">
      <c r="I4637">
        <f t="shared" si="73"/>
        <v>1900</v>
      </c>
    </row>
    <row r="4638" spans="9:9" x14ac:dyDescent="0.25">
      <c r="I4638">
        <f t="shared" si="73"/>
        <v>1900</v>
      </c>
    </row>
    <row r="4639" spans="9:9" x14ac:dyDescent="0.25">
      <c r="I4639">
        <f t="shared" si="73"/>
        <v>1900</v>
      </c>
    </row>
    <row r="4640" spans="9:9" x14ac:dyDescent="0.25">
      <c r="I4640">
        <f t="shared" si="73"/>
        <v>1900</v>
      </c>
    </row>
    <row r="4641" spans="9:9" x14ac:dyDescent="0.25">
      <c r="I4641">
        <f t="shared" si="73"/>
        <v>1900</v>
      </c>
    </row>
    <row r="4642" spans="9:9" x14ac:dyDescent="0.25">
      <c r="I4642">
        <f t="shared" si="73"/>
        <v>1900</v>
      </c>
    </row>
    <row r="4643" spans="9:9" x14ac:dyDescent="0.25">
      <c r="I4643">
        <f t="shared" si="73"/>
        <v>1900</v>
      </c>
    </row>
    <row r="4644" spans="9:9" x14ac:dyDescent="0.25">
      <c r="I4644">
        <f t="shared" si="73"/>
        <v>1900</v>
      </c>
    </row>
    <row r="4645" spans="9:9" x14ac:dyDescent="0.25">
      <c r="I4645">
        <f t="shared" si="73"/>
        <v>1900</v>
      </c>
    </row>
    <row r="4646" spans="9:9" x14ac:dyDescent="0.25">
      <c r="I4646">
        <f t="shared" si="73"/>
        <v>1900</v>
      </c>
    </row>
    <row r="4647" spans="9:9" x14ac:dyDescent="0.25">
      <c r="I4647">
        <f t="shared" si="73"/>
        <v>1900</v>
      </c>
    </row>
    <row r="4648" spans="9:9" x14ac:dyDescent="0.25">
      <c r="I4648">
        <f t="shared" si="73"/>
        <v>1900</v>
      </c>
    </row>
    <row r="4649" spans="9:9" x14ac:dyDescent="0.25">
      <c r="I4649">
        <f t="shared" si="73"/>
        <v>1900</v>
      </c>
    </row>
    <row r="4650" spans="9:9" x14ac:dyDescent="0.25">
      <c r="I4650">
        <f t="shared" si="73"/>
        <v>1900</v>
      </c>
    </row>
    <row r="4651" spans="9:9" x14ac:dyDescent="0.25">
      <c r="I4651">
        <f t="shared" si="73"/>
        <v>1900</v>
      </c>
    </row>
    <row r="4652" spans="9:9" x14ac:dyDescent="0.25">
      <c r="I4652">
        <f t="shared" si="73"/>
        <v>1900</v>
      </c>
    </row>
    <row r="4653" spans="9:9" x14ac:dyDescent="0.25">
      <c r="I4653">
        <f t="shared" si="73"/>
        <v>1900</v>
      </c>
    </row>
    <row r="4654" spans="9:9" x14ac:dyDescent="0.25">
      <c r="I4654">
        <f t="shared" si="73"/>
        <v>1900</v>
      </c>
    </row>
    <row r="4655" spans="9:9" x14ac:dyDescent="0.25">
      <c r="I4655">
        <f t="shared" si="73"/>
        <v>1900</v>
      </c>
    </row>
    <row r="4656" spans="9:9" x14ac:dyDescent="0.25">
      <c r="I4656">
        <f t="shared" si="73"/>
        <v>1900</v>
      </c>
    </row>
    <row r="4657" spans="9:9" x14ac:dyDescent="0.25">
      <c r="I4657">
        <f t="shared" si="73"/>
        <v>1900</v>
      </c>
    </row>
    <row r="4658" spans="9:9" x14ac:dyDescent="0.25">
      <c r="I4658">
        <f t="shared" si="73"/>
        <v>1900</v>
      </c>
    </row>
    <row r="4659" spans="9:9" x14ac:dyDescent="0.25">
      <c r="I4659">
        <f t="shared" si="73"/>
        <v>1900</v>
      </c>
    </row>
    <row r="4660" spans="9:9" x14ac:dyDescent="0.25">
      <c r="I4660">
        <f t="shared" si="73"/>
        <v>1900</v>
      </c>
    </row>
    <row r="4661" spans="9:9" x14ac:dyDescent="0.25">
      <c r="I4661">
        <f t="shared" si="73"/>
        <v>1900</v>
      </c>
    </row>
    <row r="4662" spans="9:9" x14ac:dyDescent="0.25">
      <c r="I4662">
        <f t="shared" si="73"/>
        <v>1900</v>
      </c>
    </row>
    <row r="4663" spans="9:9" x14ac:dyDescent="0.25">
      <c r="I4663">
        <f t="shared" si="73"/>
        <v>1900</v>
      </c>
    </row>
    <row r="4664" spans="9:9" x14ac:dyDescent="0.25">
      <c r="I4664">
        <f t="shared" si="73"/>
        <v>1900</v>
      </c>
    </row>
    <row r="4665" spans="9:9" x14ac:dyDescent="0.25">
      <c r="I4665">
        <f t="shared" si="73"/>
        <v>1900</v>
      </c>
    </row>
    <row r="4666" spans="9:9" x14ac:dyDescent="0.25">
      <c r="I4666">
        <f t="shared" si="73"/>
        <v>1900</v>
      </c>
    </row>
    <row r="4667" spans="9:9" x14ac:dyDescent="0.25">
      <c r="I4667">
        <f t="shared" si="73"/>
        <v>1900</v>
      </c>
    </row>
    <row r="4668" spans="9:9" x14ac:dyDescent="0.25">
      <c r="I4668">
        <f t="shared" si="73"/>
        <v>1900</v>
      </c>
    </row>
    <row r="4669" spans="9:9" x14ac:dyDescent="0.25">
      <c r="I4669">
        <f t="shared" si="73"/>
        <v>1900</v>
      </c>
    </row>
    <row r="4670" spans="9:9" x14ac:dyDescent="0.25">
      <c r="I4670">
        <f t="shared" si="73"/>
        <v>1900</v>
      </c>
    </row>
    <row r="4671" spans="9:9" x14ac:dyDescent="0.25">
      <c r="I4671">
        <f t="shared" si="73"/>
        <v>1900</v>
      </c>
    </row>
    <row r="4672" spans="9:9" x14ac:dyDescent="0.25">
      <c r="I4672">
        <f t="shared" si="73"/>
        <v>1900</v>
      </c>
    </row>
    <row r="4673" spans="9:9" x14ac:dyDescent="0.25">
      <c r="I4673">
        <f t="shared" si="73"/>
        <v>1900</v>
      </c>
    </row>
    <row r="4674" spans="9:9" x14ac:dyDescent="0.25">
      <c r="I4674">
        <f t="shared" si="73"/>
        <v>1900</v>
      </c>
    </row>
    <row r="4675" spans="9:9" x14ac:dyDescent="0.25">
      <c r="I4675">
        <f t="shared" si="73"/>
        <v>1900</v>
      </c>
    </row>
    <row r="4676" spans="9:9" x14ac:dyDescent="0.25">
      <c r="I4676">
        <f t="shared" ref="I4676:I4739" si="74">IFERROR(YEAR(E4676),"")</f>
        <v>1900</v>
      </c>
    </row>
    <row r="4677" spans="9:9" x14ac:dyDescent="0.25">
      <c r="I4677">
        <f t="shared" si="74"/>
        <v>1900</v>
      </c>
    </row>
    <row r="4678" spans="9:9" x14ac:dyDescent="0.25">
      <c r="I4678">
        <f t="shared" si="74"/>
        <v>1900</v>
      </c>
    </row>
    <row r="4679" spans="9:9" x14ac:dyDescent="0.25">
      <c r="I4679">
        <f t="shared" si="74"/>
        <v>1900</v>
      </c>
    </row>
    <row r="4680" spans="9:9" x14ac:dyDescent="0.25">
      <c r="I4680">
        <f t="shared" si="74"/>
        <v>1900</v>
      </c>
    </row>
    <row r="4681" spans="9:9" x14ac:dyDescent="0.25">
      <c r="I4681">
        <f t="shared" si="74"/>
        <v>1900</v>
      </c>
    </row>
    <row r="4682" spans="9:9" x14ac:dyDescent="0.25">
      <c r="I4682">
        <f t="shared" si="74"/>
        <v>1900</v>
      </c>
    </row>
    <row r="4683" spans="9:9" x14ac:dyDescent="0.25">
      <c r="I4683">
        <f t="shared" si="74"/>
        <v>1900</v>
      </c>
    </row>
    <row r="4684" spans="9:9" x14ac:dyDescent="0.25">
      <c r="I4684">
        <f t="shared" si="74"/>
        <v>1900</v>
      </c>
    </row>
    <row r="4685" spans="9:9" x14ac:dyDescent="0.25">
      <c r="I4685">
        <f t="shared" si="74"/>
        <v>1900</v>
      </c>
    </row>
    <row r="4686" spans="9:9" x14ac:dyDescent="0.25">
      <c r="I4686">
        <f t="shared" si="74"/>
        <v>1900</v>
      </c>
    </row>
    <row r="4687" spans="9:9" x14ac:dyDescent="0.25">
      <c r="I4687">
        <f t="shared" si="74"/>
        <v>1900</v>
      </c>
    </row>
    <row r="4688" spans="9:9" x14ac:dyDescent="0.25">
      <c r="I4688">
        <f t="shared" si="74"/>
        <v>1900</v>
      </c>
    </row>
    <row r="4689" spans="9:9" x14ac:dyDescent="0.25">
      <c r="I4689">
        <f t="shared" si="74"/>
        <v>1900</v>
      </c>
    </row>
    <row r="4690" spans="9:9" x14ac:dyDescent="0.25">
      <c r="I4690">
        <f t="shared" si="74"/>
        <v>1900</v>
      </c>
    </row>
    <row r="4691" spans="9:9" x14ac:dyDescent="0.25">
      <c r="I4691">
        <f t="shared" si="74"/>
        <v>1900</v>
      </c>
    </row>
    <row r="4692" spans="9:9" x14ac:dyDescent="0.25">
      <c r="I4692">
        <f t="shared" si="74"/>
        <v>1900</v>
      </c>
    </row>
    <row r="4693" spans="9:9" x14ac:dyDescent="0.25">
      <c r="I4693">
        <f t="shared" si="74"/>
        <v>1900</v>
      </c>
    </row>
    <row r="4694" spans="9:9" x14ac:dyDescent="0.25">
      <c r="I4694">
        <f t="shared" si="74"/>
        <v>1900</v>
      </c>
    </row>
    <row r="4695" spans="9:9" x14ac:dyDescent="0.25">
      <c r="I4695">
        <f t="shared" si="74"/>
        <v>1900</v>
      </c>
    </row>
    <row r="4696" spans="9:9" x14ac:dyDescent="0.25">
      <c r="I4696">
        <f t="shared" si="74"/>
        <v>1900</v>
      </c>
    </row>
    <row r="4697" spans="9:9" x14ac:dyDescent="0.25">
      <c r="I4697">
        <f t="shared" si="74"/>
        <v>1900</v>
      </c>
    </row>
    <row r="4698" spans="9:9" x14ac:dyDescent="0.25">
      <c r="I4698">
        <f t="shared" si="74"/>
        <v>1900</v>
      </c>
    </row>
    <row r="4699" spans="9:9" x14ac:dyDescent="0.25">
      <c r="I4699">
        <f t="shared" si="74"/>
        <v>1900</v>
      </c>
    </row>
    <row r="4700" spans="9:9" x14ac:dyDescent="0.25">
      <c r="I4700">
        <f t="shared" si="74"/>
        <v>1900</v>
      </c>
    </row>
    <row r="4701" spans="9:9" x14ac:dyDescent="0.25">
      <c r="I4701">
        <f t="shared" si="74"/>
        <v>1900</v>
      </c>
    </row>
    <row r="4702" spans="9:9" x14ac:dyDescent="0.25">
      <c r="I4702">
        <f t="shared" si="74"/>
        <v>1900</v>
      </c>
    </row>
    <row r="4703" spans="9:9" x14ac:dyDescent="0.25">
      <c r="I4703">
        <f t="shared" si="74"/>
        <v>1900</v>
      </c>
    </row>
    <row r="4704" spans="9:9" x14ac:dyDescent="0.25">
      <c r="I4704">
        <f t="shared" si="74"/>
        <v>1900</v>
      </c>
    </row>
    <row r="4705" spans="9:9" x14ac:dyDescent="0.25">
      <c r="I4705">
        <f t="shared" si="74"/>
        <v>1900</v>
      </c>
    </row>
    <row r="4706" spans="9:9" x14ac:dyDescent="0.25">
      <c r="I4706">
        <f t="shared" si="74"/>
        <v>1900</v>
      </c>
    </row>
    <row r="4707" spans="9:9" x14ac:dyDescent="0.25">
      <c r="I4707">
        <f t="shared" si="74"/>
        <v>1900</v>
      </c>
    </row>
    <row r="4708" spans="9:9" x14ac:dyDescent="0.25">
      <c r="I4708">
        <f t="shared" si="74"/>
        <v>1900</v>
      </c>
    </row>
    <row r="4709" spans="9:9" x14ac:dyDescent="0.25">
      <c r="I4709">
        <f t="shared" si="74"/>
        <v>1900</v>
      </c>
    </row>
    <row r="4710" spans="9:9" x14ac:dyDescent="0.25">
      <c r="I4710">
        <f t="shared" si="74"/>
        <v>1900</v>
      </c>
    </row>
    <row r="4711" spans="9:9" x14ac:dyDescent="0.25">
      <c r="I4711">
        <f t="shared" si="74"/>
        <v>1900</v>
      </c>
    </row>
    <row r="4712" spans="9:9" x14ac:dyDescent="0.25">
      <c r="I4712">
        <f t="shared" si="74"/>
        <v>1900</v>
      </c>
    </row>
    <row r="4713" spans="9:9" x14ac:dyDescent="0.25">
      <c r="I4713">
        <f t="shared" si="74"/>
        <v>1900</v>
      </c>
    </row>
    <row r="4714" spans="9:9" x14ac:dyDescent="0.25">
      <c r="I4714">
        <f t="shared" si="74"/>
        <v>1900</v>
      </c>
    </row>
    <row r="4715" spans="9:9" x14ac:dyDescent="0.25">
      <c r="I4715">
        <f t="shared" si="74"/>
        <v>1900</v>
      </c>
    </row>
    <row r="4716" spans="9:9" x14ac:dyDescent="0.25">
      <c r="I4716">
        <f t="shared" si="74"/>
        <v>1900</v>
      </c>
    </row>
    <row r="4717" spans="9:9" x14ac:dyDescent="0.25">
      <c r="I4717">
        <f t="shared" si="74"/>
        <v>1900</v>
      </c>
    </row>
    <row r="4718" spans="9:9" x14ac:dyDescent="0.25">
      <c r="I4718">
        <f t="shared" si="74"/>
        <v>1900</v>
      </c>
    </row>
    <row r="4719" spans="9:9" x14ac:dyDescent="0.25">
      <c r="I4719">
        <f t="shared" si="74"/>
        <v>1900</v>
      </c>
    </row>
    <row r="4720" spans="9:9" x14ac:dyDescent="0.25">
      <c r="I4720">
        <f t="shared" si="74"/>
        <v>1900</v>
      </c>
    </row>
    <row r="4721" spans="9:9" x14ac:dyDescent="0.25">
      <c r="I4721">
        <f t="shared" si="74"/>
        <v>1900</v>
      </c>
    </row>
    <row r="4722" spans="9:9" x14ac:dyDescent="0.25">
      <c r="I4722">
        <f t="shared" si="74"/>
        <v>1900</v>
      </c>
    </row>
    <row r="4723" spans="9:9" x14ac:dyDescent="0.25">
      <c r="I4723">
        <f t="shared" si="74"/>
        <v>1900</v>
      </c>
    </row>
    <row r="4724" spans="9:9" x14ac:dyDescent="0.25">
      <c r="I4724">
        <f t="shared" si="74"/>
        <v>1900</v>
      </c>
    </row>
    <row r="4725" spans="9:9" x14ac:dyDescent="0.25">
      <c r="I4725">
        <f t="shared" si="74"/>
        <v>1900</v>
      </c>
    </row>
    <row r="4726" spans="9:9" x14ac:dyDescent="0.25">
      <c r="I4726">
        <f t="shared" si="74"/>
        <v>1900</v>
      </c>
    </row>
    <row r="4727" spans="9:9" x14ac:dyDescent="0.25">
      <c r="I4727">
        <f t="shared" si="74"/>
        <v>1900</v>
      </c>
    </row>
    <row r="4728" spans="9:9" x14ac:dyDescent="0.25">
      <c r="I4728">
        <f t="shared" si="74"/>
        <v>1900</v>
      </c>
    </row>
    <row r="4729" spans="9:9" x14ac:dyDescent="0.25">
      <c r="I4729">
        <f t="shared" si="74"/>
        <v>1900</v>
      </c>
    </row>
    <row r="4730" spans="9:9" x14ac:dyDescent="0.25">
      <c r="I4730">
        <f t="shared" si="74"/>
        <v>1900</v>
      </c>
    </row>
    <row r="4731" spans="9:9" x14ac:dyDescent="0.25">
      <c r="I4731">
        <f t="shared" si="74"/>
        <v>1900</v>
      </c>
    </row>
    <row r="4732" spans="9:9" x14ac:dyDescent="0.25">
      <c r="I4732">
        <f t="shared" si="74"/>
        <v>1900</v>
      </c>
    </row>
    <row r="4733" spans="9:9" x14ac:dyDescent="0.25">
      <c r="I4733">
        <f t="shared" si="74"/>
        <v>1900</v>
      </c>
    </row>
    <row r="4734" spans="9:9" x14ac:dyDescent="0.25">
      <c r="I4734">
        <f t="shared" si="74"/>
        <v>1900</v>
      </c>
    </row>
    <row r="4735" spans="9:9" x14ac:dyDescent="0.25">
      <c r="I4735">
        <f t="shared" si="74"/>
        <v>1900</v>
      </c>
    </row>
    <row r="4736" spans="9:9" x14ac:dyDescent="0.25">
      <c r="I4736">
        <f t="shared" si="74"/>
        <v>1900</v>
      </c>
    </row>
    <row r="4737" spans="9:9" x14ac:dyDescent="0.25">
      <c r="I4737">
        <f t="shared" si="74"/>
        <v>1900</v>
      </c>
    </row>
    <row r="4738" spans="9:9" x14ac:dyDescent="0.25">
      <c r="I4738">
        <f t="shared" si="74"/>
        <v>1900</v>
      </c>
    </row>
    <row r="4739" spans="9:9" x14ac:dyDescent="0.25">
      <c r="I4739">
        <f t="shared" si="74"/>
        <v>1900</v>
      </c>
    </row>
    <row r="4740" spans="9:9" x14ac:dyDescent="0.25">
      <c r="I4740">
        <f t="shared" ref="I4740:I4803" si="75">IFERROR(YEAR(E4740),"")</f>
        <v>1900</v>
      </c>
    </row>
    <row r="4741" spans="9:9" x14ac:dyDescent="0.25">
      <c r="I4741">
        <f t="shared" si="75"/>
        <v>1900</v>
      </c>
    </row>
    <row r="4742" spans="9:9" x14ac:dyDescent="0.25">
      <c r="I4742">
        <f t="shared" si="75"/>
        <v>1900</v>
      </c>
    </row>
    <row r="4743" spans="9:9" x14ac:dyDescent="0.25">
      <c r="I4743">
        <f t="shared" si="75"/>
        <v>1900</v>
      </c>
    </row>
    <row r="4744" spans="9:9" x14ac:dyDescent="0.25">
      <c r="I4744">
        <f t="shared" si="75"/>
        <v>1900</v>
      </c>
    </row>
    <row r="4745" spans="9:9" x14ac:dyDescent="0.25">
      <c r="I4745">
        <f t="shared" si="75"/>
        <v>1900</v>
      </c>
    </row>
    <row r="4746" spans="9:9" x14ac:dyDescent="0.25">
      <c r="I4746">
        <f t="shared" si="75"/>
        <v>1900</v>
      </c>
    </row>
    <row r="4747" spans="9:9" x14ac:dyDescent="0.25">
      <c r="I4747">
        <f t="shared" si="75"/>
        <v>1900</v>
      </c>
    </row>
    <row r="4748" spans="9:9" x14ac:dyDescent="0.25">
      <c r="I4748">
        <f t="shared" si="75"/>
        <v>1900</v>
      </c>
    </row>
    <row r="4749" spans="9:9" x14ac:dyDescent="0.25">
      <c r="I4749">
        <f t="shared" si="75"/>
        <v>1900</v>
      </c>
    </row>
    <row r="4750" spans="9:9" x14ac:dyDescent="0.25">
      <c r="I4750">
        <f t="shared" si="75"/>
        <v>1900</v>
      </c>
    </row>
    <row r="4751" spans="9:9" x14ac:dyDescent="0.25">
      <c r="I4751">
        <f t="shared" si="75"/>
        <v>1900</v>
      </c>
    </row>
    <row r="4752" spans="9:9" x14ac:dyDescent="0.25">
      <c r="I4752">
        <f t="shared" si="75"/>
        <v>1900</v>
      </c>
    </row>
    <row r="4753" spans="9:9" x14ac:dyDescent="0.25">
      <c r="I4753">
        <f t="shared" si="75"/>
        <v>1900</v>
      </c>
    </row>
    <row r="4754" spans="9:9" x14ac:dyDescent="0.25">
      <c r="I4754">
        <f t="shared" si="75"/>
        <v>1900</v>
      </c>
    </row>
    <row r="4755" spans="9:9" x14ac:dyDescent="0.25">
      <c r="I4755">
        <f t="shared" si="75"/>
        <v>1900</v>
      </c>
    </row>
    <row r="4756" spans="9:9" x14ac:dyDescent="0.25">
      <c r="I4756">
        <f t="shared" si="75"/>
        <v>1900</v>
      </c>
    </row>
    <row r="4757" spans="9:9" x14ac:dyDescent="0.25">
      <c r="I4757">
        <f t="shared" si="75"/>
        <v>1900</v>
      </c>
    </row>
    <row r="4758" spans="9:9" x14ac:dyDescent="0.25">
      <c r="I4758">
        <f t="shared" si="75"/>
        <v>1900</v>
      </c>
    </row>
    <row r="4759" spans="9:9" x14ac:dyDescent="0.25">
      <c r="I4759">
        <f t="shared" si="75"/>
        <v>1900</v>
      </c>
    </row>
    <row r="4760" spans="9:9" x14ac:dyDescent="0.25">
      <c r="I4760">
        <f t="shared" si="75"/>
        <v>1900</v>
      </c>
    </row>
    <row r="4761" spans="9:9" x14ac:dyDescent="0.25">
      <c r="I4761">
        <f t="shared" si="75"/>
        <v>1900</v>
      </c>
    </row>
    <row r="4762" spans="9:9" x14ac:dyDescent="0.25">
      <c r="I4762">
        <f t="shared" si="75"/>
        <v>1900</v>
      </c>
    </row>
    <row r="4763" spans="9:9" x14ac:dyDescent="0.25">
      <c r="I4763">
        <f t="shared" si="75"/>
        <v>1900</v>
      </c>
    </row>
    <row r="4764" spans="9:9" x14ac:dyDescent="0.25">
      <c r="I4764">
        <f t="shared" si="75"/>
        <v>1900</v>
      </c>
    </row>
    <row r="4765" spans="9:9" x14ac:dyDescent="0.25">
      <c r="I4765">
        <f t="shared" si="75"/>
        <v>1900</v>
      </c>
    </row>
    <row r="4766" spans="9:9" x14ac:dyDescent="0.25">
      <c r="I4766">
        <f t="shared" si="75"/>
        <v>1900</v>
      </c>
    </row>
    <row r="4767" spans="9:9" x14ac:dyDescent="0.25">
      <c r="I4767">
        <f t="shared" si="75"/>
        <v>1900</v>
      </c>
    </row>
    <row r="4768" spans="9:9" x14ac:dyDescent="0.25">
      <c r="I4768">
        <f t="shared" si="75"/>
        <v>1900</v>
      </c>
    </row>
    <row r="4769" spans="9:9" x14ac:dyDescent="0.25">
      <c r="I4769">
        <f t="shared" si="75"/>
        <v>1900</v>
      </c>
    </row>
    <row r="4770" spans="9:9" x14ac:dyDescent="0.25">
      <c r="I4770">
        <f t="shared" si="75"/>
        <v>1900</v>
      </c>
    </row>
    <row r="4771" spans="9:9" x14ac:dyDescent="0.25">
      <c r="I4771">
        <f t="shared" si="75"/>
        <v>1900</v>
      </c>
    </row>
    <row r="4772" spans="9:9" x14ac:dyDescent="0.25">
      <c r="I4772">
        <f t="shared" si="75"/>
        <v>1900</v>
      </c>
    </row>
    <row r="4773" spans="9:9" x14ac:dyDescent="0.25">
      <c r="I4773">
        <f t="shared" si="75"/>
        <v>1900</v>
      </c>
    </row>
    <row r="4774" spans="9:9" x14ac:dyDescent="0.25">
      <c r="I4774">
        <f t="shared" si="75"/>
        <v>1900</v>
      </c>
    </row>
    <row r="4775" spans="9:9" x14ac:dyDescent="0.25">
      <c r="I4775">
        <f t="shared" si="75"/>
        <v>1900</v>
      </c>
    </row>
    <row r="4776" spans="9:9" x14ac:dyDescent="0.25">
      <c r="I4776">
        <f t="shared" si="75"/>
        <v>1900</v>
      </c>
    </row>
    <row r="4777" spans="9:9" x14ac:dyDescent="0.25">
      <c r="I4777">
        <f t="shared" si="75"/>
        <v>1900</v>
      </c>
    </row>
    <row r="4778" spans="9:9" x14ac:dyDescent="0.25">
      <c r="I4778">
        <f t="shared" si="75"/>
        <v>1900</v>
      </c>
    </row>
    <row r="4779" spans="9:9" x14ac:dyDescent="0.25">
      <c r="I4779">
        <f t="shared" si="75"/>
        <v>1900</v>
      </c>
    </row>
    <row r="4780" spans="9:9" x14ac:dyDescent="0.25">
      <c r="I4780">
        <f t="shared" si="75"/>
        <v>1900</v>
      </c>
    </row>
    <row r="4781" spans="9:9" x14ac:dyDescent="0.25">
      <c r="I4781">
        <f t="shared" si="75"/>
        <v>1900</v>
      </c>
    </row>
    <row r="4782" spans="9:9" x14ac:dyDescent="0.25">
      <c r="I4782">
        <f t="shared" si="75"/>
        <v>1900</v>
      </c>
    </row>
    <row r="4783" spans="9:9" x14ac:dyDescent="0.25">
      <c r="I4783">
        <f t="shared" si="75"/>
        <v>1900</v>
      </c>
    </row>
    <row r="4784" spans="9:9" x14ac:dyDescent="0.25">
      <c r="I4784">
        <f t="shared" si="75"/>
        <v>1900</v>
      </c>
    </row>
    <row r="4785" spans="9:9" x14ac:dyDescent="0.25">
      <c r="I4785">
        <f t="shared" si="75"/>
        <v>1900</v>
      </c>
    </row>
    <row r="4786" spans="9:9" x14ac:dyDescent="0.25">
      <c r="I4786">
        <f t="shared" si="75"/>
        <v>1900</v>
      </c>
    </row>
    <row r="4787" spans="9:9" x14ac:dyDescent="0.25">
      <c r="I4787">
        <f t="shared" si="75"/>
        <v>1900</v>
      </c>
    </row>
    <row r="4788" spans="9:9" x14ac:dyDescent="0.25">
      <c r="I4788">
        <f t="shared" si="75"/>
        <v>1900</v>
      </c>
    </row>
    <row r="4789" spans="9:9" x14ac:dyDescent="0.25">
      <c r="I4789">
        <f t="shared" si="75"/>
        <v>1900</v>
      </c>
    </row>
    <row r="4790" spans="9:9" x14ac:dyDescent="0.25">
      <c r="I4790">
        <f t="shared" si="75"/>
        <v>1900</v>
      </c>
    </row>
    <row r="4791" spans="9:9" x14ac:dyDescent="0.25">
      <c r="I4791">
        <f t="shared" si="75"/>
        <v>1900</v>
      </c>
    </row>
    <row r="4792" spans="9:9" x14ac:dyDescent="0.25">
      <c r="I4792">
        <f t="shared" si="75"/>
        <v>1900</v>
      </c>
    </row>
    <row r="4793" spans="9:9" x14ac:dyDescent="0.25">
      <c r="I4793">
        <f t="shared" si="75"/>
        <v>1900</v>
      </c>
    </row>
    <row r="4794" spans="9:9" x14ac:dyDescent="0.25">
      <c r="I4794">
        <f t="shared" si="75"/>
        <v>1900</v>
      </c>
    </row>
    <row r="4795" spans="9:9" x14ac:dyDescent="0.25">
      <c r="I4795">
        <f t="shared" si="75"/>
        <v>1900</v>
      </c>
    </row>
    <row r="4796" spans="9:9" x14ac:dyDescent="0.25">
      <c r="I4796">
        <f t="shared" si="75"/>
        <v>1900</v>
      </c>
    </row>
    <row r="4797" spans="9:9" x14ac:dyDescent="0.25">
      <c r="I4797">
        <f t="shared" si="75"/>
        <v>1900</v>
      </c>
    </row>
    <row r="4798" spans="9:9" x14ac:dyDescent="0.25">
      <c r="I4798">
        <f t="shared" si="75"/>
        <v>1900</v>
      </c>
    </row>
    <row r="4799" spans="9:9" x14ac:dyDescent="0.25">
      <c r="I4799">
        <f t="shared" si="75"/>
        <v>1900</v>
      </c>
    </row>
    <row r="4800" spans="9:9" x14ac:dyDescent="0.25">
      <c r="I4800">
        <f t="shared" si="75"/>
        <v>1900</v>
      </c>
    </row>
    <row r="4801" spans="9:9" x14ac:dyDescent="0.25">
      <c r="I4801">
        <f t="shared" si="75"/>
        <v>1900</v>
      </c>
    </row>
    <row r="4802" spans="9:9" x14ac:dyDescent="0.25">
      <c r="I4802">
        <f t="shared" si="75"/>
        <v>1900</v>
      </c>
    </row>
    <row r="4803" spans="9:9" x14ac:dyDescent="0.25">
      <c r="I4803">
        <f t="shared" si="75"/>
        <v>1900</v>
      </c>
    </row>
    <row r="4804" spans="9:9" x14ac:dyDescent="0.25">
      <c r="I4804">
        <f t="shared" ref="I4804:I4867" si="76">IFERROR(YEAR(E4804),"")</f>
        <v>1900</v>
      </c>
    </row>
    <row r="4805" spans="9:9" x14ac:dyDescent="0.25">
      <c r="I4805">
        <f t="shared" si="76"/>
        <v>1900</v>
      </c>
    </row>
    <row r="4806" spans="9:9" x14ac:dyDescent="0.25">
      <c r="I4806">
        <f t="shared" si="76"/>
        <v>1900</v>
      </c>
    </row>
    <row r="4807" spans="9:9" x14ac:dyDescent="0.25">
      <c r="I4807">
        <f t="shared" si="76"/>
        <v>1900</v>
      </c>
    </row>
    <row r="4808" spans="9:9" x14ac:dyDescent="0.25">
      <c r="I4808">
        <f t="shared" si="76"/>
        <v>1900</v>
      </c>
    </row>
    <row r="4809" spans="9:9" x14ac:dyDescent="0.25">
      <c r="I4809">
        <f t="shared" si="76"/>
        <v>1900</v>
      </c>
    </row>
    <row r="4810" spans="9:9" x14ac:dyDescent="0.25">
      <c r="I4810">
        <f t="shared" si="76"/>
        <v>1900</v>
      </c>
    </row>
    <row r="4811" spans="9:9" x14ac:dyDescent="0.25">
      <c r="I4811">
        <f t="shared" si="76"/>
        <v>1900</v>
      </c>
    </row>
    <row r="4812" spans="9:9" x14ac:dyDescent="0.25">
      <c r="I4812">
        <f t="shared" si="76"/>
        <v>1900</v>
      </c>
    </row>
    <row r="4813" spans="9:9" x14ac:dyDescent="0.25">
      <c r="I4813">
        <f t="shared" si="76"/>
        <v>1900</v>
      </c>
    </row>
    <row r="4814" spans="9:9" x14ac:dyDescent="0.25">
      <c r="I4814">
        <f t="shared" si="76"/>
        <v>1900</v>
      </c>
    </row>
    <row r="4815" spans="9:9" x14ac:dyDescent="0.25">
      <c r="I4815">
        <f t="shared" si="76"/>
        <v>1900</v>
      </c>
    </row>
    <row r="4816" spans="9:9" x14ac:dyDescent="0.25">
      <c r="I4816">
        <f t="shared" si="76"/>
        <v>1900</v>
      </c>
    </row>
    <row r="4817" spans="9:9" x14ac:dyDescent="0.25">
      <c r="I4817">
        <f t="shared" si="76"/>
        <v>1900</v>
      </c>
    </row>
    <row r="4818" spans="9:9" x14ac:dyDescent="0.25">
      <c r="I4818">
        <f t="shared" si="76"/>
        <v>1900</v>
      </c>
    </row>
    <row r="4819" spans="9:9" x14ac:dyDescent="0.25">
      <c r="I4819">
        <f t="shared" si="76"/>
        <v>1900</v>
      </c>
    </row>
    <row r="4820" spans="9:9" x14ac:dyDescent="0.25">
      <c r="I4820">
        <f t="shared" si="76"/>
        <v>1900</v>
      </c>
    </row>
    <row r="4821" spans="9:9" x14ac:dyDescent="0.25">
      <c r="I4821">
        <f t="shared" si="76"/>
        <v>1900</v>
      </c>
    </row>
    <row r="4822" spans="9:9" x14ac:dyDescent="0.25">
      <c r="I4822">
        <f t="shared" si="76"/>
        <v>1900</v>
      </c>
    </row>
    <row r="4823" spans="9:9" x14ac:dyDescent="0.25">
      <c r="I4823">
        <f t="shared" si="76"/>
        <v>1900</v>
      </c>
    </row>
    <row r="4824" spans="9:9" x14ac:dyDescent="0.25">
      <c r="I4824">
        <f t="shared" si="76"/>
        <v>1900</v>
      </c>
    </row>
    <row r="4825" spans="9:9" x14ac:dyDescent="0.25">
      <c r="I4825">
        <f t="shared" si="76"/>
        <v>1900</v>
      </c>
    </row>
    <row r="4826" spans="9:9" x14ac:dyDescent="0.25">
      <c r="I4826">
        <f t="shared" si="76"/>
        <v>1900</v>
      </c>
    </row>
    <row r="4827" spans="9:9" x14ac:dyDescent="0.25">
      <c r="I4827">
        <f t="shared" si="76"/>
        <v>1900</v>
      </c>
    </row>
    <row r="4828" spans="9:9" x14ac:dyDescent="0.25">
      <c r="I4828">
        <f t="shared" si="76"/>
        <v>1900</v>
      </c>
    </row>
    <row r="4829" spans="9:9" x14ac:dyDescent="0.25">
      <c r="I4829">
        <f t="shared" si="76"/>
        <v>1900</v>
      </c>
    </row>
    <row r="4830" spans="9:9" x14ac:dyDescent="0.25">
      <c r="I4830">
        <f t="shared" si="76"/>
        <v>1900</v>
      </c>
    </row>
    <row r="4831" spans="9:9" x14ac:dyDescent="0.25">
      <c r="I4831">
        <f t="shared" si="76"/>
        <v>1900</v>
      </c>
    </row>
    <row r="4832" spans="9:9" x14ac:dyDescent="0.25">
      <c r="I4832">
        <f t="shared" si="76"/>
        <v>1900</v>
      </c>
    </row>
    <row r="4833" spans="9:9" x14ac:dyDescent="0.25">
      <c r="I4833">
        <f t="shared" si="76"/>
        <v>1900</v>
      </c>
    </row>
    <row r="4834" spans="9:9" x14ac:dyDescent="0.25">
      <c r="I4834">
        <f t="shared" si="76"/>
        <v>1900</v>
      </c>
    </row>
    <row r="4835" spans="9:9" x14ac:dyDescent="0.25">
      <c r="I4835">
        <f t="shared" si="76"/>
        <v>1900</v>
      </c>
    </row>
    <row r="4836" spans="9:9" x14ac:dyDescent="0.25">
      <c r="I4836">
        <f t="shared" si="76"/>
        <v>1900</v>
      </c>
    </row>
    <row r="4837" spans="9:9" x14ac:dyDescent="0.25">
      <c r="I4837">
        <f t="shared" si="76"/>
        <v>1900</v>
      </c>
    </row>
    <row r="4838" spans="9:9" x14ac:dyDescent="0.25">
      <c r="I4838">
        <f t="shared" si="76"/>
        <v>1900</v>
      </c>
    </row>
    <row r="4839" spans="9:9" x14ac:dyDescent="0.25">
      <c r="I4839">
        <f t="shared" si="76"/>
        <v>1900</v>
      </c>
    </row>
    <row r="4840" spans="9:9" x14ac:dyDescent="0.25">
      <c r="I4840">
        <f t="shared" si="76"/>
        <v>1900</v>
      </c>
    </row>
    <row r="4841" spans="9:9" x14ac:dyDescent="0.25">
      <c r="I4841">
        <f t="shared" si="76"/>
        <v>1900</v>
      </c>
    </row>
    <row r="4842" spans="9:9" x14ac:dyDescent="0.25">
      <c r="I4842">
        <f t="shared" si="76"/>
        <v>1900</v>
      </c>
    </row>
    <row r="4843" spans="9:9" x14ac:dyDescent="0.25">
      <c r="I4843">
        <f t="shared" si="76"/>
        <v>1900</v>
      </c>
    </row>
    <row r="4844" spans="9:9" x14ac:dyDescent="0.25">
      <c r="I4844">
        <f t="shared" si="76"/>
        <v>1900</v>
      </c>
    </row>
    <row r="4845" spans="9:9" x14ac:dyDescent="0.25">
      <c r="I4845">
        <f t="shared" si="76"/>
        <v>1900</v>
      </c>
    </row>
    <row r="4846" spans="9:9" x14ac:dyDescent="0.25">
      <c r="I4846">
        <f t="shared" si="76"/>
        <v>1900</v>
      </c>
    </row>
    <row r="4847" spans="9:9" x14ac:dyDescent="0.25">
      <c r="I4847">
        <f t="shared" si="76"/>
        <v>1900</v>
      </c>
    </row>
    <row r="4848" spans="9:9" x14ac:dyDescent="0.25">
      <c r="I4848">
        <f t="shared" si="76"/>
        <v>1900</v>
      </c>
    </row>
    <row r="4849" spans="9:9" x14ac:dyDescent="0.25">
      <c r="I4849">
        <f t="shared" si="76"/>
        <v>1900</v>
      </c>
    </row>
    <row r="4850" spans="9:9" x14ac:dyDescent="0.25">
      <c r="I4850">
        <f t="shared" si="76"/>
        <v>1900</v>
      </c>
    </row>
    <row r="4851" spans="9:9" x14ac:dyDescent="0.25">
      <c r="I4851">
        <f t="shared" si="76"/>
        <v>1900</v>
      </c>
    </row>
    <row r="4852" spans="9:9" x14ac:dyDescent="0.25">
      <c r="I4852">
        <f t="shared" si="76"/>
        <v>1900</v>
      </c>
    </row>
    <row r="4853" spans="9:9" x14ac:dyDescent="0.25">
      <c r="I4853">
        <f t="shared" si="76"/>
        <v>1900</v>
      </c>
    </row>
    <row r="4854" spans="9:9" x14ac:dyDescent="0.25">
      <c r="I4854">
        <f t="shared" si="76"/>
        <v>1900</v>
      </c>
    </row>
    <row r="4855" spans="9:9" x14ac:dyDescent="0.25">
      <c r="I4855">
        <f t="shared" si="76"/>
        <v>1900</v>
      </c>
    </row>
    <row r="4856" spans="9:9" x14ac:dyDescent="0.25">
      <c r="I4856">
        <f t="shared" si="76"/>
        <v>1900</v>
      </c>
    </row>
    <row r="4857" spans="9:9" x14ac:dyDescent="0.25">
      <c r="I4857">
        <f t="shared" si="76"/>
        <v>1900</v>
      </c>
    </row>
    <row r="4858" spans="9:9" x14ac:dyDescent="0.25">
      <c r="I4858">
        <f t="shared" si="76"/>
        <v>1900</v>
      </c>
    </row>
    <row r="4859" spans="9:9" x14ac:dyDescent="0.25">
      <c r="I4859">
        <f t="shared" si="76"/>
        <v>1900</v>
      </c>
    </row>
    <row r="4860" spans="9:9" x14ac:dyDescent="0.25">
      <c r="I4860">
        <f t="shared" si="76"/>
        <v>1900</v>
      </c>
    </row>
    <row r="4861" spans="9:9" x14ac:dyDescent="0.25">
      <c r="I4861">
        <f t="shared" si="76"/>
        <v>1900</v>
      </c>
    </row>
    <row r="4862" spans="9:9" x14ac:dyDescent="0.25">
      <c r="I4862">
        <f t="shared" si="76"/>
        <v>1900</v>
      </c>
    </row>
    <row r="4863" spans="9:9" x14ac:dyDescent="0.25">
      <c r="I4863">
        <f t="shared" si="76"/>
        <v>1900</v>
      </c>
    </row>
    <row r="4864" spans="9:9" x14ac:dyDescent="0.25">
      <c r="I4864">
        <f t="shared" si="76"/>
        <v>1900</v>
      </c>
    </row>
    <row r="4865" spans="9:9" x14ac:dyDescent="0.25">
      <c r="I4865">
        <f t="shared" si="76"/>
        <v>1900</v>
      </c>
    </row>
    <row r="4866" spans="9:9" x14ac:dyDescent="0.25">
      <c r="I4866">
        <f t="shared" si="76"/>
        <v>1900</v>
      </c>
    </row>
    <row r="4867" spans="9:9" x14ac:dyDescent="0.25">
      <c r="I4867">
        <f t="shared" si="76"/>
        <v>1900</v>
      </c>
    </row>
    <row r="4868" spans="9:9" x14ac:dyDescent="0.25">
      <c r="I4868">
        <f t="shared" ref="I4868:I4931" si="77">IFERROR(YEAR(E4868),"")</f>
        <v>1900</v>
      </c>
    </row>
    <row r="4869" spans="9:9" x14ac:dyDescent="0.25">
      <c r="I4869">
        <f t="shared" si="77"/>
        <v>1900</v>
      </c>
    </row>
    <row r="4870" spans="9:9" x14ac:dyDescent="0.25">
      <c r="I4870">
        <f t="shared" si="77"/>
        <v>1900</v>
      </c>
    </row>
    <row r="4871" spans="9:9" x14ac:dyDescent="0.25">
      <c r="I4871">
        <f t="shared" si="77"/>
        <v>1900</v>
      </c>
    </row>
    <row r="4872" spans="9:9" x14ac:dyDescent="0.25">
      <c r="I4872">
        <f t="shared" si="77"/>
        <v>1900</v>
      </c>
    </row>
    <row r="4873" spans="9:9" x14ac:dyDescent="0.25">
      <c r="I4873">
        <f t="shared" si="77"/>
        <v>1900</v>
      </c>
    </row>
    <row r="4874" spans="9:9" x14ac:dyDescent="0.25">
      <c r="I4874">
        <f t="shared" si="77"/>
        <v>1900</v>
      </c>
    </row>
    <row r="4875" spans="9:9" x14ac:dyDescent="0.25">
      <c r="I4875">
        <f t="shared" si="77"/>
        <v>1900</v>
      </c>
    </row>
    <row r="4876" spans="9:9" x14ac:dyDescent="0.25">
      <c r="I4876">
        <f t="shared" si="77"/>
        <v>1900</v>
      </c>
    </row>
    <row r="4877" spans="9:9" x14ac:dyDescent="0.25">
      <c r="I4877">
        <f t="shared" si="77"/>
        <v>1900</v>
      </c>
    </row>
    <row r="4878" spans="9:9" x14ac:dyDescent="0.25">
      <c r="I4878">
        <f t="shared" si="77"/>
        <v>1900</v>
      </c>
    </row>
    <row r="4879" spans="9:9" x14ac:dyDescent="0.25">
      <c r="I4879">
        <f t="shared" si="77"/>
        <v>1900</v>
      </c>
    </row>
    <row r="4880" spans="9:9" x14ac:dyDescent="0.25">
      <c r="I4880">
        <f t="shared" si="77"/>
        <v>1900</v>
      </c>
    </row>
    <row r="4881" spans="9:9" x14ac:dyDescent="0.25">
      <c r="I4881">
        <f t="shared" si="77"/>
        <v>1900</v>
      </c>
    </row>
    <row r="4882" spans="9:9" x14ac:dyDescent="0.25">
      <c r="I4882">
        <f t="shared" si="77"/>
        <v>1900</v>
      </c>
    </row>
    <row r="4883" spans="9:9" x14ac:dyDescent="0.25">
      <c r="I4883">
        <f t="shared" si="77"/>
        <v>1900</v>
      </c>
    </row>
    <row r="4884" spans="9:9" x14ac:dyDescent="0.25">
      <c r="I4884">
        <f t="shared" si="77"/>
        <v>1900</v>
      </c>
    </row>
    <row r="4885" spans="9:9" x14ac:dyDescent="0.25">
      <c r="I4885">
        <f t="shared" si="77"/>
        <v>1900</v>
      </c>
    </row>
    <row r="4886" spans="9:9" x14ac:dyDescent="0.25">
      <c r="I4886">
        <f t="shared" si="77"/>
        <v>1900</v>
      </c>
    </row>
    <row r="4887" spans="9:9" x14ac:dyDescent="0.25">
      <c r="I4887">
        <f t="shared" si="77"/>
        <v>1900</v>
      </c>
    </row>
    <row r="4888" spans="9:9" x14ac:dyDescent="0.25">
      <c r="I4888">
        <f t="shared" si="77"/>
        <v>1900</v>
      </c>
    </row>
    <row r="4889" spans="9:9" x14ac:dyDescent="0.25">
      <c r="I4889">
        <f t="shared" si="77"/>
        <v>1900</v>
      </c>
    </row>
    <row r="4890" spans="9:9" x14ac:dyDescent="0.25">
      <c r="I4890">
        <f t="shared" si="77"/>
        <v>1900</v>
      </c>
    </row>
    <row r="4891" spans="9:9" x14ac:dyDescent="0.25">
      <c r="I4891">
        <f t="shared" si="77"/>
        <v>1900</v>
      </c>
    </row>
    <row r="4892" spans="9:9" x14ac:dyDescent="0.25">
      <c r="I4892">
        <f t="shared" si="77"/>
        <v>1900</v>
      </c>
    </row>
    <row r="4893" spans="9:9" x14ac:dyDescent="0.25">
      <c r="I4893">
        <f t="shared" si="77"/>
        <v>1900</v>
      </c>
    </row>
    <row r="4894" spans="9:9" x14ac:dyDescent="0.25">
      <c r="I4894">
        <f t="shared" si="77"/>
        <v>1900</v>
      </c>
    </row>
    <row r="4895" spans="9:9" x14ac:dyDescent="0.25">
      <c r="I4895">
        <f t="shared" si="77"/>
        <v>1900</v>
      </c>
    </row>
    <row r="4896" spans="9:9" x14ac:dyDescent="0.25">
      <c r="I4896">
        <f t="shared" si="77"/>
        <v>1900</v>
      </c>
    </row>
    <row r="4897" spans="9:9" x14ac:dyDescent="0.25">
      <c r="I4897">
        <f t="shared" si="77"/>
        <v>1900</v>
      </c>
    </row>
    <row r="4898" spans="9:9" x14ac:dyDescent="0.25">
      <c r="I4898">
        <f t="shared" si="77"/>
        <v>1900</v>
      </c>
    </row>
    <row r="4899" spans="9:9" x14ac:dyDescent="0.25">
      <c r="I4899">
        <f t="shared" si="77"/>
        <v>1900</v>
      </c>
    </row>
    <row r="4900" spans="9:9" x14ac:dyDescent="0.25">
      <c r="I4900">
        <f t="shared" si="77"/>
        <v>1900</v>
      </c>
    </row>
    <row r="4901" spans="9:9" x14ac:dyDescent="0.25">
      <c r="I4901">
        <f t="shared" si="77"/>
        <v>1900</v>
      </c>
    </row>
    <row r="4902" spans="9:9" x14ac:dyDescent="0.25">
      <c r="I4902">
        <f t="shared" si="77"/>
        <v>1900</v>
      </c>
    </row>
    <row r="4903" spans="9:9" x14ac:dyDescent="0.25">
      <c r="I4903">
        <f t="shared" si="77"/>
        <v>1900</v>
      </c>
    </row>
    <row r="4904" spans="9:9" x14ac:dyDescent="0.25">
      <c r="I4904">
        <f t="shared" si="77"/>
        <v>1900</v>
      </c>
    </row>
    <row r="4905" spans="9:9" x14ac:dyDescent="0.25">
      <c r="I4905">
        <f t="shared" si="77"/>
        <v>1900</v>
      </c>
    </row>
    <row r="4906" spans="9:9" x14ac:dyDescent="0.25">
      <c r="I4906">
        <f t="shared" si="77"/>
        <v>1900</v>
      </c>
    </row>
    <row r="4907" spans="9:9" x14ac:dyDescent="0.25">
      <c r="I4907">
        <f t="shared" si="77"/>
        <v>1900</v>
      </c>
    </row>
    <row r="4908" spans="9:9" x14ac:dyDescent="0.25">
      <c r="I4908">
        <f t="shared" si="77"/>
        <v>1900</v>
      </c>
    </row>
    <row r="4909" spans="9:9" x14ac:dyDescent="0.25">
      <c r="I4909">
        <f t="shared" si="77"/>
        <v>1900</v>
      </c>
    </row>
    <row r="4910" spans="9:9" x14ac:dyDescent="0.25">
      <c r="I4910">
        <f t="shared" si="77"/>
        <v>1900</v>
      </c>
    </row>
    <row r="4911" spans="9:9" x14ac:dyDescent="0.25">
      <c r="I4911">
        <f t="shared" si="77"/>
        <v>1900</v>
      </c>
    </row>
    <row r="4912" spans="9:9" x14ac:dyDescent="0.25">
      <c r="I4912">
        <f t="shared" si="77"/>
        <v>1900</v>
      </c>
    </row>
    <row r="4913" spans="9:9" x14ac:dyDescent="0.25">
      <c r="I4913">
        <f t="shared" si="77"/>
        <v>1900</v>
      </c>
    </row>
    <row r="4914" spans="9:9" x14ac:dyDescent="0.25">
      <c r="I4914">
        <f t="shared" si="77"/>
        <v>1900</v>
      </c>
    </row>
    <row r="4915" spans="9:9" x14ac:dyDescent="0.25">
      <c r="I4915">
        <f t="shared" si="77"/>
        <v>1900</v>
      </c>
    </row>
    <row r="4916" spans="9:9" x14ac:dyDescent="0.25">
      <c r="I4916">
        <f t="shared" si="77"/>
        <v>1900</v>
      </c>
    </row>
    <row r="4917" spans="9:9" x14ac:dyDescent="0.25">
      <c r="I4917">
        <f t="shared" si="77"/>
        <v>1900</v>
      </c>
    </row>
    <row r="4918" spans="9:9" x14ac:dyDescent="0.25">
      <c r="I4918">
        <f t="shared" si="77"/>
        <v>1900</v>
      </c>
    </row>
    <row r="4919" spans="9:9" x14ac:dyDescent="0.25">
      <c r="I4919">
        <f t="shared" si="77"/>
        <v>1900</v>
      </c>
    </row>
    <row r="4920" spans="9:9" x14ac:dyDescent="0.25">
      <c r="I4920">
        <f t="shared" si="77"/>
        <v>1900</v>
      </c>
    </row>
    <row r="4921" spans="9:9" x14ac:dyDescent="0.25">
      <c r="I4921">
        <f t="shared" si="77"/>
        <v>1900</v>
      </c>
    </row>
    <row r="4922" spans="9:9" x14ac:dyDescent="0.25">
      <c r="I4922">
        <f t="shared" si="77"/>
        <v>1900</v>
      </c>
    </row>
    <row r="4923" spans="9:9" x14ac:dyDescent="0.25">
      <c r="I4923">
        <f t="shared" si="77"/>
        <v>1900</v>
      </c>
    </row>
    <row r="4924" spans="9:9" x14ac:dyDescent="0.25">
      <c r="I4924">
        <f t="shared" si="77"/>
        <v>1900</v>
      </c>
    </row>
    <row r="4925" spans="9:9" x14ac:dyDescent="0.25">
      <c r="I4925">
        <f t="shared" si="77"/>
        <v>1900</v>
      </c>
    </row>
    <row r="4926" spans="9:9" x14ac:dyDescent="0.25">
      <c r="I4926">
        <f t="shared" si="77"/>
        <v>1900</v>
      </c>
    </row>
    <row r="4927" spans="9:9" x14ac:dyDescent="0.25">
      <c r="I4927">
        <f t="shared" si="77"/>
        <v>1900</v>
      </c>
    </row>
    <row r="4928" spans="9:9" x14ac:dyDescent="0.25">
      <c r="I4928">
        <f t="shared" si="77"/>
        <v>1900</v>
      </c>
    </row>
    <row r="4929" spans="9:9" x14ac:dyDescent="0.25">
      <c r="I4929">
        <f t="shared" si="77"/>
        <v>1900</v>
      </c>
    </row>
    <row r="4930" spans="9:9" x14ac:dyDescent="0.25">
      <c r="I4930">
        <f t="shared" si="77"/>
        <v>1900</v>
      </c>
    </row>
    <row r="4931" spans="9:9" x14ac:dyDescent="0.25">
      <c r="I4931">
        <f t="shared" si="77"/>
        <v>1900</v>
      </c>
    </row>
    <row r="4932" spans="9:9" x14ac:dyDescent="0.25">
      <c r="I4932">
        <f t="shared" ref="I4932:I4995" si="78">IFERROR(YEAR(E4932),"")</f>
        <v>1900</v>
      </c>
    </row>
    <row r="4933" spans="9:9" x14ac:dyDescent="0.25">
      <c r="I4933">
        <f t="shared" si="78"/>
        <v>1900</v>
      </c>
    </row>
    <row r="4934" spans="9:9" x14ac:dyDescent="0.25">
      <c r="I4934">
        <f t="shared" si="78"/>
        <v>1900</v>
      </c>
    </row>
    <row r="4935" spans="9:9" x14ac:dyDescent="0.25">
      <c r="I4935">
        <f t="shared" si="78"/>
        <v>1900</v>
      </c>
    </row>
    <row r="4936" spans="9:9" x14ac:dyDescent="0.25">
      <c r="I4936">
        <f t="shared" si="78"/>
        <v>1900</v>
      </c>
    </row>
    <row r="4937" spans="9:9" x14ac:dyDescent="0.25">
      <c r="I4937">
        <f t="shared" si="78"/>
        <v>1900</v>
      </c>
    </row>
    <row r="4938" spans="9:9" x14ac:dyDescent="0.25">
      <c r="I4938">
        <f t="shared" si="78"/>
        <v>1900</v>
      </c>
    </row>
    <row r="4939" spans="9:9" x14ac:dyDescent="0.25">
      <c r="I4939">
        <f t="shared" si="78"/>
        <v>1900</v>
      </c>
    </row>
    <row r="4940" spans="9:9" x14ac:dyDescent="0.25">
      <c r="I4940">
        <f t="shared" si="78"/>
        <v>1900</v>
      </c>
    </row>
    <row r="4941" spans="9:9" x14ac:dyDescent="0.25">
      <c r="I4941">
        <f t="shared" si="78"/>
        <v>1900</v>
      </c>
    </row>
    <row r="4942" spans="9:9" x14ac:dyDescent="0.25">
      <c r="I4942">
        <f t="shared" si="78"/>
        <v>1900</v>
      </c>
    </row>
    <row r="4943" spans="9:9" x14ac:dyDescent="0.25">
      <c r="I4943">
        <f t="shared" si="78"/>
        <v>1900</v>
      </c>
    </row>
    <row r="4944" spans="9:9" x14ac:dyDescent="0.25">
      <c r="I4944">
        <f t="shared" si="78"/>
        <v>1900</v>
      </c>
    </row>
    <row r="4945" spans="9:9" x14ac:dyDescent="0.25">
      <c r="I4945">
        <f t="shared" si="78"/>
        <v>1900</v>
      </c>
    </row>
    <row r="4946" spans="9:9" x14ac:dyDescent="0.25">
      <c r="I4946">
        <f t="shared" si="78"/>
        <v>1900</v>
      </c>
    </row>
    <row r="4947" spans="9:9" x14ac:dyDescent="0.25">
      <c r="I4947">
        <f t="shared" si="78"/>
        <v>1900</v>
      </c>
    </row>
    <row r="4948" spans="9:9" x14ac:dyDescent="0.25">
      <c r="I4948">
        <f t="shared" si="78"/>
        <v>1900</v>
      </c>
    </row>
    <row r="4949" spans="9:9" x14ac:dyDescent="0.25">
      <c r="I4949">
        <f t="shared" si="78"/>
        <v>1900</v>
      </c>
    </row>
    <row r="4950" spans="9:9" x14ac:dyDescent="0.25">
      <c r="I4950">
        <f t="shared" si="78"/>
        <v>1900</v>
      </c>
    </row>
    <row r="4951" spans="9:9" x14ac:dyDescent="0.25">
      <c r="I4951">
        <f t="shared" si="78"/>
        <v>1900</v>
      </c>
    </row>
    <row r="4952" spans="9:9" x14ac:dyDescent="0.25">
      <c r="I4952">
        <f t="shared" si="78"/>
        <v>1900</v>
      </c>
    </row>
    <row r="4953" spans="9:9" x14ac:dyDescent="0.25">
      <c r="I4953">
        <f t="shared" si="78"/>
        <v>1900</v>
      </c>
    </row>
    <row r="4954" spans="9:9" x14ac:dyDescent="0.25">
      <c r="I4954">
        <f t="shared" si="78"/>
        <v>1900</v>
      </c>
    </row>
    <row r="4955" spans="9:9" x14ac:dyDescent="0.25">
      <c r="I4955">
        <f t="shared" si="78"/>
        <v>1900</v>
      </c>
    </row>
    <row r="4956" spans="9:9" x14ac:dyDescent="0.25">
      <c r="I4956">
        <f t="shared" si="78"/>
        <v>1900</v>
      </c>
    </row>
    <row r="4957" spans="9:9" x14ac:dyDescent="0.25">
      <c r="I4957">
        <f t="shared" si="78"/>
        <v>1900</v>
      </c>
    </row>
    <row r="4958" spans="9:9" x14ac:dyDescent="0.25">
      <c r="I4958">
        <f t="shared" si="78"/>
        <v>1900</v>
      </c>
    </row>
    <row r="4959" spans="9:9" x14ac:dyDescent="0.25">
      <c r="I4959">
        <f t="shared" si="78"/>
        <v>1900</v>
      </c>
    </row>
    <row r="4960" spans="9:9" x14ac:dyDescent="0.25">
      <c r="I4960">
        <f t="shared" si="78"/>
        <v>1900</v>
      </c>
    </row>
    <row r="4961" spans="9:9" x14ac:dyDescent="0.25">
      <c r="I4961">
        <f t="shared" si="78"/>
        <v>1900</v>
      </c>
    </row>
    <row r="4962" spans="9:9" x14ac:dyDescent="0.25">
      <c r="I4962">
        <f t="shared" si="78"/>
        <v>1900</v>
      </c>
    </row>
    <row r="4963" spans="9:9" x14ac:dyDescent="0.25">
      <c r="I4963">
        <f t="shared" si="78"/>
        <v>1900</v>
      </c>
    </row>
    <row r="4964" spans="9:9" x14ac:dyDescent="0.25">
      <c r="I4964">
        <f t="shared" si="78"/>
        <v>1900</v>
      </c>
    </row>
    <row r="4965" spans="9:9" x14ac:dyDescent="0.25">
      <c r="I4965">
        <f t="shared" si="78"/>
        <v>1900</v>
      </c>
    </row>
    <row r="4966" spans="9:9" x14ac:dyDescent="0.25">
      <c r="I4966">
        <f t="shared" si="78"/>
        <v>1900</v>
      </c>
    </row>
    <row r="4967" spans="9:9" x14ac:dyDescent="0.25">
      <c r="I4967">
        <f t="shared" si="78"/>
        <v>1900</v>
      </c>
    </row>
    <row r="4968" spans="9:9" x14ac:dyDescent="0.25">
      <c r="I4968">
        <f t="shared" si="78"/>
        <v>1900</v>
      </c>
    </row>
    <row r="4969" spans="9:9" x14ac:dyDescent="0.25">
      <c r="I4969">
        <f t="shared" si="78"/>
        <v>1900</v>
      </c>
    </row>
    <row r="4970" spans="9:9" x14ac:dyDescent="0.25">
      <c r="I4970">
        <f t="shared" si="78"/>
        <v>1900</v>
      </c>
    </row>
    <row r="4971" spans="9:9" x14ac:dyDescent="0.25">
      <c r="I4971">
        <f t="shared" si="78"/>
        <v>1900</v>
      </c>
    </row>
    <row r="4972" spans="9:9" x14ac:dyDescent="0.25">
      <c r="I4972">
        <f t="shared" si="78"/>
        <v>1900</v>
      </c>
    </row>
    <row r="4973" spans="9:9" x14ac:dyDescent="0.25">
      <c r="I4973">
        <f t="shared" si="78"/>
        <v>1900</v>
      </c>
    </row>
    <row r="4974" spans="9:9" x14ac:dyDescent="0.25">
      <c r="I4974">
        <f t="shared" si="78"/>
        <v>1900</v>
      </c>
    </row>
    <row r="4975" spans="9:9" x14ac:dyDescent="0.25">
      <c r="I4975">
        <f t="shared" si="78"/>
        <v>1900</v>
      </c>
    </row>
    <row r="4976" spans="9:9" x14ac:dyDescent="0.25">
      <c r="I4976">
        <f t="shared" si="78"/>
        <v>1900</v>
      </c>
    </row>
    <row r="4977" spans="9:9" x14ac:dyDescent="0.25">
      <c r="I4977">
        <f t="shared" si="78"/>
        <v>1900</v>
      </c>
    </row>
    <row r="4978" spans="9:9" x14ac:dyDescent="0.25">
      <c r="I4978">
        <f t="shared" si="78"/>
        <v>1900</v>
      </c>
    </row>
    <row r="4979" spans="9:9" x14ac:dyDescent="0.25">
      <c r="I4979">
        <f t="shared" si="78"/>
        <v>1900</v>
      </c>
    </row>
    <row r="4980" spans="9:9" x14ac:dyDescent="0.25">
      <c r="I4980">
        <f t="shared" si="78"/>
        <v>1900</v>
      </c>
    </row>
    <row r="4981" spans="9:9" x14ac:dyDescent="0.25">
      <c r="I4981">
        <f t="shared" si="78"/>
        <v>1900</v>
      </c>
    </row>
    <row r="4982" spans="9:9" x14ac:dyDescent="0.25">
      <c r="I4982">
        <f t="shared" si="78"/>
        <v>1900</v>
      </c>
    </row>
    <row r="4983" spans="9:9" x14ac:dyDescent="0.25">
      <c r="I4983">
        <f t="shared" si="78"/>
        <v>1900</v>
      </c>
    </row>
    <row r="4984" spans="9:9" x14ac:dyDescent="0.25">
      <c r="I4984">
        <f t="shared" si="78"/>
        <v>1900</v>
      </c>
    </row>
    <row r="4985" spans="9:9" x14ac:dyDescent="0.25">
      <c r="I4985">
        <f t="shared" si="78"/>
        <v>1900</v>
      </c>
    </row>
    <row r="4986" spans="9:9" x14ac:dyDescent="0.25">
      <c r="I4986">
        <f t="shared" si="78"/>
        <v>1900</v>
      </c>
    </row>
    <row r="4987" spans="9:9" x14ac:dyDescent="0.25">
      <c r="I4987">
        <f t="shared" si="78"/>
        <v>1900</v>
      </c>
    </row>
    <row r="4988" spans="9:9" x14ac:dyDescent="0.25">
      <c r="I4988">
        <f t="shared" si="78"/>
        <v>1900</v>
      </c>
    </row>
    <row r="4989" spans="9:9" x14ac:dyDescent="0.25">
      <c r="I4989">
        <f t="shared" si="78"/>
        <v>1900</v>
      </c>
    </row>
    <row r="4990" spans="9:9" x14ac:dyDescent="0.25">
      <c r="I4990">
        <f t="shared" si="78"/>
        <v>1900</v>
      </c>
    </row>
    <row r="4991" spans="9:9" x14ac:dyDescent="0.25">
      <c r="I4991">
        <f t="shared" si="78"/>
        <v>1900</v>
      </c>
    </row>
    <row r="4992" spans="9:9" x14ac:dyDescent="0.25">
      <c r="I4992">
        <f t="shared" si="78"/>
        <v>1900</v>
      </c>
    </row>
    <row r="4993" spans="9:9" x14ac:dyDescent="0.25">
      <c r="I4993">
        <f t="shared" si="78"/>
        <v>1900</v>
      </c>
    </row>
    <row r="4994" spans="9:9" x14ac:dyDescent="0.25">
      <c r="I4994">
        <f t="shared" si="78"/>
        <v>1900</v>
      </c>
    </row>
    <row r="4995" spans="9:9" x14ac:dyDescent="0.25">
      <c r="I4995">
        <f t="shared" si="78"/>
        <v>1900</v>
      </c>
    </row>
    <row r="4996" spans="9:9" x14ac:dyDescent="0.25">
      <c r="I4996">
        <f t="shared" ref="I4996:I5003" si="79">IFERROR(YEAR(E4996),"")</f>
        <v>1900</v>
      </c>
    </row>
    <row r="4997" spans="9:9" x14ac:dyDescent="0.25">
      <c r="I4997">
        <f t="shared" si="79"/>
        <v>1900</v>
      </c>
    </row>
    <row r="4998" spans="9:9" x14ac:dyDescent="0.25">
      <c r="I4998">
        <f t="shared" si="79"/>
        <v>1900</v>
      </c>
    </row>
    <row r="4999" spans="9:9" x14ac:dyDescent="0.25">
      <c r="I4999">
        <f t="shared" si="79"/>
        <v>1900</v>
      </c>
    </row>
    <row r="5000" spans="9:9" x14ac:dyDescent="0.25">
      <c r="I5000">
        <f t="shared" si="79"/>
        <v>1900</v>
      </c>
    </row>
    <row r="5001" spans="9:9" x14ac:dyDescent="0.25">
      <c r="I5001">
        <f t="shared" si="79"/>
        <v>1900</v>
      </c>
    </row>
    <row r="5002" spans="9:9" x14ac:dyDescent="0.25">
      <c r="I5002">
        <f t="shared" si="79"/>
        <v>1900</v>
      </c>
    </row>
    <row r="5003" spans="9:9" x14ac:dyDescent="0.25">
      <c r="I5003">
        <f t="shared" si="79"/>
        <v>1900</v>
      </c>
    </row>
  </sheetData>
  <autoFilter ref="A3:L3" xr:uid="{00000000-0009-0000-0000-000029000000}"/>
  <mergeCells count="2">
    <mergeCell ref="A2:L2"/>
    <mergeCell ref="A1:L1"/>
  </mergeCells>
  <pageMargins left="0.75" right="0.75" top="1" bottom="1" header="0.511811023622047" footer="0.511811023622047"/>
  <pageSetup paperSize="9" orientation="portrait" horizontalDpi="300" verticalDpi="30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tabColor rgb="FFE67E22"/>
  </sheetPr>
  <dimension ref="A1:P5001"/>
  <sheetViews>
    <sheetView topLeftCell="F1" zoomScaleNormal="100" workbookViewId="0">
      <pane ySplit="3" topLeftCell="A4" activePane="bottomLeft" state="frozen"/>
      <selection activeCell="F1" sqref="F1"/>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41.85546875" customWidth="1"/>
    <col min="7" max="7" width="9" customWidth="1"/>
    <col min="8" max="8" width="8" customWidth="1"/>
    <col min="9" max="9" width="16" customWidth="1"/>
    <col min="10" max="10" width="18" customWidth="1"/>
    <col min="11" max="11" width="14" customWidth="1"/>
    <col min="12" max="12" width="12" customWidth="1"/>
    <col min="13" max="13" width="22" customWidth="1"/>
    <col min="14" max="14" width="12" customWidth="1"/>
    <col min="15" max="15" width="16" customWidth="1"/>
  </cols>
  <sheetData>
    <row r="1" spans="1:16" ht="31.5" customHeight="1" x14ac:dyDescent="0.25">
      <c r="A1" s="371" t="s">
        <v>0</v>
      </c>
      <c r="B1" s="265"/>
      <c r="C1" s="265"/>
      <c r="D1" s="265"/>
      <c r="E1" s="265"/>
      <c r="F1" s="265"/>
      <c r="G1" s="265"/>
      <c r="H1" s="265"/>
      <c r="I1" s="265"/>
      <c r="J1" s="265"/>
      <c r="K1" s="265"/>
      <c r="L1" s="265"/>
      <c r="M1" s="265"/>
      <c r="N1" s="265"/>
      <c r="P1" s="107" t="s">
        <v>1</v>
      </c>
    </row>
    <row r="2" spans="1:16" ht="19.5" customHeight="1" x14ac:dyDescent="0.25">
      <c r="A2" s="370" t="s">
        <v>2</v>
      </c>
      <c r="B2" s="265"/>
      <c r="C2" s="265"/>
      <c r="D2" s="265"/>
      <c r="E2" s="265"/>
      <c r="F2" s="265"/>
      <c r="G2" s="265"/>
      <c r="H2" s="265"/>
      <c r="I2" s="265"/>
      <c r="J2" s="265"/>
      <c r="K2" s="265"/>
      <c r="L2" s="265"/>
      <c r="M2" s="265"/>
      <c r="N2" s="265"/>
      <c r="P2">
        <f t="shared" ref="P2:P65" si="0">IFERROR(YEAR(D2),"")</f>
        <v>1900</v>
      </c>
    </row>
    <row r="3" spans="1:16" ht="15" customHeight="1" x14ac:dyDescent="0.25">
      <c r="A3" s="100" t="s">
        <v>3</v>
      </c>
      <c r="B3" s="100" t="s">
        <v>4</v>
      </c>
      <c r="C3" s="100" t="s">
        <v>5</v>
      </c>
      <c r="D3" s="100" t="s">
        <v>6</v>
      </c>
      <c r="E3" s="100" t="s">
        <v>7</v>
      </c>
      <c r="F3" s="100" t="s">
        <v>8</v>
      </c>
      <c r="G3" s="100" t="s">
        <v>9</v>
      </c>
      <c r="H3" s="100" t="s">
        <v>10</v>
      </c>
      <c r="I3" s="100" t="s">
        <v>11</v>
      </c>
      <c r="J3" s="100" t="s">
        <v>12</v>
      </c>
      <c r="K3" s="100" t="s">
        <v>13</v>
      </c>
      <c r="L3" s="100" t="s">
        <v>14</v>
      </c>
      <c r="M3" s="100" t="s">
        <v>15</v>
      </c>
      <c r="N3" s="101" t="s">
        <v>16</v>
      </c>
      <c r="O3" s="101" t="s">
        <v>17</v>
      </c>
      <c r="P3" t="str">
        <f t="shared" si="0"/>
        <v/>
      </c>
    </row>
    <row r="4" spans="1:16" ht="15" customHeight="1" x14ac:dyDescent="0.25">
      <c r="A4" s="43"/>
      <c r="B4" s="43"/>
      <c r="C4" s="41"/>
      <c r="D4" s="102"/>
      <c r="E4" s="42"/>
      <c r="F4" s="41"/>
      <c r="G4" s="43"/>
      <c r="H4" s="43"/>
      <c r="I4" s="42">
        <f>E4+(E4*H4/100*G4)</f>
        <v>0</v>
      </c>
      <c r="J4" s="42">
        <f>IFERROR(I4/G4,0)</f>
        <v>0</v>
      </c>
      <c r="K4" s="105"/>
      <c r="L4" s="43"/>
      <c r="M4" s="43"/>
      <c r="N4" s="106"/>
      <c r="O4" t="str">
        <f>IF(AND(H4&gt;=0,H4&lt;=100),"✅ VALID %","❌ INVALID")</f>
        <v>✅ VALID %</v>
      </c>
      <c r="P4">
        <f t="shared" si="0"/>
        <v>1900</v>
      </c>
    </row>
    <row r="5" spans="1:16" ht="15" customHeight="1" x14ac:dyDescent="0.25">
      <c r="A5" s="39"/>
      <c r="B5" s="39"/>
      <c r="C5" s="37"/>
      <c r="D5" s="103"/>
      <c r="E5" s="38"/>
      <c r="F5" s="37"/>
      <c r="G5" s="39"/>
      <c r="H5" s="39"/>
      <c r="I5" s="38">
        <f>E5+(E5*H5/100*G5)</f>
        <v>0</v>
      </c>
      <c r="J5" s="38">
        <f>IFERROR(I5/G5,0)</f>
        <v>0</v>
      </c>
      <c r="K5" s="105"/>
      <c r="L5" s="39"/>
      <c r="M5" s="39"/>
      <c r="N5" s="106"/>
      <c r="O5" t="str">
        <f>IF(AND(H5&gt;=0,H5&lt;=100),"✅ VALID %","❌ INVALID")</f>
        <v>✅ VALID %</v>
      </c>
      <c r="P5">
        <f t="shared" si="0"/>
        <v>1900</v>
      </c>
    </row>
    <row r="6" spans="1:16" ht="15" customHeight="1" x14ac:dyDescent="0.25">
      <c r="A6" s="43"/>
      <c r="B6" s="43"/>
      <c r="C6" s="41"/>
      <c r="D6" s="102"/>
      <c r="E6" s="42"/>
      <c r="F6" s="41"/>
      <c r="G6" s="43"/>
      <c r="H6" s="43"/>
      <c r="I6" s="42">
        <f>E6+(E6*H6/100*G6)</f>
        <v>0</v>
      </c>
      <c r="J6" s="42">
        <f>IFERROR(I6/G6,0)</f>
        <v>0</v>
      </c>
      <c r="K6" s="108"/>
      <c r="L6" s="43"/>
      <c r="M6" s="43"/>
      <c r="N6" s="106"/>
      <c r="O6" t="str">
        <f>IF(AND(H6&gt;=0,H6&lt;=100),"✅ VALID %","❌ INVALID")</f>
        <v>✅ VALID %</v>
      </c>
      <c r="P6">
        <f t="shared" si="0"/>
        <v>1900</v>
      </c>
    </row>
    <row r="7" spans="1:16" ht="15" customHeight="1" x14ac:dyDescent="0.25">
      <c r="A7" s="39"/>
      <c r="B7" s="39"/>
      <c r="C7" s="37"/>
      <c r="D7" s="103"/>
      <c r="E7" s="38"/>
      <c r="F7" s="37"/>
      <c r="G7" s="39"/>
      <c r="H7" s="39"/>
      <c r="I7" s="38">
        <f>E7+(E7*H7/100*G7)</f>
        <v>0</v>
      </c>
      <c r="J7" s="38">
        <f>IFERROR(I7/G7,0)</f>
        <v>0</v>
      </c>
      <c r="K7" s="108"/>
      <c r="L7" s="39"/>
      <c r="M7" s="39"/>
      <c r="N7" s="106"/>
      <c r="O7" t="str">
        <f>IF(AND(H7&gt;=0,H7&lt;=100),"✅ VALID %","❌ INVALID")</f>
        <v>✅ VALID %</v>
      </c>
      <c r="P7">
        <f t="shared" si="0"/>
        <v>1900</v>
      </c>
    </row>
    <row r="8" spans="1:16" ht="15" customHeight="1" x14ac:dyDescent="0.25">
      <c r="A8" s="43"/>
      <c r="B8" s="43"/>
      <c r="C8" s="41"/>
      <c r="D8" s="102"/>
      <c r="E8" s="42"/>
      <c r="F8" s="41"/>
      <c r="G8" s="43"/>
      <c r="H8" s="43"/>
      <c r="I8" s="42">
        <f>E8+(E8*H8/100*G8)</f>
        <v>0</v>
      </c>
      <c r="J8" s="42">
        <f>IFERROR(I8/G8,0)</f>
        <v>0</v>
      </c>
      <c r="K8" s="108"/>
      <c r="L8" s="43"/>
      <c r="M8" s="43"/>
      <c r="N8" s="106"/>
      <c r="O8" t="str">
        <f>IF(AND(H8&gt;=0,H8&lt;=100),"✅ VALID %","❌ INVALID")</f>
        <v>✅ VALID %</v>
      </c>
      <c r="P8">
        <f t="shared" si="0"/>
        <v>1900</v>
      </c>
    </row>
    <row r="9" spans="1:16" x14ac:dyDescent="0.25">
      <c r="P9">
        <f t="shared" si="0"/>
        <v>1900</v>
      </c>
    </row>
    <row r="10" spans="1:16" x14ac:dyDescent="0.25">
      <c r="P10">
        <f t="shared" si="0"/>
        <v>1900</v>
      </c>
    </row>
    <row r="11" spans="1:16" x14ac:dyDescent="0.25">
      <c r="P11">
        <f t="shared" si="0"/>
        <v>1900</v>
      </c>
    </row>
    <row r="12" spans="1:16" x14ac:dyDescent="0.25">
      <c r="P12">
        <f t="shared" si="0"/>
        <v>1900</v>
      </c>
    </row>
    <row r="13" spans="1:16" x14ac:dyDescent="0.25">
      <c r="P13">
        <f t="shared" si="0"/>
        <v>1900</v>
      </c>
    </row>
    <row r="14" spans="1:16" x14ac:dyDescent="0.25">
      <c r="P14">
        <f t="shared" si="0"/>
        <v>1900</v>
      </c>
    </row>
    <row r="15" spans="1:16" x14ac:dyDescent="0.25">
      <c r="P15">
        <f t="shared" si="0"/>
        <v>1900</v>
      </c>
    </row>
    <row r="16" spans="1:16" x14ac:dyDescent="0.25">
      <c r="P16">
        <f t="shared" si="0"/>
        <v>1900</v>
      </c>
    </row>
    <row r="17" spans="16:16" x14ac:dyDescent="0.25">
      <c r="P17">
        <f t="shared" si="0"/>
        <v>1900</v>
      </c>
    </row>
    <row r="18" spans="16:16" x14ac:dyDescent="0.25">
      <c r="P18">
        <f t="shared" si="0"/>
        <v>1900</v>
      </c>
    </row>
    <row r="19" spans="16:16" x14ac:dyDescent="0.25">
      <c r="P19">
        <f t="shared" si="0"/>
        <v>1900</v>
      </c>
    </row>
    <row r="20" spans="16:16" x14ac:dyDescent="0.25">
      <c r="P20">
        <f t="shared" si="0"/>
        <v>1900</v>
      </c>
    </row>
    <row r="21" spans="16:16" x14ac:dyDescent="0.25">
      <c r="P21">
        <f t="shared" si="0"/>
        <v>1900</v>
      </c>
    </row>
    <row r="22" spans="16:16" x14ac:dyDescent="0.25">
      <c r="P22">
        <f t="shared" si="0"/>
        <v>1900</v>
      </c>
    </row>
    <row r="23" spans="16:16" x14ac:dyDescent="0.25">
      <c r="P23">
        <f t="shared" si="0"/>
        <v>1900</v>
      </c>
    </row>
    <row r="24" spans="16:16" x14ac:dyDescent="0.25">
      <c r="P24">
        <f t="shared" si="0"/>
        <v>1900</v>
      </c>
    </row>
    <row r="25" spans="16:16" x14ac:dyDescent="0.25">
      <c r="P25">
        <f t="shared" si="0"/>
        <v>1900</v>
      </c>
    </row>
    <row r="26" spans="16:16" x14ac:dyDescent="0.25">
      <c r="P26">
        <f t="shared" si="0"/>
        <v>1900</v>
      </c>
    </row>
    <row r="27" spans="16:16" x14ac:dyDescent="0.25">
      <c r="P27">
        <f t="shared" si="0"/>
        <v>1900</v>
      </c>
    </row>
    <row r="28" spans="16:16" x14ac:dyDescent="0.25">
      <c r="P28">
        <f t="shared" si="0"/>
        <v>1900</v>
      </c>
    </row>
    <row r="29" spans="16:16" x14ac:dyDescent="0.25">
      <c r="P29">
        <f t="shared" si="0"/>
        <v>1900</v>
      </c>
    </row>
    <row r="30" spans="16:16" x14ac:dyDescent="0.25">
      <c r="P30">
        <f t="shared" si="0"/>
        <v>1900</v>
      </c>
    </row>
    <row r="31" spans="16:16" x14ac:dyDescent="0.25">
      <c r="P31">
        <f t="shared" si="0"/>
        <v>1900</v>
      </c>
    </row>
    <row r="32" spans="16:16" x14ac:dyDescent="0.25">
      <c r="P32">
        <f t="shared" si="0"/>
        <v>1900</v>
      </c>
    </row>
    <row r="33" spans="16:16" x14ac:dyDescent="0.25">
      <c r="P33">
        <f t="shared" si="0"/>
        <v>1900</v>
      </c>
    </row>
    <row r="34" spans="16:16" x14ac:dyDescent="0.25">
      <c r="P34">
        <f t="shared" si="0"/>
        <v>1900</v>
      </c>
    </row>
    <row r="35" spans="16:16" x14ac:dyDescent="0.25">
      <c r="P35">
        <f t="shared" si="0"/>
        <v>1900</v>
      </c>
    </row>
    <row r="36" spans="16:16" x14ac:dyDescent="0.25">
      <c r="P36">
        <f t="shared" si="0"/>
        <v>1900</v>
      </c>
    </row>
    <row r="37" spans="16:16" x14ac:dyDescent="0.25">
      <c r="P37">
        <f t="shared" si="0"/>
        <v>1900</v>
      </c>
    </row>
    <row r="38" spans="16:16" x14ac:dyDescent="0.25">
      <c r="P38">
        <f t="shared" si="0"/>
        <v>1900</v>
      </c>
    </row>
    <row r="39" spans="16:16" x14ac:dyDescent="0.25">
      <c r="P39">
        <f t="shared" si="0"/>
        <v>1900</v>
      </c>
    </row>
    <row r="40" spans="16:16" x14ac:dyDescent="0.25">
      <c r="P40">
        <f t="shared" si="0"/>
        <v>1900</v>
      </c>
    </row>
    <row r="41" spans="16:16" x14ac:dyDescent="0.25">
      <c r="P41">
        <f t="shared" si="0"/>
        <v>1900</v>
      </c>
    </row>
    <row r="42" spans="16:16" x14ac:dyDescent="0.25">
      <c r="P42">
        <f t="shared" si="0"/>
        <v>1900</v>
      </c>
    </row>
    <row r="43" spans="16:16" x14ac:dyDescent="0.25">
      <c r="P43">
        <f t="shared" si="0"/>
        <v>1900</v>
      </c>
    </row>
    <row r="44" spans="16:16" x14ac:dyDescent="0.25">
      <c r="P44">
        <f t="shared" si="0"/>
        <v>1900</v>
      </c>
    </row>
    <row r="45" spans="16:16" x14ac:dyDescent="0.25">
      <c r="P45">
        <f t="shared" si="0"/>
        <v>1900</v>
      </c>
    </row>
    <row r="46" spans="16:16" x14ac:dyDescent="0.25">
      <c r="P46">
        <f t="shared" si="0"/>
        <v>1900</v>
      </c>
    </row>
    <row r="47" spans="16:16" x14ac:dyDescent="0.25">
      <c r="P47">
        <f t="shared" si="0"/>
        <v>1900</v>
      </c>
    </row>
    <row r="48" spans="16:16" x14ac:dyDescent="0.25">
      <c r="P48">
        <f t="shared" si="0"/>
        <v>1900</v>
      </c>
    </row>
    <row r="49" spans="16:16" x14ac:dyDescent="0.25">
      <c r="P49">
        <f t="shared" si="0"/>
        <v>1900</v>
      </c>
    </row>
    <row r="50" spans="16:16" x14ac:dyDescent="0.25">
      <c r="P50">
        <f t="shared" si="0"/>
        <v>1900</v>
      </c>
    </row>
    <row r="51" spans="16:16" x14ac:dyDescent="0.25">
      <c r="P51">
        <f t="shared" si="0"/>
        <v>1900</v>
      </c>
    </row>
    <row r="52" spans="16:16" x14ac:dyDescent="0.25">
      <c r="P52">
        <f t="shared" si="0"/>
        <v>1900</v>
      </c>
    </row>
    <row r="53" spans="16:16" x14ac:dyDescent="0.25">
      <c r="P53">
        <f t="shared" si="0"/>
        <v>1900</v>
      </c>
    </row>
    <row r="54" spans="16:16" x14ac:dyDescent="0.25">
      <c r="P54">
        <f t="shared" si="0"/>
        <v>1900</v>
      </c>
    </row>
    <row r="55" spans="16:16" x14ac:dyDescent="0.25">
      <c r="P55">
        <f t="shared" si="0"/>
        <v>1900</v>
      </c>
    </row>
    <row r="56" spans="16:16" x14ac:dyDescent="0.25">
      <c r="P56">
        <f t="shared" si="0"/>
        <v>1900</v>
      </c>
    </row>
    <row r="57" spans="16:16" x14ac:dyDescent="0.25">
      <c r="P57">
        <f t="shared" si="0"/>
        <v>1900</v>
      </c>
    </row>
    <row r="58" spans="16:16" x14ac:dyDescent="0.25">
      <c r="P58">
        <f t="shared" si="0"/>
        <v>1900</v>
      </c>
    </row>
    <row r="59" spans="16:16" x14ac:dyDescent="0.25">
      <c r="P59">
        <f t="shared" si="0"/>
        <v>1900</v>
      </c>
    </row>
    <row r="60" spans="16:16" x14ac:dyDescent="0.25">
      <c r="P60">
        <f t="shared" si="0"/>
        <v>1900</v>
      </c>
    </row>
    <row r="61" spans="16:16" x14ac:dyDescent="0.25">
      <c r="P61">
        <f t="shared" si="0"/>
        <v>1900</v>
      </c>
    </row>
    <row r="62" spans="16:16" x14ac:dyDescent="0.25">
      <c r="P62">
        <f t="shared" si="0"/>
        <v>1900</v>
      </c>
    </row>
    <row r="63" spans="16:16" x14ac:dyDescent="0.25">
      <c r="P63">
        <f t="shared" si="0"/>
        <v>1900</v>
      </c>
    </row>
    <row r="64" spans="16:16" x14ac:dyDescent="0.25">
      <c r="P64">
        <f t="shared" si="0"/>
        <v>1900</v>
      </c>
    </row>
    <row r="65" spans="16:16" x14ac:dyDescent="0.25">
      <c r="P65">
        <f t="shared" si="0"/>
        <v>1900</v>
      </c>
    </row>
    <row r="66" spans="16:16" x14ac:dyDescent="0.25">
      <c r="P66">
        <f t="shared" ref="P66:P129" si="1">IFERROR(YEAR(D66),"")</f>
        <v>1900</v>
      </c>
    </row>
    <row r="67" spans="16:16" x14ac:dyDescent="0.25">
      <c r="P67">
        <f t="shared" si="1"/>
        <v>1900</v>
      </c>
    </row>
    <row r="68" spans="16:16" x14ac:dyDescent="0.25">
      <c r="P68">
        <f t="shared" si="1"/>
        <v>1900</v>
      </c>
    </row>
    <row r="69" spans="16:16" x14ac:dyDescent="0.25">
      <c r="P69">
        <f t="shared" si="1"/>
        <v>1900</v>
      </c>
    </row>
    <row r="70" spans="16:16" x14ac:dyDescent="0.25">
      <c r="P70">
        <f t="shared" si="1"/>
        <v>1900</v>
      </c>
    </row>
    <row r="71" spans="16:16" x14ac:dyDescent="0.25">
      <c r="P71">
        <f t="shared" si="1"/>
        <v>1900</v>
      </c>
    </row>
    <row r="72" spans="16:16" x14ac:dyDescent="0.25">
      <c r="P72">
        <f t="shared" si="1"/>
        <v>1900</v>
      </c>
    </row>
    <row r="73" spans="16:16" x14ac:dyDescent="0.25">
      <c r="P73">
        <f t="shared" si="1"/>
        <v>1900</v>
      </c>
    </row>
    <row r="74" spans="16:16" x14ac:dyDescent="0.25">
      <c r="P74">
        <f t="shared" si="1"/>
        <v>1900</v>
      </c>
    </row>
    <row r="75" spans="16:16" x14ac:dyDescent="0.25">
      <c r="P75">
        <f t="shared" si="1"/>
        <v>1900</v>
      </c>
    </row>
    <row r="76" spans="16:16" x14ac:dyDescent="0.25">
      <c r="P76">
        <f t="shared" si="1"/>
        <v>1900</v>
      </c>
    </row>
    <row r="77" spans="16:16" x14ac:dyDescent="0.25">
      <c r="P77">
        <f t="shared" si="1"/>
        <v>1900</v>
      </c>
    </row>
    <row r="78" spans="16:16" x14ac:dyDescent="0.25">
      <c r="P78">
        <f t="shared" si="1"/>
        <v>1900</v>
      </c>
    </row>
    <row r="79" spans="16:16" x14ac:dyDescent="0.25">
      <c r="P79">
        <f t="shared" si="1"/>
        <v>1900</v>
      </c>
    </row>
    <row r="80" spans="16:16" x14ac:dyDescent="0.25">
      <c r="P80">
        <f t="shared" si="1"/>
        <v>1900</v>
      </c>
    </row>
    <row r="81" spans="16:16" x14ac:dyDescent="0.25">
      <c r="P81">
        <f t="shared" si="1"/>
        <v>1900</v>
      </c>
    </row>
    <row r="82" spans="16:16" x14ac:dyDescent="0.25">
      <c r="P82">
        <f t="shared" si="1"/>
        <v>1900</v>
      </c>
    </row>
    <row r="83" spans="16:16" x14ac:dyDescent="0.25">
      <c r="P83">
        <f t="shared" si="1"/>
        <v>1900</v>
      </c>
    </row>
    <row r="84" spans="16:16" x14ac:dyDescent="0.25">
      <c r="P84">
        <f t="shared" si="1"/>
        <v>1900</v>
      </c>
    </row>
    <row r="85" spans="16:16" x14ac:dyDescent="0.25">
      <c r="P85">
        <f t="shared" si="1"/>
        <v>1900</v>
      </c>
    </row>
    <row r="86" spans="16:16" x14ac:dyDescent="0.25">
      <c r="P86">
        <f t="shared" si="1"/>
        <v>1900</v>
      </c>
    </row>
    <row r="87" spans="16:16" x14ac:dyDescent="0.25">
      <c r="P87">
        <f t="shared" si="1"/>
        <v>1900</v>
      </c>
    </row>
    <row r="88" spans="16:16" x14ac:dyDescent="0.25">
      <c r="P88">
        <f t="shared" si="1"/>
        <v>1900</v>
      </c>
    </row>
    <row r="89" spans="16:16" x14ac:dyDescent="0.25">
      <c r="P89">
        <f t="shared" si="1"/>
        <v>1900</v>
      </c>
    </row>
    <row r="90" spans="16:16" x14ac:dyDescent="0.25">
      <c r="P90">
        <f t="shared" si="1"/>
        <v>1900</v>
      </c>
    </row>
    <row r="91" spans="16:16" x14ac:dyDescent="0.25">
      <c r="P91">
        <f t="shared" si="1"/>
        <v>1900</v>
      </c>
    </row>
    <row r="92" spans="16:16" x14ac:dyDescent="0.25">
      <c r="P92">
        <f t="shared" si="1"/>
        <v>1900</v>
      </c>
    </row>
    <row r="93" spans="16:16" x14ac:dyDescent="0.25">
      <c r="P93">
        <f t="shared" si="1"/>
        <v>1900</v>
      </c>
    </row>
    <row r="94" spans="16:16" x14ac:dyDescent="0.25">
      <c r="P94">
        <f t="shared" si="1"/>
        <v>1900</v>
      </c>
    </row>
    <row r="95" spans="16:16" x14ac:dyDescent="0.25">
      <c r="P95">
        <f t="shared" si="1"/>
        <v>1900</v>
      </c>
    </row>
    <row r="96" spans="16:16" x14ac:dyDescent="0.25">
      <c r="P96">
        <f t="shared" si="1"/>
        <v>1900</v>
      </c>
    </row>
    <row r="97" spans="16:16" x14ac:dyDescent="0.25">
      <c r="P97">
        <f t="shared" si="1"/>
        <v>1900</v>
      </c>
    </row>
    <row r="98" spans="16:16" x14ac:dyDescent="0.25">
      <c r="P98">
        <f t="shared" si="1"/>
        <v>1900</v>
      </c>
    </row>
    <row r="99" spans="16:16" x14ac:dyDescent="0.25">
      <c r="P99">
        <f t="shared" si="1"/>
        <v>1900</v>
      </c>
    </row>
    <row r="100" spans="16:16" x14ac:dyDescent="0.25">
      <c r="P100">
        <f t="shared" si="1"/>
        <v>1900</v>
      </c>
    </row>
    <row r="101" spans="16:16" x14ac:dyDescent="0.25">
      <c r="P101">
        <f t="shared" si="1"/>
        <v>1900</v>
      </c>
    </row>
    <row r="102" spans="16:16" x14ac:dyDescent="0.25">
      <c r="P102">
        <f t="shared" si="1"/>
        <v>1900</v>
      </c>
    </row>
    <row r="103" spans="16:16" x14ac:dyDescent="0.25">
      <c r="P103">
        <f t="shared" si="1"/>
        <v>1900</v>
      </c>
    </row>
    <row r="104" spans="16:16" x14ac:dyDescent="0.25">
      <c r="P104">
        <f t="shared" si="1"/>
        <v>1900</v>
      </c>
    </row>
    <row r="105" spans="16:16" x14ac:dyDescent="0.25">
      <c r="P105">
        <f t="shared" si="1"/>
        <v>1900</v>
      </c>
    </row>
    <row r="106" spans="16:16" x14ac:dyDescent="0.25">
      <c r="P106">
        <f t="shared" si="1"/>
        <v>1900</v>
      </c>
    </row>
    <row r="107" spans="16:16" x14ac:dyDescent="0.25">
      <c r="P107">
        <f t="shared" si="1"/>
        <v>1900</v>
      </c>
    </row>
    <row r="108" spans="16:16" x14ac:dyDescent="0.25">
      <c r="P108">
        <f t="shared" si="1"/>
        <v>1900</v>
      </c>
    </row>
    <row r="109" spans="16:16" x14ac:dyDescent="0.25">
      <c r="P109">
        <f t="shared" si="1"/>
        <v>1900</v>
      </c>
    </row>
    <row r="110" spans="16:16" x14ac:dyDescent="0.25">
      <c r="P110">
        <f t="shared" si="1"/>
        <v>1900</v>
      </c>
    </row>
    <row r="111" spans="16:16" x14ac:dyDescent="0.25">
      <c r="P111">
        <f t="shared" si="1"/>
        <v>1900</v>
      </c>
    </row>
    <row r="112" spans="16:16" x14ac:dyDescent="0.25">
      <c r="P112">
        <f t="shared" si="1"/>
        <v>1900</v>
      </c>
    </row>
    <row r="113" spans="16:16" x14ac:dyDescent="0.25">
      <c r="P113">
        <f t="shared" si="1"/>
        <v>1900</v>
      </c>
    </row>
    <row r="114" spans="16:16" x14ac:dyDescent="0.25">
      <c r="P114">
        <f t="shared" si="1"/>
        <v>1900</v>
      </c>
    </row>
    <row r="115" spans="16:16" x14ac:dyDescent="0.25">
      <c r="P115">
        <f t="shared" si="1"/>
        <v>1900</v>
      </c>
    </row>
    <row r="116" spans="16:16" x14ac:dyDescent="0.25">
      <c r="P116">
        <f t="shared" si="1"/>
        <v>1900</v>
      </c>
    </row>
    <row r="117" spans="16:16" x14ac:dyDescent="0.25">
      <c r="P117">
        <f t="shared" si="1"/>
        <v>1900</v>
      </c>
    </row>
    <row r="118" spans="16:16" x14ac:dyDescent="0.25">
      <c r="P118">
        <f t="shared" si="1"/>
        <v>1900</v>
      </c>
    </row>
    <row r="119" spans="16:16" x14ac:dyDescent="0.25">
      <c r="P119">
        <f t="shared" si="1"/>
        <v>1900</v>
      </c>
    </row>
    <row r="120" spans="16:16" x14ac:dyDescent="0.25">
      <c r="P120">
        <f t="shared" si="1"/>
        <v>1900</v>
      </c>
    </row>
    <row r="121" spans="16:16" x14ac:dyDescent="0.25">
      <c r="P121">
        <f t="shared" si="1"/>
        <v>1900</v>
      </c>
    </row>
    <row r="122" spans="16:16" x14ac:dyDescent="0.25">
      <c r="P122">
        <f t="shared" si="1"/>
        <v>1900</v>
      </c>
    </row>
    <row r="123" spans="16:16" x14ac:dyDescent="0.25">
      <c r="P123">
        <f t="shared" si="1"/>
        <v>1900</v>
      </c>
    </row>
    <row r="124" spans="16:16" x14ac:dyDescent="0.25">
      <c r="P124">
        <f t="shared" si="1"/>
        <v>1900</v>
      </c>
    </row>
    <row r="125" spans="16:16" x14ac:dyDescent="0.25">
      <c r="P125">
        <f t="shared" si="1"/>
        <v>1900</v>
      </c>
    </row>
    <row r="126" spans="16:16" x14ac:dyDescent="0.25">
      <c r="P126">
        <f t="shared" si="1"/>
        <v>1900</v>
      </c>
    </row>
    <row r="127" spans="16:16" x14ac:dyDescent="0.25">
      <c r="P127">
        <f t="shared" si="1"/>
        <v>1900</v>
      </c>
    </row>
    <row r="128" spans="16:16" x14ac:dyDescent="0.25">
      <c r="P128">
        <f t="shared" si="1"/>
        <v>1900</v>
      </c>
    </row>
    <row r="129" spans="16:16" x14ac:dyDescent="0.25">
      <c r="P129">
        <f t="shared" si="1"/>
        <v>1900</v>
      </c>
    </row>
    <row r="130" spans="16:16" x14ac:dyDescent="0.25">
      <c r="P130">
        <f t="shared" ref="P130:P193" si="2">IFERROR(YEAR(D130),"")</f>
        <v>1900</v>
      </c>
    </row>
    <row r="131" spans="16:16" x14ac:dyDescent="0.25">
      <c r="P131">
        <f t="shared" si="2"/>
        <v>1900</v>
      </c>
    </row>
    <row r="132" spans="16:16" x14ac:dyDescent="0.25">
      <c r="P132">
        <f t="shared" si="2"/>
        <v>1900</v>
      </c>
    </row>
    <row r="133" spans="16:16" x14ac:dyDescent="0.25">
      <c r="P133">
        <f t="shared" si="2"/>
        <v>1900</v>
      </c>
    </row>
    <row r="134" spans="16:16" x14ac:dyDescent="0.25">
      <c r="P134">
        <f t="shared" si="2"/>
        <v>1900</v>
      </c>
    </row>
    <row r="135" spans="16:16" x14ac:dyDescent="0.25">
      <c r="P135">
        <f t="shared" si="2"/>
        <v>1900</v>
      </c>
    </row>
    <row r="136" spans="16:16" x14ac:dyDescent="0.25">
      <c r="P136">
        <f t="shared" si="2"/>
        <v>1900</v>
      </c>
    </row>
    <row r="137" spans="16:16" x14ac:dyDescent="0.25">
      <c r="P137">
        <f t="shared" si="2"/>
        <v>1900</v>
      </c>
    </row>
    <row r="138" spans="16:16" x14ac:dyDescent="0.25">
      <c r="P138">
        <f t="shared" si="2"/>
        <v>1900</v>
      </c>
    </row>
    <row r="139" spans="16:16" x14ac:dyDescent="0.25">
      <c r="P139">
        <f t="shared" si="2"/>
        <v>1900</v>
      </c>
    </row>
    <row r="140" spans="16:16" x14ac:dyDescent="0.25">
      <c r="P140">
        <f t="shared" si="2"/>
        <v>1900</v>
      </c>
    </row>
    <row r="141" spans="16:16" x14ac:dyDescent="0.25">
      <c r="P141">
        <f t="shared" si="2"/>
        <v>1900</v>
      </c>
    </row>
    <row r="142" spans="16:16" x14ac:dyDescent="0.25">
      <c r="P142">
        <f t="shared" si="2"/>
        <v>1900</v>
      </c>
    </row>
    <row r="143" spans="16:16" x14ac:dyDescent="0.25">
      <c r="P143">
        <f t="shared" si="2"/>
        <v>1900</v>
      </c>
    </row>
    <row r="144" spans="16:16" x14ac:dyDescent="0.25">
      <c r="P144">
        <f t="shared" si="2"/>
        <v>1900</v>
      </c>
    </row>
    <row r="145" spans="16:16" x14ac:dyDescent="0.25">
      <c r="P145">
        <f t="shared" si="2"/>
        <v>1900</v>
      </c>
    </row>
    <row r="146" spans="16:16" x14ac:dyDescent="0.25">
      <c r="P146">
        <f t="shared" si="2"/>
        <v>1900</v>
      </c>
    </row>
    <row r="147" spans="16:16" x14ac:dyDescent="0.25">
      <c r="P147">
        <f t="shared" si="2"/>
        <v>1900</v>
      </c>
    </row>
    <row r="148" spans="16:16" x14ac:dyDescent="0.25">
      <c r="P148">
        <f t="shared" si="2"/>
        <v>1900</v>
      </c>
    </row>
    <row r="149" spans="16:16" x14ac:dyDescent="0.25">
      <c r="P149">
        <f t="shared" si="2"/>
        <v>1900</v>
      </c>
    </row>
    <row r="150" spans="16:16" x14ac:dyDescent="0.25">
      <c r="P150">
        <f t="shared" si="2"/>
        <v>1900</v>
      </c>
    </row>
    <row r="151" spans="16:16" x14ac:dyDescent="0.25">
      <c r="P151">
        <f t="shared" si="2"/>
        <v>1900</v>
      </c>
    </row>
    <row r="152" spans="16:16" x14ac:dyDescent="0.25">
      <c r="P152">
        <f t="shared" si="2"/>
        <v>1900</v>
      </c>
    </row>
    <row r="153" spans="16:16" x14ac:dyDescent="0.25">
      <c r="P153">
        <f t="shared" si="2"/>
        <v>1900</v>
      </c>
    </row>
    <row r="154" spans="16:16" x14ac:dyDescent="0.25">
      <c r="P154">
        <f t="shared" si="2"/>
        <v>1900</v>
      </c>
    </row>
    <row r="155" spans="16:16" x14ac:dyDescent="0.25">
      <c r="P155">
        <f t="shared" si="2"/>
        <v>1900</v>
      </c>
    </row>
    <row r="156" spans="16:16" x14ac:dyDescent="0.25">
      <c r="P156">
        <f t="shared" si="2"/>
        <v>1900</v>
      </c>
    </row>
    <row r="157" spans="16:16" x14ac:dyDescent="0.25">
      <c r="P157">
        <f t="shared" si="2"/>
        <v>1900</v>
      </c>
    </row>
    <row r="158" spans="16:16" x14ac:dyDescent="0.25">
      <c r="P158">
        <f t="shared" si="2"/>
        <v>1900</v>
      </c>
    </row>
    <row r="159" spans="16:16" x14ac:dyDescent="0.25">
      <c r="P159">
        <f t="shared" si="2"/>
        <v>1900</v>
      </c>
    </row>
    <row r="160" spans="16:16" x14ac:dyDescent="0.25">
      <c r="P160">
        <f t="shared" si="2"/>
        <v>1900</v>
      </c>
    </row>
    <row r="161" spans="16:16" x14ac:dyDescent="0.25">
      <c r="P161">
        <f t="shared" si="2"/>
        <v>1900</v>
      </c>
    </row>
    <row r="162" spans="16:16" x14ac:dyDescent="0.25">
      <c r="P162">
        <f t="shared" si="2"/>
        <v>1900</v>
      </c>
    </row>
    <row r="163" spans="16:16" x14ac:dyDescent="0.25">
      <c r="P163">
        <f t="shared" si="2"/>
        <v>1900</v>
      </c>
    </row>
    <row r="164" spans="16:16" x14ac:dyDescent="0.25">
      <c r="P164">
        <f t="shared" si="2"/>
        <v>1900</v>
      </c>
    </row>
    <row r="165" spans="16:16" x14ac:dyDescent="0.25">
      <c r="P165">
        <f t="shared" si="2"/>
        <v>1900</v>
      </c>
    </row>
    <row r="166" spans="16:16" x14ac:dyDescent="0.25">
      <c r="P166">
        <f t="shared" si="2"/>
        <v>1900</v>
      </c>
    </row>
    <row r="167" spans="16:16" x14ac:dyDescent="0.25">
      <c r="P167">
        <f t="shared" si="2"/>
        <v>1900</v>
      </c>
    </row>
    <row r="168" spans="16:16" x14ac:dyDescent="0.25">
      <c r="P168">
        <f t="shared" si="2"/>
        <v>1900</v>
      </c>
    </row>
    <row r="169" spans="16:16" x14ac:dyDescent="0.25">
      <c r="P169">
        <f t="shared" si="2"/>
        <v>1900</v>
      </c>
    </row>
    <row r="170" spans="16:16" x14ac:dyDescent="0.25">
      <c r="P170">
        <f t="shared" si="2"/>
        <v>1900</v>
      </c>
    </row>
    <row r="171" spans="16:16" x14ac:dyDescent="0.25">
      <c r="P171">
        <f t="shared" si="2"/>
        <v>1900</v>
      </c>
    </row>
    <row r="172" spans="16:16" x14ac:dyDescent="0.25">
      <c r="P172">
        <f t="shared" si="2"/>
        <v>1900</v>
      </c>
    </row>
    <row r="173" spans="16:16" x14ac:dyDescent="0.25">
      <c r="P173">
        <f t="shared" si="2"/>
        <v>1900</v>
      </c>
    </row>
    <row r="174" spans="16:16" x14ac:dyDescent="0.25">
      <c r="P174">
        <f t="shared" si="2"/>
        <v>1900</v>
      </c>
    </row>
    <row r="175" spans="16:16" x14ac:dyDescent="0.25">
      <c r="P175">
        <f t="shared" si="2"/>
        <v>1900</v>
      </c>
    </row>
    <row r="176" spans="16:16" x14ac:dyDescent="0.25">
      <c r="P176">
        <f t="shared" si="2"/>
        <v>1900</v>
      </c>
    </row>
    <row r="177" spans="16:16" x14ac:dyDescent="0.25">
      <c r="P177">
        <f t="shared" si="2"/>
        <v>1900</v>
      </c>
    </row>
    <row r="178" spans="16:16" x14ac:dyDescent="0.25">
      <c r="P178">
        <f t="shared" si="2"/>
        <v>1900</v>
      </c>
    </row>
    <row r="179" spans="16:16" x14ac:dyDescent="0.25">
      <c r="P179">
        <f t="shared" si="2"/>
        <v>1900</v>
      </c>
    </row>
    <row r="180" spans="16:16" x14ac:dyDescent="0.25">
      <c r="P180">
        <f t="shared" si="2"/>
        <v>1900</v>
      </c>
    </row>
    <row r="181" spans="16:16" x14ac:dyDescent="0.25">
      <c r="P181">
        <f t="shared" si="2"/>
        <v>1900</v>
      </c>
    </row>
    <row r="182" spans="16:16" x14ac:dyDescent="0.25">
      <c r="P182">
        <f t="shared" si="2"/>
        <v>1900</v>
      </c>
    </row>
    <row r="183" spans="16:16" x14ac:dyDescent="0.25">
      <c r="P183">
        <f t="shared" si="2"/>
        <v>1900</v>
      </c>
    </row>
    <row r="184" spans="16:16" x14ac:dyDescent="0.25">
      <c r="P184">
        <f t="shared" si="2"/>
        <v>1900</v>
      </c>
    </row>
    <row r="185" spans="16:16" x14ac:dyDescent="0.25">
      <c r="P185">
        <f t="shared" si="2"/>
        <v>1900</v>
      </c>
    </row>
    <row r="186" spans="16:16" x14ac:dyDescent="0.25">
      <c r="P186">
        <f t="shared" si="2"/>
        <v>1900</v>
      </c>
    </row>
    <row r="187" spans="16:16" x14ac:dyDescent="0.25">
      <c r="P187">
        <f t="shared" si="2"/>
        <v>1900</v>
      </c>
    </row>
    <row r="188" spans="16:16" x14ac:dyDescent="0.25">
      <c r="P188">
        <f t="shared" si="2"/>
        <v>1900</v>
      </c>
    </row>
    <row r="189" spans="16:16" x14ac:dyDescent="0.25">
      <c r="P189">
        <f t="shared" si="2"/>
        <v>1900</v>
      </c>
    </row>
    <row r="190" spans="16:16" x14ac:dyDescent="0.25">
      <c r="P190">
        <f t="shared" si="2"/>
        <v>1900</v>
      </c>
    </row>
    <row r="191" spans="16:16" x14ac:dyDescent="0.25">
      <c r="P191">
        <f t="shared" si="2"/>
        <v>1900</v>
      </c>
    </row>
    <row r="192" spans="16:16" x14ac:dyDescent="0.25">
      <c r="P192">
        <f t="shared" si="2"/>
        <v>1900</v>
      </c>
    </row>
    <row r="193" spans="16:16" x14ac:dyDescent="0.25">
      <c r="P193">
        <f t="shared" si="2"/>
        <v>1900</v>
      </c>
    </row>
    <row r="194" spans="16:16" x14ac:dyDescent="0.25">
      <c r="P194">
        <f t="shared" ref="P194:P257" si="3">IFERROR(YEAR(D194),"")</f>
        <v>1900</v>
      </c>
    </row>
    <row r="195" spans="16:16" x14ac:dyDescent="0.25">
      <c r="P195">
        <f t="shared" si="3"/>
        <v>1900</v>
      </c>
    </row>
    <row r="196" spans="16:16" x14ac:dyDescent="0.25">
      <c r="P196">
        <f t="shared" si="3"/>
        <v>1900</v>
      </c>
    </row>
    <row r="197" spans="16:16" x14ac:dyDescent="0.25">
      <c r="P197">
        <f t="shared" si="3"/>
        <v>1900</v>
      </c>
    </row>
    <row r="198" spans="16:16" x14ac:dyDescent="0.25">
      <c r="P198">
        <f t="shared" si="3"/>
        <v>1900</v>
      </c>
    </row>
    <row r="199" spans="16:16" x14ac:dyDescent="0.25">
      <c r="P199">
        <f t="shared" si="3"/>
        <v>1900</v>
      </c>
    </row>
    <row r="200" spans="16:16" x14ac:dyDescent="0.25">
      <c r="P200">
        <f t="shared" si="3"/>
        <v>1900</v>
      </c>
    </row>
    <row r="201" spans="16:16" x14ac:dyDescent="0.25">
      <c r="P201">
        <f t="shared" si="3"/>
        <v>1900</v>
      </c>
    </row>
    <row r="202" spans="16:16" x14ac:dyDescent="0.25">
      <c r="P202">
        <f t="shared" si="3"/>
        <v>1900</v>
      </c>
    </row>
    <row r="203" spans="16:16" x14ac:dyDescent="0.25">
      <c r="P203">
        <f t="shared" si="3"/>
        <v>1900</v>
      </c>
    </row>
    <row r="204" spans="16:16" x14ac:dyDescent="0.25">
      <c r="P204">
        <f t="shared" si="3"/>
        <v>1900</v>
      </c>
    </row>
    <row r="205" spans="16:16" x14ac:dyDescent="0.25">
      <c r="P205">
        <f t="shared" si="3"/>
        <v>1900</v>
      </c>
    </row>
    <row r="206" spans="16:16" x14ac:dyDescent="0.25">
      <c r="P206">
        <f t="shared" si="3"/>
        <v>1900</v>
      </c>
    </row>
    <row r="207" spans="16:16" x14ac:dyDescent="0.25">
      <c r="P207">
        <f t="shared" si="3"/>
        <v>1900</v>
      </c>
    </row>
    <row r="208" spans="16:16" x14ac:dyDescent="0.25">
      <c r="P208">
        <f t="shared" si="3"/>
        <v>1900</v>
      </c>
    </row>
    <row r="209" spans="16:16" x14ac:dyDescent="0.25">
      <c r="P209">
        <f t="shared" si="3"/>
        <v>1900</v>
      </c>
    </row>
    <row r="210" spans="16:16" x14ac:dyDescent="0.25">
      <c r="P210">
        <f t="shared" si="3"/>
        <v>1900</v>
      </c>
    </row>
    <row r="211" spans="16:16" x14ac:dyDescent="0.25">
      <c r="P211">
        <f t="shared" si="3"/>
        <v>1900</v>
      </c>
    </row>
    <row r="212" spans="16:16" x14ac:dyDescent="0.25">
      <c r="P212">
        <f t="shared" si="3"/>
        <v>1900</v>
      </c>
    </row>
    <row r="213" spans="16:16" x14ac:dyDescent="0.25">
      <c r="P213">
        <f t="shared" si="3"/>
        <v>1900</v>
      </c>
    </row>
    <row r="214" spans="16:16" x14ac:dyDescent="0.25">
      <c r="P214">
        <f t="shared" si="3"/>
        <v>1900</v>
      </c>
    </row>
    <row r="215" spans="16:16" x14ac:dyDescent="0.25">
      <c r="P215">
        <f t="shared" si="3"/>
        <v>1900</v>
      </c>
    </row>
    <row r="216" spans="16:16" x14ac:dyDescent="0.25">
      <c r="P216">
        <f t="shared" si="3"/>
        <v>1900</v>
      </c>
    </row>
    <row r="217" spans="16:16" x14ac:dyDescent="0.25">
      <c r="P217">
        <f t="shared" si="3"/>
        <v>1900</v>
      </c>
    </row>
    <row r="218" spans="16:16" x14ac:dyDescent="0.25">
      <c r="P218">
        <f t="shared" si="3"/>
        <v>1900</v>
      </c>
    </row>
    <row r="219" spans="16:16" x14ac:dyDescent="0.25">
      <c r="P219">
        <f t="shared" si="3"/>
        <v>1900</v>
      </c>
    </row>
    <row r="220" spans="16:16" x14ac:dyDescent="0.25">
      <c r="P220">
        <f t="shared" si="3"/>
        <v>1900</v>
      </c>
    </row>
    <row r="221" spans="16:16" x14ac:dyDescent="0.25">
      <c r="P221">
        <f t="shared" si="3"/>
        <v>1900</v>
      </c>
    </row>
    <row r="222" spans="16:16" x14ac:dyDescent="0.25">
      <c r="P222">
        <f t="shared" si="3"/>
        <v>1900</v>
      </c>
    </row>
    <row r="223" spans="16:16" x14ac:dyDescent="0.25">
      <c r="P223">
        <f t="shared" si="3"/>
        <v>1900</v>
      </c>
    </row>
    <row r="224" spans="16:16" x14ac:dyDescent="0.25">
      <c r="P224">
        <f t="shared" si="3"/>
        <v>1900</v>
      </c>
    </row>
    <row r="225" spans="16:16" x14ac:dyDescent="0.25">
      <c r="P225">
        <f t="shared" si="3"/>
        <v>1900</v>
      </c>
    </row>
    <row r="226" spans="16:16" x14ac:dyDescent="0.25">
      <c r="P226">
        <f t="shared" si="3"/>
        <v>1900</v>
      </c>
    </row>
    <row r="227" spans="16:16" x14ac:dyDescent="0.25">
      <c r="P227">
        <f t="shared" si="3"/>
        <v>1900</v>
      </c>
    </row>
    <row r="228" spans="16:16" x14ac:dyDescent="0.25">
      <c r="P228">
        <f t="shared" si="3"/>
        <v>1900</v>
      </c>
    </row>
    <row r="229" spans="16:16" x14ac:dyDescent="0.25">
      <c r="P229">
        <f t="shared" si="3"/>
        <v>1900</v>
      </c>
    </row>
    <row r="230" spans="16:16" x14ac:dyDescent="0.25">
      <c r="P230">
        <f t="shared" si="3"/>
        <v>1900</v>
      </c>
    </row>
    <row r="231" spans="16:16" x14ac:dyDescent="0.25">
      <c r="P231">
        <f t="shared" si="3"/>
        <v>1900</v>
      </c>
    </row>
    <row r="232" spans="16:16" x14ac:dyDescent="0.25">
      <c r="P232">
        <f t="shared" si="3"/>
        <v>1900</v>
      </c>
    </row>
    <row r="233" spans="16:16" x14ac:dyDescent="0.25">
      <c r="P233">
        <f t="shared" si="3"/>
        <v>1900</v>
      </c>
    </row>
    <row r="234" spans="16:16" x14ac:dyDescent="0.25">
      <c r="P234">
        <f t="shared" si="3"/>
        <v>1900</v>
      </c>
    </row>
    <row r="235" spans="16:16" x14ac:dyDescent="0.25">
      <c r="P235">
        <f t="shared" si="3"/>
        <v>1900</v>
      </c>
    </row>
    <row r="236" spans="16:16" x14ac:dyDescent="0.25">
      <c r="P236">
        <f t="shared" si="3"/>
        <v>1900</v>
      </c>
    </row>
    <row r="237" spans="16:16" x14ac:dyDescent="0.25">
      <c r="P237">
        <f t="shared" si="3"/>
        <v>1900</v>
      </c>
    </row>
    <row r="238" spans="16:16" x14ac:dyDescent="0.25">
      <c r="P238">
        <f t="shared" si="3"/>
        <v>1900</v>
      </c>
    </row>
    <row r="239" spans="16:16" x14ac:dyDescent="0.25">
      <c r="P239">
        <f t="shared" si="3"/>
        <v>1900</v>
      </c>
    </row>
    <row r="240" spans="16:16" x14ac:dyDescent="0.25">
      <c r="P240">
        <f t="shared" si="3"/>
        <v>1900</v>
      </c>
    </row>
    <row r="241" spans="16:16" x14ac:dyDescent="0.25">
      <c r="P241">
        <f t="shared" si="3"/>
        <v>1900</v>
      </c>
    </row>
    <row r="242" spans="16:16" x14ac:dyDescent="0.25">
      <c r="P242">
        <f t="shared" si="3"/>
        <v>1900</v>
      </c>
    </row>
    <row r="243" spans="16:16" x14ac:dyDescent="0.25">
      <c r="P243">
        <f t="shared" si="3"/>
        <v>1900</v>
      </c>
    </row>
    <row r="244" spans="16:16" x14ac:dyDescent="0.25">
      <c r="P244">
        <f t="shared" si="3"/>
        <v>1900</v>
      </c>
    </row>
    <row r="245" spans="16:16" x14ac:dyDescent="0.25">
      <c r="P245">
        <f t="shared" si="3"/>
        <v>1900</v>
      </c>
    </row>
    <row r="246" spans="16:16" x14ac:dyDescent="0.25">
      <c r="P246">
        <f t="shared" si="3"/>
        <v>1900</v>
      </c>
    </row>
    <row r="247" spans="16:16" x14ac:dyDescent="0.25">
      <c r="P247">
        <f t="shared" si="3"/>
        <v>1900</v>
      </c>
    </row>
    <row r="248" spans="16:16" x14ac:dyDescent="0.25">
      <c r="P248">
        <f t="shared" si="3"/>
        <v>1900</v>
      </c>
    </row>
    <row r="249" spans="16:16" x14ac:dyDescent="0.25">
      <c r="P249">
        <f t="shared" si="3"/>
        <v>1900</v>
      </c>
    </row>
    <row r="250" spans="16:16" x14ac:dyDescent="0.25">
      <c r="P250">
        <f t="shared" si="3"/>
        <v>1900</v>
      </c>
    </row>
    <row r="251" spans="16:16" x14ac:dyDescent="0.25">
      <c r="P251">
        <f t="shared" si="3"/>
        <v>1900</v>
      </c>
    </row>
    <row r="252" spans="16:16" x14ac:dyDescent="0.25">
      <c r="P252">
        <f t="shared" si="3"/>
        <v>1900</v>
      </c>
    </row>
    <row r="253" spans="16:16" x14ac:dyDescent="0.25">
      <c r="P253">
        <f t="shared" si="3"/>
        <v>1900</v>
      </c>
    </row>
    <row r="254" spans="16:16" x14ac:dyDescent="0.25">
      <c r="P254">
        <f t="shared" si="3"/>
        <v>1900</v>
      </c>
    </row>
    <row r="255" spans="16:16" x14ac:dyDescent="0.25">
      <c r="P255">
        <f t="shared" si="3"/>
        <v>1900</v>
      </c>
    </row>
    <row r="256" spans="16:16" x14ac:dyDescent="0.25">
      <c r="P256">
        <f t="shared" si="3"/>
        <v>1900</v>
      </c>
    </row>
    <row r="257" spans="16:16" x14ac:dyDescent="0.25">
      <c r="P257">
        <f t="shared" si="3"/>
        <v>1900</v>
      </c>
    </row>
    <row r="258" spans="16:16" x14ac:dyDescent="0.25">
      <c r="P258">
        <f t="shared" ref="P258:P321" si="4">IFERROR(YEAR(D258),"")</f>
        <v>1900</v>
      </c>
    </row>
    <row r="259" spans="16:16" x14ac:dyDescent="0.25">
      <c r="P259">
        <f t="shared" si="4"/>
        <v>1900</v>
      </c>
    </row>
    <row r="260" spans="16:16" x14ac:dyDescent="0.25">
      <c r="P260">
        <f t="shared" si="4"/>
        <v>1900</v>
      </c>
    </row>
    <row r="261" spans="16:16" x14ac:dyDescent="0.25">
      <c r="P261">
        <f t="shared" si="4"/>
        <v>1900</v>
      </c>
    </row>
    <row r="262" spans="16:16" x14ac:dyDescent="0.25">
      <c r="P262">
        <f t="shared" si="4"/>
        <v>1900</v>
      </c>
    </row>
    <row r="263" spans="16:16" x14ac:dyDescent="0.25">
      <c r="P263">
        <f t="shared" si="4"/>
        <v>1900</v>
      </c>
    </row>
    <row r="264" spans="16:16" x14ac:dyDescent="0.25">
      <c r="P264">
        <f t="shared" si="4"/>
        <v>1900</v>
      </c>
    </row>
    <row r="265" spans="16:16" x14ac:dyDescent="0.25">
      <c r="P265">
        <f t="shared" si="4"/>
        <v>1900</v>
      </c>
    </row>
    <row r="266" spans="16:16" x14ac:dyDescent="0.25">
      <c r="P266">
        <f t="shared" si="4"/>
        <v>1900</v>
      </c>
    </row>
    <row r="267" spans="16:16" x14ac:dyDescent="0.25">
      <c r="P267">
        <f t="shared" si="4"/>
        <v>1900</v>
      </c>
    </row>
    <row r="268" spans="16:16" x14ac:dyDescent="0.25">
      <c r="P268">
        <f t="shared" si="4"/>
        <v>1900</v>
      </c>
    </row>
    <row r="269" spans="16:16" x14ac:dyDescent="0.25">
      <c r="P269">
        <f t="shared" si="4"/>
        <v>1900</v>
      </c>
    </row>
    <row r="270" spans="16:16" x14ac:dyDescent="0.25">
      <c r="P270">
        <f t="shared" si="4"/>
        <v>1900</v>
      </c>
    </row>
    <row r="271" spans="16:16" x14ac:dyDescent="0.25">
      <c r="P271">
        <f t="shared" si="4"/>
        <v>1900</v>
      </c>
    </row>
    <row r="272" spans="16:16" x14ac:dyDescent="0.25">
      <c r="P272">
        <f t="shared" si="4"/>
        <v>1900</v>
      </c>
    </row>
    <row r="273" spans="16:16" x14ac:dyDescent="0.25">
      <c r="P273">
        <f t="shared" si="4"/>
        <v>1900</v>
      </c>
    </row>
    <row r="274" spans="16:16" x14ac:dyDescent="0.25">
      <c r="P274">
        <f t="shared" si="4"/>
        <v>1900</v>
      </c>
    </row>
    <row r="275" spans="16:16" x14ac:dyDescent="0.25">
      <c r="P275">
        <f t="shared" si="4"/>
        <v>1900</v>
      </c>
    </row>
    <row r="276" spans="16:16" x14ac:dyDescent="0.25">
      <c r="P276">
        <f t="shared" si="4"/>
        <v>1900</v>
      </c>
    </row>
    <row r="277" spans="16:16" x14ac:dyDescent="0.25">
      <c r="P277">
        <f t="shared" si="4"/>
        <v>1900</v>
      </c>
    </row>
    <row r="278" spans="16:16" x14ac:dyDescent="0.25">
      <c r="P278">
        <f t="shared" si="4"/>
        <v>1900</v>
      </c>
    </row>
    <row r="279" spans="16:16" x14ac:dyDescent="0.25">
      <c r="P279">
        <f t="shared" si="4"/>
        <v>1900</v>
      </c>
    </row>
    <row r="280" spans="16:16" x14ac:dyDescent="0.25">
      <c r="P280">
        <f t="shared" si="4"/>
        <v>1900</v>
      </c>
    </row>
    <row r="281" spans="16:16" x14ac:dyDescent="0.25">
      <c r="P281">
        <f t="shared" si="4"/>
        <v>1900</v>
      </c>
    </row>
    <row r="282" spans="16:16" x14ac:dyDescent="0.25">
      <c r="P282">
        <f t="shared" si="4"/>
        <v>1900</v>
      </c>
    </row>
    <row r="283" spans="16:16" x14ac:dyDescent="0.25">
      <c r="P283">
        <f t="shared" si="4"/>
        <v>1900</v>
      </c>
    </row>
    <row r="284" spans="16:16" x14ac:dyDescent="0.25">
      <c r="P284">
        <f t="shared" si="4"/>
        <v>1900</v>
      </c>
    </row>
    <row r="285" spans="16:16" x14ac:dyDescent="0.25">
      <c r="P285">
        <f t="shared" si="4"/>
        <v>1900</v>
      </c>
    </row>
    <row r="286" spans="16:16" x14ac:dyDescent="0.25">
      <c r="P286">
        <f t="shared" si="4"/>
        <v>1900</v>
      </c>
    </row>
    <row r="287" spans="16:16" x14ac:dyDescent="0.25">
      <c r="P287">
        <f t="shared" si="4"/>
        <v>1900</v>
      </c>
    </row>
    <row r="288" spans="16:16" x14ac:dyDescent="0.25">
      <c r="P288">
        <f t="shared" si="4"/>
        <v>1900</v>
      </c>
    </row>
    <row r="289" spans="16:16" x14ac:dyDescent="0.25">
      <c r="P289">
        <f t="shared" si="4"/>
        <v>1900</v>
      </c>
    </row>
    <row r="290" spans="16:16" x14ac:dyDescent="0.25">
      <c r="P290">
        <f t="shared" si="4"/>
        <v>1900</v>
      </c>
    </row>
    <row r="291" spans="16:16" x14ac:dyDescent="0.25">
      <c r="P291">
        <f t="shared" si="4"/>
        <v>1900</v>
      </c>
    </row>
    <row r="292" spans="16:16" x14ac:dyDescent="0.25">
      <c r="P292">
        <f t="shared" si="4"/>
        <v>1900</v>
      </c>
    </row>
    <row r="293" spans="16:16" x14ac:dyDescent="0.25">
      <c r="P293">
        <f t="shared" si="4"/>
        <v>1900</v>
      </c>
    </row>
    <row r="294" spans="16:16" x14ac:dyDescent="0.25">
      <c r="P294">
        <f t="shared" si="4"/>
        <v>1900</v>
      </c>
    </row>
    <row r="295" spans="16:16" x14ac:dyDescent="0.25">
      <c r="P295">
        <f t="shared" si="4"/>
        <v>1900</v>
      </c>
    </row>
    <row r="296" spans="16:16" x14ac:dyDescent="0.25">
      <c r="P296">
        <f t="shared" si="4"/>
        <v>1900</v>
      </c>
    </row>
    <row r="297" spans="16:16" x14ac:dyDescent="0.25">
      <c r="P297">
        <f t="shared" si="4"/>
        <v>1900</v>
      </c>
    </row>
    <row r="298" spans="16:16" x14ac:dyDescent="0.25">
      <c r="P298">
        <f t="shared" si="4"/>
        <v>1900</v>
      </c>
    </row>
    <row r="299" spans="16:16" x14ac:dyDescent="0.25">
      <c r="P299">
        <f t="shared" si="4"/>
        <v>1900</v>
      </c>
    </row>
    <row r="300" spans="16:16" x14ac:dyDescent="0.25">
      <c r="P300">
        <f t="shared" si="4"/>
        <v>1900</v>
      </c>
    </row>
    <row r="301" spans="16:16" x14ac:dyDescent="0.25">
      <c r="P301">
        <f t="shared" si="4"/>
        <v>1900</v>
      </c>
    </row>
    <row r="302" spans="16:16" x14ac:dyDescent="0.25">
      <c r="P302">
        <f t="shared" si="4"/>
        <v>1900</v>
      </c>
    </row>
    <row r="303" spans="16:16" x14ac:dyDescent="0.25">
      <c r="P303">
        <f t="shared" si="4"/>
        <v>1900</v>
      </c>
    </row>
    <row r="304" spans="16:16" x14ac:dyDescent="0.25">
      <c r="P304">
        <f t="shared" si="4"/>
        <v>1900</v>
      </c>
    </row>
    <row r="305" spans="16:16" x14ac:dyDescent="0.25">
      <c r="P305">
        <f t="shared" si="4"/>
        <v>1900</v>
      </c>
    </row>
    <row r="306" spans="16:16" x14ac:dyDescent="0.25">
      <c r="P306">
        <f t="shared" si="4"/>
        <v>1900</v>
      </c>
    </row>
    <row r="307" spans="16:16" x14ac:dyDescent="0.25">
      <c r="P307">
        <f t="shared" si="4"/>
        <v>1900</v>
      </c>
    </row>
    <row r="308" spans="16:16" x14ac:dyDescent="0.25">
      <c r="P308">
        <f t="shared" si="4"/>
        <v>1900</v>
      </c>
    </row>
    <row r="309" spans="16:16" x14ac:dyDescent="0.25">
      <c r="P309">
        <f t="shared" si="4"/>
        <v>1900</v>
      </c>
    </row>
    <row r="310" spans="16:16" x14ac:dyDescent="0.25">
      <c r="P310">
        <f t="shared" si="4"/>
        <v>1900</v>
      </c>
    </row>
    <row r="311" spans="16:16" x14ac:dyDescent="0.25">
      <c r="P311">
        <f t="shared" si="4"/>
        <v>1900</v>
      </c>
    </row>
    <row r="312" spans="16:16" x14ac:dyDescent="0.25">
      <c r="P312">
        <f t="shared" si="4"/>
        <v>1900</v>
      </c>
    </row>
    <row r="313" spans="16:16" x14ac:dyDescent="0.25">
      <c r="P313">
        <f t="shared" si="4"/>
        <v>1900</v>
      </c>
    </row>
    <row r="314" spans="16:16" x14ac:dyDescent="0.25">
      <c r="P314">
        <f t="shared" si="4"/>
        <v>1900</v>
      </c>
    </row>
    <row r="315" spans="16:16" x14ac:dyDescent="0.25">
      <c r="P315">
        <f t="shared" si="4"/>
        <v>1900</v>
      </c>
    </row>
    <row r="316" spans="16:16" x14ac:dyDescent="0.25">
      <c r="P316">
        <f t="shared" si="4"/>
        <v>1900</v>
      </c>
    </row>
    <row r="317" spans="16:16" x14ac:dyDescent="0.25">
      <c r="P317">
        <f t="shared" si="4"/>
        <v>1900</v>
      </c>
    </row>
    <row r="318" spans="16:16" x14ac:dyDescent="0.25">
      <c r="P318">
        <f t="shared" si="4"/>
        <v>1900</v>
      </c>
    </row>
    <row r="319" spans="16:16" x14ac:dyDescent="0.25">
      <c r="P319">
        <f t="shared" si="4"/>
        <v>1900</v>
      </c>
    </row>
    <row r="320" spans="16:16" x14ac:dyDescent="0.25">
      <c r="P320">
        <f t="shared" si="4"/>
        <v>1900</v>
      </c>
    </row>
    <row r="321" spans="16:16" x14ac:dyDescent="0.25">
      <c r="P321">
        <f t="shared" si="4"/>
        <v>1900</v>
      </c>
    </row>
    <row r="322" spans="16:16" x14ac:dyDescent="0.25">
      <c r="P322">
        <f t="shared" ref="P322:P385" si="5">IFERROR(YEAR(D322),"")</f>
        <v>1900</v>
      </c>
    </row>
    <row r="323" spans="16:16" x14ac:dyDescent="0.25">
      <c r="P323">
        <f t="shared" si="5"/>
        <v>1900</v>
      </c>
    </row>
    <row r="324" spans="16:16" x14ac:dyDescent="0.25">
      <c r="P324">
        <f t="shared" si="5"/>
        <v>1900</v>
      </c>
    </row>
    <row r="325" spans="16:16" x14ac:dyDescent="0.25">
      <c r="P325">
        <f t="shared" si="5"/>
        <v>1900</v>
      </c>
    </row>
    <row r="326" spans="16:16" x14ac:dyDescent="0.25">
      <c r="P326">
        <f t="shared" si="5"/>
        <v>1900</v>
      </c>
    </row>
    <row r="327" spans="16:16" x14ac:dyDescent="0.25">
      <c r="P327">
        <f t="shared" si="5"/>
        <v>1900</v>
      </c>
    </row>
    <row r="328" spans="16:16" x14ac:dyDescent="0.25">
      <c r="P328">
        <f t="shared" si="5"/>
        <v>1900</v>
      </c>
    </row>
    <row r="329" spans="16:16" x14ac:dyDescent="0.25">
      <c r="P329">
        <f t="shared" si="5"/>
        <v>1900</v>
      </c>
    </row>
    <row r="330" spans="16:16" x14ac:dyDescent="0.25">
      <c r="P330">
        <f t="shared" si="5"/>
        <v>1900</v>
      </c>
    </row>
    <row r="331" spans="16:16" x14ac:dyDescent="0.25">
      <c r="P331">
        <f t="shared" si="5"/>
        <v>1900</v>
      </c>
    </row>
    <row r="332" spans="16:16" x14ac:dyDescent="0.25">
      <c r="P332">
        <f t="shared" si="5"/>
        <v>1900</v>
      </c>
    </row>
    <row r="333" spans="16:16" x14ac:dyDescent="0.25">
      <c r="P333">
        <f t="shared" si="5"/>
        <v>1900</v>
      </c>
    </row>
    <row r="334" spans="16:16" x14ac:dyDescent="0.25">
      <c r="P334">
        <f t="shared" si="5"/>
        <v>1900</v>
      </c>
    </row>
    <row r="335" spans="16:16" x14ac:dyDescent="0.25">
      <c r="P335">
        <f t="shared" si="5"/>
        <v>1900</v>
      </c>
    </row>
    <row r="336" spans="16:16" x14ac:dyDescent="0.25">
      <c r="P336">
        <f t="shared" si="5"/>
        <v>1900</v>
      </c>
    </row>
    <row r="337" spans="16:16" x14ac:dyDescent="0.25">
      <c r="P337">
        <f t="shared" si="5"/>
        <v>1900</v>
      </c>
    </row>
    <row r="338" spans="16:16" x14ac:dyDescent="0.25">
      <c r="P338">
        <f t="shared" si="5"/>
        <v>1900</v>
      </c>
    </row>
    <row r="339" spans="16:16" x14ac:dyDescent="0.25">
      <c r="P339">
        <f t="shared" si="5"/>
        <v>1900</v>
      </c>
    </row>
    <row r="340" spans="16:16" x14ac:dyDescent="0.25">
      <c r="P340">
        <f t="shared" si="5"/>
        <v>1900</v>
      </c>
    </row>
    <row r="341" spans="16:16" x14ac:dyDescent="0.25">
      <c r="P341">
        <f t="shared" si="5"/>
        <v>1900</v>
      </c>
    </row>
    <row r="342" spans="16:16" x14ac:dyDescent="0.25">
      <c r="P342">
        <f t="shared" si="5"/>
        <v>1900</v>
      </c>
    </row>
    <row r="343" spans="16:16" x14ac:dyDescent="0.25">
      <c r="P343">
        <f t="shared" si="5"/>
        <v>1900</v>
      </c>
    </row>
    <row r="344" spans="16:16" x14ac:dyDescent="0.25">
      <c r="P344">
        <f t="shared" si="5"/>
        <v>1900</v>
      </c>
    </row>
    <row r="345" spans="16:16" x14ac:dyDescent="0.25">
      <c r="P345">
        <f t="shared" si="5"/>
        <v>1900</v>
      </c>
    </row>
    <row r="346" spans="16:16" x14ac:dyDescent="0.25">
      <c r="P346">
        <f t="shared" si="5"/>
        <v>1900</v>
      </c>
    </row>
    <row r="347" spans="16:16" x14ac:dyDescent="0.25">
      <c r="P347">
        <f t="shared" si="5"/>
        <v>1900</v>
      </c>
    </row>
    <row r="348" spans="16:16" x14ac:dyDescent="0.25">
      <c r="P348">
        <f t="shared" si="5"/>
        <v>1900</v>
      </c>
    </row>
    <row r="349" spans="16:16" x14ac:dyDescent="0.25">
      <c r="P349">
        <f t="shared" si="5"/>
        <v>1900</v>
      </c>
    </row>
    <row r="350" spans="16:16" x14ac:dyDescent="0.25">
      <c r="P350">
        <f t="shared" si="5"/>
        <v>1900</v>
      </c>
    </row>
    <row r="351" spans="16:16" x14ac:dyDescent="0.25">
      <c r="P351">
        <f t="shared" si="5"/>
        <v>1900</v>
      </c>
    </row>
    <row r="352" spans="16:16" x14ac:dyDescent="0.25">
      <c r="P352">
        <f t="shared" si="5"/>
        <v>1900</v>
      </c>
    </row>
    <row r="353" spans="16:16" x14ac:dyDescent="0.25">
      <c r="P353">
        <f t="shared" si="5"/>
        <v>1900</v>
      </c>
    </row>
    <row r="354" spans="16:16" x14ac:dyDescent="0.25">
      <c r="P354">
        <f t="shared" si="5"/>
        <v>1900</v>
      </c>
    </row>
    <row r="355" spans="16:16" x14ac:dyDescent="0.25">
      <c r="P355">
        <f t="shared" si="5"/>
        <v>1900</v>
      </c>
    </row>
    <row r="356" spans="16:16" x14ac:dyDescent="0.25">
      <c r="P356">
        <f t="shared" si="5"/>
        <v>1900</v>
      </c>
    </row>
    <row r="357" spans="16:16" x14ac:dyDescent="0.25">
      <c r="P357">
        <f t="shared" si="5"/>
        <v>1900</v>
      </c>
    </row>
    <row r="358" spans="16:16" x14ac:dyDescent="0.25">
      <c r="P358">
        <f t="shared" si="5"/>
        <v>1900</v>
      </c>
    </row>
    <row r="359" spans="16:16" x14ac:dyDescent="0.25">
      <c r="P359">
        <f t="shared" si="5"/>
        <v>1900</v>
      </c>
    </row>
    <row r="360" spans="16:16" x14ac:dyDescent="0.25">
      <c r="P360">
        <f t="shared" si="5"/>
        <v>1900</v>
      </c>
    </row>
    <row r="361" spans="16:16" x14ac:dyDescent="0.25">
      <c r="P361">
        <f t="shared" si="5"/>
        <v>1900</v>
      </c>
    </row>
    <row r="362" spans="16:16" x14ac:dyDescent="0.25">
      <c r="P362">
        <f t="shared" si="5"/>
        <v>1900</v>
      </c>
    </row>
    <row r="363" spans="16:16" x14ac:dyDescent="0.25">
      <c r="P363">
        <f t="shared" si="5"/>
        <v>1900</v>
      </c>
    </row>
    <row r="364" spans="16:16" x14ac:dyDescent="0.25">
      <c r="P364">
        <f t="shared" si="5"/>
        <v>1900</v>
      </c>
    </row>
    <row r="365" spans="16:16" x14ac:dyDescent="0.25">
      <c r="P365">
        <f t="shared" si="5"/>
        <v>1900</v>
      </c>
    </row>
    <row r="366" spans="16:16" x14ac:dyDescent="0.25">
      <c r="P366">
        <f t="shared" si="5"/>
        <v>1900</v>
      </c>
    </row>
    <row r="367" spans="16:16" x14ac:dyDescent="0.25">
      <c r="P367">
        <f t="shared" si="5"/>
        <v>1900</v>
      </c>
    </row>
    <row r="368" spans="16:16" x14ac:dyDescent="0.25">
      <c r="P368">
        <f t="shared" si="5"/>
        <v>1900</v>
      </c>
    </row>
    <row r="369" spans="16:16" x14ac:dyDescent="0.25">
      <c r="P369">
        <f t="shared" si="5"/>
        <v>1900</v>
      </c>
    </row>
    <row r="370" spans="16:16" x14ac:dyDescent="0.25">
      <c r="P370">
        <f t="shared" si="5"/>
        <v>1900</v>
      </c>
    </row>
    <row r="371" spans="16:16" x14ac:dyDescent="0.25">
      <c r="P371">
        <f t="shared" si="5"/>
        <v>1900</v>
      </c>
    </row>
    <row r="372" spans="16:16" x14ac:dyDescent="0.25">
      <c r="P372">
        <f t="shared" si="5"/>
        <v>1900</v>
      </c>
    </row>
    <row r="373" spans="16:16" x14ac:dyDescent="0.25">
      <c r="P373">
        <f t="shared" si="5"/>
        <v>1900</v>
      </c>
    </row>
    <row r="374" spans="16:16" x14ac:dyDescent="0.25">
      <c r="P374">
        <f t="shared" si="5"/>
        <v>1900</v>
      </c>
    </row>
    <row r="375" spans="16:16" x14ac:dyDescent="0.25">
      <c r="P375">
        <f t="shared" si="5"/>
        <v>1900</v>
      </c>
    </row>
    <row r="376" spans="16:16" x14ac:dyDescent="0.25">
      <c r="P376">
        <f t="shared" si="5"/>
        <v>1900</v>
      </c>
    </row>
    <row r="377" spans="16:16" x14ac:dyDescent="0.25">
      <c r="P377">
        <f t="shared" si="5"/>
        <v>1900</v>
      </c>
    </row>
    <row r="378" spans="16:16" x14ac:dyDescent="0.25">
      <c r="P378">
        <f t="shared" si="5"/>
        <v>1900</v>
      </c>
    </row>
    <row r="379" spans="16:16" x14ac:dyDescent="0.25">
      <c r="P379">
        <f t="shared" si="5"/>
        <v>1900</v>
      </c>
    </row>
    <row r="380" spans="16:16" x14ac:dyDescent="0.25">
      <c r="P380">
        <f t="shared" si="5"/>
        <v>1900</v>
      </c>
    </row>
    <row r="381" spans="16:16" x14ac:dyDescent="0.25">
      <c r="P381">
        <f t="shared" si="5"/>
        <v>1900</v>
      </c>
    </row>
    <row r="382" spans="16:16" x14ac:dyDescent="0.25">
      <c r="P382">
        <f t="shared" si="5"/>
        <v>1900</v>
      </c>
    </row>
    <row r="383" spans="16:16" x14ac:dyDescent="0.25">
      <c r="P383">
        <f t="shared" si="5"/>
        <v>1900</v>
      </c>
    </row>
    <row r="384" spans="16:16" x14ac:dyDescent="0.25">
      <c r="P384">
        <f t="shared" si="5"/>
        <v>1900</v>
      </c>
    </row>
    <row r="385" spans="16:16" x14ac:dyDescent="0.25">
      <c r="P385">
        <f t="shared" si="5"/>
        <v>1900</v>
      </c>
    </row>
    <row r="386" spans="16:16" x14ac:dyDescent="0.25">
      <c r="P386">
        <f t="shared" ref="P386:P449" si="6">IFERROR(YEAR(D386),"")</f>
        <v>1900</v>
      </c>
    </row>
    <row r="387" spans="16:16" x14ac:dyDescent="0.25">
      <c r="P387">
        <f t="shared" si="6"/>
        <v>1900</v>
      </c>
    </row>
    <row r="388" spans="16:16" x14ac:dyDescent="0.25">
      <c r="P388">
        <f t="shared" si="6"/>
        <v>1900</v>
      </c>
    </row>
    <row r="389" spans="16:16" x14ac:dyDescent="0.25">
      <c r="P389">
        <f t="shared" si="6"/>
        <v>1900</v>
      </c>
    </row>
    <row r="390" spans="16:16" x14ac:dyDescent="0.25">
      <c r="P390">
        <f t="shared" si="6"/>
        <v>1900</v>
      </c>
    </row>
    <row r="391" spans="16:16" x14ac:dyDescent="0.25">
      <c r="P391">
        <f t="shared" si="6"/>
        <v>1900</v>
      </c>
    </row>
    <row r="392" spans="16:16" x14ac:dyDescent="0.25">
      <c r="P392">
        <f t="shared" si="6"/>
        <v>1900</v>
      </c>
    </row>
    <row r="393" spans="16:16" x14ac:dyDescent="0.25">
      <c r="P393">
        <f t="shared" si="6"/>
        <v>1900</v>
      </c>
    </row>
    <row r="394" spans="16:16" x14ac:dyDescent="0.25">
      <c r="P394">
        <f t="shared" si="6"/>
        <v>1900</v>
      </c>
    </row>
    <row r="395" spans="16:16" x14ac:dyDescent="0.25">
      <c r="P395">
        <f t="shared" si="6"/>
        <v>1900</v>
      </c>
    </row>
    <row r="396" spans="16:16" x14ac:dyDescent="0.25">
      <c r="P396">
        <f t="shared" si="6"/>
        <v>1900</v>
      </c>
    </row>
    <row r="397" spans="16:16" x14ac:dyDescent="0.25">
      <c r="P397">
        <f t="shared" si="6"/>
        <v>1900</v>
      </c>
    </row>
    <row r="398" spans="16:16" x14ac:dyDescent="0.25">
      <c r="P398">
        <f t="shared" si="6"/>
        <v>1900</v>
      </c>
    </row>
    <row r="399" spans="16:16" x14ac:dyDescent="0.25">
      <c r="P399">
        <f t="shared" si="6"/>
        <v>1900</v>
      </c>
    </row>
    <row r="400" spans="16:16" x14ac:dyDescent="0.25">
      <c r="P400">
        <f t="shared" si="6"/>
        <v>1900</v>
      </c>
    </row>
    <row r="401" spans="16:16" x14ac:dyDescent="0.25">
      <c r="P401">
        <f t="shared" si="6"/>
        <v>1900</v>
      </c>
    </row>
    <row r="402" spans="16:16" x14ac:dyDescent="0.25">
      <c r="P402">
        <f t="shared" si="6"/>
        <v>1900</v>
      </c>
    </row>
    <row r="403" spans="16:16" x14ac:dyDescent="0.25">
      <c r="P403">
        <f t="shared" si="6"/>
        <v>1900</v>
      </c>
    </row>
    <row r="404" spans="16:16" x14ac:dyDescent="0.25">
      <c r="P404">
        <f t="shared" si="6"/>
        <v>1900</v>
      </c>
    </row>
    <row r="405" spans="16:16" x14ac:dyDescent="0.25">
      <c r="P405">
        <f t="shared" si="6"/>
        <v>1900</v>
      </c>
    </row>
    <row r="406" spans="16:16" x14ac:dyDescent="0.25">
      <c r="P406">
        <f t="shared" si="6"/>
        <v>1900</v>
      </c>
    </row>
    <row r="407" spans="16:16" x14ac:dyDescent="0.25">
      <c r="P407">
        <f t="shared" si="6"/>
        <v>1900</v>
      </c>
    </row>
    <row r="408" spans="16:16" x14ac:dyDescent="0.25">
      <c r="P408">
        <f t="shared" si="6"/>
        <v>1900</v>
      </c>
    </row>
    <row r="409" spans="16:16" x14ac:dyDescent="0.25">
      <c r="P409">
        <f t="shared" si="6"/>
        <v>1900</v>
      </c>
    </row>
    <row r="410" spans="16:16" x14ac:dyDescent="0.25">
      <c r="P410">
        <f t="shared" si="6"/>
        <v>1900</v>
      </c>
    </row>
    <row r="411" spans="16:16" x14ac:dyDescent="0.25">
      <c r="P411">
        <f t="shared" si="6"/>
        <v>1900</v>
      </c>
    </row>
    <row r="412" spans="16:16" x14ac:dyDescent="0.25">
      <c r="P412">
        <f t="shared" si="6"/>
        <v>1900</v>
      </c>
    </row>
    <row r="413" spans="16:16" x14ac:dyDescent="0.25">
      <c r="P413">
        <f t="shared" si="6"/>
        <v>1900</v>
      </c>
    </row>
    <row r="414" spans="16:16" x14ac:dyDescent="0.25">
      <c r="P414">
        <f t="shared" si="6"/>
        <v>1900</v>
      </c>
    </row>
    <row r="415" spans="16:16" x14ac:dyDescent="0.25">
      <c r="P415">
        <f t="shared" si="6"/>
        <v>1900</v>
      </c>
    </row>
    <row r="416" spans="16:16" x14ac:dyDescent="0.25">
      <c r="P416">
        <f t="shared" si="6"/>
        <v>1900</v>
      </c>
    </row>
    <row r="417" spans="16:16" x14ac:dyDescent="0.25">
      <c r="P417">
        <f t="shared" si="6"/>
        <v>1900</v>
      </c>
    </row>
    <row r="418" spans="16:16" x14ac:dyDescent="0.25">
      <c r="P418">
        <f t="shared" si="6"/>
        <v>1900</v>
      </c>
    </row>
    <row r="419" spans="16:16" x14ac:dyDescent="0.25">
      <c r="P419">
        <f t="shared" si="6"/>
        <v>1900</v>
      </c>
    </row>
    <row r="420" spans="16:16" x14ac:dyDescent="0.25">
      <c r="P420">
        <f t="shared" si="6"/>
        <v>1900</v>
      </c>
    </row>
    <row r="421" spans="16:16" x14ac:dyDescent="0.25">
      <c r="P421">
        <f t="shared" si="6"/>
        <v>1900</v>
      </c>
    </row>
    <row r="422" spans="16:16" x14ac:dyDescent="0.25">
      <c r="P422">
        <f t="shared" si="6"/>
        <v>1900</v>
      </c>
    </row>
    <row r="423" spans="16:16" x14ac:dyDescent="0.25">
      <c r="P423">
        <f t="shared" si="6"/>
        <v>1900</v>
      </c>
    </row>
    <row r="424" spans="16:16" x14ac:dyDescent="0.25">
      <c r="P424">
        <f t="shared" si="6"/>
        <v>1900</v>
      </c>
    </row>
    <row r="425" spans="16:16" x14ac:dyDescent="0.25">
      <c r="P425">
        <f t="shared" si="6"/>
        <v>1900</v>
      </c>
    </row>
    <row r="426" spans="16:16" x14ac:dyDescent="0.25">
      <c r="P426">
        <f t="shared" si="6"/>
        <v>1900</v>
      </c>
    </row>
    <row r="427" spans="16:16" x14ac:dyDescent="0.25">
      <c r="P427">
        <f t="shared" si="6"/>
        <v>1900</v>
      </c>
    </row>
    <row r="428" spans="16:16" x14ac:dyDescent="0.25">
      <c r="P428">
        <f t="shared" si="6"/>
        <v>1900</v>
      </c>
    </row>
    <row r="429" spans="16:16" x14ac:dyDescent="0.25">
      <c r="P429">
        <f t="shared" si="6"/>
        <v>1900</v>
      </c>
    </row>
    <row r="430" spans="16:16" x14ac:dyDescent="0.25">
      <c r="P430">
        <f t="shared" si="6"/>
        <v>1900</v>
      </c>
    </row>
    <row r="431" spans="16:16" x14ac:dyDescent="0.25">
      <c r="P431">
        <f t="shared" si="6"/>
        <v>1900</v>
      </c>
    </row>
    <row r="432" spans="16:16" x14ac:dyDescent="0.25">
      <c r="P432">
        <f t="shared" si="6"/>
        <v>1900</v>
      </c>
    </row>
    <row r="433" spans="16:16" x14ac:dyDescent="0.25">
      <c r="P433">
        <f t="shared" si="6"/>
        <v>1900</v>
      </c>
    </row>
    <row r="434" spans="16:16" x14ac:dyDescent="0.25">
      <c r="P434">
        <f t="shared" si="6"/>
        <v>1900</v>
      </c>
    </row>
    <row r="435" spans="16:16" x14ac:dyDescent="0.25">
      <c r="P435">
        <f t="shared" si="6"/>
        <v>1900</v>
      </c>
    </row>
    <row r="436" spans="16:16" x14ac:dyDescent="0.25">
      <c r="P436">
        <f t="shared" si="6"/>
        <v>1900</v>
      </c>
    </row>
    <row r="437" spans="16:16" x14ac:dyDescent="0.25">
      <c r="P437">
        <f t="shared" si="6"/>
        <v>1900</v>
      </c>
    </row>
    <row r="438" spans="16:16" x14ac:dyDescent="0.25">
      <c r="P438">
        <f t="shared" si="6"/>
        <v>1900</v>
      </c>
    </row>
    <row r="439" spans="16:16" x14ac:dyDescent="0.25">
      <c r="P439">
        <f t="shared" si="6"/>
        <v>1900</v>
      </c>
    </row>
    <row r="440" spans="16:16" x14ac:dyDescent="0.25">
      <c r="P440">
        <f t="shared" si="6"/>
        <v>1900</v>
      </c>
    </row>
    <row r="441" spans="16:16" x14ac:dyDescent="0.25">
      <c r="P441">
        <f t="shared" si="6"/>
        <v>1900</v>
      </c>
    </row>
    <row r="442" spans="16:16" x14ac:dyDescent="0.25">
      <c r="P442">
        <f t="shared" si="6"/>
        <v>1900</v>
      </c>
    </row>
    <row r="443" spans="16:16" x14ac:dyDescent="0.25">
      <c r="P443">
        <f t="shared" si="6"/>
        <v>1900</v>
      </c>
    </row>
    <row r="444" spans="16:16" x14ac:dyDescent="0.25">
      <c r="P444">
        <f t="shared" si="6"/>
        <v>1900</v>
      </c>
    </row>
    <row r="445" spans="16:16" x14ac:dyDescent="0.25">
      <c r="P445">
        <f t="shared" si="6"/>
        <v>1900</v>
      </c>
    </row>
    <row r="446" spans="16:16" x14ac:dyDescent="0.25">
      <c r="P446">
        <f t="shared" si="6"/>
        <v>1900</v>
      </c>
    </row>
    <row r="447" spans="16:16" x14ac:dyDescent="0.25">
      <c r="P447">
        <f t="shared" si="6"/>
        <v>1900</v>
      </c>
    </row>
    <row r="448" spans="16:16" x14ac:dyDescent="0.25">
      <c r="P448">
        <f t="shared" si="6"/>
        <v>1900</v>
      </c>
    </row>
    <row r="449" spans="16:16" x14ac:dyDescent="0.25">
      <c r="P449">
        <f t="shared" si="6"/>
        <v>1900</v>
      </c>
    </row>
    <row r="450" spans="16:16" x14ac:dyDescent="0.25">
      <c r="P450">
        <f t="shared" ref="P450:P513" si="7">IFERROR(YEAR(D450),"")</f>
        <v>1900</v>
      </c>
    </row>
    <row r="451" spans="16:16" x14ac:dyDescent="0.25">
      <c r="P451">
        <f t="shared" si="7"/>
        <v>1900</v>
      </c>
    </row>
    <row r="452" spans="16:16" x14ac:dyDescent="0.25">
      <c r="P452">
        <f t="shared" si="7"/>
        <v>1900</v>
      </c>
    </row>
    <row r="453" spans="16:16" x14ac:dyDescent="0.25">
      <c r="P453">
        <f t="shared" si="7"/>
        <v>1900</v>
      </c>
    </row>
    <row r="454" spans="16:16" x14ac:dyDescent="0.25">
      <c r="P454">
        <f t="shared" si="7"/>
        <v>1900</v>
      </c>
    </row>
    <row r="455" spans="16:16" x14ac:dyDescent="0.25">
      <c r="P455">
        <f t="shared" si="7"/>
        <v>1900</v>
      </c>
    </row>
    <row r="456" spans="16:16" x14ac:dyDescent="0.25">
      <c r="P456">
        <f t="shared" si="7"/>
        <v>1900</v>
      </c>
    </row>
    <row r="457" spans="16:16" x14ac:dyDescent="0.25">
      <c r="P457">
        <f t="shared" si="7"/>
        <v>1900</v>
      </c>
    </row>
    <row r="458" spans="16:16" x14ac:dyDescent="0.25">
      <c r="P458">
        <f t="shared" si="7"/>
        <v>1900</v>
      </c>
    </row>
    <row r="459" spans="16:16" x14ac:dyDescent="0.25">
      <c r="P459">
        <f t="shared" si="7"/>
        <v>1900</v>
      </c>
    </row>
    <row r="460" spans="16:16" x14ac:dyDescent="0.25">
      <c r="P460">
        <f t="shared" si="7"/>
        <v>1900</v>
      </c>
    </row>
    <row r="461" spans="16:16" x14ac:dyDescent="0.25">
      <c r="P461">
        <f t="shared" si="7"/>
        <v>1900</v>
      </c>
    </row>
    <row r="462" spans="16:16" x14ac:dyDescent="0.25">
      <c r="P462">
        <f t="shared" si="7"/>
        <v>1900</v>
      </c>
    </row>
    <row r="463" spans="16:16" x14ac:dyDescent="0.25">
      <c r="P463">
        <f t="shared" si="7"/>
        <v>1900</v>
      </c>
    </row>
    <row r="464" spans="16:16" x14ac:dyDescent="0.25">
      <c r="P464">
        <f t="shared" si="7"/>
        <v>1900</v>
      </c>
    </row>
    <row r="465" spans="16:16" x14ac:dyDescent="0.25">
      <c r="P465">
        <f t="shared" si="7"/>
        <v>1900</v>
      </c>
    </row>
    <row r="466" spans="16:16" x14ac:dyDescent="0.25">
      <c r="P466">
        <f t="shared" si="7"/>
        <v>1900</v>
      </c>
    </row>
    <row r="467" spans="16:16" x14ac:dyDescent="0.25">
      <c r="P467">
        <f t="shared" si="7"/>
        <v>1900</v>
      </c>
    </row>
    <row r="468" spans="16:16" x14ac:dyDescent="0.25">
      <c r="P468">
        <f t="shared" si="7"/>
        <v>1900</v>
      </c>
    </row>
    <row r="469" spans="16:16" x14ac:dyDescent="0.25">
      <c r="P469">
        <f t="shared" si="7"/>
        <v>1900</v>
      </c>
    </row>
    <row r="470" spans="16:16" x14ac:dyDescent="0.25">
      <c r="P470">
        <f t="shared" si="7"/>
        <v>1900</v>
      </c>
    </row>
    <row r="471" spans="16:16" x14ac:dyDescent="0.25">
      <c r="P471">
        <f t="shared" si="7"/>
        <v>1900</v>
      </c>
    </row>
    <row r="472" spans="16:16" x14ac:dyDescent="0.25">
      <c r="P472">
        <f t="shared" si="7"/>
        <v>1900</v>
      </c>
    </row>
    <row r="473" spans="16:16" x14ac:dyDescent="0.25">
      <c r="P473">
        <f t="shared" si="7"/>
        <v>1900</v>
      </c>
    </row>
    <row r="474" spans="16:16" x14ac:dyDescent="0.25">
      <c r="P474">
        <f t="shared" si="7"/>
        <v>1900</v>
      </c>
    </row>
    <row r="475" spans="16:16" x14ac:dyDescent="0.25">
      <c r="P475">
        <f t="shared" si="7"/>
        <v>1900</v>
      </c>
    </row>
    <row r="476" spans="16:16" x14ac:dyDescent="0.25">
      <c r="P476">
        <f t="shared" si="7"/>
        <v>1900</v>
      </c>
    </row>
    <row r="477" spans="16:16" x14ac:dyDescent="0.25">
      <c r="P477">
        <f t="shared" si="7"/>
        <v>1900</v>
      </c>
    </row>
    <row r="478" spans="16:16" x14ac:dyDescent="0.25">
      <c r="P478">
        <f t="shared" si="7"/>
        <v>1900</v>
      </c>
    </row>
    <row r="479" spans="16:16" x14ac:dyDescent="0.25">
      <c r="P479">
        <f t="shared" si="7"/>
        <v>1900</v>
      </c>
    </row>
    <row r="480" spans="16:16" x14ac:dyDescent="0.25">
      <c r="P480">
        <f t="shared" si="7"/>
        <v>1900</v>
      </c>
    </row>
    <row r="481" spans="16:16" x14ac:dyDescent="0.25">
      <c r="P481">
        <f t="shared" si="7"/>
        <v>1900</v>
      </c>
    </row>
    <row r="482" spans="16:16" x14ac:dyDescent="0.25">
      <c r="P482">
        <f t="shared" si="7"/>
        <v>1900</v>
      </c>
    </row>
    <row r="483" spans="16:16" x14ac:dyDescent="0.25">
      <c r="P483">
        <f t="shared" si="7"/>
        <v>1900</v>
      </c>
    </row>
    <row r="484" spans="16:16" x14ac:dyDescent="0.25">
      <c r="P484">
        <f t="shared" si="7"/>
        <v>1900</v>
      </c>
    </row>
    <row r="485" spans="16:16" x14ac:dyDescent="0.25">
      <c r="P485">
        <f t="shared" si="7"/>
        <v>1900</v>
      </c>
    </row>
    <row r="486" spans="16:16" x14ac:dyDescent="0.25">
      <c r="P486">
        <f t="shared" si="7"/>
        <v>1900</v>
      </c>
    </row>
    <row r="487" spans="16:16" x14ac:dyDescent="0.25">
      <c r="P487">
        <f t="shared" si="7"/>
        <v>1900</v>
      </c>
    </row>
    <row r="488" spans="16:16" x14ac:dyDescent="0.25">
      <c r="P488">
        <f t="shared" si="7"/>
        <v>1900</v>
      </c>
    </row>
    <row r="489" spans="16:16" x14ac:dyDescent="0.25">
      <c r="P489">
        <f t="shared" si="7"/>
        <v>1900</v>
      </c>
    </row>
    <row r="490" spans="16:16" x14ac:dyDescent="0.25">
      <c r="P490">
        <f t="shared" si="7"/>
        <v>1900</v>
      </c>
    </row>
    <row r="491" spans="16:16" x14ac:dyDescent="0.25">
      <c r="P491">
        <f t="shared" si="7"/>
        <v>1900</v>
      </c>
    </row>
    <row r="492" spans="16:16" x14ac:dyDescent="0.25">
      <c r="P492">
        <f t="shared" si="7"/>
        <v>1900</v>
      </c>
    </row>
    <row r="493" spans="16:16" x14ac:dyDescent="0.25">
      <c r="P493">
        <f t="shared" si="7"/>
        <v>1900</v>
      </c>
    </row>
    <row r="494" spans="16:16" x14ac:dyDescent="0.25">
      <c r="P494">
        <f t="shared" si="7"/>
        <v>1900</v>
      </c>
    </row>
    <row r="495" spans="16:16" x14ac:dyDescent="0.25">
      <c r="P495">
        <f t="shared" si="7"/>
        <v>1900</v>
      </c>
    </row>
    <row r="496" spans="16:16" x14ac:dyDescent="0.25">
      <c r="P496">
        <f t="shared" si="7"/>
        <v>1900</v>
      </c>
    </row>
    <row r="497" spans="16:16" x14ac:dyDescent="0.25">
      <c r="P497">
        <f t="shared" si="7"/>
        <v>1900</v>
      </c>
    </row>
    <row r="498" spans="16:16" x14ac:dyDescent="0.25">
      <c r="P498">
        <f t="shared" si="7"/>
        <v>1900</v>
      </c>
    </row>
    <row r="499" spans="16:16" x14ac:dyDescent="0.25">
      <c r="P499">
        <f t="shared" si="7"/>
        <v>1900</v>
      </c>
    </row>
    <row r="500" spans="16:16" x14ac:dyDescent="0.25">
      <c r="P500">
        <f t="shared" si="7"/>
        <v>1900</v>
      </c>
    </row>
    <row r="501" spans="16:16" x14ac:dyDescent="0.25">
      <c r="P501">
        <f t="shared" si="7"/>
        <v>1900</v>
      </c>
    </row>
    <row r="502" spans="16:16" x14ac:dyDescent="0.25">
      <c r="P502">
        <f t="shared" si="7"/>
        <v>1900</v>
      </c>
    </row>
    <row r="503" spans="16:16" x14ac:dyDescent="0.25">
      <c r="P503">
        <f t="shared" si="7"/>
        <v>1900</v>
      </c>
    </row>
    <row r="504" spans="16:16" x14ac:dyDescent="0.25">
      <c r="P504">
        <f t="shared" si="7"/>
        <v>1900</v>
      </c>
    </row>
    <row r="505" spans="16:16" x14ac:dyDescent="0.25">
      <c r="P505">
        <f t="shared" si="7"/>
        <v>1900</v>
      </c>
    </row>
    <row r="506" spans="16:16" x14ac:dyDescent="0.25">
      <c r="P506">
        <f t="shared" si="7"/>
        <v>1900</v>
      </c>
    </row>
    <row r="507" spans="16:16" x14ac:dyDescent="0.25">
      <c r="P507">
        <f t="shared" si="7"/>
        <v>1900</v>
      </c>
    </row>
    <row r="508" spans="16:16" x14ac:dyDescent="0.25">
      <c r="P508">
        <f t="shared" si="7"/>
        <v>1900</v>
      </c>
    </row>
    <row r="509" spans="16:16" x14ac:dyDescent="0.25">
      <c r="P509">
        <f t="shared" si="7"/>
        <v>1900</v>
      </c>
    </row>
    <row r="510" spans="16:16" x14ac:dyDescent="0.25">
      <c r="P510">
        <f t="shared" si="7"/>
        <v>1900</v>
      </c>
    </row>
    <row r="511" spans="16:16" x14ac:dyDescent="0.25">
      <c r="P511">
        <f t="shared" si="7"/>
        <v>1900</v>
      </c>
    </row>
    <row r="512" spans="16:16" x14ac:dyDescent="0.25">
      <c r="P512">
        <f t="shared" si="7"/>
        <v>1900</v>
      </c>
    </row>
    <row r="513" spans="16:16" x14ac:dyDescent="0.25">
      <c r="P513">
        <f t="shared" si="7"/>
        <v>1900</v>
      </c>
    </row>
    <row r="514" spans="16:16" x14ac:dyDescent="0.25">
      <c r="P514">
        <f t="shared" ref="P514:P577" si="8">IFERROR(YEAR(D514),"")</f>
        <v>1900</v>
      </c>
    </row>
    <row r="515" spans="16:16" x14ac:dyDescent="0.25">
      <c r="P515">
        <f t="shared" si="8"/>
        <v>1900</v>
      </c>
    </row>
    <row r="516" spans="16:16" x14ac:dyDescent="0.25">
      <c r="P516">
        <f t="shared" si="8"/>
        <v>1900</v>
      </c>
    </row>
    <row r="517" spans="16:16" x14ac:dyDescent="0.25">
      <c r="P517">
        <f t="shared" si="8"/>
        <v>1900</v>
      </c>
    </row>
    <row r="518" spans="16:16" x14ac:dyDescent="0.25">
      <c r="P518">
        <f t="shared" si="8"/>
        <v>1900</v>
      </c>
    </row>
    <row r="519" spans="16:16" x14ac:dyDescent="0.25">
      <c r="P519">
        <f t="shared" si="8"/>
        <v>1900</v>
      </c>
    </row>
    <row r="520" spans="16:16" x14ac:dyDescent="0.25">
      <c r="P520">
        <f t="shared" si="8"/>
        <v>1900</v>
      </c>
    </row>
    <row r="521" spans="16:16" x14ac:dyDescent="0.25">
      <c r="P521">
        <f t="shared" si="8"/>
        <v>1900</v>
      </c>
    </row>
    <row r="522" spans="16:16" x14ac:dyDescent="0.25">
      <c r="P522">
        <f t="shared" si="8"/>
        <v>1900</v>
      </c>
    </row>
    <row r="523" spans="16:16" x14ac:dyDescent="0.25">
      <c r="P523">
        <f t="shared" si="8"/>
        <v>1900</v>
      </c>
    </row>
    <row r="524" spans="16:16" x14ac:dyDescent="0.25">
      <c r="P524">
        <f t="shared" si="8"/>
        <v>1900</v>
      </c>
    </row>
    <row r="525" spans="16:16" x14ac:dyDescent="0.25">
      <c r="P525">
        <f t="shared" si="8"/>
        <v>1900</v>
      </c>
    </row>
    <row r="526" spans="16:16" x14ac:dyDescent="0.25">
      <c r="P526">
        <f t="shared" si="8"/>
        <v>1900</v>
      </c>
    </row>
    <row r="527" spans="16:16" x14ac:dyDescent="0.25">
      <c r="P527">
        <f t="shared" si="8"/>
        <v>1900</v>
      </c>
    </row>
    <row r="528" spans="16:16" x14ac:dyDescent="0.25">
      <c r="P528">
        <f t="shared" si="8"/>
        <v>1900</v>
      </c>
    </row>
    <row r="529" spans="16:16" x14ac:dyDescent="0.25">
      <c r="P529">
        <f t="shared" si="8"/>
        <v>1900</v>
      </c>
    </row>
    <row r="530" spans="16:16" x14ac:dyDescent="0.25">
      <c r="P530">
        <f t="shared" si="8"/>
        <v>1900</v>
      </c>
    </row>
    <row r="531" spans="16:16" x14ac:dyDescent="0.25">
      <c r="P531">
        <f t="shared" si="8"/>
        <v>1900</v>
      </c>
    </row>
    <row r="532" spans="16:16" x14ac:dyDescent="0.25">
      <c r="P532">
        <f t="shared" si="8"/>
        <v>1900</v>
      </c>
    </row>
    <row r="533" spans="16:16" x14ac:dyDescent="0.25">
      <c r="P533">
        <f t="shared" si="8"/>
        <v>1900</v>
      </c>
    </row>
    <row r="534" spans="16:16" x14ac:dyDescent="0.25">
      <c r="P534">
        <f t="shared" si="8"/>
        <v>1900</v>
      </c>
    </row>
    <row r="535" spans="16:16" x14ac:dyDescent="0.25">
      <c r="P535">
        <f t="shared" si="8"/>
        <v>1900</v>
      </c>
    </row>
    <row r="536" spans="16:16" x14ac:dyDescent="0.25">
      <c r="P536">
        <f t="shared" si="8"/>
        <v>1900</v>
      </c>
    </row>
    <row r="537" spans="16:16" x14ac:dyDescent="0.25">
      <c r="P537">
        <f t="shared" si="8"/>
        <v>1900</v>
      </c>
    </row>
    <row r="538" spans="16:16" x14ac:dyDescent="0.25">
      <c r="P538">
        <f t="shared" si="8"/>
        <v>1900</v>
      </c>
    </row>
    <row r="539" spans="16:16" x14ac:dyDescent="0.25">
      <c r="P539">
        <f t="shared" si="8"/>
        <v>1900</v>
      </c>
    </row>
    <row r="540" spans="16:16" x14ac:dyDescent="0.25">
      <c r="P540">
        <f t="shared" si="8"/>
        <v>1900</v>
      </c>
    </row>
    <row r="541" spans="16:16" x14ac:dyDescent="0.25">
      <c r="P541">
        <f t="shared" si="8"/>
        <v>1900</v>
      </c>
    </row>
    <row r="542" spans="16:16" x14ac:dyDescent="0.25">
      <c r="P542">
        <f t="shared" si="8"/>
        <v>1900</v>
      </c>
    </row>
    <row r="543" spans="16:16" x14ac:dyDescent="0.25">
      <c r="P543">
        <f t="shared" si="8"/>
        <v>1900</v>
      </c>
    </row>
    <row r="544" spans="16:16" x14ac:dyDescent="0.25">
      <c r="P544">
        <f t="shared" si="8"/>
        <v>1900</v>
      </c>
    </row>
    <row r="545" spans="16:16" x14ac:dyDescent="0.25">
      <c r="P545">
        <f t="shared" si="8"/>
        <v>1900</v>
      </c>
    </row>
    <row r="546" spans="16:16" x14ac:dyDescent="0.25">
      <c r="P546">
        <f t="shared" si="8"/>
        <v>1900</v>
      </c>
    </row>
    <row r="547" spans="16:16" x14ac:dyDescent="0.25">
      <c r="P547">
        <f t="shared" si="8"/>
        <v>1900</v>
      </c>
    </row>
    <row r="548" spans="16:16" x14ac:dyDescent="0.25">
      <c r="P548">
        <f t="shared" si="8"/>
        <v>1900</v>
      </c>
    </row>
    <row r="549" spans="16:16" x14ac:dyDescent="0.25">
      <c r="P549">
        <f t="shared" si="8"/>
        <v>1900</v>
      </c>
    </row>
    <row r="550" spans="16:16" x14ac:dyDescent="0.25">
      <c r="P550">
        <f t="shared" si="8"/>
        <v>1900</v>
      </c>
    </row>
    <row r="551" spans="16:16" x14ac:dyDescent="0.25">
      <c r="P551">
        <f t="shared" si="8"/>
        <v>1900</v>
      </c>
    </row>
    <row r="552" spans="16:16" x14ac:dyDescent="0.25">
      <c r="P552">
        <f t="shared" si="8"/>
        <v>1900</v>
      </c>
    </row>
    <row r="553" spans="16:16" x14ac:dyDescent="0.25">
      <c r="P553">
        <f t="shared" si="8"/>
        <v>1900</v>
      </c>
    </row>
    <row r="554" spans="16:16" x14ac:dyDescent="0.25">
      <c r="P554">
        <f t="shared" si="8"/>
        <v>1900</v>
      </c>
    </row>
    <row r="555" spans="16:16" x14ac:dyDescent="0.25">
      <c r="P555">
        <f t="shared" si="8"/>
        <v>1900</v>
      </c>
    </row>
    <row r="556" spans="16:16" x14ac:dyDescent="0.25">
      <c r="P556">
        <f t="shared" si="8"/>
        <v>1900</v>
      </c>
    </row>
    <row r="557" spans="16:16" x14ac:dyDescent="0.25">
      <c r="P557">
        <f t="shared" si="8"/>
        <v>1900</v>
      </c>
    </row>
    <row r="558" spans="16:16" x14ac:dyDescent="0.25">
      <c r="P558">
        <f t="shared" si="8"/>
        <v>1900</v>
      </c>
    </row>
    <row r="559" spans="16:16" x14ac:dyDescent="0.25">
      <c r="P559">
        <f t="shared" si="8"/>
        <v>1900</v>
      </c>
    </row>
    <row r="560" spans="16:16" x14ac:dyDescent="0.25">
      <c r="P560">
        <f t="shared" si="8"/>
        <v>1900</v>
      </c>
    </row>
    <row r="561" spans="16:16" x14ac:dyDescent="0.25">
      <c r="P561">
        <f t="shared" si="8"/>
        <v>1900</v>
      </c>
    </row>
    <row r="562" spans="16:16" x14ac:dyDescent="0.25">
      <c r="P562">
        <f t="shared" si="8"/>
        <v>1900</v>
      </c>
    </row>
    <row r="563" spans="16:16" x14ac:dyDescent="0.25">
      <c r="P563">
        <f t="shared" si="8"/>
        <v>1900</v>
      </c>
    </row>
    <row r="564" spans="16:16" x14ac:dyDescent="0.25">
      <c r="P564">
        <f t="shared" si="8"/>
        <v>1900</v>
      </c>
    </row>
    <row r="565" spans="16:16" x14ac:dyDescent="0.25">
      <c r="P565">
        <f t="shared" si="8"/>
        <v>1900</v>
      </c>
    </row>
    <row r="566" spans="16:16" x14ac:dyDescent="0.25">
      <c r="P566">
        <f t="shared" si="8"/>
        <v>1900</v>
      </c>
    </row>
    <row r="567" spans="16:16" x14ac:dyDescent="0.25">
      <c r="P567">
        <f t="shared" si="8"/>
        <v>1900</v>
      </c>
    </row>
    <row r="568" spans="16:16" x14ac:dyDescent="0.25">
      <c r="P568">
        <f t="shared" si="8"/>
        <v>1900</v>
      </c>
    </row>
    <row r="569" spans="16:16" x14ac:dyDescent="0.25">
      <c r="P569">
        <f t="shared" si="8"/>
        <v>1900</v>
      </c>
    </row>
    <row r="570" spans="16:16" x14ac:dyDescent="0.25">
      <c r="P570">
        <f t="shared" si="8"/>
        <v>1900</v>
      </c>
    </row>
    <row r="571" spans="16:16" x14ac:dyDescent="0.25">
      <c r="P571">
        <f t="shared" si="8"/>
        <v>1900</v>
      </c>
    </row>
    <row r="572" spans="16:16" x14ac:dyDescent="0.25">
      <c r="P572">
        <f t="shared" si="8"/>
        <v>1900</v>
      </c>
    </row>
    <row r="573" spans="16:16" x14ac:dyDescent="0.25">
      <c r="P573">
        <f t="shared" si="8"/>
        <v>1900</v>
      </c>
    </row>
    <row r="574" spans="16:16" x14ac:dyDescent="0.25">
      <c r="P574">
        <f t="shared" si="8"/>
        <v>1900</v>
      </c>
    </row>
    <row r="575" spans="16:16" x14ac:dyDescent="0.25">
      <c r="P575">
        <f t="shared" si="8"/>
        <v>1900</v>
      </c>
    </row>
    <row r="576" spans="16:16" x14ac:dyDescent="0.25">
      <c r="P576">
        <f t="shared" si="8"/>
        <v>1900</v>
      </c>
    </row>
    <row r="577" spans="16:16" x14ac:dyDescent="0.25">
      <c r="P577">
        <f t="shared" si="8"/>
        <v>1900</v>
      </c>
    </row>
    <row r="578" spans="16:16" x14ac:dyDescent="0.25">
      <c r="P578">
        <f t="shared" ref="P578:P641" si="9">IFERROR(YEAR(D578),"")</f>
        <v>1900</v>
      </c>
    </row>
    <row r="579" spans="16:16" x14ac:dyDescent="0.25">
      <c r="P579">
        <f t="shared" si="9"/>
        <v>1900</v>
      </c>
    </row>
    <row r="580" spans="16:16" x14ac:dyDescent="0.25">
      <c r="P580">
        <f t="shared" si="9"/>
        <v>1900</v>
      </c>
    </row>
    <row r="581" spans="16:16" x14ac:dyDescent="0.25">
      <c r="P581">
        <f t="shared" si="9"/>
        <v>1900</v>
      </c>
    </row>
    <row r="582" spans="16:16" x14ac:dyDescent="0.25">
      <c r="P582">
        <f t="shared" si="9"/>
        <v>1900</v>
      </c>
    </row>
    <row r="583" spans="16:16" x14ac:dyDescent="0.25">
      <c r="P583">
        <f t="shared" si="9"/>
        <v>1900</v>
      </c>
    </row>
    <row r="584" spans="16:16" x14ac:dyDescent="0.25">
      <c r="P584">
        <f t="shared" si="9"/>
        <v>1900</v>
      </c>
    </row>
    <row r="585" spans="16:16" x14ac:dyDescent="0.25">
      <c r="P585">
        <f t="shared" si="9"/>
        <v>1900</v>
      </c>
    </row>
    <row r="586" spans="16:16" x14ac:dyDescent="0.25">
      <c r="P586">
        <f t="shared" si="9"/>
        <v>1900</v>
      </c>
    </row>
    <row r="587" spans="16:16" x14ac:dyDescent="0.25">
      <c r="P587">
        <f t="shared" si="9"/>
        <v>1900</v>
      </c>
    </row>
    <row r="588" spans="16:16" x14ac:dyDescent="0.25">
      <c r="P588">
        <f t="shared" si="9"/>
        <v>1900</v>
      </c>
    </row>
    <row r="589" spans="16:16" x14ac:dyDescent="0.25">
      <c r="P589">
        <f t="shared" si="9"/>
        <v>1900</v>
      </c>
    </row>
    <row r="590" spans="16:16" x14ac:dyDescent="0.25">
      <c r="P590">
        <f t="shared" si="9"/>
        <v>1900</v>
      </c>
    </row>
    <row r="591" spans="16:16" x14ac:dyDescent="0.25">
      <c r="P591">
        <f t="shared" si="9"/>
        <v>1900</v>
      </c>
    </row>
    <row r="592" spans="16:16" x14ac:dyDescent="0.25">
      <c r="P592">
        <f t="shared" si="9"/>
        <v>1900</v>
      </c>
    </row>
    <row r="593" spans="16:16" x14ac:dyDescent="0.25">
      <c r="P593">
        <f t="shared" si="9"/>
        <v>1900</v>
      </c>
    </row>
    <row r="594" spans="16:16" x14ac:dyDescent="0.25">
      <c r="P594">
        <f t="shared" si="9"/>
        <v>1900</v>
      </c>
    </row>
    <row r="595" spans="16:16" x14ac:dyDescent="0.25">
      <c r="P595">
        <f t="shared" si="9"/>
        <v>1900</v>
      </c>
    </row>
    <row r="596" spans="16:16" x14ac:dyDescent="0.25">
      <c r="P596">
        <f t="shared" si="9"/>
        <v>1900</v>
      </c>
    </row>
    <row r="597" spans="16:16" x14ac:dyDescent="0.25">
      <c r="P597">
        <f t="shared" si="9"/>
        <v>1900</v>
      </c>
    </row>
    <row r="598" spans="16:16" x14ac:dyDescent="0.25">
      <c r="P598">
        <f t="shared" si="9"/>
        <v>1900</v>
      </c>
    </row>
    <row r="599" spans="16:16" x14ac:dyDescent="0.25">
      <c r="P599">
        <f t="shared" si="9"/>
        <v>1900</v>
      </c>
    </row>
    <row r="600" spans="16:16" x14ac:dyDescent="0.25">
      <c r="P600">
        <f t="shared" si="9"/>
        <v>1900</v>
      </c>
    </row>
    <row r="601" spans="16:16" x14ac:dyDescent="0.25">
      <c r="P601">
        <f t="shared" si="9"/>
        <v>1900</v>
      </c>
    </row>
    <row r="602" spans="16:16" x14ac:dyDescent="0.25">
      <c r="P602">
        <f t="shared" si="9"/>
        <v>1900</v>
      </c>
    </row>
    <row r="603" spans="16:16" x14ac:dyDescent="0.25">
      <c r="P603">
        <f t="shared" si="9"/>
        <v>1900</v>
      </c>
    </row>
    <row r="604" spans="16:16" x14ac:dyDescent="0.25">
      <c r="P604">
        <f t="shared" si="9"/>
        <v>1900</v>
      </c>
    </row>
    <row r="605" spans="16:16" x14ac:dyDescent="0.25">
      <c r="P605">
        <f t="shared" si="9"/>
        <v>1900</v>
      </c>
    </row>
    <row r="606" spans="16:16" x14ac:dyDescent="0.25">
      <c r="P606">
        <f t="shared" si="9"/>
        <v>1900</v>
      </c>
    </row>
    <row r="607" spans="16:16" x14ac:dyDescent="0.25">
      <c r="P607">
        <f t="shared" si="9"/>
        <v>1900</v>
      </c>
    </row>
    <row r="608" spans="16:16" x14ac:dyDescent="0.25">
      <c r="P608">
        <f t="shared" si="9"/>
        <v>1900</v>
      </c>
    </row>
    <row r="609" spans="16:16" x14ac:dyDescent="0.25">
      <c r="P609">
        <f t="shared" si="9"/>
        <v>1900</v>
      </c>
    </row>
    <row r="610" spans="16:16" x14ac:dyDescent="0.25">
      <c r="P610">
        <f t="shared" si="9"/>
        <v>1900</v>
      </c>
    </row>
    <row r="611" spans="16:16" x14ac:dyDescent="0.25">
      <c r="P611">
        <f t="shared" si="9"/>
        <v>1900</v>
      </c>
    </row>
    <row r="612" spans="16:16" x14ac:dyDescent="0.25">
      <c r="P612">
        <f t="shared" si="9"/>
        <v>1900</v>
      </c>
    </row>
    <row r="613" spans="16:16" x14ac:dyDescent="0.25">
      <c r="P613">
        <f t="shared" si="9"/>
        <v>1900</v>
      </c>
    </row>
    <row r="614" spans="16:16" x14ac:dyDescent="0.25">
      <c r="P614">
        <f t="shared" si="9"/>
        <v>1900</v>
      </c>
    </row>
    <row r="615" spans="16:16" x14ac:dyDescent="0.25">
      <c r="P615">
        <f t="shared" si="9"/>
        <v>1900</v>
      </c>
    </row>
    <row r="616" spans="16:16" x14ac:dyDescent="0.25">
      <c r="P616">
        <f t="shared" si="9"/>
        <v>1900</v>
      </c>
    </row>
    <row r="617" spans="16:16" x14ac:dyDescent="0.25">
      <c r="P617">
        <f t="shared" si="9"/>
        <v>1900</v>
      </c>
    </row>
    <row r="618" spans="16:16" x14ac:dyDescent="0.25">
      <c r="P618">
        <f t="shared" si="9"/>
        <v>1900</v>
      </c>
    </row>
    <row r="619" spans="16:16" x14ac:dyDescent="0.25">
      <c r="P619">
        <f t="shared" si="9"/>
        <v>1900</v>
      </c>
    </row>
    <row r="620" spans="16:16" x14ac:dyDescent="0.25">
      <c r="P620">
        <f t="shared" si="9"/>
        <v>1900</v>
      </c>
    </row>
    <row r="621" spans="16:16" x14ac:dyDescent="0.25">
      <c r="P621">
        <f t="shared" si="9"/>
        <v>1900</v>
      </c>
    </row>
    <row r="622" spans="16:16" x14ac:dyDescent="0.25">
      <c r="P622">
        <f t="shared" si="9"/>
        <v>1900</v>
      </c>
    </row>
    <row r="623" spans="16:16" x14ac:dyDescent="0.25">
      <c r="P623">
        <f t="shared" si="9"/>
        <v>1900</v>
      </c>
    </row>
    <row r="624" spans="16:16" x14ac:dyDescent="0.25">
      <c r="P624">
        <f t="shared" si="9"/>
        <v>1900</v>
      </c>
    </row>
    <row r="625" spans="16:16" x14ac:dyDescent="0.25">
      <c r="P625">
        <f t="shared" si="9"/>
        <v>1900</v>
      </c>
    </row>
    <row r="626" spans="16:16" x14ac:dyDescent="0.25">
      <c r="P626">
        <f t="shared" si="9"/>
        <v>1900</v>
      </c>
    </row>
    <row r="627" spans="16:16" x14ac:dyDescent="0.25">
      <c r="P627">
        <f t="shared" si="9"/>
        <v>1900</v>
      </c>
    </row>
    <row r="628" spans="16:16" x14ac:dyDescent="0.25">
      <c r="P628">
        <f t="shared" si="9"/>
        <v>1900</v>
      </c>
    </row>
    <row r="629" spans="16:16" x14ac:dyDescent="0.25">
      <c r="P629">
        <f t="shared" si="9"/>
        <v>1900</v>
      </c>
    </row>
    <row r="630" spans="16:16" x14ac:dyDescent="0.25">
      <c r="P630">
        <f t="shared" si="9"/>
        <v>1900</v>
      </c>
    </row>
    <row r="631" spans="16:16" x14ac:dyDescent="0.25">
      <c r="P631">
        <f t="shared" si="9"/>
        <v>1900</v>
      </c>
    </row>
    <row r="632" spans="16:16" x14ac:dyDescent="0.25">
      <c r="P632">
        <f t="shared" si="9"/>
        <v>1900</v>
      </c>
    </row>
    <row r="633" spans="16:16" x14ac:dyDescent="0.25">
      <c r="P633">
        <f t="shared" si="9"/>
        <v>1900</v>
      </c>
    </row>
    <row r="634" spans="16:16" x14ac:dyDescent="0.25">
      <c r="P634">
        <f t="shared" si="9"/>
        <v>1900</v>
      </c>
    </row>
    <row r="635" spans="16:16" x14ac:dyDescent="0.25">
      <c r="P635">
        <f t="shared" si="9"/>
        <v>1900</v>
      </c>
    </row>
    <row r="636" spans="16:16" x14ac:dyDescent="0.25">
      <c r="P636">
        <f t="shared" si="9"/>
        <v>1900</v>
      </c>
    </row>
    <row r="637" spans="16:16" x14ac:dyDescent="0.25">
      <c r="P637">
        <f t="shared" si="9"/>
        <v>1900</v>
      </c>
    </row>
    <row r="638" spans="16:16" x14ac:dyDescent="0.25">
      <c r="P638">
        <f t="shared" si="9"/>
        <v>1900</v>
      </c>
    </row>
    <row r="639" spans="16:16" x14ac:dyDescent="0.25">
      <c r="P639">
        <f t="shared" si="9"/>
        <v>1900</v>
      </c>
    </row>
    <row r="640" spans="16:16" x14ac:dyDescent="0.25">
      <c r="P640">
        <f t="shared" si="9"/>
        <v>1900</v>
      </c>
    </row>
    <row r="641" spans="16:16" x14ac:dyDescent="0.25">
      <c r="P641">
        <f t="shared" si="9"/>
        <v>1900</v>
      </c>
    </row>
    <row r="642" spans="16:16" x14ac:dyDescent="0.25">
      <c r="P642">
        <f t="shared" ref="P642:P705" si="10">IFERROR(YEAR(D642),"")</f>
        <v>1900</v>
      </c>
    </row>
    <row r="643" spans="16:16" x14ac:dyDescent="0.25">
      <c r="P643">
        <f t="shared" si="10"/>
        <v>1900</v>
      </c>
    </row>
    <row r="644" spans="16:16" x14ac:dyDescent="0.25">
      <c r="P644">
        <f t="shared" si="10"/>
        <v>1900</v>
      </c>
    </row>
    <row r="645" spans="16:16" x14ac:dyDescent="0.25">
      <c r="P645">
        <f t="shared" si="10"/>
        <v>1900</v>
      </c>
    </row>
    <row r="646" spans="16:16" x14ac:dyDescent="0.25">
      <c r="P646">
        <f t="shared" si="10"/>
        <v>1900</v>
      </c>
    </row>
    <row r="647" spans="16:16" x14ac:dyDescent="0.25">
      <c r="P647">
        <f t="shared" si="10"/>
        <v>1900</v>
      </c>
    </row>
    <row r="648" spans="16:16" x14ac:dyDescent="0.25">
      <c r="P648">
        <f t="shared" si="10"/>
        <v>1900</v>
      </c>
    </row>
    <row r="649" spans="16:16" x14ac:dyDescent="0.25">
      <c r="P649">
        <f t="shared" si="10"/>
        <v>1900</v>
      </c>
    </row>
    <row r="650" spans="16:16" x14ac:dyDescent="0.25">
      <c r="P650">
        <f t="shared" si="10"/>
        <v>1900</v>
      </c>
    </row>
    <row r="651" spans="16:16" x14ac:dyDescent="0.25">
      <c r="P651">
        <f t="shared" si="10"/>
        <v>1900</v>
      </c>
    </row>
    <row r="652" spans="16:16" x14ac:dyDescent="0.25">
      <c r="P652">
        <f t="shared" si="10"/>
        <v>1900</v>
      </c>
    </row>
    <row r="653" spans="16:16" x14ac:dyDescent="0.25">
      <c r="P653">
        <f t="shared" si="10"/>
        <v>1900</v>
      </c>
    </row>
    <row r="654" spans="16:16" x14ac:dyDescent="0.25">
      <c r="P654">
        <f t="shared" si="10"/>
        <v>1900</v>
      </c>
    </row>
    <row r="655" spans="16:16" x14ac:dyDescent="0.25">
      <c r="P655">
        <f t="shared" si="10"/>
        <v>1900</v>
      </c>
    </row>
    <row r="656" spans="16:16" x14ac:dyDescent="0.25">
      <c r="P656">
        <f t="shared" si="10"/>
        <v>1900</v>
      </c>
    </row>
    <row r="657" spans="16:16" x14ac:dyDescent="0.25">
      <c r="P657">
        <f t="shared" si="10"/>
        <v>1900</v>
      </c>
    </row>
    <row r="658" spans="16:16" x14ac:dyDescent="0.25">
      <c r="P658">
        <f t="shared" si="10"/>
        <v>1900</v>
      </c>
    </row>
    <row r="659" spans="16:16" x14ac:dyDescent="0.25">
      <c r="P659">
        <f t="shared" si="10"/>
        <v>1900</v>
      </c>
    </row>
    <row r="660" spans="16:16" x14ac:dyDescent="0.25">
      <c r="P660">
        <f t="shared" si="10"/>
        <v>1900</v>
      </c>
    </row>
    <row r="661" spans="16:16" x14ac:dyDescent="0.25">
      <c r="P661">
        <f t="shared" si="10"/>
        <v>1900</v>
      </c>
    </row>
    <row r="662" spans="16:16" x14ac:dyDescent="0.25">
      <c r="P662">
        <f t="shared" si="10"/>
        <v>1900</v>
      </c>
    </row>
    <row r="663" spans="16:16" x14ac:dyDescent="0.25">
      <c r="P663">
        <f t="shared" si="10"/>
        <v>1900</v>
      </c>
    </row>
    <row r="664" spans="16:16" x14ac:dyDescent="0.25">
      <c r="P664">
        <f t="shared" si="10"/>
        <v>1900</v>
      </c>
    </row>
    <row r="665" spans="16:16" x14ac:dyDescent="0.25">
      <c r="P665">
        <f t="shared" si="10"/>
        <v>1900</v>
      </c>
    </row>
    <row r="666" spans="16:16" x14ac:dyDescent="0.25">
      <c r="P666">
        <f t="shared" si="10"/>
        <v>1900</v>
      </c>
    </row>
    <row r="667" spans="16:16" x14ac:dyDescent="0.25">
      <c r="P667">
        <f t="shared" si="10"/>
        <v>1900</v>
      </c>
    </row>
    <row r="668" spans="16:16" x14ac:dyDescent="0.25">
      <c r="P668">
        <f t="shared" si="10"/>
        <v>1900</v>
      </c>
    </row>
    <row r="669" spans="16:16" x14ac:dyDescent="0.25">
      <c r="P669">
        <f t="shared" si="10"/>
        <v>1900</v>
      </c>
    </row>
    <row r="670" spans="16:16" x14ac:dyDescent="0.25">
      <c r="P670">
        <f t="shared" si="10"/>
        <v>1900</v>
      </c>
    </row>
    <row r="671" spans="16:16" x14ac:dyDescent="0.25">
      <c r="P671">
        <f t="shared" si="10"/>
        <v>1900</v>
      </c>
    </row>
    <row r="672" spans="16:16" x14ac:dyDescent="0.25">
      <c r="P672">
        <f t="shared" si="10"/>
        <v>1900</v>
      </c>
    </row>
    <row r="673" spans="16:16" x14ac:dyDescent="0.25">
      <c r="P673">
        <f t="shared" si="10"/>
        <v>1900</v>
      </c>
    </row>
    <row r="674" spans="16:16" x14ac:dyDescent="0.25">
      <c r="P674">
        <f t="shared" si="10"/>
        <v>1900</v>
      </c>
    </row>
    <row r="675" spans="16:16" x14ac:dyDescent="0.25">
      <c r="P675">
        <f t="shared" si="10"/>
        <v>1900</v>
      </c>
    </row>
    <row r="676" spans="16:16" x14ac:dyDescent="0.25">
      <c r="P676">
        <f t="shared" si="10"/>
        <v>1900</v>
      </c>
    </row>
    <row r="677" spans="16:16" x14ac:dyDescent="0.25">
      <c r="P677">
        <f t="shared" si="10"/>
        <v>1900</v>
      </c>
    </row>
    <row r="678" spans="16:16" x14ac:dyDescent="0.25">
      <c r="P678">
        <f t="shared" si="10"/>
        <v>1900</v>
      </c>
    </row>
    <row r="679" spans="16:16" x14ac:dyDescent="0.25">
      <c r="P679">
        <f t="shared" si="10"/>
        <v>1900</v>
      </c>
    </row>
    <row r="680" spans="16:16" x14ac:dyDescent="0.25">
      <c r="P680">
        <f t="shared" si="10"/>
        <v>1900</v>
      </c>
    </row>
    <row r="681" spans="16:16" x14ac:dyDescent="0.25">
      <c r="P681">
        <f t="shared" si="10"/>
        <v>1900</v>
      </c>
    </row>
    <row r="682" spans="16:16" x14ac:dyDescent="0.25">
      <c r="P682">
        <f t="shared" si="10"/>
        <v>1900</v>
      </c>
    </row>
    <row r="683" spans="16:16" x14ac:dyDescent="0.25">
      <c r="P683">
        <f t="shared" si="10"/>
        <v>1900</v>
      </c>
    </row>
    <row r="684" spans="16:16" x14ac:dyDescent="0.25">
      <c r="P684">
        <f t="shared" si="10"/>
        <v>1900</v>
      </c>
    </row>
    <row r="685" spans="16:16" x14ac:dyDescent="0.25">
      <c r="P685">
        <f t="shared" si="10"/>
        <v>1900</v>
      </c>
    </row>
    <row r="686" spans="16:16" x14ac:dyDescent="0.25">
      <c r="P686">
        <f t="shared" si="10"/>
        <v>1900</v>
      </c>
    </row>
    <row r="687" spans="16:16" x14ac:dyDescent="0.25">
      <c r="P687">
        <f t="shared" si="10"/>
        <v>1900</v>
      </c>
    </row>
    <row r="688" spans="16:16" x14ac:dyDescent="0.25">
      <c r="P688">
        <f t="shared" si="10"/>
        <v>1900</v>
      </c>
    </row>
    <row r="689" spans="16:16" x14ac:dyDescent="0.25">
      <c r="P689">
        <f t="shared" si="10"/>
        <v>1900</v>
      </c>
    </row>
    <row r="690" spans="16:16" x14ac:dyDescent="0.25">
      <c r="P690">
        <f t="shared" si="10"/>
        <v>1900</v>
      </c>
    </row>
    <row r="691" spans="16:16" x14ac:dyDescent="0.25">
      <c r="P691">
        <f t="shared" si="10"/>
        <v>1900</v>
      </c>
    </row>
    <row r="692" spans="16:16" x14ac:dyDescent="0.25">
      <c r="P692">
        <f t="shared" si="10"/>
        <v>1900</v>
      </c>
    </row>
    <row r="693" spans="16:16" x14ac:dyDescent="0.25">
      <c r="P693">
        <f t="shared" si="10"/>
        <v>1900</v>
      </c>
    </row>
    <row r="694" spans="16:16" x14ac:dyDescent="0.25">
      <c r="P694">
        <f t="shared" si="10"/>
        <v>1900</v>
      </c>
    </row>
    <row r="695" spans="16:16" x14ac:dyDescent="0.25">
      <c r="P695">
        <f t="shared" si="10"/>
        <v>1900</v>
      </c>
    </row>
    <row r="696" spans="16:16" x14ac:dyDescent="0.25">
      <c r="P696">
        <f t="shared" si="10"/>
        <v>1900</v>
      </c>
    </row>
    <row r="697" spans="16:16" x14ac:dyDescent="0.25">
      <c r="P697">
        <f t="shared" si="10"/>
        <v>1900</v>
      </c>
    </row>
    <row r="698" spans="16:16" x14ac:dyDescent="0.25">
      <c r="P698">
        <f t="shared" si="10"/>
        <v>1900</v>
      </c>
    </row>
    <row r="699" spans="16:16" x14ac:dyDescent="0.25">
      <c r="P699">
        <f t="shared" si="10"/>
        <v>1900</v>
      </c>
    </row>
    <row r="700" spans="16:16" x14ac:dyDescent="0.25">
      <c r="P700">
        <f t="shared" si="10"/>
        <v>1900</v>
      </c>
    </row>
    <row r="701" spans="16:16" x14ac:dyDescent="0.25">
      <c r="P701">
        <f t="shared" si="10"/>
        <v>1900</v>
      </c>
    </row>
    <row r="702" spans="16:16" x14ac:dyDescent="0.25">
      <c r="P702">
        <f t="shared" si="10"/>
        <v>1900</v>
      </c>
    </row>
    <row r="703" spans="16:16" x14ac:dyDescent="0.25">
      <c r="P703">
        <f t="shared" si="10"/>
        <v>1900</v>
      </c>
    </row>
    <row r="704" spans="16:16" x14ac:dyDescent="0.25">
      <c r="P704">
        <f t="shared" si="10"/>
        <v>1900</v>
      </c>
    </row>
    <row r="705" spans="16:16" x14ac:dyDescent="0.25">
      <c r="P705">
        <f t="shared" si="10"/>
        <v>1900</v>
      </c>
    </row>
    <row r="706" spans="16:16" x14ac:dyDescent="0.25">
      <c r="P706">
        <f t="shared" ref="P706:P769" si="11">IFERROR(YEAR(D706),"")</f>
        <v>1900</v>
      </c>
    </row>
    <row r="707" spans="16:16" x14ac:dyDescent="0.25">
      <c r="P707">
        <f t="shared" si="11"/>
        <v>1900</v>
      </c>
    </row>
    <row r="708" spans="16:16" x14ac:dyDescent="0.25">
      <c r="P708">
        <f t="shared" si="11"/>
        <v>1900</v>
      </c>
    </row>
    <row r="709" spans="16:16" x14ac:dyDescent="0.25">
      <c r="P709">
        <f t="shared" si="11"/>
        <v>1900</v>
      </c>
    </row>
    <row r="710" spans="16:16" x14ac:dyDescent="0.25">
      <c r="P710">
        <f t="shared" si="11"/>
        <v>1900</v>
      </c>
    </row>
    <row r="711" spans="16:16" x14ac:dyDescent="0.25">
      <c r="P711">
        <f t="shared" si="11"/>
        <v>1900</v>
      </c>
    </row>
    <row r="712" spans="16:16" x14ac:dyDescent="0.25">
      <c r="P712">
        <f t="shared" si="11"/>
        <v>1900</v>
      </c>
    </row>
    <row r="713" spans="16:16" x14ac:dyDescent="0.25">
      <c r="P713">
        <f t="shared" si="11"/>
        <v>1900</v>
      </c>
    </row>
    <row r="714" spans="16:16" x14ac:dyDescent="0.25">
      <c r="P714">
        <f t="shared" si="11"/>
        <v>1900</v>
      </c>
    </row>
    <row r="715" spans="16:16" x14ac:dyDescent="0.25">
      <c r="P715">
        <f t="shared" si="11"/>
        <v>1900</v>
      </c>
    </row>
    <row r="716" spans="16:16" x14ac:dyDescent="0.25">
      <c r="P716">
        <f t="shared" si="11"/>
        <v>1900</v>
      </c>
    </row>
    <row r="717" spans="16:16" x14ac:dyDescent="0.25">
      <c r="P717">
        <f t="shared" si="11"/>
        <v>1900</v>
      </c>
    </row>
    <row r="718" spans="16:16" x14ac:dyDescent="0.25">
      <c r="P718">
        <f t="shared" si="11"/>
        <v>1900</v>
      </c>
    </row>
    <row r="719" spans="16:16" x14ac:dyDescent="0.25">
      <c r="P719">
        <f t="shared" si="11"/>
        <v>1900</v>
      </c>
    </row>
    <row r="720" spans="16:16" x14ac:dyDescent="0.25">
      <c r="P720">
        <f t="shared" si="11"/>
        <v>1900</v>
      </c>
    </row>
    <row r="721" spans="16:16" x14ac:dyDescent="0.25">
      <c r="P721">
        <f t="shared" si="11"/>
        <v>1900</v>
      </c>
    </row>
    <row r="722" spans="16:16" x14ac:dyDescent="0.25">
      <c r="P722">
        <f t="shared" si="11"/>
        <v>1900</v>
      </c>
    </row>
    <row r="723" spans="16:16" x14ac:dyDescent="0.25">
      <c r="P723">
        <f t="shared" si="11"/>
        <v>1900</v>
      </c>
    </row>
    <row r="724" spans="16:16" x14ac:dyDescent="0.25">
      <c r="P724">
        <f t="shared" si="11"/>
        <v>1900</v>
      </c>
    </row>
    <row r="725" spans="16:16" x14ac:dyDescent="0.25">
      <c r="P725">
        <f t="shared" si="11"/>
        <v>1900</v>
      </c>
    </row>
    <row r="726" spans="16:16" x14ac:dyDescent="0.25">
      <c r="P726">
        <f t="shared" si="11"/>
        <v>1900</v>
      </c>
    </row>
    <row r="727" spans="16:16" x14ac:dyDescent="0.25">
      <c r="P727">
        <f t="shared" si="11"/>
        <v>1900</v>
      </c>
    </row>
    <row r="728" spans="16:16" x14ac:dyDescent="0.25">
      <c r="P728">
        <f t="shared" si="11"/>
        <v>1900</v>
      </c>
    </row>
    <row r="729" spans="16:16" x14ac:dyDescent="0.25">
      <c r="P729">
        <f t="shared" si="11"/>
        <v>1900</v>
      </c>
    </row>
    <row r="730" spans="16:16" x14ac:dyDescent="0.25">
      <c r="P730">
        <f t="shared" si="11"/>
        <v>1900</v>
      </c>
    </row>
    <row r="731" spans="16:16" x14ac:dyDescent="0.25">
      <c r="P731">
        <f t="shared" si="11"/>
        <v>1900</v>
      </c>
    </row>
    <row r="732" spans="16:16" x14ac:dyDescent="0.25">
      <c r="P732">
        <f t="shared" si="11"/>
        <v>1900</v>
      </c>
    </row>
    <row r="733" spans="16:16" x14ac:dyDescent="0.25">
      <c r="P733">
        <f t="shared" si="11"/>
        <v>1900</v>
      </c>
    </row>
    <row r="734" spans="16:16" x14ac:dyDescent="0.25">
      <c r="P734">
        <f t="shared" si="11"/>
        <v>1900</v>
      </c>
    </row>
    <row r="735" spans="16:16" x14ac:dyDescent="0.25">
      <c r="P735">
        <f t="shared" si="11"/>
        <v>1900</v>
      </c>
    </row>
    <row r="736" spans="16:16" x14ac:dyDescent="0.25">
      <c r="P736">
        <f t="shared" si="11"/>
        <v>1900</v>
      </c>
    </row>
    <row r="737" spans="16:16" x14ac:dyDescent="0.25">
      <c r="P737">
        <f t="shared" si="11"/>
        <v>1900</v>
      </c>
    </row>
    <row r="738" spans="16:16" x14ac:dyDescent="0.25">
      <c r="P738">
        <f t="shared" si="11"/>
        <v>1900</v>
      </c>
    </row>
    <row r="739" spans="16:16" x14ac:dyDescent="0.25">
      <c r="P739">
        <f t="shared" si="11"/>
        <v>1900</v>
      </c>
    </row>
    <row r="740" spans="16:16" x14ac:dyDescent="0.25">
      <c r="P740">
        <f t="shared" si="11"/>
        <v>1900</v>
      </c>
    </row>
    <row r="741" spans="16:16" x14ac:dyDescent="0.25">
      <c r="P741">
        <f t="shared" si="11"/>
        <v>1900</v>
      </c>
    </row>
    <row r="742" spans="16:16" x14ac:dyDescent="0.25">
      <c r="P742">
        <f t="shared" si="11"/>
        <v>1900</v>
      </c>
    </row>
    <row r="743" spans="16:16" x14ac:dyDescent="0.25">
      <c r="P743">
        <f t="shared" si="11"/>
        <v>1900</v>
      </c>
    </row>
    <row r="744" spans="16:16" x14ac:dyDescent="0.25">
      <c r="P744">
        <f t="shared" si="11"/>
        <v>1900</v>
      </c>
    </row>
    <row r="745" spans="16:16" x14ac:dyDescent="0.25">
      <c r="P745">
        <f t="shared" si="11"/>
        <v>1900</v>
      </c>
    </row>
    <row r="746" spans="16:16" x14ac:dyDescent="0.25">
      <c r="P746">
        <f t="shared" si="11"/>
        <v>1900</v>
      </c>
    </row>
    <row r="747" spans="16:16" x14ac:dyDescent="0.25">
      <c r="P747">
        <f t="shared" si="11"/>
        <v>1900</v>
      </c>
    </row>
    <row r="748" spans="16:16" x14ac:dyDescent="0.25">
      <c r="P748">
        <f t="shared" si="11"/>
        <v>1900</v>
      </c>
    </row>
    <row r="749" spans="16:16" x14ac:dyDescent="0.25">
      <c r="P749">
        <f t="shared" si="11"/>
        <v>1900</v>
      </c>
    </row>
    <row r="750" spans="16:16" x14ac:dyDescent="0.25">
      <c r="P750">
        <f t="shared" si="11"/>
        <v>1900</v>
      </c>
    </row>
    <row r="751" spans="16:16" x14ac:dyDescent="0.25">
      <c r="P751">
        <f t="shared" si="11"/>
        <v>1900</v>
      </c>
    </row>
    <row r="752" spans="16:16" x14ac:dyDescent="0.25">
      <c r="P752">
        <f t="shared" si="11"/>
        <v>1900</v>
      </c>
    </row>
    <row r="753" spans="16:16" x14ac:dyDescent="0.25">
      <c r="P753">
        <f t="shared" si="11"/>
        <v>1900</v>
      </c>
    </row>
    <row r="754" spans="16:16" x14ac:dyDescent="0.25">
      <c r="P754">
        <f t="shared" si="11"/>
        <v>1900</v>
      </c>
    </row>
    <row r="755" spans="16:16" x14ac:dyDescent="0.25">
      <c r="P755">
        <f t="shared" si="11"/>
        <v>1900</v>
      </c>
    </row>
    <row r="756" spans="16:16" x14ac:dyDescent="0.25">
      <c r="P756">
        <f t="shared" si="11"/>
        <v>1900</v>
      </c>
    </row>
    <row r="757" spans="16:16" x14ac:dyDescent="0.25">
      <c r="P757">
        <f t="shared" si="11"/>
        <v>1900</v>
      </c>
    </row>
    <row r="758" spans="16:16" x14ac:dyDescent="0.25">
      <c r="P758">
        <f t="shared" si="11"/>
        <v>1900</v>
      </c>
    </row>
    <row r="759" spans="16:16" x14ac:dyDescent="0.25">
      <c r="P759">
        <f t="shared" si="11"/>
        <v>1900</v>
      </c>
    </row>
    <row r="760" spans="16:16" x14ac:dyDescent="0.25">
      <c r="P760">
        <f t="shared" si="11"/>
        <v>1900</v>
      </c>
    </row>
    <row r="761" spans="16:16" x14ac:dyDescent="0.25">
      <c r="P761">
        <f t="shared" si="11"/>
        <v>1900</v>
      </c>
    </row>
    <row r="762" spans="16:16" x14ac:dyDescent="0.25">
      <c r="P762">
        <f t="shared" si="11"/>
        <v>1900</v>
      </c>
    </row>
    <row r="763" spans="16:16" x14ac:dyDescent="0.25">
      <c r="P763">
        <f t="shared" si="11"/>
        <v>1900</v>
      </c>
    </row>
    <row r="764" spans="16:16" x14ac:dyDescent="0.25">
      <c r="P764">
        <f t="shared" si="11"/>
        <v>1900</v>
      </c>
    </row>
    <row r="765" spans="16:16" x14ac:dyDescent="0.25">
      <c r="P765">
        <f t="shared" si="11"/>
        <v>1900</v>
      </c>
    </row>
    <row r="766" spans="16:16" x14ac:dyDescent="0.25">
      <c r="P766">
        <f t="shared" si="11"/>
        <v>1900</v>
      </c>
    </row>
    <row r="767" spans="16:16" x14ac:dyDescent="0.25">
      <c r="P767">
        <f t="shared" si="11"/>
        <v>1900</v>
      </c>
    </row>
    <row r="768" spans="16:16" x14ac:dyDescent="0.25">
      <c r="P768">
        <f t="shared" si="11"/>
        <v>1900</v>
      </c>
    </row>
    <row r="769" spans="16:16" x14ac:dyDescent="0.25">
      <c r="P769">
        <f t="shared" si="11"/>
        <v>1900</v>
      </c>
    </row>
    <row r="770" spans="16:16" x14ac:dyDescent="0.25">
      <c r="P770">
        <f t="shared" ref="P770:P833" si="12">IFERROR(YEAR(D770),"")</f>
        <v>1900</v>
      </c>
    </row>
    <row r="771" spans="16:16" x14ac:dyDescent="0.25">
      <c r="P771">
        <f t="shared" si="12"/>
        <v>1900</v>
      </c>
    </row>
    <row r="772" spans="16:16" x14ac:dyDescent="0.25">
      <c r="P772">
        <f t="shared" si="12"/>
        <v>1900</v>
      </c>
    </row>
    <row r="773" spans="16:16" x14ac:dyDescent="0.25">
      <c r="P773">
        <f t="shared" si="12"/>
        <v>1900</v>
      </c>
    </row>
    <row r="774" spans="16:16" x14ac:dyDescent="0.25">
      <c r="P774">
        <f t="shared" si="12"/>
        <v>1900</v>
      </c>
    </row>
    <row r="775" spans="16:16" x14ac:dyDescent="0.25">
      <c r="P775">
        <f t="shared" si="12"/>
        <v>1900</v>
      </c>
    </row>
    <row r="776" spans="16:16" x14ac:dyDescent="0.25">
      <c r="P776">
        <f t="shared" si="12"/>
        <v>1900</v>
      </c>
    </row>
    <row r="777" spans="16:16" x14ac:dyDescent="0.25">
      <c r="P777">
        <f t="shared" si="12"/>
        <v>1900</v>
      </c>
    </row>
    <row r="778" spans="16:16" x14ac:dyDescent="0.25">
      <c r="P778">
        <f t="shared" si="12"/>
        <v>1900</v>
      </c>
    </row>
    <row r="779" spans="16:16" x14ac:dyDescent="0.25">
      <c r="P779">
        <f t="shared" si="12"/>
        <v>1900</v>
      </c>
    </row>
    <row r="780" spans="16:16" x14ac:dyDescent="0.25">
      <c r="P780">
        <f t="shared" si="12"/>
        <v>1900</v>
      </c>
    </row>
    <row r="781" spans="16:16" x14ac:dyDescent="0.25">
      <c r="P781">
        <f t="shared" si="12"/>
        <v>1900</v>
      </c>
    </row>
    <row r="782" spans="16:16" x14ac:dyDescent="0.25">
      <c r="P782">
        <f t="shared" si="12"/>
        <v>1900</v>
      </c>
    </row>
    <row r="783" spans="16:16" x14ac:dyDescent="0.25">
      <c r="P783">
        <f t="shared" si="12"/>
        <v>1900</v>
      </c>
    </row>
    <row r="784" spans="16:16" x14ac:dyDescent="0.25">
      <c r="P784">
        <f t="shared" si="12"/>
        <v>1900</v>
      </c>
    </row>
    <row r="785" spans="16:16" x14ac:dyDescent="0.25">
      <c r="P785">
        <f t="shared" si="12"/>
        <v>1900</v>
      </c>
    </row>
    <row r="786" spans="16:16" x14ac:dyDescent="0.25">
      <c r="P786">
        <f t="shared" si="12"/>
        <v>1900</v>
      </c>
    </row>
    <row r="787" spans="16:16" x14ac:dyDescent="0.25">
      <c r="P787">
        <f t="shared" si="12"/>
        <v>1900</v>
      </c>
    </row>
    <row r="788" spans="16:16" x14ac:dyDescent="0.25">
      <c r="P788">
        <f t="shared" si="12"/>
        <v>1900</v>
      </c>
    </row>
    <row r="789" spans="16:16" x14ac:dyDescent="0.25">
      <c r="P789">
        <f t="shared" si="12"/>
        <v>1900</v>
      </c>
    </row>
    <row r="790" spans="16:16" x14ac:dyDescent="0.25">
      <c r="P790">
        <f t="shared" si="12"/>
        <v>1900</v>
      </c>
    </row>
    <row r="791" spans="16:16" x14ac:dyDescent="0.25">
      <c r="P791">
        <f t="shared" si="12"/>
        <v>1900</v>
      </c>
    </row>
    <row r="792" spans="16:16" x14ac:dyDescent="0.25">
      <c r="P792">
        <f t="shared" si="12"/>
        <v>1900</v>
      </c>
    </row>
    <row r="793" spans="16:16" x14ac:dyDescent="0.25">
      <c r="P793">
        <f t="shared" si="12"/>
        <v>1900</v>
      </c>
    </row>
    <row r="794" spans="16:16" x14ac:dyDescent="0.25">
      <c r="P794">
        <f t="shared" si="12"/>
        <v>1900</v>
      </c>
    </row>
    <row r="795" spans="16:16" x14ac:dyDescent="0.25">
      <c r="P795">
        <f t="shared" si="12"/>
        <v>1900</v>
      </c>
    </row>
    <row r="796" spans="16:16" x14ac:dyDescent="0.25">
      <c r="P796">
        <f t="shared" si="12"/>
        <v>1900</v>
      </c>
    </row>
    <row r="797" spans="16:16" x14ac:dyDescent="0.25">
      <c r="P797">
        <f t="shared" si="12"/>
        <v>1900</v>
      </c>
    </row>
    <row r="798" spans="16:16" x14ac:dyDescent="0.25">
      <c r="P798">
        <f t="shared" si="12"/>
        <v>1900</v>
      </c>
    </row>
    <row r="799" spans="16:16" x14ac:dyDescent="0.25">
      <c r="P799">
        <f t="shared" si="12"/>
        <v>1900</v>
      </c>
    </row>
    <row r="800" spans="16:16" x14ac:dyDescent="0.25">
      <c r="P800">
        <f t="shared" si="12"/>
        <v>1900</v>
      </c>
    </row>
    <row r="801" spans="16:16" x14ac:dyDescent="0.25">
      <c r="P801">
        <f t="shared" si="12"/>
        <v>1900</v>
      </c>
    </row>
    <row r="802" spans="16:16" x14ac:dyDescent="0.25">
      <c r="P802">
        <f t="shared" si="12"/>
        <v>1900</v>
      </c>
    </row>
    <row r="803" spans="16:16" x14ac:dyDescent="0.25">
      <c r="P803">
        <f t="shared" si="12"/>
        <v>1900</v>
      </c>
    </row>
    <row r="804" spans="16:16" x14ac:dyDescent="0.25">
      <c r="P804">
        <f t="shared" si="12"/>
        <v>1900</v>
      </c>
    </row>
    <row r="805" spans="16:16" x14ac:dyDescent="0.25">
      <c r="P805">
        <f t="shared" si="12"/>
        <v>1900</v>
      </c>
    </row>
    <row r="806" spans="16:16" x14ac:dyDescent="0.25">
      <c r="P806">
        <f t="shared" si="12"/>
        <v>1900</v>
      </c>
    </row>
    <row r="807" spans="16:16" x14ac:dyDescent="0.25">
      <c r="P807">
        <f t="shared" si="12"/>
        <v>1900</v>
      </c>
    </row>
    <row r="808" spans="16:16" x14ac:dyDescent="0.25">
      <c r="P808">
        <f t="shared" si="12"/>
        <v>1900</v>
      </c>
    </row>
    <row r="809" spans="16:16" x14ac:dyDescent="0.25">
      <c r="P809">
        <f t="shared" si="12"/>
        <v>1900</v>
      </c>
    </row>
    <row r="810" spans="16:16" x14ac:dyDescent="0.25">
      <c r="P810">
        <f t="shared" si="12"/>
        <v>1900</v>
      </c>
    </row>
    <row r="811" spans="16:16" x14ac:dyDescent="0.25">
      <c r="P811">
        <f t="shared" si="12"/>
        <v>1900</v>
      </c>
    </row>
    <row r="812" spans="16:16" x14ac:dyDescent="0.25">
      <c r="P812">
        <f t="shared" si="12"/>
        <v>1900</v>
      </c>
    </row>
    <row r="813" spans="16:16" x14ac:dyDescent="0.25">
      <c r="P813">
        <f t="shared" si="12"/>
        <v>1900</v>
      </c>
    </row>
    <row r="814" spans="16:16" x14ac:dyDescent="0.25">
      <c r="P814">
        <f t="shared" si="12"/>
        <v>1900</v>
      </c>
    </row>
    <row r="815" spans="16:16" x14ac:dyDescent="0.25">
      <c r="P815">
        <f t="shared" si="12"/>
        <v>1900</v>
      </c>
    </row>
    <row r="816" spans="16:16" x14ac:dyDescent="0.25">
      <c r="P816">
        <f t="shared" si="12"/>
        <v>1900</v>
      </c>
    </row>
    <row r="817" spans="16:16" x14ac:dyDescent="0.25">
      <c r="P817">
        <f t="shared" si="12"/>
        <v>1900</v>
      </c>
    </row>
    <row r="818" spans="16:16" x14ac:dyDescent="0.25">
      <c r="P818">
        <f t="shared" si="12"/>
        <v>1900</v>
      </c>
    </row>
    <row r="819" spans="16:16" x14ac:dyDescent="0.25">
      <c r="P819">
        <f t="shared" si="12"/>
        <v>1900</v>
      </c>
    </row>
    <row r="820" spans="16:16" x14ac:dyDescent="0.25">
      <c r="P820">
        <f t="shared" si="12"/>
        <v>1900</v>
      </c>
    </row>
    <row r="821" spans="16:16" x14ac:dyDescent="0.25">
      <c r="P821">
        <f t="shared" si="12"/>
        <v>1900</v>
      </c>
    </row>
    <row r="822" spans="16:16" x14ac:dyDescent="0.25">
      <c r="P822">
        <f t="shared" si="12"/>
        <v>1900</v>
      </c>
    </row>
    <row r="823" spans="16:16" x14ac:dyDescent="0.25">
      <c r="P823">
        <f t="shared" si="12"/>
        <v>1900</v>
      </c>
    </row>
    <row r="824" spans="16:16" x14ac:dyDescent="0.25">
      <c r="P824">
        <f t="shared" si="12"/>
        <v>1900</v>
      </c>
    </row>
    <row r="825" spans="16:16" x14ac:dyDescent="0.25">
      <c r="P825">
        <f t="shared" si="12"/>
        <v>1900</v>
      </c>
    </row>
    <row r="826" spans="16:16" x14ac:dyDescent="0.25">
      <c r="P826">
        <f t="shared" si="12"/>
        <v>1900</v>
      </c>
    </row>
    <row r="827" spans="16:16" x14ac:dyDescent="0.25">
      <c r="P827">
        <f t="shared" si="12"/>
        <v>1900</v>
      </c>
    </row>
    <row r="828" spans="16:16" x14ac:dyDescent="0.25">
      <c r="P828">
        <f t="shared" si="12"/>
        <v>1900</v>
      </c>
    </row>
    <row r="829" spans="16:16" x14ac:dyDescent="0.25">
      <c r="P829">
        <f t="shared" si="12"/>
        <v>1900</v>
      </c>
    </row>
    <row r="830" spans="16:16" x14ac:dyDescent="0.25">
      <c r="P830">
        <f t="shared" si="12"/>
        <v>1900</v>
      </c>
    </row>
    <row r="831" spans="16:16" x14ac:dyDescent="0.25">
      <c r="P831">
        <f t="shared" si="12"/>
        <v>1900</v>
      </c>
    </row>
    <row r="832" spans="16:16" x14ac:dyDescent="0.25">
      <c r="P832">
        <f t="shared" si="12"/>
        <v>1900</v>
      </c>
    </row>
    <row r="833" spans="16:16" x14ac:dyDescent="0.25">
      <c r="P833">
        <f t="shared" si="12"/>
        <v>1900</v>
      </c>
    </row>
    <row r="834" spans="16:16" x14ac:dyDescent="0.25">
      <c r="P834">
        <f t="shared" ref="P834:P897" si="13">IFERROR(YEAR(D834),"")</f>
        <v>1900</v>
      </c>
    </row>
    <row r="835" spans="16:16" x14ac:dyDescent="0.25">
      <c r="P835">
        <f t="shared" si="13"/>
        <v>1900</v>
      </c>
    </row>
    <row r="836" spans="16:16" x14ac:dyDescent="0.25">
      <c r="P836">
        <f t="shared" si="13"/>
        <v>1900</v>
      </c>
    </row>
    <row r="837" spans="16:16" x14ac:dyDescent="0.25">
      <c r="P837">
        <f t="shared" si="13"/>
        <v>1900</v>
      </c>
    </row>
    <row r="838" spans="16:16" x14ac:dyDescent="0.25">
      <c r="P838">
        <f t="shared" si="13"/>
        <v>1900</v>
      </c>
    </row>
    <row r="839" spans="16:16" x14ac:dyDescent="0.25">
      <c r="P839">
        <f t="shared" si="13"/>
        <v>1900</v>
      </c>
    </row>
    <row r="840" spans="16:16" x14ac:dyDescent="0.25">
      <c r="P840">
        <f t="shared" si="13"/>
        <v>1900</v>
      </c>
    </row>
    <row r="841" spans="16:16" x14ac:dyDescent="0.25">
      <c r="P841">
        <f t="shared" si="13"/>
        <v>1900</v>
      </c>
    </row>
    <row r="842" spans="16:16" x14ac:dyDescent="0.25">
      <c r="P842">
        <f t="shared" si="13"/>
        <v>1900</v>
      </c>
    </row>
    <row r="843" spans="16:16" x14ac:dyDescent="0.25">
      <c r="P843">
        <f t="shared" si="13"/>
        <v>1900</v>
      </c>
    </row>
    <row r="844" spans="16:16" x14ac:dyDescent="0.25">
      <c r="P844">
        <f t="shared" si="13"/>
        <v>1900</v>
      </c>
    </row>
    <row r="845" spans="16:16" x14ac:dyDescent="0.25">
      <c r="P845">
        <f t="shared" si="13"/>
        <v>1900</v>
      </c>
    </row>
    <row r="846" spans="16:16" x14ac:dyDescent="0.25">
      <c r="P846">
        <f t="shared" si="13"/>
        <v>1900</v>
      </c>
    </row>
    <row r="847" spans="16:16" x14ac:dyDescent="0.25">
      <c r="P847">
        <f t="shared" si="13"/>
        <v>1900</v>
      </c>
    </row>
    <row r="848" spans="16:16" x14ac:dyDescent="0.25">
      <c r="P848">
        <f t="shared" si="13"/>
        <v>1900</v>
      </c>
    </row>
    <row r="849" spans="16:16" x14ac:dyDescent="0.25">
      <c r="P849">
        <f t="shared" si="13"/>
        <v>1900</v>
      </c>
    </row>
    <row r="850" spans="16:16" x14ac:dyDescent="0.25">
      <c r="P850">
        <f t="shared" si="13"/>
        <v>1900</v>
      </c>
    </row>
    <row r="851" spans="16:16" x14ac:dyDescent="0.25">
      <c r="P851">
        <f t="shared" si="13"/>
        <v>1900</v>
      </c>
    </row>
    <row r="852" spans="16:16" x14ac:dyDescent="0.25">
      <c r="P852">
        <f t="shared" si="13"/>
        <v>1900</v>
      </c>
    </row>
    <row r="853" spans="16:16" x14ac:dyDescent="0.25">
      <c r="P853">
        <f t="shared" si="13"/>
        <v>1900</v>
      </c>
    </row>
    <row r="854" spans="16:16" x14ac:dyDescent="0.25">
      <c r="P854">
        <f t="shared" si="13"/>
        <v>1900</v>
      </c>
    </row>
    <row r="855" spans="16:16" x14ac:dyDescent="0.25">
      <c r="P855">
        <f t="shared" si="13"/>
        <v>1900</v>
      </c>
    </row>
    <row r="856" spans="16:16" x14ac:dyDescent="0.25">
      <c r="P856">
        <f t="shared" si="13"/>
        <v>1900</v>
      </c>
    </row>
    <row r="857" spans="16:16" x14ac:dyDescent="0.25">
      <c r="P857">
        <f t="shared" si="13"/>
        <v>1900</v>
      </c>
    </row>
    <row r="858" spans="16:16" x14ac:dyDescent="0.25">
      <c r="P858">
        <f t="shared" si="13"/>
        <v>1900</v>
      </c>
    </row>
    <row r="859" spans="16:16" x14ac:dyDescent="0.25">
      <c r="P859">
        <f t="shared" si="13"/>
        <v>1900</v>
      </c>
    </row>
    <row r="860" spans="16:16" x14ac:dyDescent="0.25">
      <c r="P860">
        <f t="shared" si="13"/>
        <v>1900</v>
      </c>
    </row>
    <row r="861" spans="16:16" x14ac:dyDescent="0.25">
      <c r="P861">
        <f t="shared" si="13"/>
        <v>1900</v>
      </c>
    </row>
    <row r="862" spans="16:16" x14ac:dyDescent="0.25">
      <c r="P862">
        <f t="shared" si="13"/>
        <v>1900</v>
      </c>
    </row>
    <row r="863" spans="16:16" x14ac:dyDescent="0.25">
      <c r="P863">
        <f t="shared" si="13"/>
        <v>1900</v>
      </c>
    </row>
    <row r="864" spans="16:16" x14ac:dyDescent="0.25">
      <c r="P864">
        <f t="shared" si="13"/>
        <v>1900</v>
      </c>
    </row>
    <row r="865" spans="16:16" x14ac:dyDescent="0.25">
      <c r="P865">
        <f t="shared" si="13"/>
        <v>1900</v>
      </c>
    </row>
    <row r="866" spans="16:16" x14ac:dyDescent="0.25">
      <c r="P866">
        <f t="shared" si="13"/>
        <v>1900</v>
      </c>
    </row>
    <row r="867" spans="16:16" x14ac:dyDescent="0.25">
      <c r="P867">
        <f t="shared" si="13"/>
        <v>1900</v>
      </c>
    </row>
    <row r="868" spans="16:16" x14ac:dyDescent="0.25">
      <c r="P868">
        <f t="shared" si="13"/>
        <v>1900</v>
      </c>
    </row>
    <row r="869" spans="16:16" x14ac:dyDescent="0.25">
      <c r="P869">
        <f t="shared" si="13"/>
        <v>1900</v>
      </c>
    </row>
    <row r="870" spans="16:16" x14ac:dyDescent="0.25">
      <c r="P870">
        <f t="shared" si="13"/>
        <v>1900</v>
      </c>
    </row>
    <row r="871" spans="16:16" x14ac:dyDescent="0.25">
      <c r="P871">
        <f t="shared" si="13"/>
        <v>1900</v>
      </c>
    </row>
    <row r="872" spans="16:16" x14ac:dyDescent="0.25">
      <c r="P872">
        <f t="shared" si="13"/>
        <v>1900</v>
      </c>
    </row>
    <row r="873" spans="16:16" x14ac:dyDescent="0.25">
      <c r="P873">
        <f t="shared" si="13"/>
        <v>1900</v>
      </c>
    </row>
    <row r="874" spans="16:16" x14ac:dyDescent="0.25">
      <c r="P874">
        <f t="shared" si="13"/>
        <v>1900</v>
      </c>
    </row>
    <row r="875" spans="16:16" x14ac:dyDescent="0.25">
      <c r="P875">
        <f t="shared" si="13"/>
        <v>1900</v>
      </c>
    </row>
    <row r="876" spans="16:16" x14ac:dyDescent="0.25">
      <c r="P876">
        <f t="shared" si="13"/>
        <v>1900</v>
      </c>
    </row>
    <row r="877" spans="16:16" x14ac:dyDescent="0.25">
      <c r="P877">
        <f t="shared" si="13"/>
        <v>1900</v>
      </c>
    </row>
    <row r="878" spans="16:16" x14ac:dyDescent="0.25">
      <c r="P878">
        <f t="shared" si="13"/>
        <v>1900</v>
      </c>
    </row>
    <row r="879" spans="16:16" x14ac:dyDescent="0.25">
      <c r="P879">
        <f t="shared" si="13"/>
        <v>1900</v>
      </c>
    </row>
    <row r="880" spans="16:16" x14ac:dyDescent="0.25">
      <c r="P880">
        <f t="shared" si="13"/>
        <v>1900</v>
      </c>
    </row>
    <row r="881" spans="16:16" x14ac:dyDescent="0.25">
      <c r="P881">
        <f t="shared" si="13"/>
        <v>1900</v>
      </c>
    </row>
    <row r="882" spans="16:16" x14ac:dyDescent="0.25">
      <c r="P882">
        <f t="shared" si="13"/>
        <v>1900</v>
      </c>
    </row>
    <row r="883" spans="16:16" x14ac:dyDescent="0.25">
      <c r="P883">
        <f t="shared" si="13"/>
        <v>1900</v>
      </c>
    </row>
    <row r="884" spans="16:16" x14ac:dyDescent="0.25">
      <c r="P884">
        <f t="shared" si="13"/>
        <v>1900</v>
      </c>
    </row>
    <row r="885" spans="16:16" x14ac:dyDescent="0.25">
      <c r="P885">
        <f t="shared" si="13"/>
        <v>1900</v>
      </c>
    </row>
    <row r="886" spans="16:16" x14ac:dyDescent="0.25">
      <c r="P886">
        <f t="shared" si="13"/>
        <v>1900</v>
      </c>
    </row>
    <row r="887" spans="16:16" x14ac:dyDescent="0.25">
      <c r="P887">
        <f t="shared" si="13"/>
        <v>1900</v>
      </c>
    </row>
    <row r="888" spans="16:16" x14ac:dyDescent="0.25">
      <c r="P888">
        <f t="shared" si="13"/>
        <v>1900</v>
      </c>
    </row>
    <row r="889" spans="16:16" x14ac:dyDescent="0.25">
      <c r="P889">
        <f t="shared" si="13"/>
        <v>1900</v>
      </c>
    </row>
    <row r="890" spans="16:16" x14ac:dyDescent="0.25">
      <c r="P890">
        <f t="shared" si="13"/>
        <v>1900</v>
      </c>
    </row>
    <row r="891" spans="16:16" x14ac:dyDescent="0.25">
      <c r="P891">
        <f t="shared" si="13"/>
        <v>1900</v>
      </c>
    </row>
    <row r="892" spans="16:16" x14ac:dyDescent="0.25">
      <c r="P892">
        <f t="shared" si="13"/>
        <v>1900</v>
      </c>
    </row>
    <row r="893" spans="16:16" x14ac:dyDescent="0.25">
      <c r="P893">
        <f t="shared" si="13"/>
        <v>1900</v>
      </c>
    </row>
    <row r="894" spans="16:16" x14ac:dyDescent="0.25">
      <c r="P894">
        <f t="shared" si="13"/>
        <v>1900</v>
      </c>
    </row>
    <row r="895" spans="16:16" x14ac:dyDescent="0.25">
      <c r="P895">
        <f t="shared" si="13"/>
        <v>1900</v>
      </c>
    </row>
    <row r="896" spans="16:16" x14ac:dyDescent="0.25">
      <c r="P896">
        <f t="shared" si="13"/>
        <v>1900</v>
      </c>
    </row>
    <row r="897" spans="16:16" x14ac:dyDescent="0.25">
      <c r="P897">
        <f t="shared" si="13"/>
        <v>1900</v>
      </c>
    </row>
    <row r="898" spans="16:16" x14ac:dyDescent="0.25">
      <c r="P898">
        <f t="shared" ref="P898:P961" si="14">IFERROR(YEAR(D898),"")</f>
        <v>1900</v>
      </c>
    </row>
    <row r="899" spans="16:16" x14ac:dyDescent="0.25">
      <c r="P899">
        <f t="shared" si="14"/>
        <v>1900</v>
      </c>
    </row>
    <row r="900" spans="16:16" x14ac:dyDescent="0.25">
      <c r="P900">
        <f t="shared" si="14"/>
        <v>1900</v>
      </c>
    </row>
    <row r="901" spans="16:16" x14ac:dyDescent="0.25">
      <c r="P901">
        <f t="shared" si="14"/>
        <v>1900</v>
      </c>
    </row>
    <row r="902" spans="16:16" x14ac:dyDescent="0.25">
      <c r="P902">
        <f t="shared" si="14"/>
        <v>1900</v>
      </c>
    </row>
    <row r="903" spans="16:16" x14ac:dyDescent="0.25">
      <c r="P903">
        <f t="shared" si="14"/>
        <v>1900</v>
      </c>
    </row>
    <row r="904" spans="16:16" x14ac:dyDescent="0.25">
      <c r="P904">
        <f t="shared" si="14"/>
        <v>1900</v>
      </c>
    </row>
    <row r="905" spans="16:16" x14ac:dyDescent="0.25">
      <c r="P905">
        <f t="shared" si="14"/>
        <v>1900</v>
      </c>
    </row>
    <row r="906" spans="16:16" x14ac:dyDescent="0.25">
      <c r="P906">
        <f t="shared" si="14"/>
        <v>1900</v>
      </c>
    </row>
    <row r="907" spans="16:16" x14ac:dyDescent="0.25">
      <c r="P907">
        <f t="shared" si="14"/>
        <v>1900</v>
      </c>
    </row>
    <row r="908" spans="16:16" x14ac:dyDescent="0.25">
      <c r="P908">
        <f t="shared" si="14"/>
        <v>1900</v>
      </c>
    </row>
    <row r="909" spans="16:16" x14ac:dyDescent="0.25">
      <c r="P909">
        <f t="shared" si="14"/>
        <v>1900</v>
      </c>
    </row>
    <row r="910" spans="16:16" x14ac:dyDescent="0.25">
      <c r="P910">
        <f t="shared" si="14"/>
        <v>1900</v>
      </c>
    </row>
    <row r="911" spans="16:16" x14ac:dyDescent="0.25">
      <c r="P911">
        <f t="shared" si="14"/>
        <v>1900</v>
      </c>
    </row>
    <row r="912" spans="16:16" x14ac:dyDescent="0.25">
      <c r="P912">
        <f t="shared" si="14"/>
        <v>1900</v>
      </c>
    </row>
    <row r="913" spans="16:16" x14ac:dyDescent="0.25">
      <c r="P913">
        <f t="shared" si="14"/>
        <v>1900</v>
      </c>
    </row>
    <row r="914" spans="16:16" x14ac:dyDescent="0.25">
      <c r="P914">
        <f t="shared" si="14"/>
        <v>1900</v>
      </c>
    </row>
    <row r="915" spans="16:16" x14ac:dyDescent="0.25">
      <c r="P915">
        <f t="shared" si="14"/>
        <v>1900</v>
      </c>
    </row>
    <row r="916" spans="16:16" x14ac:dyDescent="0.25">
      <c r="P916">
        <f t="shared" si="14"/>
        <v>1900</v>
      </c>
    </row>
    <row r="917" spans="16:16" x14ac:dyDescent="0.25">
      <c r="P917">
        <f t="shared" si="14"/>
        <v>1900</v>
      </c>
    </row>
    <row r="918" spans="16:16" x14ac:dyDescent="0.25">
      <c r="P918">
        <f t="shared" si="14"/>
        <v>1900</v>
      </c>
    </row>
    <row r="919" spans="16:16" x14ac:dyDescent="0.25">
      <c r="P919">
        <f t="shared" si="14"/>
        <v>1900</v>
      </c>
    </row>
    <row r="920" spans="16:16" x14ac:dyDescent="0.25">
      <c r="P920">
        <f t="shared" si="14"/>
        <v>1900</v>
      </c>
    </row>
    <row r="921" spans="16:16" x14ac:dyDescent="0.25">
      <c r="P921">
        <f t="shared" si="14"/>
        <v>1900</v>
      </c>
    </row>
    <row r="922" spans="16:16" x14ac:dyDescent="0.25">
      <c r="P922">
        <f t="shared" si="14"/>
        <v>1900</v>
      </c>
    </row>
    <row r="923" spans="16:16" x14ac:dyDescent="0.25">
      <c r="P923">
        <f t="shared" si="14"/>
        <v>1900</v>
      </c>
    </row>
    <row r="924" spans="16:16" x14ac:dyDescent="0.25">
      <c r="P924">
        <f t="shared" si="14"/>
        <v>1900</v>
      </c>
    </row>
    <row r="925" spans="16:16" x14ac:dyDescent="0.25">
      <c r="P925">
        <f t="shared" si="14"/>
        <v>1900</v>
      </c>
    </row>
    <row r="926" spans="16:16" x14ac:dyDescent="0.25">
      <c r="P926">
        <f t="shared" si="14"/>
        <v>1900</v>
      </c>
    </row>
    <row r="927" spans="16:16" x14ac:dyDescent="0.25">
      <c r="P927">
        <f t="shared" si="14"/>
        <v>1900</v>
      </c>
    </row>
    <row r="928" spans="16:16" x14ac:dyDescent="0.25">
      <c r="P928">
        <f t="shared" si="14"/>
        <v>1900</v>
      </c>
    </row>
    <row r="929" spans="16:16" x14ac:dyDescent="0.25">
      <c r="P929">
        <f t="shared" si="14"/>
        <v>1900</v>
      </c>
    </row>
    <row r="930" spans="16:16" x14ac:dyDescent="0.25">
      <c r="P930">
        <f t="shared" si="14"/>
        <v>1900</v>
      </c>
    </row>
    <row r="931" spans="16:16" x14ac:dyDescent="0.25">
      <c r="P931">
        <f t="shared" si="14"/>
        <v>1900</v>
      </c>
    </row>
    <row r="932" spans="16:16" x14ac:dyDescent="0.25">
      <c r="P932">
        <f t="shared" si="14"/>
        <v>1900</v>
      </c>
    </row>
    <row r="933" spans="16:16" x14ac:dyDescent="0.25">
      <c r="P933">
        <f t="shared" si="14"/>
        <v>1900</v>
      </c>
    </row>
    <row r="934" spans="16:16" x14ac:dyDescent="0.25">
      <c r="P934">
        <f t="shared" si="14"/>
        <v>1900</v>
      </c>
    </row>
    <row r="935" spans="16:16" x14ac:dyDescent="0.25">
      <c r="P935">
        <f t="shared" si="14"/>
        <v>1900</v>
      </c>
    </row>
    <row r="936" spans="16:16" x14ac:dyDescent="0.25">
      <c r="P936">
        <f t="shared" si="14"/>
        <v>1900</v>
      </c>
    </row>
    <row r="937" spans="16:16" x14ac:dyDescent="0.25">
      <c r="P937">
        <f t="shared" si="14"/>
        <v>1900</v>
      </c>
    </row>
    <row r="938" spans="16:16" x14ac:dyDescent="0.25">
      <c r="P938">
        <f t="shared" si="14"/>
        <v>1900</v>
      </c>
    </row>
    <row r="939" spans="16:16" x14ac:dyDescent="0.25">
      <c r="P939">
        <f t="shared" si="14"/>
        <v>1900</v>
      </c>
    </row>
    <row r="940" spans="16:16" x14ac:dyDescent="0.25">
      <c r="P940">
        <f t="shared" si="14"/>
        <v>1900</v>
      </c>
    </row>
    <row r="941" spans="16:16" x14ac:dyDescent="0.25">
      <c r="P941">
        <f t="shared" si="14"/>
        <v>1900</v>
      </c>
    </row>
    <row r="942" spans="16:16" x14ac:dyDescent="0.25">
      <c r="P942">
        <f t="shared" si="14"/>
        <v>1900</v>
      </c>
    </row>
    <row r="943" spans="16:16" x14ac:dyDescent="0.25">
      <c r="P943">
        <f t="shared" si="14"/>
        <v>1900</v>
      </c>
    </row>
    <row r="944" spans="16:16" x14ac:dyDescent="0.25">
      <c r="P944">
        <f t="shared" si="14"/>
        <v>1900</v>
      </c>
    </row>
    <row r="945" spans="16:16" x14ac:dyDescent="0.25">
      <c r="P945">
        <f t="shared" si="14"/>
        <v>1900</v>
      </c>
    </row>
    <row r="946" spans="16:16" x14ac:dyDescent="0.25">
      <c r="P946">
        <f t="shared" si="14"/>
        <v>1900</v>
      </c>
    </row>
    <row r="947" spans="16:16" x14ac:dyDescent="0.25">
      <c r="P947">
        <f t="shared" si="14"/>
        <v>1900</v>
      </c>
    </row>
    <row r="948" spans="16:16" x14ac:dyDescent="0.25">
      <c r="P948">
        <f t="shared" si="14"/>
        <v>1900</v>
      </c>
    </row>
    <row r="949" spans="16:16" x14ac:dyDescent="0.25">
      <c r="P949">
        <f t="shared" si="14"/>
        <v>1900</v>
      </c>
    </row>
    <row r="950" spans="16:16" x14ac:dyDescent="0.25">
      <c r="P950">
        <f t="shared" si="14"/>
        <v>1900</v>
      </c>
    </row>
    <row r="951" spans="16:16" x14ac:dyDescent="0.25">
      <c r="P951">
        <f t="shared" si="14"/>
        <v>1900</v>
      </c>
    </row>
    <row r="952" spans="16:16" x14ac:dyDescent="0.25">
      <c r="P952">
        <f t="shared" si="14"/>
        <v>1900</v>
      </c>
    </row>
    <row r="953" spans="16:16" x14ac:dyDescent="0.25">
      <c r="P953">
        <f t="shared" si="14"/>
        <v>1900</v>
      </c>
    </row>
    <row r="954" spans="16:16" x14ac:dyDescent="0.25">
      <c r="P954">
        <f t="shared" si="14"/>
        <v>1900</v>
      </c>
    </row>
    <row r="955" spans="16:16" x14ac:dyDescent="0.25">
      <c r="P955">
        <f t="shared" si="14"/>
        <v>1900</v>
      </c>
    </row>
    <row r="956" spans="16:16" x14ac:dyDescent="0.25">
      <c r="P956">
        <f t="shared" si="14"/>
        <v>1900</v>
      </c>
    </row>
    <row r="957" spans="16:16" x14ac:dyDescent="0.25">
      <c r="P957">
        <f t="shared" si="14"/>
        <v>1900</v>
      </c>
    </row>
    <row r="958" spans="16:16" x14ac:dyDescent="0.25">
      <c r="P958">
        <f t="shared" si="14"/>
        <v>1900</v>
      </c>
    </row>
    <row r="959" spans="16:16" x14ac:dyDescent="0.25">
      <c r="P959">
        <f t="shared" si="14"/>
        <v>1900</v>
      </c>
    </row>
    <row r="960" spans="16:16" x14ac:dyDescent="0.25">
      <c r="P960">
        <f t="shared" si="14"/>
        <v>1900</v>
      </c>
    </row>
    <row r="961" spans="16:16" x14ac:dyDescent="0.25">
      <c r="P961">
        <f t="shared" si="14"/>
        <v>1900</v>
      </c>
    </row>
    <row r="962" spans="16:16" x14ac:dyDescent="0.25">
      <c r="P962">
        <f t="shared" ref="P962:P1025" si="15">IFERROR(YEAR(D962),"")</f>
        <v>1900</v>
      </c>
    </row>
    <row r="963" spans="16:16" x14ac:dyDescent="0.25">
      <c r="P963">
        <f t="shared" si="15"/>
        <v>1900</v>
      </c>
    </row>
    <row r="964" spans="16:16" x14ac:dyDescent="0.25">
      <c r="P964">
        <f t="shared" si="15"/>
        <v>1900</v>
      </c>
    </row>
    <row r="965" spans="16:16" x14ac:dyDescent="0.25">
      <c r="P965">
        <f t="shared" si="15"/>
        <v>1900</v>
      </c>
    </row>
    <row r="966" spans="16:16" x14ac:dyDescent="0.25">
      <c r="P966">
        <f t="shared" si="15"/>
        <v>1900</v>
      </c>
    </row>
    <row r="967" spans="16:16" x14ac:dyDescent="0.25">
      <c r="P967">
        <f t="shared" si="15"/>
        <v>1900</v>
      </c>
    </row>
    <row r="968" spans="16:16" x14ac:dyDescent="0.25">
      <c r="P968">
        <f t="shared" si="15"/>
        <v>1900</v>
      </c>
    </row>
    <row r="969" spans="16:16" x14ac:dyDescent="0.25">
      <c r="P969">
        <f t="shared" si="15"/>
        <v>1900</v>
      </c>
    </row>
    <row r="970" spans="16:16" x14ac:dyDescent="0.25">
      <c r="P970">
        <f t="shared" si="15"/>
        <v>1900</v>
      </c>
    </row>
    <row r="971" spans="16:16" x14ac:dyDescent="0.25">
      <c r="P971">
        <f t="shared" si="15"/>
        <v>1900</v>
      </c>
    </row>
    <row r="972" spans="16:16" x14ac:dyDescent="0.25">
      <c r="P972">
        <f t="shared" si="15"/>
        <v>1900</v>
      </c>
    </row>
    <row r="973" spans="16:16" x14ac:dyDescent="0.25">
      <c r="P973">
        <f t="shared" si="15"/>
        <v>1900</v>
      </c>
    </row>
    <row r="974" spans="16:16" x14ac:dyDescent="0.25">
      <c r="P974">
        <f t="shared" si="15"/>
        <v>1900</v>
      </c>
    </row>
    <row r="975" spans="16:16" x14ac:dyDescent="0.25">
      <c r="P975">
        <f t="shared" si="15"/>
        <v>1900</v>
      </c>
    </row>
    <row r="976" spans="16:16" x14ac:dyDescent="0.25">
      <c r="P976">
        <f t="shared" si="15"/>
        <v>1900</v>
      </c>
    </row>
    <row r="977" spans="16:16" x14ac:dyDescent="0.25">
      <c r="P977">
        <f t="shared" si="15"/>
        <v>1900</v>
      </c>
    </row>
    <row r="978" spans="16:16" x14ac:dyDescent="0.25">
      <c r="P978">
        <f t="shared" si="15"/>
        <v>1900</v>
      </c>
    </row>
    <row r="979" spans="16:16" x14ac:dyDescent="0.25">
      <c r="P979">
        <f t="shared" si="15"/>
        <v>1900</v>
      </c>
    </row>
    <row r="980" spans="16:16" x14ac:dyDescent="0.25">
      <c r="P980">
        <f t="shared" si="15"/>
        <v>1900</v>
      </c>
    </row>
    <row r="981" spans="16:16" x14ac:dyDescent="0.25">
      <c r="P981">
        <f t="shared" si="15"/>
        <v>1900</v>
      </c>
    </row>
    <row r="982" spans="16:16" x14ac:dyDescent="0.25">
      <c r="P982">
        <f t="shared" si="15"/>
        <v>1900</v>
      </c>
    </row>
    <row r="983" spans="16:16" x14ac:dyDescent="0.25">
      <c r="P983">
        <f t="shared" si="15"/>
        <v>1900</v>
      </c>
    </row>
    <row r="984" spans="16:16" x14ac:dyDescent="0.25">
      <c r="P984">
        <f t="shared" si="15"/>
        <v>1900</v>
      </c>
    </row>
    <row r="985" spans="16:16" x14ac:dyDescent="0.25">
      <c r="P985">
        <f t="shared" si="15"/>
        <v>1900</v>
      </c>
    </row>
    <row r="986" spans="16:16" x14ac:dyDescent="0.25">
      <c r="P986">
        <f t="shared" si="15"/>
        <v>1900</v>
      </c>
    </row>
    <row r="987" spans="16:16" x14ac:dyDescent="0.25">
      <c r="P987">
        <f t="shared" si="15"/>
        <v>1900</v>
      </c>
    </row>
    <row r="988" spans="16:16" x14ac:dyDescent="0.25">
      <c r="P988">
        <f t="shared" si="15"/>
        <v>1900</v>
      </c>
    </row>
    <row r="989" spans="16:16" x14ac:dyDescent="0.25">
      <c r="P989">
        <f t="shared" si="15"/>
        <v>1900</v>
      </c>
    </row>
    <row r="990" spans="16:16" x14ac:dyDescent="0.25">
      <c r="P990">
        <f t="shared" si="15"/>
        <v>1900</v>
      </c>
    </row>
    <row r="991" spans="16:16" x14ac:dyDescent="0.25">
      <c r="P991">
        <f t="shared" si="15"/>
        <v>1900</v>
      </c>
    </row>
    <row r="992" spans="16:16" x14ac:dyDescent="0.25">
      <c r="P992">
        <f t="shared" si="15"/>
        <v>1900</v>
      </c>
    </row>
    <row r="993" spans="16:16" x14ac:dyDescent="0.25">
      <c r="P993">
        <f t="shared" si="15"/>
        <v>1900</v>
      </c>
    </row>
    <row r="994" spans="16:16" x14ac:dyDescent="0.25">
      <c r="P994">
        <f t="shared" si="15"/>
        <v>1900</v>
      </c>
    </row>
    <row r="995" spans="16:16" x14ac:dyDescent="0.25">
      <c r="P995">
        <f t="shared" si="15"/>
        <v>1900</v>
      </c>
    </row>
    <row r="996" spans="16:16" x14ac:dyDescent="0.25">
      <c r="P996">
        <f t="shared" si="15"/>
        <v>1900</v>
      </c>
    </row>
    <row r="997" spans="16:16" x14ac:dyDescent="0.25">
      <c r="P997">
        <f t="shared" si="15"/>
        <v>1900</v>
      </c>
    </row>
    <row r="998" spans="16:16" x14ac:dyDescent="0.25">
      <c r="P998">
        <f t="shared" si="15"/>
        <v>1900</v>
      </c>
    </row>
    <row r="999" spans="16:16" x14ac:dyDescent="0.25">
      <c r="P999">
        <f t="shared" si="15"/>
        <v>1900</v>
      </c>
    </row>
    <row r="1000" spans="16:16" x14ac:dyDescent="0.25">
      <c r="P1000">
        <f t="shared" si="15"/>
        <v>1900</v>
      </c>
    </row>
    <row r="1001" spans="16:16" x14ac:dyDescent="0.25">
      <c r="P1001">
        <f t="shared" si="15"/>
        <v>1900</v>
      </c>
    </row>
    <row r="1002" spans="16:16" x14ac:dyDescent="0.25">
      <c r="P1002">
        <f t="shared" si="15"/>
        <v>1900</v>
      </c>
    </row>
    <row r="1003" spans="16:16" x14ac:dyDescent="0.25">
      <c r="P1003">
        <f t="shared" si="15"/>
        <v>1900</v>
      </c>
    </row>
    <row r="1004" spans="16:16" x14ac:dyDescent="0.25">
      <c r="P1004">
        <f t="shared" si="15"/>
        <v>1900</v>
      </c>
    </row>
    <row r="1005" spans="16:16" x14ac:dyDescent="0.25">
      <c r="P1005">
        <f t="shared" si="15"/>
        <v>1900</v>
      </c>
    </row>
    <row r="1006" spans="16:16" x14ac:dyDescent="0.25">
      <c r="P1006">
        <f t="shared" si="15"/>
        <v>1900</v>
      </c>
    </row>
    <row r="1007" spans="16:16" x14ac:dyDescent="0.25">
      <c r="P1007">
        <f t="shared" si="15"/>
        <v>1900</v>
      </c>
    </row>
    <row r="1008" spans="16:16" x14ac:dyDescent="0.25">
      <c r="P1008">
        <f t="shared" si="15"/>
        <v>1900</v>
      </c>
    </row>
    <row r="1009" spans="16:16" x14ac:dyDescent="0.25">
      <c r="P1009">
        <f t="shared" si="15"/>
        <v>1900</v>
      </c>
    </row>
    <row r="1010" spans="16:16" x14ac:dyDescent="0.25">
      <c r="P1010">
        <f t="shared" si="15"/>
        <v>1900</v>
      </c>
    </row>
    <row r="1011" spans="16:16" x14ac:dyDescent="0.25">
      <c r="P1011">
        <f t="shared" si="15"/>
        <v>1900</v>
      </c>
    </row>
    <row r="1012" spans="16:16" x14ac:dyDescent="0.25">
      <c r="P1012">
        <f t="shared" si="15"/>
        <v>1900</v>
      </c>
    </row>
    <row r="1013" spans="16:16" x14ac:dyDescent="0.25">
      <c r="P1013">
        <f t="shared" si="15"/>
        <v>1900</v>
      </c>
    </row>
    <row r="1014" spans="16:16" x14ac:dyDescent="0.25">
      <c r="P1014">
        <f t="shared" si="15"/>
        <v>1900</v>
      </c>
    </row>
    <row r="1015" spans="16:16" x14ac:dyDescent="0.25">
      <c r="P1015">
        <f t="shared" si="15"/>
        <v>1900</v>
      </c>
    </row>
    <row r="1016" spans="16:16" x14ac:dyDescent="0.25">
      <c r="P1016">
        <f t="shared" si="15"/>
        <v>1900</v>
      </c>
    </row>
    <row r="1017" spans="16:16" x14ac:dyDescent="0.25">
      <c r="P1017">
        <f t="shared" si="15"/>
        <v>1900</v>
      </c>
    </row>
    <row r="1018" spans="16:16" x14ac:dyDescent="0.25">
      <c r="P1018">
        <f t="shared" si="15"/>
        <v>1900</v>
      </c>
    </row>
    <row r="1019" spans="16:16" x14ac:dyDescent="0.25">
      <c r="P1019">
        <f t="shared" si="15"/>
        <v>1900</v>
      </c>
    </row>
    <row r="1020" spans="16:16" x14ac:dyDescent="0.25">
      <c r="P1020">
        <f t="shared" si="15"/>
        <v>1900</v>
      </c>
    </row>
    <row r="1021" spans="16:16" x14ac:dyDescent="0.25">
      <c r="P1021">
        <f t="shared" si="15"/>
        <v>1900</v>
      </c>
    </row>
    <row r="1022" spans="16:16" x14ac:dyDescent="0.25">
      <c r="P1022">
        <f t="shared" si="15"/>
        <v>1900</v>
      </c>
    </row>
    <row r="1023" spans="16:16" x14ac:dyDescent="0.25">
      <c r="P1023">
        <f t="shared" si="15"/>
        <v>1900</v>
      </c>
    </row>
    <row r="1024" spans="16:16" x14ac:dyDescent="0.25">
      <c r="P1024">
        <f t="shared" si="15"/>
        <v>1900</v>
      </c>
    </row>
    <row r="1025" spans="16:16" x14ac:dyDescent="0.25">
      <c r="P1025">
        <f t="shared" si="15"/>
        <v>1900</v>
      </c>
    </row>
    <row r="1026" spans="16:16" x14ac:dyDescent="0.25">
      <c r="P1026">
        <f t="shared" ref="P1026:P1089" si="16">IFERROR(YEAR(D1026),"")</f>
        <v>1900</v>
      </c>
    </row>
    <row r="1027" spans="16:16" x14ac:dyDescent="0.25">
      <c r="P1027">
        <f t="shared" si="16"/>
        <v>1900</v>
      </c>
    </row>
    <row r="1028" spans="16:16" x14ac:dyDescent="0.25">
      <c r="P1028">
        <f t="shared" si="16"/>
        <v>1900</v>
      </c>
    </row>
    <row r="1029" spans="16:16" x14ac:dyDescent="0.25">
      <c r="P1029">
        <f t="shared" si="16"/>
        <v>1900</v>
      </c>
    </row>
    <row r="1030" spans="16:16" x14ac:dyDescent="0.25">
      <c r="P1030">
        <f t="shared" si="16"/>
        <v>1900</v>
      </c>
    </row>
    <row r="1031" spans="16:16" x14ac:dyDescent="0.25">
      <c r="P1031">
        <f t="shared" si="16"/>
        <v>1900</v>
      </c>
    </row>
    <row r="1032" spans="16:16" x14ac:dyDescent="0.25">
      <c r="P1032">
        <f t="shared" si="16"/>
        <v>1900</v>
      </c>
    </row>
    <row r="1033" spans="16:16" x14ac:dyDescent="0.25">
      <c r="P1033">
        <f t="shared" si="16"/>
        <v>1900</v>
      </c>
    </row>
    <row r="1034" spans="16:16" x14ac:dyDescent="0.25">
      <c r="P1034">
        <f t="shared" si="16"/>
        <v>1900</v>
      </c>
    </row>
    <row r="1035" spans="16:16" x14ac:dyDescent="0.25">
      <c r="P1035">
        <f t="shared" si="16"/>
        <v>1900</v>
      </c>
    </row>
    <row r="1036" spans="16:16" x14ac:dyDescent="0.25">
      <c r="P1036">
        <f t="shared" si="16"/>
        <v>1900</v>
      </c>
    </row>
    <row r="1037" spans="16:16" x14ac:dyDescent="0.25">
      <c r="P1037">
        <f t="shared" si="16"/>
        <v>1900</v>
      </c>
    </row>
    <row r="1038" spans="16:16" x14ac:dyDescent="0.25">
      <c r="P1038">
        <f t="shared" si="16"/>
        <v>1900</v>
      </c>
    </row>
    <row r="1039" spans="16:16" x14ac:dyDescent="0.25">
      <c r="P1039">
        <f t="shared" si="16"/>
        <v>1900</v>
      </c>
    </row>
    <row r="1040" spans="16:16" x14ac:dyDescent="0.25">
      <c r="P1040">
        <f t="shared" si="16"/>
        <v>1900</v>
      </c>
    </row>
    <row r="1041" spans="16:16" x14ac:dyDescent="0.25">
      <c r="P1041">
        <f t="shared" si="16"/>
        <v>1900</v>
      </c>
    </row>
    <row r="1042" spans="16:16" x14ac:dyDescent="0.25">
      <c r="P1042">
        <f t="shared" si="16"/>
        <v>1900</v>
      </c>
    </row>
    <row r="1043" spans="16:16" x14ac:dyDescent="0.25">
      <c r="P1043">
        <f t="shared" si="16"/>
        <v>1900</v>
      </c>
    </row>
    <row r="1044" spans="16:16" x14ac:dyDescent="0.25">
      <c r="P1044">
        <f t="shared" si="16"/>
        <v>1900</v>
      </c>
    </row>
    <row r="1045" spans="16:16" x14ac:dyDescent="0.25">
      <c r="P1045">
        <f t="shared" si="16"/>
        <v>1900</v>
      </c>
    </row>
    <row r="1046" spans="16:16" x14ac:dyDescent="0.25">
      <c r="P1046">
        <f t="shared" si="16"/>
        <v>1900</v>
      </c>
    </row>
    <row r="1047" spans="16:16" x14ac:dyDescent="0.25">
      <c r="P1047">
        <f t="shared" si="16"/>
        <v>1900</v>
      </c>
    </row>
    <row r="1048" spans="16:16" x14ac:dyDescent="0.25">
      <c r="P1048">
        <f t="shared" si="16"/>
        <v>1900</v>
      </c>
    </row>
    <row r="1049" spans="16:16" x14ac:dyDescent="0.25">
      <c r="P1049">
        <f t="shared" si="16"/>
        <v>1900</v>
      </c>
    </row>
    <row r="1050" spans="16:16" x14ac:dyDescent="0.25">
      <c r="P1050">
        <f t="shared" si="16"/>
        <v>1900</v>
      </c>
    </row>
    <row r="1051" spans="16:16" x14ac:dyDescent="0.25">
      <c r="P1051">
        <f t="shared" si="16"/>
        <v>1900</v>
      </c>
    </row>
    <row r="1052" spans="16:16" x14ac:dyDescent="0.25">
      <c r="P1052">
        <f t="shared" si="16"/>
        <v>1900</v>
      </c>
    </row>
    <row r="1053" spans="16:16" x14ac:dyDescent="0.25">
      <c r="P1053">
        <f t="shared" si="16"/>
        <v>1900</v>
      </c>
    </row>
    <row r="1054" spans="16:16" x14ac:dyDescent="0.25">
      <c r="P1054">
        <f t="shared" si="16"/>
        <v>1900</v>
      </c>
    </row>
    <row r="1055" spans="16:16" x14ac:dyDescent="0.25">
      <c r="P1055">
        <f t="shared" si="16"/>
        <v>1900</v>
      </c>
    </row>
    <row r="1056" spans="16:16" x14ac:dyDescent="0.25">
      <c r="P1056">
        <f t="shared" si="16"/>
        <v>1900</v>
      </c>
    </row>
    <row r="1057" spans="16:16" x14ac:dyDescent="0.25">
      <c r="P1057">
        <f t="shared" si="16"/>
        <v>1900</v>
      </c>
    </row>
    <row r="1058" spans="16:16" x14ac:dyDescent="0.25">
      <c r="P1058">
        <f t="shared" si="16"/>
        <v>1900</v>
      </c>
    </row>
    <row r="1059" spans="16:16" x14ac:dyDescent="0.25">
      <c r="P1059">
        <f t="shared" si="16"/>
        <v>1900</v>
      </c>
    </row>
    <row r="1060" spans="16:16" x14ac:dyDescent="0.25">
      <c r="P1060">
        <f t="shared" si="16"/>
        <v>1900</v>
      </c>
    </row>
    <row r="1061" spans="16:16" x14ac:dyDescent="0.25">
      <c r="P1061">
        <f t="shared" si="16"/>
        <v>1900</v>
      </c>
    </row>
    <row r="1062" spans="16:16" x14ac:dyDescent="0.25">
      <c r="P1062">
        <f t="shared" si="16"/>
        <v>1900</v>
      </c>
    </row>
    <row r="1063" spans="16:16" x14ac:dyDescent="0.25">
      <c r="P1063">
        <f t="shared" si="16"/>
        <v>1900</v>
      </c>
    </row>
    <row r="1064" spans="16:16" x14ac:dyDescent="0.25">
      <c r="P1064">
        <f t="shared" si="16"/>
        <v>1900</v>
      </c>
    </row>
    <row r="1065" spans="16:16" x14ac:dyDescent="0.25">
      <c r="P1065">
        <f t="shared" si="16"/>
        <v>1900</v>
      </c>
    </row>
    <row r="1066" spans="16:16" x14ac:dyDescent="0.25">
      <c r="P1066">
        <f t="shared" si="16"/>
        <v>1900</v>
      </c>
    </row>
    <row r="1067" spans="16:16" x14ac:dyDescent="0.25">
      <c r="P1067">
        <f t="shared" si="16"/>
        <v>1900</v>
      </c>
    </row>
    <row r="1068" spans="16:16" x14ac:dyDescent="0.25">
      <c r="P1068">
        <f t="shared" si="16"/>
        <v>1900</v>
      </c>
    </row>
    <row r="1069" spans="16:16" x14ac:dyDescent="0.25">
      <c r="P1069">
        <f t="shared" si="16"/>
        <v>1900</v>
      </c>
    </row>
    <row r="1070" spans="16:16" x14ac:dyDescent="0.25">
      <c r="P1070">
        <f t="shared" si="16"/>
        <v>1900</v>
      </c>
    </row>
    <row r="1071" spans="16:16" x14ac:dyDescent="0.25">
      <c r="P1071">
        <f t="shared" si="16"/>
        <v>1900</v>
      </c>
    </row>
    <row r="1072" spans="16:16" x14ac:dyDescent="0.25">
      <c r="P1072">
        <f t="shared" si="16"/>
        <v>1900</v>
      </c>
    </row>
    <row r="1073" spans="16:16" x14ac:dyDescent="0.25">
      <c r="P1073">
        <f t="shared" si="16"/>
        <v>1900</v>
      </c>
    </row>
    <row r="1074" spans="16:16" x14ac:dyDescent="0.25">
      <c r="P1074">
        <f t="shared" si="16"/>
        <v>1900</v>
      </c>
    </row>
    <row r="1075" spans="16:16" x14ac:dyDescent="0.25">
      <c r="P1075">
        <f t="shared" si="16"/>
        <v>1900</v>
      </c>
    </row>
    <row r="1076" spans="16:16" x14ac:dyDescent="0.25">
      <c r="P1076">
        <f t="shared" si="16"/>
        <v>1900</v>
      </c>
    </row>
    <row r="1077" spans="16:16" x14ac:dyDescent="0.25">
      <c r="P1077">
        <f t="shared" si="16"/>
        <v>1900</v>
      </c>
    </row>
    <row r="1078" spans="16:16" x14ac:dyDescent="0.25">
      <c r="P1078">
        <f t="shared" si="16"/>
        <v>1900</v>
      </c>
    </row>
    <row r="1079" spans="16:16" x14ac:dyDescent="0.25">
      <c r="P1079">
        <f t="shared" si="16"/>
        <v>1900</v>
      </c>
    </row>
    <row r="1080" spans="16:16" x14ac:dyDescent="0.25">
      <c r="P1080">
        <f t="shared" si="16"/>
        <v>1900</v>
      </c>
    </row>
    <row r="1081" spans="16:16" x14ac:dyDescent="0.25">
      <c r="P1081">
        <f t="shared" si="16"/>
        <v>1900</v>
      </c>
    </row>
    <row r="1082" spans="16:16" x14ac:dyDescent="0.25">
      <c r="P1082">
        <f t="shared" si="16"/>
        <v>1900</v>
      </c>
    </row>
    <row r="1083" spans="16:16" x14ac:dyDescent="0.25">
      <c r="P1083">
        <f t="shared" si="16"/>
        <v>1900</v>
      </c>
    </row>
    <row r="1084" spans="16:16" x14ac:dyDescent="0.25">
      <c r="P1084">
        <f t="shared" si="16"/>
        <v>1900</v>
      </c>
    </row>
    <row r="1085" spans="16:16" x14ac:dyDescent="0.25">
      <c r="P1085">
        <f t="shared" si="16"/>
        <v>1900</v>
      </c>
    </row>
    <row r="1086" spans="16:16" x14ac:dyDescent="0.25">
      <c r="P1086">
        <f t="shared" si="16"/>
        <v>1900</v>
      </c>
    </row>
    <row r="1087" spans="16:16" x14ac:dyDescent="0.25">
      <c r="P1087">
        <f t="shared" si="16"/>
        <v>1900</v>
      </c>
    </row>
    <row r="1088" spans="16:16" x14ac:dyDescent="0.25">
      <c r="P1088">
        <f t="shared" si="16"/>
        <v>1900</v>
      </c>
    </row>
    <row r="1089" spans="16:16" x14ac:dyDescent="0.25">
      <c r="P1089">
        <f t="shared" si="16"/>
        <v>1900</v>
      </c>
    </row>
    <row r="1090" spans="16:16" x14ac:dyDescent="0.25">
      <c r="P1090">
        <f t="shared" ref="P1090:P1153" si="17">IFERROR(YEAR(D1090),"")</f>
        <v>1900</v>
      </c>
    </row>
    <row r="1091" spans="16:16" x14ac:dyDescent="0.25">
      <c r="P1091">
        <f t="shared" si="17"/>
        <v>1900</v>
      </c>
    </row>
    <row r="1092" spans="16:16" x14ac:dyDescent="0.25">
      <c r="P1092">
        <f t="shared" si="17"/>
        <v>1900</v>
      </c>
    </row>
    <row r="1093" spans="16:16" x14ac:dyDescent="0.25">
      <c r="P1093">
        <f t="shared" si="17"/>
        <v>1900</v>
      </c>
    </row>
    <row r="1094" spans="16:16" x14ac:dyDescent="0.25">
      <c r="P1094">
        <f t="shared" si="17"/>
        <v>1900</v>
      </c>
    </row>
    <row r="1095" spans="16:16" x14ac:dyDescent="0.25">
      <c r="P1095">
        <f t="shared" si="17"/>
        <v>1900</v>
      </c>
    </row>
    <row r="1096" spans="16:16" x14ac:dyDescent="0.25">
      <c r="P1096">
        <f t="shared" si="17"/>
        <v>1900</v>
      </c>
    </row>
    <row r="1097" spans="16:16" x14ac:dyDescent="0.25">
      <c r="P1097">
        <f t="shared" si="17"/>
        <v>1900</v>
      </c>
    </row>
    <row r="1098" spans="16:16" x14ac:dyDescent="0.25">
      <c r="P1098">
        <f t="shared" si="17"/>
        <v>1900</v>
      </c>
    </row>
    <row r="1099" spans="16:16" x14ac:dyDescent="0.25">
      <c r="P1099">
        <f t="shared" si="17"/>
        <v>1900</v>
      </c>
    </row>
    <row r="1100" spans="16:16" x14ac:dyDescent="0.25">
      <c r="P1100">
        <f t="shared" si="17"/>
        <v>1900</v>
      </c>
    </row>
    <row r="1101" spans="16:16" x14ac:dyDescent="0.25">
      <c r="P1101">
        <f t="shared" si="17"/>
        <v>1900</v>
      </c>
    </row>
    <row r="1102" spans="16:16" x14ac:dyDescent="0.25">
      <c r="P1102">
        <f t="shared" si="17"/>
        <v>1900</v>
      </c>
    </row>
    <row r="1103" spans="16:16" x14ac:dyDescent="0.25">
      <c r="P1103">
        <f t="shared" si="17"/>
        <v>1900</v>
      </c>
    </row>
    <row r="1104" spans="16:16" x14ac:dyDescent="0.25">
      <c r="P1104">
        <f t="shared" si="17"/>
        <v>1900</v>
      </c>
    </row>
    <row r="1105" spans="16:16" x14ac:dyDescent="0.25">
      <c r="P1105">
        <f t="shared" si="17"/>
        <v>1900</v>
      </c>
    </row>
    <row r="1106" spans="16:16" x14ac:dyDescent="0.25">
      <c r="P1106">
        <f t="shared" si="17"/>
        <v>1900</v>
      </c>
    </row>
    <row r="1107" spans="16:16" x14ac:dyDescent="0.25">
      <c r="P1107">
        <f t="shared" si="17"/>
        <v>1900</v>
      </c>
    </row>
    <row r="1108" spans="16:16" x14ac:dyDescent="0.25">
      <c r="P1108">
        <f t="shared" si="17"/>
        <v>1900</v>
      </c>
    </row>
    <row r="1109" spans="16:16" x14ac:dyDescent="0.25">
      <c r="P1109">
        <f t="shared" si="17"/>
        <v>1900</v>
      </c>
    </row>
    <row r="1110" spans="16:16" x14ac:dyDescent="0.25">
      <c r="P1110">
        <f t="shared" si="17"/>
        <v>1900</v>
      </c>
    </row>
    <row r="1111" spans="16:16" x14ac:dyDescent="0.25">
      <c r="P1111">
        <f t="shared" si="17"/>
        <v>1900</v>
      </c>
    </row>
    <row r="1112" spans="16:16" x14ac:dyDescent="0.25">
      <c r="P1112">
        <f t="shared" si="17"/>
        <v>1900</v>
      </c>
    </row>
    <row r="1113" spans="16:16" x14ac:dyDescent="0.25">
      <c r="P1113">
        <f t="shared" si="17"/>
        <v>1900</v>
      </c>
    </row>
    <row r="1114" spans="16:16" x14ac:dyDescent="0.25">
      <c r="P1114">
        <f t="shared" si="17"/>
        <v>1900</v>
      </c>
    </row>
    <row r="1115" spans="16:16" x14ac:dyDescent="0.25">
      <c r="P1115">
        <f t="shared" si="17"/>
        <v>1900</v>
      </c>
    </row>
    <row r="1116" spans="16:16" x14ac:dyDescent="0.25">
      <c r="P1116">
        <f t="shared" si="17"/>
        <v>1900</v>
      </c>
    </row>
    <row r="1117" spans="16:16" x14ac:dyDescent="0.25">
      <c r="P1117">
        <f t="shared" si="17"/>
        <v>1900</v>
      </c>
    </row>
    <row r="1118" spans="16:16" x14ac:dyDescent="0.25">
      <c r="P1118">
        <f t="shared" si="17"/>
        <v>1900</v>
      </c>
    </row>
    <row r="1119" spans="16:16" x14ac:dyDescent="0.25">
      <c r="P1119">
        <f t="shared" si="17"/>
        <v>1900</v>
      </c>
    </row>
    <row r="1120" spans="16:16" x14ac:dyDescent="0.25">
      <c r="P1120">
        <f t="shared" si="17"/>
        <v>1900</v>
      </c>
    </row>
    <row r="1121" spans="16:16" x14ac:dyDescent="0.25">
      <c r="P1121">
        <f t="shared" si="17"/>
        <v>1900</v>
      </c>
    </row>
    <row r="1122" spans="16:16" x14ac:dyDescent="0.25">
      <c r="P1122">
        <f t="shared" si="17"/>
        <v>1900</v>
      </c>
    </row>
    <row r="1123" spans="16:16" x14ac:dyDescent="0.25">
      <c r="P1123">
        <f t="shared" si="17"/>
        <v>1900</v>
      </c>
    </row>
    <row r="1124" spans="16:16" x14ac:dyDescent="0.25">
      <c r="P1124">
        <f t="shared" si="17"/>
        <v>1900</v>
      </c>
    </row>
    <row r="1125" spans="16:16" x14ac:dyDescent="0.25">
      <c r="P1125">
        <f t="shared" si="17"/>
        <v>1900</v>
      </c>
    </row>
    <row r="1126" spans="16:16" x14ac:dyDescent="0.25">
      <c r="P1126">
        <f t="shared" si="17"/>
        <v>1900</v>
      </c>
    </row>
    <row r="1127" spans="16:16" x14ac:dyDescent="0.25">
      <c r="P1127">
        <f t="shared" si="17"/>
        <v>1900</v>
      </c>
    </row>
    <row r="1128" spans="16:16" x14ac:dyDescent="0.25">
      <c r="P1128">
        <f t="shared" si="17"/>
        <v>1900</v>
      </c>
    </row>
    <row r="1129" spans="16:16" x14ac:dyDescent="0.25">
      <c r="P1129">
        <f t="shared" si="17"/>
        <v>1900</v>
      </c>
    </row>
    <row r="1130" spans="16:16" x14ac:dyDescent="0.25">
      <c r="P1130">
        <f t="shared" si="17"/>
        <v>1900</v>
      </c>
    </row>
    <row r="1131" spans="16:16" x14ac:dyDescent="0.25">
      <c r="P1131">
        <f t="shared" si="17"/>
        <v>1900</v>
      </c>
    </row>
    <row r="1132" spans="16:16" x14ac:dyDescent="0.25">
      <c r="P1132">
        <f t="shared" si="17"/>
        <v>1900</v>
      </c>
    </row>
    <row r="1133" spans="16:16" x14ac:dyDescent="0.25">
      <c r="P1133">
        <f t="shared" si="17"/>
        <v>1900</v>
      </c>
    </row>
    <row r="1134" spans="16:16" x14ac:dyDescent="0.25">
      <c r="P1134">
        <f t="shared" si="17"/>
        <v>1900</v>
      </c>
    </row>
    <row r="1135" spans="16:16" x14ac:dyDescent="0.25">
      <c r="P1135">
        <f t="shared" si="17"/>
        <v>1900</v>
      </c>
    </row>
    <row r="1136" spans="16:16" x14ac:dyDescent="0.25">
      <c r="P1136">
        <f t="shared" si="17"/>
        <v>1900</v>
      </c>
    </row>
    <row r="1137" spans="16:16" x14ac:dyDescent="0.25">
      <c r="P1137">
        <f t="shared" si="17"/>
        <v>1900</v>
      </c>
    </row>
    <row r="1138" spans="16:16" x14ac:dyDescent="0.25">
      <c r="P1138">
        <f t="shared" si="17"/>
        <v>1900</v>
      </c>
    </row>
    <row r="1139" spans="16:16" x14ac:dyDescent="0.25">
      <c r="P1139">
        <f t="shared" si="17"/>
        <v>1900</v>
      </c>
    </row>
    <row r="1140" spans="16:16" x14ac:dyDescent="0.25">
      <c r="P1140">
        <f t="shared" si="17"/>
        <v>1900</v>
      </c>
    </row>
    <row r="1141" spans="16:16" x14ac:dyDescent="0.25">
      <c r="P1141">
        <f t="shared" si="17"/>
        <v>1900</v>
      </c>
    </row>
    <row r="1142" spans="16:16" x14ac:dyDescent="0.25">
      <c r="P1142">
        <f t="shared" si="17"/>
        <v>1900</v>
      </c>
    </row>
    <row r="1143" spans="16:16" x14ac:dyDescent="0.25">
      <c r="P1143">
        <f t="shared" si="17"/>
        <v>1900</v>
      </c>
    </row>
    <row r="1144" spans="16:16" x14ac:dyDescent="0.25">
      <c r="P1144">
        <f t="shared" si="17"/>
        <v>1900</v>
      </c>
    </row>
    <row r="1145" spans="16:16" x14ac:dyDescent="0.25">
      <c r="P1145">
        <f t="shared" si="17"/>
        <v>1900</v>
      </c>
    </row>
    <row r="1146" spans="16:16" x14ac:dyDescent="0.25">
      <c r="P1146">
        <f t="shared" si="17"/>
        <v>1900</v>
      </c>
    </row>
    <row r="1147" spans="16:16" x14ac:dyDescent="0.25">
      <c r="P1147">
        <f t="shared" si="17"/>
        <v>1900</v>
      </c>
    </row>
    <row r="1148" spans="16:16" x14ac:dyDescent="0.25">
      <c r="P1148">
        <f t="shared" si="17"/>
        <v>1900</v>
      </c>
    </row>
    <row r="1149" spans="16:16" x14ac:dyDescent="0.25">
      <c r="P1149">
        <f t="shared" si="17"/>
        <v>1900</v>
      </c>
    </row>
    <row r="1150" spans="16:16" x14ac:dyDescent="0.25">
      <c r="P1150">
        <f t="shared" si="17"/>
        <v>1900</v>
      </c>
    </row>
    <row r="1151" spans="16:16" x14ac:dyDescent="0.25">
      <c r="P1151">
        <f t="shared" si="17"/>
        <v>1900</v>
      </c>
    </row>
    <row r="1152" spans="16:16" x14ac:dyDescent="0.25">
      <c r="P1152">
        <f t="shared" si="17"/>
        <v>1900</v>
      </c>
    </row>
    <row r="1153" spans="16:16" x14ac:dyDescent="0.25">
      <c r="P1153">
        <f t="shared" si="17"/>
        <v>1900</v>
      </c>
    </row>
    <row r="1154" spans="16:16" x14ac:dyDescent="0.25">
      <c r="P1154">
        <f t="shared" ref="P1154:P1217" si="18">IFERROR(YEAR(D1154),"")</f>
        <v>1900</v>
      </c>
    </row>
    <row r="1155" spans="16:16" x14ac:dyDescent="0.25">
      <c r="P1155">
        <f t="shared" si="18"/>
        <v>1900</v>
      </c>
    </row>
    <row r="1156" spans="16:16" x14ac:dyDescent="0.25">
      <c r="P1156">
        <f t="shared" si="18"/>
        <v>1900</v>
      </c>
    </row>
    <row r="1157" spans="16:16" x14ac:dyDescent="0.25">
      <c r="P1157">
        <f t="shared" si="18"/>
        <v>1900</v>
      </c>
    </row>
    <row r="1158" spans="16:16" x14ac:dyDescent="0.25">
      <c r="P1158">
        <f t="shared" si="18"/>
        <v>1900</v>
      </c>
    </row>
    <row r="1159" spans="16:16" x14ac:dyDescent="0.25">
      <c r="P1159">
        <f t="shared" si="18"/>
        <v>1900</v>
      </c>
    </row>
    <row r="1160" spans="16:16" x14ac:dyDescent="0.25">
      <c r="P1160">
        <f t="shared" si="18"/>
        <v>1900</v>
      </c>
    </row>
    <row r="1161" spans="16:16" x14ac:dyDescent="0.25">
      <c r="P1161">
        <f t="shared" si="18"/>
        <v>1900</v>
      </c>
    </row>
    <row r="1162" spans="16:16" x14ac:dyDescent="0.25">
      <c r="P1162">
        <f t="shared" si="18"/>
        <v>1900</v>
      </c>
    </row>
    <row r="1163" spans="16:16" x14ac:dyDescent="0.25">
      <c r="P1163">
        <f t="shared" si="18"/>
        <v>1900</v>
      </c>
    </row>
    <row r="1164" spans="16:16" x14ac:dyDescent="0.25">
      <c r="P1164">
        <f t="shared" si="18"/>
        <v>1900</v>
      </c>
    </row>
    <row r="1165" spans="16:16" x14ac:dyDescent="0.25">
      <c r="P1165">
        <f t="shared" si="18"/>
        <v>1900</v>
      </c>
    </row>
    <row r="1166" spans="16:16" x14ac:dyDescent="0.25">
      <c r="P1166">
        <f t="shared" si="18"/>
        <v>1900</v>
      </c>
    </row>
    <row r="1167" spans="16:16" x14ac:dyDescent="0.25">
      <c r="P1167">
        <f t="shared" si="18"/>
        <v>1900</v>
      </c>
    </row>
    <row r="1168" spans="16:16" x14ac:dyDescent="0.25">
      <c r="P1168">
        <f t="shared" si="18"/>
        <v>1900</v>
      </c>
    </row>
    <row r="1169" spans="16:16" x14ac:dyDescent="0.25">
      <c r="P1169">
        <f t="shared" si="18"/>
        <v>1900</v>
      </c>
    </row>
    <row r="1170" spans="16:16" x14ac:dyDescent="0.25">
      <c r="P1170">
        <f t="shared" si="18"/>
        <v>1900</v>
      </c>
    </row>
    <row r="1171" spans="16:16" x14ac:dyDescent="0.25">
      <c r="P1171">
        <f t="shared" si="18"/>
        <v>1900</v>
      </c>
    </row>
    <row r="1172" spans="16:16" x14ac:dyDescent="0.25">
      <c r="P1172">
        <f t="shared" si="18"/>
        <v>1900</v>
      </c>
    </row>
    <row r="1173" spans="16:16" x14ac:dyDescent="0.25">
      <c r="P1173">
        <f t="shared" si="18"/>
        <v>1900</v>
      </c>
    </row>
    <row r="1174" spans="16:16" x14ac:dyDescent="0.25">
      <c r="P1174">
        <f t="shared" si="18"/>
        <v>1900</v>
      </c>
    </row>
    <row r="1175" spans="16:16" x14ac:dyDescent="0.25">
      <c r="P1175">
        <f t="shared" si="18"/>
        <v>1900</v>
      </c>
    </row>
    <row r="1176" spans="16:16" x14ac:dyDescent="0.25">
      <c r="P1176">
        <f t="shared" si="18"/>
        <v>1900</v>
      </c>
    </row>
    <row r="1177" spans="16:16" x14ac:dyDescent="0.25">
      <c r="P1177">
        <f t="shared" si="18"/>
        <v>1900</v>
      </c>
    </row>
    <row r="1178" spans="16:16" x14ac:dyDescent="0.25">
      <c r="P1178">
        <f t="shared" si="18"/>
        <v>1900</v>
      </c>
    </row>
    <row r="1179" spans="16:16" x14ac:dyDescent="0.25">
      <c r="P1179">
        <f t="shared" si="18"/>
        <v>1900</v>
      </c>
    </row>
    <row r="1180" spans="16:16" x14ac:dyDescent="0.25">
      <c r="P1180">
        <f t="shared" si="18"/>
        <v>1900</v>
      </c>
    </row>
    <row r="1181" spans="16:16" x14ac:dyDescent="0.25">
      <c r="P1181">
        <f t="shared" si="18"/>
        <v>1900</v>
      </c>
    </row>
    <row r="1182" spans="16:16" x14ac:dyDescent="0.25">
      <c r="P1182">
        <f t="shared" si="18"/>
        <v>1900</v>
      </c>
    </row>
    <row r="1183" spans="16:16" x14ac:dyDescent="0.25">
      <c r="P1183">
        <f t="shared" si="18"/>
        <v>1900</v>
      </c>
    </row>
    <row r="1184" spans="16:16" x14ac:dyDescent="0.25">
      <c r="P1184">
        <f t="shared" si="18"/>
        <v>1900</v>
      </c>
    </row>
    <row r="1185" spans="16:16" x14ac:dyDescent="0.25">
      <c r="P1185">
        <f t="shared" si="18"/>
        <v>1900</v>
      </c>
    </row>
    <row r="1186" spans="16:16" x14ac:dyDescent="0.25">
      <c r="P1186">
        <f t="shared" si="18"/>
        <v>1900</v>
      </c>
    </row>
    <row r="1187" spans="16:16" x14ac:dyDescent="0.25">
      <c r="P1187">
        <f t="shared" si="18"/>
        <v>1900</v>
      </c>
    </row>
    <row r="1188" spans="16:16" x14ac:dyDescent="0.25">
      <c r="P1188">
        <f t="shared" si="18"/>
        <v>1900</v>
      </c>
    </row>
    <row r="1189" spans="16:16" x14ac:dyDescent="0.25">
      <c r="P1189">
        <f t="shared" si="18"/>
        <v>1900</v>
      </c>
    </row>
    <row r="1190" spans="16:16" x14ac:dyDescent="0.25">
      <c r="P1190">
        <f t="shared" si="18"/>
        <v>1900</v>
      </c>
    </row>
    <row r="1191" spans="16:16" x14ac:dyDescent="0.25">
      <c r="P1191">
        <f t="shared" si="18"/>
        <v>1900</v>
      </c>
    </row>
    <row r="1192" spans="16:16" x14ac:dyDescent="0.25">
      <c r="P1192">
        <f t="shared" si="18"/>
        <v>1900</v>
      </c>
    </row>
    <row r="1193" spans="16:16" x14ac:dyDescent="0.25">
      <c r="P1193">
        <f t="shared" si="18"/>
        <v>1900</v>
      </c>
    </row>
    <row r="1194" spans="16:16" x14ac:dyDescent="0.25">
      <c r="P1194">
        <f t="shared" si="18"/>
        <v>1900</v>
      </c>
    </row>
    <row r="1195" spans="16:16" x14ac:dyDescent="0.25">
      <c r="P1195">
        <f t="shared" si="18"/>
        <v>1900</v>
      </c>
    </row>
    <row r="1196" spans="16:16" x14ac:dyDescent="0.25">
      <c r="P1196">
        <f t="shared" si="18"/>
        <v>1900</v>
      </c>
    </row>
    <row r="1197" spans="16:16" x14ac:dyDescent="0.25">
      <c r="P1197">
        <f t="shared" si="18"/>
        <v>1900</v>
      </c>
    </row>
    <row r="1198" spans="16:16" x14ac:dyDescent="0.25">
      <c r="P1198">
        <f t="shared" si="18"/>
        <v>1900</v>
      </c>
    </row>
    <row r="1199" spans="16:16" x14ac:dyDescent="0.25">
      <c r="P1199">
        <f t="shared" si="18"/>
        <v>1900</v>
      </c>
    </row>
    <row r="1200" spans="16:16" x14ac:dyDescent="0.25">
      <c r="P1200">
        <f t="shared" si="18"/>
        <v>1900</v>
      </c>
    </row>
    <row r="1201" spans="16:16" x14ac:dyDescent="0.25">
      <c r="P1201">
        <f t="shared" si="18"/>
        <v>1900</v>
      </c>
    </row>
    <row r="1202" spans="16:16" x14ac:dyDescent="0.25">
      <c r="P1202">
        <f t="shared" si="18"/>
        <v>1900</v>
      </c>
    </row>
    <row r="1203" spans="16:16" x14ac:dyDescent="0.25">
      <c r="P1203">
        <f t="shared" si="18"/>
        <v>1900</v>
      </c>
    </row>
    <row r="1204" spans="16:16" x14ac:dyDescent="0.25">
      <c r="P1204">
        <f t="shared" si="18"/>
        <v>1900</v>
      </c>
    </row>
    <row r="1205" spans="16:16" x14ac:dyDescent="0.25">
      <c r="P1205">
        <f t="shared" si="18"/>
        <v>1900</v>
      </c>
    </row>
    <row r="1206" spans="16:16" x14ac:dyDescent="0.25">
      <c r="P1206">
        <f t="shared" si="18"/>
        <v>1900</v>
      </c>
    </row>
    <row r="1207" spans="16:16" x14ac:dyDescent="0.25">
      <c r="P1207">
        <f t="shared" si="18"/>
        <v>1900</v>
      </c>
    </row>
    <row r="1208" spans="16:16" x14ac:dyDescent="0.25">
      <c r="P1208">
        <f t="shared" si="18"/>
        <v>1900</v>
      </c>
    </row>
    <row r="1209" spans="16:16" x14ac:dyDescent="0.25">
      <c r="P1209">
        <f t="shared" si="18"/>
        <v>1900</v>
      </c>
    </row>
    <row r="1210" spans="16:16" x14ac:dyDescent="0.25">
      <c r="P1210">
        <f t="shared" si="18"/>
        <v>1900</v>
      </c>
    </row>
    <row r="1211" spans="16:16" x14ac:dyDescent="0.25">
      <c r="P1211">
        <f t="shared" si="18"/>
        <v>1900</v>
      </c>
    </row>
    <row r="1212" spans="16:16" x14ac:dyDescent="0.25">
      <c r="P1212">
        <f t="shared" si="18"/>
        <v>1900</v>
      </c>
    </row>
    <row r="1213" spans="16:16" x14ac:dyDescent="0.25">
      <c r="P1213">
        <f t="shared" si="18"/>
        <v>1900</v>
      </c>
    </row>
    <row r="1214" spans="16:16" x14ac:dyDescent="0.25">
      <c r="P1214">
        <f t="shared" si="18"/>
        <v>1900</v>
      </c>
    </row>
    <row r="1215" spans="16:16" x14ac:dyDescent="0.25">
      <c r="P1215">
        <f t="shared" si="18"/>
        <v>1900</v>
      </c>
    </row>
    <row r="1216" spans="16:16" x14ac:dyDescent="0.25">
      <c r="P1216">
        <f t="shared" si="18"/>
        <v>1900</v>
      </c>
    </row>
    <row r="1217" spans="16:16" x14ac:dyDescent="0.25">
      <c r="P1217">
        <f t="shared" si="18"/>
        <v>1900</v>
      </c>
    </row>
    <row r="1218" spans="16:16" x14ac:dyDescent="0.25">
      <c r="P1218">
        <f t="shared" ref="P1218:P1281" si="19">IFERROR(YEAR(D1218),"")</f>
        <v>1900</v>
      </c>
    </row>
    <row r="1219" spans="16:16" x14ac:dyDescent="0.25">
      <c r="P1219">
        <f t="shared" si="19"/>
        <v>1900</v>
      </c>
    </row>
    <row r="1220" spans="16:16" x14ac:dyDescent="0.25">
      <c r="P1220">
        <f t="shared" si="19"/>
        <v>1900</v>
      </c>
    </row>
    <row r="1221" spans="16:16" x14ac:dyDescent="0.25">
      <c r="P1221">
        <f t="shared" si="19"/>
        <v>1900</v>
      </c>
    </row>
    <row r="1222" spans="16:16" x14ac:dyDescent="0.25">
      <c r="P1222">
        <f t="shared" si="19"/>
        <v>1900</v>
      </c>
    </row>
    <row r="1223" spans="16:16" x14ac:dyDescent="0.25">
      <c r="P1223">
        <f t="shared" si="19"/>
        <v>1900</v>
      </c>
    </row>
    <row r="1224" spans="16:16" x14ac:dyDescent="0.25">
      <c r="P1224">
        <f t="shared" si="19"/>
        <v>1900</v>
      </c>
    </row>
    <row r="1225" spans="16:16" x14ac:dyDescent="0.25">
      <c r="P1225">
        <f t="shared" si="19"/>
        <v>1900</v>
      </c>
    </row>
    <row r="1226" spans="16:16" x14ac:dyDescent="0.25">
      <c r="P1226">
        <f t="shared" si="19"/>
        <v>1900</v>
      </c>
    </row>
    <row r="1227" spans="16:16" x14ac:dyDescent="0.25">
      <c r="P1227">
        <f t="shared" si="19"/>
        <v>1900</v>
      </c>
    </row>
    <row r="1228" spans="16:16" x14ac:dyDescent="0.25">
      <c r="P1228">
        <f t="shared" si="19"/>
        <v>1900</v>
      </c>
    </row>
    <row r="1229" spans="16:16" x14ac:dyDescent="0.25">
      <c r="P1229">
        <f t="shared" si="19"/>
        <v>1900</v>
      </c>
    </row>
    <row r="1230" spans="16:16" x14ac:dyDescent="0.25">
      <c r="P1230">
        <f t="shared" si="19"/>
        <v>1900</v>
      </c>
    </row>
    <row r="1231" spans="16:16" x14ac:dyDescent="0.25">
      <c r="P1231">
        <f t="shared" si="19"/>
        <v>1900</v>
      </c>
    </row>
    <row r="1232" spans="16:16" x14ac:dyDescent="0.25">
      <c r="P1232">
        <f t="shared" si="19"/>
        <v>1900</v>
      </c>
    </row>
    <row r="1233" spans="16:16" x14ac:dyDescent="0.25">
      <c r="P1233">
        <f t="shared" si="19"/>
        <v>1900</v>
      </c>
    </row>
    <row r="1234" spans="16:16" x14ac:dyDescent="0.25">
      <c r="P1234">
        <f t="shared" si="19"/>
        <v>1900</v>
      </c>
    </row>
    <row r="1235" spans="16:16" x14ac:dyDescent="0.25">
      <c r="P1235">
        <f t="shared" si="19"/>
        <v>1900</v>
      </c>
    </row>
    <row r="1236" spans="16:16" x14ac:dyDescent="0.25">
      <c r="P1236">
        <f t="shared" si="19"/>
        <v>1900</v>
      </c>
    </row>
    <row r="1237" spans="16:16" x14ac:dyDescent="0.25">
      <c r="P1237">
        <f t="shared" si="19"/>
        <v>1900</v>
      </c>
    </row>
    <row r="1238" spans="16:16" x14ac:dyDescent="0.25">
      <c r="P1238">
        <f t="shared" si="19"/>
        <v>1900</v>
      </c>
    </row>
    <row r="1239" spans="16:16" x14ac:dyDescent="0.25">
      <c r="P1239">
        <f t="shared" si="19"/>
        <v>1900</v>
      </c>
    </row>
    <row r="1240" spans="16:16" x14ac:dyDescent="0.25">
      <c r="P1240">
        <f t="shared" si="19"/>
        <v>1900</v>
      </c>
    </row>
    <row r="1241" spans="16:16" x14ac:dyDescent="0.25">
      <c r="P1241">
        <f t="shared" si="19"/>
        <v>1900</v>
      </c>
    </row>
    <row r="1242" spans="16:16" x14ac:dyDescent="0.25">
      <c r="P1242">
        <f t="shared" si="19"/>
        <v>1900</v>
      </c>
    </row>
    <row r="1243" spans="16:16" x14ac:dyDescent="0.25">
      <c r="P1243">
        <f t="shared" si="19"/>
        <v>1900</v>
      </c>
    </row>
    <row r="1244" spans="16:16" x14ac:dyDescent="0.25">
      <c r="P1244">
        <f t="shared" si="19"/>
        <v>1900</v>
      </c>
    </row>
    <row r="1245" spans="16:16" x14ac:dyDescent="0.25">
      <c r="P1245">
        <f t="shared" si="19"/>
        <v>1900</v>
      </c>
    </row>
    <row r="1246" spans="16:16" x14ac:dyDescent="0.25">
      <c r="P1246">
        <f t="shared" si="19"/>
        <v>1900</v>
      </c>
    </row>
    <row r="1247" spans="16:16" x14ac:dyDescent="0.25">
      <c r="P1247">
        <f t="shared" si="19"/>
        <v>1900</v>
      </c>
    </row>
    <row r="1248" spans="16:16" x14ac:dyDescent="0.25">
      <c r="P1248">
        <f t="shared" si="19"/>
        <v>1900</v>
      </c>
    </row>
    <row r="1249" spans="16:16" x14ac:dyDescent="0.25">
      <c r="P1249">
        <f t="shared" si="19"/>
        <v>1900</v>
      </c>
    </row>
    <row r="1250" spans="16:16" x14ac:dyDescent="0.25">
      <c r="P1250">
        <f t="shared" si="19"/>
        <v>1900</v>
      </c>
    </row>
    <row r="1251" spans="16:16" x14ac:dyDescent="0.25">
      <c r="P1251">
        <f t="shared" si="19"/>
        <v>1900</v>
      </c>
    </row>
    <row r="1252" spans="16:16" x14ac:dyDescent="0.25">
      <c r="P1252">
        <f t="shared" si="19"/>
        <v>1900</v>
      </c>
    </row>
    <row r="1253" spans="16:16" x14ac:dyDescent="0.25">
      <c r="P1253">
        <f t="shared" si="19"/>
        <v>1900</v>
      </c>
    </row>
    <row r="1254" spans="16:16" x14ac:dyDescent="0.25">
      <c r="P1254">
        <f t="shared" si="19"/>
        <v>1900</v>
      </c>
    </row>
    <row r="1255" spans="16:16" x14ac:dyDescent="0.25">
      <c r="P1255">
        <f t="shared" si="19"/>
        <v>1900</v>
      </c>
    </row>
    <row r="1256" spans="16:16" x14ac:dyDescent="0.25">
      <c r="P1256">
        <f t="shared" si="19"/>
        <v>1900</v>
      </c>
    </row>
    <row r="1257" spans="16:16" x14ac:dyDescent="0.25">
      <c r="P1257">
        <f t="shared" si="19"/>
        <v>1900</v>
      </c>
    </row>
    <row r="1258" spans="16:16" x14ac:dyDescent="0.25">
      <c r="P1258">
        <f t="shared" si="19"/>
        <v>1900</v>
      </c>
    </row>
    <row r="1259" spans="16:16" x14ac:dyDescent="0.25">
      <c r="P1259">
        <f t="shared" si="19"/>
        <v>1900</v>
      </c>
    </row>
    <row r="1260" spans="16:16" x14ac:dyDescent="0.25">
      <c r="P1260">
        <f t="shared" si="19"/>
        <v>1900</v>
      </c>
    </row>
    <row r="1261" spans="16:16" x14ac:dyDescent="0.25">
      <c r="P1261">
        <f t="shared" si="19"/>
        <v>1900</v>
      </c>
    </row>
    <row r="1262" spans="16:16" x14ac:dyDescent="0.25">
      <c r="P1262">
        <f t="shared" si="19"/>
        <v>1900</v>
      </c>
    </row>
    <row r="1263" spans="16:16" x14ac:dyDescent="0.25">
      <c r="P1263">
        <f t="shared" si="19"/>
        <v>1900</v>
      </c>
    </row>
    <row r="1264" spans="16:16" x14ac:dyDescent="0.25">
      <c r="P1264">
        <f t="shared" si="19"/>
        <v>1900</v>
      </c>
    </row>
    <row r="1265" spans="16:16" x14ac:dyDescent="0.25">
      <c r="P1265">
        <f t="shared" si="19"/>
        <v>1900</v>
      </c>
    </row>
    <row r="1266" spans="16:16" x14ac:dyDescent="0.25">
      <c r="P1266">
        <f t="shared" si="19"/>
        <v>1900</v>
      </c>
    </row>
    <row r="1267" spans="16:16" x14ac:dyDescent="0.25">
      <c r="P1267">
        <f t="shared" si="19"/>
        <v>1900</v>
      </c>
    </row>
    <row r="1268" spans="16:16" x14ac:dyDescent="0.25">
      <c r="P1268">
        <f t="shared" si="19"/>
        <v>1900</v>
      </c>
    </row>
    <row r="1269" spans="16:16" x14ac:dyDescent="0.25">
      <c r="P1269">
        <f t="shared" si="19"/>
        <v>1900</v>
      </c>
    </row>
    <row r="1270" spans="16:16" x14ac:dyDescent="0.25">
      <c r="P1270">
        <f t="shared" si="19"/>
        <v>1900</v>
      </c>
    </row>
    <row r="1271" spans="16:16" x14ac:dyDescent="0.25">
      <c r="P1271">
        <f t="shared" si="19"/>
        <v>1900</v>
      </c>
    </row>
    <row r="1272" spans="16:16" x14ac:dyDescent="0.25">
      <c r="P1272">
        <f t="shared" si="19"/>
        <v>1900</v>
      </c>
    </row>
    <row r="1273" spans="16:16" x14ac:dyDescent="0.25">
      <c r="P1273">
        <f t="shared" si="19"/>
        <v>1900</v>
      </c>
    </row>
    <row r="1274" spans="16:16" x14ac:dyDescent="0.25">
      <c r="P1274">
        <f t="shared" si="19"/>
        <v>1900</v>
      </c>
    </row>
    <row r="1275" spans="16:16" x14ac:dyDescent="0.25">
      <c r="P1275">
        <f t="shared" si="19"/>
        <v>1900</v>
      </c>
    </row>
    <row r="1276" spans="16:16" x14ac:dyDescent="0.25">
      <c r="P1276">
        <f t="shared" si="19"/>
        <v>1900</v>
      </c>
    </row>
    <row r="1277" spans="16:16" x14ac:dyDescent="0.25">
      <c r="P1277">
        <f t="shared" si="19"/>
        <v>1900</v>
      </c>
    </row>
    <row r="1278" spans="16:16" x14ac:dyDescent="0.25">
      <c r="P1278">
        <f t="shared" si="19"/>
        <v>1900</v>
      </c>
    </row>
    <row r="1279" spans="16:16" x14ac:dyDescent="0.25">
      <c r="P1279">
        <f t="shared" si="19"/>
        <v>1900</v>
      </c>
    </row>
    <row r="1280" spans="16:16" x14ac:dyDescent="0.25">
      <c r="P1280">
        <f t="shared" si="19"/>
        <v>1900</v>
      </c>
    </row>
    <row r="1281" spans="16:16" x14ac:dyDescent="0.25">
      <c r="P1281">
        <f t="shared" si="19"/>
        <v>1900</v>
      </c>
    </row>
    <row r="1282" spans="16:16" x14ac:dyDescent="0.25">
      <c r="P1282">
        <f t="shared" ref="P1282:P1345" si="20">IFERROR(YEAR(D1282),"")</f>
        <v>1900</v>
      </c>
    </row>
    <row r="1283" spans="16:16" x14ac:dyDescent="0.25">
      <c r="P1283">
        <f t="shared" si="20"/>
        <v>1900</v>
      </c>
    </row>
    <row r="1284" spans="16:16" x14ac:dyDescent="0.25">
      <c r="P1284">
        <f t="shared" si="20"/>
        <v>1900</v>
      </c>
    </row>
    <row r="1285" spans="16:16" x14ac:dyDescent="0.25">
      <c r="P1285">
        <f t="shared" si="20"/>
        <v>1900</v>
      </c>
    </row>
    <row r="1286" spans="16:16" x14ac:dyDescent="0.25">
      <c r="P1286">
        <f t="shared" si="20"/>
        <v>1900</v>
      </c>
    </row>
    <row r="1287" spans="16:16" x14ac:dyDescent="0.25">
      <c r="P1287">
        <f t="shared" si="20"/>
        <v>1900</v>
      </c>
    </row>
    <row r="1288" spans="16:16" x14ac:dyDescent="0.25">
      <c r="P1288">
        <f t="shared" si="20"/>
        <v>1900</v>
      </c>
    </row>
    <row r="1289" spans="16:16" x14ac:dyDescent="0.25">
      <c r="P1289">
        <f t="shared" si="20"/>
        <v>1900</v>
      </c>
    </row>
    <row r="1290" spans="16:16" x14ac:dyDescent="0.25">
      <c r="P1290">
        <f t="shared" si="20"/>
        <v>1900</v>
      </c>
    </row>
    <row r="1291" spans="16:16" x14ac:dyDescent="0.25">
      <c r="P1291">
        <f t="shared" si="20"/>
        <v>1900</v>
      </c>
    </row>
    <row r="1292" spans="16:16" x14ac:dyDescent="0.25">
      <c r="P1292">
        <f t="shared" si="20"/>
        <v>1900</v>
      </c>
    </row>
    <row r="1293" spans="16:16" x14ac:dyDescent="0.25">
      <c r="P1293">
        <f t="shared" si="20"/>
        <v>1900</v>
      </c>
    </row>
    <row r="1294" spans="16:16" x14ac:dyDescent="0.25">
      <c r="P1294">
        <f t="shared" si="20"/>
        <v>1900</v>
      </c>
    </row>
    <row r="1295" spans="16:16" x14ac:dyDescent="0.25">
      <c r="P1295">
        <f t="shared" si="20"/>
        <v>1900</v>
      </c>
    </row>
    <row r="1296" spans="16:16" x14ac:dyDescent="0.25">
      <c r="P1296">
        <f t="shared" si="20"/>
        <v>1900</v>
      </c>
    </row>
    <row r="1297" spans="16:16" x14ac:dyDescent="0.25">
      <c r="P1297">
        <f t="shared" si="20"/>
        <v>1900</v>
      </c>
    </row>
    <row r="1298" spans="16:16" x14ac:dyDescent="0.25">
      <c r="P1298">
        <f t="shared" si="20"/>
        <v>1900</v>
      </c>
    </row>
    <row r="1299" spans="16:16" x14ac:dyDescent="0.25">
      <c r="P1299">
        <f t="shared" si="20"/>
        <v>1900</v>
      </c>
    </row>
    <row r="1300" spans="16:16" x14ac:dyDescent="0.25">
      <c r="P1300">
        <f t="shared" si="20"/>
        <v>1900</v>
      </c>
    </row>
    <row r="1301" spans="16:16" x14ac:dyDescent="0.25">
      <c r="P1301">
        <f t="shared" si="20"/>
        <v>1900</v>
      </c>
    </row>
    <row r="1302" spans="16:16" x14ac:dyDescent="0.25">
      <c r="P1302">
        <f t="shared" si="20"/>
        <v>1900</v>
      </c>
    </row>
    <row r="1303" spans="16:16" x14ac:dyDescent="0.25">
      <c r="P1303">
        <f t="shared" si="20"/>
        <v>1900</v>
      </c>
    </row>
    <row r="1304" spans="16:16" x14ac:dyDescent="0.25">
      <c r="P1304">
        <f t="shared" si="20"/>
        <v>1900</v>
      </c>
    </row>
    <row r="1305" spans="16:16" x14ac:dyDescent="0.25">
      <c r="P1305">
        <f t="shared" si="20"/>
        <v>1900</v>
      </c>
    </row>
    <row r="1306" spans="16:16" x14ac:dyDescent="0.25">
      <c r="P1306">
        <f t="shared" si="20"/>
        <v>1900</v>
      </c>
    </row>
    <row r="1307" spans="16:16" x14ac:dyDescent="0.25">
      <c r="P1307">
        <f t="shared" si="20"/>
        <v>1900</v>
      </c>
    </row>
    <row r="1308" spans="16:16" x14ac:dyDescent="0.25">
      <c r="P1308">
        <f t="shared" si="20"/>
        <v>1900</v>
      </c>
    </row>
    <row r="1309" spans="16:16" x14ac:dyDescent="0.25">
      <c r="P1309">
        <f t="shared" si="20"/>
        <v>1900</v>
      </c>
    </row>
    <row r="1310" spans="16:16" x14ac:dyDescent="0.25">
      <c r="P1310">
        <f t="shared" si="20"/>
        <v>1900</v>
      </c>
    </row>
    <row r="1311" spans="16:16" x14ac:dyDescent="0.25">
      <c r="P1311">
        <f t="shared" si="20"/>
        <v>1900</v>
      </c>
    </row>
    <row r="1312" spans="16:16" x14ac:dyDescent="0.25">
      <c r="P1312">
        <f t="shared" si="20"/>
        <v>1900</v>
      </c>
    </row>
    <row r="1313" spans="16:16" x14ac:dyDescent="0.25">
      <c r="P1313">
        <f t="shared" si="20"/>
        <v>1900</v>
      </c>
    </row>
    <row r="1314" spans="16:16" x14ac:dyDescent="0.25">
      <c r="P1314">
        <f t="shared" si="20"/>
        <v>1900</v>
      </c>
    </row>
    <row r="1315" spans="16:16" x14ac:dyDescent="0.25">
      <c r="P1315">
        <f t="shared" si="20"/>
        <v>1900</v>
      </c>
    </row>
    <row r="1316" spans="16:16" x14ac:dyDescent="0.25">
      <c r="P1316">
        <f t="shared" si="20"/>
        <v>1900</v>
      </c>
    </row>
    <row r="1317" spans="16:16" x14ac:dyDescent="0.25">
      <c r="P1317">
        <f t="shared" si="20"/>
        <v>1900</v>
      </c>
    </row>
    <row r="1318" spans="16:16" x14ac:dyDescent="0.25">
      <c r="P1318">
        <f t="shared" si="20"/>
        <v>1900</v>
      </c>
    </row>
    <row r="1319" spans="16:16" x14ac:dyDescent="0.25">
      <c r="P1319">
        <f t="shared" si="20"/>
        <v>1900</v>
      </c>
    </row>
    <row r="1320" spans="16:16" x14ac:dyDescent="0.25">
      <c r="P1320">
        <f t="shared" si="20"/>
        <v>1900</v>
      </c>
    </row>
    <row r="1321" spans="16:16" x14ac:dyDescent="0.25">
      <c r="P1321">
        <f t="shared" si="20"/>
        <v>1900</v>
      </c>
    </row>
    <row r="1322" spans="16:16" x14ac:dyDescent="0.25">
      <c r="P1322">
        <f t="shared" si="20"/>
        <v>1900</v>
      </c>
    </row>
    <row r="1323" spans="16:16" x14ac:dyDescent="0.25">
      <c r="P1323">
        <f t="shared" si="20"/>
        <v>1900</v>
      </c>
    </row>
    <row r="1324" spans="16:16" x14ac:dyDescent="0.25">
      <c r="P1324">
        <f t="shared" si="20"/>
        <v>1900</v>
      </c>
    </row>
    <row r="1325" spans="16:16" x14ac:dyDescent="0.25">
      <c r="P1325">
        <f t="shared" si="20"/>
        <v>1900</v>
      </c>
    </row>
    <row r="1326" spans="16:16" x14ac:dyDescent="0.25">
      <c r="P1326">
        <f t="shared" si="20"/>
        <v>1900</v>
      </c>
    </row>
    <row r="1327" spans="16:16" x14ac:dyDescent="0.25">
      <c r="P1327">
        <f t="shared" si="20"/>
        <v>1900</v>
      </c>
    </row>
    <row r="1328" spans="16:16" x14ac:dyDescent="0.25">
      <c r="P1328">
        <f t="shared" si="20"/>
        <v>1900</v>
      </c>
    </row>
    <row r="1329" spans="16:16" x14ac:dyDescent="0.25">
      <c r="P1329">
        <f t="shared" si="20"/>
        <v>1900</v>
      </c>
    </row>
    <row r="1330" spans="16:16" x14ac:dyDescent="0.25">
      <c r="P1330">
        <f t="shared" si="20"/>
        <v>1900</v>
      </c>
    </row>
    <row r="1331" spans="16:16" x14ac:dyDescent="0.25">
      <c r="P1331">
        <f t="shared" si="20"/>
        <v>1900</v>
      </c>
    </row>
    <row r="1332" spans="16:16" x14ac:dyDescent="0.25">
      <c r="P1332">
        <f t="shared" si="20"/>
        <v>1900</v>
      </c>
    </row>
    <row r="1333" spans="16:16" x14ac:dyDescent="0.25">
      <c r="P1333">
        <f t="shared" si="20"/>
        <v>1900</v>
      </c>
    </row>
    <row r="1334" spans="16:16" x14ac:dyDescent="0.25">
      <c r="P1334">
        <f t="shared" si="20"/>
        <v>1900</v>
      </c>
    </row>
    <row r="1335" spans="16:16" x14ac:dyDescent="0.25">
      <c r="P1335">
        <f t="shared" si="20"/>
        <v>1900</v>
      </c>
    </row>
    <row r="1336" spans="16:16" x14ac:dyDescent="0.25">
      <c r="P1336">
        <f t="shared" si="20"/>
        <v>1900</v>
      </c>
    </row>
    <row r="1337" spans="16:16" x14ac:dyDescent="0.25">
      <c r="P1337">
        <f t="shared" si="20"/>
        <v>1900</v>
      </c>
    </row>
    <row r="1338" spans="16:16" x14ac:dyDescent="0.25">
      <c r="P1338">
        <f t="shared" si="20"/>
        <v>1900</v>
      </c>
    </row>
    <row r="1339" spans="16:16" x14ac:dyDescent="0.25">
      <c r="P1339">
        <f t="shared" si="20"/>
        <v>1900</v>
      </c>
    </row>
    <row r="1340" spans="16:16" x14ac:dyDescent="0.25">
      <c r="P1340">
        <f t="shared" si="20"/>
        <v>1900</v>
      </c>
    </row>
    <row r="1341" spans="16:16" x14ac:dyDescent="0.25">
      <c r="P1341">
        <f t="shared" si="20"/>
        <v>1900</v>
      </c>
    </row>
    <row r="1342" spans="16:16" x14ac:dyDescent="0.25">
      <c r="P1342">
        <f t="shared" si="20"/>
        <v>1900</v>
      </c>
    </row>
    <row r="1343" spans="16:16" x14ac:dyDescent="0.25">
      <c r="P1343">
        <f t="shared" si="20"/>
        <v>1900</v>
      </c>
    </row>
    <row r="1344" spans="16:16" x14ac:dyDescent="0.25">
      <c r="P1344">
        <f t="shared" si="20"/>
        <v>1900</v>
      </c>
    </row>
    <row r="1345" spans="16:16" x14ac:dyDescent="0.25">
      <c r="P1345">
        <f t="shared" si="20"/>
        <v>1900</v>
      </c>
    </row>
    <row r="1346" spans="16:16" x14ac:dyDescent="0.25">
      <c r="P1346">
        <f t="shared" ref="P1346:P1409" si="21">IFERROR(YEAR(D1346),"")</f>
        <v>1900</v>
      </c>
    </row>
    <row r="1347" spans="16:16" x14ac:dyDescent="0.25">
      <c r="P1347">
        <f t="shared" si="21"/>
        <v>1900</v>
      </c>
    </row>
    <row r="1348" spans="16:16" x14ac:dyDescent="0.25">
      <c r="P1348">
        <f t="shared" si="21"/>
        <v>1900</v>
      </c>
    </row>
    <row r="1349" spans="16:16" x14ac:dyDescent="0.25">
      <c r="P1349">
        <f t="shared" si="21"/>
        <v>1900</v>
      </c>
    </row>
    <row r="1350" spans="16:16" x14ac:dyDescent="0.25">
      <c r="P1350">
        <f t="shared" si="21"/>
        <v>1900</v>
      </c>
    </row>
    <row r="1351" spans="16:16" x14ac:dyDescent="0.25">
      <c r="P1351">
        <f t="shared" si="21"/>
        <v>1900</v>
      </c>
    </row>
    <row r="1352" spans="16:16" x14ac:dyDescent="0.25">
      <c r="P1352">
        <f t="shared" si="21"/>
        <v>1900</v>
      </c>
    </row>
    <row r="1353" spans="16:16" x14ac:dyDescent="0.25">
      <c r="P1353">
        <f t="shared" si="21"/>
        <v>1900</v>
      </c>
    </row>
    <row r="1354" spans="16:16" x14ac:dyDescent="0.25">
      <c r="P1354">
        <f t="shared" si="21"/>
        <v>1900</v>
      </c>
    </row>
    <row r="1355" spans="16:16" x14ac:dyDescent="0.25">
      <c r="P1355">
        <f t="shared" si="21"/>
        <v>1900</v>
      </c>
    </row>
    <row r="1356" spans="16:16" x14ac:dyDescent="0.25">
      <c r="P1356">
        <f t="shared" si="21"/>
        <v>1900</v>
      </c>
    </row>
    <row r="1357" spans="16:16" x14ac:dyDescent="0.25">
      <c r="P1357">
        <f t="shared" si="21"/>
        <v>1900</v>
      </c>
    </row>
    <row r="1358" spans="16:16" x14ac:dyDescent="0.25">
      <c r="P1358">
        <f t="shared" si="21"/>
        <v>1900</v>
      </c>
    </row>
    <row r="1359" spans="16:16" x14ac:dyDescent="0.25">
      <c r="P1359">
        <f t="shared" si="21"/>
        <v>1900</v>
      </c>
    </row>
    <row r="1360" spans="16:16" x14ac:dyDescent="0.25">
      <c r="P1360">
        <f t="shared" si="21"/>
        <v>1900</v>
      </c>
    </row>
    <row r="1361" spans="16:16" x14ac:dyDescent="0.25">
      <c r="P1361">
        <f t="shared" si="21"/>
        <v>1900</v>
      </c>
    </row>
    <row r="1362" spans="16:16" x14ac:dyDescent="0.25">
      <c r="P1362">
        <f t="shared" si="21"/>
        <v>1900</v>
      </c>
    </row>
    <row r="1363" spans="16:16" x14ac:dyDescent="0.25">
      <c r="P1363">
        <f t="shared" si="21"/>
        <v>1900</v>
      </c>
    </row>
    <row r="1364" spans="16:16" x14ac:dyDescent="0.25">
      <c r="P1364">
        <f t="shared" si="21"/>
        <v>1900</v>
      </c>
    </row>
    <row r="1365" spans="16:16" x14ac:dyDescent="0.25">
      <c r="P1365">
        <f t="shared" si="21"/>
        <v>1900</v>
      </c>
    </row>
    <row r="1366" spans="16:16" x14ac:dyDescent="0.25">
      <c r="P1366">
        <f t="shared" si="21"/>
        <v>1900</v>
      </c>
    </row>
    <row r="1367" spans="16:16" x14ac:dyDescent="0.25">
      <c r="P1367">
        <f t="shared" si="21"/>
        <v>1900</v>
      </c>
    </row>
    <row r="1368" spans="16:16" x14ac:dyDescent="0.25">
      <c r="P1368">
        <f t="shared" si="21"/>
        <v>1900</v>
      </c>
    </row>
    <row r="1369" spans="16:16" x14ac:dyDescent="0.25">
      <c r="P1369">
        <f t="shared" si="21"/>
        <v>1900</v>
      </c>
    </row>
    <row r="1370" spans="16:16" x14ac:dyDescent="0.25">
      <c r="P1370">
        <f t="shared" si="21"/>
        <v>1900</v>
      </c>
    </row>
    <row r="1371" spans="16:16" x14ac:dyDescent="0.25">
      <c r="P1371">
        <f t="shared" si="21"/>
        <v>1900</v>
      </c>
    </row>
    <row r="1372" spans="16:16" x14ac:dyDescent="0.25">
      <c r="P1372">
        <f t="shared" si="21"/>
        <v>1900</v>
      </c>
    </row>
    <row r="1373" spans="16:16" x14ac:dyDescent="0.25">
      <c r="P1373">
        <f t="shared" si="21"/>
        <v>1900</v>
      </c>
    </row>
    <row r="1374" spans="16:16" x14ac:dyDescent="0.25">
      <c r="P1374">
        <f t="shared" si="21"/>
        <v>1900</v>
      </c>
    </row>
    <row r="1375" spans="16:16" x14ac:dyDescent="0.25">
      <c r="P1375">
        <f t="shared" si="21"/>
        <v>1900</v>
      </c>
    </row>
    <row r="1376" spans="16:16" x14ac:dyDescent="0.25">
      <c r="P1376">
        <f t="shared" si="21"/>
        <v>1900</v>
      </c>
    </row>
    <row r="1377" spans="16:16" x14ac:dyDescent="0.25">
      <c r="P1377">
        <f t="shared" si="21"/>
        <v>1900</v>
      </c>
    </row>
    <row r="1378" spans="16:16" x14ac:dyDescent="0.25">
      <c r="P1378">
        <f t="shared" si="21"/>
        <v>1900</v>
      </c>
    </row>
    <row r="1379" spans="16:16" x14ac:dyDescent="0.25">
      <c r="P1379">
        <f t="shared" si="21"/>
        <v>1900</v>
      </c>
    </row>
    <row r="1380" spans="16:16" x14ac:dyDescent="0.25">
      <c r="P1380">
        <f t="shared" si="21"/>
        <v>1900</v>
      </c>
    </row>
    <row r="1381" spans="16:16" x14ac:dyDescent="0.25">
      <c r="P1381">
        <f t="shared" si="21"/>
        <v>1900</v>
      </c>
    </row>
    <row r="1382" spans="16:16" x14ac:dyDescent="0.25">
      <c r="P1382">
        <f t="shared" si="21"/>
        <v>1900</v>
      </c>
    </row>
    <row r="1383" spans="16:16" x14ac:dyDescent="0.25">
      <c r="P1383">
        <f t="shared" si="21"/>
        <v>1900</v>
      </c>
    </row>
    <row r="1384" spans="16:16" x14ac:dyDescent="0.25">
      <c r="P1384">
        <f t="shared" si="21"/>
        <v>1900</v>
      </c>
    </row>
    <row r="1385" spans="16:16" x14ac:dyDescent="0.25">
      <c r="P1385">
        <f t="shared" si="21"/>
        <v>1900</v>
      </c>
    </row>
    <row r="1386" spans="16:16" x14ac:dyDescent="0.25">
      <c r="P1386">
        <f t="shared" si="21"/>
        <v>1900</v>
      </c>
    </row>
    <row r="1387" spans="16:16" x14ac:dyDescent="0.25">
      <c r="P1387">
        <f t="shared" si="21"/>
        <v>1900</v>
      </c>
    </row>
    <row r="1388" spans="16:16" x14ac:dyDescent="0.25">
      <c r="P1388">
        <f t="shared" si="21"/>
        <v>1900</v>
      </c>
    </row>
    <row r="1389" spans="16:16" x14ac:dyDescent="0.25">
      <c r="P1389">
        <f t="shared" si="21"/>
        <v>1900</v>
      </c>
    </row>
    <row r="1390" spans="16:16" x14ac:dyDescent="0.25">
      <c r="P1390">
        <f t="shared" si="21"/>
        <v>1900</v>
      </c>
    </row>
    <row r="1391" spans="16:16" x14ac:dyDescent="0.25">
      <c r="P1391">
        <f t="shared" si="21"/>
        <v>1900</v>
      </c>
    </row>
    <row r="1392" spans="16:16" x14ac:dyDescent="0.25">
      <c r="P1392">
        <f t="shared" si="21"/>
        <v>1900</v>
      </c>
    </row>
    <row r="1393" spans="16:16" x14ac:dyDescent="0.25">
      <c r="P1393">
        <f t="shared" si="21"/>
        <v>1900</v>
      </c>
    </row>
    <row r="1394" spans="16:16" x14ac:dyDescent="0.25">
      <c r="P1394">
        <f t="shared" si="21"/>
        <v>1900</v>
      </c>
    </row>
    <row r="1395" spans="16:16" x14ac:dyDescent="0.25">
      <c r="P1395">
        <f t="shared" si="21"/>
        <v>1900</v>
      </c>
    </row>
    <row r="1396" spans="16:16" x14ac:dyDescent="0.25">
      <c r="P1396">
        <f t="shared" si="21"/>
        <v>1900</v>
      </c>
    </row>
    <row r="1397" spans="16:16" x14ac:dyDescent="0.25">
      <c r="P1397">
        <f t="shared" si="21"/>
        <v>1900</v>
      </c>
    </row>
    <row r="1398" spans="16:16" x14ac:dyDescent="0.25">
      <c r="P1398">
        <f t="shared" si="21"/>
        <v>1900</v>
      </c>
    </row>
    <row r="1399" spans="16:16" x14ac:dyDescent="0.25">
      <c r="P1399">
        <f t="shared" si="21"/>
        <v>1900</v>
      </c>
    </row>
    <row r="1400" spans="16:16" x14ac:dyDescent="0.25">
      <c r="P1400">
        <f t="shared" si="21"/>
        <v>1900</v>
      </c>
    </row>
    <row r="1401" spans="16:16" x14ac:dyDescent="0.25">
      <c r="P1401">
        <f t="shared" si="21"/>
        <v>1900</v>
      </c>
    </row>
    <row r="1402" spans="16:16" x14ac:dyDescent="0.25">
      <c r="P1402">
        <f t="shared" si="21"/>
        <v>1900</v>
      </c>
    </row>
    <row r="1403" spans="16:16" x14ac:dyDescent="0.25">
      <c r="P1403">
        <f t="shared" si="21"/>
        <v>1900</v>
      </c>
    </row>
    <row r="1404" spans="16:16" x14ac:dyDescent="0.25">
      <c r="P1404">
        <f t="shared" si="21"/>
        <v>1900</v>
      </c>
    </row>
    <row r="1405" spans="16:16" x14ac:dyDescent="0.25">
      <c r="P1405">
        <f t="shared" si="21"/>
        <v>1900</v>
      </c>
    </row>
    <row r="1406" spans="16:16" x14ac:dyDescent="0.25">
      <c r="P1406">
        <f t="shared" si="21"/>
        <v>1900</v>
      </c>
    </row>
    <row r="1407" spans="16:16" x14ac:dyDescent="0.25">
      <c r="P1407">
        <f t="shared" si="21"/>
        <v>1900</v>
      </c>
    </row>
    <row r="1408" spans="16:16" x14ac:dyDescent="0.25">
      <c r="P1408">
        <f t="shared" si="21"/>
        <v>1900</v>
      </c>
    </row>
    <row r="1409" spans="16:16" x14ac:dyDescent="0.25">
      <c r="P1409">
        <f t="shared" si="21"/>
        <v>1900</v>
      </c>
    </row>
    <row r="1410" spans="16:16" x14ac:dyDescent="0.25">
      <c r="P1410">
        <f t="shared" ref="P1410:P1473" si="22">IFERROR(YEAR(D1410),"")</f>
        <v>1900</v>
      </c>
    </row>
    <row r="1411" spans="16:16" x14ac:dyDescent="0.25">
      <c r="P1411">
        <f t="shared" si="22"/>
        <v>1900</v>
      </c>
    </row>
    <row r="1412" spans="16:16" x14ac:dyDescent="0.25">
      <c r="P1412">
        <f t="shared" si="22"/>
        <v>1900</v>
      </c>
    </row>
    <row r="1413" spans="16:16" x14ac:dyDescent="0.25">
      <c r="P1413">
        <f t="shared" si="22"/>
        <v>1900</v>
      </c>
    </row>
    <row r="1414" spans="16:16" x14ac:dyDescent="0.25">
      <c r="P1414">
        <f t="shared" si="22"/>
        <v>1900</v>
      </c>
    </row>
    <row r="1415" spans="16:16" x14ac:dyDescent="0.25">
      <c r="P1415">
        <f t="shared" si="22"/>
        <v>1900</v>
      </c>
    </row>
    <row r="1416" spans="16:16" x14ac:dyDescent="0.25">
      <c r="P1416">
        <f t="shared" si="22"/>
        <v>1900</v>
      </c>
    </row>
    <row r="1417" spans="16:16" x14ac:dyDescent="0.25">
      <c r="P1417">
        <f t="shared" si="22"/>
        <v>1900</v>
      </c>
    </row>
    <row r="1418" spans="16:16" x14ac:dyDescent="0.25">
      <c r="P1418">
        <f t="shared" si="22"/>
        <v>1900</v>
      </c>
    </row>
    <row r="1419" spans="16:16" x14ac:dyDescent="0.25">
      <c r="P1419">
        <f t="shared" si="22"/>
        <v>1900</v>
      </c>
    </row>
    <row r="1420" spans="16:16" x14ac:dyDescent="0.25">
      <c r="P1420">
        <f t="shared" si="22"/>
        <v>1900</v>
      </c>
    </row>
    <row r="1421" spans="16:16" x14ac:dyDescent="0.25">
      <c r="P1421">
        <f t="shared" si="22"/>
        <v>1900</v>
      </c>
    </row>
    <row r="1422" spans="16:16" x14ac:dyDescent="0.25">
      <c r="P1422">
        <f t="shared" si="22"/>
        <v>1900</v>
      </c>
    </row>
    <row r="1423" spans="16:16" x14ac:dyDescent="0.25">
      <c r="P1423">
        <f t="shared" si="22"/>
        <v>1900</v>
      </c>
    </row>
    <row r="1424" spans="16:16" x14ac:dyDescent="0.25">
      <c r="P1424">
        <f t="shared" si="22"/>
        <v>1900</v>
      </c>
    </row>
    <row r="1425" spans="16:16" x14ac:dyDescent="0.25">
      <c r="P1425">
        <f t="shared" si="22"/>
        <v>1900</v>
      </c>
    </row>
    <row r="1426" spans="16:16" x14ac:dyDescent="0.25">
      <c r="P1426">
        <f t="shared" si="22"/>
        <v>1900</v>
      </c>
    </row>
    <row r="1427" spans="16:16" x14ac:dyDescent="0.25">
      <c r="P1427">
        <f t="shared" si="22"/>
        <v>1900</v>
      </c>
    </row>
    <row r="1428" spans="16:16" x14ac:dyDescent="0.25">
      <c r="P1428">
        <f t="shared" si="22"/>
        <v>1900</v>
      </c>
    </row>
    <row r="1429" spans="16:16" x14ac:dyDescent="0.25">
      <c r="P1429">
        <f t="shared" si="22"/>
        <v>1900</v>
      </c>
    </row>
    <row r="1430" spans="16:16" x14ac:dyDescent="0.25">
      <c r="P1430">
        <f t="shared" si="22"/>
        <v>1900</v>
      </c>
    </row>
    <row r="1431" spans="16:16" x14ac:dyDescent="0.25">
      <c r="P1431">
        <f t="shared" si="22"/>
        <v>1900</v>
      </c>
    </row>
    <row r="1432" spans="16:16" x14ac:dyDescent="0.25">
      <c r="P1432">
        <f t="shared" si="22"/>
        <v>1900</v>
      </c>
    </row>
    <row r="1433" spans="16:16" x14ac:dyDescent="0.25">
      <c r="P1433">
        <f t="shared" si="22"/>
        <v>1900</v>
      </c>
    </row>
    <row r="1434" spans="16:16" x14ac:dyDescent="0.25">
      <c r="P1434">
        <f t="shared" si="22"/>
        <v>1900</v>
      </c>
    </row>
    <row r="1435" spans="16:16" x14ac:dyDescent="0.25">
      <c r="P1435">
        <f t="shared" si="22"/>
        <v>1900</v>
      </c>
    </row>
    <row r="1436" spans="16:16" x14ac:dyDescent="0.25">
      <c r="P1436">
        <f t="shared" si="22"/>
        <v>1900</v>
      </c>
    </row>
    <row r="1437" spans="16:16" x14ac:dyDescent="0.25">
      <c r="P1437">
        <f t="shared" si="22"/>
        <v>1900</v>
      </c>
    </row>
    <row r="1438" spans="16:16" x14ac:dyDescent="0.25">
      <c r="P1438">
        <f t="shared" si="22"/>
        <v>1900</v>
      </c>
    </row>
    <row r="1439" spans="16:16" x14ac:dyDescent="0.25">
      <c r="P1439">
        <f t="shared" si="22"/>
        <v>1900</v>
      </c>
    </row>
    <row r="1440" spans="16:16" x14ac:dyDescent="0.25">
      <c r="P1440">
        <f t="shared" si="22"/>
        <v>1900</v>
      </c>
    </row>
    <row r="1441" spans="16:16" x14ac:dyDescent="0.25">
      <c r="P1441">
        <f t="shared" si="22"/>
        <v>1900</v>
      </c>
    </row>
    <row r="1442" spans="16:16" x14ac:dyDescent="0.25">
      <c r="P1442">
        <f t="shared" si="22"/>
        <v>1900</v>
      </c>
    </row>
    <row r="1443" spans="16:16" x14ac:dyDescent="0.25">
      <c r="P1443">
        <f t="shared" si="22"/>
        <v>1900</v>
      </c>
    </row>
    <row r="1444" spans="16:16" x14ac:dyDescent="0.25">
      <c r="P1444">
        <f t="shared" si="22"/>
        <v>1900</v>
      </c>
    </row>
    <row r="1445" spans="16:16" x14ac:dyDescent="0.25">
      <c r="P1445">
        <f t="shared" si="22"/>
        <v>1900</v>
      </c>
    </row>
    <row r="1446" spans="16:16" x14ac:dyDescent="0.25">
      <c r="P1446">
        <f t="shared" si="22"/>
        <v>1900</v>
      </c>
    </row>
    <row r="1447" spans="16:16" x14ac:dyDescent="0.25">
      <c r="P1447">
        <f t="shared" si="22"/>
        <v>1900</v>
      </c>
    </row>
    <row r="1448" spans="16:16" x14ac:dyDescent="0.25">
      <c r="P1448">
        <f t="shared" si="22"/>
        <v>1900</v>
      </c>
    </row>
    <row r="1449" spans="16:16" x14ac:dyDescent="0.25">
      <c r="P1449">
        <f t="shared" si="22"/>
        <v>1900</v>
      </c>
    </row>
    <row r="1450" spans="16:16" x14ac:dyDescent="0.25">
      <c r="P1450">
        <f t="shared" si="22"/>
        <v>1900</v>
      </c>
    </row>
    <row r="1451" spans="16:16" x14ac:dyDescent="0.25">
      <c r="P1451">
        <f t="shared" si="22"/>
        <v>1900</v>
      </c>
    </row>
    <row r="1452" spans="16:16" x14ac:dyDescent="0.25">
      <c r="P1452">
        <f t="shared" si="22"/>
        <v>1900</v>
      </c>
    </row>
    <row r="1453" spans="16:16" x14ac:dyDescent="0.25">
      <c r="P1453">
        <f t="shared" si="22"/>
        <v>1900</v>
      </c>
    </row>
    <row r="1454" spans="16:16" x14ac:dyDescent="0.25">
      <c r="P1454">
        <f t="shared" si="22"/>
        <v>1900</v>
      </c>
    </row>
    <row r="1455" spans="16:16" x14ac:dyDescent="0.25">
      <c r="P1455">
        <f t="shared" si="22"/>
        <v>1900</v>
      </c>
    </row>
    <row r="1456" spans="16:16" x14ac:dyDescent="0.25">
      <c r="P1456">
        <f t="shared" si="22"/>
        <v>1900</v>
      </c>
    </row>
    <row r="1457" spans="16:16" x14ac:dyDescent="0.25">
      <c r="P1457">
        <f t="shared" si="22"/>
        <v>1900</v>
      </c>
    </row>
    <row r="1458" spans="16:16" x14ac:dyDescent="0.25">
      <c r="P1458">
        <f t="shared" si="22"/>
        <v>1900</v>
      </c>
    </row>
    <row r="1459" spans="16:16" x14ac:dyDescent="0.25">
      <c r="P1459">
        <f t="shared" si="22"/>
        <v>1900</v>
      </c>
    </row>
    <row r="1460" spans="16:16" x14ac:dyDescent="0.25">
      <c r="P1460">
        <f t="shared" si="22"/>
        <v>1900</v>
      </c>
    </row>
    <row r="1461" spans="16:16" x14ac:dyDescent="0.25">
      <c r="P1461">
        <f t="shared" si="22"/>
        <v>1900</v>
      </c>
    </row>
    <row r="1462" spans="16:16" x14ac:dyDescent="0.25">
      <c r="P1462">
        <f t="shared" si="22"/>
        <v>1900</v>
      </c>
    </row>
    <row r="1463" spans="16:16" x14ac:dyDescent="0.25">
      <c r="P1463">
        <f t="shared" si="22"/>
        <v>1900</v>
      </c>
    </row>
    <row r="1464" spans="16:16" x14ac:dyDescent="0.25">
      <c r="P1464">
        <f t="shared" si="22"/>
        <v>1900</v>
      </c>
    </row>
    <row r="1465" spans="16:16" x14ac:dyDescent="0.25">
      <c r="P1465">
        <f t="shared" si="22"/>
        <v>1900</v>
      </c>
    </row>
    <row r="1466" spans="16:16" x14ac:dyDescent="0.25">
      <c r="P1466">
        <f t="shared" si="22"/>
        <v>1900</v>
      </c>
    </row>
    <row r="1467" spans="16:16" x14ac:dyDescent="0.25">
      <c r="P1467">
        <f t="shared" si="22"/>
        <v>1900</v>
      </c>
    </row>
    <row r="1468" spans="16:16" x14ac:dyDescent="0.25">
      <c r="P1468">
        <f t="shared" si="22"/>
        <v>1900</v>
      </c>
    </row>
    <row r="1469" spans="16:16" x14ac:dyDescent="0.25">
      <c r="P1469">
        <f t="shared" si="22"/>
        <v>1900</v>
      </c>
    </row>
    <row r="1470" spans="16:16" x14ac:dyDescent="0.25">
      <c r="P1470">
        <f t="shared" si="22"/>
        <v>1900</v>
      </c>
    </row>
    <row r="1471" spans="16:16" x14ac:dyDescent="0.25">
      <c r="P1471">
        <f t="shared" si="22"/>
        <v>1900</v>
      </c>
    </row>
    <row r="1472" spans="16:16" x14ac:dyDescent="0.25">
      <c r="P1472">
        <f t="shared" si="22"/>
        <v>1900</v>
      </c>
    </row>
    <row r="1473" spans="16:16" x14ac:dyDescent="0.25">
      <c r="P1473">
        <f t="shared" si="22"/>
        <v>1900</v>
      </c>
    </row>
    <row r="1474" spans="16:16" x14ac:dyDescent="0.25">
      <c r="P1474">
        <f t="shared" ref="P1474:P1537" si="23">IFERROR(YEAR(D1474),"")</f>
        <v>1900</v>
      </c>
    </row>
    <row r="1475" spans="16:16" x14ac:dyDescent="0.25">
      <c r="P1475">
        <f t="shared" si="23"/>
        <v>1900</v>
      </c>
    </row>
    <row r="1476" spans="16:16" x14ac:dyDescent="0.25">
      <c r="P1476">
        <f t="shared" si="23"/>
        <v>1900</v>
      </c>
    </row>
    <row r="1477" spans="16:16" x14ac:dyDescent="0.25">
      <c r="P1477">
        <f t="shared" si="23"/>
        <v>1900</v>
      </c>
    </row>
    <row r="1478" spans="16:16" x14ac:dyDescent="0.25">
      <c r="P1478">
        <f t="shared" si="23"/>
        <v>1900</v>
      </c>
    </row>
    <row r="1479" spans="16:16" x14ac:dyDescent="0.25">
      <c r="P1479">
        <f t="shared" si="23"/>
        <v>1900</v>
      </c>
    </row>
    <row r="1480" spans="16:16" x14ac:dyDescent="0.25">
      <c r="P1480">
        <f t="shared" si="23"/>
        <v>1900</v>
      </c>
    </row>
    <row r="1481" spans="16:16" x14ac:dyDescent="0.25">
      <c r="P1481">
        <f t="shared" si="23"/>
        <v>1900</v>
      </c>
    </row>
    <row r="1482" spans="16:16" x14ac:dyDescent="0.25">
      <c r="P1482">
        <f t="shared" si="23"/>
        <v>1900</v>
      </c>
    </row>
    <row r="1483" spans="16:16" x14ac:dyDescent="0.25">
      <c r="P1483">
        <f t="shared" si="23"/>
        <v>1900</v>
      </c>
    </row>
    <row r="1484" spans="16:16" x14ac:dyDescent="0.25">
      <c r="P1484">
        <f t="shared" si="23"/>
        <v>1900</v>
      </c>
    </row>
    <row r="1485" spans="16:16" x14ac:dyDescent="0.25">
      <c r="P1485">
        <f t="shared" si="23"/>
        <v>1900</v>
      </c>
    </row>
    <row r="1486" spans="16:16" x14ac:dyDescent="0.25">
      <c r="P1486">
        <f t="shared" si="23"/>
        <v>1900</v>
      </c>
    </row>
    <row r="1487" spans="16:16" x14ac:dyDescent="0.25">
      <c r="P1487">
        <f t="shared" si="23"/>
        <v>1900</v>
      </c>
    </row>
    <row r="1488" spans="16:16" x14ac:dyDescent="0.25">
      <c r="P1488">
        <f t="shared" si="23"/>
        <v>1900</v>
      </c>
    </row>
    <row r="1489" spans="16:16" x14ac:dyDescent="0.25">
      <c r="P1489">
        <f t="shared" si="23"/>
        <v>1900</v>
      </c>
    </row>
    <row r="1490" spans="16:16" x14ac:dyDescent="0.25">
      <c r="P1490">
        <f t="shared" si="23"/>
        <v>1900</v>
      </c>
    </row>
    <row r="1491" spans="16:16" x14ac:dyDescent="0.25">
      <c r="P1491">
        <f t="shared" si="23"/>
        <v>1900</v>
      </c>
    </row>
    <row r="1492" spans="16:16" x14ac:dyDescent="0.25">
      <c r="P1492">
        <f t="shared" si="23"/>
        <v>1900</v>
      </c>
    </row>
    <row r="1493" spans="16:16" x14ac:dyDescent="0.25">
      <c r="P1493">
        <f t="shared" si="23"/>
        <v>1900</v>
      </c>
    </row>
    <row r="1494" spans="16:16" x14ac:dyDescent="0.25">
      <c r="P1494">
        <f t="shared" si="23"/>
        <v>1900</v>
      </c>
    </row>
    <row r="1495" spans="16:16" x14ac:dyDescent="0.25">
      <c r="P1495">
        <f t="shared" si="23"/>
        <v>1900</v>
      </c>
    </row>
    <row r="1496" spans="16:16" x14ac:dyDescent="0.25">
      <c r="P1496">
        <f t="shared" si="23"/>
        <v>1900</v>
      </c>
    </row>
    <row r="1497" spans="16:16" x14ac:dyDescent="0.25">
      <c r="P1497">
        <f t="shared" si="23"/>
        <v>1900</v>
      </c>
    </row>
    <row r="1498" spans="16:16" x14ac:dyDescent="0.25">
      <c r="P1498">
        <f t="shared" si="23"/>
        <v>1900</v>
      </c>
    </row>
    <row r="1499" spans="16:16" x14ac:dyDescent="0.25">
      <c r="P1499">
        <f t="shared" si="23"/>
        <v>1900</v>
      </c>
    </row>
    <row r="1500" spans="16:16" x14ac:dyDescent="0.25">
      <c r="P1500">
        <f t="shared" si="23"/>
        <v>1900</v>
      </c>
    </row>
    <row r="1501" spans="16:16" x14ac:dyDescent="0.25">
      <c r="P1501">
        <f t="shared" si="23"/>
        <v>1900</v>
      </c>
    </row>
    <row r="1502" spans="16:16" x14ac:dyDescent="0.25">
      <c r="P1502">
        <f t="shared" si="23"/>
        <v>1900</v>
      </c>
    </row>
    <row r="1503" spans="16:16" x14ac:dyDescent="0.25">
      <c r="P1503">
        <f t="shared" si="23"/>
        <v>1900</v>
      </c>
    </row>
    <row r="1504" spans="16:16" x14ac:dyDescent="0.25">
      <c r="P1504">
        <f t="shared" si="23"/>
        <v>1900</v>
      </c>
    </row>
    <row r="1505" spans="16:16" x14ac:dyDescent="0.25">
      <c r="P1505">
        <f t="shared" si="23"/>
        <v>1900</v>
      </c>
    </row>
    <row r="1506" spans="16:16" x14ac:dyDescent="0.25">
      <c r="P1506">
        <f t="shared" si="23"/>
        <v>1900</v>
      </c>
    </row>
    <row r="1507" spans="16:16" x14ac:dyDescent="0.25">
      <c r="P1507">
        <f t="shared" si="23"/>
        <v>1900</v>
      </c>
    </row>
    <row r="1508" spans="16:16" x14ac:dyDescent="0.25">
      <c r="P1508">
        <f t="shared" si="23"/>
        <v>1900</v>
      </c>
    </row>
    <row r="1509" spans="16:16" x14ac:dyDescent="0.25">
      <c r="P1509">
        <f t="shared" si="23"/>
        <v>1900</v>
      </c>
    </row>
    <row r="1510" spans="16:16" x14ac:dyDescent="0.25">
      <c r="P1510">
        <f t="shared" si="23"/>
        <v>1900</v>
      </c>
    </row>
    <row r="1511" spans="16:16" x14ac:dyDescent="0.25">
      <c r="P1511">
        <f t="shared" si="23"/>
        <v>1900</v>
      </c>
    </row>
    <row r="1512" spans="16:16" x14ac:dyDescent="0.25">
      <c r="P1512">
        <f t="shared" si="23"/>
        <v>1900</v>
      </c>
    </row>
    <row r="1513" spans="16:16" x14ac:dyDescent="0.25">
      <c r="P1513">
        <f t="shared" si="23"/>
        <v>1900</v>
      </c>
    </row>
    <row r="1514" spans="16:16" x14ac:dyDescent="0.25">
      <c r="P1514">
        <f t="shared" si="23"/>
        <v>1900</v>
      </c>
    </row>
    <row r="1515" spans="16:16" x14ac:dyDescent="0.25">
      <c r="P1515">
        <f t="shared" si="23"/>
        <v>1900</v>
      </c>
    </row>
    <row r="1516" spans="16:16" x14ac:dyDescent="0.25">
      <c r="P1516">
        <f t="shared" si="23"/>
        <v>1900</v>
      </c>
    </row>
    <row r="1517" spans="16:16" x14ac:dyDescent="0.25">
      <c r="P1517">
        <f t="shared" si="23"/>
        <v>1900</v>
      </c>
    </row>
    <row r="1518" spans="16:16" x14ac:dyDescent="0.25">
      <c r="P1518">
        <f t="shared" si="23"/>
        <v>1900</v>
      </c>
    </row>
    <row r="1519" spans="16:16" x14ac:dyDescent="0.25">
      <c r="P1519">
        <f t="shared" si="23"/>
        <v>1900</v>
      </c>
    </row>
    <row r="1520" spans="16:16" x14ac:dyDescent="0.25">
      <c r="P1520">
        <f t="shared" si="23"/>
        <v>1900</v>
      </c>
    </row>
    <row r="1521" spans="16:16" x14ac:dyDescent="0.25">
      <c r="P1521">
        <f t="shared" si="23"/>
        <v>1900</v>
      </c>
    </row>
    <row r="1522" spans="16:16" x14ac:dyDescent="0.25">
      <c r="P1522">
        <f t="shared" si="23"/>
        <v>1900</v>
      </c>
    </row>
    <row r="1523" spans="16:16" x14ac:dyDescent="0.25">
      <c r="P1523">
        <f t="shared" si="23"/>
        <v>1900</v>
      </c>
    </row>
    <row r="1524" spans="16:16" x14ac:dyDescent="0.25">
      <c r="P1524">
        <f t="shared" si="23"/>
        <v>1900</v>
      </c>
    </row>
    <row r="1525" spans="16:16" x14ac:dyDescent="0.25">
      <c r="P1525">
        <f t="shared" si="23"/>
        <v>1900</v>
      </c>
    </row>
    <row r="1526" spans="16:16" x14ac:dyDescent="0.25">
      <c r="P1526">
        <f t="shared" si="23"/>
        <v>1900</v>
      </c>
    </row>
    <row r="1527" spans="16:16" x14ac:dyDescent="0.25">
      <c r="P1527">
        <f t="shared" si="23"/>
        <v>1900</v>
      </c>
    </row>
    <row r="1528" spans="16:16" x14ac:dyDescent="0.25">
      <c r="P1528">
        <f t="shared" si="23"/>
        <v>1900</v>
      </c>
    </row>
    <row r="1529" spans="16:16" x14ac:dyDescent="0.25">
      <c r="P1529">
        <f t="shared" si="23"/>
        <v>1900</v>
      </c>
    </row>
    <row r="1530" spans="16:16" x14ac:dyDescent="0.25">
      <c r="P1530">
        <f t="shared" si="23"/>
        <v>1900</v>
      </c>
    </row>
    <row r="1531" spans="16:16" x14ac:dyDescent="0.25">
      <c r="P1531">
        <f t="shared" si="23"/>
        <v>1900</v>
      </c>
    </row>
    <row r="1532" spans="16:16" x14ac:dyDescent="0.25">
      <c r="P1532">
        <f t="shared" si="23"/>
        <v>1900</v>
      </c>
    </row>
    <row r="1533" spans="16:16" x14ac:dyDescent="0.25">
      <c r="P1533">
        <f t="shared" si="23"/>
        <v>1900</v>
      </c>
    </row>
    <row r="1534" spans="16:16" x14ac:dyDescent="0.25">
      <c r="P1534">
        <f t="shared" si="23"/>
        <v>1900</v>
      </c>
    </row>
    <row r="1535" spans="16:16" x14ac:dyDescent="0.25">
      <c r="P1535">
        <f t="shared" si="23"/>
        <v>1900</v>
      </c>
    </row>
    <row r="1536" spans="16:16" x14ac:dyDescent="0.25">
      <c r="P1536">
        <f t="shared" si="23"/>
        <v>1900</v>
      </c>
    </row>
    <row r="1537" spans="16:16" x14ac:dyDescent="0.25">
      <c r="P1537">
        <f t="shared" si="23"/>
        <v>1900</v>
      </c>
    </row>
    <row r="1538" spans="16:16" x14ac:dyDescent="0.25">
      <c r="P1538">
        <f t="shared" ref="P1538:P1601" si="24">IFERROR(YEAR(D1538),"")</f>
        <v>1900</v>
      </c>
    </row>
    <row r="1539" spans="16:16" x14ac:dyDescent="0.25">
      <c r="P1539">
        <f t="shared" si="24"/>
        <v>1900</v>
      </c>
    </row>
    <row r="1540" spans="16:16" x14ac:dyDescent="0.25">
      <c r="P1540">
        <f t="shared" si="24"/>
        <v>1900</v>
      </c>
    </row>
    <row r="1541" spans="16:16" x14ac:dyDescent="0.25">
      <c r="P1541">
        <f t="shared" si="24"/>
        <v>1900</v>
      </c>
    </row>
    <row r="1542" spans="16:16" x14ac:dyDescent="0.25">
      <c r="P1542">
        <f t="shared" si="24"/>
        <v>1900</v>
      </c>
    </row>
    <row r="1543" spans="16:16" x14ac:dyDescent="0.25">
      <c r="P1543">
        <f t="shared" si="24"/>
        <v>1900</v>
      </c>
    </row>
    <row r="1544" spans="16:16" x14ac:dyDescent="0.25">
      <c r="P1544">
        <f t="shared" si="24"/>
        <v>1900</v>
      </c>
    </row>
    <row r="1545" spans="16:16" x14ac:dyDescent="0.25">
      <c r="P1545">
        <f t="shared" si="24"/>
        <v>1900</v>
      </c>
    </row>
    <row r="1546" spans="16:16" x14ac:dyDescent="0.25">
      <c r="P1546">
        <f t="shared" si="24"/>
        <v>1900</v>
      </c>
    </row>
    <row r="1547" spans="16:16" x14ac:dyDescent="0.25">
      <c r="P1547">
        <f t="shared" si="24"/>
        <v>1900</v>
      </c>
    </row>
    <row r="1548" spans="16:16" x14ac:dyDescent="0.25">
      <c r="P1548">
        <f t="shared" si="24"/>
        <v>1900</v>
      </c>
    </row>
    <row r="1549" spans="16:16" x14ac:dyDescent="0.25">
      <c r="P1549">
        <f t="shared" si="24"/>
        <v>1900</v>
      </c>
    </row>
    <row r="1550" spans="16:16" x14ac:dyDescent="0.25">
      <c r="P1550">
        <f t="shared" si="24"/>
        <v>1900</v>
      </c>
    </row>
    <row r="1551" spans="16:16" x14ac:dyDescent="0.25">
      <c r="P1551">
        <f t="shared" si="24"/>
        <v>1900</v>
      </c>
    </row>
    <row r="1552" spans="16:16" x14ac:dyDescent="0.25">
      <c r="P1552">
        <f t="shared" si="24"/>
        <v>1900</v>
      </c>
    </row>
    <row r="1553" spans="16:16" x14ac:dyDescent="0.25">
      <c r="P1553">
        <f t="shared" si="24"/>
        <v>1900</v>
      </c>
    </row>
    <row r="1554" spans="16:16" x14ac:dyDescent="0.25">
      <c r="P1554">
        <f t="shared" si="24"/>
        <v>1900</v>
      </c>
    </row>
    <row r="1555" spans="16:16" x14ac:dyDescent="0.25">
      <c r="P1555">
        <f t="shared" si="24"/>
        <v>1900</v>
      </c>
    </row>
    <row r="1556" spans="16:16" x14ac:dyDescent="0.25">
      <c r="P1556">
        <f t="shared" si="24"/>
        <v>1900</v>
      </c>
    </row>
    <row r="1557" spans="16:16" x14ac:dyDescent="0.25">
      <c r="P1557">
        <f t="shared" si="24"/>
        <v>1900</v>
      </c>
    </row>
    <row r="1558" spans="16:16" x14ac:dyDescent="0.25">
      <c r="P1558">
        <f t="shared" si="24"/>
        <v>1900</v>
      </c>
    </row>
    <row r="1559" spans="16:16" x14ac:dyDescent="0.25">
      <c r="P1559">
        <f t="shared" si="24"/>
        <v>1900</v>
      </c>
    </row>
    <row r="1560" spans="16:16" x14ac:dyDescent="0.25">
      <c r="P1560">
        <f t="shared" si="24"/>
        <v>1900</v>
      </c>
    </row>
    <row r="1561" spans="16:16" x14ac:dyDescent="0.25">
      <c r="P1561">
        <f t="shared" si="24"/>
        <v>1900</v>
      </c>
    </row>
    <row r="1562" spans="16:16" x14ac:dyDescent="0.25">
      <c r="P1562">
        <f t="shared" si="24"/>
        <v>1900</v>
      </c>
    </row>
    <row r="1563" spans="16:16" x14ac:dyDescent="0.25">
      <c r="P1563">
        <f t="shared" si="24"/>
        <v>1900</v>
      </c>
    </row>
    <row r="1564" spans="16:16" x14ac:dyDescent="0.25">
      <c r="P1564">
        <f t="shared" si="24"/>
        <v>1900</v>
      </c>
    </row>
    <row r="1565" spans="16:16" x14ac:dyDescent="0.25">
      <c r="P1565">
        <f t="shared" si="24"/>
        <v>1900</v>
      </c>
    </row>
    <row r="1566" spans="16:16" x14ac:dyDescent="0.25">
      <c r="P1566">
        <f t="shared" si="24"/>
        <v>1900</v>
      </c>
    </row>
    <row r="1567" spans="16:16" x14ac:dyDescent="0.25">
      <c r="P1567">
        <f t="shared" si="24"/>
        <v>1900</v>
      </c>
    </row>
    <row r="1568" spans="16:16" x14ac:dyDescent="0.25">
      <c r="P1568">
        <f t="shared" si="24"/>
        <v>1900</v>
      </c>
    </row>
    <row r="1569" spans="16:16" x14ac:dyDescent="0.25">
      <c r="P1569">
        <f t="shared" si="24"/>
        <v>1900</v>
      </c>
    </row>
    <row r="1570" spans="16:16" x14ac:dyDescent="0.25">
      <c r="P1570">
        <f t="shared" si="24"/>
        <v>1900</v>
      </c>
    </row>
    <row r="1571" spans="16:16" x14ac:dyDescent="0.25">
      <c r="P1571">
        <f t="shared" si="24"/>
        <v>1900</v>
      </c>
    </row>
    <row r="1572" spans="16:16" x14ac:dyDescent="0.25">
      <c r="P1572">
        <f t="shared" si="24"/>
        <v>1900</v>
      </c>
    </row>
    <row r="1573" spans="16:16" x14ac:dyDescent="0.25">
      <c r="P1573">
        <f t="shared" si="24"/>
        <v>1900</v>
      </c>
    </row>
    <row r="1574" spans="16:16" x14ac:dyDescent="0.25">
      <c r="P1574">
        <f t="shared" si="24"/>
        <v>1900</v>
      </c>
    </row>
    <row r="1575" spans="16:16" x14ac:dyDescent="0.25">
      <c r="P1575">
        <f t="shared" si="24"/>
        <v>1900</v>
      </c>
    </row>
    <row r="1576" spans="16:16" x14ac:dyDescent="0.25">
      <c r="P1576">
        <f t="shared" si="24"/>
        <v>1900</v>
      </c>
    </row>
    <row r="1577" spans="16:16" x14ac:dyDescent="0.25">
      <c r="P1577">
        <f t="shared" si="24"/>
        <v>1900</v>
      </c>
    </row>
    <row r="1578" spans="16:16" x14ac:dyDescent="0.25">
      <c r="P1578">
        <f t="shared" si="24"/>
        <v>1900</v>
      </c>
    </row>
    <row r="1579" spans="16:16" x14ac:dyDescent="0.25">
      <c r="P1579">
        <f t="shared" si="24"/>
        <v>1900</v>
      </c>
    </row>
    <row r="1580" spans="16:16" x14ac:dyDescent="0.25">
      <c r="P1580">
        <f t="shared" si="24"/>
        <v>1900</v>
      </c>
    </row>
    <row r="1581" spans="16:16" x14ac:dyDescent="0.25">
      <c r="P1581">
        <f t="shared" si="24"/>
        <v>1900</v>
      </c>
    </row>
    <row r="1582" spans="16:16" x14ac:dyDescent="0.25">
      <c r="P1582">
        <f t="shared" si="24"/>
        <v>1900</v>
      </c>
    </row>
    <row r="1583" spans="16:16" x14ac:dyDescent="0.25">
      <c r="P1583">
        <f t="shared" si="24"/>
        <v>1900</v>
      </c>
    </row>
    <row r="1584" spans="16:16" x14ac:dyDescent="0.25">
      <c r="P1584">
        <f t="shared" si="24"/>
        <v>1900</v>
      </c>
    </row>
    <row r="1585" spans="16:16" x14ac:dyDescent="0.25">
      <c r="P1585">
        <f t="shared" si="24"/>
        <v>1900</v>
      </c>
    </row>
    <row r="1586" spans="16:16" x14ac:dyDescent="0.25">
      <c r="P1586">
        <f t="shared" si="24"/>
        <v>1900</v>
      </c>
    </row>
    <row r="1587" spans="16:16" x14ac:dyDescent="0.25">
      <c r="P1587">
        <f t="shared" si="24"/>
        <v>1900</v>
      </c>
    </row>
    <row r="1588" spans="16:16" x14ac:dyDescent="0.25">
      <c r="P1588">
        <f t="shared" si="24"/>
        <v>1900</v>
      </c>
    </row>
    <row r="1589" spans="16:16" x14ac:dyDescent="0.25">
      <c r="P1589">
        <f t="shared" si="24"/>
        <v>1900</v>
      </c>
    </row>
    <row r="1590" spans="16:16" x14ac:dyDescent="0.25">
      <c r="P1590">
        <f t="shared" si="24"/>
        <v>1900</v>
      </c>
    </row>
    <row r="1591" spans="16:16" x14ac:dyDescent="0.25">
      <c r="P1591">
        <f t="shared" si="24"/>
        <v>1900</v>
      </c>
    </row>
    <row r="1592" spans="16:16" x14ac:dyDescent="0.25">
      <c r="P1592">
        <f t="shared" si="24"/>
        <v>1900</v>
      </c>
    </row>
    <row r="1593" spans="16:16" x14ac:dyDescent="0.25">
      <c r="P1593">
        <f t="shared" si="24"/>
        <v>1900</v>
      </c>
    </row>
    <row r="1594" spans="16:16" x14ac:dyDescent="0.25">
      <c r="P1594">
        <f t="shared" si="24"/>
        <v>1900</v>
      </c>
    </row>
    <row r="1595" spans="16:16" x14ac:dyDescent="0.25">
      <c r="P1595">
        <f t="shared" si="24"/>
        <v>1900</v>
      </c>
    </row>
    <row r="1596" spans="16:16" x14ac:dyDescent="0.25">
      <c r="P1596">
        <f t="shared" si="24"/>
        <v>1900</v>
      </c>
    </row>
    <row r="1597" spans="16:16" x14ac:dyDescent="0.25">
      <c r="P1597">
        <f t="shared" si="24"/>
        <v>1900</v>
      </c>
    </row>
    <row r="1598" spans="16:16" x14ac:dyDescent="0.25">
      <c r="P1598">
        <f t="shared" si="24"/>
        <v>1900</v>
      </c>
    </row>
    <row r="1599" spans="16:16" x14ac:dyDescent="0.25">
      <c r="P1599">
        <f t="shared" si="24"/>
        <v>1900</v>
      </c>
    </row>
    <row r="1600" spans="16:16" x14ac:dyDescent="0.25">
      <c r="P1600">
        <f t="shared" si="24"/>
        <v>1900</v>
      </c>
    </row>
    <row r="1601" spans="16:16" x14ac:dyDescent="0.25">
      <c r="P1601">
        <f t="shared" si="24"/>
        <v>1900</v>
      </c>
    </row>
    <row r="1602" spans="16:16" x14ac:dyDescent="0.25">
      <c r="P1602">
        <f t="shared" ref="P1602:P1665" si="25">IFERROR(YEAR(D1602),"")</f>
        <v>1900</v>
      </c>
    </row>
    <row r="1603" spans="16:16" x14ac:dyDescent="0.25">
      <c r="P1603">
        <f t="shared" si="25"/>
        <v>1900</v>
      </c>
    </row>
    <row r="1604" spans="16:16" x14ac:dyDescent="0.25">
      <c r="P1604">
        <f t="shared" si="25"/>
        <v>1900</v>
      </c>
    </row>
    <row r="1605" spans="16:16" x14ac:dyDescent="0.25">
      <c r="P1605">
        <f t="shared" si="25"/>
        <v>1900</v>
      </c>
    </row>
    <row r="1606" spans="16:16" x14ac:dyDescent="0.25">
      <c r="P1606">
        <f t="shared" si="25"/>
        <v>1900</v>
      </c>
    </row>
    <row r="1607" spans="16:16" x14ac:dyDescent="0.25">
      <c r="P1607">
        <f t="shared" si="25"/>
        <v>1900</v>
      </c>
    </row>
    <row r="1608" spans="16:16" x14ac:dyDescent="0.25">
      <c r="P1608">
        <f t="shared" si="25"/>
        <v>1900</v>
      </c>
    </row>
    <row r="1609" spans="16:16" x14ac:dyDescent="0.25">
      <c r="P1609">
        <f t="shared" si="25"/>
        <v>1900</v>
      </c>
    </row>
    <row r="1610" spans="16:16" x14ac:dyDescent="0.25">
      <c r="P1610">
        <f t="shared" si="25"/>
        <v>1900</v>
      </c>
    </row>
    <row r="1611" spans="16:16" x14ac:dyDescent="0.25">
      <c r="P1611">
        <f t="shared" si="25"/>
        <v>1900</v>
      </c>
    </row>
    <row r="1612" spans="16:16" x14ac:dyDescent="0.25">
      <c r="P1612">
        <f t="shared" si="25"/>
        <v>1900</v>
      </c>
    </row>
    <row r="1613" spans="16:16" x14ac:dyDescent="0.25">
      <c r="P1613">
        <f t="shared" si="25"/>
        <v>1900</v>
      </c>
    </row>
    <row r="1614" spans="16:16" x14ac:dyDescent="0.25">
      <c r="P1614">
        <f t="shared" si="25"/>
        <v>1900</v>
      </c>
    </row>
    <row r="1615" spans="16:16" x14ac:dyDescent="0.25">
      <c r="P1615">
        <f t="shared" si="25"/>
        <v>1900</v>
      </c>
    </row>
    <row r="1616" spans="16:16" x14ac:dyDescent="0.25">
      <c r="P1616">
        <f t="shared" si="25"/>
        <v>1900</v>
      </c>
    </row>
    <row r="1617" spans="16:16" x14ac:dyDescent="0.25">
      <c r="P1617">
        <f t="shared" si="25"/>
        <v>1900</v>
      </c>
    </row>
    <row r="1618" spans="16:16" x14ac:dyDescent="0.25">
      <c r="P1618">
        <f t="shared" si="25"/>
        <v>1900</v>
      </c>
    </row>
    <row r="1619" spans="16:16" x14ac:dyDescent="0.25">
      <c r="P1619">
        <f t="shared" si="25"/>
        <v>1900</v>
      </c>
    </row>
    <row r="1620" spans="16:16" x14ac:dyDescent="0.25">
      <c r="P1620">
        <f t="shared" si="25"/>
        <v>1900</v>
      </c>
    </row>
    <row r="1621" spans="16:16" x14ac:dyDescent="0.25">
      <c r="P1621">
        <f t="shared" si="25"/>
        <v>1900</v>
      </c>
    </row>
    <row r="1622" spans="16:16" x14ac:dyDescent="0.25">
      <c r="P1622">
        <f t="shared" si="25"/>
        <v>1900</v>
      </c>
    </row>
    <row r="1623" spans="16:16" x14ac:dyDescent="0.25">
      <c r="P1623">
        <f t="shared" si="25"/>
        <v>1900</v>
      </c>
    </row>
    <row r="1624" spans="16:16" x14ac:dyDescent="0.25">
      <c r="P1624">
        <f t="shared" si="25"/>
        <v>1900</v>
      </c>
    </row>
    <row r="1625" spans="16:16" x14ac:dyDescent="0.25">
      <c r="P1625">
        <f t="shared" si="25"/>
        <v>1900</v>
      </c>
    </row>
    <row r="1626" spans="16:16" x14ac:dyDescent="0.25">
      <c r="P1626">
        <f t="shared" si="25"/>
        <v>1900</v>
      </c>
    </row>
    <row r="1627" spans="16:16" x14ac:dyDescent="0.25">
      <c r="P1627">
        <f t="shared" si="25"/>
        <v>1900</v>
      </c>
    </row>
    <row r="1628" spans="16:16" x14ac:dyDescent="0.25">
      <c r="P1628">
        <f t="shared" si="25"/>
        <v>1900</v>
      </c>
    </row>
    <row r="1629" spans="16:16" x14ac:dyDescent="0.25">
      <c r="P1629">
        <f t="shared" si="25"/>
        <v>1900</v>
      </c>
    </row>
    <row r="1630" spans="16:16" x14ac:dyDescent="0.25">
      <c r="P1630">
        <f t="shared" si="25"/>
        <v>1900</v>
      </c>
    </row>
    <row r="1631" spans="16:16" x14ac:dyDescent="0.25">
      <c r="P1631">
        <f t="shared" si="25"/>
        <v>1900</v>
      </c>
    </row>
    <row r="1632" spans="16:16" x14ac:dyDescent="0.25">
      <c r="P1632">
        <f t="shared" si="25"/>
        <v>1900</v>
      </c>
    </row>
    <row r="1633" spans="16:16" x14ac:dyDescent="0.25">
      <c r="P1633">
        <f t="shared" si="25"/>
        <v>1900</v>
      </c>
    </row>
    <row r="1634" spans="16:16" x14ac:dyDescent="0.25">
      <c r="P1634">
        <f t="shared" si="25"/>
        <v>1900</v>
      </c>
    </row>
    <row r="1635" spans="16:16" x14ac:dyDescent="0.25">
      <c r="P1635">
        <f t="shared" si="25"/>
        <v>1900</v>
      </c>
    </row>
    <row r="1636" spans="16:16" x14ac:dyDescent="0.25">
      <c r="P1636">
        <f t="shared" si="25"/>
        <v>1900</v>
      </c>
    </row>
    <row r="1637" spans="16:16" x14ac:dyDescent="0.25">
      <c r="P1637">
        <f t="shared" si="25"/>
        <v>1900</v>
      </c>
    </row>
    <row r="1638" spans="16:16" x14ac:dyDescent="0.25">
      <c r="P1638">
        <f t="shared" si="25"/>
        <v>1900</v>
      </c>
    </row>
    <row r="1639" spans="16:16" x14ac:dyDescent="0.25">
      <c r="P1639">
        <f t="shared" si="25"/>
        <v>1900</v>
      </c>
    </row>
    <row r="1640" spans="16:16" x14ac:dyDescent="0.25">
      <c r="P1640">
        <f t="shared" si="25"/>
        <v>1900</v>
      </c>
    </row>
    <row r="1641" spans="16:16" x14ac:dyDescent="0.25">
      <c r="P1641">
        <f t="shared" si="25"/>
        <v>1900</v>
      </c>
    </row>
    <row r="1642" spans="16:16" x14ac:dyDescent="0.25">
      <c r="P1642">
        <f t="shared" si="25"/>
        <v>1900</v>
      </c>
    </row>
    <row r="1643" spans="16:16" x14ac:dyDescent="0.25">
      <c r="P1643">
        <f t="shared" si="25"/>
        <v>1900</v>
      </c>
    </row>
    <row r="1644" spans="16:16" x14ac:dyDescent="0.25">
      <c r="P1644">
        <f t="shared" si="25"/>
        <v>1900</v>
      </c>
    </row>
    <row r="1645" spans="16:16" x14ac:dyDescent="0.25">
      <c r="P1645">
        <f t="shared" si="25"/>
        <v>1900</v>
      </c>
    </row>
    <row r="1646" spans="16:16" x14ac:dyDescent="0.25">
      <c r="P1646">
        <f t="shared" si="25"/>
        <v>1900</v>
      </c>
    </row>
    <row r="1647" spans="16:16" x14ac:dyDescent="0.25">
      <c r="P1647">
        <f t="shared" si="25"/>
        <v>1900</v>
      </c>
    </row>
    <row r="1648" spans="16:16" x14ac:dyDescent="0.25">
      <c r="P1648">
        <f t="shared" si="25"/>
        <v>1900</v>
      </c>
    </row>
    <row r="1649" spans="16:16" x14ac:dyDescent="0.25">
      <c r="P1649">
        <f t="shared" si="25"/>
        <v>1900</v>
      </c>
    </row>
    <row r="1650" spans="16:16" x14ac:dyDescent="0.25">
      <c r="P1650">
        <f t="shared" si="25"/>
        <v>1900</v>
      </c>
    </row>
    <row r="1651" spans="16:16" x14ac:dyDescent="0.25">
      <c r="P1651">
        <f t="shared" si="25"/>
        <v>1900</v>
      </c>
    </row>
    <row r="1652" spans="16:16" x14ac:dyDescent="0.25">
      <c r="P1652">
        <f t="shared" si="25"/>
        <v>1900</v>
      </c>
    </row>
    <row r="1653" spans="16:16" x14ac:dyDescent="0.25">
      <c r="P1653">
        <f t="shared" si="25"/>
        <v>1900</v>
      </c>
    </row>
    <row r="1654" spans="16:16" x14ac:dyDescent="0.25">
      <c r="P1654">
        <f t="shared" si="25"/>
        <v>1900</v>
      </c>
    </row>
    <row r="1655" spans="16:16" x14ac:dyDescent="0.25">
      <c r="P1655">
        <f t="shared" si="25"/>
        <v>1900</v>
      </c>
    </row>
    <row r="1656" spans="16:16" x14ac:dyDescent="0.25">
      <c r="P1656">
        <f t="shared" si="25"/>
        <v>1900</v>
      </c>
    </row>
    <row r="1657" spans="16:16" x14ac:dyDescent="0.25">
      <c r="P1657">
        <f t="shared" si="25"/>
        <v>1900</v>
      </c>
    </row>
    <row r="1658" spans="16:16" x14ac:dyDescent="0.25">
      <c r="P1658">
        <f t="shared" si="25"/>
        <v>1900</v>
      </c>
    </row>
    <row r="1659" spans="16:16" x14ac:dyDescent="0.25">
      <c r="P1659">
        <f t="shared" si="25"/>
        <v>1900</v>
      </c>
    </row>
    <row r="1660" spans="16:16" x14ac:dyDescent="0.25">
      <c r="P1660">
        <f t="shared" si="25"/>
        <v>1900</v>
      </c>
    </row>
    <row r="1661" spans="16:16" x14ac:dyDescent="0.25">
      <c r="P1661">
        <f t="shared" si="25"/>
        <v>1900</v>
      </c>
    </row>
    <row r="1662" spans="16:16" x14ac:dyDescent="0.25">
      <c r="P1662">
        <f t="shared" si="25"/>
        <v>1900</v>
      </c>
    </row>
    <row r="1663" spans="16:16" x14ac:dyDescent="0.25">
      <c r="P1663">
        <f t="shared" si="25"/>
        <v>1900</v>
      </c>
    </row>
    <row r="1664" spans="16:16" x14ac:dyDescent="0.25">
      <c r="P1664">
        <f t="shared" si="25"/>
        <v>1900</v>
      </c>
    </row>
    <row r="1665" spans="16:16" x14ac:dyDescent="0.25">
      <c r="P1665">
        <f t="shared" si="25"/>
        <v>1900</v>
      </c>
    </row>
    <row r="1666" spans="16:16" x14ac:dyDescent="0.25">
      <c r="P1666">
        <f t="shared" ref="P1666:P1729" si="26">IFERROR(YEAR(D1666),"")</f>
        <v>1900</v>
      </c>
    </row>
    <row r="1667" spans="16:16" x14ac:dyDescent="0.25">
      <c r="P1667">
        <f t="shared" si="26"/>
        <v>1900</v>
      </c>
    </row>
    <row r="1668" spans="16:16" x14ac:dyDescent="0.25">
      <c r="P1668">
        <f t="shared" si="26"/>
        <v>1900</v>
      </c>
    </row>
    <row r="1669" spans="16:16" x14ac:dyDescent="0.25">
      <c r="P1669">
        <f t="shared" si="26"/>
        <v>1900</v>
      </c>
    </row>
    <row r="1670" spans="16:16" x14ac:dyDescent="0.25">
      <c r="P1670">
        <f t="shared" si="26"/>
        <v>1900</v>
      </c>
    </row>
    <row r="1671" spans="16:16" x14ac:dyDescent="0.25">
      <c r="P1671">
        <f t="shared" si="26"/>
        <v>1900</v>
      </c>
    </row>
    <row r="1672" spans="16:16" x14ac:dyDescent="0.25">
      <c r="P1672">
        <f t="shared" si="26"/>
        <v>1900</v>
      </c>
    </row>
    <row r="1673" spans="16:16" x14ac:dyDescent="0.25">
      <c r="P1673">
        <f t="shared" si="26"/>
        <v>1900</v>
      </c>
    </row>
    <row r="1674" spans="16:16" x14ac:dyDescent="0.25">
      <c r="P1674">
        <f t="shared" si="26"/>
        <v>1900</v>
      </c>
    </row>
    <row r="1675" spans="16:16" x14ac:dyDescent="0.25">
      <c r="P1675">
        <f t="shared" si="26"/>
        <v>1900</v>
      </c>
    </row>
    <row r="1676" spans="16:16" x14ac:dyDescent="0.25">
      <c r="P1676">
        <f t="shared" si="26"/>
        <v>1900</v>
      </c>
    </row>
    <row r="1677" spans="16:16" x14ac:dyDescent="0.25">
      <c r="P1677">
        <f t="shared" si="26"/>
        <v>1900</v>
      </c>
    </row>
    <row r="1678" spans="16:16" x14ac:dyDescent="0.25">
      <c r="P1678">
        <f t="shared" si="26"/>
        <v>1900</v>
      </c>
    </row>
    <row r="1679" spans="16:16" x14ac:dyDescent="0.25">
      <c r="P1679">
        <f t="shared" si="26"/>
        <v>1900</v>
      </c>
    </row>
    <row r="1680" spans="16:16" x14ac:dyDescent="0.25">
      <c r="P1680">
        <f t="shared" si="26"/>
        <v>1900</v>
      </c>
    </row>
    <row r="1681" spans="16:16" x14ac:dyDescent="0.25">
      <c r="P1681">
        <f t="shared" si="26"/>
        <v>1900</v>
      </c>
    </row>
    <row r="1682" spans="16:16" x14ac:dyDescent="0.25">
      <c r="P1682">
        <f t="shared" si="26"/>
        <v>1900</v>
      </c>
    </row>
    <row r="1683" spans="16:16" x14ac:dyDescent="0.25">
      <c r="P1683">
        <f t="shared" si="26"/>
        <v>1900</v>
      </c>
    </row>
    <row r="1684" spans="16:16" x14ac:dyDescent="0.25">
      <c r="P1684">
        <f t="shared" si="26"/>
        <v>1900</v>
      </c>
    </row>
    <row r="1685" spans="16:16" x14ac:dyDescent="0.25">
      <c r="P1685">
        <f t="shared" si="26"/>
        <v>1900</v>
      </c>
    </row>
    <row r="1686" spans="16:16" x14ac:dyDescent="0.25">
      <c r="P1686">
        <f t="shared" si="26"/>
        <v>1900</v>
      </c>
    </row>
    <row r="1687" spans="16:16" x14ac:dyDescent="0.25">
      <c r="P1687">
        <f t="shared" si="26"/>
        <v>1900</v>
      </c>
    </row>
    <row r="1688" spans="16:16" x14ac:dyDescent="0.25">
      <c r="P1688">
        <f t="shared" si="26"/>
        <v>1900</v>
      </c>
    </row>
    <row r="1689" spans="16:16" x14ac:dyDescent="0.25">
      <c r="P1689">
        <f t="shared" si="26"/>
        <v>1900</v>
      </c>
    </row>
    <row r="1690" spans="16:16" x14ac:dyDescent="0.25">
      <c r="P1690">
        <f t="shared" si="26"/>
        <v>1900</v>
      </c>
    </row>
    <row r="1691" spans="16:16" x14ac:dyDescent="0.25">
      <c r="P1691">
        <f t="shared" si="26"/>
        <v>1900</v>
      </c>
    </row>
    <row r="1692" spans="16:16" x14ac:dyDescent="0.25">
      <c r="P1692">
        <f t="shared" si="26"/>
        <v>1900</v>
      </c>
    </row>
    <row r="1693" spans="16:16" x14ac:dyDescent="0.25">
      <c r="P1693">
        <f t="shared" si="26"/>
        <v>1900</v>
      </c>
    </row>
    <row r="1694" spans="16:16" x14ac:dyDescent="0.25">
      <c r="P1694">
        <f t="shared" si="26"/>
        <v>1900</v>
      </c>
    </row>
    <row r="1695" spans="16:16" x14ac:dyDescent="0.25">
      <c r="P1695">
        <f t="shared" si="26"/>
        <v>1900</v>
      </c>
    </row>
    <row r="1696" spans="16:16" x14ac:dyDescent="0.25">
      <c r="P1696">
        <f t="shared" si="26"/>
        <v>1900</v>
      </c>
    </row>
    <row r="1697" spans="16:16" x14ac:dyDescent="0.25">
      <c r="P1697">
        <f t="shared" si="26"/>
        <v>1900</v>
      </c>
    </row>
    <row r="1698" spans="16:16" x14ac:dyDescent="0.25">
      <c r="P1698">
        <f t="shared" si="26"/>
        <v>1900</v>
      </c>
    </row>
    <row r="1699" spans="16:16" x14ac:dyDescent="0.25">
      <c r="P1699">
        <f t="shared" si="26"/>
        <v>1900</v>
      </c>
    </row>
    <row r="1700" spans="16:16" x14ac:dyDescent="0.25">
      <c r="P1700">
        <f t="shared" si="26"/>
        <v>1900</v>
      </c>
    </row>
    <row r="1701" spans="16:16" x14ac:dyDescent="0.25">
      <c r="P1701">
        <f t="shared" si="26"/>
        <v>1900</v>
      </c>
    </row>
    <row r="1702" spans="16:16" x14ac:dyDescent="0.25">
      <c r="P1702">
        <f t="shared" si="26"/>
        <v>1900</v>
      </c>
    </row>
    <row r="1703" spans="16:16" x14ac:dyDescent="0.25">
      <c r="P1703">
        <f t="shared" si="26"/>
        <v>1900</v>
      </c>
    </row>
    <row r="1704" spans="16:16" x14ac:dyDescent="0.25">
      <c r="P1704">
        <f t="shared" si="26"/>
        <v>1900</v>
      </c>
    </row>
    <row r="1705" spans="16:16" x14ac:dyDescent="0.25">
      <c r="P1705">
        <f t="shared" si="26"/>
        <v>1900</v>
      </c>
    </row>
    <row r="1706" spans="16:16" x14ac:dyDescent="0.25">
      <c r="P1706">
        <f t="shared" si="26"/>
        <v>1900</v>
      </c>
    </row>
    <row r="1707" spans="16:16" x14ac:dyDescent="0.25">
      <c r="P1707">
        <f t="shared" si="26"/>
        <v>1900</v>
      </c>
    </row>
    <row r="1708" spans="16:16" x14ac:dyDescent="0.25">
      <c r="P1708">
        <f t="shared" si="26"/>
        <v>1900</v>
      </c>
    </row>
    <row r="1709" spans="16:16" x14ac:dyDescent="0.25">
      <c r="P1709">
        <f t="shared" si="26"/>
        <v>1900</v>
      </c>
    </row>
    <row r="1710" spans="16:16" x14ac:dyDescent="0.25">
      <c r="P1710">
        <f t="shared" si="26"/>
        <v>1900</v>
      </c>
    </row>
    <row r="1711" spans="16:16" x14ac:dyDescent="0.25">
      <c r="P1711">
        <f t="shared" si="26"/>
        <v>1900</v>
      </c>
    </row>
    <row r="1712" spans="16:16" x14ac:dyDescent="0.25">
      <c r="P1712">
        <f t="shared" si="26"/>
        <v>1900</v>
      </c>
    </row>
    <row r="1713" spans="16:16" x14ac:dyDescent="0.25">
      <c r="P1713">
        <f t="shared" si="26"/>
        <v>1900</v>
      </c>
    </row>
    <row r="1714" spans="16:16" x14ac:dyDescent="0.25">
      <c r="P1714">
        <f t="shared" si="26"/>
        <v>1900</v>
      </c>
    </row>
    <row r="1715" spans="16:16" x14ac:dyDescent="0.25">
      <c r="P1715">
        <f t="shared" si="26"/>
        <v>1900</v>
      </c>
    </row>
    <row r="1716" spans="16:16" x14ac:dyDescent="0.25">
      <c r="P1716">
        <f t="shared" si="26"/>
        <v>1900</v>
      </c>
    </row>
    <row r="1717" spans="16:16" x14ac:dyDescent="0.25">
      <c r="P1717">
        <f t="shared" si="26"/>
        <v>1900</v>
      </c>
    </row>
    <row r="1718" spans="16:16" x14ac:dyDescent="0.25">
      <c r="P1718">
        <f t="shared" si="26"/>
        <v>1900</v>
      </c>
    </row>
    <row r="1719" spans="16:16" x14ac:dyDescent="0.25">
      <c r="P1719">
        <f t="shared" si="26"/>
        <v>1900</v>
      </c>
    </row>
    <row r="1720" spans="16:16" x14ac:dyDescent="0.25">
      <c r="P1720">
        <f t="shared" si="26"/>
        <v>1900</v>
      </c>
    </row>
    <row r="1721" spans="16:16" x14ac:dyDescent="0.25">
      <c r="P1721">
        <f t="shared" si="26"/>
        <v>1900</v>
      </c>
    </row>
    <row r="1722" spans="16:16" x14ac:dyDescent="0.25">
      <c r="P1722">
        <f t="shared" si="26"/>
        <v>1900</v>
      </c>
    </row>
    <row r="1723" spans="16:16" x14ac:dyDescent="0.25">
      <c r="P1723">
        <f t="shared" si="26"/>
        <v>1900</v>
      </c>
    </row>
    <row r="1724" spans="16:16" x14ac:dyDescent="0.25">
      <c r="P1724">
        <f t="shared" si="26"/>
        <v>1900</v>
      </c>
    </row>
    <row r="1725" spans="16:16" x14ac:dyDescent="0.25">
      <c r="P1725">
        <f t="shared" si="26"/>
        <v>1900</v>
      </c>
    </row>
    <row r="1726" spans="16:16" x14ac:dyDescent="0.25">
      <c r="P1726">
        <f t="shared" si="26"/>
        <v>1900</v>
      </c>
    </row>
    <row r="1727" spans="16:16" x14ac:dyDescent="0.25">
      <c r="P1727">
        <f t="shared" si="26"/>
        <v>1900</v>
      </c>
    </row>
    <row r="1728" spans="16:16" x14ac:dyDescent="0.25">
      <c r="P1728">
        <f t="shared" si="26"/>
        <v>1900</v>
      </c>
    </row>
    <row r="1729" spans="16:16" x14ac:dyDescent="0.25">
      <c r="P1729">
        <f t="shared" si="26"/>
        <v>1900</v>
      </c>
    </row>
    <row r="1730" spans="16:16" x14ac:dyDescent="0.25">
      <c r="P1730">
        <f t="shared" ref="P1730:P1793" si="27">IFERROR(YEAR(D1730),"")</f>
        <v>1900</v>
      </c>
    </row>
    <row r="1731" spans="16:16" x14ac:dyDescent="0.25">
      <c r="P1731">
        <f t="shared" si="27"/>
        <v>1900</v>
      </c>
    </row>
    <row r="1732" spans="16:16" x14ac:dyDescent="0.25">
      <c r="P1732">
        <f t="shared" si="27"/>
        <v>1900</v>
      </c>
    </row>
    <row r="1733" spans="16:16" x14ac:dyDescent="0.25">
      <c r="P1733">
        <f t="shared" si="27"/>
        <v>1900</v>
      </c>
    </row>
    <row r="1734" spans="16:16" x14ac:dyDescent="0.25">
      <c r="P1734">
        <f t="shared" si="27"/>
        <v>1900</v>
      </c>
    </row>
    <row r="1735" spans="16:16" x14ac:dyDescent="0.25">
      <c r="P1735">
        <f t="shared" si="27"/>
        <v>1900</v>
      </c>
    </row>
    <row r="1736" spans="16:16" x14ac:dyDescent="0.25">
      <c r="P1736">
        <f t="shared" si="27"/>
        <v>1900</v>
      </c>
    </row>
    <row r="1737" spans="16:16" x14ac:dyDescent="0.25">
      <c r="P1737">
        <f t="shared" si="27"/>
        <v>1900</v>
      </c>
    </row>
    <row r="1738" spans="16:16" x14ac:dyDescent="0.25">
      <c r="P1738">
        <f t="shared" si="27"/>
        <v>1900</v>
      </c>
    </row>
    <row r="1739" spans="16:16" x14ac:dyDescent="0.25">
      <c r="P1739">
        <f t="shared" si="27"/>
        <v>1900</v>
      </c>
    </row>
    <row r="1740" spans="16:16" x14ac:dyDescent="0.25">
      <c r="P1740">
        <f t="shared" si="27"/>
        <v>1900</v>
      </c>
    </row>
    <row r="1741" spans="16:16" x14ac:dyDescent="0.25">
      <c r="P1741">
        <f t="shared" si="27"/>
        <v>1900</v>
      </c>
    </row>
    <row r="1742" spans="16:16" x14ac:dyDescent="0.25">
      <c r="P1742">
        <f t="shared" si="27"/>
        <v>1900</v>
      </c>
    </row>
    <row r="1743" spans="16:16" x14ac:dyDescent="0.25">
      <c r="P1743">
        <f t="shared" si="27"/>
        <v>1900</v>
      </c>
    </row>
    <row r="1744" spans="16:16" x14ac:dyDescent="0.25">
      <c r="P1744">
        <f t="shared" si="27"/>
        <v>1900</v>
      </c>
    </row>
    <row r="1745" spans="16:16" x14ac:dyDescent="0.25">
      <c r="P1745">
        <f t="shared" si="27"/>
        <v>1900</v>
      </c>
    </row>
    <row r="1746" spans="16:16" x14ac:dyDescent="0.25">
      <c r="P1746">
        <f t="shared" si="27"/>
        <v>1900</v>
      </c>
    </row>
    <row r="1747" spans="16:16" x14ac:dyDescent="0.25">
      <c r="P1747">
        <f t="shared" si="27"/>
        <v>1900</v>
      </c>
    </row>
    <row r="1748" spans="16:16" x14ac:dyDescent="0.25">
      <c r="P1748">
        <f t="shared" si="27"/>
        <v>1900</v>
      </c>
    </row>
    <row r="1749" spans="16:16" x14ac:dyDescent="0.25">
      <c r="P1749">
        <f t="shared" si="27"/>
        <v>1900</v>
      </c>
    </row>
    <row r="1750" spans="16:16" x14ac:dyDescent="0.25">
      <c r="P1750">
        <f t="shared" si="27"/>
        <v>1900</v>
      </c>
    </row>
    <row r="1751" spans="16:16" x14ac:dyDescent="0.25">
      <c r="P1751">
        <f t="shared" si="27"/>
        <v>1900</v>
      </c>
    </row>
    <row r="1752" spans="16:16" x14ac:dyDescent="0.25">
      <c r="P1752">
        <f t="shared" si="27"/>
        <v>1900</v>
      </c>
    </row>
    <row r="1753" spans="16:16" x14ac:dyDescent="0.25">
      <c r="P1753">
        <f t="shared" si="27"/>
        <v>1900</v>
      </c>
    </row>
    <row r="1754" spans="16:16" x14ac:dyDescent="0.25">
      <c r="P1754">
        <f t="shared" si="27"/>
        <v>1900</v>
      </c>
    </row>
    <row r="1755" spans="16:16" x14ac:dyDescent="0.25">
      <c r="P1755">
        <f t="shared" si="27"/>
        <v>1900</v>
      </c>
    </row>
    <row r="1756" spans="16:16" x14ac:dyDescent="0.25">
      <c r="P1756">
        <f t="shared" si="27"/>
        <v>1900</v>
      </c>
    </row>
    <row r="1757" spans="16:16" x14ac:dyDescent="0.25">
      <c r="P1757">
        <f t="shared" si="27"/>
        <v>1900</v>
      </c>
    </row>
    <row r="1758" spans="16:16" x14ac:dyDescent="0.25">
      <c r="P1758">
        <f t="shared" si="27"/>
        <v>1900</v>
      </c>
    </row>
    <row r="1759" spans="16:16" x14ac:dyDescent="0.25">
      <c r="P1759">
        <f t="shared" si="27"/>
        <v>1900</v>
      </c>
    </row>
    <row r="1760" spans="16:16" x14ac:dyDescent="0.25">
      <c r="P1760">
        <f t="shared" si="27"/>
        <v>1900</v>
      </c>
    </row>
    <row r="1761" spans="16:16" x14ac:dyDescent="0.25">
      <c r="P1761">
        <f t="shared" si="27"/>
        <v>1900</v>
      </c>
    </row>
    <row r="1762" spans="16:16" x14ac:dyDescent="0.25">
      <c r="P1762">
        <f t="shared" si="27"/>
        <v>1900</v>
      </c>
    </row>
    <row r="1763" spans="16:16" x14ac:dyDescent="0.25">
      <c r="P1763">
        <f t="shared" si="27"/>
        <v>1900</v>
      </c>
    </row>
    <row r="1764" spans="16:16" x14ac:dyDescent="0.25">
      <c r="P1764">
        <f t="shared" si="27"/>
        <v>1900</v>
      </c>
    </row>
    <row r="1765" spans="16:16" x14ac:dyDescent="0.25">
      <c r="P1765">
        <f t="shared" si="27"/>
        <v>1900</v>
      </c>
    </row>
    <row r="1766" spans="16:16" x14ac:dyDescent="0.25">
      <c r="P1766">
        <f t="shared" si="27"/>
        <v>1900</v>
      </c>
    </row>
    <row r="1767" spans="16:16" x14ac:dyDescent="0.25">
      <c r="P1767">
        <f t="shared" si="27"/>
        <v>1900</v>
      </c>
    </row>
    <row r="1768" spans="16:16" x14ac:dyDescent="0.25">
      <c r="P1768">
        <f t="shared" si="27"/>
        <v>1900</v>
      </c>
    </row>
    <row r="1769" spans="16:16" x14ac:dyDescent="0.25">
      <c r="P1769">
        <f t="shared" si="27"/>
        <v>1900</v>
      </c>
    </row>
    <row r="1770" spans="16:16" x14ac:dyDescent="0.25">
      <c r="P1770">
        <f t="shared" si="27"/>
        <v>1900</v>
      </c>
    </row>
    <row r="1771" spans="16:16" x14ac:dyDescent="0.25">
      <c r="P1771">
        <f t="shared" si="27"/>
        <v>1900</v>
      </c>
    </row>
    <row r="1772" spans="16:16" x14ac:dyDescent="0.25">
      <c r="P1772">
        <f t="shared" si="27"/>
        <v>1900</v>
      </c>
    </row>
    <row r="1773" spans="16:16" x14ac:dyDescent="0.25">
      <c r="P1773">
        <f t="shared" si="27"/>
        <v>1900</v>
      </c>
    </row>
    <row r="1774" spans="16:16" x14ac:dyDescent="0.25">
      <c r="P1774">
        <f t="shared" si="27"/>
        <v>1900</v>
      </c>
    </row>
    <row r="1775" spans="16:16" x14ac:dyDescent="0.25">
      <c r="P1775">
        <f t="shared" si="27"/>
        <v>1900</v>
      </c>
    </row>
    <row r="1776" spans="16:16" x14ac:dyDescent="0.25">
      <c r="P1776">
        <f t="shared" si="27"/>
        <v>1900</v>
      </c>
    </row>
    <row r="1777" spans="16:16" x14ac:dyDescent="0.25">
      <c r="P1777">
        <f t="shared" si="27"/>
        <v>1900</v>
      </c>
    </row>
    <row r="1778" spans="16:16" x14ac:dyDescent="0.25">
      <c r="P1778">
        <f t="shared" si="27"/>
        <v>1900</v>
      </c>
    </row>
    <row r="1779" spans="16:16" x14ac:dyDescent="0.25">
      <c r="P1779">
        <f t="shared" si="27"/>
        <v>1900</v>
      </c>
    </row>
    <row r="1780" spans="16:16" x14ac:dyDescent="0.25">
      <c r="P1780">
        <f t="shared" si="27"/>
        <v>1900</v>
      </c>
    </row>
    <row r="1781" spans="16:16" x14ac:dyDescent="0.25">
      <c r="P1781">
        <f t="shared" si="27"/>
        <v>1900</v>
      </c>
    </row>
    <row r="1782" spans="16:16" x14ac:dyDescent="0.25">
      <c r="P1782">
        <f t="shared" si="27"/>
        <v>1900</v>
      </c>
    </row>
    <row r="1783" spans="16:16" x14ac:dyDescent="0.25">
      <c r="P1783">
        <f t="shared" si="27"/>
        <v>1900</v>
      </c>
    </row>
    <row r="1784" spans="16:16" x14ac:dyDescent="0.25">
      <c r="P1784">
        <f t="shared" si="27"/>
        <v>1900</v>
      </c>
    </row>
    <row r="1785" spans="16:16" x14ac:dyDescent="0.25">
      <c r="P1785">
        <f t="shared" si="27"/>
        <v>1900</v>
      </c>
    </row>
    <row r="1786" spans="16:16" x14ac:dyDescent="0.25">
      <c r="P1786">
        <f t="shared" si="27"/>
        <v>1900</v>
      </c>
    </row>
    <row r="1787" spans="16:16" x14ac:dyDescent="0.25">
      <c r="P1787">
        <f t="shared" si="27"/>
        <v>1900</v>
      </c>
    </row>
    <row r="1788" spans="16:16" x14ac:dyDescent="0.25">
      <c r="P1788">
        <f t="shared" si="27"/>
        <v>1900</v>
      </c>
    </row>
    <row r="1789" spans="16:16" x14ac:dyDescent="0.25">
      <c r="P1789">
        <f t="shared" si="27"/>
        <v>1900</v>
      </c>
    </row>
    <row r="1790" spans="16:16" x14ac:dyDescent="0.25">
      <c r="P1790">
        <f t="shared" si="27"/>
        <v>1900</v>
      </c>
    </row>
    <row r="1791" spans="16:16" x14ac:dyDescent="0.25">
      <c r="P1791">
        <f t="shared" si="27"/>
        <v>1900</v>
      </c>
    </row>
    <row r="1792" spans="16:16" x14ac:dyDescent="0.25">
      <c r="P1792">
        <f t="shared" si="27"/>
        <v>1900</v>
      </c>
    </row>
    <row r="1793" spans="16:16" x14ac:dyDescent="0.25">
      <c r="P1793">
        <f t="shared" si="27"/>
        <v>1900</v>
      </c>
    </row>
    <row r="1794" spans="16:16" x14ac:dyDescent="0.25">
      <c r="P1794">
        <f t="shared" ref="P1794:P1857" si="28">IFERROR(YEAR(D1794),"")</f>
        <v>1900</v>
      </c>
    </row>
    <row r="1795" spans="16:16" x14ac:dyDescent="0.25">
      <c r="P1795">
        <f t="shared" si="28"/>
        <v>1900</v>
      </c>
    </row>
    <row r="1796" spans="16:16" x14ac:dyDescent="0.25">
      <c r="P1796">
        <f t="shared" si="28"/>
        <v>1900</v>
      </c>
    </row>
    <row r="1797" spans="16:16" x14ac:dyDescent="0.25">
      <c r="P1797">
        <f t="shared" si="28"/>
        <v>1900</v>
      </c>
    </row>
    <row r="1798" spans="16:16" x14ac:dyDescent="0.25">
      <c r="P1798">
        <f t="shared" si="28"/>
        <v>1900</v>
      </c>
    </row>
    <row r="1799" spans="16:16" x14ac:dyDescent="0.25">
      <c r="P1799">
        <f t="shared" si="28"/>
        <v>1900</v>
      </c>
    </row>
    <row r="1800" spans="16:16" x14ac:dyDescent="0.25">
      <c r="P1800">
        <f t="shared" si="28"/>
        <v>1900</v>
      </c>
    </row>
    <row r="1801" spans="16:16" x14ac:dyDescent="0.25">
      <c r="P1801">
        <f t="shared" si="28"/>
        <v>1900</v>
      </c>
    </row>
    <row r="1802" spans="16:16" x14ac:dyDescent="0.25">
      <c r="P1802">
        <f t="shared" si="28"/>
        <v>1900</v>
      </c>
    </row>
    <row r="1803" spans="16:16" x14ac:dyDescent="0.25">
      <c r="P1803">
        <f t="shared" si="28"/>
        <v>1900</v>
      </c>
    </row>
    <row r="1804" spans="16:16" x14ac:dyDescent="0.25">
      <c r="P1804">
        <f t="shared" si="28"/>
        <v>1900</v>
      </c>
    </row>
    <row r="1805" spans="16:16" x14ac:dyDescent="0.25">
      <c r="P1805">
        <f t="shared" si="28"/>
        <v>1900</v>
      </c>
    </row>
    <row r="1806" spans="16:16" x14ac:dyDescent="0.25">
      <c r="P1806">
        <f t="shared" si="28"/>
        <v>1900</v>
      </c>
    </row>
    <row r="1807" spans="16:16" x14ac:dyDescent="0.25">
      <c r="P1807">
        <f t="shared" si="28"/>
        <v>1900</v>
      </c>
    </row>
    <row r="1808" spans="16:16" x14ac:dyDescent="0.25">
      <c r="P1808">
        <f t="shared" si="28"/>
        <v>1900</v>
      </c>
    </row>
    <row r="1809" spans="16:16" x14ac:dyDescent="0.25">
      <c r="P1809">
        <f t="shared" si="28"/>
        <v>1900</v>
      </c>
    </row>
    <row r="1810" spans="16:16" x14ac:dyDescent="0.25">
      <c r="P1810">
        <f t="shared" si="28"/>
        <v>1900</v>
      </c>
    </row>
    <row r="1811" spans="16:16" x14ac:dyDescent="0.25">
      <c r="P1811">
        <f t="shared" si="28"/>
        <v>1900</v>
      </c>
    </row>
    <row r="1812" spans="16:16" x14ac:dyDescent="0.25">
      <c r="P1812">
        <f t="shared" si="28"/>
        <v>1900</v>
      </c>
    </row>
    <row r="1813" spans="16:16" x14ac:dyDescent="0.25">
      <c r="P1813">
        <f t="shared" si="28"/>
        <v>1900</v>
      </c>
    </row>
    <row r="1814" spans="16:16" x14ac:dyDescent="0.25">
      <c r="P1814">
        <f t="shared" si="28"/>
        <v>1900</v>
      </c>
    </row>
    <row r="1815" spans="16:16" x14ac:dyDescent="0.25">
      <c r="P1815">
        <f t="shared" si="28"/>
        <v>1900</v>
      </c>
    </row>
    <row r="1816" spans="16:16" x14ac:dyDescent="0.25">
      <c r="P1816">
        <f t="shared" si="28"/>
        <v>1900</v>
      </c>
    </row>
    <row r="1817" spans="16:16" x14ac:dyDescent="0.25">
      <c r="P1817">
        <f t="shared" si="28"/>
        <v>1900</v>
      </c>
    </row>
    <row r="1818" spans="16:16" x14ac:dyDescent="0.25">
      <c r="P1818">
        <f t="shared" si="28"/>
        <v>1900</v>
      </c>
    </row>
    <row r="1819" spans="16:16" x14ac:dyDescent="0.25">
      <c r="P1819">
        <f t="shared" si="28"/>
        <v>1900</v>
      </c>
    </row>
    <row r="1820" spans="16:16" x14ac:dyDescent="0.25">
      <c r="P1820">
        <f t="shared" si="28"/>
        <v>1900</v>
      </c>
    </row>
    <row r="1821" spans="16:16" x14ac:dyDescent="0.25">
      <c r="P1821">
        <f t="shared" si="28"/>
        <v>1900</v>
      </c>
    </row>
    <row r="1822" spans="16:16" x14ac:dyDescent="0.25">
      <c r="P1822">
        <f t="shared" si="28"/>
        <v>1900</v>
      </c>
    </row>
    <row r="1823" spans="16:16" x14ac:dyDescent="0.25">
      <c r="P1823">
        <f t="shared" si="28"/>
        <v>1900</v>
      </c>
    </row>
    <row r="1824" spans="16:16" x14ac:dyDescent="0.25">
      <c r="P1824">
        <f t="shared" si="28"/>
        <v>1900</v>
      </c>
    </row>
    <row r="1825" spans="16:16" x14ac:dyDescent="0.25">
      <c r="P1825">
        <f t="shared" si="28"/>
        <v>1900</v>
      </c>
    </row>
    <row r="1826" spans="16:16" x14ac:dyDescent="0.25">
      <c r="P1826">
        <f t="shared" si="28"/>
        <v>1900</v>
      </c>
    </row>
    <row r="1827" spans="16:16" x14ac:dyDescent="0.25">
      <c r="P1827">
        <f t="shared" si="28"/>
        <v>1900</v>
      </c>
    </row>
    <row r="1828" spans="16:16" x14ac:dyDescent="0.25">
      <c r="P1828">
        <f t="shared" si="28"/>
        <v>1900</v>
      </c>
    </row>
    <row r="1829" spans="16:16" x14ac:dyDescent="0.25">
      <c r="P1829">
        <f t="shared" si="28"/>
        <v>1900</v>
      </c>
    </row>
    <row r="1830" spans="16:16" x14ac:dyDescent="0.25">
      <c r="P1830">
        <f t="shared" si="28"/>
        <v>1900</v>
      </c>
    </row>
    <row r="1831" spans="16:16" x14ac:dyDescent="0.25">
      <c r="P1831">
        <f t="shared" si="28"/>
        <v>1900</v>
      </c>
    </row>
    <row r="1832" spans="16:16" x14ac:dyDescent="0.25">
      <c r="P1832">
        <f t="shared" si="28"/>
        <v>1900</v>
      </c>
    </row>
    <row r="1833" spans="16:16" x14ac:dyDescent="0.25">
      <c r="P1833">
        <f t="shared" si="28"/>
        <v>1900</v>
      </c>
    </row>
    <row r="1834" spans="16:16" x14ac:dyDescent="0.25">
      <c r="P1834">
        <f t="shared" si="28"/>
        <v>1900</v>
      </c>
    </row>
    <row r="1835" spans="16:16" x14ac:dyDescent="0.25">
      <c r="P1835">
        <f t="shared" si="28"/>
        <v>1900</v>
      </c>
    </row>
    <row r="1836" spans="16:16" x14ac:dyDescent="0.25">
      <c r="P1836">
        <f t="shared" si="28"/>
        <v>1900</v>
      </c>
    </row>
    <row r="1837" spans="16:16" x14ac:dyDescent="0.25">
      <c r="P1837">
        <f t="shared" si="28"/>
        <v>1900</v>
      </c>
    </row>
    <row r="1838" spans="16:16" x14ac:dyDescent="0.25">
      <c r="P1838">
        <f t="shared" si="28"/>
        <v>1900</v>
      </c>
    </row>
    <row r="1839" spans="16:16" x14ac:dyDescent="0.25">
      <c r="P1839">
        <f t="shared" si="28"/>
        <v>1900</v>
      </c>
    </row>
    <row r="1840" spans="16:16" x14ac:dyDescent="0.25">
      <c r="P1840">
        <f t="shared" si="28"/>
        <v>1900</v>
      </c>
    </row>
    <row r="1841" spans="16:16" x14ac:dyDescent="0.25">
      <c r="P1841">
        <f t="shared" si="28"/>
        <v>1900</v>
      </c>
    </row>
    <row r="1842" spans="16:16" x14ac:dyDescent="0.25">
      <c r="P1842">
        <f t="shared" si="28"/>
        <v>1900</v>
      </c>
    </row>
    <row r="1843" spans="16:16" x14ac:dyDescent="0.25">
      <c r="P1843">
        <f t="shared" si="28"/>
        <v>1900</v>
      </c>
    </row>
    <row r="1844" spans="16:16" x14ac:dyDescent="0.25">
      <c r="P1844">
        <f t="shared" si="28"/>
        <v>1900</v>
      </c>
    </row>
    <row r="1845" spans="16:16" x14ac:dyDescent="0.25">
      <c r="P1845">
        <f t="shared" si="28"/>
        <v>1900</v>
      </c>
    </row>
    <row r="1846" spans="16:16" x14ac:dyDescent="0.25">
      <c r="P1846">
        <f t="shared" si="28"/>
        <v>1900</v>
      </c>
    </row>
    <row r="1847" spans="16:16" x14ac:dyDescent="0.25">
      <c r="P1847">
        <f t="shared" si="28"/>
        <v>1900</v>
      </c>
    </row>
    <row r="1848" spans="16:16" x14ac:dyDescent="0.25">
      <c r="P1848">
        <f t="shared" si="28"/>
        <v>1900</v>
      </c>
    </row>
    <row r="1849" spans="16:16" x14ac:dyDescent="0.25">
      <c r="P1849">
        <f t="shared" si="28"/>
        <v>1900</v>
      </c>
    </row>
    <row r="1850" spans="16:16" x14ac:dyDescent="0.25">
      <c r="P1850">
        <f t="shared" si="28"/>
        <v>1900</v>
      </c>
    </row>
    <row r="1851" spans="16:16" x14ac:dyDescent="0.25">
      <c r="P1851">
        <f t="shared" si="28"/>
        <v>1900</v>
      </c>
    </row>
    <row r="1852" spans="16:16" x14ac:dyDescent="0.25">
      <c r="P1852">
        <f t="shared" si="28"/>
        <v>1900</v>
      </c>
    </row>
    <row r="1853" spans="16:16" x14ac:dyDescent="0.25">
      <c r="P1853">
        <f t="shared" si="28"/>
        <v>1900</v>
      </c>
    </row>
    <row r="1854" spans="16:16" x14ac:dyDescent="0.25">
      <c r="P1854">
        <f t="shared" si="28"/>
        <v>1900</v>
      </c>
    </row>
    <row r="1855" spans="16:16" x14ac:dyDescent="0.25">
      <c r="P1855">
        <f t="shared" si="28"/>
        <v>1900</v>
      </c>
    </row>
    <row r="1856" spans="16:16" x14ac:dyDescent="0.25">
      <c r="P1856">
        <f t="shared" si="28"/>
        <v>1900</v>
      </c>
    </row>
    <row r="1857" spans="16:16" x14ac:dyDescent="0.25">
      <c r="P1857">
        <f t="shared" si="28"/>
        <v>1900</v>
      </c>
    </row>
    <row r="1858" spans="16:16" x14ac:dyDescent="0.25">
      <c r="P1858">
        <f t="shared" ref="P1858:P1921" si="29">IFERROR(YEAR(D1858),"")</f>
        <v>1900</v>
      </c>
    </row>
    <row r="1859" spans="16:16" x14ac:dyDescent="0.25">
      <c r="P1859">
        <f t="shared" si="29"/>
        <v>1900</v>
      </c>
    </row>
    <row r="1860" spans="16:16" x14ac:dyDescent="0.25">
      <c r="P1860">
        <f t="shared" si="29"/>
        <v>1900</v>
      </c>
    </row>
    <row r="1861" spans="16:16" x14ac:dyDescent="0.25">
      <c r="P1861">
        <f t="shared" si="29"/>
        <v>1900</v>
      </c>
    </row>
    <row r="1862" spans="16:16" x14ac:dyDescent="0.25">
      <c r="P1862">
        <f t="shared" si="29"/>
        <v>1900</v>
      </c>
    </row>
    <row r="1863" spans="16:16" x14ac:dyDescent="0.25">
      <c r="P1863">
        <f t="shared" si="29"/>
        <v>1900</v>
      </c>
    </row>
    <row r="1864" spans="16:16" x14ac:dyDescent="0.25">
      <c r="P1864">
        <f t="shared" si="29"/>
        <v>1900</v>
      </c>
    </row>
    <row r="1865" spans="16:16" x14ac:dyDescent="0.25">
      <c r="P1865">
        <f t="shared" si="29"/>
        <v>1900</v>
      </c>
    </row>
    <row r="1866" spans="16:16" x14ac:dyDescent="0.25">
      <c r="P1866">
        <f t="shared" si="29"/>
        <v>1900</v>
      </c>
    </row>
    <row r="1867" spans="16:16" x14ac:dyDescent="0.25">
      <c r="P1867">
        <f t="shared" si="29"/>
        <v>1900</v>
      </c>
    </row>
    <row r="1868" spans="16:16" x14ac:dyDescent="0.25">
      <c r="P1868">
        <f t="shared" si="29"/>
        <v>1900</v>
      </c>
    </row>
    <row r="1869" spans="16:16" x14ac:dyDescent="0.25">
      <c r="P1869">
        <f t="shared" si="29"/>
        <v>1900</v>
      </c>
    </row>
    <row r="1870" spans="16:16" x14ac:dyDescent="0.25">
      <c r="P1870">
        <f t="shared" si="29"/>
        <v>1900</v>
      </c>
    </row>
    <row r="1871" spans="16:16" x14ac:dyDescent="0.25">
      <c r="P1871">
        <f t="shared" si="29"/>
        <v>1900</v>
      </c>
    </row>
    <row r="1872" spans="16:16" x14ac:dyDescent="0.25">
      <c r="P1872">
        <f t="shared" si="29"/>
        <v>1900</v>
      </c>
    </row>
    <row r="1873" spans="16:16" x14ac:dyDescent="0.25">
      <c r="P1873">
        <f t="shared" si="29"/>
        <v>1900</v>
      </c>
    </row>
    <row r="1874" spans="16:16" x14ac:dyDescent="0.25">
      <c r="P1874">
        <f t="shared" si="29"/>
        <v>1900</v>
      </c>
    </row>
    <row r="1875" spans="16:16" x14ac:dyDescent="0.25">
      <c r="P1875">
        <f t="shared" si="29"/>
        <v>1900</v>
      </c>
    </row>
    <row r="1876" spans="16:16" x14ac:dyDescent="0.25">
      <c r="P1876">
        <f t="shared" si="29"/>
        <v>1900</v>
      </c>
    </row>
    <row r="1877" spans="16:16" x14ac:dyDescent="0.25">
      <c r="P1877">
        <f t="shared" si="29"/>
        <v>1900</v>
      </c>
    </row>
    <row r="1878" spans="16:16" x14ac:dyDescent="0.25">
      <c r="P1878">
        <f t="shared" si="29"/>
        <v>1900</v>
      </c>
    </row>
    <row r="1879" spans="16:16" x14ac:dyDescent="0.25">
      <c r="P1879">
        <f t="shared" si="29"/>
        <v>1900</v>
      </c>
    </row>
    <row r="1880" spans="16:16" x14ac:dyDescent="0.25">
      <c r="P1880">
        <f t="shared" si="29"/>
        <v>1900</v>
      </c>
    </row>
    <row r="1881" spans="16:16" x14ac:dyDescent="0.25">
      <c r="P1881">
        <f t="shared" si="29"/>
        <v>1900</v>
      </c>
    </row>
    <row r="1882" spans="16:16" x14ac:dyDescent="0.25">
      <c r="P1882">
        <f t="shared" si="29"/>
        <v>1900</v>
      </c>
    </row>
    <row r="1883" spans="16:16" x14ac:dyDescent="0.25">
      <c r="P1883">
        <f t="shared" si="29"/>
        <v>1900</v>
      </c>
    </row>
    <row r="1884" spans="16:16" x14ac:dyDescent="0.25">
      <c r="P1884">
        <f t="shared" si="29"/>
        <v>1900</v>
      </c>
    </row>
    <row r="1885" spans="16:16" x14ac:dyDescent="0.25">
      <c r="P1885">
        <f t="shared" si="29"/>
        <v>1900</v>
      </c>
    </row>
    <row r="1886" spans="16:16" x14ac:dyDescent="0.25">
      <c r="P1886">
        <f t="shared" si="29"/>
        <v>1900</v>
      </c>
    </row>
    <row r="1887" spans="16:16" x14ac:dyDescent="0.25">
      <c r="P1887">
        <f t="shared" si="29"/>
        <v>1900</v>
      </c>
    </row>
    <row r="1888" spans="16:16" x14ac:dyDescent="0.25">
      <c r="P1888">
        <f t="shared" si="29"/>
        <v>1900</v>
      </c>
    </row>
    <row r="1889" spans="16:16" x14ac:dyDescent="0.25">
      <c r="P1889">
        <f t="shared" si="29"/>
        <v>1900</v>
      </c>
    </row>
    <row r="1890" spans="16:16" x14ac:dyDescent="0.25">
      <c r="P1890">
        <f t="shared" si="29"/>
        <v>1900</v>
      </c>
    </row>
    <row r="1891" spans="16:16" x14ac:dyDescent="0.25">
      <c r="P1891">
        <f t="shared" si="29"/>
        <v>1900</v>
      </c>
    </row>
    <row r="1892" spans="16:16" x14ac:dyDescent="0.25">
      <c r="P1892">
        <f t="shared" si="29"/>
        <v>1900</v>
      </c>
    </row>
    <row r="1893" spans="16:16" x14ac:dyDescent="0.25">
      <c r="P1893">
        <f t="shared" si="29"/>
        <v>1900</v>
      </c>
    </row>
    <row r="1894" spans="16:16" x14ac:dyDescent="0.25">
      <c r="P1894">
        <f t="shared" si="29"/>
        <v>1900</v>
      </c>
    </row>
    <row r="1895" spans="16:16" x14ac:dyDescent="0.25">
      <c r="P1895">
        <f t="shared" si="29"/>
        <v>1900</v>
      </c>
    </row>
    <row r="1896" spans="16:16" x14ac:dyDescent="0.25">
      <c r="P1896">
        <f t="shared" si="29"/>
        <v>1900</v>
      </c>
    </row>
    <row r="1897" spans="16:16" x14ac:dyDescent="0.25">
      <c r="P1897">
        <f t="shared" si="29"/>
        <v>1900</v>
      </c>
    </row>
    <row r="1898" spans="16:16" x14ac:dyDescent="0.25">
      <c r="P1898">
        <f t="shared" si="29"/>
        <v>1900</v>
      </c>
    </row>
    <row r="1899" spans="16:16" x14ac:dyDescent="0.25">
      <c r="P1899">
        <f t="shared" si="29"/>
        <v>1900</v>
      </c>
    </row>
    <row r="1900" spans="16:16" x14ac:dyDescent="0.25">
      <c r="P1900">
        <f t="shared" si="29"/>
        <v>1900</v>
      </c>
    </row>
    <row r="1901" spans="16:16" x14ac:dyDescent="0.25">
      <c r="P1901">
        <f t="shared" si="29"/>
        <v>1900</v>
      </c>
    </row>
    <row r="1902" spans="16:16" x14ac:dyDescent="0.25">
      <c r="P1902">
        <f t="shared" si="29"/>
        <v>1900</v>
      </c>
    </row>
    <row r="1903" spans="16:16" x14ac:dyDescent="0.25">
      <c r="P1903">
        <f t="shared" si="29"/>
        <v>1900</v>
      </c>
    </row>
    <row r="1904" spans="16:16" x14ac:dyDescent="0.25">
      <c r="P1904">
        <f t="shared" si="29"/>
        <v>1900</v>
      </c>
    </row>
    <row r="1905" spans="16:16" x14ac:dyDescent="0.25">
      <c r="P1905">
        <f t="shared" si="29"/>
        <v>1900</v>
      </c>
    </row>
    <row r="1906" spans="16:16" x14ac:dyDescent="0.25">
      <c r="P1906">
        <f t="shared" si="29"/>
        <v>1900</v>
      </c>
    </row>
    <row r="1907" spans="16:16" x14ac:dyDescent="0.25">
      <c r="P1907">
        <f t="shared" si="29"/>
        <v>1900</v>
      </c>
    </row>
    <row r="1908" spans="16:16" x14ac:dyDescent="0.25">
      <c r="P1908">
        <f t="shared" si="29"/>
        <v>1900</v>
      </c>
    </row>
    <row r="1909" spans="16:16" x14ac:dyDescent="0.25">
      <c r="P1909">
        <f t="shared" si="29"/>
        <v>1900</v>
      </c>
    </row>
    <row r="1910" spans="16:16" x14ac:dyDescent="0.25">
      <c r="P1910">
        <f t="shared" si="29"/>
        <v>1900</v>
      </c>
    </row>
    <row r="1911" spans="16:16" x14ac:dyDescent="0.25">
      <c r="P1911">
        <f t="shared" si="29"/>
        <v>1900</v>
      </c>
    </row>
    <row r="1912" spans="16:16" x14ac:dyDescent="0.25">
      <c r="P1912">
        <f t="shared" si="29"/>
        <v>1900</v>
      </c>
    </row>
    <row r="1913" spans="16:16" x14ac:dyDescent="0.25">
      <c r="P1913">
        <f t="shared" si="29"/>
        <v>1900</v>
      </c>
    </row>
    <row r="1914" spans="16:16" x14ac:dyDescent="0.25">
      <c r="P1914">
        <f t="shared" si="29"/>
        <v>1900</v>
      </c>
    </row>
    <row r="1915" spans="16:16" x14ac:dyDescent="0.25">
      <c r="P1915">
        <f t="shared" si="29"/>
        <v>1900</v>
      </c>
    </row>
    <row r="1916" spans="16:16" x14ac:dyDescent="0.25">
      <c r="P1916">
        <f t="shared" si="29"/>
        <v>1900</v>
      </c>
    </row>
    <row r="1917" spans="16:16" x14ac:dyDescent="0.25">
      <c r="P1917">
        <f t="shared" si="29"/>
        <v>1900</v>
      </c>
    </row>
    <row r="1918" spans="16:16" x14ac:dyDescent="0.25">
      <c r="P1918">
        <f t="shared" si="29"/>
        <v>1900</v>
      </c>
    </row>
    <row r="1919" spans="16:16" x14ac:dyDescent="0.25">
      <c r="P1919">
        <f t="shared" si="29"/>
        <v>1900</v>
      </c>
    </row>
    <row r="1920" spans="16:16" x14ac:dyDescent="0.25">
      <c r="P1920">
        <f t="shared" si="29"/>
        <v>1900</v>
      </c>
    </row>
    <row r="1921" spans="16:16" x14ac:dyDescent="0.25">
      <c r="P1921">
        <f t="shared" si="29"/>
        <v>1900</v>
      </c>
    </row>
    <row r="1922" spans="16:16" x14ac:dyDescent="0.25">
      <c r="P1922">
        <f t="shared" ref="P1922:P1985" si="30">IFERROR(YEAR(D1922),"")</f>
        <v>1900</v>
      </c>
    </row>
    <row r="1923" spans="16:16" x14ac:dyDescent="0.25">
      <c r="P1923">
        <f t="shared" si="30"/>
        <v>1900</v>
      </c>
    </row>
    <row r="1924" spans="16:16" x14ac:dyDescent="0.25">
      <c r="P1924">
        <f t="shared" si="30"/>
        <v>1900</v>
      </c>
    </row>
    <row r="1925" spans="16:16" x14ac:dyDescent="0.25">
      <c r="P1925">
        <f t="shared" si="30"/>
        <v>1900</v>
      </c>
    </row>
    <row r="1926" spans="16:16" x14ac:dyDescent="0.25">
      <c r="P1926">
        <f t="shared" si="30"/>
        <v>1900</v>
      </c>
    </row>
    <row r="1927" spans="16:16" x14ac:dyDescent="0.25">
      <c r="P1927">
        <f t="shared" si="30"/>
        <v>1900</v>
      </c>
    </row>
    <row r="1928" spans="16:16" x14ac:dyDescent="0.25">
      <c r="P1928">
        <f t="shared" si="30"/>
        <v>1900</v>
      </c>
    </row>
    <row r="1929" spans="16:16" x14ac:dyDescent="0.25">
      <c r="P1929">
        <f t="shared" si="30"/>
        <v>1900</v>
      </c>
    </row>
    <row r="1930" spans="16:16" x14ac:dyDescent="0.25">
      <c r="P1930">
        <f t="shared" si="30"/>
        <v>1900</v>
      </c>
    </row>
    <row r="1931" spans="16:16" x14ac:dyDescent="0.25">
      <c r="P1931">
        <f t="shared" si="30"/>
        <v>1900</v>
      </c>
    </row>
    <row r="1932" spans="16:16" x14ac:dyDescent="0.25">
      <c r="P1932">
        <f t="shared" si="30"/>
        <v>1900</v>
      </c>
    </row>
    <row r="1933" spans="16:16" x14ac:dyDescent="0.25">
      <c r="P1933">
        <f t="shared" si="30"/>
        <v>1900</v>
      </c>
    </row>
    <row r="1934" spans="16:16" x14ac:dyDescent="0.25">
      <c r="P1934">
        <f t="shared" si="30"/>
        <v>1900</v>
      </c>
    </row>
    <row r="1935" spans="16:16" x14ac:dyDescent="0.25">
      <c r="P1935">
        <f t="shared" si="30"/>
        <v>1900</v>
      </c>
    </row>
    <row r="1936" spans="16:16" x14ac:dyDescent="0.25">
      <c r="P1936">
        <f t="shared" si="30"/>
        <v>1900</v>
      </c>
    </row>
    <row r="1937" spans="16:16" x14ac:dyDescent="0.25">
      <c r="P1937">
        <f t="shared" si="30"/>
        <v>1900</v>
      </c>
    </row>
    <row r="1938" spans="16:16" x14ac:dyDescent="0.25">
      <c r="P1938">
        <f t="shared" si="30"/>
        <v>1900</v>
      </c>
    </row>
    <row r="1939" spans="16:16" x14ac:dyDescent="0.25">
      <c r="P1939">
        <f t="shared" si="30"/>
        <v>1900</v>
      </c>
    </row>
    <row r="1940" spans="16:16" x14ac:dyDescent="0.25">
      <c r="P1940">
        <f t="shared" si="30"/>
        <v>1900</v>
      </c>
    </row>
    <row r="1941" spans="16:16" x14ac:dyDescent="0.25">
      <c r="P1941">
        <f t="shared" si="30"/>
        <v>1900</v>
      </c>
    </row>
    <row r="1942" spans="16:16" x14ac:dyDescent="0.25">
      <c r="P1942">
        <f t="shared" si="30"/>
        <v>1900</v>
      </c>
    </row>
    <row r="1943" spans="16:16" x14ac:dyDescent="0.25">
      <c r="P1943">
        <f t="shared" si="30"/>
        <v>1900</v>
      </c>
    </row>
    <row r="1944" spans="16:16" x14ac:dyDescent="0.25">
      <c r="P1944">
        <f t="shared" si="30"/>
        <v>1900</v>
      </c>
    </row>
    <row r="1945" spans="16:16" x14ac:dyDescent="0.25">
      <c r="P1945">
        <f t="shared" si="30"/>
        <v>1900</v>
      </c>
    </row>
    <row r="1946" spans="16:16" x14ac:dyDescent="0.25">
      <c r="P1946">
        <f t="shared" si="30"/>
        <v>1900</v>
      </c>
    </row>
    <row r="1947" spans="16:16" x14ac:dyDescent="0.25">
      <c r="P1947">
        <f t="shared" si="30"/>
        <v>1900</v>
      </c>
    </row>
    <row r="1948" spans="16:16" x14ac:dyDescent="0.25">
      <c r="P1948">
        <f t="shared" si="30"/>
        <v>1900</v>
      </c>
    </row>
    <row r="1949" spans="16:16" x14ac:dyDescent="0.25">
      <c r="P1949">
        <f t="shared" si="30"/>
        <v>1900</v>
      </c>
    </row>
    <row r="1950" spans="16:16" x14ac:dyDescent="0.25">
      <c r="P1950">
        <f t="shared" si="30"/>
        <v>1900</v>
      </c>
    </row>
    <row r="1951" spans="16:16" x14ac:dyDescent="0.25">
      <c r="P1951">
        <f t="shared" si="30"/>
        <v>1900</v>
      </c>
    </row>
    <row r="1952" spans="16:16" x14ac:dyDescent="0.25">
      <c r="P1952">
        <f t="shared" si="30"/>
        <v>1900</v>
      </c>
    </row>
    <row r="1953" spans="16:16" x14ac:dyDescent="0.25">
      <c r="P1953">
        <f t="shared" si="30"/>
        <v>1900</v>
      </c>
    </row>
    <row r="1954" spans="16:16" x14ac:dyDescent="0.25">
      <c r="P1954">
        <f t="shared" si="30"/>
        <v>1900</v>
      </c>
    </row>
    <row r="1955" spans="16:16" x14ac:dyDescent="0.25">
      <c r="P1955">
        <f t="shared" si="30"/>
        <v>1900</v>
      </c>
    </row>
    <row r="1956" spans="16:16" x14ac:dyDescent="0.25">
      <c r="P1956">
        <f t="shared" si="30"/>
        <v>1900</v>
      </c>
    </row>
    <row r="1957" spans="16:16" x14ac:dyDescent="0.25">
      <c r="P1957">
        <f t="shared" si="30"/>
        <v>1900</v>
      </c>
    </row>
    <row r="1958" spans="16:16" x14ac:dyDescent="0.25">
      <c r="P1958">
        <f t="shared" si="30"/>
        <v>1900</v>
      </c>
    </row>
    <row r="1959" spans="16:16" x14ac:dyDescent="0.25">
      <c r="P1959">
        <f t="shared" si="30"/>
        <v>1900</v>
      </c>
    </row>
    <row r="1960" spans="16:16" x14ac:dyDescent="0.25">
      <c r="P1960">
        <f t="shared" si="30"/>
        <v>1900</v>
      </c>
    </row>
    <row r="1961" spans="16:16" x14ac:dyDescent="0.25">
      <c r="P1961">
        <f t="shared" si="30"/>
        <v>1900</v>
      </c>
    </row>
    <row r="1962" spans="16:16" x14ac:dyDescent="0.25">
      <c r="P1962">
        <f t="shared" si="30"/>
        <v>1900</v>
      </c>
    </row>
    <row r="1963" spans="16:16" x14ac:dyDescent="0.25">
      <c r="P1963">
        <f t="shared" si="30"/>
        <v>1900</v>
      </c>
    </row>
    <row r="1964" spans="16:16" x14ac:dyDescent="0.25">
      <c r="P1964">
        <f t="shared" si="30"/>
        <v>1900</v>
      </c>
    </row>
    <row r="1965" spans="16:16" x14ac:dyDescent="0.25">
      <c r="P1965">
        <f t="shared" si="30"/>
        <v>1900</v>
      </c>
    </row>
    <row r="1966" spans="16:16" x14ac:dyDescent="0.25">
      <c r="P1966">
        <f t="shared" si="30"/>
        <v>1900</v>
      </c>
    </row>
    <row r="1967" spans="16:16" x14ac:dyDescent="0.25">
      <c r="P1967">
        <f t="shared" si="30"/>
        <v>1900</v>
      </c>
    </row>
    <row r="1968" spans="16:16" x14ac:dyDescent="0.25">
      <c r="P1968">
        <f t="shared" si="30"/>
        <v>1900</v>
      </c>
    </row>
    <row r="1969" spans="16:16" x14ac:dyDescent="0.25">
      <c r="P1969">
        <f t="shared" si="30"/>
        <v>1900</v>
      </c>
    </row>
    <row r="1970" spans="16:16" x14ac:dyDescent="0.25">
      <c r="P1970">
        <f t="shared" si="30"/>
        <v>1900</v>
      </c>
    </row>
    <row r="1971" spans="16:16" x14ac:dyDescent="0.25">
      <c r="P1971">
        <f t="shared" si="30"/>
        <v>1900</v>
      </c>
    </row>
    <row r="1972" spans="16:16" x14ac:dyDescent="0.25">
      <c r="P1972">
        <f t="shared" si="30"/>
        <v>1900</v>
      </c>
    </row>
    <row r="1973" spans="16:16" x14ac:dyDescent="0.25">
      <c r="P1973">
        <f t="shared" si="30"/>
        <v>1900</v>
      </c>
    </row>
    <row r="1974" spans="16:16" x14ac:dyDescent="0.25">
      <c r="P1974">
        <f t="shared" si="30"/>
        <v>1900</v>
      </c>
    </row>
    <row r="1975" spans="16:16" x14ac:dyDescent="0.25">
      <c r="P1975">
        <f t="shared" si="30"/>
        <v>1900</v>
      </c>
    </row>
    <row r="1976" spans="16:16" x14ac:dyDescent="0.25">
      <c r="P1976">
        <f t="shared" si="30"/>
        <v>1900</v>
      </c>
    </row>
    <row r="1977" spans="16:16" x14ac:dyDescent="0.25">
      <c r="P1977">
        <f t="shared" si="30"/>
        <v>1900</v>
      </c>
    </row>
    <row r="1978" spans="16:16" x14ac:dyDescent="0.25">
      <c r="P1978">
        <f t="shared" si="30"/>
        <v>1900</v>
      </c>
    </row>
    <row r="1979" spans="16:16" x14ac:dyDescent="0.25">
      <c r="P1979">
        <f t="shared" si="30"/>
        <v>1900</v>
      </c>
    </row>
    <row r="1980" spans="16:16" x14ac:dyDescent="0.25">
      <c r="P1980">
        <f t="shared" si="30"/>
        <v>1900</v>
      </c>
    </row>
    <row r="1981" spans="16:16" x14ac:dyDescent="0.25">
      <c r="P1981">
        <f t="shared" si="30"/>
        <v>1900</v>
      </c>
    </row>
    <row r="1982" spans="16:16" x14ac:dyDescent="0.25">
      <c r="P1982">
        <f t="shared" si="30"/>
        <v>1900</v>
      </c>
    </row>
    <row r="1983" spans="16:16" x14ac:dyDescent="0.25">
      <c r="P1983">
        <f t="shared" si="30"/>
        <v>1900</v>
      </c>
    </row>
    <row r="1984" spans="16:16" x14ac:dyDescent="0.25">
      <c r="P1984">
        <f t="shared" si="30"/>
        <v>1900</v>
      </c>
    </row>
    <row r="1985" spans="16:16" x14ac:dyDescent="0.25">
      <c r="P1985">
        <f t="shared" si="30"/>
        <v>1900</v>
      </c>
    </row>
    <row r="1986" spans="16:16" x14ac:dyDescent="0.25">
      <c r="P1986">
        <f t="shared" ref="P1986:P2049" si="31">IFERROR(YEAR(D1986),"")</f>
        <v>1900</v>
      </c>
    </row>
    <row r="1987" spans="16:16" x14ac:dyDescent="0.25">
      <c r="P1987">
        <f t="shared" si="31"/>
        <v>1900</v>
      </c>
    </row>
    <row r="1988" spans="16:16" x14ac:dyDescent="0.25">
      <c r="P1988">
        <f t="shared" si="31"/>
        <v>1900</v>
      </c>
    </row>
    <row r="1989" spans="16:16" x14ac:dyDescent="0.25">
      <c r="P1989">
        <f t="shared" si="31"/>
        <v>1900</v>
      </c>
    </row>
    <row r="1990" spans="16:16" x14ac:dyDescent="0.25">
      <c r="P1990">
        <f t="shared" si="31"/>
        <v>1900</v>
      </c>
    </row>
    <row r="1991" spans="16:16" x14ac:dyDescent="0.25">
      <c r="P1991">
        <f t="shared" si="31"/>
        <v>1900</v>
      </c>
    </row>
    <row r="1992" spans="16:16" x14ac:dyDescent="0.25">
      <c r="P1992">
        <f t="shared" si="31"/>
        <v>1900</v>
      </c>
    </row>
    <row r="1993" spans="16:16" x14ac:dyDescent="0.25">
      <c r="P1993">
        <f t="shared" si="31"/>
        <v>1900</v>
      </c>
    </row>
    <row r="1994" spans="16:16" x14ac:dyDescent="0.25">
      <c r="P1994">
        <f t="shared" si="31"/>
        <v>1900</v>
      </c>
    </row>
    <row r="1995" spans="16:16" x14ac:dyDescent="0.25">
      <c r="P1995">
        <f t="shared" si="31"/>
        <v>1900</v>
      </c>
    </row>
    <row r="1996" spans="16:16" x14ac:dyDescent="0.25">
      <c r="P1996">
        <f t="shared" si="31"/>
        <v>1900</v>
      </c>
    </row>
    <row r="1997" spans="16:16" x14ac:dyDescent="0.25">
      <c r="P1997">
        <f t="shared" si="31"/>
        <v>1900</v>
      </c>
    </row>
    <row r="1998" spans="16:16" x14ac:dyDescent="0.25">
      <c r="P1998">
        <f t="shared" si="31"/>
        <v>1900</v>
      </c>
    </row>
    <row r="1999" spans="16:16" x14ac:dyDescent="0.25">
      <c r="P1999">
        <f t="shared" si="31"/>
        <v>1900</v>
      </c>
    </row>
    <row r="2000" spans="16:16" x14ac:dyDescent="0.25">
      <c r="P2000">
        <f t="shared" si="31"/>
        <v>1900</v>
      </c>
    </row>
    <row r="2001" spans="16:16" x14ac:dyDescent="0.25">
      <c r="P2001">
        <f t="shared" si="31"/>
        <v>1900</v>
      </c>
    </row>
    <row r="2002" spans="16:16" x14ac:dyDescent="0.25">
      <c r="P2002">
        <f t="shared" si="31"/>
        <v>1900</v>
      </c>
    </row>
    <row r="2003" spans="16:16" x14ac:dyDescent="0.25">
      <c r="P2003">
        <f t="shared" si="31"/>
        <v>1900</v>
      </c>
    </row>
    <row r="2004" spans="16:16" x14ac:dyDescent="0.25">
      <c r="P2004">
        <f t="shared" si="31"/>
        <v>1900</v>
      </c>
    </row>
    <row r="2005" spans="16:16" x14ac:dyDescent="0.25">
      <c r="P2005">
        <f t="shared" si="31"/>
        <v>1900</v>
      </c>
    </row>
    <row r="2006" spans="16:16" x14ac:dyDescent="0.25">
      <c r="P2006">
        <f t="shared" si="31"/>
        <v>1900</v>
      </c>
    </row>
    <row r="2007" spans="16:16" x14ac:dyDescent="0.25">
      <c r="P2007">
        <f t="shared" si="31"/>
        <v>1900</v>
      </c>
    </row>
    <row r="2008" spans="16:16" x14ac:dyDescent="0.25">
      <c r="P2008">
        <f t="shared" si="31"/>
        <v>1900</v>
      </c>
    </row>
    <row r="2009" spans="16:16" x14ac:dyDescent="0.25">
      <c r="P2009">
        <f t="shared" si="31"/>
        <v>1900</v>
      </c>
    </row>
    <row r="2010" spans="16:16" x14ac:dyDescent="0.25">
      <c r="P2010">
        <f t="shared" si="31"/>
        <v>1900</v>
      </c>
    </row>
    <row r="2011" spans="16:16" x14ac:dyDescent="0.25">
      <c r="P2011">
        <f t="shared" si="31"/>
        <v>1900</v>
      </c>
    </row>
    <row r="2012" spans="16:16" x14ac:dyDescent="0.25">
      <c r="P2012">
        <f t="shared" si="31"/>
        <v>1900</v>
      </c>
    </row>
    <row r="2013" spans="16:16" x14ac:dyDescent="0.25">
      <c r="P2013">
        <f t="shared" si="31"/>
        <v>1900</v>
      </c>
    </row>
    <row r="2014" spans="16:16" x14ac:dyDescent="0.25">
      <c r="P2014">
        <f t="shared" si="31"/>
        <v>1900</v>
      </c>
    </row>
    <row r="2015" spans="16:16" x14ac:dyDescent="0.25">
      <c r="P2015">
        <f t="shared" si="31"/>
        <v>1900</v>
      </c>
    </row>
    <row r="2016" spans="16:16" x14ac:dyDescent="0.25">
      <c r="P2016">
        <f t="shared" si="31"/>
        <v>1900</v>
      </c>
    </row>
    <row r="2017" spans="16:16" x14ac:dyDescent="0.25">
      <c r="P2017">
        <f t="shared" si="31"/>
        <v>1900</v>
      </c>
    </row>
    <row r="2018" spans="16:16" x14ac:dyDescent="0.25">
      <c r="P2018">
        <f t="shared" si="31"/>
        <v>1900</v>
      </c>
    </row>
    <row r="2019" spans="16:16" x14ac:dyDescent="0.25">
      <c r="P2019">
        <f t="shared" si="31"/>
        <v>1900</v>
      </c>
    </row>
    <row r="2020" spans="16:16" x14ac:dyDescent="0.25">
      <c r="P2020">
        <f t="shared" si="31"/>
        <v>1900</v>
      </c>
    </row>
    <row r="2021" spans="16:16" x14ac:dyDescent="0.25">
      <c r="P2021">
        <f t="shared" si="31"/>
        <v>1900</v>
      </c>
    </row>
    <row r="2022" spans="16:16" x14ac:dyDescent="0.25">
      <c r="P2022">
        <f t="shared" si="31"/>
        <v>1900</v>
      </c>
    </row>
    <row r="2023" spans="16:16" x14ac:dyDescent="0.25">
      <c r="P2023">
        <f t="shared" si="31"/>
        <v>1900</v>
      </c>
    </row>
    <row r="2024" spans="16:16" x14ac:dyDescent="0.25">
      <c r="P2024">
        <f t="shared" si="31"/>
        <v>1900</v>
      </c>
    </row>
    <row r="2025" spans="16:16" x14ac:dyDescent="0.25">
      <c r="P2025">
        <f t="shared" si="31"/>
        <v>1900</v>
      </c>
    </row>
    <row r="2026" spans="16:16" x14ac:dyDescent="0.25">
      <c r="P2026">
        <f t="shared" si="31"/>
        <v>1900</v>
      </c>
    </row>
    <row r="2027" spans="16:16" x14ac:dyDescent="0.25">
      <c r="P2027">
        <f t="shared" si="31"/>
        <v>1900</v>
      </c>
    </row>
    <row r="2028" spans="16:16" x14ac:dyDescent="0.25">
      <c r="P2028">
        <f t="shared" si="31"/>
        <v>1900</v>
      </c>
    </row>
    <row r="2029" spans="16:16" x14ac:dyDescent="0.25">
      <c r="P2029">
        <f t="shared" si="31"/>
        <v>1900</v>
      </c>
    </row>
    <row r="2030" spans="16:16" x14ac:dyDescent="0.25">
      <c r="P2030">
        <f t="shared" si="31"/>
        <v>1900</v>
      </c>
    </row>
    <row r="2031" spans="16:16" x14ac:dyDescent="0.25">
      <c r="P2031">
        <f t="shared" si="31"/>
        <v>1900</v>
      </c>
    </row>
    <row r="2032" spans="16:16" x14ac:dyDescent="0.25">
      <c r="P2032">
        <f t="shared" si="31"/>
        <v>1900</v>
      </c>
    </row>
    <row r="2033" spans="16:16" x14ac:dyDescent="0.25">
      <c r="P2033">
        <f t="shared" si="31"/>
        <v>1900</v>
      </c>
    </row>
    <row r="2034" spans="16:16" x14ac:dyDescent="0.25">
      <c r="P2034">
        <f t="shared" si="31"/>
        <v>1900</v>
      </c>
    </row>
    <row r="2035" spans="16:16" x14ac:dyDescent="0.25">
      <c r="P2035">
        <f t="shared" si="31"/>
        <v>1900</v>
      </c>
    </row>
    <row r="2036" spans="16:16" x14ac:dyDescent="0.25">
      <c r="P2036">
        <f t="shared" si="31"/>
        <v>1900</v>
      </c>
    </row>
    <row r="2037" spans="16:16" x14ac:dyDescent="0.25">
      <c r="P2037">
        <f t="shared" si="31"/>
        <v>1900</v>
      </c>
    </row>
    <row r="2038" spans="16:16" x14ac:dyDescent="0.25">
      <c r="P2038">
        <f t="shared" si="31"/>
        <v>1900</v>
      </c>
    </row>
    <row r="2039" spans="16:16" x14ac:dyDescent="0.25">
      <c r="P2039">
        <f t="shared" si="31"/>
        <v>1900</v>
      </c>
    </row>
    <row r="2040" spans="16:16" x14ac:dyDescent="0.25">
      <c r="P2040">
        <f t="shared" si="31"/>
        <v>1900</v>
      </c>
    </row>
    <row r="2041" spans="16:16" x14ac:dyDescent="0.25">
      <c r="P2041">
        <f t="shared" si="31"/>
        <v>1900</v>
      </c>
    </row>
    <row r="2042" spans="16:16" x14ac:dyDescent="0.25">
      <c r="P2042">
        <f t="shared" si="31"/>
        <v>1900</v>
      </c>
    </row>
    <row r="2043" spans="16:16" x14ac:dyDescent="0.25">
      <c r="P2043">
        <f t="shared" si="31"/>
        <v>1900</v>
      </c>
    </row>
    <row r="2044" spans="16:16" x14ac:dyDescent="0.25">
      <c r="P2044">
        <f t="shared" si="31"/>
        <v>1900</v>
      </c>
    </row>
    <row r="2045" spans="16:16" x14ac:dyDescent="0.25">
      <c r="P2045">
        <f t="shared" si="31"/>
        <v>1900</v>
      </c>
    </row>
    <row r="2046" spans="16:16" x14ac:dyDescent="0.25">
      <c r="P2046">
        <f t="shared" si="31"/>
        <v>1900</v>
      </c>
    </row>
    <row r="2047" spans="16:16" x14ac:dyDescent="0.25">
      <c r="P2047">
        <f t="shared" si="31"/>
        <v>1900</v>
      </c>
    </row>
    <row r="2048" spans="16:16" x14ac:dyDescent="0.25">
      <c r="P2048">
        <f t="shared" si="31"/>
        <v>1900</v>
      </c>
    </row>
    <row r="2049" spans="16:16" x14ac:dyDescent="0.25">
      <c r="P2049">
        <f t="shared" si="31"/>
        <v>1900</v>
      </c>
    </row>
    <row r="2050" spans="16:16" x14ac:dyDescent="0.25">
      <c r="P2050">
        <f t="shared" ref="P2050:P2113" si="32">IFERROR(YEAR(D2050),"")</f>
        <v>1900</v>
      </c>
    </row>
    <row r="2051" spans="16:16" x14ac:dyDescent="0.25">
      <c r="P2051">
        <f t="shared" si="32"/>
        <v>1900</v>
      </c>
    </row>
    <row r="2052" spans="16:16" x14ac:dyDescent="0.25">
      <c r="P2052">
        <f t="shared" si="32"/>
        <v>1900</v>
      </c>
    </row>
    <row r="2053" spans="16:16" x14ac:dyDescent="0.25">
      <c r="P2053">
        <f t="shared" si="32"/>
        <v>1900</v>
      </c>
    </row>
    <row r="2054" spans="16:16" x14ac:dyDescent="0.25">
      <c r="P2054">
        <f t="shared" si="32"/>
        <v>1900</v>
      </c>
    </row>
    <row r="2055" spans="16:16" x14ac:dyDescent="0.25">
      <c r="P2055">
        <f t="shared" si="32"/>
        <v>1900</v>
      </c>
    </row>
    <row r="2056" spans="16:16" x14ac:dyDescent="0.25">
      <c r="P2056">
        <f t="shared" si="32"/>
        <v>1900</v>
      </c>
    </row>
    <row r="2057" spans="16:16" x14ac:dyDescent="0.25">
      <c r="P2057">
        <f t="shared" si="32"/>
        <v>1900</v>
      </c>
    </row>
    <row r="2058" spans="16:16" x14ac:dyDescent="0.25">
      <c r="P2058">
        <f t="shared" si="32"/>
        <v>1900</v>
      </c>
    </row>
    <row r="2059" spans="16:16" x14ac:dyDescent="0.25">
      <c r="P2059">
        <f t="shared" si="32"/>
        <v>1900</v>
      </c>
    </row>
    <row r="2060" spans="16:16" x14ac:dyDescent="0.25">
      <c r="P2060">
        <f t="shared" si="32"/>
        <v>1900</v>
      </c>
    </row>
    <row r="2061" spans="16:16" x14ac:dyDescent="0.25">
      <c r="P2061">
        <f t="shared" si="32"/>
        <v>1900</v>
      </c>
    </row>
    <row r="2062" spans="16:16" x14ac:dyDescent="0.25">
      <c r="P2062">
        <f t="shared" si="32"/>
        <v>1900</v>
      </c>
    </row>
    <row r="2063" spans="16:16" x14ac:dyDescent="0.25">
      <c r="P2063">
        <f t="shared" si="32"/>
        <v>1900</v>
      </c>
    </row>
    <row r="2064" spans="16:16" x14ac:dyDescent="0.25">
      <c r="P2064">
        <f t="shared" si="32"/>
        <v>1900</v>
      </c>
    </row>
    <row r="2065" spans="16:16" x14ac:dyDescent="0.25">
      <c r="P2065">
        <f t="shared" si="32"/>
        <v>1900</v>
      </c>
    </row>
    <row r="2066" spans="16:16" x14ac:dyDescent="0.25">
      <c r="P2066">
        <f t="shared" si="32"/>
        <v>1900</v>
      </c>
    </row>
    <row r="2067" spans="16:16" x14ac:dyDescent="0.25">
      <c r="P2067">
        <f t="shared" si="32"/>
        <v>1900</v>
      </c>
    </row>
    <row r="2068" spans="16:16" x14ac:dyDescent="0.25">
      <c r="P2068">
        <f t="shared" si="32"/>
        <v>1900</v>
      </c>
    </row>
    <row r="2069" spans="16:16" x14ac:dyDescent="0.25">
      <c r="P2069">
        <f t="shared" si="32"/>
        <v>1900</v>
      </c>
    </row>
    <row r="2070" spans="16:16" x14ac:dyDescent="0.25">
      <c r="P2070">
        <f t="shared" si="32"/>
        <v>1900</v>
      </c>
    </row>
    <row r="2071" spans="16:16" x14ac:dyDescent="0.25">
      <c r="P2071">
        <f t="shared" si="32"/>
        <v>1900</v>
      </c>
    </row>
    <row r="2072" spans="16:16" x14ac:dyDescent="0.25">
      <c r="P2072">
        <f t="shared" si="32"/>
        <v>1900</v>
      </c>
    </row>
    <row r="2073" spans="16:16" x14ac:dyDescent="0.25">
      <c r="P2073">
        <f t="shared" si="32"/>
        <v>1900</v>
      </c>
    </row>
    <row r="2074" spans="16:16" x14ac:dyDescent="0.25">
      <c r="P2074">
        <f t="shared" si="32"/>
        <v>1900</v>
      </c>
    </row>
    <row r="2075" spans="16:16" x14ac:dyDescent="0.25">
      <c r="P2075">
        <f t="shared" si="32"/>
        <v>1900</v>
      </c>
    </row>
    <row r="2076" spans="16:16" x14ac:dyDescent="0.25">
      <c r="P2076">
        <f t="shared" si="32"/>
        <v>1900</v>
      </c>
    </row>
    <row r="2077" spans="16:16" x14ac:dyDescent="0.25">
      <c r="P2077">
        <f t="shared" si="32"/>
        <v>1900</v>
      </c>
    </row>
    <row r="2078" spans="16:16" x14ac:dyDescent="0.25">
      <c r="P2078">
        <f t="shared" si="32"/>
        <v>1900</v>
      </c>
    </row>
    <row r="2079" spans="16:16" x14ac:dyDescent="0.25">
      <c r="P2079">
        <f t="shared" si="32"/>
        <v>1900</v>
      </c>
    </row>
    <row r="2080" spans="16:16" x14ac:dyDescent="0.25">
      <c r="P2080">
        <f t="shared" si="32"/>
        <v>1900</v>
      </c>
    </row>
    <row r="2081" spans="16:16" x14ac:dyDescent="0.25">
      <c r="P2081">
        <f t="shared" si="32"/>
        <v>1900</v>
      </c>
    </row>
    <row r="2082" spans="16:16" x14ac:dyDescent="0.25">
      <c r="P2082">
        <f t="shared" si="32"/>
        <v>1900</v>
      </c>
    </row>
    <row r="2083" spans="16:16" x14ac:dyDescent="0.25">
      <c r="P2083">
        <f t="shared" si="32"/>
        <v>1900</v>
      </c>
    </row>
    <row r="2084" spans="16:16" x14ac:dyDescent="0.25">
      <c r="P2084">
        <f t="shared" si="32"/>
        <v>1900</v>
      </c>
    </row>
    <row r="2085" spans="16:16" x14ac:dyDescent="0.25">
      <c r="P2085">
        <f t="shared" si="32"/>
        <v>1900</v>
      </c>
    </row>
    <row r="2086" spans="16:16" x14ac:dyDescent="0.25">
      <c r="P2086">
        <f t="shared" si="32"/>
        <v>1900</v>
      </c>
    </row>
    <row r="2087" spans="16:16" x14ac:dyDescent="0.25">
      <c r="P2087">
        <f t="shared" si="32"/>
        <v>1900</v>
      </c>
    </row>
    <row r="2088" spans="16:16" x14ac:dyDescent="0.25">
      <c r="P2088">
        <f t="shared" si="32"/>
        <v>1900</v>
      </c>
    </row>
    <row r="2089" spans="16:16" x14ac:dyDescent="0.25">
      <c r="P2089">
        <f t="shared" si="32"/>
        <v>1900</v>
      </c>
    </row>
    <row r="2090" spans="16:16" x14ac:dyDescent="0.25">
      <c r="P2090">
        <f t="shared" si="32"/>
        <v>1900</v>
      </c>
    </row>
    <row r="2091" spans="16:16" x14ac:dyDescent="0.25">
      <c r="P2091">
        <f t="shared" si="32"/>
        <v>1900</v>
      </c>
    </row>
    <row r="2092" spans="16:16" x14ac:dyDescent="0.25">
      <c r="P2092">
        <f t="shared" si="32"/>
        <v>1900</v>
      </c>
    </row>
    <row r="2093" spans="16:16" x14ac:dyDescent="0.25">
      <c r="P2093">
        <f t="shared" si="32"/>
        <v>1900</v>
      </c>
    </row>
    <row r="2094" spans="16:16" x14ac:dyDescent="0.25">
      <c r="P2094">
        <f t="shared" si="32"/>
        <v>1900</v>
      </c>
    </row>
    <row r="2095" spans="16:16" x14ac:dyDescent="0.25">
      <c r="P2095">
        <f t="shared" si="32"/>
        <v>1900</v>
      </c>
    </row>
    <row r="2096" spans="16:16" x14ac:dyDescent="0.25">
      <c r="P2096">
        <f t="shared" si="32"/>
        <v>1900</v>
      </c>
    </row>
    <row r="2097" spans="16:16" x14ac:dyDescent="0.25">
      <c r="P2097">
        <f t="shared" si="32"/>
        <v>1900</v>
      </c>
    </row>
    <row r="2098" spans="16:16" x14ac:dyDescent="0.25">
      <c r="P2098">
        <f t="shared" si="32"/>
        <v>1900</v>
      </c>
    </row>
    <row r="2099" spans="16:16" x14ac:dyDescent="0.25">
      <c r="P2099">
        <f t="shared" si="32"/>
        <v>1900</v>
      </c>
    </row>
    <row r="2100" spans="16:16" x14ac:dyDescent="0.25">
      <c r="P2100">
        <f t="shared" si="32"/>
        <v>1900</v>
      </c>
    </row>
    <row r="2101" spans="16:16" x14ac:dyDescent="0.25">
      <c r="P2101">
        <f t="shared" si="32"/>
        <v>1900</v>
      </c>
    </row>
    <row r="2102" spans="16:16" x14ac:dyDescent="0.25">
      <c r="P2102">
        <f t="shared" si="32"/>
        <v>1900</v>
      </c>
    </row>
    <row r="2103" spans="16:16" x14ac:dyDescent="0.25">
      <c r="P2103">
        <f t="shared" si="32"/>
        <v>1900</v>
      </c>
    </row>
    <row r="2104" spans="16:16" x14ac:dyDescent="0.25">
      <c r="P2104">
        <f t="shared" si="32"/>
        <v>1900</v>
      </c>
    </row>
    <row r="2105" spans="16:16" x14ac:dyDescent="0.25">
      <c r="P2105">
        <f t="shared" si="32"/>
        <v>1900</v>
      </c>
    </row>
    <row r="2106" spans="16:16" x14ac:dyDescent="0.25">
      <c r="P2106">
        <f t="shared" si="32"/>
        <v>1900</v>
      </c>
    </row>
    <row r="2107" spans="16:16" x14ac:dyDescent="0.25">
      <c r="P2107">
        <f t="shared" si="32"/>
        <v>1900</v>
      </c>
    </row>
    <row r="2108" spans="16:16" x14ac:dyDescent="0.25">
      <c r="P2108">
        <f t="shared" si="32"/>
        <v>1900</v>
      </c>
    </row>
    <row r="2109" spans="16:16" x14ac:dyDescent="0.25">
      <c r="P2109">
        <f t="shared" si="32"/>
        <v>1900</v>
      </c>
    </row>
    <row r="2110" spans="16:16" x14ac:dyDescent="0.25">
      <c r="P2110">
        <f t="shared" si="32"/>
        <v>1900</v>
      </c>
    </row>
    <row r="2111" spans="16:16" x14ac:dyDescent="0.25">
      <c r="P2111">
        <f t="shared" si="32"/>
        <v>1900</v>
      </c>
    </row>
    <row r="2112" spans="16:16" x14ac:dyDescent="0.25">
      <c r="P2112">
        <f t="shared" si="32"/>
        <v>1900</v>
      </c>
    </row>
    <row r="2113" spans="16:16" x14ac:dyDescent="0.25">
      <c r="P2113">
        <f t="shared" si="32"/>
        <v>1900</v>
      </c>
    </row>
    <row r="2114" spans="16:16" x14ac:dyDescent="0.25">
      <c r="P2114">
        <f t="shared" ref="P2114:P2177" si="33">IFERROR(YEAR(D2114),"")</f>
        <v>1900</v>
      </c>
    </row>
    <row r="2115" spans="16:16" x14ac:dyDescent="0.25">
      <c r="P2115">
        <f t="shared" si="33"/>
        <v>1900</v>
      </c>
    </row>
    <row r="2116" spans="16:16" x14ac:dyDescent="0.25">
      <c r="P2116">
        <f t="shared" si="33"/>
        <v>1900</v>
      </c>
    </row>
    <row r="2117" spans="16:16" x14ac:dyDescent="0.25">
      <c r="P2117">
        <f t="shared" si="33"/>
        <v>1900</v>
      </c>
    </row>
    <row r="2118" spans="16:16" x14ac:dyDescent="0.25">
      <c r="P2118">
        <f t="shared" si="33"/>
        <v>1900</v>
      </c>
    </row>
    <row r="2119" spans="16:16" x14ac:dyDescent="0.25">
      <c r="P2119">
        <f t="shared" si="33"/>
        <v>1900</v>
      </c>
    </row>
    <row r="2120" spans="16:16" x14ac:dyDescent="0.25">
      <c r="P2120">
        <f t="shared" si="33"/>
        <v>1900</v>
      </c>
    </row>
    <row r="2121" spans="16:16" x14ac:dyDescent="0.25">
      <c r="P2121">
        <f t="shared" si="33"/>
        <v>1900</v>
      </c>
    </row>
    <row r="2122" spans="16:16" x14ac:dyDescent="0.25">
      <c r="P2122">
        <f t="shared" si="33"/>
        <v>1900</v>
      </c>
    </row>
    <row r="2123" spans="16:16" x14ac:dyDescent="0.25">
      <c r="P2123">
        <f t="shared" si="33"/>
        <v>1900</v>
      </c>
    </row>
    <row r="2124" spans="16:16" x14ac:dyDescent="0.25">
      <c r="P2124">
        <f t="shared" si="33"/>
        <v>1900</v>
      </c>
    </row>
    <row r="2125" spans="16:16" x14ac:dyDescent="0.25">
      <c r="P2125">
        <f t="shared" si="33"/>
        <v>1900</v>
      </c>
    </row>
    <row r="2126" spans="16:16" x14ac:dyDescent="0.25">
      <c r="P2126">
        <f t="shared" si="33"/>
        <v>1900</v>
      </c>
    </row>
    <row r="2127" spans="16:16" x14ac:dyDescent="0.25">
      <c r="P2127">
        <f t="shared" si="33"/>
        <v>1900</v>
      </c>
    </row>
    <row r="2128" spans="16:16" x14ac:dyDescent="0.25">
      <c r="P2128">
        <f t="shared" si="33"/>
        <v>1900</v>
      </c>
    </row>
    <row r="2129" spans="16:16" x14ac:dyDescent="0.25">
      <c r="P2129">
        <f t="shared" si="33"/>
        <v>1900</v>
      </c>
    </row>
    <row r="2130" spans="16:16" x14ac:dyDescent="0.25">
      <c r="P2130">
        <f t="shared" si="33"/>
        <v>1900</v>
      </c>
    </row>
    <row r="2131" spans="16:16" x14ac:dyDescent="0.25">
      <c r="P2131">
        <f t="shared" si="33"/>
        <v>1900</v>
      </c>
    </row>
    <row r="2132" spans="16:16" x14ac:dyDescent="0.25">
      <c r="P2132">
        <f t="shared" si="33"/>
        <v>1900</v>
      </c>
    </row>
    <row r="2133" spans="16:16" x14ac:dyDescent="0.25">
      <c r="P2133">
        <f t="shared" si="33"/>
        <v>1900</v>
      </c>
    </row>
    <row r="2134" spans="16:16" x14ac:dyDescent="0.25">
      <c r="P2134">
        <f t="shared" si="33"/>
        <v>1900</v>
      </c>
    </row>
    <row r="2135" spans="16:16" x14ac:dyDescent="0.25">
      <c r="P2135">
        <f t="shared" si="33"/>
        <v>1900</v>
      </c>
    </row>
    <row r="2136" spans="16:16" x14ac:dyDescent="0.25">
      <c r="P2136">
        <f t="shared" si="33"/>
        <v>1900</v>
      </c>
    </row>
    <row r="2137" spans="16:16" x14ac:dyDescent="0.25">
      <c r="P2137">
        <f t="shared" si="33"/>
        <v>1900</v>
      </c>
    </row>
    <row r="2138" spans="16:16" x14ac:dyDescent="0.25">
      <c r="P2138">
        <f t="shared" si="33"/>
        <v>1900</v>
      </c>
    </row>
    <row r="2139" spans="16:16" x14ac:dyDescent="0.25">
      <c r="P2139">
        <f t="shared" si="33"/>
        <v>1900</v>
      </c>
    </row>
    <row r="2140" spans="16:16" x14ac:dyDescent="0.25">
      <c r="P2140">
        <f t="shared" si="33"/>
        <v>1900</v>
      </c>
    </row>
    <row r="2141" spans="16:16" x14ac:dyDescent="0.25">
      <c r="P2141">
        <f t="shared" si="33"/>
        <v>1900</v>
      </c>
    </row>
    <row r="2142" spans="16:16" x14ac:dyDescent="0.25">
      <c r="P2142">
        <f t="shared" si="33"/>
        <v>1900</v>
      </c>
    </row>
    <row r="2143" spans="16:16" x14ac:dyDescent="0.25">
      <c r="P2143">
        <f t="shared" si="33"/>
        <v>1900</v>
      </c>
    </row>
    <row r="2144" spans="16:16" x14ac:dyDescent="0.25">
      <c r="P2144">
        <f t="shared" si="33"/>
        <v>1900</v>
      </c>
    </row>
    <row r="2145" spans="16:16" x14ac:dyDescent="0.25">
      <c r="P2145">
        <f t="shared" si="33"/>
        <v>1900</v>
      </c>
    </row>
    <row r="2146" spans="16:16" x14ac:dyDescent="0.25">
      <c r="P2146">
        <f t="shared" si="33"/>
        <v>1900</v>
      </c>
    </row>
    <row r="2147" spans="16:16" x14ac:dyDescent="0.25">
      <c r="P2147">
        <f t="shared" si="33"/>
        <v>1900</v>
      </c>
    </row>
    <row r="2148" spans="16:16" x14ac:dyDescent="0.25">
      <c r="P2148">
        <f t="shared" si="33"/>
        <v>1900</v>
      </c>
    </row>
    <row r="2149" spans="16:16" x14ac:dyDescent="0.25">
      <c r="P2149">
        <f t="shared" si="33"/>
        <v>1900</v>
      </c>
    </row>
    <row r="2150" spans="16:16" x14ac:dyDescent="0.25">
      <c r="P2150">
        <f t="shared" si="33"/>
        <v>1900</v>
      </c>
    </row>
    <row r="2151" spans="16:16" x14ac:dyDescent="0.25">
      <c r="P2151">
        <f t="shared" si="33"/>
        <v>1900</v>
      </c>
    </row>
    <row r="2152" spans="16:16" x14ac:dyDescent="0.25">
      <c r="P2152">
        <f t="shared" si="33"/>
        <v>1900</v>
      </c>
    </row>
    <row r="2153" spans="16:16" x14ac:dyDescent="0.25">
      <c r="P2153">
        <f t="shared" si="33"/>
        <v>1900</v>
      </c>
    </row>
    <row r="2154" spans="16:16" x14ac:dyDescent="0.25">
      <c r="P2154">
        <f t="shared" si="33"/>
        <v>1900</v>
      </c>
    </row>
    <row r="2155" spans="16:16" x14ac:dyDescent="0.25">
      <c r="P2155">
        <f t="shared" si="33"/>
        <v>1900</v>
      </c>
    </row>
    <row r="2156" spans="16:16" x14ac:dyDescent="0.25">
      <c r="P2156">
        <f t="shared" si="33"/>
        <v>1900</v>
      </c>
    </row>
    <row r="2157" spans="16:16" x14ac:dyDescent="0.25">
      <c r="P2157">
        <f t="shared" si="33"/>
        <v>1900</v>
      </c>
    </row>
    <row r="2158" spans="16:16" x14ac:dyDescent="0.25">
      <c r="P2158">
        <f t="shared" si="33"/>
        <v>1900</v>
      </c>
    </row>
    <row r="2159" spans="16:16" x14ac:dyDescent="0.25">
      <c r="P2159">
        <f t="shared" si="33"/>
        <v>1900</v>
      </c>
    </row>
    <row r="2160" spans="16:16" x14ac:dyDescent="0.25">
      <c r="P2160">
        <f t="shared" si="33"/>
        <v>1900</v>
      </c>
    </row>
    <row r="2161" spans="16:16" x14ac:dyDescent="0.25">
      <c r="P2161">
        <f t="shared" si="33"/>
        <v>1900</v>
      </c>
    </row>
    <row r="2162" spans="16:16" x14ac:dyDescent="0.25">
      <c r="P2162">
        <f t="shared" si="33"/>
        <v>1900</v>
      </c>
    </row>
    <row r="2163" spans="16:16" x14ac:dyDescent="0.25">
      <c r="P2163">
        <f t="shared" si="33"/>
        <v>1900</v>
      </c>
    </row>
    <row r="2164" spans="16:16" x14ac:dyDescent="0.25">
      <c r="P2164">
        <f t="shared" si="33"/>
        <v>1900</v>
      </c>
    </row>
    <row r="2165" spans="16:16" x14ac:dyDescent="0.25">
      <c r="P2165">
        <f t="shared" si="33"/>
        <v>1900</v>
      </c>
    </row>
    <row r="2166" spans="16:16" x14ac:dyDescent="0.25">
      <c r="P2166">
        <f t="shared" si="33"/>
        <v>1900</v>
      </c>
    </row>
    <row r="2167" spans="16:16" x14ac:dyDescent="0.25">
      <c r="P2167">
        <f t="shared" si="33"/>
        <v>1900</v>
      </c>
    </row>
    <row r="2168" spans="16:16" x14ac:dyDescent="0.25">
      <c r="P2168">
        <f t="shared" si="33"/>
        <v>1900</v>
      </c>
    </row>
    <row r="2169" spans="16:16" x14ac:dyDescent="0.25">
      <c r="P2169">
        <f t="shared" si="33"/>
        <v>1900</v>
      </c>
    </row>
    <row r="2170" spans="16:16" x14ac:dyDescent="0.25">
      <c r="P2170">
        <f t="shared" si="33"/>
        <v>1900</v>
      </c>
    </row>
    <row r="2171" spans="16:16" x14ac:dyDescent="0.25">
      <c r="P2171">
        <f t="shared" si="33"/>
        <v>1900</v>
      </c>
    </row>
    <row r="2172" spans="16:16" x14ac:dyDescent="0.25">
      <c r="P2172">
        <f t="shared" si="33"/>
        <v>1900</v>
      </c>
    </row>
    <row r="2173" spans="16:16" x14ac:dyDescent="0.25">
      <c r="P2173">
        <f t="shared" si="33"/>
        <v>1900</v>
      </c>
    </row>
    <row r="2174" spans="16:16" x14ac:dyDescent="0.25">
      <c r="P2174">
        <f t="shared" si="33"/>
        <v>1900</v>
      </c>
    </row>
    <row r="2175" spans="16:16" x14ac:dyDescent="0.25">
      <c r="P2175">
        <f t="shared" si="33"/>
        <v>1900</v>
      </c>
    </row>
    <row r="2176" spans="16:16" x14ac:dyDescent="0.25">
      <c r="P2176">
        <f t="shared" si="33"/>
        <v>1900</v>
      </c>
    </row>
    <row r="2177" spans="16:16" x14ac:dyDescent="0.25">
      <c r="P2177">
        <f t="shared" si="33"/>
        <v>1900</v>
      </c>
    </row>
    <row r="2178" spans="16:16" x14ac:dyDescent="0.25">
      <c r="P2178">
        <f t="shared" ref="P2178:P2241" si="34">IFERROR(YEAR(D2178),"")</f>
        <v>1900</v>
      </c>
    </row>
    <row r="2179" spans="16:16" x14ac:dyDescent="0.25">
      <c r="P2179">
        <f t="shared" si="34"/>
        <v>1900</v>
      </c>
    </row>
    <row r="2180" spans="16:16" x14ac:dyDescent="0.25">
      <c r="P2180">
        <f t="shared" si="34"/>
        <v>1900</v>
      </c>
    </row>
    <row r="2181" spans="16:16" x14ac:dyDescent="0.25">
      <c r="P2181">
        <f t="shared" si="34"/>
        <v>1900</v>
      </c>
    </row>
    <row r="2182" spans="16:16" x14ac:dyDescent="0.25">
      <c r="P2182">
        <f t="shared" si="34"/>
        <v>1900</v>
      </c>
    </row>
    <row r="2183" spans="16:16" x14ac:dyDescent="0.25">
      <c r="P2183">
        <f t="shared" si="34"/>
        <v>1900</v>
      </c>
    </row>
    <row r="2184" spans="16:16" x14ac:dyDescent="0.25">
      <c r="P2184">
        <f t="shared" si="34"/>
        <v>1900</v>
      </c>
    </row>
    <row r="2185" spans="16:16" x14ac:dyDescent="0.25">
      <c r="P2185">
        <f t="shared" si="34"/>
        <v>1900</v>
      </c>
    </row>
    <row r="2186" spans="16:16" x14ac:dyDescent="0.25">
      <c r="P2186">
        <f t="shared" si="34"/>
        <v>1900</v>
      </c>
    </row>
    <row r="2187" spans="16:16" x14ac:dyDescent="0.25">
      <c r="P2187">
        <f t="shared" si="34"/>
        <v>1900</v>
      </c>
    </row>
    <row r="2188" spans="16:16" x14ac:dyDescent="0.25">
      <c r="P2188">
        <f t="shared" si="34"/>
        <v>1900</v>
      </c>
    </row>
    <row r="2189" spans="16:16" x14ac:dyDescent="0.25">
      <c r="P2189">
        <f t="shared" si="34"/>
        <v>1900</v>
      </c>
    </row>
    <row r="2190" spans="16:16" x14ac:dyDescent="0.25">
      <c r="P2190">
        <f t="shared" si="34"/>
        <v>1900</v>
      </c>
    </row>
    <row r="2191" spans="16:16" x14ac:dyDescent="0.25">
      <c r="P2191">
        <f t="shared" si="34"/>
        <v>1900</v>
      </c>
    </row>
    <row r="2192" spans="16:16" x14ac:dyDescent="0.25">
      <c r="P2192">
        <f t="shared" si="34"/>
        <v>1900</v>
      </c>
    </row>
    <row r="2193" spans="16:16" x14ac:dyDescent="0.25">
      <c r="P2193">
        <f t="shared" si="34"/>
        <v>1900</v>
      </c>
    </row>
    <row r="2194" spans="16:16" x14ac:dyDescent="0.25">
      <c r="P2194">
        <f t="shared" si="34"/>
        <v>1900</v>
      </c>
    </row>
    <row r="2195" spans="16:16" x14ac:dyDescent="0.25">
      <c r="P2195">
        <f t="shared" si="34"/>
        <v>1900</v>
      </c>
    </row>
    <row r="2196" spans="16:16" x14ac:dyDescent="0.25">
      <c r="P2196">
        <f t="shared" si="34"/>
        <v>1900</v>
      </c>
    </row>
    <row r="2197" spans="16:16" x14ac:dyDescent="0.25">
      <c r="P2197">
        <f t="shared" si="34"/>
        <v>1900</v>
      </c>
    </row>
    <row r="2198" spans="16:16" x14ac:dyDescent="0.25">
      <c r="P2198">
        <f t="shared" si="34"/>
        <v>1900</v>
      </c>
    </row>
    <row r="2199" spans="16:16" x14ac:dyDescent="0.25">
      <c r="P2199">
        <f t="shared" si="34"/>
        <v>1900</v>
      </c>
    </row>
    <row r="2200" spans="16:16" x14ac:dyDescent="0.25">
      <c r="P2200">
        <f t="shared" si="34"/>
        <v>1900</v>
      </c>
    </row>
    <row r="2201" spans="16:16" x14ac:dyDescent="0.25">
      <c r="P2201">
        <f t="shared" si="34"/>
        <v>1900</v>
      </c>
    </row>
    <row r="2202" spans="16:16" x14ac:dyDescent="0.25">
      <c r="P2202">
        <f t="shared" si="34"/>
        <v>1900</v>
      </c>
    </row>
    <row r="2203" spans="16:16" x14ac:dyDescent="0.25">
      <c r="P2203">
        <f t="shared" si="34"/>
        <v>1900</v>
      </c>
    </row>
    <row r="2204" spans="16:16" x14ac:dyDescent="0.25">
      <c r="P2204">
        <f t="shared" si="34"/>
        <v>1900</v>
      </c>
    </row>
    <row r="2205" spans="16:16" x14ac:dyDescent="0.25">
      <c r="P2205">
        <f t="shared" si="34"/>
        <v>1900</v>
      </c>
    </row>
    <row r="2206" spans="16:16" x14ac:dyDescent="0.25">
      <c r="P2206">
        <f t="shared" si="34"/>
        <v>1900</v>
      </c>
    </row>
    <row r="2207" spans="16:16" x14ac:dyDescent="0.25">
      <c r="P2207">
        <f t="shared" si="34"/>
        <v>1900</v>
      </c>
    </row>
    <row r="2208" spans="16:16" x14ac:dyDescent="0.25">
      <c r="P2208">
        <f t="shared" si="34"/>
        <v>1900</v>
      </c>
    </row>
    <row r="2209" spans="16:16" x14ac:dyDescent="0.25">
      <c r="P2209">
        <f t="shared" si="34"/>
        <v>1900</v>
      </c>
    </row>
    <row r="2210" spans="16:16" x14ac:dyDescent="0.25">
      <c r="P2210">
        <f t="shared" si="34"/>
        <v>1900</v>
      </c>
    </row>
    <row r="2211" spans="16:16" x14ac:dyDescent="0.25">
      <c r="P2211">
        <f t="shared" si="34"/>
        <v>1900</v>
      </c>
    </row>
    <row r="2212" spans="16:16" x14ac:dyDescent="0.25">
      <c r="P2212">
        <f t="shared" si="34"/>
        <v>1900</v>
      </c>
    </row>
    <row r="2213" spans="16:16" x14ac:dyDescent="0.25">
      <c r="P2213">
        <f t="shared" si="34"/>
        <v>1900</v>
      </c>
    </row>
    <row r="2214" spans="16:16" x14ac:dyDescent="0.25">
      <c r="P2214">
        <f t="shared" si="34"/>
        <v>1900</v>
      </c>
    </row>
    <row r="2215" spans="16:16" x14ac:dyDescent="0.25">
      <c r="P2215">
        <f t="shared" si="34"/>
        <v>1900</v>
      </c>
    </row>
    <row r="2216" spans="16:16" x14ac:dyDescent="0.25">
      <c r="P2216">
        <f t="shared" si="34"/>
        <v>1900</v>
      </c>
    </row>
    <row r="2217" spans="16:16" x14ac:dyDescent="0.25">
      <c r="P2217">
        <f t="shared" si="34"/>
        <v>1900</v>
      </c>
    </row>
    <row r="2218" spans="16:16" x14ac:dyDescent="0.25">
      <c r="P2218">
        <f t="shared" si="34"/>
        <v>1900</v>
      </c>
    </row>
    <row r="2219" spans="16:16" x14ac:dyDescent="0.25">
      <c r="P2219">
        <f t="shared" si="34"/>
        <v>1900</v>
      </c>
    </row>
    <row r="2220" spans="16:16" x14ac:dyDescent="0.25">
      <c r="P2220">
        <f t="shared" si="34"/>
        <v>1900</v>
      </c>
    </row>
    <row r="2221" spans="16:16" x14ac:dyDescent="0.25">
      <c r="P2221">
        <f t="shared" si="34"/>
        <v>1900</v>
      </c>
    </row>
    <row r="2222" spans="16:16" x14ac:dyDescent="0.25">
      <c r="P2222">
        <f t="shared" si="34"/>
        <v>1900</v>
      </c>
    </row>
    <row r="2223" spans="16:16" x14ac:dyDescent="0.25">
      <c r="P2223">
        <f t="shared" si="34"/>
        <v>1900</v>
      </c>
    </row>
    <row r="2224" spans="16:16" x14ac:dyDescent="0.25">
      <c r="P2224">
        <f t="shared" si="34"/>
        <v>1900</v>
      </c>
    </row>
    <row r="2225" spans="16:16" x14ac:dyDescent="0.25">
      <c r="P2225">
        <f t="shared" si="34"/>
        <v>1900</v>
      </c>
    </row>
    <row r="2226" spans="16:16" x14ac:dyDescent="0.25">
      <c r="P2226">
        <f t="shared" si="34"/>
        <v>1900</v>
      </c>
    </row>
    <row r="2227" spans="16:16" x14ac:dyDescent="0.25">
      <c r="P2227">
        <f t="shared" si="34"/>
        <v>1900</v>
      </c>
    </row>
    <row r="2228" spans="16:16" x14ac:dyDescent="0.25">
      <c r="P2228">
        <f t="shared" si="34"/>
        <v>1900</v>
      </c>
    </row>
    <row r="2229" spans="16:16" x14ac:dyDescent="0.25">
      <c r="P2229">
        <f t="shared" si="34"/>
        <v>1900</v>
      </c>
    </row>
    <row r="2230" spans="16:16" x14ac:dyDescent="0.25">
      <c r="P2230">
        <f t="shared" si="34"/>
        <v>1900</v>
      </c>
    </row>
    <row r="2231" spans="16:16" x14ac:dyDescent="0.25">
      <c r="P2231">
        <f t="shared" si="34"/>
        <v>1900</v>
      </c>
    </row>
    <row r="2232" spans="16:16" x14ac:dyDescent="0.25">
      <c r="P2232">
        <f t="shared" si="34"/>
        <v>1900</v>
      </c>
    </row>
    <row r="2233" spans="16:16" x14ac:dyDescent="0.25">
      <c r="P2233">
        <f t="shared" si="34"/>
        <v>1900</v>
      </c>
    </row>
    <row r="2234" spans="16:16" x14ac:dyDescent="0.25">
      <c r="P2234">
        <f t="shared" si="34"/>
        <v>1900</v>
      </c>
    </row>
    <row r="2235" spans="16:16" x14ac:dyDescent="0.25">
      <c r="P2235">
        <f t="shared" si="34"/>
        <v>1900</v>
      </c>
    </row>
    <row r="2236" spans="16:16" x14ac:dyDescent="0.25">
      <c r="P2236">
        <f t="shared" si="34"/>
        <v>1900</v>
      </c>
    </row>
    <row r="2237" spans="16:16" x14ac:dyDescent="0.25">
      <c r="P2237">
        <f t="shared" si="34"/>
        <v>1900</v>
      </c>
    </row>
    <row r="2238" spans="16:16" x14ac:dyDescent="0.25">
      <c r="P2238">
        <f t="shared" si="34"/>
        <v>1900</v>
      </c>
    </row>
    <row r="2239" spans="16:16" x14ac:dyDescent="0.25">
      <c r="P2239">
        <f t="shared" si="34"/>
        <v>1900</v>
      </c>
    </row>
    <row r="2240" spans="16:16" x14ac:dyDescent="0.25">
      <c r="P2240">
        <f t="shared" si="34"/>
        <v>1900</v>
      </c>
    </row>
    <row r="2241" spans="16:16" x14ac:dyDescent="0.25">
      <c r="P2241">
        <f t="shared" si="34"/>
        <v>1900</v>
      </c>
    </row>
    <row r="2242" spans="16:16" x14ac:dyDescent="0.25">
      <c r="P2242">
        <f t="shared" ref="P2242:P2305" si="35">IFERROR(YEAR(D2242),"")</f>
        <v>1900</v>
      </c>
    </row>
    <row r="2243" spans="16:16" x14ac:dyDescent="0.25">
      <c r="P2243">
        <f t="shared" si="35"/>
        <v>1900</v>
      </c>
    </row>
    <row r="2244" spans="16:16" x14ac:dyDescent="0.25">
      <c r="P2244">
        <f t="shared" si="35"/>
        <v>1900</v>
      </c>
    </row>
    <row r="2245" spans="16:16" x14ac:dyDescent="0.25">
      <c r="P2245">
        <f t="shared" si="35"/>
        <v>1900</v>
      </c>
    </row>
    <row r="2246" spans="16:16" x14ac:dyDescent="0.25">
      <c r="P2246">
        <f t="shared" si="35"/>
        <v>1900</v>
      </c>
    </row>
    <row r="2247" spans="16:16" x14ac:dyDescent="0.25">
      <c r="P2247">
        <f t="shared" si="35"/>
        <v>1900</v>
      </c>
    </row>
    <row r="2248" spans="16:16" x14ac:dyDescent="0.25">
      <c r="P2248">
        <f t="shared" si="35"/>
        <v>1900</v>
      </c>
    </row>
    <row r="2249" spans="16:16" x14ac:dyDescent="0.25">
      <c r="P2249">
        <f t="shared" si="35"/>
        <v>1900</v>
      </c>
    </row>
    <row r="2250" spans="16:16" x14ac:dyDescent="0.25">
      <c r="P2250">
        <f t="shared" si="35"/>
        <v>1900</v>
      </c>
    </row>
    <row r="2251" spans="16:16" x14ac:dyDescent="0.25">
      <c r="P2251">
        <f t="shared" si="35"/>
        <v>1900</v>
      </c>
    </row>
    <row r="2252" spans="16:16" x14ac:dyDescent="0.25">
      <c r="P2252">
        <f t="shared" si="35"/>
        <v>1900</v>
      </c>
    </row>
    <row r="2253" spans="16:16" x14ac:dyDescent="0.25">
      <c r="P2253">
        <f t="shared" si="35"/>
        <v>1900</v>
      </c>
    </row>
    <row r="2254" spans="16:16" x14ac:dyDescent="0.25">
      <c r="P2254">
        <f t="shared" si="35"/>
        <v>1900</v>
      </c>
    </row>
    <row r="2255" spans="16:16" x14ac:dyDescent="0.25">
      <c r="P2255">
        <f t="shared" si="35"/>
        <v>1900</v>
      </c>
    </row>
    <row r="2256" spans="16:16" x14ac:dyDescent="0.25">
      <c r="P2256">
        <f t="shared" si="35"/>
        <v>1900</v>
      </c>
    </row>
    <row r="2257" spans="16:16" x14ac:dyDescent="0.25">
      <c r="P2257">
        <f t="shared" si="35"/>
        <v>1900</v>
      </c>
    </row>
    <row r="2258" spans="16:16" x14ac:dyDescent="0.25">
      <c r="P2258">
        <f t="shared" si="35"/>
        <v>1900</v>
      </c>
    </row>
    <row r="2259" spans="16:16" x14ac:dyDescent="0.25">
      <c r="P2259">
        <f t="shared" si="35"/>
        <v>1900</v>
      </c>
    </row>
    <row r="2260" spans="16:16" x14ac:dyDescent="0.25">
      <c r="P2260">
        <f t="shared" si="35"/>
        <v>1900</v>
      </c>
    </row>
    <row r="2261" spans="16:16" x14ac:dyDescent="0.25">
      <c r="P2261">
        <f t="shared" si="35"/>
        <v>1900</v>
      </c>
    </row>
    <row r="2262" spans="16:16" x14ac:dyDescent="0.25">
      <c r="P2262">
        <f t="shared" si="35"/>
        <v>1900</v>
      </c>
    </row>
    <row r="2263" spans="16:16" x14ac:dyDescent="0.25">
      <c r="P2263">
        <f t="shared" si="35"/>
        <v>1900</v>
      </c>
    </row>
    <row r="2264" spans="16:16" x14ac:dyDescent="0.25">
      <c r="P2264">
        <f t="shared" si="35"/>
        <v>1900</v>
      </c>
    </row>
    <row r="2265" spans="16:16" x14ac:dyDescent="0.25">
      <c r="P2265">
        <f t="shared" si="35"/>
        <v>1900</v>
      </c>
    </row>
    <row r="2266" spans="16:16" x14ac:dyDescent="0.25">
      <c r="P2266">
        <f t="shared" si="35"/>
        <v>1900</v>
      </c>
    </row>
    <row r="2267" spans="16:16" x14ac:dyDescent="0.25">
      <c r="P2267">
        <f t="shared" si="35"/>
        <v>1900</v>
      </c>
    </row>
    <row r="2268" spans="16:16" x14ac:dyDescent="0.25">
      <c r="P2268">
        <f t="shared" si="35"/>
        <v>1900</v>
      </c>
    </row>
    <row r="2269" spans="16:16" x14ac:dyDescent="0.25">
      <c r="P2269">
        <f t="shared" si="35"/>
        <v>1900</v>
      </c>
    </row>
    <row r="2270" spans="16:16" x14ac:dyDescent="0.25">
      <c r="P2270">
        <f t="shared" si="35"/>
        <v>1900</v>
      </c>
    </row>
    <row r="2271" spans="16:16" x14ac:dyDescent="0.25">
      <c r="P2271">
        <f t="shared" si="35"/>
        <v>1900</v>
      </c>
    </row>
    <row r="2272" spans="16:16" x14ac:dyDescent="0.25">
      <c r="P2272">
        <f t="shared" si="35"/>
        <v>1900</v>
      </c>
    </row>
    <row r="2273" spans="16:16" x14ac:dyDescent="0.25">
      <c r="P2273">
        <f t="shared" si="35"/>
        <v>1900</v>
      </c>
    </row>
    <row r="2274" spans="16:16" x14ac:dyDescent="0.25">
      <c r="P2274">
        <f t="shared" si="35"/>
        <v>1900</v>
      </c>
    </row>
    <row r="2275" spans="16:16" x14ac:dyDescent="0.25">
      <c r="P2275">
        <f t="shared" si="35"/>
        <v>1900</v>
      </c>
    </row>
    <row r="2276" spans="16:16" x14ac:dyDescent="0.25">
      <c r="P2276">
        <f t="shared" si="35"/>
        <v>1900</v>
      </c>
    </row>
    <row r="2277" spans="16:16" x14ac:dyDescent="0.25">
      <c r="P2277">
        <f t="shared" si="35"/>
        <v>1900</v>
      </c>
    </row>
    <row r="2278" spans="16:16" x14ac:dyDescent="0.25">
      <c r="P2278">
        <f t="shared" si="35"/>
        <v>1900</v>
      </c>
    </row>
    <row r="2279" spans="16:16" x14ac:dyDescent="0.25">
      <c r="P2279">
        <f t="shared" si="35"/>
        <v>1900</v>
      </c>
    </row>
    <row r="2280" spans="16:16" x14ac:dyDescent="0.25">
      <c r="P2280">
        <f t="shared" si="35"/>
        <v>1900</v>
      </c>
    </row>
    <row r="2281" spans="16:16" x14ac:dyDescent="0.25">
      <c r="P2281">
        <f t="shared" si="35"/>
        <v>1900</v>
      </c>
    </row>
    <row r="2282" spans="16:16" x14ac:dyDescent="0.25">
      <c r="P2282">
        <f t="shared" si="35"/>
        <v>1900</v>
      </c>
    </row>
    <row r="2283" spans="16:16" x14ac:dyDescent="0.25">
      <c r="P2283">
        <f t="shared" si="35"/>
        <v>1900</v>
      </c>
    </row>
    <row r="2284" spans="16:16" x14ac:dyDescent="0.25">
      <c r="P2284">
        <f t="shared" si="35"/>
        <v>1900</v>
      </c>
    </row>
    <row r="2285" spans="16:16" x14ac:dyDescent="0.25">
      <c r="P2285">
        <f t="shared" si="35"/>
        <v>1900</v>
      </c>
    </row>
    <row r="2286" spans="16:16" x14ac:dyDescent="0.25">
      <c r="P2286">
        <f t="shared" si="35"/>
        <v>1900</v>
      </c>
    </row>
    <row r="2287" spans="16:16" x14ac:dyDescent="0.25">
      <c r="P2287">
        <f t="shared" si="35"/>
        <v>1900</v>
      </c>
    </row>
    <row r="2288" spans="16:16" x14ac:dyDescent="0.25">
      <c r="P2288">
        <f t="shared" si="35"/>
        <v>1900</v>
      </c>
    </row>
    <row r="2289" spans="16:16" x14ac:dyDescent="0.25">
      <c r="P2289">
        <f t="shared" si="35"/>
        <v>1900</v>
      </c>
    </row>
    <row r="2290" spans="16:16" x14ac:dyDescent="0.25">
      <c r="P2290">
        <f t="shared" si="35"/>
        <v>1900</v>
      </c>
    </row>
    <row r="2291" spans="16:16" x14ac:dyDescent="0.25">
      <c r="P2291">
        <f t="shared" si="35"/>
        <v>1900</v>
      </c>
    </row>
    <row r="2292" spans="16:16" x14ac:dyDescent="0.25">
      <c r="P2292">
        <f t="shared" si="35"/>
        <v>1900</v>
      </c>
    </row>
    <row r="2293" spans="16:16" x14ac:dyDescent="0.25">
      <c r="P2293">
        <f t="shared" si="35"/>
        <v>1900</v>
      </c>
    </row>
    <row r="2294" spans="16:16" x14ac:dyDescent="0.25">
      <c r="P2294">
        <f t="shared" si="35"/>
        <v>1900</v>
      </c>
    </row>
    <row r="2295" spans="16:16" x14ac:dyDescent="0.25">
      <c r="P2295">
        <f t="shared" si="35"/>
        <v>1900</v>
      </c>
    </row>
    <row r="2296" spans="16:16" x14ac:dyDescent="0.25">
      <c r="P2296">
        <f t="shared" si="35"/>
        <v>1900</v>
      </c>
    </row>
    <row r="2297" spans="16:16" x14ac:dyDescent="0.25">
      <c r="P2297">
        <f t="shared" si="35"/>
        <v>1900</v>
      </c>
    </row>
    <row r="2298" spans="16:16" x14ac:dyDescent="0.25">
      <c r="P2298">
        <f t="shared" si="35"/>
        <v>1900</v>
      </c>
    </row>
    <row r="2299" spans="16:16" x14ac:dyDescent="0.25">
      <c r="P2299">
        <f t="shared" si="35"/>
        <v>1900</v>
      </c>
    </row>
    <row r="2300" spans="16:16" x14ac:dyDescent="0.25">
      <c r="P2300">
        <f t="shared" si="35"/>
        <v>1900</v>
      </c>
    </row>
    <row r="2301" spans="16:16" x14ac:dyDescent="0.25">
      <c r="P2301">
        <f t="shared" si="35"/>
        <v>1900</v>
      </c>
    </row>
    <row r="2302" spans="16:16" x14ac:dyDescent="0.25">
      <c r="P2302">
        <f t="shared" si="35"/>
        <v>1900</v>
      </c>
    </row>
    <row r="2303" spans="16:16" x14ac:dyDescent="0.25">
      <c r="P2303">
        <f t="shared" si="35"/>
        <v>1900</v>
      </c>
    </row>
    <row r="2304" spans="16:16" x14ac:dyDescent="0.25">
      <c r="P2304">
        <f t="shared" si="35"/>
        <v>1900</v>
      </c>
    </row>
    <row r="2305" spans="16:16" x14ac:dyDescent="0.25">
      <c r="P2305">
        <f t="shared" si="35"/>
        <v>1900</v>
      </c>
    </row>
    <row r="2306" spans="16:16" x14ac:dyDescent="0.25">
      <c r="P2306">
        <f t="shared" ref="P2306:P2369" si="36">IFERROR(YEAR(D2306),"")</f>
        <v>1900</v>
      </c>
    </row>
    <row r="2307" spans="16:16" x14ac:dyDescent="0.25">
      <c r="P2307">
        <f t="shared" si="36"/>
        <v>1900</v>
      </c>
    </row>
    <row r="2308" spans="16:16" x14ac:dyDescent="0.25">
      <c r="P2308">
        <f t="shared" si="36"/>
        <v>1900</v>
      </c>
    </row>
    <row r="2309" spans="16:16" x14ac:dyDescent="0.25">
      <c r="P2309">
        <f t="shared" si="36"/>
        <v>1900</v>
      </c>
    </row>
    <row r="2310" spans="16:16" x14ac:dyDescent="0.25">
      <c r="P2310">
        <f t="shared" si="36"/>
        <v>1900</v>
      </c>
    </row>
    <row r="2311" spans="16:16" x14ac:dyDescent="0.25">
      <c r="P2311">
        <f t="shared" si="36"/>
        <v>1900</v>
      </c>
    </row>
    <row r="2312" spans="16:16" x14ac:dyDescent="0.25">
      <c r="P2312">
        <f t="shared" si="36"/>
        <v>1900</v>
      </c>
    </row>
    <row r="2313" spans="16:16" x14ac:dyDescent="0.25">
      <c r="P2313">
        <f t="shared" si="36"/>
        <v>1900</v>
      </c>
    </row>
    <row r="2314" spans="16:16" x14ac:dyDescent="0.25">
      <c r="P2314">
        <f t="shared" si="36"/>
        <v>1900</v>
      </c>
    </row>
    <row r="2315" spans="16:16" x14ac:dyDescent="0.25">
      <c r="P2315">
        <f t="shared" si="36"/>
        <v>1900</v>
      </c>
    </row>
    <row r="2316" spans="16:16" x14ac:dyDescent="0.25">
      <c r="P2316">
        <f t="shared" si="36"/>
        <v>1900</v>
      </c>
    </row>
    <row r="2317" spans="16:16" x14ac:dyDescent="0.25">
      <c r="P2317">
        <f t="shared" si="36"/>
        <v>1900</v>
      </c>
    </row>
    <row r="2318" spans="16:16" x14ac:dyDescent="0.25">
      <c r="P2318">
        <f t="shared" si="36"/>
        <v>1900</v>
      </c>
    </row>
    <row r="2319" spans="16:16" x14ac:dyDescent="0.25">
      <c r="P2319">
        <f t="shared" si="36"/>
        <v>1900</v>
      </c>
    </row>
    <row r="2320" spans="16:16" x14ac:dyDescent="0.25">
      <c r="P2320">
        <f t="shared" si="36"/>
        <v>1900</v>
      </c>
    </row>
    <row r="2321" spans="16:16" x14ac:dyDescent="0.25">
      <c r="P2321">
        <f t="shared" si="36"/>
        <v>1900</v>
      </c>
    </row>
    <row r="2322" spans="16:16" x14ac:dyDescent="0.25">
      <c r="P2322">
        <f t="shared" si="36"/>
        <v>1900</v>
      </c>
    </row>
    <row r="2323" spans="16:16" x14ac:dyDescent="0.25">
      <c r="P2323">
        <f t="shared" si="36"/>
        <v>1900</v>
      </c>
    </row>
    <row r="2324" spans="16:16" x14ac:dyDescent="0.25">
      <c r="P2324">
        <f t="shared" si="36"/>
        <v>1900</v>
      </c>
    </row>
    <row r="2325" spans="16:16" x14ac:dyDescent="0.25">
      <c r="P2325">
        <f t="shared" si="36"/>
        <v>1900</v>
      </c>
    </row>
    <row r="2326" spans="16:16" x14ac:dyDescent="0.25">
      <c r="P2326">
        <f t="shared" si="36"/>
        <v>1900</v>
      </c>
    </row>
    <row r="2327" spans="16:16" x14ac:dyDescent="0.25">
      <c r="P2327">
        <f t="shared" si="36"/>
        <v>1900</v>
      </c>
    </row>
    <row r="2328" spans="16:16" x14ac:dyDescent="0.25">
      <c r="P2328">
        <f t="shared" si="36"/>
        <v>1900</v>
      </c>
    </row>
    <row r="2329" spans="16:16" x14ac:dyDescent="0.25">
      <c r="P2329">
        <f t="shared" si="36"/>
        <v>1900</v>
      </c>
    </row>
    <row r="2330" spans="16:16" x14ac:dyDescent="0.25">
      <c r="P2330">
        <f t="shared" si="36"/>
        <v>1900</v>
      </c>
    </row>
    <row r="2331" spans="16:16" x14ac:dyDescent="0.25">
      <c r="P2331">
        <f t="shared" si="36"/>
        <v>1900</v>
      </c>
    </row>
    <row r="2332" spans="16:16" x14ac:dyDescent="0.25">
      <c r="P2332">
        <f t="shared" si="36"/>
        <v>1900</v>
      </c>
    </row>
    <row r="2333" spans="16:16" x14ac:dyDescent="0.25">
      <c r="P2333">
        <f t="shared" si="36"/>
        <v>1900</v>
      </c>
    </row>
    <row r="2334" spans="16:16" x14ac:dyDescent="0.25">
      <c r="P2334">
        <f t="shared" si="36"/>
        <v>1900</v>
      </c>
    </row>
    <row r="2335" spans="16:16" x14ac:dyDescent="0.25">
      <c r="P2335">
        <f t="shared" si="36"/>
        <v>1900</v>
      </c>
    </row>
    <row r="2336" spans="16:16" x14ac:dyDescent="0.25">
      <c r="P2336">
        <f t="shared" si="36"/>
        <v>1900</v>
      </c>
    </row>
    <row r="2337" spans="16:16" x14ac:dyDescent="0.25">
      <c r="P2337">
        <f t="shared" si="36"/>
        <v>1900</v>
      </c>
    </row>
    <row r="2338" spans="16:16" x14ac:dyDescent="0.25">
      <c r="P2338">
        <f t="shared" si="36"/>
        <v>1900</v>
      </c>
    </row>
    <row r="2339" spans="16:16" x14ac:dyDescent="0.25">
      <c r="P2339">
        <f t="shared" si="36"/>
        <v>1900</v>
      </c>
    </row>
    <row r="2340" spans="16:16" x14ac:dyDescent="0.25">
      <c r="P2340">
        <f t="shared" si="36"/>
        <v>1900</v>
      </c>
    </row>
    <row r="2341" spans="16:16" x14ac:dyDescent="0.25">
      <c r="P2341">
        <f t="shared" si="36"/>
        <v>1900</v>
      </c>
    </row>
    <row r="2342" spans="16:16" x14ac:dyDescent="0.25">
      <c r="P2342">
        <f t="shared" si="36"/>
        <v>1900</v>
      </c>
    </row>
    <row r="2343" spans="16:16" x14ac:dyDescent="0.25">
      <c r="P2343">
        <f t="shared" si="36"/>
        <v>1900</v>
      </c>
    </row>
    <row r="2344" spans="16:16" x14ac:dyDescent="0.25">
      <c r="P2344">
        <f t="shared" si="36"/>
        <v>1900</v>
      </c>
    </row>
    <row r="2345" spans="16:16" x14ac:dyDescent="0.25">
      <c r="P2345">
        <f t="shared" si="36"/>
        <v>1900</v>
      </c>
    </row>
    <row r="2346" spans="16:16" x14ac:dyDescent="0.25">
      <c r="P2346">
        <f t="shared" si="36"/>
        <v>1900</v>
      </c>
    </row>
    <row r="2347" spans="16:16" x14ac:dyDescent="0.25">
      <c r="P2347">
        <f t="shared" si="36"/>
        <v>1900</v>
      </c>
    </row>
    <row r="2348" spans="16:16" x14ac:dyDescent="0.25">
      <c r="P2348">
        <f t="shared" si="36"/>
        <v>1900</v>
      </c>
    </row>
    <row r="2349" spans="16:16" x14ac:dyDescent="0.25">
      <c r="P2349">
        <f t="shared" si="36"/>
        <v>1900</v>
      </c>
    </row>
    <row r="2350" spans="16:16" x14ac:dyDescent="0.25">
      <c r="P2350">
        <f t="shared" si="36"/>
        <v>1900</v>
      </c>
    </row>
    <row r="2351" spans="16:16" x14ac:dyDescent="0.25">
      <c r="P2351">
        <f t="shared" si="36"/>
        <v>1900</v>
      </c>
    </row>
    <row r="2352" spans="16:16" x14ac:dyDescent="0.25">
      <c r="P2352">
        <f t="shared" si="36"/>
        <v>1900</v>
      </c>
    </row>
    <row r="2353" spans="16:16" x14ac:dyDescent="0.25">
      <c r="P2353">
        <f t="shared" si="36"/>
        <v>1900</v>
      </c>
    </row>
    <row r="2354" spans="16:16" x14ac:dyDescent="0.25">
      <c r="P2354">
        <f t="shared" si="36"/>
        <v>1900</v>
      </c>
    </row>
    <row r="2355" spans="16:16" x14ac:dyDescent="0.25">
      <c r="P2355">
        <f t="shared" si="36"/>
        <v>1900</v>
      </c>
    </row>
    <row r="2356" spans="16:16" x14ac:dyDescent="0.25">
      <c r="P2356">
        <f t="shared" si="36"/>
        <v>1900</v>
      </c>
    </row>
    <row r="2357" spans="16:16" x14ac:dyDescent="0.25">
      <c r="P2357">
        <f t="shared" si="36"/>
        <v>1900</v>
      </c>
    </row>
    <row r="2358" spans="16:16" x14ac:dyDescent="0.25">
      <c r="P2358">
        <f t="shared" si="36"/>
        <v>1900</v>
      </c>
    </row>
    <row r="2359" spans="16:16" x14ac:dyDescent="0.25">
      <c r="P2359">
        <f t="shared" si="36"/>
        <v>1900</v>
      </c>
    </row>
    <row r="2360" spans="16:16" x14ac:dyDescent="0.25">
      <c r="P2360">
        <f t="shared" si="36"/>
        <v>1900</v>
      </c>
    </row>
    <row r="2361" spans="16:16" x14ac:dyDescent="0.25">
      <c r="P2361">
        <f t="shared" si="36"/>
        <v>1900</v>
      </c>
    </row>
    <row r="2362" spans="16:16" x14ac:dyDescent="0.25">
      <c r="P2362">
        <f t="shared" si="36"/>
        <v>1900</v>
      </c>
    </row>
    <row r="2363" spans="16:16" x14ac:dyDescent="0.25">
      <c r="P2363">
        <f t="shared" si="36"/>
        <v>1900</v>
      </c>
    </row>
    <row r="2364" spans="16:16" x14ac:dyDescent="0.25">
      <c r="P2364">
        <f t="shared" si="36"/>
        <v>1900</v>
      </c>
    </row>
    <row r="2365" spans="16:16" x14ac:dyDescent="0.25">
      <c r="P2365">
        <f t="shared" si="36"/>
        <v>1900</v>
      </c>
    </row>
    <row r="2366" spans="16:16" x14ac:dyDescent="0.25">
      <c r="P2366">
        <f t="shared" si="36"/>
        <v>1900</v>
      </c>
    </row>
    <row r="2367" spans="16:16" x14ac:dyDescent="0.25">
      <c r="P2367">
        <f t="shared" si="36"/>
        <v>1900</v>
      </c>
    </row>
    <row r="2368" spans="16:16" x14ac:dyDescent="0.25">
      <c r="P2368">
        <f t="shared" si="36"/>
        <v>1900</v>
      </c>
    </row>
    <row r="2369" spans="16:16" x14ac:dyDescent="0.25">
      <c r="P2369">
        <f t="shared" si="36"/>
        <v>1900</v>
      </c>
    </row>
    <row r="2370" spans="16:16" x14ac:dyDescent="0.25">
      <c r="P2370">
        <f t="shared" ref="P2370:P2433" si="37">IFERROR(YEAR(D2370),"")</f>
        <v>1900</v>
      </c>
    </row>
    <row r="2371" spans="16:16" x14ac:dyDescent="0.25">
      <c r="P2371">
        <f t="shared" si="37"/>
        <v>1900</v>
      </c>
    </row>
    <row r="2372" spans="16:16" x14ac:dyDescent="0.25">
      <c r="P2372">
        <f t="shared" si="37"/>
        <v>1900</v>
      </c>
    </row>
    <row r="2373" spans="16:16" x14ac:dyDescent="0.25">
      <c r="P2373">
        <f t="shared" si="37"/>
        <v>1900</v>
      </c>
    </row>
    <row r="2374" spans="16:16" x14ac:dyDescent="0.25">
      <c r="P2374">
        <f t="shared" si="37"/>
        <v>1900</v>
      </c>
    </row>
    <row r="2375" spans="16:16" x14ac:dyDescent="0.25">
      <c r="P2375">
        <f t="shared" si="37"/>
        <v>1900</v>
      </c>
    </row>
    <row r="2376" spans="16:16" x14ac:dyDescent="0.25">
      <c r="P2376">
        <f t="shared" si="37"/>
        <v>1900</v>
      </c>
    </row>
    <row r="2377" spans="16:16" x14ac:dyDescent="0.25">
      <c r="P2377">
        <f t="shared" si="37"/>
        <v>1900</v>
      </c>
    </row>
    <row r="2378" spans="16:16" x14ac:dyDescent="0.25">
      <c r="P2378">
        <f t="shared" si="37"/>
        <v>1900</v>
      </c>
    </row>
    <row r="2379" spans="16:16" x14ac:dyDescent="0.25">
      <c r="P2379">
        <f t="shared" si="37"/>
        <v>1900</v>
      </c>
    </row>
    <row r="2380" spans="16:16" x14ac:dyDescent="0.25">
      <c r="P2380">
        <f t="shared" si="37"/>
        <v>1900</v>
      </c>
    </row>
    <row r="2381" spans="16:16" x14ac:dyDescent="0.25">
      <c r="P2381">
        <f t="shared" si="37"/>
        <v>1900</v>
      </c>
    </row>
    <row r="2382" spans="16:16" x14ac:dyDescent="0.25">
      <c r="P2382">
        <f t="shared" si="37"/>
        <v>1900</v>
      </c>
    </row>
    <row r="2383" spans="16:16" x14ac:dyDescent="0.25">
      <c r="P2383">
        <f t="shared" si="37"/>
        <v>1900</v>
      </c>
    </row>
    <row r="2384" spans="16:16" x14ac:dyDescent="0.25">
      <c r="P2384">
        <f t="shared" si="37"/>
        <v>1900</v>
      </c>
    </row>
    <row r="2385" spans="16:16" x14ac:dyDescent="0.25">
      <c r="P2385">
        <f t="shared" si="37"/>
        <v>1900</v>
      </c>
    </row>
    <row r="2386" spans="16:16" x14ac:dyDescent="0.25">
      <c r="P2386">
        <f t="shared" si="37"/>
        <v>1900</v>
      </c>
    </row>
    <row r="2387" spans="16:16" x14ac:dyDescent="0.25">
      <c r="P2387">
        <f t="shared" si="37"/>
        <v>1900</v>
      </c>
    </row>
    <row r="2388" spans="16:16" x14ac:dyDescent="0.25">
      <c r="P2388">
        <f t="shared" si="37"/>
        <v>1900</v>
      </c>
    </row>
    <row r="2389" spans="16:16" x14ac:dyDescent="0.25">
      <c r="P2389">
        <f t="shared" si="37"/>
        <v>1900</v>
      </c>
    </row>
    <row r="2390" spans="16:16" x14ac:dyDescent="0.25">
      <c r="P2390">
        <f t="shared" si="37"/>
        <v>1900</v>
      </c>
    </row>
    <row r="2391" spans="16:16" x14ac:dyDescent="0.25">
      <c r="P2391">
        <f t="shared" si="37"/>
        <v>1900</v>
      </c>
    </row>
    <row r="2392" spans="16:16" x14ac:dyDescent="0.25">
      <c r="P2392">
        <f t="shared" si="37"/>
        <v>1900</v>
      </c>
    </row>
    <row r="2393" spans="16:16" x14ac:dyDescent="0.25">
      <c r="P2393">
        <f t="shared" si="37"/>
        <v>1900</v>
      </c>
    </row>
    <row r="2394" spans="16:16" x14ac:dyDescent="0.25">
      <c r="P2394">
        <f t="shared" si="37"/>
        <v>1900</v>
      </c>
    </row>
    <row r="2395" spans="16:16" x14ac:dyDescent="0.25">
      <c r="P2395">
        <f t="shared" si="37"/>
        <v>1900</v>
      </c>
    </row>
    <row r="2396" spans="16:16" x14ac:dyDescent="0.25">
      <c r="P2396">
        <f t="shared" si="37"/>
        <v>1900</v>
      </c>
    </row>
    <row r="2397" spans="16:16" x14ac:dyDescent="0.25">
      <c r="P2397">
        <f t="shared" si="37"/>
        <v>1900</v>
      </c>
    </row>
    <row r="2398" spans="16:16" x14ac:dyDescent="0.25">
      <c r="P2398">
        <f t="shared" si="37"/>
        <v>1900</v>
      </c>
    </row>
    <row r="2399" spans="16:16" x14ac:dyDescent="0.25">
      <c r="P2399">
        <f t="shared" si="37"/>
        <v>1900</v>
      </c>
    </row>
    <row r="2400" spans="16:16" x14ac:dyDescent="0.25">
      <c r="P2400">
        <f t="shared" si="37"/>
        <v>1900</v>
      </c>
    </row>
    <row r="2401" spans="16:16" x14ac:dyDescent="0.25">
      <c r="P2401">
        <f t="shared" si="37"/>
        <v>1900</v>
      </c>
    </row>
    <row r="2402" spans="16:16" x14ac:dyDescent="0.25">
      <c r="P2402">
        <f t="shared" si="37"/>
        <v>1900</v>
      </c>
    </row>
    <row r="2403" spans="16:16" x14ac:dyDescent="0.25">
      <c r="P2403">
        <f t="shared" si="37"/>
        <v>1900</v>
      </c>
    </row>
    <row r="2404" spans="16:16" x14ac:dyDescent="0.25">
      <c r="P2404">
        <f t="shared" si="37"/>
        <v>1900</v>
      </c>
    </row>
    <row r="2405" spans="16:16" x14ac:dyDescent="0.25">
      <c r="P2405">
        <f t="shared" si="37"/>
        <v>1900</v>
      </c>
    </row>
    <row r="2406" spans="16:16" x14ac:dyDescent="0.25">
      <c r="P2406">
        <f t="shared" si="37"/>
        <v>1900</v>
      </c>
    </row>
    <row r="2407" spans="16:16" x14ac:dyDescent="0.25">
      <c r="P2407">
        <f t="shared" si="37"/>
        <v>1900</v>
      </c>
    </row>
    <row r="2408" spans="16:16" x14ac:dyDescent="0.25">
      <c r="P2408">
        <f t="shared" si="37"/>
        <v>1900</v>
      </c>
    </row>
    <row r="2409" spans="16:16" x14ac:dyDescent="0.25">
      <c r="P2409">
        <f t="shared" si="37"/>
        <v>1900</v>
      </c>
    </row>
    <row r="2410" spans="16:16" x14ac:dyDescent="0.25">
      <c r="P2410">
        <f t="shared" si="37"/>
        <v>1900</v>
      </c>
    </row>
    <row r="2411" spans="16:16" x14ac:dyDescent="0.25">
      <c r="P2411">
        <f t="shared" si="37"/>
        <v>1900</v>
      </c>
    </row>
    <row r="2412" spans="16:16" x14ac:dyDescent="0.25">
      <c r="P2412">
        <f t="shared" si="37"/>
        <v>1900</v>
      </c>
    </row>
    <row r="2413" spans="16:16" x14ac:dyDescent="0.25">
      <c r="P2413">
        <f t="shared" si="37"/>
        <v>1900</v>
      </c>
    </row>
    <row r="2414" spans="16:16" x14ac:dyDescent="0.25">
      <c r="P2414">
        <f t="shared" si="37"/>
        <v>1900</v>
      </c>
    </row>
    <row r="2415" spans="16:16" x14ac:dyDescent="0.25">
      <c r="P2415">
        <f t="shared" si="37"/>
        <v>1900</v>
      </c>
    </row>
    <row r="2416" spans="16:16" x14ac:dyDescent="0.25">
      <c r="P2416">
        <f t="shared" si="37"/>
        <v>1900</v>
      </c>
    </row>
    <row r="2417" spans="16:16" x14ac:dyDescent="0.25">
      <c r="P2417">
        <f t="shared" si="37"/>
        <v>1900</v>
      </c>
    </row>
    <row r="2418" spans="16:16" x14ac:dyDescent="0.25">
      <c r="P2418">
        <f t="shared" si="37"/>
        <v>1900</v>
      </c>
    </row>
    <row r="2419" spans="16:16" x14ac:dyDescent="0.25">
      <c r="P2419">
        <f t="shared" si="37"/>
        <v>1900</v>
      </c>
    </row>
    <row r="2420" spans="16:16" x14ac:dyDescent="0.25">
      <c r="P2420">
        <f t="shared" si="37"/>
        <v>1900</v>
      </c>
    </row>
    <row r="2421" spans="16:16" x14ac:dyDescent="0.25">
      <c r="P2421">
        <f t="shared" si="37"/>
        <v>1900</v>
      </c>
    </row>
    <row r="2422" spans="16:16" x14ac:dyDescent="0.25">
      <c r="P2422">
        <f t="shared" si="37"/>
        <v>1900</v>
      </c>
    </row>
    <row r="2423" spans="16:16" x14ac:dyDescent="0.25">
      <c r="P2423">
        <f t="shared" si="37"/>
        <v>1900</v>
      </c>
    </row>
    <row r="2424" spans="16:16" x14ac:dyDescent="0.25">
      <c r="P2424">
        <f t="shared" si="37"/>
        <v>1900</v>
      </c>
    </row>
    <row r="2425" spans="16:16" x14ac:dyDescent="0.25">
      <c r="P2425">
        <f t="shared" si="37"/>
        <v>1900</v>
      </c>
    </row>
    <row r="2426" spans="16:16" x14ac:dyDescent="0.25">
      <c r="P2426">
        <f t="shared" si="37"/>
        <v>1900</v>
      </c>
    </row>
    <row r="2427" spans="16:16" x14ac:dyDescent="0.25">
      <c r="P2427">
        <f t="shared" si="37"/>
        <v>1900</v>
      </c>
    </row>
    <row r="2428" spans="16:16" x14ac:dyDescent="0.25">
      <c r="P2428">
        <f t="shared" si="37"/>
        <v>1900</v>
      </c>
    </row>
    <row r="2429" spans="16:16" x14ac:dyDescent="0.25">
      <c r="P2429">
        <f t="shared" si="37"/>
        <v>1900</v>
      </c>
    </row>
    <row r="2430" spans="16:16" x14ac:dyDescent="0.25">
      <c r="P2430">
        <f t="shared" si="37"/>
        <v>1900</v>
      </c>
    </row>
    <row r="2431" spans="16:16" x14ac:dyDescent="0.25">
      <c r="P2431">
        <f t="shared" si="37"/>
        <v>1900</v>
      </c>
    </row>
    <row r="2432" spans="16:16" x14ac:dyDescent="0.25">
      <c r="P2432">
        <f t="shared" si="37"/>
        <v>1900</v>
      </c>
    </row>
    <row r="2433" spans="16:16" x14ac:dyDescent="0.25">
      <c r="P2433">
        <f t="shared" si="37"/>
        <v>1900</v>
      </c>
    </row>
    <row r="2434" spans="16:16" x14ac:dyDescent="0.25">
      <c r="P2434">
        <f t="shared" ref="P2434:P2497" si="38">IFERROR(YEAR(D2434),"")</f>
        <v>1900</v>
      </c>
    </row>
    <row r="2435" spans="16:16" x14ac:dyDescent="0.25">
      <c r="P2435">
        <f t="shared" si="38"/>
        <v>1900</v>
      </c>
    </row>
    <row r="2436" spans="16:16" x14ac:dyDescent="0.25">
      <c r="P2436">
        <f t="shared" si="38"/>
        <v>1900</v>
      </c>
    </row>
    <row r="2437" spans="16:16" x14ac:dyDescent="0.25">
      <c r="P2437">
        <f t="shared" si="38"/>
        <v>1900</v>
      </c>
    </row>
    <row r="2438" spans="16:16" x14ac:dyDescent="0.25">
      <c r="P2438">
        <f t="shared" si="38"/>
        <v>1900</v>
      </c>
    </row>
    <row r="2439" spans="16:16" x14ac:dyDescent="0.25">
      <c r="P2439">
        <f t="shared" si="38"/>
        <v>1900</v>
      </c>
    </row>
    <row r="2440" spans="16:16" x14ac:dyDescent="0.25">
      <c r="P2440">
        <f t="shared" si="38"/>
        <v>1900</v>
      </c>
    </row>
    <row r="2441" spans="16:16" x14ac:dyDescent="0.25">
      <c r="P2441">
        <f t="shared" si="38"/>
        <v>1900</v>
      </c>
    </row>
    <row r="2442" spans="16:16" x14ac:dyDescent="0.25">
      <c r="P2442">
        <f t="shared" si="38"/>
        <v>1900</v>
      </c>
    </row>
    <row r="2443" spans="16:16" x14ac:dyDescent="0.25">
      <c r="P2443">
        <f t="shared" si="38"/>
        <v>1900</v>
      </c>
    </row>
    <row r="2444" spans="16:16" x14ac:dyDescent="0.25">
      <c r="P2444">
        <f t="shared" si="38"/>
        <v>1900</v>
      </c>
    </row>
    <row r="2445" spans="16:16" x14ac:dyDescent="0.25">
      <c r="P2445">
        <f t="shared" si="38"/>
        <v>1900</v>
      </c>
    </row>
    <row r="2446" spans="16:16" x14ac:dyDescent="0.25">
      <c r="P2446">
        <f t="shared" si="38"/>
        <v>1900</v>
      </c>
    </row>
    <row r="2447" spans="16:16" x14ac:dyDescent="0.25">
      <c r="P2447">
        <f t="shared" si="38"/>
        <v>1900</v>
      </c>
    </row>
    <row r="2448" spans="16:16" x14ac:dyDescent="0.25">
      <c r="P2448">
        <f t="shared" si="38"/>
        <v>1900</v>
      </c>
    </row>
    <row r="2449" spans="16:16" x14ac:dyDescent="0.25">
      <c r="P2449">
        <f t="shared" si="38"/>
        <v>1900</v>
      </c>
    </row>
    <row r="2450" spans="16:16" x14ac:dyDescent="0.25">
      <c r="P2450">
        <f t="shared" si="38"/>
        <v>1900</v>
      </c>
    </row>
    <row r="2451" spans="16:16" x14ac:dyDescent="0.25">
      <c r="P2451">
        <f t="shared" si="38"/>
        <v>1900</v>
      </c>
    </row>
    <row r="2452" spans="16:16" x14ac:dyDescent="0.25">
      <c r="P2452">
        <f t="shared" si="38"/>
        <v>1900</v>
      </c>
    </row>
    <row r="2453" spans="16:16" x14ac:dyDescent="0.25">
      <c r="P2453">
        <f t="shared" si="38"/>
        <v>1900</v>
      </c>
    </row>
    <row r="2454" spans="16:16" x14ac:dyDescent="0.25">
      <c r="P2454">
        <f t="shared" si="38"/>
        <v>1900</v>
      </c>
    </row>
    <row r="2455" spans="16:16" x14ac:dyDescent="0.25">
      <c r="P2455">
        <f t="shared" si="38"/>
        <v>1900</v>
      </c>
    </row>
    <row r="2456" spans="16:16" x14ac:dyDescent="0.25">
      <c r="P2456">
        <f t="shared" si="38"/>
        <v>1900</v>
      </c>
    </row>
    <row r="2457" spans="16:16" x14ac:dyDescent="0.25">
      <c r="P2457">
        <f t="shared" si="38"/>
        <v>1900</v>
      </c>
    </row>
    <row r="2458" spans="16:16" x14ac:dyDescent="0.25">
      <c r="P2458">
        <f t="shared" si="38"/>
        <v>1900</v>
      </c>
    </row>
    <row r="2459" spans="16:16" x14ac:dyDescent="0.25">
      <c r="P2459">
        <f t="shared" si="38"/>
        <v>1900</v>
      </c>
    </row>
    <row r="2460" spans="16:16" x14ac:dyDescent="0.25">
      <c r="P2460">
        <f t="shared" si="38"/>
        <v>1900</v>
      </c>
    </row>
    <row r="2461" spans="16:16" x14ac:dyDescent="0.25">
      <c r="P2461">
        <f t="shared" si="38"/>
        <v>1900</v>
      </c>
    </row>
    <row r="2462" spans="16:16" x14ac:dyDescent="0.25">
      <c r="P2462">
        <f t="shared" si="38"/>
        <v>1900</v>
      </c>
    </row>
    <row r="2463" spans="16:16" x14ac:dyDescent="0.25">
      <c r="P2463">
        <f t="shared" si="38"/>
        <v>1900</v>
      </c>
    </row>
    <row r="2464" spans="16:16" x14ac:dyDescent="0.25">
      <c r="P2464">
        <f t="shared" si="38"/>
        <v>1900</v>
      </c>
    </row>
    <row r="2465" spans="16:16" x14ac:dyDescent="0.25">
      <c r="P2465">
        <f t="shared" si="38"/>
        <v>1900</v>
      </c>
    </row>
    <row r="2466" spans="16:16" x14ac:dyDescent="0.25">
      <c r="P2466">
        <f t="shared" si="38"/>
        <v>1900</v>
      </c>
    </row>
    <row r="2467" spans="16:16" x14ac:dyDescent="0.25">
      <c r="P2467">
        <f t="shared" si="38"/>
        <v>1900</v>
      </c>
    </row>
    <row r="2468" spans="16:16" x14ac:dyDescent="0.25">
      <c r="P2468">
        <f t="shared" si="38"/>
        <v>1900</v>
      </c>
    </row>
    <row r="2469" spans="16:16" x14ac:dyDescent="0.25">
      <c r="P2469">
        <f t="shared" si="38"/>
        <v>1900</v>
      </c>
    </row>
    <row r="2470" spans="16:16" x14ac:dyDescent="0.25">
      <c r="P2470">
        <f t="shared" si="38"/>
        <v>1900</v>
      </c>
    </row>
    <row r="2471" spans="16:16" x14ac:dyDescent="0.25">
      <c r="P2471">
        <f t="shared" si="38"/>
        <v>1900</v>
      </c>
    </row>
    <row r="2472" spans="16:16" x14ac:dyDescent="0.25">
      <c r="P2472">
        <f t="shared" si="38"/>
        <v>1900</v>
      </c>
    </row>
    <row r="2473" spans="16:16" x14ac:dyDescent="0.25">
      <c r="P2473">
        <f t="shared" si="38"/>
        <v>1900</v>
      </c>
    </row>
    <row r="2474" spans="16:16" x14ac:dyDescent="0.25">
      <c r="P2474">
        <f t="shared" si="38"/>
        <v>1900</v>
      </c>
    </row>
    <row r="2475" spans="16:16" x14ac:dyDescent="0.25">
      <c r="P2475">
        <f t="shared" si="38"/>
        <v>1900</v>
      </c>
    </row>
    <row r="2476" spans="16:16" x14ac:dyDescent="0.25">
      <c r="P2476">
        <f t="shared" si="38"/>
        <v>1900</v>
      </c>
    </row>
    <row r="2477" spans="16:16" x14ac:dyDescent="0.25">
      <c r="P2477">
        <f t="shared" si="38"/>
        <v>1900</v>
      </c>
    </row>
    <row r="2478" spans="16:16" x14ac:dyDescent="0.25">
      <c r="P2478">
        <f t="shared" si="38"/>
        <v>1900</v>
      </c>
    </row>
    <row r="2479" spans="16:16" x14ac:dyDescent="0.25">
      <c r="P2479">
        <f t="shared" si="38"/>
        <v>1900</v>
      </c>
    </row>
    <row r="2480" spans="16:16" x14ac:dyDescent="0.25">
      <c r="P2480">
        <f t="shared" si="38"/>
        <v>1900</v>
      </c>
    </row>
    <row r="2481" spans="16:16" x14ac:dyDescent="0.25">
      <c r="P2481">
        <f t="shared" si="38"/>
        <v>1900</v>
      </c>
    </row>
    <row r="2482" spans="16:16" x14ac:dyDescent="0.25">
      <c r="P2482">
        <f t="shared" si="38"/>
        <v>1900</v>
      </c>
    </row>
    <row r="2483" spans="16:16" x14ac:dyDescent="0.25">
      <c r="P2483">
        <f t="shared" si="38"/>
        <v>1900</v>
      </c>
    </row>
    <row r="2484" spans="16:16" x14ac:dyDescent="0.25">
      <c r="P2484">
        <f t="shared" si="38"/>
        <v>1900</v>
      </c>
    </row>
    <row r="2485" spans="16:16" x14ac:dyDescent="0.25">
      <c r="P2485">
        <f t="shared" si="38"/>
        <v>1900</v>
      </c>
    </row>
    <row r="2486" spans="16:16" x14ac:dyDescent="0.25">
      <c r="P2486">
        <f t="shared" si="38"/>
        <v>1900</v>
      </c>
    </row>
    <row r="2487" spans="16:16" x14ac:dyDescent="0.25">
      <c r="P2487">
        <f t="shared" si="38"/>
        <v>1900</v>
      </c>
    </row>
    <row r="2488" spans="16:16" x14ac:dyDescent="0.25">
      <c r="P2488">
        <f t="shared" si="38"/>
        <v>1900</v>
      </c>
    </row>
    <row r="2489" spans="16:16" x14ac:dyDescent="0.25">
      <c r="P2489">
        <f t="shared" si="38"/>
        <v>1900</v>
      </c>
    </row>
    <row r="2490" spans="16:16" x14ac:dyDescent="0.25">
      <c r="P2490">
        <f t="shared" si="38"/>
        <v>1900</v>
      </c>
    </row>
    <row r="2491" spans="16:16" x14ac:dyDescent="0.25">
      <c r="P2491">
        <f t="shared" si="38"/>
        <v>1900</v>
      </c>
    </row>
    <row r="2492" spans="16:16" x14ac:dyDescent="0.25">
      <c r="P2492">
        <f t="shared" si="38"/>
        <v>1900</v>
      </c>
    </row>
    <row r="2493" spans="16:16" x14ac:dyDescent="0.25">
      <c r="P2493">
        <f t="shared" si="38"/>
        <v>1900</v>
      </c>
    </row>
    <row r="2494" spans="16:16" x14ac:dyDescent="0.25">
      <c r="P2494">
        <f t="shared" si="38"/>
        <v>1900</v>
      </c>
    </row>
    <row r="2495" spans="16:16" x14ac:dyDescent="0.25">
      <c r="P2495">
        <f t="shared" si="38"/>
        <v>1900</v>
      </c>
    </row>
    <row r="2496" spans="16:16" x14ac:dyDescent="0.25">
      <c r="P2496">
        <f t="shared" si="38"/>
        <v>1900</v>
      </c>
    </row>
    <row r="2497" spans="16:16" x14ac:dyDescent="0.25">
      <c r="P2497">
        <f t="shared" si="38"/>
        <v>1900</v>
      </c>
    </row>
    <row r="2498" spans="16:16" x14ac:dyDescent="0.25">
      <c r="P2498">
        <f t="shared" ref="P2498:P2561" si="39">IFERROR(YEAR(D2498),"")</f>
        <v>1900</v>
      </c>
    </row>
    <row r="2499" spans="16:16" x14ac:dyDescent="0.25">
      <c r="P2499">
        <f t="shared" si="39"/>
        <v>1900</v>
      </c>
    </row>
    <row r="2500" spans="16:16" x14ac:dyDescent="0.25">
      <c r="P2500">
        <f t="shared" si="39"/>
        <v>1900</v>
      </c>
    </row>
    <row r="2501" spans="16:16" x14ac:dyDescent="0.25">
      <c r="P2501">
        <f t="shared" si="39"/>
        <v>1900</v>
      </c>
    </row>
    <row r="2502" spans="16:16" x14ac:dyDescent="0.25">
      <c r="P2502">
        <f t="shared" si="39"/>
        <v>1900</v>
      </c>
    </row>
    <row r="2503" spans="16:16" x14ac:dyDescent="0.25">
      <c r="P2503">
        <f t="shared" si="39"/>
        <v>1900</v>
      </c>
    </row>
    <row r="2504" spans="16:16" x14ac:dyDescent="0.25">
      <c r="P2504">
        <f t="shared" si="39"/>
        <v>1900</v>
      </c>
    </row>
    <row r="2505" spans="16:16" x14ac:dyDescent="0.25">
      <c r="P2505">
        <f t="shared" si="39"/>
        <v>1900</v>
      </c>
    </row>
    <row r="2506" spans="16:16" x14ac:dyDescent="0.25">
      <c r="P2506">
        <f t="shared" si="39"/>
        <v>1900</v>
      </c>
    </row>
    <row r="2507" spans="16:16" x14ac:dyDescent="0.25">
      <c r="P2507">
        <f t="shared" si="39"/>
        <v>1900</v>
      </c>
    </row>
    <row r="2508" spans="16:16" x14ac:dyDescent="0.25">
      <c r="P2508">
        <f t="shared" si="39"/>
        <v>1900</v>
      </c>
    </row>
    <row r="2509" spans="16:16" x14ac:dyDescent="0.25">
      <c r="P2509">
        <f t="shared" si="39"/>
        <v>1900</v>
      </c>
    </row>
    <row r="2510" spans="16:16" x14ac:dyDescent="0.25">
      <c r="P2510">
        <f t="shared" si="39"/>
        <v>1900</v>
      </c>
    </row>
    <row r="2511" spans="16:16" x14ac:dyDescent="0.25">
      <c r="P2511">
        <f t="shared" si="39"/>
        <v>1900</v>
      </c>
    </row>
    <row r="2512" spans="16:16" x14ac:dyDescent="0.25">
      <c r="P2512">
        <f t="shared" si="39"/>
        <v>1900</v>
      </c>
    </row>
    <row r="2513" spans="16:16" x14ac:dyDescent="0.25">
      <c r="P2513">
        <f t="shared" si="39"/>
        <v>1900</v>
      </c>
    </row>
    <row r="2514" spans="16:16" x14ac:dyDescent="0.25">
      <c r="P2514">
        <f t="shared" si="39"/>
        <v>1900</v>
      </c>
    </row>
    <row r="2515" spans="16:16" x14ac:dyDescent="0.25">
      <c r="P2515">
        <f t="shared" si="39"/>
        <v>1900</v>
      </c>
    </row>
    <row r="2516" spans="16:16" x14ac:dyDescent="0.25">
      <c r="P2516">
        <f t="shared" si="39"/>
        <v>1900</v>
      </c>
    </row>
    <row r="2517" spans="16:16" x14ac:dyDescent="0.25">
      <c r="P2517">
        <f t="shared" si="39"/>
        <v>1900</v>
      </c>
    </row>
    <row r="2518" spans="16:16" x14ac:dyDescent="0.25">
      <c r="P2518">
        <f t="shared" si="39"/>
        <v>1900</v>
      </c>
    </row>
    <row r="2519" spans="16:16" x14ac:dyDescent="0.25">
      <c r="P2519">
        <f t="shared" si="39"/>
        <v>1900</v>
      </c>
    </row>
    <row r="2520" spans="16:16" x14ac:dyDescent="0.25">
      <c r="P2520">
        <f t="shared" si="39"/>
        <v>1900</v>
      </c>
    </row>
    <row r="2521" spans="16:16" x14ac:dyDescent="0.25">
      <c r="P2521">
        <f t="shared" si="39"/>
        <v>1900</v>
      </c>
    </row>
    <row r="2522" spans="16:16" x14ac:dyDescent="0.25">
      <c r="P2522">
        <f t="shared" si="39"/>
        <v>1900</v>
      </c>
    </row>
    <row r="2523" spans="16:16" x14ac:dyDescent="0.25">
      <c r="P2523">
        <f t="shared" si="39"/>
        <v>1900</v>
      </c>
    </row>
    <row r="2524" spans="16:16" x14ac:dyDescent="0.25">
      <c r="P2524">
        <f t="shared" si="39"/>
        <v>1900</v>
      </c>
    </row>
    <row r="2525" spans="16:16" x14ac:dyDescent="0.25">
      <c r="P2525">
        <f t="shared" si="39"/>
        <v>1900</v>
      </c>
    </row>
    <row r="2526" spans="16:16" x14ac:dyDescent="0.25">
      <c r="P2526">
        <f t="shared" si="39"/>
        <v>1900</v>
      </c>
    </row>
    <row r="2527" spans="16:16" x14ac:dyDescent="0.25">
      <c r="P2527">
        <f t="shared" si="39"/>
        <v>1900</v>
      </c>
    </row>
    <row r="2528" spans="16:16" x14ac:dyDescent="0.25">
      <c r="P2528">
        <f t="shared" si="39"/>
        <v>1900</v>
      </c>
    </row>
    <row r="2529" spans="16:16" x14ac:dyDescent="0.25">
      <c r="P2529">
        <f t="shared" si="39"/>
        <v>1900</v>
      </c>
    </row>
    <row r="2530" spans="16:16" x14ac:dyDescent="0.25">
      <c r="P2530">
        <f t="shared" si="39"/>
        <v>1900</v>
      </c>
    </row>
    <row r="2531" spans="16:16" x14ac:dyDescent="0.25">
      <c r="P2531">
        <f t="shared" si="39"/>
        <v>1900</v>
      </c>
    </row>
    <row r="2532" spans="16:16" x14ac:dyDescent="0.25">
      <c r="P2532">
        <f t="shared" si="39"/>
        <v>1900</v>
      </c>
    </row>
    <row r="2533" spans="16:16" x14ac:dyDescent="0.25">
      <c r="P2533">
        <f t="shared" si="39"/>
        <v>1900</v>
      </c>
    </row>
    <row r="2534" spans="16:16" x14ac:dyDescent="0.25">
      <c r="P2534">
        <f t="shared" si="39"/>
        <v>1900</v>
      </c>
    </row>
    <row r="2535" spans="16:16" x14ac:dyDescent="0.25">
      <c r="P2535">
        <f t="shared" si="39"/>
        <v>1900</v>
      </c>
    </row>
    <row r="2536" spans="16:16" x14ac:dyDescent="0.25">
      <c r="P2536">
        <f t="shared" si="39"/>
        <v>1900</v>
      </c>
    </row>
    <row r="2537" spans="16:16" x14ac:dyDescent="0.25">
      <c r="P2537">
        <f t="shared" si="39"/>
        <v>1900</v>
      </c>
    </row>
    <row r="2538" spans="16:16" x14ac:dyDescent="0.25">
      <c r="P2538">
        <f t="shared" si="39"/>
        <v>1900</v>
      </c>
    </row>
    <row r="2539" spans="16:16" x14ac:dyDescent="0.25">
      <c r="P2539">
        <f t="shared" si="39"/>
        <v>1900</v>
      </c>
    </row>
    <row r="2540" spans="16:16" x14ac:dyDescent="0.25">
      <c r="P2540">
        <f t="shared" si="39"/>
        <v>1900</v>
      </c>
    </row>
    <row r="2541" spans="16:16" x14ac:dyDescent="0.25">
      <c r="P2541">
        <f t="shared" si="39"/>
        <v>1900</v>
      </c>
    </row>
    <row r="2542" spans="16:16" x14ac:dyDescent="0.25">
      <c r="P2542">
        <f t="shared" si="39"/>
        <v>1900</v>
      </c>
    </row>
    <row r="2543" spans="16:16" x14ac:dyDescent="0.25">
      <c r="P2543">
        <f t="shared" si="39"/>
        <v>1900</v>
      </c>
    </row>
    <row r="2544" spans="16:16" x14ac:dyDescent="0.25">
      <c r="P2544">
        <f t="shared" si="39"/>
        <v>1900</v>
      </c>
    </row>
    <row r="2545" spans="16:16" x14ac:dyDescent="0.25">
      <c r="P2545">
        <f t="shared" si="39"/>
        <v>1900</v>
      </c>
    </row>
    <row r="2546" spans="16:16" x14ac:dyDescent="0.25">
      <c r="P2546">
        <f t="shared" si="39"/>
        <v>1900</v>
      </c>
    </row>
    <row r="2547" spans="16:16" x14ac:dyDescent="0.25">
      <c r="P2547">
        <f t="shared" si="39"/>
        <v>1900</v>
      </c>
    </row>
    <row r="2548" spans="16:16" x14ac:dyDescent="0.25">
      <c r="P2548">
        <f t="shared" si="39"/>
        <v>1900</v>
      </c>
    </row>
    <row r="2549" spans="16:16" x14ac:dyDescent="0.25">
      <c r="P2549">
        <f t="shared" si="39"/>
        <v>1900</v>
      </c>
    </row>
    <row r="2550" spans="16:16" x14ac:dyDescent="0.25">
      <c r="P2550">
        <f t="shared" si="39"/>
        <v>1900</v>
      </c>
    </row>
    <row r="2551" spans="16:16" x14ac:dyDescent="0.25">
      <c r="P2551">
        <f t="shared" si="39"/>
        <v>1900</v>
      </c>
    </row>
    <row r="2552" spans="16:16" x14ac:dyDescent="0.25">
      <c r="P2552">
        <f t="shared" si="39"/>
        <v>1900</v>
      </c>
    </row>
    <row r="2553" spans="16:16" x14ac:dyDescent="0.25">
      <c r="P2553">
        <f t="shared" si="39"/>
        <v>1900</v>
      </c>
    </row>
    <row r="2554" spans="16:16" x14ac:dyDescent="0.25">
      <c r="P2554">
        <f t="shared" si="39"/>
        <v>1900</v>
      </c>
    </row>
    <row r="2555" spans="16:16" x14ac:dyDescent="0.25">
      <c r="P2555">
        <f t="shared" si="39"/>
        <v>1900</v>
      </c>
    </row>
    <row r="2556" spans="16:16" x14ac:dyDescent="0.25">
      <c r="P2556">
        <f t="shared" si="39"/>
        <v>1900</v>
      </c>
    </row>
    <row r="2557" spans="16:16" x14ac:dyDescent="0.25">
      <c r="P2557">
        <f t="shared" si="39"/>
        <v>1900</v>
      </c>
    </row>
    <row r="2558" spans="16:16" x14ac:dyDescent="0.25">
      <c r="P2558">
        <f t="shared" si="39"/>
        <v>1900</v>
      </c>
    </row>
    <row r="2559" spans="16:16" x14ac:dyDescent="0.25">
      <c r="P2559">
        <f t="shared" si="39"/>
        <v>1900</v>
      </c>
    </row>
    <row r="2560" spans="16:16" x14ac:dyDescent="0.25">
      <c r="P2560">
        <f t="shared" si="39"/>
        <v>1900</v>
      </c>
    </row>
    <row r="2561" spans="16:16" x14ac:dyDescent="0.25">
      <c r="P2561">
        <f t="shared" si="39"/>
        <v>1900</v>
      </c>
    </row>
    <row r="2562" spans="16:16" x14ac:dyDescent="0.25">
      <c r="P2562">
        <f t="shared" ref="P2562:P2625" si="40">IFERROR(YEAR(D2562),"")</f>
        <v>1900</v>
      </c>
    </row>
    <row r="2563" spans="16:16" x14ac:dyDescent="0.25">
      <c r="P2563">
        <f t="shared" si="40"/>
        <v>1900</v>
      </c>
    </row>
    <row r="2564" spans="16:16" x14ac:dyDescent="0.25">
      <c r="P2564">
        <f t="shared" si="40"/>
        <v>1900</v>
      </c>
    </row>
    <row r="2565" spans="16:16" x14ac:dyDescent="0.25">
      <c r="P2565">
        <f t="shared" si="40"/>
        <v>1900</v>
      </c>
    </row>
    <row r="2566" spans="16:16" x14ac:dyDescent="0.25">
      <c r="P2566">
        <f t="shared" si="40"/>
        <v>1900</v>
      </c>
    </row>
    <row r="2567" spans="16:16" x14ac:dyDescent="0.25">
      <c r="P2567">
        <f t="shared" si="40"/>
        <v>1900</v>
      </c>
    </row>
    <row r="2568" spans="16:16" x14ac:dyDescent="0.25">
      <c r="P2568">
        <f t="shared" si="40"/>
        <v>1900</v>
      </c>
    </row>
    <row r="2569" spans="16:16" x14ac:dyDescent="0.25">
      <c r="P2569">
        <f t="shared" si="40"/>
        <v>1900</v>
      </c>
    </row>
    <row r="2570" spans="16:16" x14ac:dyDescent="0.25">
      <c r="P2570">
        <f t="shared" si="40"/>
        <v>1900</v>
      </c>
    </row>
    <row r="2571" spans="16:16" x14ac:dyDescent="0.25">
      <c r="P2571">
        <f t="shared" si="40"/>
        <v>1900</v>
      </c>
    </row>
    <row r="2572" spans="16:16" x14ac:dyDescent="0.25">
      <c r="P2572">
        <f t="shared" si="40"/>
        <v>1900</v>
      </c>
    </row>
    <row r="2573" spans="16:16" x14ac:dyDescent="0.25">
      <c r="P2573">
        <f t="shared" si="40"/>
        <v>1900</v>
      </c>
    </row>
    <row r="2574" spans="16:16" x14ac:dyDescent="0.25">
      <c r="P2574">
        <f t="shared" si="40"/>
        <v>1900</v>
      </c>
    </row>
    <row r="2575" spans="16:16" x14ac:dyDescent="0.25">
      <c r="P2575">
        <f t="shared" si="40"/>
        <v>1900</v>
      </c>
    </row>
    <row r="2576" spans="16:16" x14ac:dyDescent="0.25">
      <c r="P2576">
        <f t="shared" si="40"/>
        <v>1900</v>
      </c>
    </row>
    <row r="2577" spans="16:16" x14ac:dyDescent="0.25">
      <c r="P2577">
        <f t="shared" si="40"/>
        <v>1900</v>
      </c>
    </row>
    <row r="2578" spans="16:16" x14ac:dyDescent="0.25">
      <c r="P2578">
        <f t="shared" si="40"/>
        <v>1900</v>
      </c>
    </row>
    <row r="2579" spans="16:16" x14ac:dyDescent="0.25">
      <c r="P2579">
        <f t="shared" si="40"/>
        <v>1900</v>
      </c>
    </row>
    <row r="2580" spans="16:16" x14ac:dyDescent="0.25">
      <c r="P2580">
        <f t="shared" si="40"/>
        <v>1900</v>
      </c>
    </row>
    <row r="2581" spans="16:16" x14ac:dyDescent="0.25">
      <c r="P2581">
        <f t="shared" si="40"/>
        <v>1900</v>
      </c>
    </row>
    <row r="2582" spans="16:16" x14ac:dyDescent="0.25">
      <c r="P2582">
        <f t="shared" si="40"/>
        <v>1900</v>
      </c>
    </row>
    <row r="2583" spans="16:16" x14ac:dyDescent="0.25">
      <c r="P2583">
        <f t="shared" si="40"/>
        <v>1900</v>
      </c>
    </row>
    <row r="2584" spans="16:16" x14ac:dyDescent="0.25">
      <c r="P2584">
        <f t="shared" si="40"/>
        <v>1900</v>
      </c>
    </row>
    <row r="2585" spans="16:16" x14ac:dyDescent="0.25">
      <c r="P2585">
        <f t="shared" si="40"/>
        <v>1900</v>
      </c>
    </row>
    <row r="2586" spans="16:16" x14ac:dyDescent="0.25">
      <c r="P2586">
        <f t="shared" si="40"/>
        <v>1900</v>
      </c>
    </row>
    <row r="2587" spans="16:16" x14ac:dyDescent="0.25">
      <c r="P2587">
        <f t="shared" si="40"/>
        <v>1900</v>
      </c>
    </row>
    <row r="2588" spans="16:16" x14ac:dyDescent="0.25">
      <c r="P2588">
        <f t="shared" si="40"/>
        <v>1900</v>
      </c>
    </row>
    <row r="2589" spans="16:16" x14ac:dyDescent="0.25">
      <c r="P2589">
        <f t="shared" si="40"/>
        <v>1900</v>
      </c>
    </row>
    <row r="2590" spans="16:16" x14ac:dyDescent="0.25">
      <c r="P2590">
        <f t="shared" si="40"/>
        <v>1900</v>
      </c>
    </row>
    <row r="2591" spans="16:16" x14ac:dyDescent="0.25">
      <c r="P2591">
        <f t="shared" si="40"/>
        <v>1900</v>
      </c>
    </row>
    <row r="2592" spans="16:16" x14ac:dyDescent="0.25">
      <c r="P2592">
        <f t="shared" si="40"/>
        <v>1900</v>
      </c>
    </row>
    <row r="2593" spans="16:16" x14ac:dyDescent="0.25">
      <c r="P2593">
        <f t="shared" si="40"/>
        <v>1900</v>
      </c>
    </row>
    <row r="2594" spans="16:16" x14ac:dyDescent="0.25">
      <c r="P2594">
        <f t="shared" si="40"/>
        <v>1900</v>
      </c>
    </row>
    <row r="2595" spans="16:16" x14ac:dyDescent="0.25">
      <c r="P2595">
        <f t="shared" si="40"/>
        <v>1900</v>
      </c>
    </row>
    <row r="2596" spans="16:16" x14ac:dyDescent="0.25">
      <c r="P2596">
        <f t="shared" si="40"/>
        <v>1900</v>
      </c>
    </row>
    <row r="2597" spans="16:16" x14ac:dyDescent="0.25">
      <c r="P2597">
        <f t="shared" si="40"/>
        <v>1900</v>
      </c>
    </row>
    <row r="2598" spans="16:16" x14ac:dyDescent="0.25">
      <c r="P2598">
        <f t="shared" si="40"/>
        <v>1900</v>
      </c>
    </row>
    <row r="2599" spans="16:16" x14ac:dyDescent="0.25">
      <c r="P2599">
        <f t="shared" si="40"/>
        <v>1900</v>
      </c>
    </row>
    <row r="2600" spans="16:16" x14ac:dyDescent="0.25">
      <c r="P2600">
        <f t="shared" si="40"/>
        <v>1900</v>
      </c>
    </row>
    <row r="2601" spans="16:16" x14ac:dyDescent="0.25">
      <c r="P2601">
        <f t="shared" si="40"/>
        <v>1900</v>
      </c>
    </row>
    <row r="2602" spans="16:16" x14ac:dyDescent="0.25">
      <c r="P2602">
        <f t="shared" si="40"/>
        <v>1900</v>
      </c>
    </row>
    <row r="2603" spans="16:16" x14ac:dyDescent="0.25">
      <c r="P2603">
        <f t="shared" si="40"/>
        <v>1900</v>
      </c>
    </row>
    <row r="2604" spans="16:16" x14ac:dyDescent="0.25">
      <c r="P2604">
        <f t="shared" si="40"/>
        <v>1900</v>
      </c>
    </row>
    <row r="2605" spans="16:16" x14ac:dyDescent="0.25">
      <c r="P2605">
        <f t="shared" si="40"/>
        <v>1900</v>
      </c>
    </row>
    <row r="2606" spans="16:16" x14ac:dyDescent="0.25">
      <c r="P2606">
        <f t="shared" si="40"/>
        <v>1900</v>
      </c>
    </row>
    <row r="2607" spans="16:16" x14ac:dyDescent="0.25">
      <c r="P2607">
        <f t="shared" si="40"/>
        <v>1900</v>
      </c>
    </row>
    <row r="2608" spans="16:16" x14ac:dyDescent="0.25">
      <c r="P2608">
        <f t="shared" si="40"/>
        <v>1900</v>
      </c>
    </row>
    <row r="2609" spans="16:16" x14ac:dyDescent="0.25">
      <c r="P2609">
        <f t="shared" si="40"/>
        <v>1900</v>
      </c>
    </row>
    <row r="2610" spans="16:16" x14ac:dyDescent="0.25">
      <c r="P2610">
        <f t="shared" si="40"/>
        <v>1900</v>
      </c>
    </row>
    <row r="2611" spans="16:16" x14ac:dyDescent="0.25">
      <c r="P2611">
        <f t="shared" si="40"/>
        <v>1900</v>
      </c>
    </row>
    <row r="2612" spans="16:16" x14ac:dyDescent="0.25">
      <c r="P2612">
        <f t="shared" si="40"/>
        <v>1900</v>
      </c>
    </row>
    <row r="2613" spans="16:16" x14ac:dyDescent="0.25">
      <c r="P2613">
        <f t="shared" si="40"/>
        <v>1900</v>
      </c>
    </row>
    <row r="2614" spans="16:16" x14ac:dyDescent="0.25">
      <c r="P2614">
        <f t="shared" si="40"/>
        <v>1900</v>
      </c>
    </row>
    <row r="2615" spans="16:16" x14ac:dyDescent="0.25">
      <c r="P2615">
        <f t="shared" si="40"/>
        <v>1900</v>
      </c>
    </row>
    <row r="2616" spans="16:16" x14ac:dyDescent="0.25">
      <c r="P2616">
        <f t="shared" si="40"/>
        <v>1900</v>
      </c>
    </row>
    <row r="2617" spans="16:16" x14ac:dyDescent="0.25">
      <c r="P2617">
        <f t="shared" si="40"/>
        <v>1900</v>
      </c>
    </row>
    <row r="2618" spans="16:16" x14ac:dyDescent="0.25">
      <c r="P2618">
        <f t="shared" si="40"/>
        <v>1900</v>
      </c>
    </row>
    <row r="2619" spans="16:16" x14ac:dyDescent="0.25">
      <c r="P2619">
        <f t="shared" si="40"/>
        <v>1900</v>
      </c>
    </row>
    <row r="2620" spans="16:16" x14ac:dyDescent="0.25">
      <c r="P2620">
        <f t="shared" si="40"/>
        <v>1900</v>
      </c>
    </row>
    <row r="2621" spans="16:16" x14ac:dyDescent="0.25">
      <c r="P2621">
        <f t="shared" si="40"/>
        <v>1900</v>
      </c>
    </row>
    <row r="2622" spans="16:16" x14ac:dyDescent="0.25">
      <c r="P2622">
        <f t="shared" si="40"/>
        <v>1900</v>
      </c>
    </row>
    <row r="2623" spans="16:16" x14ac:dyDescent="0.25">
      <c r="P2623">
        <f t="shared" si="40"/>
        <v>1900</v>
      </c>
    </row>
    <row r="2624" spans="16:16" x14ac:dyDescent="0.25">
      <c r="P2624">
        <f t="shared" si="40"/>
        <v>1900</v>
      </c>
    </row>
    <row r="2625" spans="16:16" x14ac:dyDescent="0.25">
      <c r="P2625">
        <f t="shared" si="40"/>
        <v>1900</v>
      </c>
    </row>
    <row r="2626" spans="16:16" x14ac:dyDescent="0.25">
      <c r="P2626">
        <f t="shared" ref="P2626:P2689" si="41">IFERROR(YEAR(D2626),"")</f>
        <v>1900</v>
      </c>
    </row>
    <row r="2627" spans="16:16" x14ac:dyDescent="0.25">
      <c r="P2627">
        <f t="shared" si="41"/>
        <v>1900</v>
      </c>
    </row>
    <row r="2628" spans="16:16" x14ac:dyDescent="0.25">
      <c r="P2628">
        <f t="shared" si="41"/>
        <v>1900</v>
      </c>
    </row>
    <row r="2629" spans="16:16" x14ac:dyDescent="0.25">
      <c r="P2629">
        <f t="shared" si="41"/>
        <v>1900</v>
      </c>
    </row>
    <row r="2630" spans="16:16" x14ac:dyDescent="0.25">
      <c r="P2630">
        <f t="shared" si="41"/>
        <v>1900</v>
      </c>
    </row>
    <row r="2631" spans="16:16" x14ac:dyDescent="0.25">
      <c r="P2631">
        <f t="shared" si="41"/>
        <v>1900</v>
      </c>
    </row>
    <row r="2632" spans="16:16" x14ac:dyDescent="0.25">
      <c r="P2632">
        <f t="shared" si="41"/>
        <v>1900</v>
      </c>
    </row>
    <row r="2633" spans="16:16" x14ac:dyDescent="0.25">
      <c r="P2633">
        <f t="shared" si="41"/>
        <v>1900</v>
      </c>
    </row>
    <row r="2634" spans="16:16" x14ac:dyDescent="0.25">
      <c r="P2634">
        <f t="shared" si="41"/>
        <v>1900</v>
      </c>
    </row>
    <row r="2635" spans="16:16" x14ac:dyDescent="0.25">
      <c r="P2635">
        <f t="shared" si="41"/>
        <v>1900</v>
      </c>
    </row>
    <row r="2636" spans="16:16" x14ac:dyDescent="0.25">
      <c r="P2636">
        <f t="shared" si="41"/>
        <v>1900</v>
      </c>
    </row>
    <row r="2637" spans="16:16" x14ac:dyDescent="0.25">
      <c r="P2637">
        <f t="shared" si="41"/>
        <v>1900</v>
      </c>
    </row>
    <row r="2638" spans="16:16" x14ac:dyDescent="0.25">
      <c r="P2638">
        <f t="shared" si="41"/>
        <v>1900</v>
      </c>
    </row>
    <row r="2639" spans="16:16" x14ac:dyDescent="0.25">
      <c r="P2639">
        <f t="shared" si="41"/>
        <v>1900</v>
      </c>
    </row>
    <row r="2640" spans="16:16" x14ac:dyDescent="0.25">
      <c r="P2640">
        <f t="shared" si="41"/>
        <v>1900</v>
      </c>
    </row>
    <row r="2641" spans="16:16" x14ac:dyDescent="0.25">
      <c r="P2641">
        <f t="shared" si="41"/>
        <v>1900</v>
      </c>
    </row>
    <row r="2642" spans="16:16" x14ac:dyDescent="0.25">
      <c r="P2642">
        <f t="shared" si="41"/>
        <v>1900</v>
      </c>
    </row>
    <row r="2643" spans="16:16" x14ac:dyDescent="0.25">
      <c r="P2643">
        <f t="shared" si="41"/>
        <v>1900</v>
      </c>
    </row>
    <row r="2644" spans="16:16" x14ac:dyDescent="0.25">
      <c r="P2644">
        <f t="shared" si="41"/>
        <v>1900</v>
      </c>
    </row>
    <row r="2645" spans="16:16" x14ac:dyDescent="0.25">
      <c r="P2645">
        <f t="shared" si="41"/>
        <v>1900</v>
      </c>
    </row>
    <row r="2646" spans="16:16" x14ac:dyDescent="0.25">
      <c r="P2646">
        <f t="shared" si="41"/>
        <v>1900</v>
      </c>
    </row>
    <row r="2647" spans="16:16" x14ac:dyDescent="0.25">
      <c r="P2647">
        <f t="shared" si="41"/>
        <v>1900</v>
      </c>
    </row>
    <row r="2648" spans="16:16" x14ac:dyDescent="0.25">
      <c r="P2648">
        <f t="shared" si="41"/>
        <v>1900</v>
      </c>
    </row>
    <row r="2649" spans="16:16" x14ac:dyDescent="0.25">
      <c r="P2649">
        <f t="shared" si="41"/>
        <v>1900</v>
      </c>
    </row>
    <row r="2650" spans="16:16" x14ac:dyDescent="0.25">
      <c r="P2650">
        <f t="shared" si="41"/>
        <v>1900</v>
      </c>
    </row>
    <row r="2651" spans="16:16" x14ac:dyDescent="0.25">
      <c r="P2651">
        <f t="shared" si="41"/>
        <v>1900</v>
      </c>
    </row>
    <row r="2652" spans="16:16" x14ac:dyDescent="0.25">
      <c r="P2652">
        <f t="shared" si="41"/>
        <v>1900</v>
      </c>
    </row>
    <row r="2653" spans="16:16" x14ac:dyDescent="0.25">
      <c r="P2653">
        <f t="shared" si="41"/>
        <v>1900</v>
      </c>
    </row>
    <row r="2654" spans="16:16" x14ac:dyDescent="0.25">
      <c r="P2654">
        <f t="shared" si="41"/>
        <v>1900</v>
      </c>
    </row>
    <row r="2655" spans="16:16" x14ac:dyDescent="0.25">
      <c r="P2655">
        <f t="shared" si="41"/>
        <v>1900</v>
      </c>
    </row>
    <row r="2656" spans="16:16" x14ac:dyDescent="0.25">
      <c r="P2656">
        <f t="shared" si="41"/>
        <v>1900</v>
      </c>
    </row>
    <row r="2657" spans="16:16" x14ac:dyDescent="0.25">
      <c r="P2657">
        <f t="shared" si="41"/>
        <v>1900</v>
      </c>
    </row>
    <row r="2658" spans="16:16" x14ac:dyDescent="0.25">
      <c r="P2658">
        <f t="shared" si="41"/>
        <v>1900</v>
      </c>
    </row>
    <row r="2659" spans="16:16" x14ac:dyDescent="0.25">
      <c r="P2659">
        <f t="shared" si="41"/>
        <v>1900</v>
      </c>
    </row>
    <row r="2660" spans="16:16" x14ac:dyDescent="0.25">
      <c r="P2660">
        <f t="shared" si="41"/>
        <v>1900</v>
      </c>
    </row>
    <row r="2661" spans="16:16" x14ac:dyDescent="0.25">
      <c r="P2661">
        <f t="shared" si="41"/>
        <v>1900</v>
      </c>
    </row>
    <row r="2662" spans="16:16" x14ac:dyDescent="0.25">
      <c r="P2662">
        <f t="shared" si="41"/>
        <v>1900</v>
      </c>
    </row>
    <row r="2663" spans="16:16" x14ac:dyDescent="0.25">
      <c r="P2663">
        <f t="shared" si="41"/>
        <v>1900</v>
      </c>
    </row>
    <row r="2664" spans="16:16" x14ac:dyDescent="0.25">
      <c r="P2664">
        <f t="shared" si="41"/>
        <v>1900</v>
      </c>
    </row>
    <row r="2665" spans="16:16" x14ac:dyDescent="0.25">
      <c r="P2665">
        <f t="shared" si="41"/>
        <v>1900</v>
      </c>
    </row>
    <row r="2666" spans="16:16" x14ac:dyDescent="0.25">
      <c r="P2666">
        <f t="shared" si="41"/>
        <v>1900</v>
      </c>
    </row>
    <row r="2667" spans="16:16" x14ac:dyDescent="0.25">
      <c r="P2667">
        <f t="shared" si="41"/>
        <v>1900</v>
      </c>
    </row>
    <row r="2668" spans="16:16" x14ac:dyDescent="0.25">
      <c r="P2668">
        <f t="shared" si="41"/>
        <v>1900</v>
      </c>
    </row>
    <row r="2669" spans="16:16" x14ac:dyDescent="0.25">
      <c r="P2669">
        <f t="shared" si="41"/>
        <v>1900</v>
      </c>
    </row>
    <row r="2670" spans="16:16" x14ac:dyDescent="0.25">
      <c r="P2670">
        <f t="shared" si="41"/>
        <v>1900</v>
      </c>
    </row>
    <row r="2671" spans="16:16" x14ac:dyDescent="0.25">
      <c r="P2671">
        <f t="shared" si="41"/>
        <v>1900</v>
      </c>
    </row>
    <row r="2672" spans="16:16" x14ac:dyDescent="0.25">
      <c r="P2672">
        <f t="shared" si="41"/>
        <v>1900</v>
      </c>
    </row>
    <row r="2673" spans="16:16" x14ac:dyDescent="0.25">
      <c r="P2673">
        <f t="shared" si="41"/>
        <v>1900</v>
      </c>
    </row>
    <row r="2674" spans="16:16" x14ac:dyDescent="0.25">
      <c r="P2674">
        <f t="shared" si="41"/>
        <v>1900</v>
      </c>
    </row>
    <row r="2675" spans="16:16" x14ac:dyDescent="0.25">
      <c r="P2675">
        <f t="shared" si="41"/>
        <v>1900</v>
      </c>
    </row>
    <row r="2676" spans="16:16" x14ac:dyDescent="0.25">
      <c r="P2676">
        <f t="shared" si="41"/>
        <v>1900</v>
      </c>
    </row>
    <row r="2677" spans="16:16" x14ac:dyDescent="0.25">
      <c r="P2677">
        <f t="shared" si="41"/>
        <v>1900</v>
      </c>
    </row>
    <row r="2678" spans="16:16" x14ac:dyDescent="0.25">
      <c r="P2678">
        <f t="shared" si="41"/>
        <v>1900</v>
      </c>
    </row>
    <row r="2679" spans="16:16" x14ac:dyDescent="0.25">
      <c r="P2679">
        <f t="shared" si="41"/>
        <v>1900</v>
      </c>
    </row>
    <row r="2680" spans="16:16" x14ac:dyDescent="0.25">
      <c r="P2680">
        <f t="shared" si="41"/>
        <v>1900</v>
      </c>
    </row>
    <row r="2681" spans="16:16" x14ac:dyDescent="0.25">
      <c r="P2681">
        <f t="shared" si="41"/>
        <v>1900</v>
      </c>
    </row>
    <row r="2682" spans="16:16" x14ac:dyDescent="0.25">
      <c r="P2682">
        <f t="shared" si="41"/>
        <v>1900</v>
      </c>
    </row>
    <row r="2683" spans="16:16" x14ac:dyDescent="0.25">
      <c r="P2683">
        <f t="shared" si="41"/>
        <v>1900</v>
      </c>
    </row>
    <row r="2684" spans="16:16" x14ac:dyDescent="0.25">
      <c r="P2684">
        <f t="shared" si="41"/>
        <v>1900</v>
      </c>
    </row>
    <row r="2685" spans="16:16" x14ac:dyDescent="0.25">
      <c r="P2685">
        <f t="shared" si="41"/>
        <v>1900</v>
      </c>
    </row>
    <row r="2686" spans="16:16" x14ac:dyDescent="0.25">
      <c r="P2686">
        <f t="shared" si="41"/>
        <v>1900</v>
      </c>
    </row>
    <row r="2687" spans="16:16" x14ac:dyDescent="0.25">
      <c r="P2687">
        <f t="shared" si="41"/>
        <v>1900</v>
      </c>
    </row>
    <row r="2688" spans="16:16" x14ac:dyDescent="0.25">
      <c r="P2688">
        <f t="shared" si="41"/>
        <v>1900</v>
      </c>
    </row>
    <row r="2689" spans="16:16" x14ac:dyDescent="0.25">
      <c r="P2689">
        <f t="shared" si="41"/>
        <v>1900</v>
      </c>
    </row>
    <row r="2690" spans="16:16" x14ac:dyDescent="0.25">
      <c r="P2690">
        <f t="shared" ref="P2690:P2753" si="42">IFERROR(YEAR(D2690),"")</f>
        <v>1900</v>
      </c>
    </row>
    <row r="2691" spans="16:16" x14ac:dyDescent="0.25">
      <c r="P2691">
        <f t="shared" si="42"/>
        <v>1900</v>
      </c>
    </row>
    <row r="2692" spans="16:16" x14ac:dyDescent="0.25">
      <c r="P2692">
        <f t="shared" si="42"/>
        <v>1900</v>
      </c>
    </row>
    <row r="2693" spans="16:16" x14ac:dyDescent="0.25">
      <c r="P2693">
        <f t="shared" si="42"/>
        <v>1900</v>
      </c>
    </row>
    <row r="2694" spans="16:16" x14ac:dyDescent="0.25">
      <c r="P2694">
        <f t="shared" si="42"/>
        <v>1900</v>
      </c>
    </row>
    <row r="2695" spans="16:16" x14ac:dyDescent="0.25">
      <c r="P2695">
        <f t="shared" si="42"/>
        <v>1900</v>
      </c>
    </row>
    <row r="2696" spans="16:16" x14ac:dyDescent="0.25">
      <c r="P2696">
        <f t="shared" si="42"/>
        <v>1900</v>
      </c>
    </row>
    <row r="2697" spans="16:16" x14ac:dyDescent="0.25">
      <c r="P2697">
        <f t="shared" si="42"/>
        <v>1900</v>
      </c>
    </row>
    <row r="2698" spans="16:16" x14ac:dyDescent="0.25">
      <c r="P2698">
        <f t="shared" si="42"/>
        <v>1900</v>
      </c>
    </row>
    <row r="2699" spans="16:16" x14ac:dyDescent="0.25">
      <c r="P2699">
        <f t="shared" si="42"/>
        <v>1900</v>
      </c>
    </row>
    <row r="2700" spans="16:16" x14ac:dyDescent="0.25">
      <c r="P2700">
        <f t="shared" si="42"/>
        <v>1900</v>
      </c>
    </row>
    <row r="2701" spans="16:16" x14ac:dyDescent="0.25">
      <c r="P2701">
        <f t="shared" si="42"/>
        <v>1900</v>
      </c>
    </row>
    <row r="2702" spans="16:16" x14ac:dyDescent="0.25">
      <c r="P2702">
        <f t="shared" si="42"/>
        <v>1900</v>
      </c>
    </row>
    <row r="2703" spans="16:16" x14ac:dyDescent="0.25">
      <c r="P2703">
        <f t="shared" si="42"/>
        <v>1900</v>
      </c>
    </row>
    <row r="2704" spans="16:16" x14ac:dyDescent="0.25">
      <c r="P2704">
        <f t="shared" si="42"/>
        <v>1900</v>
      </c>
    </row>
    <row r="2705" spans="16:16" x14ac:dyDescent="0.25">
      <c r="P2705">
        <f t="shared" si="42"/>
        <v>1900</v>
      </c>
    </row>
    <row r="2706" spans="16:16" x14ac:dyDescent="0.25">
      <c r="P2706">
        <f t="shared" si="42"/>
        <v>1900</v>
      </c>
    </row>
    <row r="2707" spans="16:16" x14ac:dyDescent="0.25">
      <c r="P2707">
        <f t="shared" si="42"/>
        <v>1900</v>
      </c>
    </row>
    <row r="2708" spans="16:16" x14ac:dyDescent="0.25">
      <c r="P2708">
        <f t="shared" si="42"/>
        <v>1900</v>
      </c>
    </row>
    <row r="2709" spans="16:16" x14ac:dyDescent="0.25">
      <c r="P2709">
        <f t="shared" si="42"/>
        <v>1900</v>
      </c>
    </row>
    <row r="2710" spans="16:16" x14ac:dyDescent="0.25">
      <c r="P2710">
        <f t="shared" si="42"/>
        <v>1900</v>
      </c>
    </row>
    <row r="2711" spans="16:16" x14ac:dyDescent="0.25">
      <c r="P2711">
        <f t="shared" si="42"/>
        <v>1900</v>
      </c>
    </row>
    <row r="2712" spans="16:16" x14ac:dyDescent="0.25">
      <c r="P2712">
        <f t="shared" si="42"/>
        <v>1900</v>
      </c>
    </row>
    <row r="2713" spans="16:16" x14ac:dyDescent="0.25">
      <c r="P2713">
        <f t="shared" si="42"/>
        <v>1900</v>
      </c>
    </row>
    <row r="2714" spans="16:16" x14ac:dyDescent="0.25">
      <c r="P2714">
        <f t="shared" si="42"/>
        <v>1900</v>
      </c>
    </row>
    <row r="2715" spans="16:16" x14ac:dyDescent="0.25">
      <c r="P2715">
        <f t="shared" si="42"/>
        <v>1900</v>
      </c>
    </row>
    <row r="2716" spans="16:16" x14ac:dyDescent="0.25">
      <c r="P2716">
        <f t="shared" si="42"/>
        <v>1900</v>
      </c>
    </row>
    <row r="2717" spans="16:16" x14ac:dyDescent="0.25">
      <c r="P2717">
        <f t="shared" si="42"/>
        <v>1900</v>
      </c>
    </row>
    <row r="2718" spans="16:16" x14ac:dyDescent="0.25">
      <c r="P2718">
        <f t="shared" si="42"/>
        <v>1900</v>
      </c>
    </row>
    <row r="2719" spans="16:16" x14ac:dyDescent="0.25">
      <c r="P2719">
        <f t="shared" si="42"/>
        <v>1900</v>
      </c>
    </row>
    <row r="2720" spans="16:16" x14ac:dyDescent="0.25">
      <c r="P2720">
        <f t="shared" si="42"/>
        <v>1900</v>
      </c>
    </row>
    <row r="2721" spans="16:16" x14ac:dyDescent="0.25">
      <c r="P2721">
        <f t="shared" si="42"/>
        <v>1900</v>
      </c>
    </row>
    <row r="2722" spans="16:16" x14ac:dyDescent="0.25">
      <c r="P2722">
        <f t="shared" si="42"/>
        <v>1900</v>
      </c>
    </row>
    <row r="2723" spans="16:16" x14ac:dyDescent="0.25">
      <c r="P2723">
        <f t="shared" si="42"/>
        <v>1900</v>
      </c>
    </row>
    <row r="2724" spans="16:16" x14ac:dyDescent="0.25">
      <c r="P2724">
        <f t="shared" si="42"/>
        <v>1900</v>
      </c>
    </row>
    <row r="2725" spans="16:16" x14ac:dyDescent="0.25">
      <c r="P2725">
        <f t="shared" si="42"/>
        <v>1900</v>
      </c>
    </row>
    <row r="2726" spans="16:16" x14ac:dyDescent="0.25">
      <c r="P2726">
        <f t="shared" si="42"/>
        <v>1900</v>
      </c>
    </row>
    <row r="2727" spans="16:16" x14ac:dyDescent="0.25">
      <c r="P2727">
        <f t="shared" si="42"/>
        <v>1900</v>
      </c>
    </row>
    <row r="2728" spans="16:16" x14ac:dyDescent="0.25">
      <c r="P2728">
        <f t="shared" si="42"/>
        <v>1900</v>
      </c>
    </row>
    <row r="2729" spans="16:16" x14ac:dyDescent="0.25">
      <c r="P2729">
        <f t="shared" si="42"/>
        <v>1900</v>
      </c>
    </row>
    <row r="2730" spans="16:16" x14ac:dyDescent="0.25">
      <c r="P2730">
        <f t="shared" si="42"/>
        <v>1900</v>
      </c>
    </row>
    <row r="2731" spans="16:16" x14ac:dyDescent="0.25">
      <c r="P2731">
        <f t="shared" si="42"/>
        <v>1900</v>
      </c>
    </row>
    <row r="2732" spans="16:16" x14ac:dyDescent="0.25">
      <c r="P2732">
        <f t="shared" si="42"/>
        <v>1900</v>
      </c>
    </row>
    <row r="2733" spans="16:16" x14ac:dyDescent="0.25">
      <c r="P2733">
        <f t="shared" si="42"/>
        <v>1900</v>
      </c>
    </row>
    <row r="2734" spans="16:16" x14ac:dyDescent="0.25">
      <c r="P2734">
        <f t="shared" si="42"/>
        <v>1900</v>
      </c>
    </row>
    <row r="2735" spans="16:16" x14ac:dyDescent="0.25">
      <c r="P2735">
        <f t="shared" si="42"/>
        <v>1900</v>
      </c>
    </row>
    <row r="2736" spans="16:16" x14ac:dyDescent="0.25">
      <c r="P2736">
        <f t="shared" si="42"/>
        <v>1900</v>
      </c>
    </row>
    <row r="2737" spans="16:16" x14ac:dyDescent="0.25">
      <c r="P2737">
        <f t="shared" si="42"/>
        <v>1900</v>
      </c>
    </row>
    <row r="2738" spans="16:16" x14ac:dyDescent="0.25">
      <c r="P2738">
        <f t="shared" si="42"/>
        <v>1900</v>
      </c>
    </row>
    <row r="2739" spans="16:16" x14ac:dyDescent="0.25">
      <c r="P2739">
        <f t="shared" si="42"/>
        <v>1900</v>
      </c>
    </row>
    <row r="2740" spans="16:16" x14ac:dyDescent="0.25">
      <c r="P2740">
        <f t="shared" si="42"/>
        <v>1900</v>
      </c>
    </row>
    <row r="2741" spans="16:16" x14ac:dyDescent="0.25">
      <c r="P2741">
        <f t="shared" si="42"/>
        <v>1900</v>
      </c>
    </row>
    <row r="2742" spans="16:16" x14ac:dyDescent="0.25">
      <c r="P2742">
        <f t="shared" si="42"/>
        <v>1900</v>
      </c>
    </row>
    <row r="2743" spans="16:16" x14ac:dyDescent="0.25">
      <c r="P2743">
        <f t="shared" si="42"/>
        <v>1900</v>
      </c>
    </row>
    <row r="2744" spans="16:16" x14ac:dyDescent="0.25">
      <c r="P2744">
        <f t="shared" si="42"/>
        <v>1900</v>
      </c>
    </row>
    <row r="2745" spans="16:16" x14ac:dyDescent="0.25">
      <c r="P2745">
        <f t="shared" si="42"/>
        <v>1900</v>
      </c>
    </row>
    <row r="2746" spans="16:16" x14ac:dyDescent="0.25">
      <c r="P2746">
        <f t="shared" si="42"/>
        <v>1900</v>
      </c>
    </row>
    <row r="2747" spans="16:16" x14ac:dyDescent="0.25">
      <c r="P2747">
        <f t="shared" si="42"/>
        <v>1900</v>
      </c>
    </row>
    <row r="2748" spans="16:16" x14ac:dyDescent="0.25">
      <c r="P2748">
        <f t="shared" si="42"/>
        <v>1900</v>
      </c>
    </row>
    <row r="2749" spans="16:16" x14ac:dyDescent="0.25">
      <c r="P2749">
        <f t="shared" si="42"/>
        <v>1900</v>
      </c>
    </row>
    <row r="2750" spans="16:16" x14ac:dyDescent="0.25">
      <c r="P2750">
        <f t="shared" si="42"/>
        <v>1900</v>
      </c>
    </row>
    <row r="2751" spans="16:16" x14ac:dyDescent="0.25">
      <c r="P2751">
        <f t="shared" si="42"/>
        <v>1900</v>
      </c>
    </row>
    <row r="2752" spans="16:16" x14ac:dyDescent="0.25">
      <c r="P2752">
        <f t="shared" si="42"/>
        <v>1900</v>
      </c>
    </row>
    <row r="2753" spans="16:16" x14ac:dyDescent="0.25">
      <c r="P2753">
        <f t="shared" si="42"/>
        <v>1900</v>
      </c>
    </row>
    <row r="2754" spans="16:16" x14ac:dyDescent="0.25">
      <c r="P2754">
        <f t="shared" ref="P2754:P2817" si="43">IFERROR(YEAR(D2754),"")</f>
        <v>1900</v>
      </c>
    </row>
    <row r="2755" spans="16:16" x14ac:dyDescent="0.25">
      <c r="P2755">
        <f t="shared" si="43"/>
        <v>1900</v>
      </c>
    </row>
    <row r="2756" spans="16:16" x14ac:dyDescent="0.25">
      <c r="P2756">
        <f t="shared" si="43"/>
        <v>1900</v>
      </c>
    </row>
    <row r="2757" spans="16:16" x14ac:dyDescent="0.25">
      <c r="P2757">
        <f t="shared" si="43"/>
        <v>1900</v>
      </c>
    </row>
    <row r="2758" spans="16:16" x14ac:dyDescent="0.25">
      <c r="P2758">
        <f t="shared" si="43"/>
        <v>1900</v>
      </c>
    </row>
    <row r="2759" spans="16:16" x14ac:dyDescent="0.25">
      <c r="P2759">
        <f t="shared" si="43"/>
        <v>1900</v>
      </c>
    </row>
    <row r="2760" spans="16:16" x14ac:dyDescent="0.25">
      <c r="P2760">
        <f t="shared" si="43"/>
        <v>1900</v>
      </c>
    </row>
    <row r="2761" spans="16:16" x14ac:dyDescent="0.25">
      <c r="P2761">
        <f t="shared" si="43"/>
        <v>1900</v>
      </c>
    </row>
    <row r="2762" spans="16:16" x14ac:dyDescent="0.25">
      <c r="P2762">
        <f t="shared" si="43"/>
        <v>1900</v>
      </c>
    </row>
    <row r="2763" spans="16:16" x14ac:dyDescent="0.25">
      <c r="P2763">
        <f t="shared" si="43"/>
        <v>1900</v>
      </c>
    </row>
    <row r="2764" spans="16:16" x14ac:dyDescent="0.25">
      <c r="P2764">
        <f t="shared" si="43"/>
        <v>1900</v>
      </c>
    </row>
    <row r="2765" spans="16:16" x14ac:dyDescent="0.25">
      <c r="P2765">
        <f t="shared" si="43"/>
        <v>1900</v>
      </c>
    </row>
    <row r="2766" spans="16:16" x14ac:dyDescent="0.25">
      <c r="P2766">
        <f t="shared" si="43"/>
        <v>1900</v>
      </c>
    </row>
    <row r="2767" spans="16:16" x14ac:dyDescent="0.25">
      <c r="P2767">
        <f t="shared" si="43"/>
        <v>1900</v>
      </c>
    </row>
    <row r="2768" spans="16:16" x14ac:dyDescent="0.25">
      <c r="P2768">
        <f t="shared" si="43"/>
        <v>1900</v>
      </c>
    </row>
    <row r="2769" spans="16:16" x14ac:dyDescent="0.25">
      <c r="P2769">
        <f t="shared" si="43"/>
        <v>1900</v>
      </c>
    </row>
    <row r="2770" spans="16:16" x14ac:dyDescent="0.25">
      <c r="P2770">
        <f t="shared" si="43"/>
        <v>1900</v>
      </c>
    </row>
    <row r="2771" spans="16:16" x14ac:dyDescent="0.25">
      <c r="P2771">
        <f t="shared" si="43"/>
        <v>1900</v>
      </c>
    </row>
    <row r="2772" spans="16:16" x14ac:dyDescent="0.25">
      <c r="P2772">
        <f t="shared" si="43"/>
        <v>1900</v>
      </c>
    </row>
    <row r="2773" spans="16:16" x14ac:dyDescent="0.25">
      <c r="P2773">
        <f t="shared" si="43"/>
        <v>1900</v>
      </c>
    </row>
    <row r="2774" spans="16:16" x14ac:dyDescent="0.25">
      <c r="P2774">
        <f t="shared" si="43"/>
        <v>1900</v>
      </c>
    </row>
    <row r="2775" spans="16:16" x14ac:dyDescent="0.25">
      <c r="P2775">
        <f t="shared" si="43"/>
        <v>1900</v>
      </c>
    </row>
    <row r="2776" spans="16:16" x14ac:dyDescent="0.25">
      <c r="P2776">
        <f t="shared" si="43"/>
        <v>1900</v>
      </c>
    </row>
    <row r="2777" spans="16:16" x14ac:dyDescent="0.25">
      <c r="P2777">
        <f t="shared" si="43"/>
        <v>1900</v>
      </c>
    </row>
    <row r="2778" spans="16:16" x14ac:dyDescent="0.25">
      <c r="P2778">
        <f t="shared" si="43"/>
        <v>1900</v>
      </c>
    </row>
    <row r="2779" spans="16:16" x14ac:dyDescent="0.25">
      <c r="P2779">
        <f t="shared" si="43"/>
        <v>1900</v>
      </c>
    </row>
    <row r="2780" spans="16:16" x14ac:dyDescent="0.25">
      <c r="P2780">
        <f t="shared" si="43"/>
        <v>1900</v>
      </c>
    </row>
    <row r="2781" spans="16:16" x14ac:dyDescent="0.25">
      <c r="P2781">
        <f t="shared" si="43"/>
        <v>1900</v>
      </c>
    </row>
    <row r="2782" spans="16:16" x14ac:dyDescent="0.25">
      <c r="P2782">
        <f t="shared" si="43"/>
        <v>1900</v>
      </c>
    </row>
    <row r="2783" spans="16:16" x14ac:dyDescent="0.25">
      <c r="P2783">
        <f t="shared" si="43"/>
        <v>1900</v>
      </c>
    </row>
    <row r="2784" spans="16:16" x14ac:dyDescent="0.25">
      <c r="P2784">
        <f t="shared" si="43"/>
        <v>1900</v>
      </c>
    </row>
    <row r="2785" spans="16:16" x14ac:dyDescent="0.25">
      <c r="P2785">
        <f t="shared" si="43"/>
        <v>1900</v>
      </c>
    </row>
    <row r="2786" spans="16:16" x14ac:dyDescent="0.25">
      <c r="P2786">
        <f t="shared" si="43"/>
        <v>1900</v>
      </c>
    </row>
    <row r="2787" spans="16:16" x14ac:dyDescent="0.25">
      <c r="P2787">
        <f t="shared" si="43"/>
        <v>1900</v>
      </c>
    </row>
    <row r="2788" spans="16:16" x14ac:dyDescent="0.25">
      <c r="P2788">
        <f t="shared" si="43"/>
        <v>1900</v>
      </c>
    </row>
    <row r="2789" spans="16:16" x14ac:dyDescent="0.25">
      <c r="P2789">
        <f t="shared" si="43"/>
        <v>1900</v>
      </c>
    </row>
    <row r="2790" spans="16:16" x14ac:dyDescent="0.25">
      <c r="P2790">
        <f t="shared" si="43"/>
        <v>1900</v>
      </c>
    </row>
    <row r="2791" spans="16:16" x14ac:dyDescent="0.25">
      <c r="P2791">
        <f t="shared" si="43"/>
        <v>1900</v>
      </c>
    </row>
    <row r="2792" spans="16:16" x14ac:dyDescent="0.25">
      <c r="P2792">
        <f t="shared" si="43"/>
        <v>1900</v>
      </c>
    </row>
    <row r="2793" spans="16:16" x14ac:dyDescent="0.25">
      <c r="P2793">
        <f t="shared" si="43"/>
        <v>1900</v>
      </c>
    </row>
    <row r="2794" spans="16:16" x14ac:dyDescent="0.25">
      <c r="P2794">
        <f t="shared" si="43"/>
        <v>1900</v>
      </c>
    </row>
    <row r="2795" spans="16:16" x14ac:dyDescent="0.25">
      <c r="P2795">
        <f t="shared" si="43"/>
        <v>1900</v>
      </c>
    </row>
    <row r="2796" spans="16:16" x14ac:dyDescent="0.25">
      <c r="P2796">
        <f t="shared" si="43"/>
        <v>1900</v>
      </c>
    </row>
    <row r="2797" spans="16:16" x14ac:dyDescent="0.25">
      <c r="P2797">
        <f t="shared" si="43"/>
        <v>1900</v>
      </c>
    </row>
    <row r="2798" spans="16:16" x14ac:dyDescent="0.25">
      <c r="P2798">
        <f t="shared" si="43"/>
        <v>1900</v>
      </c>
    </row>
    <row r="2799" spans="16:16" x14ac:dyDescent="0.25">
      <c r="P2799">
        <f t="shared" si="43"/>
        <v>1900</v>
      </c>
    </row>
    <row r="2800" spans="16:16" x14ac:dyDescent="0.25">
      <c r="P2800">
        <f t="shared" si="43"/>
        <v>1900</v>
      </c>
    </row>
    <row r="2801" spans="16:16" x14ac:dyDescent="0.25">
      <c r="P2801">
        <f t="shared" si="43"/>
        <v>1900</v>
      </c>
    </row>
    <row r="2802" spans="16:16" x14ac:dyDescent="0.25">
      <c r="P2802">
        <f t="shared" si="43"/>
        <v>1900</v>
      </c>
    </row>
    <row r="2803" spans="16:16" x14ac:dyDescent="0.25">
      <c r="P2803">
        <f t="shared" si="43"/>
        <v>1900</v>
      </c>
    </row>
    <row r="2804" spans="16:16" x14ac:dyDescent="0.25">
      <c r="P2804">
        <f t="shared" si="43"/>
        <v>1900</v>
      </c>
    </row>
    <row r="2805" spans="16:16" x14ac:dyDescent="0.25">
      <c r="P2805">
        <f t="shared" si="43"/>
        <v>1900</v>
      </c>
    </row>
    <row r="2806" spans="16:16" x14ac:dyDescent="0.25">
      <c r="P2806">
        <f t="shared" si="43"/>
        <v>1900</v>
      </c>
    </row>
    <row r="2807" spans="16:16" x14ac:dyDescent="0.25">
      <c r="P2807">
        <f t="shared" si="43"/>
        <v>1900</v>
      </c>
    </row>
    <row r="2808" spans="16:16" x14ac:dyDescent="0.25">
      <c r="P2808">
        <f t="shared" si="43"/>
        <v>1900</v>
      </c>
    </row>
    <row r="2809" spans="16:16" x14ac:dyDescent="0.25">
      <c r="P2809">
        <f t="shared" si="43"/>
        <v>1900</v>
      </c>
    </row>
    <row r="2810" spans="16:16" x14ac:dyDescent="0.25">
      <c r="P2810">
        <f t="shared" si="43"/>
        <v>1900</v>
      </c>
    </row>
    <row r="2811" spans="16:16" x14ac:dyDescent="0.25">
      <c r="P2811">
        <f t="shared" si="43"/>
        <v>1900</v>
      </c>
    </row>
    <row r="2812" spans="16:16" x14ac:dyDescent="0.25">
      <c r="P2812">
        <f t="shared" si="43"/>
        <v>1900</v>
      </c>
    </row>
    <row r="2813" spans="16:16" x14ac:dyDescent="0.25">
      <c r="P2813">
        <f t="shared" si="43"/>
        <v>1900</v>
      </c>
    </row>
    <row r="2814" spans="16:16" x14ac:dyDescent="0.25">
      <c r="P2814">
        <f t="shared" si="43"/>
        <v>1900</v>
      </c>
    </row>
    <row r="2815" spans="16:16" x14ac:dyDescent="0.25">
      <c r="P2815">
        <f t="shared" si="43"/>
        <v>1900</v>
      </c>
    </row>
    <row r="2816" spans="16:16" x14ac:dyDescent="0.25">
      <c r="P2816">
        <f t="shared" si="43"/>
        <v>1900</v>
      </c>
    </row>
    <row r="2817" spans="16:16" x14ac:dyDescent="0.25">
      <c r="P2817">
        <f t="shared" si="43"/>
        <v>1900</v>
      </c>
    </row>
    <row r="2818" spans="16:16" x14ac:dyDescent="0.25">
      <c r="P2818">
        <f t="shared" ref="P2818:P2881" si="44">IFERROR(YEAR(D2818),"")</f>
        <v>1900</v>
      </c>
    </row>
    <row r="2819" spans="16:16" x14ac:dyDescent="0.25">
      <c r="P2819">
        <f t="shared" si="44"/>
        <v>1900</v>
      </c>
    </row>
    <row r="2820" spans="16:16" x14ac:dyDescent="0.25">
      <c r="P2820">
        <f t="shared" si="44"/>
        <v>1900</v>
      </c>
    </row>
    <row r="2821" spans="16:16" x14ac:dyDescent="0.25">
      <c r="P2821">
        <f t="shared" si="44"/>
        <v>1900</v>
      </c>
    </row>
    <row r="2822" spans="16:16" x14ac:dyDescent="0.25">
      <c r="P2822">
        <f t="shared" si="44"/>
        <v>1900</v>
      </c>
    </row>
    <row r="2823" spans="16:16" x14ac:dyDescent="0.25">
      <c r="P2823">
        <f t="shared" si="44"/>
        <v>1900</v>
      </c>
    </row>
    <row r="2824" spans="16:16" x14ac:dyDescent="0.25">
      <c r="P2824">
        <f t="shared" si="44"/>
        <v>1900</v>
      </c>
    </row>
    <row r="2825" spans="16:16" x14ac:dyDescent="0.25">
      <c r="P2825">
        <f t="shared" si="44"/>
        <v>1900</v>
      </c>
    </row>
    <row r="2826" spans="16:16" x14ac:dyDescent="0.25">
      <c r="P2826">
        <f t="shared" si="44"/>
        <v>1900</v>
      </c>
    </row>
    <row r="2827" spans="16:16" x14ac:dyDescent="0.25">
      <c r="P2827">
        <f t="shared" si="44"/>
        <v>1900</v>
      </c>
    </row>
    <row r="2828" spans="16:16" x14ac:dyDescent="0.25">
      <c r="P2828">
        <f t="shared" si="44"/>
        <v>1900</v>
      </c>
    </row>
    <row r="2829" spans="16:16" x14ac:dyDescent="0.25">
      <c r="P2829">
        <f t="shared" si="44"/>
        <v>1900</v>
      </c>
    </row>
    <row r="2830" spans="16:16" x14ac:dyDescent="0.25">
      <c r="P2830">
        <f t="shared" si="44"/>
        <v>1900</v>
      </c>
    </row>
    <row r="2831" spans="16:16" x14ac:dyDescent="0.25">
      <c r="P2831">
        <f t="shared" si="44"/>
        <v>1900</v>
      </c>
    </row>
    <row r="2832" spans="16:16" x14ac:dyDescent="0.25">
      <c r="P2832">
        <f t="shared" si="44"/>
        <v>1900</v>
      </c>
    </row>
    <row r="2833" spans="16:16" x14ac:dyDescent="0.25">
      <c r="P2833">
        <f t="shared" si="44"/>
        <v>1900</v>
      </c>
    </row>
    <row r="2834" spans="16:16" x14ac:dyDescent="0.25">
      <c r="P2834">
        <f t="shared" si="44"/>
        <v>1900</v>
      </c>
    </row>
    <row r="2835" spans="16:16" x14ac:dyDescent="0.25">
      <c r="P2835">
        <f t="shared" si="44"/>
        <v>1900</v>
      </c>
    </row>
    <row r="2836" spans="16:16" x14ac:dyDescent="0.25">
      <c r="P2836">
        <f t="shared" si="44"/>
        <v>1900</v>
      </c>
    </row>
    <row r="2837" spans="16:16" x14ac:dyDescent="0.25">
      <c r="P2837">
        <f t="shared" si="44"/>
        <v>1900</v>
      </c>
    </row>
    <row r="2838" spans="16:16" x14ac:dyDescent="0.25">
      <c r="P2838">
        <f t="shared" si="44"/>
        <v>1900</v>
      </c>
    </row>
    <row r="2839" spans="16:16" x14ac:dyDescent="0.25">
      <c r="P2839">
        <f t="shared" si="44"/>
        <v>1900</v>
      </c>
    </row>
    <row r="2840" spans="16:16" x14ac:dyDescent="0.25">
      <c r="P2840">
        <f t="shared" si="44"/>
        <v>1900</v>
      </c>
    </row>
    <row r="2841" spans="16:16" x14ac:dyDescent="0.25">
      <c r="P2841">
        <f t="shared" si="44"/>
        <v>1900</v>
      </c>
    </row>
    <row r="2842" spans="16:16" x14ac:dyDescent="0.25">
      <c r="P2842">
        <f t="shared" si="44"/>
        <v>1900</v>
      </c>
    </row>
    <row r="2843" spans="16:16" x14ac:dyDescent="0.25">
      <c r="P2843">
        <f t="shared" si="44"/>
        <v>1900</v>
      </c>
    </row>
    <row r="2844" spans="16:16" x14ac:dyDescent="0.25">
      <c r="P2844">
        <f t="shared" si="44"/>
        <v>1900</v>
      </c>
    </row>
    <row r="2845" spans="16:16" x14ac:dyDescent="0.25">
      <c r="P2845">
        <f t="shared" si="44"/>
        <v>1900</v>
      </c>
    </row>
    <row r="2846" spans="16:16" x14ac:dyDescent="0.25">
      <c r="P2846">
        <f t="shared" si="44"/>
        <v>1900</v>
      </c>
    </row>
    <row r="2847" spans="16:16" x14ac:dyDescent="0.25">
      <c r="P2847">
        <f t="shared" si="44"/>
        <v>1900</v>
      </c>
    </row>
    <row r="2848" spans="16:16" x14ac:dyDescent="0.25">
      <c r="P2848">
        <f t="shared" si="44"/>
        <v>1900</v>
      </c>
    </row>
    <row r="2849" spans="16:16" x14ac:dyDescent="0.25">
      <c r="P2849">
        <f t="shared" si="44"/>
        <v>1900</v>
      </c>
    </row>
    <row r="2850" spans="16:16" x14ac:dyDescent="0.25">
      <c r="P2850">
        <f t="shared" si="44"/>
        <v>1900</v>
      </c>
    </row>
    <row r="2851" spans="16:16" x14ac:dyDescent="0.25">
      <c r="P2851">
        <f t="shared" si="44"/>
        <v>1900</v>
      </c>
    </row>
    <row r="2852" spans="16:16" x14ac:dyDescent="0.25">
      <c r="P2852">
        <f t="shared" si="44"/>
        <v>1900</v>
      </c>
    </row>
    <row r="2853" spans="16:16" x14ac:dyDescent="0.25">
      <c r="P2853">
        <f t="shared" si="44"/>
        <v>1900</v>
      </c>
    </row>
    <row r="2854" spans="16:16" x14ac:dyDescent="0.25">
      <c r="P2854">
        <f t="shared" si="44"/>
        <v>1900</v>
      </c>
    </row>
    <row r="2855" spans="16:16" x14ac:dyDescent="0.25">
      <c r="P2855">
        <f t="shared" si="44"/>
        <v>1900</v>
      </c>
    </row>
    <row r="2856" spans="16:16" x14ac:dyDescent="0.25">
      <c r="P2856">
        <f t="shared" si="44"/>
        <v>1900</v>
      </c>
    </row>
    <row r="2857" spans="16:16" x14ac:dyDescent="0.25">
      <c r="P2857">
        <f t="shared" si="44"/>
        <v>1900</v>
      </c>
    </row>
    <row r="2858" spans="16:16" x14ac:dyDescent="0.25">
      <c r="P2858">
        <f t="shared" si="44"/>
        <v>1900</v>
      </c>
    </row>
    <row r="2859" spans="16:16" x14ac:dyDescent="0.25">
      <c r="P2859">
        <f t="shared" si="44"/>
        <v>1900</v>
      </c>
    </row>
    <row r="2860" spans="16:16" x14ac:dyDescent="0.25">
      <c r="P2860">
        <f t="shared" si="44"/>
        <v>1900</v>
      </c>
    </row>
    <row r="2861" spans="16:16" x14ac:dyDescent="0.25">
      <c r="P2861">
        <f t="shared" si="44"/>
        <v>1900</v>
      </c>
    </row>
    <row r="2862" spans="16:16" x14ac:dyDescent="0.25">
      <c r="P2862">
        <f t="shared" si="44"/>
        <v>1900</v>
      </c>
    </row>
    <row r="2863" spans="16:16" x14ac:dyDescent="0.25">
      <c r="P2863">
        <f t="shared" si="44"/>
        <v>1900</v>
      </c>
    </row>
    <row r="2864" spans="16:16" x14ac:dyDescent="0.25">
      <c r="P2864">
        <f t="shared" si="44"/>
        <v>1900</v>
      </c>
    </row>
    <row r="2865" spans="16:16" x14ac:dyDescent="0.25">
      <c r="P2865">
        <f t="shared" si="44"/>
        <v>1900</v>
      </c>
    </row>
    <row r="2866" spans="16:16" x14ac:dyDescent="0.25">
      <c r="P2866">
        <f t="shared" si="44"/>
        <v>1900</v>
      </c>
    </row>
    <row r="2867" spans="16:16" x14ac:dyDescent="0.25">
      <c r="P2867">
        <f t="shared" si="44"/>
        <v>1900</v>
      </c>
    </row>
    <row r="2868" spans="16:16" x14ac:dyDescent="0.25">
      <c r="P2868">
        <f t="shared" si="44"/>
        <v>1900</v>
      </c>
    </row>
    <row r="2869" spans="16:16" x14ac:dyDescent="0.25">
      <c r="P2869">
        <f t="shared" si="44"/>
        <v>1900</v>
      </c>
    </row>
    <row r="2870" spans="16:16" x14ac:dyDescent="0.25">
      <c r="P2870">
        <f t="shared" si="44"/>
        <v>1900</v>
      </c>
    </row>
    <row r="2871" spans="16:16" x14ac:dyDescent="0.25">
      <c r="P2871">
        <f t="shared" si="44"/>
        <v>1900</v>
      </c>
    </row>
    <row r="2872" spans="16:16" x14ac:dyDescent="0.25">
      <c r="P2872">
        <f t="shared" si="44"/>
        <v>1900</v>
      </c>
    </row>
    <row r="2873" spans="16:16" x14ac:dyDescent="0.25">
      <c r="P2873">
        <f t="shared" si="44"/>
        <v>1900</v>
      </c>
    </row>
    <row r="2874" spans="16:16" x14ac:dyDescent="0.25">
      <c r="P2874">
        <f t="shared" si="44"/>
        <v>1900</v>
      </c>
    </row>
    <row r="2875" spans="16:16" x14ac:dyDescent="0.25">
      <c r="P2875">
        <f t="shared" si="44"/>
        <v>1900</v>
      </c>
    </row>
    <row r="2876" spans="16:16" x14ac:dyDescent="0.25">
      <c r="P2876">
        <f t="shared" si="44"/>
        <v>1900</v>
      </c>
    </row>
    <row r="2877" spans="16:16" x14ac:dyDescent="0.25">
      <c r="P2877">
        <f t="shared" si="44"/>
        <v>1900</v>
      </c>
    </row>
    <row r="2878" spans="16:16" x14ac:dyDescent="0.25">
      <c r="P2878">
        <f t="shared" si="44"/>
        <v>1900</v>
      </c>
    </row>
    <row r="2879" spans="16:16" x14ac:dyDescent="0.25">
      <c r="P2879">
        <f t="shared" si="44"/>
        <v>1900</v>
      </c>
    </row>
    <row r="2880" spans="16:16" x14ac:dyDescent="0.25">
      <c r="P2880">
        <f t="shared" si="44"/>
        <v>1900</v>
      </c>
    </row>
    <row r="2881" spans="16:16" x14ac:dyDescent="0.25">
      <c r="P2881">
        <f t="shared" si="44"/>
        <v>1900</v>
      </c>
    </row>
    <row r="2882" spans="16:16" x14ac:dyDescent="0.25">
      <c r="P2882">
        <f t="shared" ref="P2882:P2945" si="45">IFERROR(YEAR(D2882),"")</f>
        <v>1900</v>
      </c>
    </row>
    <row r="2883" spans="16:16" x14ac:dyDescent="0.25">
      <c r="P2883">
        <f t="shared" si="45"/>
        <v>1900</v>
      </c>
    </row>
    <row r="2884" spans="16:16" x14ac:dyDescent="0.25">
      <c r="P2884">
        <f t="shared" si="45"/>
        <v>1900</v>
      </c>
    </row>
    <row r="2885" spans="16:16" x14ac:dyDescent="0.25">
      <c r="P2885">
        <f t="shared" si="45"/>
        <v>1900</v>
      </c>
    </row>
    <row r="2886" spans="16:16" x14ac:dyDescent="0.25">
      <c r="P2886">
        <f t="shared" si="45"/>
        <v>1900</v>
      </c>
    </row>
    <row r="2887" spans="16:16" x14ac:dyDescent="0.25">
      <c r="P2887">
        <f t="shared" si="45"/>
        <v>1900</v>
      </c>
    </row>
    <row r="2888" spans="16:16" x14ac:dyDescent="0.25">
      <c r="P2888">
        <f t="shared" si="45"/>
        <v>1900</v>
      </c>
    </row>
    <row r="2889" spans="16:16" x14ac:dyDescent="0.25">
      <c r="P2889">
        <f t="shared" si="45"/>
        <v>1900</v>
      </c>
    </row>
    <row r="2890" spans="16:16" x14ac:dyDescent="0.25">
      <c r="P2890">
        <f t="shared" si="45"/>
        <v>1900</v>
      </c>
    </row>
    <row r="2891" spans="16:16" x14ac:dyDescent="0.25">
      <c r="P2891">
        <f t="shared" si="45"/>
        <v>1900</v>
      </c>
    </row>
    <row r="2892" spans="16:16" x14ac:dyDescent="0.25">
      <c r="P2892">
        <f t="shared" si="45"/>
        <v>1900</v>
      </c>
    </row>
    <row r="2893" spans="16:16" x14ac:dyDescent="0.25">
      <c r="P2893">
        <f t="shared" si="45"/>
        <v>1900</v>
      </c>
    </row>
    <row r="2894" spans="16:16" x14ac:dyDescent="0.25">
      <c r="P2894">
        <f t="shared" si="45"/>
        <v>1900</v>
      </c>
    </row>
    <row r="2895" spans="16:16" x14ac:dyDescent="0.25">
      <c r="P2895">
        <f t="shared" si="45"/>
        <v>1900</v>
      </c>
    </row>
    <row r="2896" spans="16:16" x14ac:dyDescent="0.25">
      <c r="P2896">
        <f t="shared" si="45"/>
        <v>1900</v>
      </c>
    </row>
    <row r="2897" spans="16:16" x14ac:dyDescent="0.25">
      <c r="P2897">
        <f t="shared" si="45"/>
        <v>1900</v>
      </c>
    </row>
    <row r="2898" spans="16:16" x14ac:dyDescent="0.25">
      <c r="P2898">
        <f t="shared" si="45"/>
        <v>1900</v>
      </c>
    </row>
    <row r="2899" spans="16:16" x14ac:dyDescent="0.25">
      <c r="P2899">
        <f t="shared" si="45"/>
        <v>1900</v>
      </c>
    </row>
    <row r="2900" spans="16:16" x14ac:dyDescent="0.25">
      <c r="P2900">
        <f t="shared" si="45"/>
        <v>1900</v>
      </c>
    </row>
    <row r="2901" spans="16:16" x14ac:dyDescent="0.25">
      <c r="P2901">
        <f t="shared" si="45"/>
        <v>1900</v>
      </c>
    </row>
    <row r="2902" spans="16:16" x14ac:dyDescent="0.25">
      <c r="P2902">
        <f t="shared" si="45"/>
        <v>1900</v>
      </c>
    </row>
    <row r="2903" spans="16:16" x14ac:dyDescent="0.25">
      <c r="P2903">
        <f t="shared" si="45"/>
        <v>1900</v>
      </c>
    </row>
    <row r="2904" spans="16:16" x14ac:dyDescent="0.25">
      <c r="P2904">
        <f t="shared" si="45"/>
        <v>1900</v>
      </c>
    </row>
    <row r="2905" spans="16:16" x14ac:dyDescent="0.25">
      <c r="P2905">
        <f t="shared" si="45"/>
        <v>1900</v>
      </c>
    </row>
    <row r="2906" spans="16:16" x14ac:dyDescent="0.25">
      <c r="P2906">
        <f t="shared" si="45"/>
        <v>1900</v>
      </c>
    </row>
    <row r="2907" spans="16:16" x14ac:dyDescent="0.25">
      <c r="P2907">
        <f t="shared" si="45"/>
        <v>1900</v>
      </c>
    </row>
    <row r="2908" spans="16:16" x14ac:dyDescent="0.25">
      <c r="P2908">
        <f t="shared" si="45"/>
        <v>1900</v>
      </c>
    </row>
    <row r="2909" spans="16:16" x14ac:dyDescent="0.25">
      <c r="P2909">
        <f t="shared" si="45"/>
        <v>1900</v>
      </c>
    </row>
    <row r="2910" spans="16:16" x14ac:dyDescent="0.25">
      <c r="P2910">
        <f t="shared" si="45"/>
        <v>1900</v>
      </c>
    </row>
    <row r="2911" spans="16:16" x14ac:dyDescent="0.25">
      <c r="P2911">
        <f t="shared" si="45"/>
        <v>1900</v>
      </c>
    </row>
    <row r="2912" spans="16:16" x14ac:dyDescent="0.25">
      <c r="P2912">
        <f t="shared" si="45"/>
        <v>1900</v>
      </c>
    </row>
    <row r="2913" spans="16:16" x14ac:dyDescent="0.25">
      <c r="P2913">
        <f t="shared" si="45"/>
        <v>1900</v>
      </c>
    </row>
    <row r="2914" spans="16:16" x14ac:dyDescent="0.25">
      <c r="P2914">
        <f t="shared" si="45"/>
        <v>1900</v>
      </c>
    </row>
    <row r="2915" spans="16:16" x14ac:dyDescent="0.25">
      <c r="P2915">
        <f t="shared" si="45"/>
        <v>1900</v>
      </c>
    </row>
    <row r="2916" spans="16:16" x14ac:dyDescent="0.25">
      <c r="P2916">
        <f t="shared" si="45"/>
        <v>1900</v>
      </c>
    </row>
    <row r="2917" spans="16:16" x14ac:dyDescent="0.25">
      <c r="P2917">
        <f t="shared" si="45"/>
        <v>1900</v>
      </c>
    </row>
    <row r="2918" spans="16:16" x14ac:dyDescent="0.25">
      <c r="P2918">
        <f t="shared" si="45"/>
        <v>1900</v>
      </c>
    </row>
    <row r="2919" spans="16:16" x14ac:dyDescent="0.25">
      <c r="P2919">
        <f t="shared" si="45"/>
        <v>1900</v>
      </c>
    </row>
    <row r="2920" spans="16:16" x14ac:dyDescent="0.25">
      <c r="P2920">
        <f t="shared" si="45"/>
        <v>1900</v>
      </c>
    </row>
    <row r="2921" spans="16:16" x14ac:dyDescent="0.25">
      <c r="P2921">
        <f t="shared" si="45"/>
        <v>1900</v>
      </c>
    </row>
    <row r="2922" spans="16:16" x14ac:dyDescent="0.25">
      <c r="P2922">
        <f t="shared" si="45"/>
        <v>1900</v>
      </c>
    </row>
    <row r="2923" spans="16:16" x14ac:dyDescent="0.25">
      <c r="P2923">
        <f t="shared" si="45"/>
        <v>1900</v>
      </c>
    </row>
    <row r="2924" spans="16:16" x14ac:dyDescent="0.25">
      <c r="P2924">
        <f t="shared" si="45"/>
        <v>1900</v>
      </c>
    </row>
    <row r="2925" spans="16:16" x14ac:dyDescent="0.25">
      <c r="P2925">
        <f t="shared" si="45"/>
        <v>1900</v>
      </c>
    </row>
    <row r="2926" spans="16:16" x14ac:dyDescent="0.25">
      <c r="P2926">
        <f t="shared" si="45"/>
        <v>1900</v>
      </c>
    </row>
    <row r="2927" spans="16:16" x14ac:dyDescent="0.25">
      <c r="P2927">
        <f t="shared" si="45"/>
        <v>1900</v>
      </c>
    </row>
    <row r="2928" spans="16:16" x14ac:dyDescent="0.25">
      <c r="P2928">
        <f t="shared" si="45"/>
        <v>1900</v>
      </c>
    </row>
    <row r="2929" spans="16:16" x14ac:dyDescent="0.25">
      <c r="P2929">
        <f t="shared" si="45"/>
        <v>1900</v>
      </c>
    </row>
    <row r="2930" spans="16:16" x14ac:dyDescent="0.25">
      <c r="P2930">
        <f t="shared" si="45"/>
        <v>1900</v>
      </c>
    </row>
    <row r="2931" spans="16:16" x14ac:dyDescent="0.25">
      <c r="P2931">
        <f t="shared" si="45"/>
        <v>1900</v>
      </c>
    </row>
    <row r="2932" spans="16:16" x14ac:dyDescent="0.25">
      <c r="P2932">
        <f t="shared" si="45"/>
        <v>1900</v>
      </c>
    </row>
    <row r="2933" spans="16:16" x14ac:dyDescent="0.25">
      <c r="P2933">
        <f t="shared" si="45"/>
        <v>1900</v>
      </c>
    </row>
    <row r="2934" spans="16:16" x14ac:dyDescent="0.25">
      <c r="P2934">
        <f t="shared" si="45"/>
        <v>1900</v>
      </c>
    </row>
    <row r="2935" spans="16:16" x14ac:dyDescent="0.25">
      <c r="P2935">
        <f t="shared" si="45"/>
        <v>1900</v>
      </c>
    </row>
    <row r="2936" spans="16:16" x14ac:dyDescent="0.25">
      <c r="P2936">
        <f t="shared" si="45"/>
        <v>1900</v>
      </c>
    </row>
    <row r="2937" spans="16:16" x14ac:dyDescent="0.25">
      <c r="P2937">
        <f t="shared" si="45"/>
        <v>1900</v>
      </c>
    </row>
    <row r="2938" spans="16:16" x14ac:dyDescent="0.25">
      <c r="P2938">
        <f t="shared" si="45"/>
        <v>1900</v>
      </c>
    </row>
    <row r="2939" spans="16:16" x14ac:dyDescent="0.25">
      <c r="P2939">
        <f t="shared" si="45"/>
        <v>1900</v>
      </c>
    </row>
    <row r="2940" spans="16:16" x14ac:dyDescent="0.25">
      <c r="P2940">
        <f t="shared" si="45"/>
        <v>1900</v>
      </c>
    </row>
    <row r="2941" spans="16:16" x14ac:dyDescent="0.25">
      <c r="P2941">
        <f t="shared" si="45"/>
        <v>1900</v>
      </c>
    </row>
    <row r="2942" spans="16:16" x14ac:dyDescent="0.25">
      <c r="P2942">
        <f t="shared" si="45"/>
        <v>1900</v>
      </c>
    </row>
    <row r="2943" spans="16:16" x14ac:dyDescent="0.25">
      <c r="P2943">
        <f t="shared" si="45"/>
        <v>1900</v>
      </c>
    </row>
    <row r="2944" spans="16:16" x14ac:dyDescent="0.25">
      <c r="P2944">
        <f t="shared" si="45"/>
        <v>1900</v>
      </c>
    </row>
    <row r="2945" spans="16:16" x14ac:dyDescent="0.25">
      <c r="P2945">
        <f t="shared" si="45"/>
        <v>1900</v>
      </c>
    </row>
    <row r="2946" spans="16:16" x14ac:dyDescent="0.25">
      <c r="P2946">
        <f t="shared" ref="P2946:P3009" si="46">IFERROR(YEAR(D2946),"")</f>
        <v>1900</v>
      </c>
    </row>
    <row r="2947" spans="16:16" x14ac:dyDescent="0.25">
      <c r="P2947">
        <f t="shared" si="46"/>
        <v>1900</v>
      </c>
    </row>
    <row r="2948" spans="16:16" x14ac:dyDescent="0.25">
      <c r="P2948">
        <f t="shared" si="46"/>
        <v>1900</v>
      </c>
    </row>
    <row r="2949" spans="16:16" x14ac:dyDescent="0.25">
      <c r="P2949">
        <f t="shared" si="46"/>
        <v>1900</v>
      </c>
    </row>
    <row r="2950" spans="16:16" x14ac:dyDescent="0.25">
      <c r="P2950">
        <f t="shared" si="46"/>
        <v>1900</v>
      </c>
    </row>
    <row r="2951" spans="16:16" x14ac:dyDescent="0.25">
      <c r="P2951">
        <f t="shared" si="46"/>
        <v>1900</v>
      </c>
    </row>
    <row r="2952" spans="16:16" x14ac:dyDescent="0.25">
      <c r="P2952">
        <f t="shared" si="46"/>
        <v>1900</v>
      </c>
    </row>
    <row r="2953" spans="16:16" x14ac:dyDescent="0.25">
      <c r="P2953">
        <f t="shared" si="46"/>
        <v>1900</v>
      </c>
    </row>
    <row r="2954" spans="16:16" x14ac:dyDescent="0.25">
      <c r="P2954">
        <f t="shared" si="46"/>
        <v>1900</v>
      </c>
    </row>
    <row r="2955" spans="16:16" x14ac:dyDescent="0.25">
      <c r="P2955">
        <f t="shared" si="46"/>
        <v>1900</v>
      </c>
    </row>
    <row r="2956" spans="16:16" x14ac:dyDescent="0.25">
      <c r="P2956">
        <f t="shared" si="46"/>
        <v>1900</v>
      </c>
    </row>
    <row r="2957" spans="16:16" x14ac:dyDescent="0.25">
      <c r="P2957">
        <f t="shared" si="46"/>
        <v>1900</v>
      </c>
    </row>
    <row r="2958" spans="16:16" x14ac:dyDescent="0.25">
      <c r="P2958">
        <f t="shared" si="46"/>
        <v>1900</v>
      </c>
    </row>
    <row r="2959" spans="16:16" x14ac:dyDescent="0.25">
      <c r="P2959">
        <f t="shared" si="46"/>
        <v>1900</v>
      </c>
    </row>
    <row r="2960" spans="16:16" x14ac:dyDescent="0.25">
      <c r="P2960">
        <f t="shared" si="46"/>
        <v>1900</v>
      </c>
    </row>
    <row r="2961" spans="16:16" x14ac:dyDescent="0.25">
      <c r="P2961">
        <f t="shared" si="46"/>
        <v>1900</v>
      </c>
    </row>
    <row r="2962" spans="16:16" x14ac:dyDescent="0.25">
      <c r="P2962">
        <f t="shared" si="46"/>
        <v>1900</v>
      </c>
    </row>
    <row r="2963" spans="16:16" x14ac:dyDescent="0.25">
      <c r="P2963">
        <f t="shared" si="46"/>
        <v>1900</v>
      </c>
    </row>
    <row r="2964" spans="16:16" x14ac:dyDescent="0.25">
      <c r="P2964">
        <f t="shared" si="46"/>
        <v>1900</v>
      </c>
    </row>
    <row r="2965" spans="16:16" x14ac:dyDescent="0.25">
      <c r="P2965">
        <f t="shared" si="46"/>
        <v>1900</v>
      </c>
    </row>
    <row r="2966" spans="16:16" x14ac:dyDescent="0.25">
      <c r="P2966">
        <f t="shared" si="46"/>
        <v>1900</v>
      </c>
    </row>
    <row r="2967" spans="16:16" x14ac:dyDescent="0.25">
      <c r="P2967">
        <f t="shared" si="46"/>
        <v>1900</v>
      </c>
    </row>
    <row r="2968" spans="16:16" x14ac:dyDescent="0.25">
      <c r="P2968">
        <f t="shared" si="46"/>
        <v>1900</v>
      </c>
    </row>
    <row r="2969" spans="16:16" x14ac:dyDescent="0.25">
      <c r="P2969">
        <f t="shared" si="46"/>
        <v>1900</v>
      </c>
    </row>
    <row r="2970" spans="16:16" x14ac:dyDescent="0.25">
      <c r="P2970">
        <f t="shared" si="46"/>
        <v>1900</v>
      </c>
    </row>
    <row r="2971" spans="16:16" x14ac:dyDescent="0.25">
      <c r="P2971">
        <f t="shared" si="46"/>
        <v>1900</v>
      </c>
    </row>
    <row r="2972" spans="16:16" x14ac:dyDescent="0.25">
      <c r="P2972">
        <f t="shared" si="46"/>
        <v>1900</v>
      </c>
    </row>
    <row r="2973" spans="16:16" x14ac:dyDescent="0.25">
      <c r="P2973">
        <f t="shared" si="46"/>
        <v>1900</v>
      </c>
    </row>
    <row r="2974" spans="16:16" x14ac:dyDescent="0.25">
      <c r="P2974">
        <f t="shared" si="46"/>
        <v>1900</v>
      </c>
    </row>
    <row r="2975" spans="16:16" x14ac:dyDescent="0.25">
      <c r="P2975">
        <f t="shared" si="46"/>
        <v>1900</v>
      </c>
    </row>
    <row r="2976" spans="16:16" x14ac:dyDescent="0.25">
      <c r="P2976">
        <f t="shared" si="46"/>
        <v>1900</v>
      </c>
    </row>
    <row r="2977" spans="16:16" x14ac:dyDescent="0.25">
      <c r="P2977">
        <f t="shared" si="46"/>
        <v>1900</v>
      </c>
    </row>
    <row r="2978" spans="16:16" x14ac:dyDescent="0.25">
      <c r="P2978">
        <f t="shared" si="46"/>
        <v>1900</v>
      </c>
    </row>
    <row r="2979" spans="16:16" x14ac:dyDescent="0.25">
      <c r="P2979">
        <f t="shared" si="46"/>
        <v>1900</v>
      </c>
    </row>
    <row r="2980" spans="16:16" x14ac:dyDescent="0.25">
      <c r="P2980">
        <f t="shared" si="46"/>
        <v>1900</v>
      </c>
    </row>
    <row r="2981" spans="16:16" x14ac:dyDescent="0.25">
      <c r="P2981">
        <f t="shared" si="46"/>
        <v>1900</v>
      </c>
    </row>
    <row r="2982" spans="16:16" x14ac:dyDescent="0.25">
      <c r="P2982">
        <f t="shared" si="46"/>
        <v>1900</v>
      </c>
    </row>
    <row r="2983" spans="16:16" x14ac:dyDescent="0.25">
      <c r="P2983">
        <f t="shared" si="46"/>
        <v>1900</v>
      </c>
    </row>
    <row r="2984" spans="16:16" x14ac:dyDescent="0.25">
      <c r="P2984">
        <f t="shared" si="46"/>
        <v>1900</v>
      </c>
    </row>
    <row r="2985" spans="16:16" x14ac:dyDescent="0.25">
      <c r="P2985">
        <f t="shared" si="46"/>
        <v>1900</v>
      </c>
    </row>
    <row r="2986" spans="16:16" x14ac:dyDescent="0.25">
      <c r="P2986">
        <f t="shared" si="46"/>
        <v>1900</v>
      </c>
    </row>
    <row r="2987" spans="16:16" x14ac:dyDescent="0.25">
      <c r="P2987">
        <f t="shared" si="46"/>
        <v>1900</v>
      </c>
    </row>
    <row r="2988" spans="16:16" x14ac:dyDescent="0.25">
      <c r="P2988">
        <f t="shared" si="46"/>
        <v>1900</v>
      </c>
    </row>
    <row r="2989" spans="16:16" x14ac:dyDescent="0.25">
      <c r="P2989">
        <f t="shared" si="46"/>
        <v>1900</v>
      </c>
    </row>
    <row r="2990" spans="16:16" x14ac:dyDescent="0.25">
      <c r="P2990">
        <f t="shared" si="46"/>
        <v>1900</v>
      </c>
    </row>
    <row r="2991" spans="16:16" x14ac:dyDescent="0.25">
      <c r="P2991">
        <f t="shared" si="46"/>
        <v>1900</v>
      </c>
    </row>
    <row r="2992" spans="16:16" x14ac:dyDescent="0.25">
      <c r="P2992">
        <f t="shared" si="46"/>
        <v>1900</v>
      </c>
    </row>
    <row r="2993" spans="16:16" x14ac:dyDescent="0.25">
      <c r="P2993">
        <f t="shared" si="46"/>
        <v>1900</v>
      </c>
    </row>
    <row r="2994" spans="16:16" x14ac:dyDescent="0.25">
      <c r="P2994">
        <f t="shared" si="46"/>
        <v>1900</v>
      </c>
    </row>
    <row r="2995" spans="16:16" x14ac:dyDescent="0.25">
      <c r="P2995">
        <f t="shared" si="46"/>
        <v>1900</v>
      </c>
    </row>
    <row r="2996" spans="16:16" x14ac:dyDescent="0.25">
      <c r="P2996">
        <f t="shared" si="46"/>
        <v>1900</v>
      </c>
    </row>
    <row r="2997" spans="16:16" x14ac:dyDescent="0.25">
      <c r="P2997">
        <f t="shared" si="46"/>
        <v>1900</v>
      </c>
    </row>
    <row r="2998" spans="16:16" x14ac:dyDescent="0.25">
      <c r="P2998">
        <f t="shared" si="46"/>
        <v>1900</v>
      </c>
    </row>
    <row r="2999" spans="16:16" x14ac:dyDescent="0.25">
      <c r="P2999">
        <f t="shared" si="46"/>
        <v>1900</v>
      </c>
    </row>
    <row r="3000" spans="16:16" x14ac:dyDescent="0.25">
      <c r="P3000">
        <f t="shared" si="46"/>
        <v>1900</v>
      </c>
    </row>
    <row r="3001" spans="16:16" x14ac:dyDescent="0.25">
      <c r="P3001">
        <f t="shared" si="46"/>
        <v>1900</v>
      </c>
    </row>
    <row r="3002" spans="16:16" x14ac:dyDescent="0.25">
      <c r="P3002">
        <f t="shared" si="46"/>
        <v>1900</v>
      </c>
    </row>
    <row r="3003" spans="16:16" x14ac:dyDescent="0.25">
      <c r="P3003">
        <f t="shared" si="46"/>
        <v>1900</v>
      </c>
    </row>
    <row r="3004" spans="16:16" x14ac:dyDescent="0.25">
      <c r="P3004">
        <f t="shared" si="46"/>
        <v>1900</v>
      </c>
    </row>
    <row r="3005" spans="16:16" x14ac:dyDescent="0.25">
      <c r="P3005">
        <f t="shared" si="46"/>
        <v>1900</v>
      </c>
    </row>
    <row r="3006" spans="16:16" x14ac:dyDescent="0.25">
      <c r="P3006">
        <f t="shared" si="46"/>
        <v>1900</v>
      </c>
    </row>
    <row r="3007" spans="16:16" x14ac:dyDescent="0.25">
      <c r="P3007">
        <f t="shared" si="46"/>
        <v>1900</v>
      </c>
    </row>
    <row r="3008" spans="16:16" x14ac:dyDescent="0.25">
      <c r="P3008">
        <f t="shared" si="46"/>
        <v>1900</v>
      </c>
    </row>
    <row r="3009" spans="16:16" x14ac:dyDescent="0.25">
      <c r="P3009">
        <f t="shared" si="46"/>
        <v>1900</v>
      </c>
    </row>
    <row r="3010" spans="16:16" x14ac:dyDescent="0.25">
      <c r="P3010">
        <f t="shared" ref="P3010:P3073" si="47">IFERROR(YEAR(D3010),"")</f>
        <v>1900</v>
      </c>
    </row>
    <row r="3011" spans="16:16" x14ac:dyDescent="0.25">
      <c r="P3011">
        <f t="shared" si="47"/>
        <v>1900</v>
      </c>
    </row>
    <row r="3012" spans="16:16" x14ac:dyDescent="0.25">
      <c r="P3012">
        <f t="shared" si="47"/>
        <v>1900</v>
      </c>
    </row>
    <row r="3013" spans="16:16" x14ac:dyDescent="0.25">
      <c r="P3013">
        <f t="shared" si="47"/>
        <v>1900</v>
      </c>
    </row>
    <row r="3014" spans="16:16" x14ac:dyDescent="0.25">
      <c r="P3014">
        <f t="shared" si="47"/>
        <v>1900</v>
      </c>
    </row>
    <row r="3015" spans="16:16" x14ac:dyDescent="0.25">
      <c r="P3015">
        <f t="shared" si="47"/>
        <v>1900</v>
      </c>
    </row>
    <row r="3016" spans="16:16" x14ac:dyDescent="0.25">
      <c r="P3016">
        <f t="shared" si="47"/>
        <v>1900</v>
      </c>
    </row>
    <row r="3017" spans="16:16" x14ac:dyDescent="0.25">
      <c r="P3017">
        <f t="shared" si="47"/>
        <v>1900</v>
      </c>
    </row>
    <row r="3018" spans="16:16" x14ac:dyDescent="0.25">
      <c r="P3018">
        <f t="shared" si="47"/>
        <v>1900</v>
      </c>
    </row>
    <row r="3019" spans="16:16" x14ac:dyDescent="0.25">
      <c r="P3019">
        <f t="shared" si="47"/>
        <v>1900</v>
      </c>
    </row>
    <row r="3020" spans="16:16" x14ac:dyDescent="0.25">
      <c r="P3020">
        <f t="shared" si="47"/>
        <v>1900</v>
      </c>
    </row>
    <row r="3021" spans="16:16" x14ac:dyDescent="0.25">
      <c r="P3021">
        <f t="shared" si="47"/>
        <v>1900</v>
      </c>
    </row>
    <row r="3022" spans="16:16" x14ac:dyDescent="0.25">
      <c r="P3022">
        <f t="shared" si="47"/>
        <v>1900</v>
      </c>
    </row>
    <row r="3023" spans="16:16" x14ac:dyDescent="0.25">
      <c r="P3023">
        <f t="shared" si="47"/>
        <v>1900</v>
      </c>
    </row>
    <row r="3024" spans="16:16" x14ac:dyDescent="0.25">
      <c r="P3024">
        <f t="shared" si="47"/>
        <v>1900</v>
      </c>
    </row>
    <row r="3025" spans="16:16" x14ac:dyDescent="0.25">
      <c r="P3025">
        <f t="shared" si="47"/>
        <v>1900</v>
      </c>
    </row>
    <row r="3026" spans="16:16" x14ac:dyDescent="0.25">
      <c r="P3026">
        <f t="shared" si="47"/>
        <v>1900</v>
      </c>
    </row>
    <row r="3027" spans="16:16" x14ac:dyDescent="0.25">
      <c r="P3027">
        <f t="shared" si="47"/>
        <v>1900</v>
      </c>
    </row>
    <row r="3028" spans="16:16" x14ac:dyDescent="0.25">
      <c r="P3028">
        <f t="shared" si="47"/>
        <v>1900</v>
      </c>
    </row>
    <row r="3029" spans="16:16" x14ac:dyDescent="0.25">
      <c r="P3029">
        <f t="shared" si="47"/>
        <v>1900</v>
      </c>
    </row>
    <row r="3030" spans="16:16" x14ac:dyDescent="0.25">
      <c r="P3030">
        <f t="shared" si="47"/>
        <v>1900</v>
      </c>
    </row>
    <row r="3031" spans="16:16" x14ac:dyDescent="0.25">
      <c r="P3031">
        <f t="shared" si="47"/>
        <v>1900</v>
      </c>
    </row>
    <row r="3032" spans="16:16" x14ac:dyDescent="0.25">
      <c r="P3032">
        <f t="shared" si="47"/>
        <v>1900</v>
      </c>
    </row>
    <row r="3033" spans="16:16" x14ac:dyDescent="0.25">
      <c r="P3033">
        <f t="shared" si="47"/>
        <v>1900</v>
      </c>
    </row>
    <row r="3034" spans="16:16" x14ac:dyDescent="0.25">
      <c r="P3034">
        <f t="shared" si="47"/>
        <v>1900</v>
      </c>
    </row>
    <row r="3035" spans="16:16" x14ac:dyDescent="0.25">
      <c r="P3035">
        <f t="shared" si="47"/>
        <v>1900</v>
      </c>
    </row>
    <row r="3036" spans="16:16" x14ac:dyDescent="0.25">
      <c r="P3036">
        <f t="shared" si="47"/>
        <v>1900</v>
      </c>
    </row>
    <row r="3037" spans="16:16" x14ac:dyDescent="0.25">
      <c r="P3037">
        <f t="shared" si="47"/>
        <v>1900</v>
      </c>
    </row>
    <row r="3038" spans="16:16" x14ac:dyDescent="0.25">
      <c r="P3038">
        <f t="shared" si="47"/>
        <v>1900</v>
      </c>
    </row>
    <row r="3039" spans="16:16" x14ac:dyDescent="0.25">
      <c r="P3039">
        <f t="shared" si="47"/>
        <v>1900</v>
      </c>
    </row>
    <row r="3040" spans="16:16" x14ac:dyDescent="0.25">
      <c r="P3040">
        <f t="shared" si="47"/>
        <v>1900</v>
      </c>
    </row>
    <row r="3041" spans="16:16" x14ac:dyDescent="0.25">
      <c r="P3041">
        <f t="shared" si="47"/>
        <v>1900</v>
      </c>
    </row>
    <row r="3042" spans="16:16" x14ac:dyDescent="0.25">
      <c r="P3042">
        <f t="shared" si="47"/>
        <v>1900</v>
      </c>
    </row>
    <row r="3043" spans="16:16" x14ac:dyDescent="0.25">
      <c r="P3043">
        <f t="shared" si="47"/>
        <v>1900</v>
      </c>
    </row>
    <row r="3044" spans="16:16" x14ac:dyDescent="0.25">
      <c r="P3044">
        <f t="shared" si="47"/>
        <v>1900</v>
      </c>
    </row>
    <row r="3045" spans="16:16" x14ac:dyDescent="0.25">
      <c r="P3045">
        <f t="shared" si="47"/>
        <v>1900</v>
      </c>
    </row>
    <row r="3046" spans="16:16" x14ac:dyDescent="0.25">
      <c r="P3046">
        <f t="shared" si="47"/>
        <v>1900</v>
      </c>
    </row>
    <row r="3047" spans="16:16" x14ac:dyDescent="0.25">
      <c r="P3047">
        <f t="shared" si="47"/>
        <v>1900</v>
      </c>
    </row>
    <row r="3048" spans="16:16" x14ac:dyDescent="0.25">
      <c r="P3048">
        <f t="shared" si="47"/>
        <v>1900</v>
      </c>
    </row>
    <row r="3049" spans="16:16" x14ac:dyDescent="0.25">
      <c r="P3049">
        <f t="shared" si="47"/>
        <v>1900</v>
      </c>
    </row>
    <row r="3050" spans="16:16" x14ac:dyDescent="0.25">
      <c r="P3050">
        <f t="shared" si="47"/>
        <v>1900</v>
      </c>
    </row>
    <row r="3051" spans="16:16" x14ac:dyDescent="0.25">
      <c r="P3051">
        <f t="shared" si="47"/>
        <v>1900</v>
      </c>
    </row>
    <row r="3052" spans="16:16" x14ac:dyDescent="0.25">
      <c r="P3052">
        <f t="shared" si="47"/>
        <v>1900</v>
      </c>
    </row>
    <row r="3053" spans="16:16" x14ac:dyDescent="0.25">
      <c r="P3053">
        <f t="shared" si="47"/>
        <v>1900</v>
      </c>
    </row>
    <row r="3054" spans="16:16" x14ac:dyDescent="0.25">
      <c r="P3054">
        <f t="shared" si="47"/>
        <v>1900</v>
      </c>
    </row>
    <row r="3055" spans="16:16" x14ac:dyDescent="0.25">
      <c r="P3055">
        <f t="shared" si="47"/>
        <v>1900</v>
      </c>
    </row>
    <row r="3056" spans="16:16" x14ac:dyDescent="0.25">
      <c r="P3056">
        <f t="shared" si="47"/>
        <v>1900</v>
      </c>
    </row>
    <row r="3057" spans="16:16" x14ac:dyDescent="0.25">
      <c r="P3057">
        <f t="shared" si="47"/>
        <v>1900</v>
      </c>
    </row>
    <row r="3058" spans="16:16" x14ac:dyDescent="0.25">
      <c r="P3058">
        <f t="shared" si="47"/>
        <v>1900</v>
      </c>
    </row>
    <row r="3059" spans="16:16" x14ac:dyDescent="0.25">
      <c r="P3059">
        <f t="shared" si="47"/>
        <v>1900</v>
      </c>
    </row>
    <row r="3060" spans="16:16" x14ac:dyDescent="0.25">
      <c r="P3060">
        <f t="shared" si="47"/>
        <v>1900</v>
      </c>
    </row>
    <row r="3061" spans="16:16" x14ac:dyDescent="0.25">
      <c r="P3061">
        <f t="shared" si="47"/>
        <v>1900</v>
      </c>
    </row>
    <row r="3062" spans="16:16" x14ac:dyDescent="0.25">
      <c r="P3062">
        <f t="shared" si="47"/>
        <v>1900</v>
      </c>
    </row>
    <row r="3063" spans="16:16" x14ac:dyDescent="0.25">
      <c r="P3063">
        <f t="shared" si="47"/>
        <v>1900</v>
      </c>
    </row>
    <row r="3064" spans="16:16" x14ac:dyDescent="0.25">
      <c r="P3064">
        <f t="shared" si="47"/>
        <v>1900</v>
      </c>
    </row>
    <row r="3065" spans="16:16" x14ac:dyDescent="0.25">
      <c r="P3065">
        <f t="shared" si="47"/>
        <v>1900</v>
      </c>
    </row>
    <row r="3066" spans="16:16" x14ac:dyDescent="0.25">
      <c r="P3066">
        <f t="shared" si="47"/>
        <v>1900</v>
      </c>
    </row>
    <row r="3067" spans="16:16" x14ac:dyDescent="0.25">
      <c r="P3067">
        <f t="shared" si="47"/>
        <v>1900</v>
      </c>
    </row>
    <row r="3068" spans="16:16" x14ac:dyDescent="0.25">
      <c r="P3068">
        <f t="shared" si="47"/>
        <v>1900</v>
      </c>
    </row>
    <row r="3069" spans="16:16" x14ac:dyDescent="0.25">
      <c r="P3069">
        <f t="shared" si="47"/>
        <v>1900</v>
      </c>
    </row>
    <row r="3070" spans="16:16" x14ac:dyDescent="0.25">
      <c r="P3070">
        <f t="shared" si="47"/>
        <v>1900</v>
      </c>
    </row>
    <row r="3071" spans="16:16" x14ac:dyDescent="0.25">
      <c r="P3071">
        <f t="shared" si="47"/>
        <v>1900</v>
      </c>
    </row>
    <row r="3072" spans="16:16" x14ac:dyDescent="0.25">
      <c r="P3072">
        <f t="shared" si="47"/>
        <v>1900</v>
      </c>
    </row>
    <row r="3073" spans="16:16" x14ac:dyDescent="0.25">
      <c r="P3073">
        <f t="shared" si="47"/>
        <v>1900</v>
      </c>
    </row>
    <row r="3074" spans="16:16" x14ac:dyDescent="0.25">
      <c r="P3074">
        <f t="shared" ref="P3074:P3137" si="48">IFERROR(YEAR(D3074),"")</f>
        <v>1900</v>
      </c>
    </row>
    <row r="3075" spans="16:16" x14ac:dyDescent="0.25">
      <c r="P3075">
        <f t="shared" si="48"/>
        <v>1900</v>
      </c>
    </row>
    <row r="3076" spans="16:16" x14ac:dyDescent="0.25">
      <c r="P3076">
        <f t="shared" si="48"/>
        <v>1900</v>
      </c>
    </row>
    <row r="3077" spans="16:16" x14ac:dyDescent="0.25">
      <c r="P3077">
        <f t="shared" si="48"/>
        <v>1900</v>
      </c>
    </row>
    <row r="3078" spans="16:16" x14ac:dyDescent="0.25">
      <c r="P3078">
        <f t="shared" si="48"/>
        <v>1900</v>
      </c>
    </row>
    <row r="3079" spans="16:16" x14ac:dyDescent="0.25">
      <c r="P3079">
        <f t="shared" si="48"/>
        <v>1900</v>
      </c>
    </row>
    <row r="3080" spans="16:16" x14ac:dyDescent="0.25">
      <c r="P3080">
        <f t="shared" si="48"/>
        <v>1900</v>
      </c>
    </row>
    <row r="3081" spans="16:16" x14ac:dyDescent="0.25">
      <c r="P3081">
        <f t="shared" si="48"/>
        <v>1900</v>
      </c>
    </row>
    <row r="3082" spans="16:16" x14ac:dyDescent="0.25">
      <c r="P3082">
        <f t="shared" si="48"/>
        <v>1900</v>
      </c>
    </row>
    <row r="3083" spans="16:16" x14ac:dyDescent="0.25">
      <c r="P3083">
        <f t="shared" si="48"/>
        <v>1900</v>
      </c>
    </row>
    <row r="3084" spans="16:16" x14ac:dyDescent="0.25">
      <c r="P3084">
        <f t="shared" si="48"/>
        <v>1900</v>
      </c>
    </row>
    <row r="3085" spans="16:16" x14ac:dyDescent="0.25">
      <c r="P3085">
        <f t="shared" si="48"/>
        <v>1900</v>
      </c>
    </row>
    <row r="3086" spans="16:16" x14ac:dyDescent="0.25">
      <c r="P3086">
        <f t="shared" si="48"/>
        <v>1900</v>
      </c>
    </row>
    <row r="3087" spans="16:16" x14ac:dyDescent="0.25">
      <c r="P3087">
        <f t="shared" si="48"/>
        <v>1900</v>
      </c>
    </row>
    <row r="3088" spans="16:16" x14ac:dyDescent="0.25">
      <c r="P3088">
        <f t="shared" si="48"/>
        <v>1900</v>
      </c>
    </row>
    <row r="3089" spans="16:16" x14ac:dyDescent="0.25">
      <c r="P3089">
        <f t="shared" si="48"/>
        <v>1900</v>
      </c>
    </row>
    <row r="3090" spans="16:16" x14ac:dyDescent="0.25">
      <c r="P3090">
        <f t="shared" si="48"/>
        <v>1900</v>
      </c>
    </row>
    <row r="3091" spans="16:16" x14ac:dyDescent="0.25">
      <c r="P3091">
        <f t="shared" si="48"/>
        <v>1900</v>
      </c>
    </row>
    <row r="3092" spans="16:16" x14ac:dyDescent="0.25">
      <c r="P3092">
        <f t="shared" si="48"/>
        <v>1900</v>
      </c>
    </row>
    <row r="3093" spans="16:16" x14ac:dyDescent="0.25">
      <c r="P3093">
        <f t="shared" si="48"/>
        <v>1900</v>
      </c>
    </row>
    <row r="3094" spans="16:16" x14ac:dyDescent="0.25">
      <c r="P3094">
        <f t="shared" si="48"/>
        <v>1900</v>
      </c>
    </row>
    <row r="3095" spans="16:16" x14ac:dyDescent="0.25">
      <c r="P3095">
        <f t="shared" si="48"/>
        <v>1900</v>
      </c>
    </row>
    <row r="3096" spans="16:16" x14ac:dyDescent="0.25">
      <c r="P3096">
        <f t="shared" si="48"/>
        <v>1900</v>
      </c>
    </row>
    <row r="3097" spans="16:16" x14ac:dyDescent="0.25">
      <c r="P3097">
        <f t="shared" si="48"/>
        <v>1900</v>
      </c>
    </row>
    <row r="3098" spans="16:16" x14ac:dyDescent="0.25">
      <c r="P3098">
        <f t="shared" si="48"/>
        <v>1900</v>
      </c>
    </row>
    <row r="3099" spans="16:16" x14ac:dyDescent="0.25">
      <c r="P3099">
        <f t="shared" si="48"/>
        <v>1900</v>
      </c>
    </row>
    <row r="3100" spans="16:16" x14ac:dyDescent="0.25">
      <c r="P3100">
        <f t="shared" si="48"/>
        <v>1900</v>
      </c>
    </row>
    <row r="3101" spans="16:16" x14ac:dyDescent="0.25">
      <c r="P3101">
        <f t="shared" si="48"/>
        <v>1900</v>
      </c>
    </row>
    <row r="3102" spans="16:16" x14ac:dyDescent="0.25">
      <c r="P3102">
        <f t="shared" si="48"/>
        <v>1900</v>
      </c>
    </row>
    <row r="3103" spans="16:16" x14ac:dyDescent="0.25">
      <c r="P3103">
        <f t="shared" si="48"/>
        <v>1900</v>
      </c>
    </row>
    <row r="3104" spans="16:16" x14ac:dyDescent="0.25">
      <c r="P3104">
        <f t="shared" si="48"/>
        <v>1900</v>
      </c>
    </row>
    <row r="3105" spans="16:16" x14ac:dyDescent="0.25">
      <c r="P3105">
        <f t="shared" si="48"/>
        <v>1900</v>
      </c>
    </row>
    <row r="3106" spans="16:16" x14ac:dyDescent="0.25">
      <c r="P3106">
        <f t="shared" si="48"/>
        <v>1900</v>
      </c>
    </row>
    <row r="3107" spans="16:16" x14ac:dyDescent="0.25">
      <c r="P3107">
        <f t="shared" si="48"/>
        <v>1900</v>
      </c>
    </row>
    <row r="3108" spans="16:16" x14ac:dyDescent="0.25">
      <c r="P3108">
        <f t="shared" si="48"/>
        <v>1900</v>
      </c>
    </row>
    <row r="3109" spans="16:16" x14ac:dyDescent="0.25">
      <c r="P3109">
        <f t="shared" si="48"/>
        <v>1900</v>
      </c>
    </row>
    <row r="3110" spans="16:16" x14ac:dyDescent="0.25">
      <c r="P3110">
        <f t="shared" si="48"/>
        <v>1900</v>
      </c>
    </row>
    <row r="3111" spans="16:16" x14ac:dyDescent="0.25">
      <c r="P3111">
        <f t="shared" si="48"/>
        <v>1900</v>
      </c>
    </row>
    <row r="3112" spans="16:16" x14ac:dyDescent="0.25">
      <c r="P3112">
        <f t="shared" si="48"/>
        <v>1900</v>
      </c>
    </row>
    <row r="3113" spans="16:16" x14ac:dyDescent="0.25">
      <c r="P3113">
        <f t="shared" si="48"/>
        <v>1900</v>
      </c>
    </row>
    <row r="3114" spans="16:16" x14ac:dyDescent="0.25">
      <c r="P3114">
        <f t="shared" si="48"/>
        <v>1900</v>
      </c>
    </row>
    <row r="3115" spans="16:16" x14ac:dyDescent="0.25">
      <c r="P3115">
        <f t="shared" si="48"/>
        <v>1900</v>
      </c>
    </row>
    <row r="3116" spans="16:16" x14ac:dyDescent="0.25">
      <c r="P3116">
        <f t="shared" si="48"/>
        <v>1900</v>
      </c>
    </row>
    <row r="3117" spans="16:16" x14ac:dyDescent="0.25">
      <c r="P3117">
        <f t="shared" si="48"/>
        <v>1900</v>
      </c>
    </row>
    <row r="3118" spans="16:16" x14ac:dyDescent="0.25">
      <c r="P3118">
        <f t="shared" si="48"/>
        <v>1900</v>
      </c>
    </row>
    <row r="3119" spans="16:16" x14ac:dyDescent="0.25">
      <c r="P3119">
        <f t="shared" si="48"/>
        <v>1900</v>
      </c>
    </row>
    <row r="3120" spans="16:16" x14ac:dyDescent="0.25">
      <c r="P3120">
        <f t="shared" si="48"/>
        <v>1900</v>
      </c>
    </row>
    <row r="3121" spans="16:16" x14ac:dyDescent="0.25">
      <c r="P3121">
        <f t="shared" si="48"/>
        <v>1900</v>
      </c>
    </row>
    <row r="3122" spans="16:16" x14ac:dyDescent="0.25">
      <c r="P3122">
        <f t="shared" si="48"/>
        <v>1900</v>
      </c>
    </row>
    <row r="3123" spans="16:16" x14ac:dyDescent="0.25">
      <c r="P3123">
        <f t="shared" si="48"/>
        <v>1900</v>
      </c>
    </row>
    <row r="3124" spans="16:16" x14ac:dyDescent="0.25">
      <c r="P3124">
        <f t="shared" si="48"/>
        <v>1900</v>
      </c>
    </row>
    <row r="3125" spans="16:16" x14ac:dyDescent="0.25">
      <c r="P3125">
        <f t="shared" si="48"/>
        <v>1900</v>
      </c>
    </row>
    <row r="3126" spans="16:16" x14ac:dyDescent="0.25">
      <c r="P3126">
        <f t="shared" si="48"/>
        <v>1900</v>
      </c>
    </row>
    <row r="3127" spans="16:16" x14ac:dyDescent="0.25">
      <c r="P3127">
        <f t="shared" si="48"/>
        <v>1900</v>
      </c>
    </row>
    <row r="3128" spans="16:16" x14ac:dyDescent="0.25">
      <c r="P3128">
        <f t="shared" si="48"/>
        <v>1900</v>
      </c>
    </row>
    <row r="3129" spans="16:16" x14ac:dyDescent="0.25">
      <c r="P3129">
        <f t="shared" si="48"/>
        <v>1900</v>
      </c>
    </row>
    <row r="3130" spans="16:16" x14ac:dyDescent="0.25">
      <c r="P3130">
        <f t="shared" si="48"/>
        <v>1900</v>
      </c>
    </row>
    <row r="3131" spans="16:16" x14ac:dyDescent="0.25">
      <c r="P3131">
        <f t="shared" si="48"/>
        <v>1900</v>
      </c>
    </row>
    <row r="3132" spans="16:16" x14ac:dyDescent="0.25">
      <c r="P3132">
        <f t="shared" si="48"/>
        <v>1900</v>
      </c>
    </row>
    <row r="3133" spans="16:16" x14ac:dyDescent="0.25">
      <c r="P3133">
        <f t="shared" si="48"/>
        <v>1900</v>
      </c>
    </row>
    <row r="3134" spans="16:16" x14ac:dyDescent="0.25">
      <c r="P3134">
        <f t="shared" si="48"/>
        <v>1900</v>
      </c>
    </row>
    <row r="3135" spans="16:16" x14ac:dyDescent="0.25">
      <c r="P3135">
        <f t="shared" si="48"/>
        <v>1900</v>
      </c>
    </row>
    <row r="3136" spans="16:16" x14ac:dyDescent="0.25">
      <c r="P3136">
        <f t="shared" si="48"/>
        <v>1900</v>
      </c>
    </row>
    <row r="3137" spans="16:16" x14ac:dyDescent="0.25">
      <c r="P3137">
        <f t="shared" si="48"/>
        <v>1900</v>
      </c>
    </row>
    <row r="3138" spans="16:16" x14ac:dyDescent="0.25">
      <c r="P3138">
        <f t="shared" ref="P3138:P3201" si="49">IFERROR(YEAR(D3138),"")</f>
        <v>1900</v>
      </c>
    </row>
    <row r="3139" spans="16:16" x14ac:dyDescent="0.25">
      <c r="P3139">
        <f t="shared" si="49"/>
        <v>1900</v>
      </c>
    </row>
    <row r="3140" spans="16:16" x14ac:dyDescent="0.25">
      <c r="P3140">
        <f t="shared" si="49"/>
        <v>1900</v>
      </c>
    </row>
    <row r="3141" spans="16:16" x14ac:dyDescent="0.25">
      <c r="P3141">
        <f t="shared" si="49"/>
        <v>1900</v>
      </c>
    </row>
    <row r="3142" spans="16:16" x14ac:dyDescent="0.25">
      <c r="P3142">
        <f t="shared" si="49"/>
        <v>1900</v>
      </c>
    </row>
    <row r="3143" spans="16:16" x14ac:dyDescent="0.25">
      <c r="P3143">
        <f t="shared" si="49"/>
        <v>1900</v>
      </c>
    </row>
    <row r="3144" spans="16:16" x14ac:dyDescent="0.25">
      <c r="P3144">
        <f t="shared" si="49"/>
        <v>1900</v>
      </c>
    </row>
    <row r="3145" spans="16:16" x14ac:dyDescent="0.25">
      <c r="P3145">
        <f t="shared" si="49"/>
        <v>1900</v>
      </c>
    </row>
    <row r="3146" spans="16:16" x14ac:dyDescent="0.25">
      <c r="P3146">
        <f t="shared" si="49"/>
        <v>1900</v>
      </c>
    </row>
    <row r="3147" spans="16:16" x14ac:dyDescent="0.25">
      <c r="P3147">
        <f t="shared" si="49"/>
        <v>1900</v>
      </c>
    </row>
    <row r="3148" spans="16:16" x14ac:dyDescent="0.25">
      <c r="P3148">
        <f t="shared" si="49"/>
        <v>1900</v>
      </c>
    </row>
    <row r="3149" spans="16:16" x14ac:dyDescent="0.25">
      <c r="P3149">
        <f t="shared" si="49"/>
        <v>1900</v>
      </c>
    </row>
    <row r="3150" spans="16:16" x14ac:dyDescent="0.25">
      <c r="P3150">
        <f t="shared" si="49"/>
        <v>1900</v>
      </c>
    </row>
    <row r="3151" spans="16:16" x14ac:dyDescent="0.25">
      <c r="P3151">
        <f t="shared" si="49"/>
        <v>1900</v>
      </c>
    </row>
    <row r="3152" spans="16:16" x14ac:dyDescent="0.25">
      <c r="P3152">
        <f t="shared" si="49"/>
        <v>1900</v>
      </c>
    </row>
    <row r="3153" spans="16:16" x14ac:dyDescent="0.25">
      <c r="P3153">
        <f t="shared" si="49"/>
        <v>1900</v>
      </c>
    </row>
    <row r="3154" spans="16:16" x14ac:dyDescent="0.25">
      <c r="P3154">
        <f t="shared" si="49"/>
        <v>1900</v>
      </c>
    </row>
    <row r="3155" spans="16:16" x14ac:dyDescent="0.25">
      <c r="P3155">
        <f t="shared" si="49"/>
        <v>1900</v>
      </c>
    </row>
    <row r="3156" spans="16:16" x14ac:dyDescent="0.25">
      <c r="P3156">
        <f t="shared" si="49"/>
        <v>1900</v>
      </c>
    </row>
    <row r="3157" spans="16:16" x14ac:dyDescent="0.25">
      <c r="P3157">
        <f t="shared" si="49"/>
        <v>1900</v>
      </c>
    </row>
    <row r="3158" spans="16:16" x14ac:dyDescent="0.25">
      <c r="P3158">
        <f t="shared" si="49"/>
        <v>1900</v>
      </c>
    </row>
    <row r="3159" spans="16:16" x14ac:dyDescent="0.25">
      <c r="P3159">
        <f t="shared" si="49"/>
        <v>1900</v>
      </c>
    </row>
    <row r="3160" spans="16:16" x14ac:dyDescent="0.25">
      <c r="P3160">
        <f t="shared" si="49"/>
        <v>1900</v>
      </c>
    </row>
    <row r="3161" spans="16:16" x14ac:dyDescent="0.25">
      <c r="P3161">
        <f t="shared" si="49"/>
        <v>1900</v>
      </c>
    </row>
    <row r="3162" spans="16:16" x14ac:dyDescent="0.25">
      <c r="P3162">
        <f t="shared" si="49"/>
        <v>1900</v>
      </c>
    </row>
    <row r="3163" spans="16:16" x14ac:dyDescent="0.25">
      <c r="P3163">
        <f t="shared" si="49"/>
        <v>1900</v>
      </c>
    </row>
    <row r="3164" spans="16:16" x14ac:dyDescent="0.25">
      <c r="P3164">
        <f t="shared" si="49"/>
        <v>1900</v>
      </c>
    </row>
    <row r="3165" spans="16:16" x14ac:dyDescent="0.25">
      <c r="P3165">
        <f t="shared" si="49"/>
        <v>1900</v>
      </c>
    </row>
    <row r="3166" spans="16:16" x14ac:dyDescent="0.25">
      <c r="P3166">
        <f t="shared" si="49"/>
        <v>1900</v>
      </c>
    </row>
    <row r="3167" spans="16:16" x14ac:dyDescent="0.25">
      <c r="P3167">
        <f t="shared" si="49"/>
        <v>1900</v>
      </c>
    </row>
    <row r="3168" spans="16:16" x14ac:dyDescent="0.25">
      <c r="P3168">
        <f t="shared" si="49"/>
        <v>1900</v>
      </c>
    </row>
    <row r="3169" spans="16:16" x14ac:dyDescent="0.25">
      <c r="P3169">
        <f t="shared" si="49"/>
        <v>1900</v>
      </c>
    </row>
    <row r="3170" spans="16:16" x14ac:dyDescent="0.25">
      <c r="P3170">
        <f t="shared" si="49"/>
        <v>1900</v>
      </c>
    </row>
    <row r="3171" spans="16:16" x14ac:dyDescent="0.25">
      <c r="P3171">
        <f t="shared" si="49"/>
        <v>1900</v>
      </c>
    </row>
    <row r="3172" spans="16:16" x14ac:dyDescent="0.25">
      <c r="P3172">
        <f t="shared" si="49"/>
        <v>1900</v>
      </c>
    </row>
    <row r="3173" spans="16:16" x14ac:dyDescent="0.25">
      <c r="P3173">
        <f t="shared" si="49"/>
        <v>1900</v>
      </c>
    </row>
    <row r="3174" spans="16:16" x14ac:dyDescent="0.25">
      <c r="P3174">
        <f t="shared" si="49"/>
        <v>1900</v>
      </c>
    </row>
    <row r="3175" spans="16:16" x14ac:dyDescent="0.25">
      <c r="P3175">
        <f t="shared" si="49"/>
        <v>1900</v>
      </c>
    </row>
    <row r="3176" spans="16:16" x14ac:dyDescent="0.25">
      <c r="P3176">
        <f t="shared" si="49"/>
        <v>1900</v>
      </c>
    </row>
    <row r="3177" spans="16:16" x14ac:dyDescent="0.25">
      <c r="P3177">
        <f t="shared" si="49"/>
        <v>1900</v>
      </c>
    </row>
    <row r="3178" spans="16:16" x14ac:dyDescent="0.25">
      <c r="P3178">
        <f t="shared" si="49"/>
        <v>1900</v>
      </c>
    </row>
    <row r="3179" spans="16:16" x14ac:dyDescent="0.25">
      <c r="P3179">
        <f t="shared" si="49"/>
        <v>1900</v>
      </c>
    </row>
    <row r="3180" spans="16:16" x14ac:dyDescent="0.25">
      <c r="P3180">
        <f t="shared" si="49"/>
        <v>1900</v>
      </c>
    </row>
    <row r="3181" spans="16:16" x14ac:dyDescent="0.25">
      <c r="P3181">
        <f t="shared" si="49"/>
        <v>1900</v>
      </c>
    </row>
    <row r="3182" spans="16:16" x14ac:dyDescent="0.25">
      <c r="P3182">
        <f t="shared" si="49"/>
        <v>1900</v>
      </c>
    </row>
    <row r="3183" spans="16:16" x14ac:dyDescent="0.25">
      <c r="P3183">
        <f t="shared" si="49"/>
        <v>1900</v>
      </c>
    </row>
    <row r="3184" spans="16:16" x14ac:dyDescent="0.25">
      <c r="P3184">
        <f t="shared" si="49"/>
        <v>1900</v>
      </c>
    </row>
    <row r="3185" spans="16:16" x14ac:dyDescent="0.25">
      <c r="P3185">
        <f t="shared" si="49"/>
        <v>1900</v>
      </c>
    </row>
    <row r="3186" spans="16:16" x14ac:dyDescent="0.25">
      <c r="P3186">
        <f t="shared" si="49"/>
        <v>1900</v>
      </c>
    </row>
    <row r="3187" spans="16:16" x14ac:dyDescent="0.25">
      <c r="P3187">
        <f t="shared" si="49"/>
        <v>1900</v>
      </c>
    </row>
    <row r="3188" spans="16:16" x14ac:dyDescent="0.25">
      <c r="P3188">
        <f t="shared" si="49"/>
        <v>1900</v>
      </c>
    </row>
    <row r="3189" spans="16:16" x14ac:dyDescent="0.25">
      <c r="P3189">
        <f t="shared" si="49"/>
        <v>1900</v>
      </c>
    </row>
    <row r="3190" spans="16:16" x14ac:dyDescent="0.25">
      <c r="P3190">
        <f t="shared" si="49"/>
        <v>1900</v>
      </c>
    </row>
    <row r="3191" spans="16:16" x14ac:dyDescent="0.25">
      <c r="P3191">
        <f t="shared" si="49"/>
        <v>1900</v>
      </c>
    </row>
    <row r="3192" spans="16:16" x14ac:dyDescent="0.25">
      <c r="P3192">
        <f t="shared" si="49"/>
        <v>1900</v>
      </c>
    </row>
    <row r="3193" spans="16:16" x14ac:dyDescent="0.25">
      <c r="P3193">
        <f t="shared" si="49"/>
        <v>1900</v>
      </c>
    </row>
    <row r="3194" spans="16:16" x14ac:dyDescent="0.25">
      <c r="P3194">
        <f t="shared" si="49"/>
        <v>1900</v>
      </c>
    </row>
    <row r="3195" spans="16:16" x14ac:dyDescent="0.25">
      <c r="P3195">
        <f t="shared" si="49"/>
        <v>1900</v>
      </c>
    </row>
    <row r="3196" spans="16:16" x14ac:dyDescent="0.25">
      <c r="P3196">
        <f t="shared" si="49"/>
        <v>1900</v>
      </c>
    </row>
    <row r="3197" spans="16:16" x14ac:dyDescent="0.25">
      <c r="P3197">
        <f t="shared" si="49"/>
        <v>1900</v>
      </c>
    </row>
    <row r="3198" spans="16:16" x14ac:dyDescent="0.25">
      <c r="P3198">
        <f t="shared" si="49"/>
        <v>1900</v>
      </c>
    </row>
    <row r="3199" spans="16:16" x14ac:dyDescent="0.25">
      <c r="P3199">
        <f t="shared" si="49"/>
        <v>1900</v>
      </c>
    </row>
    <row r="3200" spans="16:16" x14ac:dyDescent="0.25">
      <c r="P3200">
        <f t="shared" si="49"/>
        <v>1900</v>
      </c>
    </row>
    <row r="3201" spans="16:16" x14ac:dyDescent="0.25">
      <c r="P3201">
        <f t="shared" si="49"/>
        <v>1900</v>
      </c>
    </row>
    <row r="3202" spans="16:16" x14ac:dyDescent="0.25">
      <c r="P3202">
        <f t="shared" ref="P3202:P3265" si="50">IFERROR(YEAR(D3202),"")</f>
        <v>1900</v>
      </c>
    </row>
    <row r="3203" spans="16:16" x14ac:dyDescent="0.25">
      <c r="P3203">
        <f t="shared" si="50"/>
        <v>1900</v>
      </c>
    </row>
    <row r="3204" spans="16:16" x14ac:dyDescent="0.25">
      <c r="P3204">
        <f t="shared" si="50"/>
        <v>1900</v>
      </c>
    </row>
    <row r="3205" spans="16:16" x14ac:dyDescent="0.25">
      <c r="P3205">
        <f t="shared" si="50"/>
        <v>1900</v>
      </c>
    </row>
    <row r="3206" spans="16:16" x14ac:dyDescent="0.25">
      <c r="P3206">
        <f t="shared" si="50"/>
        <v>1900</v>
      </c>
    </row>
    <row r="3207" spans="16:16" x14ac:dyDescent="0.25">
      <c r="P3207">
        <f t="shared" si="50"/>
        <v>1900</v>
      </c>
    </row>
    <row r="3208" spans="16:16" x14ac:dyDescent="0.25">
      <c r="P3208">
        <f t="shared" si="50"/>
        <v>1900</v>
      </c>
    </row>
    <row r="3209" spans="16:16" x14ac:dyDescent="0.25">
      <c r="P3209">
        <f t="shared" si="50"/>
        <v>1900</v>
      </c>
    </row>
    <row r="3210" spans="16:16" x14ac:dyDescent="0.25">
      <c r="P3210">
        <f t="shared" si="50"/>
        <v>1900</v>
      </c>
    </row>
    <row r="3211" spans="16:16" x14ac:dyDescent="0.25">
      <c r="P3211">
        <f t="shared" si="50"/>
        <v>1900</v>
      </c>
    </row>
    <row r="3212" spans="16:16" x14ac:dyDescent="0.25">
      <c r="P3212">
        <f t="shared" si="50"/>
        <v>1900</v>
      </c>
    </row>
    <row r="3213" spans="16:16" x14ac:dyDescent="0.25">
      <c r="P3213">
        <f t="shared" si="50"/>
        <v>1900</v>
      </c>
    </row>
    <row r="3214" spans="16:16" x14ac:dyDescent="0.25">
      <c r="P3214">
        <f t="shared" si="50"/>
        <v>1900</v>
      </c>
    </row>
    <row r="3215" spans="16:16" x14ac:dyDescent="0.25">
      <c r="P3215">
        <f t="shared" si="50"/>
        <v>1900</v>
      </c>
    </row>
    <row r="3216" spans="16:16" x14ac:dyDescent="0.25">
      <c r="P3216">
        <f t="shared" si="50"/>
        <v>1900</v>
      </c>
    </row>
    <row r="3217" spans="16:16" x14ac:dyDescent="0.25">
      <c r="P3217">
        <f t="shared" si="50"/>
        <v>1900</v>
      </c>
    </row>
    <row r="3218" spans="16:16" x14ac:dyDescent="0.25">
      <c r="P3218">
        <f t="shared" si="50"/>
        <v>1900</v>
      </c>
    </row>
    <row r="3219" spans="16:16" x14ac:dyDescent="0.25">
      <c r="P3219">
        <f t="shared" si="50"/>
        <v>1900</v>
      </c>
    </row>
    <row r="3220" spans="16:16" x14ac:dyDescent="0.25">
      <c r="P3220">
        <f t="shared" si="50"/>
        <v>1900</v>
      </c>
    </row>
    <row r="3221" spans="16:16" x14ac:dyDescent="0.25">
      <c r="P3221">
        <f t="shared" si="50"/>
        <v>1900</v>
      </c>
    </row>
    <row r="3222" spans="16:16" x14ac:dyDescent="0.25">
      <c r="P3222">
        <f t="shared" si="50"/>
        <v>1900</v>
      </c>
    </row>
    <row r="3223" spans="16:16" x14ac:dyDescent="0.25">
      <c r="P3223">
        <f t="shared" si="50"/>
        <v>1900</v>
      </c>
    </row>
    <row r="3224" spans="16:16" x14ac:dyDescent="0.25">
      <c r="P3224">
        <f t="shared" si="50"/>
        <v>1900</v>
      </c>
    </row>
    <row r="3225" spans="16:16" x14ac:dyDescent="0.25">
      <c r="P3225">
        <f t="shared" si="50"/>
        <v>1900</v>
      </c>
    </row>
    <row r="3226" spans="16:16" x14ac:dyDescent="0.25">
      <c r="P3226">
        <f t="shared" si="50"/>
        <v>1900</v>
      </c>
    </row>
    <row r="3227" spans="16:16" x14ac:dyDescent="0.25">
      <c r="P3227">
        <f t="shared" si="50"/>
        <v>1900</v>
      </c>
    </row>
    <row r="3228" spans="16:16" x14ac:dyDescent="0.25">
      <c r="P3228">
        <f t="shared" si="50"/>
        <v>1900</v>
      </c>
    </row>
    <row r="3229" spans="16:16" x14ac:dyDescent="0.25">
      <c r="P3229">
        <f t="shared" si="50"/>
        <v>1900</v>
      </c>
    </row>
    <row r="3230" spans="16:16" x14ac:dyDescent="0.25">
      <c r="P3230">
        <f t="shared" si="50"/>
        <v>1900</v>
      </c>
    </row>
    <row r="3231" spans="16:16" x14ac:dyDescent="0.25">
      <c r="P3231">
        <f t="shared" si="50"/>
        <v>1900</v>
      </c>
    </row>
    <row r="3232" spans="16:16" x14ac:dyDescent="0.25">
      <c r="P3232">
        <f t="shared" si="50"/>
        <v>1900</v>
      </c>
    </row>
    <row r="3233" spans="16:16" x14ac:dyDescent="0.25">
      <c r="P3233">
        <f t="shared" si="50"/>
        <v>1900</v>
      </c>
    </row>
    <row r="3234" spans="16:16" x14ac:dyDescent="0.25">
      <c r="P3234">
        <f t="shared" si="50"/>
        <v>1900</v>
      </c>
    </row>
    <row r="3235" spans="16:16" x14ac:dyDescent="0.25">
      <c r="P3235">
        <f t="shared" si="50"/>
        <v>1900</v>
      </c>
    </row>
    <row r="3236" spans="16:16" x14ac:dyDescent="0.25">
      <c r="P3236">
        <f t="shared" si="50"/>
        <v>1900</v>
      </c>
    </row>
    <row r="3237" spans="16:16" x14ac:dyDescent="0.25">
      <c r="P3237">
        <f t="shared" si="50"/>
        <v>1900</v>
      </c>
    </row>
    <row r="3238" spans="16:16" x14ac:dyDescent="0.25">
      <c r="P3238">
        <f t="shared" si="50"/>
        <v>1900</v>
      </c>
    </row>
    <row r="3239" spans="16:16" x14ac:dyDescent="0.25">
      <c r="P3239">
        <f t="shared" si="50"/>
        <v>1900</v>
      </c>
    </row>
    <row r="3240" spans="16:16" x14ac:dyDescent="0.25">
      <c r="P3240">
        <f t="shared" si="50"/>
        <v>1900</v>
      </c>
    </row>
    <row r="3241" spans="16:16" x14ac:dyDescent="0.25">
      <c r="P3241">
        <f t="shared" si="50"/>
        <v>1900</v>
      </c>
    </row>
    <row r="3242" spans="16:16" x14ac:dyDescent="0.25">
      <c r="P3242">
        <f t="shared" si="50"/>
        <v>1900</v>
      </c>
    </row>
    <row r="3243" spans="16:16" x14ac:dyDescent="0.25">
      <c r="P3243">
        <f t="shared" si="50"/>
        <v>1900</v>
      </c>
    </row>
    <row r="3244" spans="16:16" x14ac:dyDescent="0.25">
      <c r="P3244">
        <f t="shared" si="50"/>
        <v>1900</v>
      </c>
    </row>
    <row r="3245" spans="16:16" x14ac:dyDescent="0.25">
      <c r="P3245">
        <f t="shared" si="50"/>
        <v>1900</v>
      </c>
    </row>
    <row r="3246" spans="16:16" x14ac:dyDescent="0.25">
      <c r="P3246">
        <f t="shared" si="50"/>
        <v>1900</v>
      </c>
    </row>
    <row r="3247" spans="16:16" x14ac:dyDescent="0.25">
      <c r="P3247">
        <f t="shared" si="50"/>
        <v>1900</v>
      </c>
    </row>
    <row r="3248" spans="16:16" x14ac:dyDescent="0.25">
      <c r="P3248">
        <f t="shared" si="50"/>
        <v>1900</v>
      </c>
    </row>
    <row r="3249" spans="16:16" x14ac:dyDescent="0.25">
      <c r="P3249">
        <f t="shared" si="50"/>
        <v>1900</v>
      </c>
    </row>
    <row r="3250" spans="16:16" x14ac:dyDescent="0.25">
      <c r="P3250">
        <f t="shared" si="50"/>
        <v>1900</v>
      </c>
    </row>
    <row r="3251" spans="16:16" x14ac:dyDescent="0.25">
      <c r="P3251">
        <f t="shared" si="50"/>
        <v>1900</v>
      </c>
    </row>
    <row r="3252" spans="16:16" x14ac:dyDescent="0.25">
      <c r="P3252">
        <f t="shared" si="50"/>
        <v>1900</v>
      </c>
    </row>
    <row r="3253" spans="16:16" x14ac:dyDescent="0.25">
      <c r="P3253">
        <f t="shared" si="50"/>
        <v>1900</v>
      </c>
    </row>
    <row r="3254" spans="16:16" x14ac:dyDescent="0.25">
      <c r="P3254">
        <f t="shared" si="50"/>
        <v>1900</v>
      </c>
    </row>
    <row r="3255" spans="16:16" x14ac:dyDescent="0.25">
      <c r="P3255">
        <f t="shared" si="50"/>
        <v>1900</v>
      </c>
    </row>
    <row r="3256" spans="16:16" x14ac:dyDescent="0.25">
      <c r="P3256">
        <f t="shared" si="50"/>
        <v>1900</v>
      </c>
    </row>
    <row r="3257" spans="16:16" x14ac:dyDescent="0.25">
      <c r="P3257">
        <f t="shared" si="50"/>
        <v>1900</v>
      </c>
    </row>
    <row r="3258" spans="16:16" x14ac:dyDescent="0.25">
      <c r="P3258">
        <f t="shared" si="50"/>
        <v>1900</v>
      </c>
    </row>
    <row r="3259" spans="16:16" x14ac:dyDescent="0.25">
      <c r="P3259">
        <f t="shared" si="50"/>
        <v>1900</v>
      </c>
    </row>
    <row r="3260" spans="16:16" x14ac:dyDescent="0.25">
      <c r="P3260">
        <f t="shared" si="50"/>
        <v>1900</v>
      </c>
    </row>
    <row r="3261" spans="16:16" x14ac:dyDescent="0.25">
      <c r="P3261">
        <f t="shared" si="50"/>
        <v>1900</v>
      </c>
    </row>
    <row r="3262" spans="16:16" x14ac:dyDescent="0.25">
      <c r="P3262">
        <f t="shared" si="50"/>
        <v>1900</v>
      </c>
    </row>
    <row r="3263" spans="16:16" x14ac:dyDescent="0.25">
      <c r="P3263">
        <f t="shared" si="50"/>
        <v>1900</v>
      </c>
    </row>
    <row r="3264" spans="16:16" x14ac:dyDescent="0.25">
      <c r="P3264">
        <f t="shared" si="50"/>
        <v>1900</v>
      </c>
    </row>
    <row r="3265" spans="16:16" x14ac:dyDescent="0.25">
      <c r="P3265">
        <f t="shared" si="50"/>
        <v>1900</v>
      </c>
    </row>
    <row r="3266" spans="16:16" x14ac:dyDescent="0.25">
      <c r="P3266">
        <f t="shared" ref="P3266:P3329" si="51">IFERROR(YEAR(D3266),"")</f>
        <v>1900</v>
      </c>
    </row>
    <row r="3267" spans="16:16" x14ac:dyDescent="0.25">
      <c r="P3267">
        <f t="shared" si="51"/>
        <v>1900</v>
      </c>
    </row>
    <row r="3268" spans="16:16" x14ac:dyDescent="0.25">
      <c r="P3268">
        <f t="shared" si="51"/>
        <v>1900</v>
      </c>
    </row>
    <row r="3269" spans="16:16" x14ac:dyDescent="0.25">
      <c r="P3269">
        <f t="shared" si="51"/>
        <v>1900</v>
      </c>
    </row>
    <row r="3270" spans="16:16" x14ac:dyDescent="0.25">
      <c r="P3270">
        <f t="shared" si="51"/>
        <v>1900</v>
      </c>
    </row>
    <row r="3271" spans="16:16" x14ac:dyDescent="0.25">
      <c r="P3271">
        <f t="shared" si="51"/>
        <v>1900</v>
      </c>
    </row>
    <row r="3272" spans="16:16" x14ac:dyDescent="0.25">
      <c r="P3272">
        <f t="shared" si="51"/>
        <v>1900</v>
      </c>
    </row>
    <row r="3273" spans="16:16" x14ac:dyDescent="0.25">
      <c r="P3273">
        <f t="shared" si="51"/>
        <v>1900</v>
      </c>
    </row>
    <row r="3274" spans="16:16" x14ac:dyDescent="0.25">
      <c r="P3274">
        <f t="shared" si="51"/>
        <v>1900</v>
      </c>
    </row>
    <row r="3275" spans="16:16" x14ac:dyDescent="0.25">
      <c r="P3275">
        <f t="shared" si="51"/>
        <v>1900</v>
      </c>
    </row>
    <row r="3276" spans="16:16" x14ac:dyDescent="0.25">
      <c r="P3276">
        <f t="shared" si="51"/>
        <v>1900</v>
      </c>
    </row>
    <row r="3277" spans="16:16" x14ac:dyDescent="0.25">
      <c r="P3277">
        <f t="shared" si="51"/>
        <v>1900</v>
      </c>
    </row>
    <row r="3278" spans="16:16" x14ac:dyDescent="0.25">
      <c r="P3278">
        <f t="shared" si="51"/>
        <v>1900</v>
      </c>
    </row>
    <row r="3279" spans="16:16" x14ac:dyDescent="0.25">
      <c r="P3279">
        <f t="shared" si="51"/>
        <v>1900</v>
      </c>
    </row>
    <row r="3280" spans="16:16" x14ac:dyDescent="0.25">
      <c r="P3280">
        <f t="shared" si="51"/>
        <v>1900</v>
      </c>
    </row>
    <row r="3281" spans="16:16" x14ac:dyDescent="0.25">
      <c r="P3281">
        <f t="shared" si="51"/>
        <v>1900</v>
      </c>
    </row>
    <row r="3282" spans="16:16" x14ac:dyDescent="0.25">
      <c r="P3282">
        <f t="shared" si="51"/>
        <v>1900</v>
      </c>
    </row>
    <row r="3283" spans="16:16" x14ac:dyDescent="0.25">
      <c r="P3283">
        <f t="shared" si="51"/>
        <v>1900</v>
      </c>
    </row>
    <row r="3284" spans="16:16" x14ac:dyDescent="0.25">
      <c r="P3284">
        <f t="shared" si="51"/>
        <v>1900</v>
      </c>
    </row>
    <row r="3285" spans="16:16" x14ac:dyDescent="0.25">
      <c r="P3285">
        <f t="shared" si="51"/>
        <v>1900</v>
      </c>
    </row>
    <row r="3286" spans="16:16" x14ac:dyDescent="0.25">
      <c r="P3286">
        <f t="shared" si="51"/>
        <v>1900</v>
      </c>
    </row>
    <row r="3287" spans="16:16" x14ac:dyDescent="0.25">
      <c r="P3287">
        <f t="shared" si="51"/>
        <v>1900</v>
      </c>
    </row>
    <row r="3288" spans="16:16" x14ac:dyDescent="0.25">
      <c r="P3288">
        <f t="shared" si="51"/>
        <v>1900</v>
      </c>
    </row>
    <row r="3289" spans="16:16" x14ac:dyDescent="0.25">
      <c r="P3289">
        <f t="shared" si="51"/>
        <v>1900</v>
      </c>
    </row>
    <row r="3290" spans="16:16" x14ac:dyDescent="0.25">
      <c r="P3290">
        <f t="shared" si="51"/>
        <v>1900</v>
      </c>
    </row>
    <row r="3291" spans="16:16" x14ac:dyDescent="0.25">
      <c r="P3291">
        <f t="shared" si="51"/>
        <v>1900</v>
      </c>
    </row>
    <row r="3292" spans="16:16" x14ac:dyDescent="0.25">
      <c r="P3292">
        <f t="shared" si="51"/>
        <v>1900</v>
      </c>
    </row>
    <row r="3293" spans="16:16" x14ac:dyDescent="0.25">
      <c r="P3293">
        <f t="shared" si="51"/>
        <v>1900</v>
      </c>
    </row>
    <row r="3294" spans="16:16" x14ac:dyDescent="0.25">
      <c r="P3294">
        <f t="shared" si="51"/>
        <v>1900</v>
      </c>
    </row>
    <row r="3295" spans="16:16" x14ac:dyDescent="0.25">
      <c r="P3295">
        <f t="shared" si="51"/>
        <v>1900</v>
      </c>
    </row>
    <row r="3296" spans="16:16" x14ac:dyDescent="0.25">
      <c r="P3296">
        <f t="shared" si="51"/>
        <v>1900</v>
      </c>
    </row>
    <row r="3297" spans="16:16" x14ac:dyDescent="0.25">
      <c r="P3297">
        <f t="shared" si="51"/>
        <v>1900</v>
      </c>
    </row>
    <row r="3298" spans="16:16" x14ac:dyDescent="0.25">
      <c r="P3298">
        <f t="shared" si="51"/>
        <v>1900</v>
      </c>
    </row>
    <row r="3299" spans="16:16" x14ac:dyDescent="0.25">
      <c r="P3299">
        <f t="shared" si="51"/>
        <v>1900</v>
      </c>
    </row>
    <row r="3300" spans="16:16" x14ac:dyDescent="0.25">
      <c r="P3300">
        <f t="shared" si="51"/>
        <v>1900</v>
      </c>
    </row>
    <row r="3301" spans="16:16" x14ac:dyDescent="0.25">
      <c r="P3301">
        <f t="shared" si="51"/>
        <v>1900</v>
      </c>
    </row>
    <row r="3302" spans="16:16" x14ac:dyDescent="0.25">
      <c r="P3302">
        <f t="shared" si="51"/>
        <v>1900</v>
      </c>
    </row>
    <row r="3303" spans="16:16" x14ac:dyDescent="0.25">
      <c r="P3303">
        <f t="shared" si="51"/>
        <v>1900</v>
      </c>
    </row>
    <row r="3304" spans="16:16" x14ac:dyDescent="0.25">
      <c r="P3304">
        <f t="shared" si="51"/>
        <v>1900</v>
      </c>
    </row>
    <row r="3305" spans="16:16" x14ac:dyDescent="0.25">
      <c r="P3305">
        <f t="shared" si="51"/>
        <v>1900</v>
      </c>
    </row>
    <row r="3306" spans="16:16" x14ac:dyDescent="0.25">
      <c r="P3306">
        <f t="shared" si="51"/>
        <v>1900</v>
      </c>
    </row>
    <row r="3307" spans="16:16" x14ac:dyDescent="0.25">
      <c r="P3307">
        <f t="shared" si="51"/>
        <v>1900</v>
      </c>
    </row>
    <row r="3308" spans="16:16" x14ac:dyDescent="0.25">
      <c r="P3308">
        <f t="shared" si="51"/>
        <v>1900</v>
      </c>
    </row>
    <row r="3309" spans="16:16" x14ac:dyDescent="0.25">
      <c r="P3309">
        <f t="shared" si="51"/>
        <v>1900</v>
      </c>
    </row>
    <row r="3310" spans="16:16" x14ac:dyDescent="0.25">
      <c r="P3310">
        <f t="shared" si="51"/>
        <v>1900</v>
      </c>
    </row>
    <row r="3311" spans="16:16" x14ac:dyDescent="0.25">
      <c r="P3311">
        <f t="shared" si="51"/>
        <v>1900</v>
      </c>
    </row>
    <row r="3312" spans="16:16" x14ac:dyDescent="0.25">
      <c r="P3312">
        <f t="shared" si="51"/>
        <v>1900</v>
      </c>
    </row>
    <row r="3313" spans="16:16" x14ac:dyDescent="0.25">
      <c r="P3313">
        <f t="shared" si="51"/>
        <v>1900</v>
      </c>
    </row>
    <row r="3314" spans="16:16" x14ac:dyDescent="0.25">
      <c r="P3314">
        <f t="shared" si="51"/>
        <v>1900</v>
      </c>
    </row>
    <row r="3315" spans="16:16" x14ac:dyDescent="0.25">
      <c r="P3315">
        <f t="shared" si="51"/>
        <v>1900</v>
      </c>
    </row>
    <row r="3316" spans="16:16" x14ac:dyDescent="0.25">
      <c r="P3316">
        <f t="shared" si="51"/>
        <v>1900</v>
      </c>
    </row>
    <row r="3317" spans="16:16" x14ac:dyDescent="0.25">
      <c r="P3317">
        <f t="shared" si="51"/>
        <v>1900</v>
      </c>
    </row>
    <row r="3318" spans="16:16" x14ac:dyDescent="0.25">
      <c r="P3318">
        <f t="shared" si="51"/>
        <v>1900</v>
      </c>
    </row>
    <row r="3319" spans="16:16" x14ac:dyDescent="0.25">
      <c r="P3319">
        <f t="shared" si="51"/>
        <v>1900</v>
      </c>
    </row>
    <row r="3320" spans="16:16" x14ac:dyDescent="0.25">
      <c r="P3320">
        <f t="shared" si="51"/>
        <v>1900</v>
      </c>
    </row>
    <row r="3321" spans="16:16" x14ac:dyDescent="0.25">
      <c r="P3321">
        <f t="shared" si="51"/>
        <v>1900</v>
      </c>
    </row>
    <row r="3322" spans="16:16" x14ac:dyDescent="0.25">
      <c r="P3322">
        <f t="shared" si="51"/>
        <v>1900</v>
      </c>
    </row>
    <row r="3323" spans="16:16" x14ac:dyDescent="0.25">
      <c r="P3323">
        <f t="shared" si="51"/>
        <v>1900</v>
      </c>
    </row>
    <row r="3324" spans="16:16" x14ac:dyDescent="0.25">
      <c r="P3324">
        <f t="shared" si="51"/>
        <v>1900</v>
      </c>
    </row>
    <row r="3325" spans="16:16" x14ac:dyDescent="0.25">
      <c r="P3325">
        <f t="shared" si="51"/>
        <v>1900</v>
      </c>
    </row>
    <row r="3326" spans="16:16" x14ac:dyDescent="0.25">
      <c r="P3326">
        <f t="shared" si="51"/>
        <v>1900</v>
      </c>
    </row>
    <row r="3327" spans="16:16" x14ac:dyDescent="0.25">
      <c r="P3327">
        <f t="shared" si="51"/>
        <v>1900</v>
      </c>
    </row>
    <row r="3328" spans="16:16" x14ac:dyDescent="0.25">
      <c r="P3328">
        <f t="shared" si="51"/>
        <v>1900</v>
      </c>
    </row>
    <row r="3329" spans="16:16" x14ac:dyDescent="0.25">
      <c r="P3329">
        <f t="shared" si="51"/>
        <v>1900</v>
      </c>
    </row>
    <row r="3330" spans="16:16" x14ac:dyDescent="0.25">
      <c r="P3330">
        <f t="shared" ref="P3330:P3393" si="52">IFERROR(YEAR(D3330),"")</f>
        <v>1900</v>
      </c>
    </row>
    <row r="3331" spans="16:16" x14ac:dyDescent="0.25">
      <c r="P3331">
        <f t="shared" si="52"/>
        <v>1900</v>
      </c>
    </row>
    <row r="3332" spans="16:16" x14ac:dyDescent="0.25">
      <c r="P3332">
        <f t="shared" si="52"/>
        <v>1900</v>
      </c>
    </row>
    <row r="3333" spans="16:16" x14ac:dyDescent="0.25">
      <c r="P3333">
        <f t="shared" si="52"/>
        <v>1900</v>
      </c>
    </row>
    <row r="3334" spans="16:16" x14ac:dyDescent="0.25">
      <c r="P3334">
        <f t="shared" si="52"/>
        <v>1900</v>
      </c>
    </row>
    <row r="3335" spans="16:16" x14ac:dyDescent="0.25">
      <c r="P3335">
        <f t="shared" si="52"/>
        <v>1900</v>
      </c>
    </row>
    <row r="3336" spans="16:16" x14ac:dyDescent="0.25">
      <c r="P3336">
        <f t="shared" si="52"/>
        <v>1900</v>
      </c>
    </row>
    <row r="3337" spans="16:16" x14ac:dyDescent="0.25">
      <c r="P3337">
        <f t="shared" si="52"/>
        <v>1900</v>
      </c>
    </row>
    <row r="3338" spans="16:16" x14ac:dyDescent="0.25">
      <c r="P3338">
        <f t="shared" si="52"/>
        <v>1900</v>
      </c>
    </row>
    <row r="3339" spans="16:16" x14ac:dyDescent="0.25">
      <c r="P3339">
        <f t="shared" si="52"/>
        <v>1900</v>
      </c>
    </row>
    <row r="3340" spans="16:16" x14ac:dyDescent="0.25">
      <c r="P3340">
        <f t="shared" si="52"/>
        <v>1900</v>
      </c>
    </row>
    <row r="3341" spans="16:16" x14ac:dyDescent="0.25">
      <c r="P3341">
        <f t="shared" si="52"/>
        <v>1900</v>
      </c>
    </row>
    <row r="3342" spans="16:16" x14ac:dyDescent="0.25">
      <c r="P3342">
        <f t="shared" si="52"/>
        <v>1900</v>
      </c>
    </row>
    <row r="3343" spans="16:16" x14ac:dyDescent="0.25">
      <c r="P3343">
        <f t="shared" si="52"/>
        <v>1900</v>
      </c>
    </row>
    <row r="3344" spans="16:16" x14ac:dyDescent="0.25">
      <c r="P3344">
        <f t="shared" si="52"/>
        <v>1900</v>
      </c>
    </row>
    <row r="3345" spans="16:16" x14ac:dyDescent="0.25">
      <c r="P3345">
        <f t="shared" si="52"/>
        <v>1900</v>
      </c>
    </row>
    <row r="3346" spans="16:16" x14ac:dyDescent="0.25">
      <c r="P3346">
        <f t="shared" si="52"/>
        <v>1900</v>
      </c>
    </row>
    <row r="3347" spans="16:16" x14ac:dyDescent="0.25">
      <c r="P3347">
        <f t="shared" si="52"/>
        <v>1900</v>
      </c>
    </row>
    <row r="3348" spans="16:16" x14ac:dyDescent="0.25">
      <c r="P3348">
        <f t="shared" si="52"/>
        <v>1900</v>
      </c>
    </row>
    <row r="3349" spans="16:16" x14ac:dyDescent="0.25">
      <c r="P3349">
        <f t="shared" si="52"/>
        <v>1900</v>
      </c>
    </row>
    <row r="3350" spans="16:16" x14ac:dyDescent="0.25">
      <c r="P3350">
        <f t="shared" si="52"/>
        <v>1900</v>
      </c>
    </row>
    <row r="3351" spans="16:16" x14ac:dyDescent="0.25">
      <c r="P3351">
        <f t="shared" si="52"/>
        <v>1900</v>
      </c>
    </row>
    <row r="3352" spans="16:16" x14ac:dyDescent="0.25">
      <c r="P3352">
        <f t="shared" si="52"/>
        <v>1900</v>
      </c>
    </row>
    <row r="3353" spans="16:16" x14ac:dyDescent="0.25">
      <c r="P3353">
        <f t="shared" si="52"/>
        <v>1900</v>
      </c>
    </row>
    <row r="3354" spans="16:16" x14ac:dyDescent="0.25">
      <c r="P3354">
        <f t="shared" si="52"/>
        <v>1900</v>
      </c>
    </row>
    <row r="3355" spans="16:16" x14ac:dyDescent="0.25">
      <c r="P3355">
        <f t="shared" si="52"/>
        <v>1900</v>
      </c>
    </row>
    <row r="3356" spans="16:16" x14ac:dyDescent="0.25">
      <c r="P3356">
        <f t="shared" si="52"/>
        <v>1900</v>
      </c>
    </row>
    <row r="3357" spans="16:16" x14ac:dyDescent="0.25">
      <c r="P3357">
        <f t="shared" si="52"/>
        <v>1900</v>
      </c>
    </row>
    <row r="3358" spans="16:16" x14ac:dyDescent="0.25">
      <c r="P3358">
        <f t="shared" si="52"/>
        <v>1900</v>
      </c>
    </row>
    <row r="3359" spans="16:16" x14ac:dyDescent="0.25">
      <c r="P3359">
        <f t="shared" si="52"/>
        <v>1900</v>
      </c>
    </row>
    <row r="3360" spans="16:16" x14ac:dyDescent="0.25">
      <c r="P3360">
        <f t="shared" si="52"/>
        <v>1900</v>
      </c>
    </row>
    <row r="3361" spans="16:16" x14ac:dyDescent="0.25">
      <c r="P3361">
        <f t="shared" si="52"/>
        <v>1900</v>
      </c>
    </row>
    <row r="3362" spans="16:16" x14ac:dyDescent="0.25">
      <c r="P3362">
        <f t="shared" si="52"/>
        <v>1900</v>
      </c>
    </row>
    <row r="3363" spans="16:16" x14ac:dyDescent="0.25">
      <c r="P3363">
        <f t="shared" si="52"/>
        <v>1900</v>
      </c>
    </row>
    <row r="3364" spans="16:16" x14ac:dyDescent="0.25">
      <c r="P3364">
        <f t="shared" si="52"/>
        <v>1900</v>
      </c>
    </row>
    <row r="3365" spans="16:16" x14ac:dyDescent="0.25">
      <c r="P3365">
        <f t="shared" si="52"/>
        <v>1900</v>
      </c>
    </row>
    <row r="3366" spans="16:16" x14ac:dyDescent="0.25">
      <c r="P3366">
        <f t="shared" si="52"/>
        <v>1900</v>
      </c>
    </row>
    <row r="3367" spans="16:16" x14ac:dyDescent="0.25">
      <c r="P3367">
        <f t="shared" si="52"/>
        <v>1900</v>
      </c>
    </row>
    <row r="3368" spans="16:16" x14ac:dyDescent="0.25">
      <c r="P3368">
        <f t="shared" si="52"/>
        <v>1900</v>
      </c>
    </row>
    <row r="3369" spans="16:16" x14ac:dyDescent="0.25">
      <c r="P3369">
        <f t="shared" si="52"/>
        <v>1900</v>
      </c>
    </row>
    <row r="3370" spans="16:16" x14ac:dyDescent="0.25">
      <c r="P3370">
        <f t="shared" si="52"/>
        <v>1900</v>
      </c>
    </row>
    <row r="3371" spans="16:16" x14ac:dyDescent="0.25">
      <c r="P3371">
        <f t="shared" si="52"/>
        <v>1900</v>
      </c>
    </row>
    <row r="3372" spans="16:16" x14ac:dyDescent="0.25">
      <c r="P3372">
        <f t="shared" si="52"/>
        <v>1900</v>
      </c>
    </row>
    <row r="3373" spans="16:16" x14ac:dyDescent="0.25">
      <c r="P3373">
        <f t="shared" si="52"/>
        <v>1900</v>
      </c>
    </row>
    <row r="3374" spans="16:16" x14ac:dyDescent="0.25">
      <c r="P3374">
        <f t="shared" si="52"/>
        <v>1900</v>
      </c>
    </row>
    <row r="3375" spans="16:16" x14ac:dyDescent="0.25">
      <c r="P3375">
        <f t="shared" si="52"/>
        <v>1900</v>
      </c>
    </row>
    <row r="3376" spans="16:16" x14ac:dyDescent="0.25">
      <c r="P3376">
        <f t="shared" si="52"/>
        <v>1900</v>
      </c>
    </row>
    <row r="3377" spans="16:16" x14ac:dyDescent="0.25">
      <c r="P3377">
        <f t="shared" si="52"/>
        <v>1900</v>
      </c>
    </row>
    <row r="3378" spans="16:16" x14ac:dyDescent="0.25">
      <c r="P3378">
        <f t="shared" si="52"/>
        <v>1900</v>
      </c>
    </row>
    <row r="3379" spans="16:16" x14ac:dyDescent="0.25">
      <c r="P3379">
        <f t="shared" si="52"/>
        <v>1900</v>
      </c>
    </row>
    <row r="3380" spans="16:16" x14ac:dyDescent="0.25">
      <c r="P3380">
        <f t="shared" si="52"/>
        <v>1900</v>
      </c>
    </row>
    <row r="3381" spans="16:16" x14ac:dyDescent="0.25">
      <c r="P3381">
        <f t="shared" si="52"/>
        <v>1900</v>
      </c>
    </row>
    <row r="3382" spans="16:16" x14ac:dyDescent="0.25">
      <c r="P3382">
        <f t="shared" si="52"/>
        <v>1900</v>
      </c>
    </row>
    <row r="3383" spans="16:16" x14ac:dyDescent="0.25">
      <c r="P3383">
        <f t="shared" si="52"/>
        <v>1900</v>
      </c>
    </row>
    <row r="3384" spans="16:16" x14ac:dyDescent="0.25">
      <c r="P3384">
        <f t="shared" si="52"/>
        <v>1900</v>
      </c>
    </row>
    <row r="3385" spans="16:16" x14ac:dyDescent="0.25">
      <c r="P3385">
        <f t="shared" si="52"/>
        <v>1900</v>
      </c>
    </row>
    <row r="3386" spans="16:16" x14ac:dyDescent="0.25">
      <c r="P3386">
        <f t="shared" si="52"/>
        <v>1900</v>
      </c>
    </row>
    <row r="3387" spans="16:16" x14ac:dyDescent="0.25">
      <c r="P3387">
        <f t="shared" si="52"/>
        <v>1900</v>
      </c>
    </row>
    <row r="3388" spans="16:16" x14ac:dyDescent="0.25">
      <c r="P3388">
        <f t="shared" si="52"/>
        <v>1900</v>
      </c>
    </row>
    <row r="3389" spans="16:16" x14ac:dyDescent="0.25">
      <c r="P3389">
        <f t="shared" si="52"/>
        <v>1900</v>
      </c>
    </row>
    <row r="3390" spans="16:16" x14ac:dyDescent="0.25">
      <c r="P3390">
        <f t="shared" si="52"/>
        <v>1900</v>
      </c>
    </row>
    <row r="3391" spans="16:16" x14ac:dyDescent="0.25">
      <c r="P3391">
        <f t="shared" si="52"/>
        <v>1900</v>
      </c>
    </row>
    <row r="3392" spans="16:16" x14ac:dyDescent="0.25">
      <c r="P3392">
        <f t="shared" si="52"/>
        <v>1900</v>
      </c>
    </row>
    <row r="3393" spans="16:16" x14ac:dyDescent="0.25">
      <c r="P3393">
        <f t="shared" si="52"/>
        <v>1900</v>
      </c>
    </row>
    <row r="3394" spans="16:16" x14ac:dyDescent="0.25">
      <c r="P3394">
        <f t="shared" ref="P3394:P3457" si="53">IFERROR(YEAR(D3394),"")</f>
        <v>1900</v>
      </c>
    </row>
    <row r="3395" spans="16:16" x14ac:dyDescent="0.25">
      <c r="P3395">
        <f t="shared" si="53"/>
        <v>1900</v>
      </c>
    </row>
    <row r="3396" spans="16:16" x14ac:dyDescent="0.25">
      <c r="P3396">
        <f t="shared" si="53"/>
        <v>1900</v>
      </c>
    </row>
    <row r="3397" spans="16:16" x14ac:dyDescent="0.25">
      <c r="P3397">
        <f t="shared" si="53"/>
        <v>1900</v>
      </c>
    </row>
    <row r="3398" spans="16:16" x14ac:dyDescent="0.25">
      <c r="P3398">
        <f t="shared" si="53"/>
        <v>1900</v>
      </c>
    </row>
    <row r="3399" spans="16:16" x14ac:dyDescent="0.25">
      <c r="P3399">
        <f t="shared" si="53"/>
        <v>1900</v>
      </c>
    </row>
    <row r="3400" spans="16:16" x14ac:dyDescent="0.25">
      <c r="P3400">
        <f t="shared" si="53"/>
        <v>1900</v>
      </c>
    </row>
    <row r="3401" spans="16:16" x14ac:dyDescent="0.25">
      <c r="P3401">
        <f t="shared" si="53"/>
        <v>1900</v>
      </c>
    </row>
    <row r="3402" spans="16:16" x14ac:dyDescent="0.25">
      <c r="P3402">
        <f t="shared" si="53"/>
        <v>1900</v>
      </c>
    </row>
    <row r="3403" spans="16:16" x14ac:dyDescent="0.25">
      <c r="P3403">
        <f t="shared" si="53"/>
        <v>1900</v>
      </c>
    </row>
    <row r="3404" spans="16:16" x14ac:dyDescent="0.25">
      <c r="P3404">
        <f t="shared" si="53"/>
        <v>1900</v>
      </c>
    </row>
    <row r="3405" spans="16:16" x14ac:dyDescent="0.25">
      <c r="P3405">
        <f t="shared" si="53"/>
        <v>1900</v>
      </c>
    </row>
    <row r="3406" spans="16:16" x14ac:dyDescent="0.25">
      <c r="P3406">
        <f t="shared" si="53"/>
        <v>1900</v>
      </c>
    </row>
    <row r="3407" spans="16:16" x14ac:dyDescent="0.25">
      <c r="P3407">
        <f t="shared" si="53"/>
        <v>1900</v>
      </c>
    </row>
    <row r="3408" spans="16:16" x14ac:dyDescent="0.25">
      <c r="P3408">
        <f t="shared" si="53"/>
        <v>1900</v>
      </c>
    </row>
    <row r="3409" spans="16:16" x14ac:dyDescent="0.25">
      <c r="P3409">
        <f t="shared" si="53"/>
        <v>1900</v>
      </c>
    </row>
    <row r="3410" spans="16:16" x14ac:dyDescent="0.25">
      <c r="P3410">
        <f t="shared" si="53"/>
        <v>1900</v>
      </c>
    </row>
    <row r="3411" spans="16:16" x14ac:dyDescent="0.25">
      <c r="P3411">
        <f t="shared" si="53"/>
        <v>1900</v>
      </c>
    </row>
    <row r="3412" spans="16:16" x14ac:dyDescent="0.25">
      <c r="P3412">
        <f t="shared" si="53"/>
        <v>1900</v>
      </c>
    </row>
    <row r="3413" spans="16:16" x14ac:dyDescent="0.25">
      <c r="P3413">
        <f t="shared" si="53"/>
        <v>1900</v>
      </c>
    </row>
    <row r="3414" spans="16:16" x14ac:dyDescent="0.25">
      <c r="P3414">
        <f t="shared" si="53"/>
        <v>1900</v>
      </c>
    </row>
    <row r="3415" spans="16:16" x14ac:dyDescent="0.25">
      <c r="P3415">
        <f t="shared" si="53"/>
        <v>1900</v>
      </c>
    </row>
    <row r="3416" spans="16:16" x14ac:dyDescent="0.25">
      <c r="P3416">
        <f t="shared" si="53"/>
        <v>1900</v>
      </c>
    </row>
    <row r="3417" spans="16:16" x14ac:dyDescent="0.25">
      <c r="P3417">
        <f t="shared" si="53"/>
        <v>1900</v>
      </c>
    </row>
    <row r="3418" spans="16:16" x14ac:dyDescent="0.25">
      <c r="P3418">
        <f t="shared" si="53"/>
        <v>1900</v>
      </c>
    </row>
    <row r="3419" spans="16:16" x14ac:dyDescent="0.25">
      <c r="P3419">
        <f t="shared" si="53"/>
        <v>1900</v>
      </c>
    </row>
    <row r="3420" spans="16:16" x14ac:dyDescent="0.25">
      <c r="P3420">
        <f t="shared" si="53"/>
        <v>1900</v>
      </c>
    </row>
    <row r="3421" spans="16:16" x14ac:dyDescent="0.25">
      <c r="P3421">
        <f t="shared" si="53"/>
        <v>1900</v>
      </c>
    </row>
    <row r="3422" spans="16:16" x14ac:dyDescent="0.25">
      <c r="P3422">
        <f t="shared" si="53"/>
        <v>1900</v>
      </c>
    </row>
    <row r="3423" spans="16:16" x14ac:dyDescent="0.25">
      <c r="P3423">
        <f t="shared" si="53"/>
        <v>1900</v>
      </c>
    </row>
    <row r="3424" spans="16:16" x14ac:dyDescent="0.25">
      <c r="P3424">
        <f t="shared" si="53"/>
        <v>1900</v>
      </c>
    </row>
    <row r="3425" spans="16:16" x14ac:dyDescent="0.25">
      <c r="P3425">
        <f t="shared" si="53"/>
        <v>1900</v>
      </c>
    </row>
    <row r="3426" spans="16:16" x14ac:dyDescent="0.25">
      <c r="P3426">
        <f t="shared" si="53"/>
        <v>1900</v>
      </c>
    </row>
    <row r="3427" spans="16:16" x14ac:dyDescent="0.25">
      <c r="P3427">
        <f t="shared" si="53"/>
        <v>1900</v>
      </c>
    </row>
    <row r="3428" spans="16:16" x14ac:dyDescent="0.25">
      <c r="P3428">
        <f t="shared" si="53"/>
        <v>1900</v>
      </c>
    </row>
    <row r="3429" spans="16:16" x14ac:dyDescent="0.25">
      <c r="P3429">
        <f t="shared" si="53"/>
        <v>1900</v>
      </c>
    </row>
    <row r="3430" spans="16:16" x14ac:dyDescent="0.25">
      <c r="P3430">
        <f t="shared" si="53"/>
        <v>1900</v>
      </c>
    </row>
    <row r="3431" spans="16:16" x14ac:dyDescent="0.25">
      <c r="P3431">
        <f t="shared" si="53"/>
        <v>1900</v>
      </c>
    </row>
    <row r="3432" spans="16:16" x14ac:dyDescent="0.25">
      <c r="P3432">
        <f t="shared" si="53"/>
        <v>1900</v>
      </c>
    </row>
    <row r="3433" spans="16:16" x14ac:dyDescent="0.25">
      <c r="P3433">
        <f t="shared" si="53"/>
        <v>1900</v>
      </c>
    </row>
    <row r="3434" spans="16:16" x14ac:dyDescent="0.25">
      <c r="P3434">
        <f t="shared" si="53"/>
        <v>1900</v>
      </c>
    </row>
    <row r="3435" spans="16:16" x14ac:dyDescent="0.25">
      <c r="P3435">
        <f t="shared" si="53"/>
        <v>1900</v>
      </c>
    </row>
    <row r="3436" spans="16:16" x14ac:dyDescent="0.25">
      <c r="P3436">
        <f t="shared" si="53"/>
        <v>1900</v>
      </c>
    </row>
    <row r="3437" spans="16:16" x14ac:dyDescent="0.25">
      <c r="P3437">
        <f t="shared" si="53"/>
        <v>1900</v>
      </c>
    </row>
    <row r="3438" spans="16:16" x14ac:dyDescent="0.25">
      <c r="P3438">
        <f t="shared" si="53"/>
        <v>1900</v>
      </c>
    </row>
    <row r="3439" spans="16:16" x14ac:dyDescent="0.25">
      <c r="P3439">
        <f t="shared" si="53"/>
        <v>1900</v>
      </c>
    </row>
    <row r="3440" spans="16:16" x14ac:dyDescent="0.25">
      <c r="P3440">
        <f t="shared" si="53"/>
        <v>1900</v>
      </c>
    </row>
    <row r="3441" spans="16:16" x14ac:dyDescent="0.25">
      <c r="P3441">
        <f t="shared" si="53"/>
        <v>1900</v>
      </c>
    </row>
    <row r="3442" spans="16:16" x14ac:dyDescent="0.25">
      <c r="P3442">
        <f t="shared" si="53"/>
        <v>1900</v>
      </c>
    </row>
    <row r="3443" spans="16:16" x14ac:dyDescent="0.25">
      <c r="P3443">
        <f t="shared" si="53"/>
        <v>1900</v>
      </c>
    </row>
    <row r="3444" spans="16:16" x14ac:dyDescent="0.25">
      <c r="P3444">
        <f t="shared" si="53"/>
        <v>1900</v>
      </c>
    </row>
    <row r="3445" spans="16:16" x14ac:dyDescent="0.25">
      <c r="P3445">
        <f t="shared" si="53"/>
        <v>1900</v>
      </c>
    </row>
    <row r="3446" spans="16:16" x14ac:dyDescent="0.25">
      <c r="P3446">
        <f t="shared" si="53"/>
        <v>1900</v>
      </c>
    </row>
    <row r="3447" spans="16:16" x14ac:dyDescent="0.25">
      <c r="P3447">
        <f t="shared" si="53"/>
        <v>1900</v>
      </c>
    </row>
    <row r="3448" spans="16:16" x14ac:dyDescent="0.25">
      <c r="P3448">
        <f t="shared" si="53"/>
        <v>1900</v>
      </c>
    </row>
    <row r="3449" spans="16:16" x14ac:dyDescent="0.25">
      <c r="P3449">
        <f t="shared" si="53"/>
        <v>1900</v>
      </c>
    </row>
    <row r="3450" spans="16:16" x14ac:dyDescent="0.25">
      <c r="P3450">
        <f t="shared" si="53"/>
        <v>1900</v>
      </c>
    </row>
    <row r="3451" spans="16:16" x14ac:dyDescent="0.25">
      <c r="P3451">
        <f t="shared" si="53"/>
        <v>1900</v>
      </c>
    </row>
    <row r="3452" spans="16:16" x14ac:dyDescent="0.25">
      <c r="P3452">
        <f t="shared" si="53"/>
        <v>1900</v>
      </c>
    </row>
    <row r="3453" spans="16:16" x14ac:dyDescent="0.25">
      <c r="P3453">
        <f t="shared" si="53"/>
        <v>1900</v>
      </c>
    </row>
    <row r="3454" spans="16:16" x14ac:dyDescent="0.25">
      <c r="P3454">
        <f t="shared" si="53"/>
        <v>1900</v>
      </c>
    </row>
    <row r="3455" spans="16:16" x14ac:dyDescent="0.25">
      <c r="P3455">
        <f t="shared" si="53"/>
        <v>1900</v>
      </c>
    </row>
    <row r="3456" spans="16:16" x14ac:dyDescent="0.25">
      <c r="P3456">
        <f t="shared" si="53"/>
        <v>1900</v>
      </c>
    </row>
    <row r="3457" spans="16:16" x14ac:dyDescent="0.25">
      <c r="P3457">
        <f t="shared" si="53"/>
        <v>1900</v>
      </c>
    </row>
    <row r="3458" spans="16:16" x14ac:dyDescent="0.25">
      <c r="P3458">
        <f t="shared" ref="P3458:P3521" si="54">IFERROR(YEAR(D3458),"")</f>
        <v>1900</v>
      </c>
    </row>
    <row r="3459" spans="16:16" x14ac:dyDescent="0.25">
      <c r="P3459">
        <f t="shared" si="54"/>
        <v>1900</v>
      </c>
    </row>
    <row r="3460" spans="16:16" x14ac:dyDescent="0.25">
      <c r="P3460">
        <f t="shared" si="54"/>
        <v>1900</v>
      </c>
    </row>
    <row r="3461" spans="16:16" x14ac:dyDescent="0.25">
      <c r="P3461">
        <f t="shared" si="54"/>
        <v>1900</v>
      </c>
    </row>
    <row r="3462" spans="16:16" x14ac:dyDescent="0.25">
      <c r="P3462">
        <f t="shared" si="54"/>
        <v>1900</v>
      </c>
    </row>
    <row r="3463" spans="16:16" x14ac:dyDescent="0.25">
      <c r="P3463">
        <f t="shared" si="54"/>
        <v>1900</v>
      </c>
    </row>
    <row r="3464" spans="16:16" x14ac:dyDescent="0.25">
      <c r="P3464">
        <f t="shared" si="54"/>
        <v>1900</v>
      </c>
    </row>
    <row r="3465" spans="16:16" x14ac:dyDescent="0.25">
      <c r="P3465">
        <f t="shared" si="54"/>
        <v>1900</v>
      </c>
    </row>
    <row r="3466" spans="16:16" x14ac:dyDescent="0.25">
      <c r="P3466">
        <f t="shared" si="54"/>
        <v>1900</v>
      </c>
    </row>
    <row r="3467" spans="16:16" x14ac:dyDescent="0.25">
      <c r="P3467">
        <f t="shared" si="54"/>
        <v>1900</v>
      </c>
    </row>
    <row r="3468" spans="16:16" x14ac:dyDescent="0.25">
      <c r="P3468">
        <f t="shared" si="54"/>
        <v>1900</v>
      </c>
    </row>
    <row r="3469" spans="16:16" x14ac:dyDescent="0.25">
      <c r="P3469">
        <f t="shared" si="54"/>
        <v>1900</v>
      </c>
    </row>
    <row r="3470" spans="16:16" x14ac:dyDescent="0.25">
      <c r="P3470">
        <f t="shared" si="54"/>
        <v>1900</v>
      </c>
    </row>
    <row r="3471" spans="16:16" x14ac:dyDescent="0.25">
      <c r="P3471">
        <f t="shared" si="54"/>
        <v>1900</v>
      </c>
    </row>
    <row r="3472" spans="16:16" x14ac:dyDescent="0.25">
      <c r="P3472">
        <f t="shared" si="54"/>
        <v>1900</v>
      </c>
    </row>
    <row r="3473" spans="16:16" x14ac:dyDescent="0.25">
      <c r="P3473">
        <f t="shared" si="54"/>
        <v>1900</v>
      </c>
    </row>
    <row r="3474" spans="16:16" x14ac:dyDescent="0.25">
      <c r="P3474">
        <f t="shared" si="54"/>
        <v>1900</v>
      </c>
    </row>
    <row r="3475" spans="16:16" x14ac:dyDescent="0.25">
      <c r="P3475">
        <f t="shared" si="54"/>
        <v>1900</v>
      </c>
    </row>
    <row r="3476" spans="16:16" x14ac:dyDescent="0.25">
      <c r="P3476">
        <f t="shared" si="54"/>
        <v>1900</v>
      </c>
    </row>
    <row r="3477" spans="16:16" x14ac:dyDescent="0.25">
      <c r="P3477">
        <f t="shared" si="54"/>
        <v>1900</v>
      </c>
    </row>
    <row r="3478" spans="16:16" x14ac:dyDescent="0.25">
      <c r="P3478">
        <f t="shared" si="54"/>
        <v>1900</v>
      </c>
    </row>
    <row r="3479" spans="16:16" x14ac:dyDescent="0.25">
      <c r="P3479">
        <f t="shared" si="54"/>
        <v>1900</v>
      </c>
    </row>
    <row r="3480" spans="16:16" x14ac:dyDescent="0.25">
      <c r="P3480">
        <f t="shared" si="54"/>
        <v>1900</v>
      </c>
    </row>
    <row r="3481" spans="16:16" x14ac:dyDescent="0.25">
      <c r="P3481">
        <f t="shared" si="54"/>
        <v>1900</v>
      </c>
    </row>
    <row r="3482" spans="16:16" x14ac:dyDescent="0.25">
      <c r="P3482">
        <f t="shared" si="54"/>
        <v>1900</v>
      </c>
    </row>
    <row r="3483" spans="16:16" x14ac:dyDescent="0.25">
      <c r="P3483">
        <f t="shared" si="54"/>
        <v>1900</v>
      </c>
    </row>
    <row r="3484" spans="16:16" x14ac:dyDescent="0.25">
      <c r="P3484">
        <f t="shared" si="54"/>
        <v>1900</v>
      </c>
    </row>
    <row r="3485" spans="16:16" x14ac:dyDescent="0.25">
      <c r="P3485">
        <f t="shared" si="54"/>
        <v>1900</v>
      </c>
    </row>
    <row r="3486" spans="16:16" x14ac:dyDescent="0.25">
      <c r="P3486">
        <f t="shared" si="54"/>
        <v>1900</v>
      </c>
    </row>
    <row r="3487" spans="16:16" x14ac:dyDescent="0.25">
      <c r="P3487">
        <f t="shared" si="54"/>
        <v>1900</v>
      </c>
    </row>
    <row r="3488" spans="16:16" x14ac:dyDescent="0.25">
      <c r="P3488">
        <f t="shared" si="54"/>
        <v>1900</v>
      </c>
    </row>
    <row r="3489" spans="16:16" x14ac:dyDescent="0.25">
      <c r="P3489">
        <f t="shared" si="54"/>
        <v>1900</v>
      </c>
    </row>
    <row r="3490" spans="16:16" x14ac:dyDescent="0.25">
      <c r="P3490">
        <f t="shared" si="54"/>
        <v>1900</v>
      </c>
    </row>
    <row r="3491" spans="16:16" x14ac:dyDescent="0.25">
      <c r="P3491">
        <f t="shared" si="54"/>
        <v>1900</v>
      </c>
    </row>
    <row r="3492" spans="16:16" x14ac:dyDescent="0.25">
      <c r="P3492">
        <f t="shared" si="54"/>
        <v>1900</v>
      </c>
    </row>
    <row r="3493" spans="16:16" x14ac:dyDescent="0.25">
      <c r="P3493">
        <f t="shared" si="54"/>
        <v>1900</v>
      </c>
    </row>
    <row r="3494" spans="16:16" x14ac:dyDescent="0.25">
      <c r="P3494">
        <f t="shared" si="54"/>
        <v>1900</v>
      </c>
    </row>
    <row r="3495" spans="16:16" x14ac:dyDescent="0.25">
      <c r="P3495">
        <f t="shared" si="54"/>
        <v>1900</v>
      </c>
    </row>
    <row r="3496" spans="16:16" x14ac:dyDescent="0.25">
      <c r="P3496">
        <f t="shared" si="54"/>
        <v>1900</v>
      </c>
    </row>
    <row r="3497" spans="16:16" x14ac:dyDescent="0.25">
      <c r="P3497">
        <f t="shared" si="54"/>
        <v>1900</v>
      </c>
    </row>
    <row r="3498" spans="16:16" x14ac:dyDescent="0.25">
      <c r="P3498">
        <f t="shared" si="54"/>
        <v>1900</v>
      </c>
    </row>
    <row r="3499" spans="16:16" x14ac:dyDescent="0.25">
      <c r="P3499">
        <f t="shared" si="54"/>
        <v>1900</v>
      </c>
    </row>
    <row r="3500" spans="16:16" x14ac:dyDescent="0.25">
      <c r="P3500">
        <f t="shared" si="54"/>
        <v>1900</v>
      </c>
    </row>
    <row r="3501" spans="16:16" x14ac:dyDescent="0.25">
      <c r="P3501">
        <f t="shared" si="54"/>
        <v>1900</v>
      </c>
    </row>
    <row r="3502" spans="16:16" x14ac:dyDescent="0.25">
      <c r="P3502">
        <f t="shared" si="54"/>
        <v>1900</v>
      </c>
    </row>
    <row r="3503" spans="16:16" x14ac:dyDescent="0.25">
      <c r="P3503">
        <f t="shared" si="54"/>
        <v>1900</v>
      </c>
    </row>
    <row r="3504" spans="16:16" x14ac:dyDescent="0.25">
      <c r="P3504">
        <f t="shared" si="54"/>
        <v>1900</v>
      </c>
    </row>
    <row r="3505" spans="16:16" x14ac:dyDescent="0.25">
      <c r="P3505">
        <f t="shared" si="54"/>
        <v>1900</v>
      </c>
    </row>
    <row r="3506" spans="16:16" x14ac:dyDescent="0.25">
      <c r="P3506">
        <f t="shared" si="54"/>
        <v>1900</v>
      </c>
    </row>
    <row r="3507" spans="16:16" x14ac:dyDescent="0.25">
      <c r="P3507">
        <f t="shared" si="54"/>
        <v>1900</v>
      </c>
    </row>
    <row r="3508" spans="16:16" x14ac:dyDescent="0.25">
      <c r="P3508">
        <f t="shared" si="54"/>
        <v>1900</v>
      </c>
    </row>
    <row r="3509" spans="16:16" x14ac:dyDescent="0.25">
      <c r="P3509">
        <f t="shared" si="54"/>
        <v>1900</v>
      </c>
    </row>
    <row r="3510" spans="16:16" x14ac:dyDescent="0.25">
      <c r="P3510">
        <f t="shared" si="54"/>
        <v>1900</v>
      </c>
    </row>
    <row r="3511" spans="16:16" x14ac:dyDescent="0.25">
      <c r="P3511">
        <f t="shared" si="54"/>
        <v>1900</v>
      </c>
    </row>
    <row r="3512" spans="16:16" x14ac:dyDescent="0.25">
      <c r="P3512">
        <f t="shared" si="54"/>
        <v>1900</v>
      </c>
    </row>
    <row r="3513" spans="16:16" x14ac:dyDescent="0.25">
      <c r="P3513">
        <f t="shared" si="54"/>
        <v>1900</v>
      </c>
    </row>
    <row r="3514" spans="16:16" x14ac:dyDescent="0.25">
      <c r="P3514">
        <f t="shared" si="54"/>
        <v>1900</v>
      </c>
    </row>
    <row r="3515" spans="16:16" x14ac:dyDescent="0.25">
      <c r="P3515">
        <f t="shared" si="54"/>
        <v>1900</v>
      </c>
    </row>
    <row r="3516" spans="16:16" x14ac:dyDescent="0.25">
      <c r="P3516">
        <f t="shared" si="54"/>
        <v>1900</v>
      </c>
    </row>
    <row r="3517" spans="16:16" x14ac:dyDescent="0.25">
      <c r="P3517">
        <f t="shared" si="54"/>
        <v>1900</v>
      </c>
    </row>
    <row r="3518" spans="16:16" x14ac:dyDescent="0.25">
      <c r="P3518">
        <f t="shared" si="54"/>
        <v>1900</v>
      </c>
    </row>
    <row r="3519" spans="16:16" x14ac:dyDescent="0.25">
      <c r="P3519">
        <f t="shared" si="54"/>
        <v>1900</v>
      </c>
    </row>
    <row r="3520" spans="16:16" x14ac:dyDescent="0.25">
      <c r="P3520">
        <f t="shared" si="54"/>
        <v>1900</v>
      </c>
    </row>
    <row r="3521" spans="16:16" x14ac:dyDescent="0.25">
      <c r="P3521">
        <f t="shared" si="54"/>
        <v>1900</v>
      </c>
    </row>
    <row r="3522" spans="16:16" x14ac:dyDescent="0.25">
      <c r="P3522">
        <f t="shared" ref="P3522:P3585" si="55">IFERROR(YEAR(D3522),"")</f>
        <v>1900</v>
      </c>
    </row>
    <row r="3523" spans="16:16" x14ac:dyDescent="0.25">
      <c r="P3523">
        <f t="shared" si="55"/>
        <v>1900</v>
      </c>
    </row>
    <row r="3524" spans="16:16" x14ac:dyDescent="0.25">
      <c r="P3524">
        <f t="shared" si="55"/>
        <v>1900</v>
      </c>
    </row>
    <row r="3525" spans="16:16" x14ac:dyDescent="0.25">
      <c r="P3525">
        <f t="shared" si="55"/>
        <v>1900</v>
      </c>
    </row>
    <row r="3526" spans="16:16" x14ac:dyDescent="0.25">
      <c r="P3526">
        <f t="shared" si="55"/>
        <v>1900</v>
      </c>
    </row>
    <row r="3527" spans="16:16" x14ac:dyDescent="0.25">
      <c r="P3527">
        <f t="shared" si="55"/>
        <v>1900</v>
      </c>
    </row>
    <row r="3528" spans="16:16" x14ac:dyDescent="0.25">
      <c r="P3528">
        <f t="shared" si="55"/>
        <v>1900</v>
      </c>
    </row>
    <row r="3529" spans="16:16" x14ac:dyDescent="0.25">
      <c r="P3529">
        <f t="shared" si="55"/>
        <v>1900</v>
      </c>
    </row>
    <row r="3530" spans="16:16" x14ac:dyDescent="0.25">
      <c r="P3530">
        <f t="shared" si="55"/>
        <v>1900</v>
      </c>
    </row>
    <row r="3531" spans="16:16" x14ac:dyDescent="0.25">
      <c r="P3531">
        <f t="shared" si="55"/>
        <v>1900</v>
      </c>
    </row>
    <row r="3532" spans="16:16" x14ac:dyDescent="0.25">
      <c r="P3532">
        <f t="shared" si="55"/>
        <v>1900</v>
      </c>
    </row>
    <row r="3533" spans="16:16" x14ac:dyDescent="0.25">
      <c r="P3533">
        <f t="shared" si="55"/>
        <v>1900</v>
      </c>
    </row>
    <row r="3534" spans="16:16" x14ac:dyDescent="0.25">
      <c r="P3534">
        <f t="shared" si="55"/>
        <v>1900</v>
      </c>
    </row>
    <row r="3535" spans="16:16" x14ac:dyDescent="0.25">
      <c r="P3535">
        <f t="shared" si="55"/>
        <v>1900</v>
      </c>
    </row>
    <row r="3536" spans="16:16" x14ac:dyDescent="0.25">
      <c r="P3536">
        <f t="shared" si="55"/>
        <v>1900</v>
      </c>
    </row>
    <row r="3537" spans="16:16" x14ac:dyDescent="0.25">
      <c r="P3537">
        <f t="shared" si="55"/>
        <v>1900</v>
      </c>
    </row>
    <row r="3538" spans="16:16" x14ac:dyDescent="0.25">
      <c r="P3538">
        <f t="shared" si="55"/>
        <v>1900</v>
      </c>
    </row>
    <row r="3539" spans="16:16" x14ac:dyDescent="0.25">
      <c r="P3539">
        <f t="shared" si="55"/>
        <v>1900</v>
      </c>
    </row>
    <row r="3540" spans="16:16" x14ac:dyDescent="0.25">
      <c r="P3540">
        <f t="shared" si="55"/>
        <v>1900</v>
      </c>
    </row>
    <row r="3541" spans="16:16" x14ac:dyDescent="0.25">
      <c r="P3541">
        <f t="shared" si="55"/>
        <v>1900</v>
      </c>
    </row>
    <row r="3542" spans="16:16" x14ac:dyDescent="0.25">
      <c r="P3542">
        <f t="shared" si="55"/>
        <v>1900</v>
      </c>
    </row>
    <row r="3543" spans="16:16" x14ac:dyDescent="0.25">
      <c r="P3543">
        <f t="shared" si="55"/>
        <v>1900</v>
      </c>
    </row>
    <row r="3544" spans="16:16" x14ac:dyDescent="0.25">
      <c r="P3544">
        <f t="shared" si="55"/>
        <v>1900</v>
      </c>
    </row>
    <row r="3545" spans="16:16" x14ac:dyDescent="0.25">
      <c r="P3545">
        <f t="shared" si="55"/>
        <v>1900</v>
      </c>
    </row>
    <row r="3546" spans="16:16" x14ac:dyDescent="0.25">
      <c r="P3546">
        <f t="shared" si="55"/>
        <v>1900</v>
      </c>
    </row>
    <row r="3547" spans="16:16" x14ac:dyDescent="0.25">
      <c r="P3547">
        <f t="shared" si="55"/>
        <v>1900</v>
      </c>
    </row>
    <row r="3548" spans="16:16" x14ac:dyDescent="0.25">
      <c r="P3548">
        <f t="shared" si="55"/>
        <v>1900</v>
      </c>
    </row>
    <row r="3549" spans="16:16" x14ac:dyDescent="0.25">
      <c r="P3549">
        <f t="shared" si="55"/>
        <v>1900</v>
      </c>
    </row>
    <row r="3550" spans="16:16" x14ac:dyDescent="0.25">
      <c r="P3550">
        <f t="shared" si="55"/>
        <v>1900</v>
      </c>
    </row>
    <row r="3551" spans="16:16" x14ac:dyDescent="0.25">
      <c r="P3551">
        <f t="shared" si="55"/>
        <v>1900</v>
      </c>
    </row>
    <row r="3552" spans="16:16" x14ac:dyDescent="0.25">
      <c r="P3552">
        <f t="shared" si="55"/>
        <v>1900</v>
      </c>
    </row>
    <row r="3553" spans="16:16" x14ac:dyDescent="0.25">
      <c r="P3553">
        <f t="shared" si="55"/>
        <v>1900</v>
      </c>
    </row>
    <row r="3554" spans="16:16" x14ac:dyDescent="0.25">
      <c r="P3554">
        <f t="shared" si="55"/>
        <v>1900</v>
      </c>
    </row>
    <row r="3555" spans="16:16" x14ac:dyDescent="0.25">
      <c r="P3555">
        <f t="shared" si="55"/>
        <v>1900</v>
      </c>
    </row>
    <row r="3556" spans="16:16" x14ac:dyDescent="0.25">
      <c r="P3556">
        <f t="shared" si="55"/>
        <v>1900</v>
      </c>
    </row>
    <row r="3557" spans="16:16" x14ac:dyDescent="0.25">
      <c r="P3557">
        <f t="shared" si="55"/>
        <v>1900</v>
      </c>
    </row>
    <row r="3558" spans="16:16" x14ac:dyDescent="0.25">
      <c r="P3558">
        <f t="shared" si="55"/>
        <v>1900</v>
      </c>
    </row>
    <row r="3559" spans="16:16" x14ac:dyDescent="0.25">
      <c r="P3559">
        <f t="shared" si="55"/>
        <v>1900</v>
      </c>
    </row>
    <row r="3560" spans="16:16" x14ac:dyDescent="0.25">
      <c r="P3560">
        <f t="shared" si="55"/>
        <v>1900</v>
      </c>
    </row>
    <row r="3561" spans="16:16" x14ac:dyDescent="0.25">
      <c r="P3561">
        <f t="shared" si="55"/>
        <v>1900</v>
      </c>
    </row>
    <row r="3562" spans="16:16" x14ac:dyDescent="0.25">
      <c r="P3562">
        <f t="shared" si="55"/>
        <v>1900</v>
      </c>
    </row>
    <row r="3563" spans="16:16" x14ac:dyDescent="0.25">
      <c r="P3563">
        <f t="shared" si="55"/>
        <v>1900</v>
      </c>
    </row>
    <row r="3564" spans="16:16" x14ac:dyDescent="0.25">
      <c r="P3564">
        <f t="shared" si="55"/>
        <v>1900</v>
      </c>
    </row>
    <row r="3565" spans="16:16" x14ac:dyDescent="0.25">
      <c r="P3565">
        <f t="shared" si="55"/>
        <v>1900</v>
      </c>
    </row>
    <row r="3566" spans="16:16" x14ac:dyDescent="0.25">
      <c r="P3566">
        <f t="shared" si="55"/>
        <v>1900</v>
      </c>
    </row>
    <row r="3567" spans="16:16" x14ac:dyDescent="0.25">
      <c r="P3567">
        <f t="shared" si="55"/>
        <v>1900</v>
      </c>
    </row>
    <row r="3568" spans="16:16" x14ac:dyDescent="0.25">
      <c r="P3568">
        <f t="shared" si="55"/>
        <v>1900</v>
      </c>
    </row>
    <row r="3569" spans="16:16" x14ac:dyDescent="0.25">
      <c r="P3569">
        <f t="shared" si="55"/>
        <v>1900</v>
      </c>
    </row>
    <row r="3570" spans="16:16" x14ac:dyDescent="0.25">
      <c r="P3570">
        <f t="shared" si="55"/>
        <v>1900</v>
      </c>
    </row>
    <row r="3571" spans="16:16" x14ac:dyDescent="0.25">
      <c r="P3571">
        <f t="shared" si="55"/>
        <v>1900</v>
      </c>
    </row>
    <row r="3572" spans="16:16" x14ac:dyDescent="0.25">
      <c r="P3572">
        <f t="shared" si="55"/>
        <v>1900</v>
      </c>
    </row>
    <row r="3573" spans="16:16" x14ac:dyDescent="0.25">
      <c r="P3573">
        <f t="shared" si="55"/>
        <v>1900</v>
      </c>
    </row>
    <row r="3574" spans="16:16" x14ac:dyDescent="0.25">
      <c r="P3574">
        <f t="shared" si="55"/>
        <v>1900</v>
      </c>
    </row>
    <row r="3575" spans="16:16" x14ac:dyDescent="0.25">
      <c r="P3575">
        <f t="shared" si="55"/>
        <v>1900</v>
      </c>
    </row>
    <row r="3576" spans="16:16" x14ac:dyDescent="0.25">
      <c r="P3576">
        <f t="shared" si="55"/>
        <v>1900</v>
      </c>
    </row>
    <row r="3577" spans="16:16" x14ac:dyDescent="0.25">
      <c r="P3577">
        <f t="shared" si="55"/>
        <v>1900</v>
      </c>
    </row>
    <row r="3578" spans="16:16" x14ac:dyDescent="0.25">
      <c r="P3578">
        <f t="shared" si="55"/>
        <v>1900</v>
      </c>
    </row>
    <row r="3579" spans="16:16" x14ac:dyDescent="0.25">
      <c r="P3579">
        <f t="shared" si="55"/>
        <v>1900</v>
      </c>
    </row>
    <row r="3580" spans="16:16" x14ac:dyDescent="0.25">
      <c r="P3580">
        <f t="shared" si="55"/>
        <v>1900</v>
      </c>
    </row>
    <row r="3581" spans="16:16" x14ac:dyDescent="0.25">
      <c r="P3581">
        <f t="shared" si="55"/>
        <v>1900</v>
      </c>
    </row>
    <row r="3582" spans="16:16" x14ac:dyDescent="0.25">
      <c r="P3582">
        <f t="shared" si="55"/>
        <v>1900</v>
      </c>
    </row>
    <row r="3583" spans="16:16" x14ac:dyDescent="0.25">
      <c r="P3583">
        <f t="shared" si="55"/>
        <v>1900</v>
      </c>
    </row>
    <row r="3584" spans="16:16" x14ac:dyDescent="0.25">
      <c r="P3584">
        <f t="shared" si="55"/>
        <v>1900</v>
      </c>
    </row>
    <row r="3585" spans="16:16" x14ac:dyDescent="0.25">
      <c r="P3585">
        <f t="shared" si="55"/>
        <v>1900</v>
      </c>
    </row>
    <row r="3586" spans="16:16" x14ac:dyDescent="0.25">
      <c r="P3586">
        <f t="shared" ref="P3586:P3649" si="56">IFERROR(YEAR(D3586),"")</f>
        <v>1900</v>
      </c>
    </row>
    <row r="3587" spans="16:16" x14ac:dyDescent="0.25">
      <c r="P3587">
        <f t="shared" si="56"/>
        <v>1900</v>
      </c>
    </row>
    <row r="3588" spans="16:16" x14ac:dyDescent="0.25">
      <c r="P3588">
        <f t="shared" si="56"/>
        <v>1900</v>
      </c>
    </row>
    <row r="3589" spans="16:16" x14ac:dyDescent="0.25">
      <c r="P3589">
        <f t="shared" si="56"/>
        <v>1900</v>
      </c>
    </row>
    <row r="3590" spans="16:16" x14ac:dyDescent="0.25">
      <c r="P3590">
        <f t="shared" si="56"/>
        <v>1900</v>
      </c>
    </row>
    <row r="3591" spans="16:16" x14ac:dyDescent="0.25">
      <c r="P3591">
        <f t="shared" si="56"/>
        <v>1900</v>
      </c>
    </row>
    <row r="3592" spans="16:16" x14ac:dyDescent="0.25">
      <c r="P3592">
        <f t="shared" si="56"/>
        <v>1900</v>
      </c>
    </row>
    <row r="3593" spans="16:16" x14ac:dyDescent="0.25">
      <c r="P3593">
        <f t="shared" si="56"/>
        <v>1900</v>
      </c>
    </row>
    <row r="3594" spans="16:16" x14ac:dyDescent="0.25">
      <c r="P3594">
        <f t="shared" si="56"/>
        <v>1900</v>
      </c>
    </row>
    <row r="3595" spans="16:16" x14ac:dyDescent="0.25">
      <c r="P3595">
        <f t="shared" si="56"/>
        <v>1900</v>
      </c>
    </row>
    <row r="3596" spans="16:16" x14ac:dyDescent="0.25">
      <c r="P3596">
        <f t="shared" si="56"/>
        <v>1900</v>
      </c>
    </row>
    <row r="3597" spans="16:16" x14ac:dyDescent="0.25">
      <c r="P3597">
        <f t="shared" si="56"/>
        <v>1900</v>
      </c>
    </row>
    <row r="3598" spans="16:16" x14ac:dyDescent="0.25">
      <c r="P3598">
        <f t="shared" si="56"/>
        <v>1900</v>
      </c>
    </row>
    <row r="3599" spans="16:16" x14ac:dyDescent="0.25">
      <c r="P3599">
        <f t="shared" si="56"/>
        <v>1900</v>
      </c>
    </row>
    <row r="3600" spans="16:16" x14ac:dyDescent="0.25">
      <c r="P3600">
        <f t="shared" si="56"/>
        <v>1900</v>
      </c>
    </row>
    <row r="3601" spans="16:16" x14ac:dyDescent="0.25">
      <c r="P3601">
        <f t="shared" si="56"/>
        <v>1900</v>
      </c>
    </row>
    <row r="3602" spans="16:16" x14ac:dyDescent="0.25">
      <c r="P3602">
        <f t="shared" si="56"/>
        <v>1900</v>
      </c>
    </row>
    <row r="3603" spans="16:16" x14ac:dyDescent="0.25">
      <c r="P3603">
        <f t="shared" si="56"/>
        <v>1900</v>
      </c>
    </row>
    <row r="3604" spans="16:16" x14ac:dyDescent="0.25">
      <c r="P3604">
        <f t="shared" si="56"/>
        <v>1900</v>
      </c>
    </row>
    <row r="3605" spans="16:16" x14ac:dyDescent="0.25">
      <c r="P3605">
        <f t="shared" si="56"/>
        <v>1900</v>
      </c>
    </row>
    <row r="3606" spans="16:16" x14ac:dyDescent="0.25">
      <c r="P3606">
        <f t="shared" si="56"/>
        <v>1900</v>
      </c>
    </row>
    <row r="3607" spans="16:16" x14ac:dyDescent="0.25">
      <c r="P3607">
        <f t="shared" si="56"/>
        <v>1900</v>
      </c>
    </row>
    <row r="3608" spans="16:16" x14ac:dyDescent="0.25">
      <c r="P3608">
        <f t="shared" si="56"/>
        <v>1900</v>
      </c>
    </row>
    <row r="3609" spans="16:16" x14ac:dyDescent="0.25">
      <c r="P3609">
        <f t="shared" si="56"/>
        <v>1900</v>
      </c>
    </row>
    <row r="3610" spans="16:16" x14ac:dyDescent="0.25">
      <c r="P3610">
        <f t="shared" si="56"/>
        <v>1900</v>
      </c>
    </row>
    <row r="3611" spans="16:16" x14ac:dyDescent="0.25">
      <c r="P3611">
        <f t="shared" si="56"/>
        <v>1900</v>
      </c>
    </row>
    <row r="3612" spans="16:16" x14ac:dyDescent="0.25">
      <c r="P3612">
        <f t="shared" si="56"/>
        <v>1900</v>
      </c>
    </row>
    <row r="3613" spans="16:16" x14ac:dyDescent="0.25">
      <c r="P3613">
        <f t="shared" si="56"/>
        <v>1900</v>
      </c>
    </row>
    <row r="3614" spans="16:16" x14ac:dyDescent="0.25">
      <c r="P3614">
        <f t="shared" si="56"/>
        <v>1900</v>
      </c>
    </row>
    <row r="3615" spans="16:16" x14ac:dyDescent="0.25">
      <c r="P3615">
        <f t="shared" si="56"/>
        <v>1900</v>
      </c>
    </row>
    <row r="3616" spans="16:16" x14ac:dyDescent="0.25">
      <c r="P3616">
        <f t="shared" si="56"/>
        <v>1900</v>
      </c>
    </row>
    <row r="3617" spans="16:16" x14ac:dyDescent="0.25">
      <c r="P3617">
        <f t="shared" si="56"/>
        <v>1900</v>
      </c>
    </row>
    <row r="3618" spans="16:16" x14ac:dyDescent="0.25">
      <c r="P3618">
        <f t="shared" si="56"/>
        <v>1900</v>
      </c>
    </row>
    <row r="3619" spans="16:16" x14ac:dyDescent="0.25">
      <c r="P3619">
        <f t="shared" si="56"/>
        <v>1900</v>
      </c>
    </row>
    <row r="3620" spans="16:16" x14ac:dyDescent="0.25">
      <c r="P3620">
        <f t="shared" si="56"/>
        <v>1900</v>
      </c>
    </row>
    <row r="3621" spans="16:16" x14ac:dyDescent="0.25">
      <c r="P3621">
        <f t="shared" si="56"/>
        <v>1900</v>
      </c>
    </row>
    <row r="3622" spans="16:16" x14ac:dyDescent="0.25">
      <c r="P3622">
        <f t="shared" si="56"/>
        <v>1900</v>
      </c>
    </row>
    <row r="3623" spans="16:16" x14ac:dyDescent="0.25">
      <c r="P3623">
        <f t="shared" si="56"/>
        <v>1900</v>
      </c>
    </row>
    <row r="3624" spans="16:16" x14ac:dyDescent="0.25">
      <c r="P3624">
        <f t="shared" si="56"/>
        <v>1900</v>
      </c>
    </row>
    <row r="3625" spans="16:16" x14ac:dyDescent="0.25">
      <c r="P3625">
        <f t="shared" si="56"/>
        <v>1900</v>
      </c>
    </row>
    <row r="3626" spans="16:16" x14ac:dyDescent="0.25">
      <c r="P3626">
        <f t="shared" si="56"/>
        <v>1900</v>
      </c>
    </row>
    <row r="3627" spans="16:16" x14ac:dyDescent="0.25">
      <c r="P3627">
        <f t="shared" si="56"/>
        <v>1900</v>
      </c>
    </row>
    <row r="3628" spans="16:16" x14ac:dyDescent="0.25">
      <c r="P3628">
        <f t="shared" si="56"/>
        <v>1900</v>
      </c>
    </row>
    <row r="3629" spans="16:16" x14ac:dyDescent="0.25">
      <c r="P3629">
        <f t="shared" si="56"/>
        <v>1900</v>
      </c>
    </row>
    <row r="3630" spans="16:16" x14ac:dyDescent="0.25">
      <c r="P3630">
        <f t="shared" si="56"/>
        <v>1900</v>
      </c>
    </row>
    <row r="3631" spans="16:16" x14ac:dyDescent="0.25">
      <c r="P3631">
        <f t="shared" si="56"/>
        <v>1900</v>
      </c>
    </row>
    <row r="3632" spans="16:16" x14ac:dyDescent="0.25">
      <c r="P3632">
        <f t="shared" si="56"/>
        <v>1900</v>
      </c>
    </row>
    <row r="3633" spans="16:16" x14ac:dyDescent="0.25">
      <c r="P3633">
        <f t="shared" si="56"/>
        <v>1900</v>
      </c>
    </row>
    <row r="3634" spans="16:16" x14ac:dyDescent="0.25">
      <c r="P3634">
        <f t="shared" si="56"/>
        <v>1900</v>
      </c>
    </row>
    <row r="3635" spans="16:16" x14ac:dyDescent="0.25">
      <c r="P3635">
        <f t="shared" si="56"/>
        <v>1900</v>
      </c>
    </row>
    <row r="3636" spans="16:16" x14ac:dyDescent="0.25">
      <c r="P3636">
        <f t="shared" si="56"/>
        <v>1900</v>
      </c>
    </row>
    <row r="3637" spans="16:16" x14ac:dyDescent="0.25">
      <c r="P3637">
        <f t="shared" si="56"/>
        <v>1900</v>
      </c>
    </row>
    <row r="3638" spans="16:16" x14ac:dyDescent="0.25">
      <c r="P3638">
        <f t="shared" si="56"/>
        <v>1900</v>
      </c>
    </row>
    <row r="3639" spans="16:16" x14ac:dyDescent="0.25">
      <c r="P3639">
        <f t="shared" si="56"/>
        <v>1900</v>
      </c>
    </row>
    <row r="3640" spans="16:16" x14ac:dyDescent="0.25">
      <c r="P3640">
        <f t="shared" si="56"/>
        <v>1900</v>
      </c>
    </row>
    <row r="3641" spans="16:16" x14ac:dyDescent="0.25">
      <c r="P3641">
        <f t="shared" si="56"/>
        <v>1900</v>
      </c>
    </row>
    <row r="3642" spans="16:16" x14ac:dyDescent="0.25">
      <c r="P3642">
        <f t="shared" si="56"/>
        <v>1900</v>
      </c>
    </row>
    <row r="3643" spans="16:16" x14ac:dyDescent="0.25">
      <c r="P3643">
        <f t="shared" si="56"/>
        <v>1900</v>
      </c>
    </row>
    <row r="3644" spans="16:16" x14ac:dyDescent="0.25">
      <c r="P3644">
        <f t="shared" si="56"/>
        <v>1900</v>
      </c>
    </row>
    <row r="3645" spans="16:16" x14ac:dyDescent="0.25">
      <c r="P3645">
        <f t="shared" si="56"/>
        <v>1900</v>
      </c>
    </row>
    <row r="3646" spans="16:16" x14ac:dyDescent="0.25">
      <c r="P3646">
        <f t="shared" si="56"/>
        <v>1900</v>
      </c>
    </row>
    <row r="3647" spans="16:16" x14ac:dyDescent="0.25">
      <c r="P3647">
        <f t="shared" si="56"/>
        <v>1900</v>
      </c>
    </row>
    <row r="3648" spans="16:16" x14ac:dyDescent="0.25">
      <c r="P3648">
        <f t="shared" si="56"/>
        <v>1900</v>
      </c>
    </row>
    <row r="3649" spans="16:16" x14ac:dyDescent="0.25">
      <c r="P3649">
        <f t="shared" si="56"/>
        <v>1900</v>
      </c>
    </row>
    <row r="3650" spans="16:16" x14ac:dyDescent="0.25">
      <c r="P3650">
        <f t="shared" ref="P3650:P3713" si="57">IFERROR(YEAR(D3650),"")</f>
        <v>1900</v>
      </c>
    </row>
    <row r="3651" spans="16:16" x14ac:dyDescent="0.25">
      <c r="P3651">
        <f t="shared" si="57"/>
        <v>1900</v>
      </c>
    </row>
    <row r="3652" spans="16:16" x14ac:dyDescent="0.25">
      <c r="P3652">
        <f t="shared" si="57"/>
        <v>1900</v>
      </c>
    </row>
    <row r="3653" spans="16:16" x14ac:dyDescent="0.25">
      <c r="P3653">
        <f t="shared" si="57"/>
        <v>1900</v>
      </c>
    </row>
    <row r="3654" spans="16:16" x14ac:dyDescent="0.25">
      <c r="P3654">
        <f t="shared" si="57"/>
        <v>1900</v>
      </c>
    </row>
    <row r="3655" spans="16:16" x14ac:dyDescent="0.25">
      <c r="P3655">
        <f t="shared" si="57"/>
        <v>1900</v>
      </c>
    </row>
    <row r="3656" spans="16:16" x14ac:dyDescent="0.25">
      <c r="P3656">
        <f t="shared" si="57"/>
        <v>1900</v>
      </c>
    </row>
    <row r="3657" spans="16:16" x14ac:dyDescent="0.25">
      <c r="P3657">
        <f t="shared" si="57"/>
        <v>1900</v>
      </c>
    </row>
    <row r="3658" spans="16:16" x14ac:dyDescent="0.25">
      <c r="P3658">
        <f t="shared" si="57"/>
        <v>1900</v>
      </c>
    </row>
    <row r="3659" spans="16:16" x14ac:dyDescent="0.25">
      <c r="P3659">
        <f t="shared" si="57"/>
        <v>1900</v>
      </c>
    </row>
    <row r="3660" spans="16:16" x14ac:dyDescent="0.25">
      <c r="P3660">
        <f t="shared" si="57"/>
        <v>1900</v>
      </c>
    </row>
    <row r="3661" spans="16:16" x14ac:dyDescent="0.25">
      <c r="P3661">
        <f t="shared" si="57"/>
        <v>1900</v>
      </c>
    </row>
    <row r="3662" spans="16:16" x14ac:dyDescent="0.25">
      <c r="P3662">
        <f t="shared" si="57"/>
        <v>1900</v>
      </c>
    </row>
    <row r="3663" spans="16:16" x14ac:dyDescent="0.25">
      <c r="P3663">
        <f t="shared" si="57"/>
        <v>1900</v>
      </c>
    </row>
    <row r="3664" spans="16:16" x14ac:dyDescent="0.25">
      <c r="P3664">
        <f t="shared" si="57"/>
        <v>1900</v>
      </c>
    </row>
    <row r="3665" spans="16:16" x14ac:dyDescent="0.25">
      <c r="P3665">
        <f t="shared" si="57"/>
        <v>1900</v>
      </c>
    </row>
    <row r="3666" spans="16:16" x14ac:dyDescent="0.25">
      <c r="P3666">
        <f t="shared" si="57"/>
        <v>1900</v>
      </c>
    </row>
    <row r="3667" spans="16:16" x14ac:dyDescent="0.25">
      <c r="P3667">
        <f t="shared" si="57"/>
        <v>1900</v>
      </c>
    </row>
    <row r="3668" spans="16:16" x14ac:dyDescent="0.25">
      <c r="P3668">
        <f t="shared" si="57"/>
        <v>1900</v>
      </c>
    </row>
    <row r="3669" spans="16:16" x14ac:dyDescent="0.25">
      <c r="P3669">
        <f t="shared" si="57"/>
        <v>1900</v>
      </c>
    </row>
    <row r="3670" spans="16:16" x14ac:dyDescent="0.25">
      <c r="P3670">
        <f t="shared" si="57"/>
        <v>1900</v>
      </c>
    </row>
    <row r="3671" spans="16:16" x14ac:dyDescent="0.25">
      <c r="P3671">
        <f t="shared" si="57"/>
        <v>1900</v>
      </c>
    </row>
    <row r="3672" spans="16:16" x14ac:dyDescent="0.25">
      <c r="P3672">
        <f t="shared" si="57"/>
        <v>1900</v>
      </c>
    </row>
    <row r="3673" spans="16:16" x14ac:dyDescent="0.25">
      <c r="P3673">
        <f t="shared" si="57"/>
        <v>1900</v>
      </c>
    </row>
    <row r="3674" spans="16:16" x14ac:dyDescent="0.25">
      <c r="P3674">
        <f t="shared" si="57"/>
        <v>1900</v>
      </c>
    </row>
    <row r="3675" spans="16:16" x14ac:dyDescent="0.25">
      <c r="P3675">
        <f t="shared" si="57"/>
        <v>1900</v>
      </c>
    </row>
    <row r="3676" spans="16:16" x14ac:dyDescent="0.25">
      <c r="P3676">
        <f t="shared" si="57"/>
        <v>1900</v>
      </c>
    </row>
    <row r="3677" spans="16:16" x14ac:dyDescent="0.25">
      <c r="P3677">
        <f t="shared" si="57"/>
        <v>1900</v>
      </c>
    </row>
    <row r="3678" spans="16:16" x14ac:dyDescent="0.25">
      <c r="P3678">
        <f t="shared" si="57"/>
        <v>1900</v>
      </c>
    </row>
    <row r="3679" spans="16:16" x14ac:dyDescent="0.25">
      <c r="P3679">
        <f t="shared" si="57"/>
        <v>1900</v>
      </c>
    </row>
    <row r="3680" spans="16:16" x14ac:dyDescent="0.25">
      <c r="P3680">
        <f t="shared" si="57"/>
        <v>1900</v>
      </c>
    </row>
    <row r="3681" spans="16:16" x14ac:dyDescent="0.25">
      <c r="P3681">
        <f t="shared" si="57"/>
        <v>1900</v>
      </c>
    </row>
    <row r="3682" spans="16:16" x14ac:dyDescent="0.25">
      <c r="P3682">
        <f t="shared" si="57"/>
        <v>1900</v>
      </c>
    </row>
    <row r="3683" spans="16:16" x14ac:dyDescent="0.25">
      <c r="P3683">
        <f t="shared" si="57"/>
        <v>1900</v>
      </c>
    </row>
    <row r="3684" spans="16:16" x14ac:dyDescent="0.25">
      <c r="P3684">
        <f t="shared" si="57"/>
        <v>1900</v>
      </c>
    </row>
    <row r="3685" spans="16:16" x14ac:dyDescent="0.25">
      <c r="P3685">
        <f t="shared" si="57"/>
        <v>1900</v>
      </c>
    </row>
    <row r="3686" spans="16:16" x14ac:dyDescent="0.25">
      <c r="P3686">
        <f t="shared" si="57"/>
        <v>1900</v>
      </c>
    </row>
    <row r="3687" spans="16:16" x14ac:dyDescent="0.25">
      <c r="P3687">
        <f t="shared" si="57"/>
        <v>1900</v>
      </c>
    </row>
    <row r="3688" spans="16:16" x14ac:dyDescent="0.25">
      <c r="P3688">
        <f t="shared" si="57"/>
        <v>1900</v>
      </c>
    </row>
    <row r="3689" spans="16:16" x14ac:dyDescent="0.25">
      <c r="P3689">
        <f t="shared" si="57"/>
        <v>1900</v>
      </c>
    </row>
    <row r="3690" spans="16:16" x14ac:dyDescent="0.25">
      <c r="P3690">
        <f t="shared" si="57"/>
        <v>1900</v>
      </c>
    </row>
    <row r="3691" spans="16:16" x14ac:dyDescent="0.25">
      <c r="P3691">
        <f t="shared" si="57"/>
        <v>1900</v>
      </c>
    </row>
    <row r="3692" spans="16:16" x14ac:dyDescent="0.25">
      <c r="P3692">
        <f t="shared" si="57"/>
        <v>1900</v>
      </c>
    </row>
    <row r="3693" spans="16:16" x14ac:dyDescent="0.25">
      <c r="P3693">
        <f t="shared" si="57"/>
        <v>1900</v>
      </c>
    </row>
    <row r="3694" spans="16:16" x14ac:dyDescent="0.25">
      <c r="P3694">
        <f t="shared" si="57"/>
        <v>1900</v>
      </c>
    </row>
    <row r="3695" spans="16:16" x14ac:dyDescent="0.25">
      <c r="P3695">
        <f t="shared" si="57"/>
        <v>1900</v>
      </c>
    </row>
    <row r="3696" spans="16:16" x14ac:dyDescent="0.25">
      <c r="P3696">
        <f t="shared" si="57"/>
        <v>1900</v>
      </c>
    </row>
    <row r="3697" spans="16:16" x14ac:dyDescent="0.25">
      <c r="P3697">
        <f t="shared" si="57"/>
        <v>1900</v>
      </c>
    </row>
    <row r="3698" spans="16:16" x14ac:dyDescent="0.25">
      <c r="P3698">
        <f t="shared" si="57"/>
        <v>1900</v>
      </c>
    </row>
    <row r="3699" spans="16:16" x14ac:dyDescent="0.25">
      <c r="P3699">
        <f t="shared" si="57"/>
        <v>1900</v>
      </c>
    </row>
    <row r="3700" spans="16:16" x14ac:dyDescent="0.25">
      <c r="P3700">
        <f t="shared" si="57"/>
        <v>1900</v>
      </c>
    </row>
    <row r="3701" spans="16:16" x14ac:dyDescent="0.25">
      <c r="P3701">
        <f t="shared" si="57"/>
        <v>1900</v>
      </c>
    </row>
    <row r="3702" spans="16:16" x14ac:dyDescent="0.25">
      <c r="P3702">
        <f t="shared" si="57"/>
        <v>1900</v>
      </c>
    </row>
    <row r="3703" spans="16:16" x14ac:dyDescent="0.25">
      <c r="P3703">
        <f t="shared" si="57"/>
        <v>1900</v>
      </c>
    </row>
    <row r="3704" spans="16:16" x14ac:dyDescent="0.25">
      <c r="P3704">
        <f t="shared" si="57"/>
        <v>1900</v>
      </c>
    </row>
    <row r="3705" spans="16:16" x14ac:dyDescent="0.25">
      <c r="P3705">
        <f t="shared" si="57"/>
        <v>1900</v>
      </c>
    </row>
    <row r="3706" spans="16:16" x14ac:dyDescent="0.25">
      <c r="P3706">
        <f t="shared" si="57"/>
        <v>1900</v>
      </c>
    </row>
    <row r="3707" spans="16:16" x14ac:dyDescent="0.25">
      <c r="P3707">
        <f t="shared" si="57"/>
        <v>1900</v>
      </c>
    </row>
    <row r="3708" spans="16:16" x14ac:dyDescent="0.25">
      <c r="P3708">
        <f t="shared" si="57"/>
        <v>1900</v>
      </c>
    </row>
    <row r="3709" spans="16:16" x14ac:dyDescent="0.25">
      <c r="P3709">
        <f t="shared" si="57"/>
        <v>1900</v>
      </c>
    </row>
    <row r="3710" spans="16:16" x14ac:dyDescent="0.25">
      <c r="P3710">
        <f t="shared" si="57"/>
        <v>1900</v>
      </c>
    </row>
    <row r="3711" spans="16:16" x14ac:dyDescent="0.25">
      <c r="P3711">
        <f t="shared" si="57"/>
        <v>1900</v>
      </c>
    </row>
    <row r="3712" spans="16:16" x14ac:dyDescent="0.25">
      <c r="P3712">
        <f t="shared" si="57"/>
        <v>1900</v>
      </c>
    </row>
    <row r="3713" spans="16:16" x14ac:dyDescent="0.25">
      <c r="P3713">
        <f t="shared" si="57"/>
        <v>1900</v>
      </c>
    </row>
    <row r="3714" spans="16:16" x14ac:dyDescent="0.25">
      <c r="P3714">
        <f t="shared" ref="P3714:P3777" si="58">IFERROR(YEAR(D3714),"")</f>
        <v>1900</v>
      </c>
    </row>
    <row r="3715" spans="16:16" x14ac:dyDescent="0.25">
      <c r="P3715">
        <f t="shared" si="58"/>
        <v>1900</v>
      </c>
    </row>
    <row r="3716" spans="16:16" x14ac:dyDescent="0.25">
      <c r="P3716">
        <f t="shared" si="58"/>
        <v>1900</v>
      </c>
    </row>
    <row r="3717" spans="16:16" x14ac:dyDescent="0.25">
      <c r="P3717">
        <f t="shared" si="58"/>
        <v>1900</v>
      </c>
    </row>
    <row r="3718" spans="16:16" x14ac:dyDescent="0.25">
      <c r="P3718">
        <f t="shared" si="58"/>
        <v>1900</v>
      </c>
    </row>
    <row r="3719" spans="16:16" x14ac:dyDescent="0.25">
      <c r="P3719">
        <f t="shared" si="58"/>
        <v>1900</v>
      </c>
    </row>
    <row r="3720" spans="16:16" x14ac:dyDescent="0.25">
      <c r="P3720">
        <f t="shared" si="58"/>
        <v>1900</v>
      </c>
    </row>
    <row r="3721" spans="16:16" x14ac:dyDescent="0.25">
      <c r="P3721">
        <f t="shared" si="58"/>
        <v>1900</v>
      </c>
    </row>
    <row r="3722" spans="16:16" x14ac:dyDescent="0.25">
      <c r="P3722">
        <f t="shared" si="58"/>
        <v>1900</v>
      </c>
    </row>
    <row r="3723" spans="16:16" x14ac:dyDescent="0.25">
      <c r="P3723">
        <f t="shared" si="58"/>
        <v>1900</v>
      </c>
    </row>
    <row r="3724" spans="16:16" x14ac:dyDescent="0.25">
      <c r="P3724">
        <f t="shared" si="58"/>
        <v>1900</v>
      </c>
    </row>
    <row r="3725" spans="16:16" x14ac:dyDescent="0.25">
      <c r="P3725">
        <f t="shared" si="58"/>
        <v>1900</v>
      </c>
    </row>
    <row r="3726" spans="16:16" x14ac:dyDescent="0.25">
      <c r="P3726">
        <f t="shared" si="58"/>
        <v>1900</v>
      </c>
    </row>
    <row r="3727" spans="16:16" x14ac:dyDescent="0.25">
      <c r="P3727">
        <f t="shared" si="58"/>
        <v>1900</v>
      </c>
    </row>
    <row r="3728" spans="16:16" x14ac:dyDescent="0.25">
      <c r="P3728">
        <f t="shared" si="58"/>
        <v>1900</v>
      </c>
    </row>
    <row r="3729" spans="16:16" x14ac:dyDescent="0.25">
      <c r="P3729">
        <f t="shared" si="58"/>
        <v>1900</v>
      </c>
    </row>
    <row r="3730" spans="16:16" x14ac:dyDescent="0.25">
      <c r="P3730">
        <f t="shared" si="58"/>
        <v>1900</v>
      </c>
    </row>
    <row r="3731" spans="16:16" x14ac:dyDescent="0.25">
      <c r="P3731">
        <f t="shared" si="58"/>
        <v>1900</v>
      </c>
    </row>
    <row r="3732" spans="16:16" x14ac:dyDescent="0.25">
      <c r="P3732">
        <f t="shared" si="58"/>
        <v>1900</v>
      </c>
    </row>
    <row r="3733" spans="16:16" x14ac:dyDescent="0.25">
      <c r="P3733">
        <f t="shared" si="58"/>
        <v>1900</v>
      </c>
    </row>
    <row r="3734" spans="16:16" x14ac:dyDescent="0.25">
      <c r="P3734">
        <f t="shared" si="58"/>
        <v>1900</v>
      </c>
    </row>
    <row r="3735" spans="16:16" x14ac:dyDescent="0.25">
      <c r="P3735">
        <f t="shared" si="58"/>
        <v>1900</v>
      </c>
    </row>
    <row r="3736" spans="16:16" x14ac:dyDescent="0.25">
      <c r="P3736">
        <f t="shared" si="58"/>
        <v>1900</v>
      </c>
    </row>
    <row r="3737" spans="16:16" x14ac:dyDescent="0.25">
      <c r="P3737">
        <f t="shared" si="58"/>
        <v>1900</v>
      </c>
    </row>
    <row r="3738" spans="16:16" x14ac:dyDescent="0.25">
      <c r="P3738">
        <f t="shared" si="58"/>
        <v>1900</v>
      </c>
    </row>
    <row r="3739" spans="16:16" x14ac:dyDescent="0.25">
      <c r="P3739">
        <f t="shared" si="58"/>
        <v>1900</v>
      </c>
    </row>
    <row r="3740" spans="16:16" x14ac:dyDescent="0.25">
      <c r="P3740">
        <f t="shared" si="58"/>
        <v>1900</v>
      </c>
    </row>
    <row r="3741" spans="16:16" x14ac:dyDescent="0.25">
      <c r="P3741">
        <f t="shared" si="58"/>
        <v>1900</v>
      </c>
    </row>
    <row r="3742" spans="16:16" x14ac:dyDescent="0.25">
      <c r="P3742">
        <f t="shared" si="58"/>
        <v>1900</v>
      </c>
    </row>
    <row r="3743" spans="16:16" x14ac:dyDescent="0.25">
      <c r="P3743">
        <f t="shared" si="58"/>
        <v>1900</v>
      </c>
    </row>
    <row r="3744" spans="16:16" x14ac:dyDescent="0.25">
      <c r="P3744">
        <f t="shared" si="58"/>
        <v>1900</v>
      </c>
    </row>
    <row r="3745" spans="16:16" x14ac:dyDescent="0.25">
      <c r="P3745">
        <f t="shared" si="58"/>
        <v>1900</v>
      </c>
    </row>
    <row r="3746" spans="16:16" x14ac:dyDescent="0.25">
      <c r="P3746">
        <f t="shared" si="58"/>
        <v>1900</v>
      </c>
    </row>
    <row r="3747" spans="16:16" x14ac:dyDescent="0.25">
      <c r="P3747">
        <f t="shared" si="58"/>
        <v>1900</v>
      </c>
    </row>
    <row r="3748" spans="16:16" x14ac:dyDescent="0.25">
      <c r="P3748">
        <f t="shared" si="58"/>
        <v>1900</v>
      </c>
    </row>
    <row r="3749" spans="16:16" x14ac:dyDescent="0.25">
      <c r="P3749">
        <f t="shared" si="58"/>
        <v>1900</v>
      </c>
    </row>
    <row r="3750" spans="16:16" x14ac:dyDescent="0.25">
      <c r="P3750">
        <f t="shared" si="58"/>
        <v>1900</v>
      </c>
    </row>
    <row r="3751" spans="16:16" x14ac:dyDescent="0.25">
      <c r="P3751">
        <f t="shared" si="58"/>
        <v>1900</v>
      </c>
    </row>
    <row r="3752" spans="16:16" x14ac:dyDescent="0.25">
      <c r="P3752">
        <f t="shared" si="58"/>
        <v>1900</v>
      </c>
    </row>
    <row r="3753" spans="16:16" x14ac:dyDescent="0.25">
      <c r="P3753">
        <f t="shared" si="58"/>
        <v>1900</v>
      </c>
    </row>
    <row r="3754" spans="16:16" x14ac:dyDescent="0.25">
      <c r="P3754">
        <f t="shared" si="58"/>
        <v>1900</v>
      </c>
    </row>
    <row r="3755" spans="16:16" x14ac:dyDescent="0.25">
      <c r="P3755">
        <f t="shared" si="58"/>
        <v>1900</v>
      </c>
    </row>
    <row r="3756" spans="16:16" x14ac:dyDescent="0.25">
      <c r="P3756">
        <f t="shared" si="58"/>
        <v>1900</v>
      </c>
    </row>
    <row r="3757" spans="16:16" x14ac:dyDescent="0.25">
      <c r="P3757">
        <f t="shared" si="58"/>
        <v>1900</v>
      </c>
    </row>
    <row r="3758" spans="16:16" x14ac:dyDescent="0.25">
      <c r="P3758">
        <f t="shared" si="58"/>
        <v>1900</v>
      </c>
    </row>
    <row r="3759" spans="16:16" x14ac:dyDescent="0.25">
      <c r="P3759">
        <f t="shared" si="58"/>
        <v>1900</v>
      </c>
    </row>
    <row r="3760" spans="16:16" x14ac:dyDescent="0.25">
      <c r="P3760">
        <f t="shared" si="58"/>
        <v>1900</v>
      </c>
    </row>
    <row r="3761" spans="16:16" x14ac:dyDescent="0.25">
      <c r="P3761">
        <f t="shared" si="58"/>
        <v>1900</v>
      </c>
    </row>
    <row r="3762" spans="16:16" x14ac:dyDescent="0.25">
      <c r="P3762">
        <f t="shared" si="58"/>
        <v>1900</v>
      </c>
    </row>
    <row r="3763" spans="16:16" x14ac:dyDescent="0.25">
      <c r="P3763">
        <f t="shared" si="58"/>
        <v>1900</v>
      </c>
    </row>
    <row r="3764" spans="16:16" x14ac:dyDescent="0.25">
      <c r="P3764">
        <f t="shared" si="58"/>
        <v>1900</v>
      </c>
    </row>
    <row r="3765" spans="16:16" x14ac:dyDescent="0.25">
      <c r="P3765">
        <f t="shared" si="58"/>
        <v>1900</v>
      </c>
    </row>
    <row r="3766" spans="16:16" x14ac:dyDescent="0.25">
      <c r="P3766">
        <f t="shared" si="58"/>
        <v>1900</v>
      </c>
    </row>
    <row r="3767" spans="16:16" x14ac:dyDescent="0.25">
      <c r="P3767">
        <f t="shared" si="58"/>
        <v>1900</v>
      </c>
    </row>
    <row r="3768" spans="16:16" x14ac:dyDescent="0.25">
      <c r="P3768">
        <f t="shared" si="58"/>
        <v>1900</v>
      </c>
    </row>
    <row r="3769" spans="16:16" x14ac:dyDescent="0.25">
      <c r="P3769">
        <f t="shared" si="58"/>
        <v>1900</v>
      </c>
    </row>
    <row r="3770" spans="16:16" x14ac:dyDescent="0.25">
      <c r="P3770">
        <f t="shared" si="58"/>
        <v>1900</v>
      </c>
    </row>
    <row r="3771" spans="16:16" x14ac:dyDescent="0.25">
      <c r="P3771">
        <f t="shared" si="58"/>
        <v>1900</v>
      </c>
    </row>
    <row r="3772" spans="16:16" x14ac:dyDescent="0.25">
      <c r="P3772">
        <f t="shared" si="58"/>
        <v>1900</v>
      </c>
    </row>
    <row r="3773" spans="16:16" x14ac:dyDescent="0.25">
      <c r="P3773">
        <f t="shared" si="58"/>
        <v>1900</v>
      </c>
    </row>
    <row r="3774" spans="16:16" x14ac:dyDescent="0.25">
      <c r="P3774">
        <f t="shared" si="58"/>
        <v>1900</v>
      </c>
    </row>
    <row r="3775" spans="16:16" x14ac:dyDescent="0.25">
      <c r="P3775">
        <f t="shared" si="58"/>
        <v>1900</v>
      </c>
    </row>
    <row r="3776" spans="16:16" x14ac:dyDescent="0.25">
      <c r="P3776">
        <f t="shared" si="58"/>
        <v>1900</v>
      </c>
    </row>
    <row r="3777" spans="16:16" x14ac:dyDescent="0.25">
      <c r="P3777">
        <f t="shared" si="58"/>
        <v>1900</v>
      </c>
    </row>
    <row r="3778" spans="16:16" x14ac:dyDescent="0.25">
      <c r="P3778">
        <f t="shared" ref="P3778:P3841" si="59">IFERROR(YEAR(D3778),"")</f>
        <v>1900</v>
      </c>
    </row>
    <row r="3779" spans="16:16" x14ac:dyDescent="0.25">
      <c r="P3779">
        <f t="shared" si="59"/>
        <v>1900</v>
      </c>
    </row>
    <row r="3780" spans="16:16" x14ac:dyDescent="0.25">
      <c r="P3780">
        <f t="shared" si="59"/>
        <v>1900</v>
      </c>
    </row>
    <row r="3781" spans="16:16" x14ac:dyDescent="0.25">
      <c r="P3781">
        <f t="shared" si="59"/>
        <v>1900</v>
      </c>
    </row>
    <row r="3782" spans="16:16" x14ac:dyDescent="0.25">
      <c r="P3782">
        <f t="shared" si="59"/>
        <v>1900</v>
      </c>
    </row>
    <row r="3783" spans="16:16" x14ac:dyDescent="0.25">
      <c r="P3783">
        <f t="shared" si="59"/>
        <v>1900</v>
      </c>
    </row>
    <row r="3784" spans="16:16" x14ac:dyDescent="0.25">
      <c r="P3784">
        <f t="shared" si="59"/>
        <v>1900</v>
      </c>
    </row>
    <row r="3785" spans="16:16" x14ac:dyDescent="0.25">
      <c r="P3785">
        <f t="shared" si="59"/>
        <v>1900</v>
      </c>
    </row>
    <row r="3786" spans="16:16" x14ac:dyDescent="0.25">
      <c r="P3786">
        <f t="shared" si="59"/>
        <v>1900</v>
      </c>
    </row>
    <row r="3787" spans="16:16" x14ac:dyDescent="0.25">
      <c r="P3787">
        <f t="shared" si="59"/>
        <v>1900</v>
      </c>
    </row>
    <row r="3788" spans="16:16" x14ac:dyDescent="0.25">
      <c r="P3788">
        <f t="shared" si="59"/>
        <v>1900</v>
      </c>
    </row>
    <row r="3789" spans="16:16" x14ac:dyDescent="0.25">
      <c r="P3789">
        <f t="shared" si="59"/>
        <v>1900</v>
      </c>
    </row>
    <row r="3790" spans="16:16" x14ac:dyDescent="0.25">
      <c r="P3790">
        <f t="shared" si="59"/>
        <v>1900</v>
      </c>
    </row>
    <row r="3791" spans="16:16" x14ac:dyDescent="0.25">
      <c r="P3791">
        <f t="shared" si="59"/>
        <v>1900</v>
      </c>
    </row>
    <row r="3792" spans="16:16" x14ac:dyDescent="0.25">
      <c r="P3792">
        <f t="shared" si="59"/>
        <v>1900</v>
      </c>
    </row>
    <row r="3793" spans="16:16" x14ac:dyDescent="0.25">
      <c r="P3793">
        <f t="shared" si="59"/>
        <v>1900</v>
      </c>
    </row>
    <row r="3794" spans="16:16" x14ac:dyDescent="0.25">
      <c r="P3794">
        <f t="shared" si="59"/>
        <v>1900</v>
      </c>
    </row>
    <row r="3795" spans="16:16" x14ac:dyDescent="0.25">
      <c r="P3795">
        <f t="shared" si="59"/>
        <v>1900</v>
      </c>
    </row>
    <row r="3796" spans="16:16" x14ac:dyDescent="0.25">
      <c r="P3796">
        <f t="shared" si="59"/>
        <v>1900</v>
      </c>
    </row>
    <row r="3797" spans="16:16" x14ac:dyDescent="0.25">
      <c r="P3797">
        <f t="shared" si="59"/>
        <v>1900</v>
      </c>
    </row>
    <row r="3798" spans="16:16" x14ac:dyDescent="0.25">
      <c r="P3798">
        <f t="shared" si="59"/>
        <v>1900</v>
      </c>
    </row>
    <row r="3799" spans="16:16" x14ac:dyDescent="0.25">
      <c r="P3799">
        <f t="shared" si="59"/>
        <v>1900</v>
      </c>
    </row>
    <row r="3800" spans="16:16" x14ac:dyDescent="0.25">
      <c r="P3800">
        <f t="shared" si="59"/>
        <v>1900</v>
      </c>
    </row>
    <row r="3801" spans="16:16" x14ac:dyDescent="0.25">
      <c r="P3801">
        <f t="shared" si="59"/>
        <v>1900</v>
      </c>
    </row>
    <row r="3802" spans="16:16" x14ac:dyDescent="0.25">
      <c r="P3802">
        <f t="shared" si="59"/>
        <v>1900</v>
      </c>
    </row>
    <row r="3803" spans="16:16" x14ac:dyDescent="0.25">
      <c r="P3803">
        <f t="shared" si="59"/>
        <v>1900</v>
      </c>
    </row>
    <row r="3804" spans="16:16" x14ac:dyDescent="0.25">
      <c r="P3804">
        <f t="shared" si="59"/>
        <v>1900</v>
      </c>
    </row>
    <row r="3805" spans="16:16" x14ac:dyDescent="0.25">
      <c r="P3805">
        <f t="shared" si="59"/>
        <v>1900</v>
      </c>
    </row>
    <row r="3806" spans="16:16" x14ac:dyDescent="0.25">
      <c r="P3806">
        <f t="shared" si="59"/>
        <v>1900</v>
      </c>
    </row>
    <row r="3807" spans="16:16" x14ac:dyDescent="0.25">
      <c r="P3807">
        <f t="shared" si="59"/>
        <v>1900</v>
      </c>
    </row>
    <row r="3808" spans="16:16" x14ac:dyDescent="0.25">
      <c r="P3808">
        <f t="shared" si="59"/>
        <v>1900</v>
      </c>
    </row>
    <row r="3809" spans="16:16" x14ac:dyDescent="0.25">
      <c r="P3809">
        <f t="shared" si="59"/>
        <v>1900</v>
      </c>
    </row>
    <row r="3810" spans="16:16" x14ac:dyDescent="0.25">
      <c r="P3810">
        <f t="shared" si="59"/>
        <v>1900</v>
      </c>
    </row>
    <row r="3811" spans="16:16" x14ac:dyDescent="0.25">
      <c r="P3811">
        <f t="shared" si="59"/>
        <v>1900</v>
      </c>
    </row>
    <row r="3812" spans="16:16" x14ac:dyDescent="0.25">
      <c r="P3812">
        <f t="shared" si="59"/>
        <v>1900</v>
      </c>
    </row>
    <row r="3813" spans="16:16" x14ac:dyDescent="0.25">
      <c r="P3813">
        <f t="shared" si="59"/>
        <v>1900</v>
      </c>
    </row>
    <row r="3814" spans="16:16" x14ac:dyDescent="0.25">
      <c r="P3814">
        <f t="shared" si="59"/>
        <v>1900</v>
      </c>
    </row>
    <row r="3815" spans="16:16" x14ac:dyDescent="0.25">
      <c r="P3815">
        <f t="shared" si="59"/>
        <v>1900</v>
      </c>
    </row>
    <row r="3816" spans="16:16" x14ac:dyDescent="0.25">
      <c r="P3816">
        <f t="shared" si="59"/>
        <v>1900</v>
      </c>
    </row>
    <row r="3817" spans="16:16" x14ac:dyDescent="0.25">
      <c r="P3817">
        <f t="shared" si="59"/>
        <v>1900</v>
      </c>
    </row>
    <row r="3818" spans="16:16" x14ac:dyDescent="0.25">
      <c r="P3818">
        <f t="shared" si="59"/>
        <v>1900</v>
      </c>
    </row>
    <row r="3819" spans="16:16" x14ac:dyDescent="0.25">
      <c r="P3819">
        <f t="shared" si="59"/>
        <v>1900</v>
      </c>
    </row>
    <row r="3820" spans="16:16" x14ac:dyDescent="0.25">
      <c r="P3820">
        <f t="shared" si="59"/>
        <v>1900</v>
      </c>
    </row>
    <row r="3821" spans="16:16" x14ac:dyDescent="0.25">
      <c r="P3821">
        <f t="shared" si="59"/>
        <v>1900</v>
      </c>
    </row>
    <row r="3822" spans="16:16" x14ac:dyDescent="0.25">
      <c r="P3822">
        <f t="shared" si="59"/>
        <v>1900</v>
      </c>
    </row>
    <row r="3823" spans="16:16" x14ac:dyDescent="0.25">
      <c r="P3823">
        <f t="shared" si="59"/>
        <v>1900</v>
      </c>
    </row>
    <row r="3824" spans="16:16" x14ac:dyDescent="0.25">
      <c r="P3824">
        <f t="shared" si="59"/>
        <v>1900</v>
      </c>
    </row>
    <row r="3825" spans="16:16" x14ac:dyDescent="0.25">
      <c r="P3825">
        <f t="shared" si="59"/>
        <v>1900</v>
      </c>
    </row>
    <row r="3826" spans="16:16" x14ac:dyDescent="0.25">
      <c r="P3826">
        <f t="shared" si="59"/>
        <v>1900</v>
      </c>
    </row>
    <row r="3827" spans="16:16" x14ac:dyDescent="0.25">
      <c r="P3827">
        <f t="shared" si="59"/>
        <v>1900</v>
      </c>
    </row>
    <row r="3828" spans="16:16" x14ac:dyDescent="0.25">
      <c r="P3828">
        <f t="shared" si="59"/>
        <v>1900</v>
      </c>
    </row>
    <row r="3829" spans="16:16" x14ac:dyDescent="0.25">
      <c r="P3829">
        <f t="shared" si="59"/>
        <v>1900</v>
      </c>
    </row>
    <row r="3830" spans="16:16" x14ac:dyDescent="0.25">
      <c r="P3830">
        <f t="shared" si="59"/>
        <v>1900</v>
      </c>
    </row>
    <row r="3831" spans="16:16" x14ac:dyDescent="0.25">
      <c r="P3831">
        <f t="shared" si="59"/>
        <v>1900</v>
      </c>
    </row>
    <row r="3832" spans="16:16" x14ac:dyDescent="0.25">
      <c r="P3832">
        <f t="shared" si="59"/>
        <v>1900</v>
      </c>
    </row>
    <row r="3833" spans="16:16" x14ac:dyDescent="0.25">
      <c r="P3833">
        <f t="shared" si="59"/>
        <v>1900</v>
      </c>
    </row>
    <row r="3834" spans="16:16" x14ac:dyDescent="0.25">
      <c r="P3834">
        <f t="shared" si="59"/>
        <v>1900</v>
      </c>
    </row>
    <row r="3835" spans="16:16" x14ac:dyDescent="0.25">
      <c r="P3835">
        <f t="shared" si="59"/>
        <v>1900</v>
      </c>
    </row>
    <row r="3836" spans="16:16" x14ac:dyDescent="0.25">
      <c r="P3836">
        <f t="shared" si="59"/>
        <v>1900</v>
      </c>
    </row>
    <row r="3837" spans="16:16" x14ac:dyDescent="0.25">
      <c r="P3837">
        <f t="shared" si="59"/>
        <v>1900</v>
      </c>
    </row>
    <row r="3838" spans="16:16" x14ac:dyDescent="0.25">
      <c r="P3838">
        <f t="shared" si="59"/>
        <v>1900</v>
      </c>
    </row>
    <row r="3839" spans="16:16" x14ac:dyDescent="0.25">
      <c r="P3839">
        <f t="shared" si="59"/>
        <v>1900</v>
      </c>
    </row>
    <row r="3840" spans="16:16" x14ac:dyDescent="0.25">
      <c r="P3840">
        <f t="shared" si="59"/>
        <v>1900</v>
      </c>
    </row>
    <row r="3841" spans="16:16" x14ac:dyDescent="0.25">
      <c r="P3841">
        <f t="shared" si="59"/>
        <v>1900</v>
      </c>
    </row>
    <row r="3842" spans="16:16" x14ac:dyDescent="0.25">
      <c r="P3842">
        <f t="shared" ref="P3842:P3905" si="60">IFERROR(YEAR(D3842),"")</f>
        <v>1900</v>
      </c>
    </row>
    <row r="3843" spans="16:16" x14ac:dyDescent="0.25">
      <c r="P3843">
        <f t="shared" si="60"/>
        <v>1900</v>
      </c>
    </row>
    <row r="3844" spans="16:16" x14ac:dyDescent="0.25">
      <c r="P3844">
        <f t="shared" si="60"/>
        <v>1900</v>
      </c>
    </row>
    <row r="3845" spans="16:16" x14ac:dyDescent="0.25">
      <c r="P3845">
        <f t="shared" si="60"/>
        <v>1900</v>
      </c>
    </row>
    <row r="3846" spans="16:16" x14ac:dyDescent="0.25">
      <c r="P3846">
        <f t="shared" si="60"/>
        <v>1900</v>
      </c>
    </row>
    <row r="3847" spans="16:16" x14ac:dyDescent="0.25">
      <c r="P3847">
        <f t="shared" si="60"/>
        <v>1900</v>
      </c>
    </row>
    <row r="3848" spans="16:16" x14ac:dyDescent="0.25">
      <c r="P3848">
        <f t="shared" si="60"/>
        <v>1900</v>
      </c>
    </row>
    <row r="3849" spans="16:16" x14ac:dyDescent="0.25">
      <c r="P3849">
        <f t="shared" si="60"/>
        <v>1900</v>
      </c>
    </row>
    <row r="3850" spans="16:16" x14ac:dyDescent="0.25">
      <c r="P3850">
        <f t="shared" si="60"/>
        <v>1900</v>
      </c>
    </row>
    <row r="3851" spans="16:16" x14ac:dyDescent="0.25">
      <c r="P3851">
        <f t="shared" si="60"/>
        <v>1900</v>
      </c>
    </row>
    <row r="3852" spans="16:16" x14ac:dyDescent="0.25">
      <c r="P3852">
        <f t="shared" si="60"/>
        <v>1900</v>
      </c>
    </row>
    <row r="3853" spans="16:16" x14ac:dyDescent="0.25">
      <c r="P3853">
        <f t="shared" si="60"/>
        <v>1900</v>
      </c>
    </row>
    <row r="3854" spans="16:16" x14ac:dyDescent="0.25">
      <c r="P3854">
        <f t="shared" si="60"/>
        <v>1900</v>
      </c>
    </row>
    <row r="3855" spans="16:16" x14ac:dyDescent="0.25">
      <c r="P3855">
        <f t="shared" si="60"/>
        <v>1900</v>
      </c>
    </row>
    <row r="3856" spans="16:16" x14ac:dyDescent="0.25">
      <c r="P3856">
        <f t="shared" si="60"/>
        <v>1900</v>
      </c>
    </row>
    <row r="3857" spans="16:16" x14ac:dyDescent="0.25">
      <c r="P3857">
        <f t="shared" si="60"/>
        <v>1900</v>
      </c>
    </row>
    <row r="3858" spans="16:16" x14ac:dyDescent="0.25">
      <c r="P3858">
        <f t="shared" si="60"/>
        <v>1900</v>
      </c>
    </row>
    <row r="3859" spans="16:16" x14ac:dyDescent="0.25">
      <c r="P3859">
        <f t="shared" si="60"/>
        <v>1900</v>
      </c>
    </row>
    <row r="3860" spans="16:16" x14ac:dyDescent="0.25">
      <c r="P3860">
        <f t="shared" si="60"/>
        <v>1900</v>
      </c>
    </row>
    <row r="3861" spans="16:16" x14ac:dyDescent="0.25">
      <c r="P3861">
        <f t="shared" si="60"/>
        <v>1900</v>
      </c>
    </row>
    <row r="3862" spans="16:16" x14ac:dyDescent="0.25">
      <c r="P3862">
        <f t="shared" si="60"/>
        <v>1900</v>
      </c>
    </row>
    <row r="3863" spans="16:16" x14ac:dyDescent="0.25">
      <c r="P3863">
        <f t="shared" si="60"/>
        <v>1900</v>
      </c>
    </row>
    <row r="3864" spans="16:16" x14ac:dyDescent="0.25">
      <c r="P3864">
        <f t="shared" si="60"/>
        <v>1900</v>
      </c>
    </row>
    <row r="3865" spans="16:16" x14ac:dyDescent="0.25">
      <c r="P3865">
        <f t="shared" si="60"/>
        <v>1900</v>
      </c>
    </row>
    <row r="3866" spans="16:16" x14ac:dyDescent="0.25">
      <c r="P3866">
        <f t="shared" si="60"/>
        <v>1900</v>
      </c>
    </row>
    <row r="3867" spans="16:16" x14ac:dyDescent="0.25">
      <c r="P3867">
        <f t="shared" si="60"/>
        <v>1900</v>
      </c>
    </row>
    <row r="3868" spans="16:16" x14ac:dyDescent="0.25">
      <c r="P3868">
        <f t="shared" si="60"/>
        <v>1900</v>
      </c>
    </row>
    <row r="3869" spans="16:16" x14ac:dyDescent="0.25">
      <c r="P3869">
        <f t="shared" si="60"/>
        <v>1900</v>
      </c>
    </row>
    <row r="3870" spans="16:16" x14ac:dyDescent="0.25">
      <c r="P3870">
        <f t="shared" si="60"/>
        <v>1900</v>
      </c>
    </row>
    <row r="3871" spans="16:16" x14ac:dyDescent="0.25">
      <c r="P3871">
        <f t="shared" si="60"/>
        <v>1900</v>
      </c>
    </row>
    <row r="3872" spans="16:16" x14ac:dyDescent="0.25">
      <c r="P3872">
        <f t="shared" si="60"/>
        <v>1900</v>
      </c>
    </row>
    <row r="3873" spans="16:16" x14ac:dyDescent="0.25">
      <c r="P3873">
        <f t="shared" si="60"/>
        <v>1900</v>
      </c>
    </row>
    <row r="3874" spans="16:16" x14ac:dyDescent="0.25">
      <c r="P3874">
        <f t="shared" si="60"/>
        <v>1900</v>
      </c>
    </row>
    <row r="3875" spans="16:16" x14ac:dyDescent="0.25">
      <c r="P3875">
        <f t="shared" si="60"/>
        <v>1900</v>
      </c>
    </row>
    <row r="3876" spans="16:16" x14ac:dyDescent="0.25">
      <c r="P3876">
        <f t="shared" si="60"/>
        <v>1900</v>
      </c>
    </row>
    <row r="3877" spans="16:16" x14ac:dyDescent="0.25">
      <c r="P3877">
        <f t="shared" si="60"/>
        <v>1900</v>
      </c>
    </row>
    <row r="3878" spans="16:16" x14ac:dyDescent="0.25">
      <c r="P3878">
        <f t="shared" si="60"/>
        <v>1900</v>
      </c>
    </row>
    <row r="3879" spans="16:16" x14ac:dyDescent="0.25">
      <c r="P3879">
        <f t="shared" si="60"/>
        <v>1900</v>
      </c>
    </row>
    <row r="3880" spans="16:16" x14ac:dyDescent="0.25">
      <c r="P3880">
        <f t="shared" si="60"/>
        <v>1900</v>
      </c>
    </row>
    <row r="3881" spans="16:16" x14ac:dyDescent="0.25">
      <c r="P3881">
        <f t="shared" si="60"/>
        <v>1900</v>
      </c>
    </row>
    <row r="3882" spans="16:16" x14ac:dyDescent="0.25">
      <c r="P3882">
        <f t="shared" si="60"/>
        <v>1900</v>
      </c>
    </row>
    <row r="3883" spans="16:16" x14ac:dyDescent="0.25">
      <c r="P3883">
        <f t="shared" si="60"/>
        <v>1900</v>
      </c>
    </row>
    <row r="3884" spans="16:16" x14ac:dyDescent="0.25">
      <c r="P3884">
        <f t="shared" si="60"/>
        <v>1900</v>
      </c>
    </row>
    <row r="3885" spans="16:16" x14ac:dyDescent="0.25">
      <c r="P3885">
        <f t="shared" si="60"/>
        <v>1900</v>
      </c>
    </row>
    <row r="3886" spans="16:16" x14ac:dyDescent="0.25">
      <c r="P3886">
        <f t="shared" si="60"/>
        <v>1900</v>
      </c>
    </row>
    <row r="3887" spans="16:16" x14ac:dyDescent="0.25">
      <c r="P3887">
        <f t="shared" si="60"/>
        <v>1900</v>
      </c>
    </row>
    <row r="3888" spans="16:16" x14ac:dyDescent="0.25">
      <c r="P3888">
        <f t="shared" si="60"/>
        <v>1900</v>
      </c>
    </row>
    <row r="3889" spans="16:16" x14ac:dyDescent="0.25">
      <c r="P3889">
        <f t="shared" si="60"/>
        <v>1900</v>
      </c>
    </row>
    <row r="3890" spans="16:16" x14ac:dyDescent="0.25">
      <c r="P3890">
        <f t="shared" si="60"/>
        <v>1900</v>
      </c>
    </row>
    <row r="3891" spans="16:16" x14ac:dyDescent="0.25">
      <c r="P3891">
        <f t="shared" si="60"/>
        <v>1900</v>
      </c>
    </row>
    <row r="3892" spans="16:16" x14ac:dyDescent="0.25">
      <c r="P3892">
        <f t="shared" si="60"/>
        <v>1900</v>
      </c>
    </row>
    <row r="3893" spans="16:16" x14ac:dyDescent="0.25">
      <c r="P3893">
        <f t="shared" si="60"/>
        <v>1900</v>
      </c>
    </row>
    <row r="3894" spans="16:16" x14ac:dyDescent="0.25">
      <c r="P3894">
        <f t="shared" si="60"/>
        <v>1900</v>
      </c>
    </row>
    <row r="3895" spans="16:16" x14ac:dyDescent="0.25">
      <c r="P3895">
        <f t="shared" si="60"/>
        <v>1900</v>
      </c>
    </row>
    <row r="3896" spans="16:16" x14ac:dyDescent="0.25">
      <c r="P3896">
        <f t="shared" si="60"/>
        <v>1900</v>
      </c>
    </row>
    <row r="3897" spans="16:16" x14ac:dyDescent="0.25">
      <c r="P3897">
        <f t="shared" si="60"/>
        <v>1900</v>
      </c>
    </row>
    <row r="3898" spans="16:16" x14ac:dyDescent="0.25">
      <c r="P3898">
        <f t="shared" si="60"/>
        <v>1900</v>
      </c>
    </row>
    <row r="3899" spans="16:16" x14ac:dyDescent="0.25">
      <c r="P3899">
        <f t="shared" si="60"/>
        <v>1900</v>
      </c>
    </row>
    <row r="3900" spans="16:16" x14ac:dyDescent="0.25">
      <c r="P3900">
        <f t="shared" si="60"/>
        <v>1900</v>
      </c>
    </row>
    <row r="3901" spans="16:16" x14ac:dyDescent="0.25">
      <c r="P3901">
        <f t="shared" si="60"/>
        <v>1900</v>
      </c>
    </row>
    <row r="3902" spans="16:16" x14ac:dyDescent="0.25">
      <c r="P3902">
        <f t="shared" si="60"/>
        <v>1900</v>
      </c>
    </row>
    <row r="3903" spans="16:16" x14ac:dyDescent="0.25">
      <c r="P3903">
        <f t="shared" si="60"/>
        <v>1900</v>
      </c>
    </row>
    <row r="3904" spans="16:16" x14ac:dyDescent="0.25">
      <c r="P3904">
        <f t="shared" si="60"/>
        <v>1900</v>
      </c>
    </row>
    <row r="3905" spans="16:16" x14ac:dyDescent="0.25">
      <c r="P3905">
        <f t="shared" si="60"/>
        <v>1900</v>
      </c>
    </row>
    <row r="3906" spans="16:16" x14ac:dyDescent="0.25">
      <c r="P3906">
        <f t="shared" ref="P3906:P3969" si="61">IFERROR(YEAR(D3906),"")</f>
        <v>1900</v>
      </c>
    </row>
    <row r="3907" spans="16:16" x14ac:dyDescent="0.25">
      <c r="P3907">
        <f t="shared" si="61"/>
        <v>1900</v>
      </c>
    </row>
    <row r="3908" spans="16:16" x14ac:dyDescent="0.25">
      <c r="P3908">
        <f t="shared" si="61"/>
        <v>1900</v>
      </c>
    </row>
    <row r="3909" spans="16:16" x14ac:dyDescent="0.25">
      <c r="P3909">
        <f t="shared" si="61"/>
        <v>1900</v>
      </c>
    </row>
    <row r="3910" spans="16:16" x14ac:dyDescent="0.25">
      <c r="P3910">
        <f t="shared" si="61"/>
        <v>1900</v>
      </c>
    </row>
    <row r="3911" spans="16:16" x14ac:dyDescent="0.25">
      <c r="P3911">
        <f t="shared" si="61"/>
        <v>1900</v>
      </c>
    </row>
    <row r="3912" spans="16:16" x14ac:dyDescent="0.25">
      <c r="P3912">
        <f t="shared" si="61"/>
        <v>1900</v>
      </c>
    </row>
    <row r="3913" spans="16:16" x14ac:dyDescent="0.25">
      <c r="P3913">
        <f t="shared" si="61"/>
        <v>1900</v>
      </c>
    </row>
    <row r="3914" spans="16:16" x14ac:dyDescent="0.25">
      <c r="P3914">
        <f t="shared" si="61"/>
        <v>1900</v>
      </c>
    </row>
    <row r="3915" spans="16:16" x14ac:dyDescent="0.25">
      <c r="P3915">
        <f t="shared" si="61"/>
        <v>1900</v>
      </c>
    </row>
    <row r="3916" spans="16:16" x14ac:dyDescent="0.25">
      <c r="P3916">
        <f t="shared" si="61"/>
        <v>1900</v>
      </c>
    </row>
    <row r="3917" spans="16:16" x14ac:dyDescent="0.25">
      <c r="P3917">
        <f t="shared" si="61"/>
        <v>1900</v>
      </c>
    </row>
    <row r="3918" spans="16:16" x14ac:dyDescent="0.25">
      <c r="P3918">
        <f t="shared" si="61"/>
        <v>1900</v>
      </c>
    </row>
    <row r="3919" spans="16:16" x14ac:dyDescent="0.25">
      <c r="P3919">
        <f t="shared" si="61"/>
        <v>1900</v>
      </c>
    </row>
    <row r="3920" spans="16:16" x14ac:dyDescent="0.25">
      <c r="P3920">
        <f t="shared" si="61"/>
        <v>1900</v>
      </c>
    </row>
    <row r="3921" spans="16:16" x14ac:dyDescent="0.25">
      <c r="P3921">
        <f t="shared" si="61"/>
        <v>1900</v>
      </c>
    </row>
    <row r="3922" spans="16:16" x14ac:dyDescent="0.25">
      <c r="P3922">
        <f t="shared" si="61"/>
        <v>1900</v>
      </c>
    </row>
    <row r="3923" spans="16:16" x14ac:dyDescent="0.25">
      <c r="P3923">
        <f t="shared" si="61"/>
        <v>1900</v>
      </c>
    </row>
    <row r="3924" spans="16:16" x14ac:dyDescent="0.25">
      <c r="P3924">
        <f t="shared" si="61"/>
        <v>1900</v>
      </c>
    </row>
    <row r="3925" spans="16:16" x14ac:dyDescent="0.25">
      <c r="P3925">
        <f t="shared" si="61"/>
        <v>1900</v>
      </c>
    </row>
    <row r="3926" spans="16:16" x14ac:dyDescent="0.25">
      <c r="P3926">
        <f t="shared" si="61"/>
        <v>1900</v>
      </c>
    </row>
    <row r="3927" spans="16:16" x14ac:dyDescent="0.25">
      <c r="P3927">
        <f t="shared" si="61"/>
        <v>1900</v>
      </c>
    </row>
    <row r="3928" spans="16:16" x14ac:dyDescent="0.25">
      <c r="P3928">
        <f t="shared" si="61"/>
        <v>1900</v>
      </c>
    </row>
    <row r="3929" spans="16:16" x14ac:dyDescent="0.25">
      <c r="P3929">
        <f t="shared" si="61"/>
        <v>1900</v>
      </c>
    </row>
    <row r="3930" spans="16:16" x14ac:dyDescent="0.25">
      <c r="P3930">
        <f t="shared" si="61"/>
        <v>1900</v>
      </c>
    </row>
    <row r="3931" spans="16:16" x14ac:dyDescent="0.25">
      <c r="P3931">
        <f t="shared" si="61"/>
        <v>1900</v>
      </c>
    </row>
    <row r="3932" spans="16:16" x14ac:dyDescent="0.25">
      <c r="P3932">
        <f t="shared" si="61"/>
        <v>1900</v>
      </c>
    </row>
    <row r="3933" spans="16:16" x14ac:dyDescent="0.25">
      <c r="P3933">
        <f t="shared" si="61"/>
        <v>1900</v>
      </c>
    </row>
    <row r="3934" spans="16:16" x14ac:dyDescent="0.25">
      <c r="P3934">
        <f t="shared" si="61"/>
        <v>1900</v>
      </c>
    </row>
    <row r="3935" spans="16:16" x14ac:dyDescent="0.25">
      <c r="P3935">
        <f t="shared" si="61"/>
        <v>1900</v>
      </c>
    </row>
    <row r="3936" spans="16:16" x14ac:dyDescent="0.25">
      <c r="P3936">
        <f t="shared" si="61"/>
        <v>1900</v>
      </c>
    </row>
    <row r="3937" spans="16:16" x14ac:dyDescent="0.25">
      <c r="P3937">
        <f t="shared" si="61"/>
        <v>1900</v>
      </c>
    </row>
    <row r="3938" spans="16:16" x14ac:dyDescent="0.25">
      <c r="P3938">
        <f t="shared" si="61"/>
        <v>1900</v>
      </c>
    </row>
    <row r="3939" spans="16:16" x14ac:dyDescent="0.25">
      <c r="P3939">
        <f t="shared" si="61"/>
        <v>1900</v>
      </c>
    </row>
    <row r="3940" spans="16:16" x14ac:dyDescent="0.25">
      <c r="P3940">
        <f t="shared" si="61"/>
        <v>1900</v>
      </c>
    </row>
    <row r="3941" spans="16:16" x14ac:dyDescent="0.25">
      <c r="P3941">
        <f t="shared" si="61"/>
        <v>1900</v>
      </c>
    </row>
    <row r="3942" spans="16:16" x14ac:dyDescent="0.25">
      <c r="P3942">
        <f t="shared" si="61"/>
        <v>1900</v>
      </c>
    </row>
    <row r="3943" spans="16:16" x14ac:dyDescent="0.25">
      <c r="P3943">
        <f t="shared" si="61"/>
        <v>1900</v>
      </c>
    </row>
    <row r="3944" spans="16:16" x14ac:dyDescent="0.25">
      <c r="P3944">
        <f t="shared" si="61"/>
        <v>1900</v>
      </c>
    </row>
    <row r="3945" spans="16:16" x14ac:dyDescent="0.25">
      <c r="P3945">
        <f t="shared" si="61"/>
        <v>1900</v>
      </c>
    </row>
    <row r="3946" spans="16:16" x14ac:dyDescent="0.25">
      <c r="P3946">
        <f t="shared" si="61"/>
        <v>1900</v>
      </c>
    </row>
    <row r="3947" spans="16:16" x14ac:dyDescent="0.25">
      <c r="P3947">
        <f t="shared" si="61"/>
        <v>1900</v>
      </c>
    </row>
    <row r="3948" spans="16:16" x14ac:dyDescent="0.25">
      <c r="P3948">
        <f t="shared" si="61"/>
        <v>1900</v>
      </c>
    </row>
    <row r="3949" spans="16:16" x14ac:dyDescent="0.25">
      <c r="P3949">
        <f t="shared" si="61"/>
        <v>1900</v>
      </c>
    </row>
    <row r="3950" spans="16:16" x14ac:dyDescent="0.25">
      <c r="P3950">
        <f t="shared" si="61"/>
        <v>1900</v>
      </c>
    </row>
    <row r="3951" spans="16:16" x14ac:dyDescent="0.25">
      <c r="P3951">
        <f t="shared" si="61"/>
        <v>1900</v>
      </c>
    </row>
    <row r="3952" spans="16:16" x14ac:dyDescent="0.25">
      <c r="P3952">
        <f t="shared" si="61"/>
        <v>1900</v>
      </c>
    </row>
    <row r="3953" spans="16:16" x14ac:dyDescent="0.25">
      <c r="P3953">
        <f t="shared" si="61"/>
        <v>1900</v>
      </c>
    </row>
    <row r="3954" spans="16:16" x14ac:dyDescent="0.25">
      <c r="P3954">
        <f t="shared" si="61"/>
        <v>1900</v>
      </c>
    </row>
    <row r="3955" spans="16:16" x14ac:dyDescent="0.25">
      <c r="P3955">
        <f t="shared" si="61"/>
        <v>1900</v>
      </c>
    </row>
    <row r="3956" spans="16:16" x14ac:dyDescent="0.25">
      <c r="P3956">
        <f t="shared" si="61"/>
        <v>1900</v>
      </c>
    </row>
    <row r="3957" spans="16:16" x14ac:dyDescent="0.25">
      <c r="P3957">
        <f t="shared" si="61"/>
        <v>1900</v>
      </c>
    </row>
    <row r="3958" spans="16:16" x14ac:dyDescent="0.25">
      <c r="P3958">
        <f t="shared" si="61"/>
        <v>1900</v>
      </c>
    </row>
    <row r="3959" spans="16:16" x14ac:dyDescent="0.25">
      <c r="P3959">
        <f t="shared" si="61"/>
        <v>1900</v>
      </c>
    </row>
    <row r="3960" spans="16:16" x14ac:dyDescent="0.25">
      <c r="P3960">
        <f t="shared" si="61"/>
        <v>1900</v>
      </c>
    </row>
    <row r="3961" spans="16:16" x14ac:dyDescent="0.25">
      <c r="P3961">
        <f t="shared" si="61"/>
        <v>1900</v>
      </c>
    </row>
    <row r="3962" spans="16:16" x14ac:dyDescent="0.25">
      <c r="P3962">
        <f t="shared" si="61"/>
        <v>1900</v>
      </c>
    </row>
    <row r="3963" spans="16:16" x14ac:dyDescent="0.25">
      <c r="P3963">
        <f t="shared" si="61"/>
        <v>1900</v>
      </c>
    </row>
    <row r="3964" spans="16:16" x14ac:dyDescent="0.25">
      <c r="P3964">
        <f t="shared" si="61"/>
        <v>1900</v>
      </c>
    </row>
    <row r="3965" spans="16:16" x14ac:dyDescent="0.25">
      <c r="P3965">
        <f t="shared" si="61"/>
        <v>1900</v>
      </c>
    </row>
    <row r="3966" spans="16:16" x14ac:dyDescent="0.25">
      <c r="P3966">
        <f t="shared" si="61"/>
        <v>1900</v>
      </c>
    </row>
    <row r="3967" spans="16:16" x14ac:dyDescent="0.25">
      <c r="P3967">
        <f t="shared" si="61"/>
        <v>1900</v>
      </c>
    </row>
    <row r="3968" spans="16:16" x14ac:dyDescent="0.25">
      <c r="P3968">
        <f t="shared" si="61"/>
        <v>1900</v>
      </c>
    </row>
    <row r="3969" spans="16:16" x14ac:dyDescent="0.25">
      <c r="P3969">
        <f t="shared" si="61"/>
        <v>1900</v>
      </c>
    </row>
    <row r="3970" spans="16:16" x14ac:dyDescent="0.25">
      <c r="P3970">
        <f t="shared" ref="P3970:P4033" si="62">IFERROR(YEAR(D3970),"")</f>
        <v>1900</v>
      </c>
    </row>
    <row r="3971" spans="16:16" x14ac:dyDescent="0.25">
      <c r="P3971">
        <f t="shared" si="62"/>
        <v>1900</v>
      </c>
    </row>
    <row r="3972" spans="16:16" x14ac:dyDescent="0.25">
      <c r="P3972">
        <f t="shared" si="62"/>
        <v>1900</v>
      </c>
    </row>
    <row r="3973" spans="16:16" x14ac:dyDescent="0.25">
      <c r="P3973">
        <f t="shared" si="62"/>
        <v>1900</v>
      </c>
    </row>
    <row r="3974" spans="16:16" x14ac:dyDescent="0.25">
      <c r="P3974">
        <f t="shared" si="62"/>
        <v>1900</v>
      </c>
    </row>
    <row r="3975" spans="16:16" x14ac:dyDescent="0.25">
      <c r="P3975">
        <f t="shared" si="62"/>
        <v>1900</v>
      </c>
    </row>
    <row r="3976" spans="16:16" x14ac:dyDescent="0.25">
      <c r="P3976">
        <f t="shared" si="62"/>
        <v>1900</v>
      </c>
    </row>
    <row r="3977" spans="16:16" x14ac:dyDescent="0.25">
      <c r="P3977">
        <f t="shared" si="62"/>
        <v>1900</v>
      </c>
    </row>
    <row r="3978" spans="16:16" x14ac:dyDescent="0.25">
      <c r="P3978">
        <f t="shared" si="62"/>
        <v>1900</v>
      </c>
    </row>
    <row r="3979" spans="16:16" x14ac:dyDescent="0.25">
      <c r="P3979">
        <f t="shared" si="62"/>
        <v>1900</v>
      </c>
    </row>
    <row r="3980" spans="16:16" x14ac:dyDescent="0.25">
      <c r="P3980">
        <f t="shared" si="62"/>
        <v>1900</v>
      </c>
    </row>
    <row r="3981" spans="16:16" x14ac:dyDescent="0.25">
      <c r="P3981">
        <f t="shared" si="62"/>
        <v>1900</v>
      </c>
    </row>
    <row r="3982" spans="16:16" x14ac:dyDescent="0.25">
      <c r="P3982">
        <f t="shared" si="62"/>
        <v>1900</v>
      </c>
    </row>
    <row r="3983" spans="16:16" x14ac:dyDescent="0.25">
      <c r="P3983">
        <f t="shared" si="62"/>
        <v>1900</v>
      </c>
    </row>
    <row r="3984" spans="16:16" x14ac:dyDescent="0.25">
      <c r="P3984">
        <f t="shared" si="62"/>
        <v>1900</v>
      </c>
    </row>
    <row r="3985" spans="16:16" x14ac:dyDescent="0.25">
      <c r="P3985">
        <f t="shared" si="62"/>
        <v>1900</v>
      </c>
    </row>
    <row r="3986" spans="16:16" x14ac:dyDescent="0.25">
      <c r="P3986">
        <f t="shared" si="62"/>
        <v>1900</v>
      </c>
    </row>
    <row r="3987" spans="16:16" x14ac:dyDescent="0.25">
      <c r="P3987">
        <f t="shared" si="62"/>
        <v>1900</v>
      </c>
    </row>
    <row r="3988" spans="16:16" x14ac:dyDescent="0.25">
      <c r="P3988">
        <f t="shared" si="62"/>
        <v>1900</v>
      </c>
    </row>
    <row r="3989" spans="16:16" x14ac:dyDescent="0.25">
      <c r="P3989">
        <f t="shared" si="62"/>
        <v>1900</v>
      </c>
    </row>
    <row r="3990" spans="16:16" x14ac:dyDescent="0.25">
      <c r="P3990">
        <f t="shared" si="62"/>
        <v>1900</v>
      </c>
    </row>
    <row r="3991" spans="16:16" x14ac:dyDescent="0.25">
      <c r="P3991">
        <f t="shared" si="62"/>
        <v>1900</v>
      </c>
    </row>
    <row r="3992" spans="16:16" x14ac:dyDescent="0.25">
      <c r="P3992">
        <f t="shared" si="62"/>
        <v>1900</v>
      </c>
    </row>
    <row r="3993" spans="16:16" x14ac:dyDescent="0.25">
      <c r="P3993">
        <f t="shared" si="62"/>
        <v>1900</v>
      </c>
    </row>
    <row r="3994" spans="16:16" x14ac:dyDescent="0.25">
      <c r="P3994">
        <f t="shared" si="62"/>
        <v>1900</v>
      </c>
    </row>
    <row r="3995" spans="16:16" x14ac:dyDescent="0.25">
      <c r="P3995">
        <f t="shared" si="62"/>
        <v>1900</v>
      </c>
    </row>
    <row r="3996" spans="16:16" x14ac:dyDescent="0.25">
      <c r="P3996">
        <f t="shared" si="62"/>
        <v>1900</v>
      </c>
    </row>
    <row r="3997" spans="16:16" x14ac:dyDescent="0.25">
      <c r="P3997">
        <f t="shared" si="62"/>
        <v>1900</v>
      </c>
    </row>
    <row r="3998" spans="16:16" x14ac:dyDescent="0.25">
      <c r="P3998">
        <f t="shared" si="62"/>
        <v>1900</v>
      </c>
    </row>
    <row r="3999" spans="16:16" x14ac:dyDescent="0.25">
      <c r="P3999">
        <f t="shared" si="62"/>
        <v>1900</v>
      </c>
    </row>
    <row r="4000" spans="16:16" x14ac:dyDescent="0.25">
      <c r="P4000">
        <f t="shared" si="62"/>
        <v>1900</v>
      </c>
    </row>
    <row r="4001" spans="16:16" x14ac:dyDescent="0.25">
      <c r="P4001">
        <f t="shared" si="62"/>
        <v>1900</v>
      </c>
    </row>
    <row r="4002" spans="16:16" x14ac:dyDescent="0.25">
      <c r="P4002">
        <f t="shared" si="62"/>
        <v>1900</v>
      </c>
    </row>
    <row r="4003" spans="16:16" x14ac:dyDescent="0.25">
      <c r="P4003">
        <f t="shared" si="62"/>
        <v>1900</v>
      </c>
    </row>
    <row r="4004" spans="16:16" x14ac:dyDescent="0.25">
      <c r="P4004">
        <f t="shared" si="62"/>
        <v>1900</v>
      </c>
    </row>
    <row r="4005" spans="16:16" x14ac:dyDescent="0.25">
      <c r="P4005">
        <f t="shared" si="62"/>
        <v>1900</v>
      </c>
    </row>
    <row r="4006" spans="16:16" x14ac:dyDescent="0.25">
      <c r="P4006">
        <f t="shared" si="62"/>
        <v>1900</v>
      </c>
    </row>
    <row r="4007" spans="16:16" x14ac:dyDescent="0.25">
      <c r="P4007">
        <f t="shared" si="62"/>
        <v>1900</v>
      </c>
    </row>
    <row r="4008" spans="16:16" x14ac:dyDescent="0.25">
      <c r="P4008">
        <f t="shared" si="62"/>
        <v>1900</v>
      </c>
    </row>
    <row r="4009" spans="16:16" x14ac:dyDescent="0.25">
      <c r="P4009">
        <f t="shared" si="62"/>
        <v>1900</v>
      </c>
    </row>
    <row r="4010" spans="16:16" x14ac:dyDescent="0.25">
      <c r="P4010">
        <f t="shared" si="62"/>
        <v>1900</v>
      </c>
    </row>
    <row r="4011" spans="16:16" x14ac:dyDescent="0.25">
      <c r="P4011">
        <f t="shared" si="62"/>
        <v>1900</v>
      </c>
    </row>
    <row r="4012" spans="16:16" x14ac:dyDescent="0.25">
      <c r="P4012">
        <f t="shared" si="62"/>
        <v>1900</v>
      </c>
    </row>
    <row r="4013" spans="16:16" x14ac:dyDescent="0.25">
      <c r="P4013">
        <f t="shared" si="62"/>
        <v>1900</v>
      </c>
    </row>
    <row r="4014" spans="16:16" x14ac:dyDescent="0.25">
      <c r="P4014">
        <f t="shared" si="62"/>
        <v>1900</v>
      </c>
    </row>
    <row r="4015" spans="16:16" x14ac:dyDescent="0.25">
      <c r="P4015">
        <f t="shared" si="62"/>
        <v>1900</v>
      </c>
    </row>
    <row r="4016" spans="16:16" x14ac:dyDescent="0.25">
      <c r="P4016">
        <f t="shared" si="62"/>
        <v>1900</v>
      </c>
    </row>
    <row r="4017" spans="16:16" x14ac:dyDescent="0.25">
      <c r="P4017">
        <f t="shared" si="62"/>
        <v>1900</v>
      </c>
    </row>
    <row r="4018" spans="16:16" x14ac:dyDescent="0.25">
      <c r="P4018">
        <f t="shared" si="62"/>
        <v>1900</v>
      </c>
    </row>
    <row r="4019" spans="16:16" x14ac:dyDescent="0.25">
      <c r="P4019">
        <f t="shared" si="62"/>
        <v>1900</v>
      </c>
    </row>
    <row r="4020" spans="16:16" x14ac:dyDescent="0.25">
      <c r="P4020">
        <f t="shared" si="62"/>
        <v>1900</v>
      </c>
    </row>
    <row r="4021" spans="16:16" x14ac:dyDescent="0.25">
      <c r="P4021">
        <f t="shared" si="62"/>
        <v>1900</v>
      </c>
    </row>
    <row r="4022" spans="16:16" x14ac:dyDescent="0.25">
      <c r="P4022">
        <f t="shared" si="62"/>
        <v>1900</v>
      </c>
    </row>
    <row r="4023" spans="16:16" x14ac:dyDescent="0.25">
      <c r="P4023">
        <f t="shared" si="62"/>
        <v>1900</v>
      </c>
    </row>
    <row r="4024" spans="16:16" x14ac:dyDescent="0.25">
      <c r="P4024">
        <f t="shared" si="62"/>
        <v>1900</v>
      </c>
    </row>
    <row r="4025" spans="16:16" x14ac:dyDescent="0.25">
      <c r="P4025">
        <f t="shared" si="62"/>
        <v>1900</v>
      </c>
    </row>
    <row r="4026" spans="16:16" x14ac:dyDescent="0.25">
      <c r="P4026">
        <f t="shared" si="62"/>
        <v>1900</v>
      </c>
    </row>
    <row r="4027" spans="16:16" x14ac:dyDescent="0.25">
      <c r="P4027">
        <f t="shared" si="62"/>
        <v>1900</v>
      </c>
    </row>
    <row r="4028" spans="16:16" x14ac:dyDescent="0.25">
      <c r="P4028">
        <f t="shared" si="62"/>
        <v>1900</v>
      </c>
    </row>
    <row r="4029" spans="16:16" x14ac:dyDescent="0.25">
      <c r="P4029">
        <f t="shared" si="62"/>
        <v>1900</v>
      </c>
    </row>
    <row r="4030" spans="16:16" x14ac:dyDescent="0.25">
      <c r="P4030">
        <f t="shared" si="62"/>
        <v>1900</v>
      </c>
    </row>
    <row r="4031" spans="16:16" x14ac:dyDescent="0.25">
      <c r="P4031">
        <f t="shared" si="62"/>
        <v>1900</v>
      </c>
    </row>
    <row r="4032" spans="16:16" x14ac:dyDescent="0.25">
      <c r="P4032">
        <f t="shared" si="62"/>
        <v>1900</v>
      </c>
    </row>
    <row r="4033" spans="16:16" x14ac:dyDescent="0.25">
      <c r="P4033">
        <f t="shared" si="62"/>
        <v>1900</v>
      </c>
    </row>
    <row r="4034" spans="16:16" x14ac:dyDescent="0.25">
      <c r="P4034">
        <f t="shared" ref="P4034:P4097" si="63">IFERROR(YEAR(D4034),"")</f>
        <v>1900</v>
      </c>
    </row>
    <row r="4035" spans="16:16" x14ac:dyDescent="0.25">
      <c r="P4035">
        <f t="shared" si="63"/>
        <v>1900</v>
      </c>
    </row>
    <row r="4036" spans="16:16" x14ac:dyDescent="0.25">
      <c r="P4036">
        <f t="shared" si="63"/>
        <v>1900</v>
      </c>
    </row>
    <row r="4037" spans="16:16" x14ac:dyDescent="0.25">
      <c r="P4037">
        <f t="shared" si="63"/>
        <v>1900</v>
      </c>
    </row>
    <row r="4038" spans="16:16" x14ac:dyDescent="0.25">
      <c r="P4038">
        <f t="shared" si="63"/>
        <v>1900</v>
      </c>
    </row>
    <row r="4039" spans="16:16" x14ac:dyDescent="0.25">
      <c r="P4039">
        <f t="shared" si="63"/>
        <v>1900</v>
      </c>
    </row>
    <row r="4040" spans="16:16" x14ac:dyDescent="0.25">
      <c r="P4040">
        <f t="shared" si="63"/>
        <v>1900</v>
      </c>
    </row>
    <row r="4041" spans="16:16" x14ac:dyDescent="0.25">
      <c r="P4041">
        <f t="shared" si="63"/>
        <v>1900</v>
      </c>
    </row>
    <row r="4042" spans="16:16" x14ac:dyDescent="0.25">
      <c r="P4042">
        <f t="shared" si="63"/>
        <v>1900</v>
      </c>
    </row>
    <row r="4043" spans="16:16" x14ac:dyDescent="0.25">
      <c r="P4043">
        <f t="shared" si="63"/>
        <v>1900</v>
      </c>
    </row>
    <row r="4044" spans="16:16" x14ac:dyDescent="0.25">
      <c r="P4044">
        <f t="shared" si="63"/>
        <v>1900</v>
      </c>
    </row>
    <row r="4045" spans="16:16" x14ac:dyDescent="0.25">
      <c r="P4045">
        <f t="shared" si="63"/>
        <v>1900</v>
      </c>
    </row>
    <row r="4046" spans="16:16" x14ac:dyDescent="0.25">
      <c r="P4046">
        <f t="shared" si="63"/>
        <v>1900</v>
      </c>
    </row>
    <row r="4047" spans="16:16" x14ac:dyDescent="0.25">
      <c r="P4047">
        <f t="shared" si="63"/>
        <v>1900</v>
      </c>
    </row>
    <row r="4048" spans="16:16" x14ac:dyDescent="0.25">
      <c r="P4048">
        <f t="shared" si="63"/>
        <v>1900</v>
      </c>
    </row>
    <row r="4049" spans="16:16" x14ac:dyDescent="0.25">
      <c r="P4049">
        <f t="shared" si="63"/>
        <v>1900</v>
      </c>
    </row>
    <row r="4050" spans="16:16" x14ac:dyDescent="0.25">
      <c r="P4050">
        <f t="shared" si="63"/>
        <v>1900</v>
      </c>
    </row>
    <row r="4051" spans="16:16" x14ac:dyDescent="0.25">
      <c r="P4051">
        <f t="shared" si="63"/>
        <v>1900</v>
      </c>
    </row>
    <row r="4052" spans="16:16" x14ac:dyDescent="0.25">
      <c r="P4052">
        <f t="shared" si="63"/>
        <v>1900</v>
      </c>
    </row>
    <row r="4053" spans="16:16" x14ac:dyDescent="0.25">
      <c r="P4053">
        <f t="shared" si="63"/>
        <v>1900</v>
      </c>
    </row>
    <row r="4054" spans="16:16" x14ac:dyDescent="0.25">
      <c r="P4054">
        <f t="shared" si="63"/>
        <v>1900</v>
      </c>
    </row>
    <row r="4055" spans="16:16" x14ac:dyDescent="0.25">
      <c r="P4055">
        <f t="shared" si="63"/>
        <v>1900</v>
      </c>
    </row>
    <row r="4056" spans="16:16" x14ac:dyDescent="0.25">
      <c r="P4056">
        <f t="shared" si="63"/>
        <v>1900</v>
      </c>
    </row>
    <row r="4057" spans="16:16" x14ac:dyDescent="0.25">
      <c r="P4057">
        <f t="shared" si="63"/>
        <v>1900</v>
      </c>
    </row>
    <row r="4058" spans="16:16" x14ac:dyDescent="0.25">
      <c r="P4058">
        <f t="shared" si="63"/>
        <v>1900</v>
      </c>
    </row>
    <row r="4059" spans="16:16" x14ac:dyDescent="0.25">
      <c r="P4059">
        <f t="shared" si="63"/>
        <v>1900</v>
      </c>
    </row>
    <row r="4060" spans="16:16" x14ac:dyDescent="0.25">
      <c r="P4060">
        <f t="shared" si="63"/>
        <v>1900</v>
      </c>
    </row>
    <row r="4061" spans="16:16" x14ac:dyDescent="0.25">
      <c r="P4061">
        <f t="shared" si="63"/>
        <v>1900</v>
      </c>
    </row>
    <row r="4062" spans="16:16" x14ac:dyDescent="0.25">
      <c r="P4062">
        <f t="shared" si="63"/>
        <v>1900</v>
      </c>
    </row>
    <row r="4063" spans="16:16" x14ac:dyDescent="0.25">
      <c r="P4063">
        <f t="shared" si="63"/>
        <v>1900</v>
      </c>
    </row>
    <row r="4064" spans="16:16" x14ac:dyDescent="0.25">
      <c r="P4064">
        <f t="shared" si="63"/>
        <v>1900</v>
      </c>
    </row>
    <row r="4065" spans="16:16" x14ac:dyDescent="0.25">
      <c r="P4065">
        <f t="shared" si="63"/>
        <v>1900</v>
      </c>
    </row>
    <row r="4066" spans="16:16" x14ac:dyDescent="0.25">
      <c r="P4066">
        <f t="shared" si="63"/>
        <v>1900</v>
      </c>
    </row>
    <row r="4067" spans="16:16" x14ac:dyDescent="0.25">
      <c r="P4067">
        <f t="shared" si="63"/>
        <v>1900</v>
      </c>
    </row>
    <row r="4068" spans="16:16" x14ac:dyDescent="0.25">
      <c r="P4068">
        <f t="shared" si="63"/>
        <v>1900</v>
      </c>
    </row>
    <row r="4069" spans="16:16" x14ac:dyDescent="0.25">
      <c r="P4069">
        <f t="shared" si="63"/>
        <v>1900</v>
      </c>
    </row>
    <row r="4070" spans="16:16" x14ac:dyDescent="0.25">
      <c r="P4070">
        <f t="shared" si="63"/>
        <v>1900</v>
      </c>
    </row>
    <row r="4071" spans="16:16" x14ac:dyDescent="0.25">
      <c r="P4071">
        <f t="shared" si="63"/>
        <v>1900</v>
      </c>
    </row>
    <row r="4072" spans="16:16" x14ac:dyDescent="0.25">
      <c r="P4072">
        <f t="shared" si="63"/>
        <v>1900</v>
      </c>
    </row>
    <row r="4073" spans="16:16" x14ac:dyDescent="0.25">
      <c r="P4073">
        <f t="shared" si="63"/>
        <v>1900</v>
      </c>
    </row>
    <row r="4074" spans="16:16" x14ac:dyDescent="0.25">
      <c r="P4074">
        <f t="shared" si="63"/>
        <v>1900</v>
      </c>
    </row>
    <row r="4075" spans="16:16" x14ac:dyDescent="0.25">
      <c r="P4075">
        <f t="shared" si="63"/>
        <v>1900</v>
      </c>
    </row>
    <row r="4076" spans="16:16" x14ac:dyDescent="0.25">
      <c r="P4076">
        <f t="shared" si="63"/>
        <v>1900</v>
      </c>
    </row>
    <row r="4077" spans="16:16" x14ac:dyDescent="0.25">
      <c r="P4077">
        <f t="shared" si="63"/>
        <v>1900</v>
      </c>
    </row>
    <row r="4078" spans="16:16" x14ac:dyDescent="0.25">
      <c r="P4078">
        <f t="shared" si="63"/>
        <v>1900</v>
      </c>
    </row>
    <row r="4079" spans="16:16" x14ac:dyDescent="0.25">
      <c r="P4079">
        <f t="shared" si="63"/>
        <v>1900</v>
      </c>
    </row>
    <row r="4080" spans="16:16" x14ac:dyDescent="0.25">
      <c r="P4080">
        <f t="shared" si="63"/>
        <v>1900</v>
      </c>
    </row>
    <row r="4081" spans="16:16" x14ac:dyDescent="0.25">
      <c r="P4081">
        <f t="shared" si="63"/>
        <v>1900</v>
      </c>
    </row>
    <row r="4082" spans="16:16" x14ac:dyDescent="0.25">
      <c r="P4082">
        <f t="shared" si="63"/>
        <v>1900</v>
      </c>
    </row>
    <row r="4083" spans="16:16" x14ac:dyDescent="0.25">
      <c r="P4083">
        <f t="shared" si="63"/>
        <v>1900</v>
      </c>
    </row>
    <row r="4084" spans="16:16" x14ac:dyDescent="0.25">
      <c r="P4084">
        <f t="shared" si="63"/>
        <v>1900</v>
      </c>
    </row>
    <row r="4085" spans="16:16" x14ac:dyDescent="0.25">
      <c r="P4085">
        <f t="shared" si="63"/>
        <v>1900</v>
      </c>
    </row>
    <row r="4086" spans="16:16" x14ac:dyDescent="0.25">
      <c r="P4086">
        <f t="shared" si="63"/>
        <v>1900</v>
      </c>
    </row>
    <row r="4087" spans="16:16" x14ac:dyDescent="0.25">
      <c r="P4087">
        <f t="shared" si="63"/>
        <v>1900</v>
      </c>
    </row>
    <row r="4088" spans="16:16" x14ac:dyDescent="0.25">
      <c r="P4088">
        <f t="shared" si="63"/>
        <v>1900</v>
      </c>
    </row>
    <row r="4089" spans="16:16" x14ac:dyDescent="0.25">
      <c r="P4089">
        <f t="shared" si="63"/>
        <v>1900</v>
      </c>
    </row>
    <row r="4090" spans="16:16" x14ac:dyDescent="0.25">
      <c r="P4090">
        <f t="shared" si="63"/>
        <v>1900</v>
      </c>
    </row>
    <row r="4091" spans="16:16" x14ac:dyDescent="0.25">
      <c r="P4091">
        <f t="shared" si="63"/>
        <v>1900</v>
      </c>
    </row>
    <row r="4092" spans="16:16" x14ac:dyDescent="0.25">
      <c r="P4092">
        <f t="shared" si="63"/>
        <v>1900</v>
      </c>
    </row>
    <row r="4093" spans="16:16" x14ac:dyDescent="0.25">
      <c r="P4093">
        <f t="shared" si="63"/>
        <v>1900</v>
      </c>
    </row>
    <row r="4094" spans="16:16" x14ac:dyDescent="0.25">
      <c r="P4094">
        <f t="shared" si="63"/>
        <v>1900</v>
      </c>
    </row>
    <row r="4095" spans="16:16" x14ac:dyDescent="0.25">
      <c r="P4095">
        <f t="shared" si="63"/>
        <v>1900</v>
      </c>
    </row>
    <row r="4096" spans="16:16" x14ac:dyDescent="0.25">
      <c r="P4096">
        <f t="shared" si="63"/>
        <v>1900</v>
      </c>
    </row>
    <row r="4097" spans="16:16" x14ac:dyDescent="0.25">
      <c r="P4097">
        <f t="shared" si="63"/>
        <v>1900</v>
      </c>
    </row>
    <row r="4098" spans="16:16" x14ac:dyDescent="0.25">
      <c r="P4098">
        <f t="shared" ref="P4098:P4161" si="64">IFERROR(YEAR(D4098),"")</f>
        <v>1900</v>
      </c>
    </row>
    <row r="4099" spans="16:16" x14ac:dyDescent="0.25">
      <c r="P4099">
        <f t="shared" si="64"/>
        <v>1900</v>
      </c>
    </row>
    <row r="4100" spans="16:16" x14ac:dyDescent="0.25">
      <c r="P4100">
        <f t="shared" si="64"/>
        <v>1900</v>
      </c>
    </row>
    <row r="4101" spans="16:16" x14ac:dyDescent="0.25">
      <c r="P4101">
        <f t="shared" si="64"/>
        <v>1900</v>
      </c>
    </row>
    <row r="4102" spans="16:16" x14ac:dyDescent="0.25">
      <c r="P4102">
        <f t="shared" si="64"/>
        <v>1900</v>
      </c>
    </row>
    <row r="4103" spans="16:16" x14ac:dyDescent="0.25">
      <c r="P4103">
        <f t="shared" si="64"/>
        <v>1900</v>
      </c>
    </row>
    <row r="4104" spans="16:16" x14ac:dyDescent="0.25">
      <c r="P4104">
        <f t="shared" si="64"/>
        <v>1900</v>
      </c>
    </row>
    <row r="4105" spans="16:16" x14ac:dyDescent="0.25">
      <c r="P4105">
        <f t="shared" si="64"/>
        <v>1900</v>
      </c>
    </row>
    <row r="4106" spans="16:16" x14ac:dyDescent="0.25">
      <c r="P4106">
        <f t="shared" si="64"/>
        <v>1900</v>
      </c>
    </row>
    <row r="4107" spans="16:16" x14ac:dyDescent="0.25">
      <c r="P4107">
        <f t="shared" si="64"/>
        <v>1900</v>
      </c>
    </row>
    <row r="4108" spans="16:16" x14ac:dyDescent="0.25">
      <c r="P4108">
        <f t="shared" si="64"/>
        <v>1900</v>
      </c>
    </row>
    <row r="4109" spans="16:16" x14ac:dyDescent="0.25">
      <c r="P4109">
        <f t="shared" si="64"/>
        <v>1900</v>
      </c>
    </row>
    <row r="4110" spans="16:16" x14ac:dyDescent="0.25">
      <c r="P4110">
        <f t="shared" si="64"/>
        <v>1900</v>
      </c>
    </row>
    <row r="4111" spans="16:16" x14ac:dyDescent="0.25">
      <c r="P4111">
        <f t="shared" si="64"/>
        <v>1900</v>
      </c>
    </row>
    <row r="4112" spans="16:16" x14ac:dyDescent="0.25">
      <c r="P4112">
        <f t="shared" si="64"/>
        <v>1900</v>
      </c>
    </row>
    <row r="4113" spans="16:16" x14ac:dyDescent="0.25">
      <c r="P4113">
        <f t="shared" si="64"/>
        <v>1900</v>
      </c>
    </row>
    <row r="4114" spans="16:16" x14ac:dyDescent="0.25">
      <c r="P4114">
        <f t="shared" si="64"/>
        <v>1900</v>
      </c>
    </row>
    <row r="4115" spans="16:16" x14ac:dyDescent="0.25">
      <c r="P4115">
        <f t="shared" si="64"/>
        <v>1900</v>
      </c>
    </row>
    <row r="4116" spans="16:16" x14ac:dyDescent="0.25">
      <c r="P4116">
        <f t="shared" si="64"/>
        <v>1900</v>
      </c>
    </row>
    <row r="4117" spans="16:16" x14ac:dyDescent="0.25">
      <c r="P4117">
        <f t="shared" si="64"/>
        <v>1900</v>
      </c>
    </row>
    <row r="4118" spans="16:16" x14ac:dyDescent="0.25">
      <c r="P4118">
        <f t="shared" si="64"/>
        <v>1900</v>
      </c>
    </row>
    <row r="4119" spans="16:16" x14ac:dyDescent="0.25">
      <c r="P4119">
        <f t="shared" si="64"/>
        <v>1900</v>
      </c>
    </row>
    <row r="4120" spans="16:16" x14ac:dyDescent="0.25">
      <c r="P4120">
        <f t="shared" si="64"/>
        <v>1900</v>
      </c>
    </row>
    <row r="4121" spans="16:16" x14ac:dyDescent="0.25">
      <c r="P4121">
        <f t="shared" si="64"/>
        <v>1900</v>
      </c>
    </row>
    <row r="4122" spans="16:16" x14ac:dyDescent="0.25">
      <c r="P4122">
        <f t="shared" si="64"/>
        <v>1900</v>
      </c>
    </row>
    <row r="4123" spans="16:16" x14ac:dyDescent="0.25">
      <c r="P4123">
        <f t="shared" si="64"/>
        <v>1900</v>
      </c>
    </row>
    <row r="4124" spans="16:16" x14ac:dyDescent="0.25">
      <c r="P4124">
        <f t="shared" si="64"/>
        <v>1900</v>
      </c>
    </row>
    <row r="4125" spans="16:16" x14ac:dyDescent="0.25">
      <c r="P4125">
        <f t="shared" si="64"/>
        <v>1900</v>
      </c>
    </row>
    <row r="4126" spans="16:16" x14ac:dyDescent="0.25">
      <c r="P4126">
        <f t="shared" si="64"/>
        <v>1900</v>
      </c>
    </row>
    <row r="4127" spans="16:16" x14ac:dyDescent="0.25">
      <c r="P4127">
        <f t="shared" si="64"/>
        <v>1900</v>
      </c>
    </row>
    <row r="4128" spans="16:16" x14ac:dyDescent="0.25">
      <c r="P4128">
        <f t="shared" si="64"/>
        <v>1900</v>
      </c>
    </row>
    <row r="4129" spans="16:16" x14ac:dyDescent="0.25">
      <c r="P4129">
        <f t="shared" si="64"/>
        <v>1900</v>
      </c>
    </row>
    <row r="4130" spans="16:16" x14ac:dyDescent="0.25">
      <c r="P4130">
        <f t="shared" si="64"/>
        <v>1900</v>
      </c>
    </row>
    <row r="4131" spans="16:16" x14ac:dyDescent="0.25">
      <c r="P4131">
        <f t="shared" si="64"/>
        <v>1900</v>
      </c>
    </row>
    <row r="4132" spans="16:16" x14ac:dyDescent="0.25">
      <c r="P4132">
        <f t="shared" si="64"/>
        <v>1900</v>
      </c>
    </row>
    <row r="4133" spans="16:16" x14ac:dyDescent="0.25">
      <c r="P4133">
        <f t="shared" si="64"/>
        <v>1900</v>
      </c>
    </row>
    <row r="4134" spans="16:16" x14ac:dyDescent="0.25">
      <c r="P4134">
        <f t="shared" si="64"/>
        <v>1900</v>
      </c>
    </row>
    <row r="4135" spans="16:16" x14ac:dyDescent="0.25">
      <c r="P4135">
        <f t="shared" si="64"/>
        <v>1900</v>
      </c>
    </row>
    <row r="4136" spans="16:16" x14ac:dyDescent="0.25">
      <c r="P4136">
        <f t="shared" si="64"/>
        <v>1900</v>
      </c>
    </row>
    <row r="4137" spans="16:16" x14ac:dyDescent="0.25">
      <c r="P4137">
        <f t="shared" si="64"/>
        <v>1900</v>
      </c>
    </row>
    <row r="4138" spans="16:16" x14ac:dyDescent="0.25">
      <c r="P4138">
        <f t="shared" si="64"/>
        <v>1900</v>
      </c>
    </row>
    <row r="4139" spans="16:16" x14ac:dyDescent="0.25">
      <c r="P4139">
        <f t="shared" si="64"/>
        <v>1900</v>
      </c>
    </row>
    <row r="4140" spans="16:16" x14ac:dyDescent="0.25">
      <c r="P4140">
        <f t="shared" si="64"/>
        <v>1900</v>
      </c>
    </row>
    <row r="4141" spans="16:16" x14ac:dyDescent="0.25">
      <c r="P4141">
        <f t="shared" si="64"/>
        <v>1900</v>
      </c>
    </row>
    <row r="4142" spans="16:16" x14ac:dyDescent="0.25">
      <c r="P4142">
        <f t="shared" si="64"/>
        <v>1900</v>
      </c>
    </row>
    <row r="4143" spans="16:16" x14ac:dyDescent="0.25">
      <c r="P4143">
        <f t="shared" si="64"/>
        <v>1900</v>
      </c>
    </row>
    <row r="4144" spans="16:16" x14ac:dyDescent="0.25">
      <c r="P4144">
        <f t="shared" si="64"/>
        <v>1900</v>
      </c>
    </row>
    <row r="4145" spans="16:16" x14ac:dyDescent="0.25">
      <c r="P4145">
        <f t="shared" si="64"/>
        <v>1900</v>
      </c>
    </row>
    <row r="4146" spans="16:16" x14ac:dyDescent="0.25">
      <c r="P4146">
        <f t="shared" si="64"/>
        <v>1900</v>
      </c>
    </row>
    <row r="4147" spans="16:16" x14ac:dyDescent="0.25">
      <c r="P4147">
        <f t="shared" si="64"/>
        <v>1900</v>
      </c>
    </row>
    <row r="4148" spans="16:16" x14ac:dyDescent="0.25">
      <c r="P4148">
        <f t="shared" si="64"/>
        <v>1900</v>
      </c>
    </row>
    <row r="4149" spans="16:16" x14ac:dyDescent="0.25">
      <c r="P4149">
        <f t="shared" si="64"/>
        <v>1900</v>
      </c>
    </row>
    <row r="4150" spans="16:16" x14ac:dyDescent="0.25">
      <c r="P4150">
        <f t="shared" si="64"/>
        <v>1900</v>
      </c>
    </row>
    <row r="4151" spans="16:16" x14ac:dyDescent="0.25">
      <c r="P4151">
        <f t="shared" si="64"/>
        <v>1900</v>
      </c>
    </row>
    <row r="4152" spans="16:16" x14ac:dyDescent="0.25">
      <c r="P4152">
        <f t="shared" si="64"/>
        <v>1900</v>
      </c>
    </row>
    <row r="4153" spans="16:16" x14ac:dyDescent="0.25">
      <c r="P4153">
        <f t="shared" si="64"/>
        <v>1900</v>
      </c>
    </row>
    <row r="4154" spans="16:16" x14ac:dyDescent="0.25">
      <c r="P4154">
        <f t="shared" si="64"/>
        <v>1900</v>
      </c>
    </row>
    <row r="4155" spans="16:16" x14ac:dyDescent="0.25">
      <c r="P4155">
        <f t="shared" si="64"/>
        <v>1900</v>
      </c>
    </row>
    <row r="4156" spans="16:16" x14ac:dyDescent="0.25">
      <c r="P4156">
        <f t="shared" si="64"/>
        <v>1900</v>
      </c>
    </row>
    <row r="4157" spans="16:16" x14ac:dyDescent="0.25">
      <c r="P4157">
        <f t="shared" si="64"/>
        <v>1900</v>
      </c>
    </row>
    <row r="4158" spans="16:16" x14ac:dyDescent="0.25">
      <c r="P4158">
        <f t="shared" si="64"/>
        <v>1900</v>
      </c>
    </row>
    <row r="4159" spans="16:16" x14ac:dyDescent="0.25">
      <c r="P4159">
        <f t="shared" si="64"/>
        <v>1900</v>
      </c>
    </row>
    <row r="4160" spans="16:16" x14ac:dyDescent="0.25">
      <c r="P4160">
        <f t="shared" si="64"/>
        <v>1900</v>
      </c>
    </row>
    <row r="4161" spans="16:16" x14ac:dyDescent="0.25">
      <c r="P4161">
        <f t="shared" si="64"/>
        <v>1900</v>
      </c>
    </row>
    <row r="4162" spans="16:16" x14ac:dyDescent="0.25">
      <c r="P4162">
        <f t="shared" ref="P4162:P4225" si="65">IFERROR(YEAR(D4162),"")</f>
        <v>1900</v>
      </c>
    </row>
    <row r="4163" spans="16:16" x14ac:dyDescent="0.25">
      <c r="P4163">
        <f t="shared" si="65"/>
        <v>1900</v>
      </c>
    </row>
    <row r="4164" spans="16:16" x14ac:dyDescent="0.25">
      <c r="P4164">
        <f t="shared" si="65"/>
        <v>1900</v>
      </c>
    </row>
    <row r="4165" spans="16:16" x14ac:dyDescent="0.25">
      <c r="P4165">
        <f t="shared" si="65"/>
        <v>1900</v>
      </c>
    </row>
    <row r="4166" spans="16:16" x14ac:dyDescent="0.25">
      <c r="P4166">
        <f t="shared" si="65"/>
        <v>1900</v>
      </c>
    </row>
    <row r="4167" spans="16:16" x14ac:dyDescent="0.25">
      <c r="P4167">
        <f t="shared" si="65"/>
        <v>1900</v>
      </c>
    </row>
    <row r="4168" spans="16:16" x14ac:dyDescent="0.25">
      <c r="P4168">
        <f t="shared" si="65"/>
        <v>1900</v>
      </c>
    </row>
    <row r="4169" spans="16:16" x14ac:dyDescent="0.25">
      <c r="P4169">
        <f t="shared" si="65"/>
        <v>1900</v>
      </c>
    </row>
    <row r="4170" spans="16:16" x14ac:dyDescent="0.25">
      <c r="P4170">
        <f t="shared" si="65"/>
        <v>1900</v>
      </c>
    </row>
    <row r="4171" spans="16:16" x14ac:dyDescent="0.25">
      <c r="P4171">
        <f t="shared" si="65"/>
        <v>1900</v>
      </c>
    </row>
    <row r="4172" spans="16:16" x14ac:dyDescent="0.25">
      <c r="P4172">
        <f t="shared" si="65"/>
        <v>1900</v>
      </c>
    </row>
    <row r="4173" spans="16:16" x14ac:dyDescent="0.25">
      <c r="P4173">
        <f t="shared" si="65"/>
        <v>1900</v>
      </c>
    </row>
    <row r="4174" spans="16:16" x14ac:dyDescent="0.25">
      <c r="P4174">
        <f t="shared" si="65"/>
        <v>1900</v>
      </c>
    </row>
    <row r="4175" spans="16:16" x14ac:dyDescent="0.25">
      <c r="P4175">
        <f t="shared" si="65"/>
        <v>1900</v>
      </c>
    </row>
    <row r="4176" spans="16:16" x14ac:dyDescent="0.25">
      <c r="P4176">
        <f t="shared" si="65"/>
        <v>1900</v>
      </c>
    </row>
    <row r="4177" spans="16:16" x14ac:dyDescent="0.25">
      <c r="P4177">
        <f t="shared" si="65"/>
        <v>1900</v>
      </c>
    </row>
    <row r="4178" spans="16:16" x14ac:dyDescent="0.25">
      <c r="P4178">
        <f t="shared" si="65"/>
        <v>1900</v>
      </c>
    </row>
    <row r="4179" spans="16:16" x14ac:dyDescent="0.25">
      <c r="P4179">
        <f t="shared" si="65"/>
        <v>1900</v>
      </c>
    </row>
    <row r="4180" spans="16:16" x14ac:dyDescent="0.25">
      <c r="P4180">
        <f t="shared" si="65"/>
        <v>1900</v>
      </c>
    </row>
    <row r="4181" spans="16:16" x14ac:dyDescent="0.25">
      <c r="P4181">
        <f t="shared" si="65"/>
        <v>1900</v>
      </c>
    </row>
    <row r="4182" spans="16:16" x14ac:dyDescent="0.25">
      <c r="P4182">
        <f t="shared" si="65"/>
        <v>1900</v>
      </c>
    </row>
    <row r="4183" spans="16:16" x14ac:dyDescent="0.25">
      <c r="P4183">
        <f t="shared" si="65"/>
        <v>1900</v>
      </c>
    </row>
    <row r="4184" spans="16:16" x14ac:dyDescent="0.25">
      <c r="P4184">
        <f t="shared" si="65"/>
        <v>1900</v>
      </c>
    </row>
    <row r="4185" spans="16:16" x14ac:dyDescent="0.25">
      <c r="P4185">
        <f t="shared" si="65"/>
        <v>1900</v>
      </c>
    </row>
    <row r="4186" spans="16:16" x14ac:dyDescent="0.25">
      <c r="P4186">
        <f t="shared" si="65"/>
        <v>1900</v>
      </c>
    </row>
    <row r="4187" spans="16:16" x14ac:dyDescent="0.25">
      <c r="P4187">
        <f t="shared" si="65"/>
        <v>1900</v>
      </c>
    </row>
    <row r="4188" spans="16:16" x14ac:dyDescent="0.25">
      <c r="P4188">
        <f t="shared" si="65"/>
        <v>1900</v>
      </c>
    </row>
    <row r="4189" spans="16:16" x14ac:dyDescent="0.25">
      <c r="P4189">
        <f t="shared" si="65"/>
        <v>1900</v>
      </c>
    </row>
    <row r="4190" spans="16:16" x14ac:dyDescent="0.25">
      <c r="P4190">
        <f t="shared" si="65"/>
        <v>1900</v>
      </c>
    </row>
    <row r="4191" spans="16:16" x14ac:dyDescent="0.25">
      <c r="P4191">
        <f t="shared" si="65"/>
        <v>1900</v>
      </c>
    </row>
    <row r="4192" spans="16:16" x14ac:dyDescent="0.25">
      <c r="P4192">
        <f t="shared" si="65"/>
        <v>1900</v>
      </c>
    </row>
    <row r="4193" spans="16:16" x14ac:dyDescent="0.25">
      <c r="P4193">
        <f t="shared" si="65"/>
        <v>1900</v>
      </c>
    </row>
    <row r="4194" spans="16:16" x14ac:dyDescent="0.25">
      <c r="P4194">
        <f t="shared" si="65"/>
        <v>1900</v>
      </c>
    </row>
    <row r="4195" spans="16:16" x14ac:dyDescent="0.25">
      <c r="P4195">
        <f t="shared" si="65"/>
        <v>1900</v>
      </c>
    </row>
    <row r="4196" spans="16:16" x14ac:dyDescent="0.25">
      <c r="P4196">
        <f t="shared" si="65"/>
        <v>1900</v>
      </c>
    </row>
    <row r="4197" spans="16:16" x14ac:dyDescent="0.25">
      <c r="P4197">
        <f t="shared" si="65"/>
        <v>1900</v>
      </c>
    </row>
    <row r="4198" spans="16:16" x14ac:dyDescent="0.25">
      <c r="P4198">
        <f t="shared" si="65"/>
        <v>1900</v>
      </c>
    </row>
    <row r="4199" spans="16:16" x14ac:dyDescent="0.25">
      <c r="P4199">
        <f t="shared" si="65"/>
        <v>1900</v>
      </c>
    </row>
    <row r="4200" spans="16:16" x14ac:dyDescent="0.25">
      <c r="P4200">
        <f t="shared" si="65"/>
        <v>1900</v>
      </c>
    </row>
    <row r="4201" spans="16:16" x14ac:dyDescent="0.25">
      <c r="P4201">
        <f t="shared" si="65"/>
        <v>1900</v>
      </c>
    </row>
    <row r="4202" spans="16:16" x14ac:dyDescent="0.25">
      <c r="P4202">
        <f t="shared" si="65"/>
        <v>1900</v>
      </c>
    </row>
    <row r="4203" spans="16:16" x14ac:dyDescent="0.25">
      <c r="P4203">
        <f t="shared" si="65"/>
        <v>1900</v>
      </c>
    </row>
    <row r="4204" spans="16:16" x14ac:dyDescent="0.25">
      <c r="P4204">
        <f t="shared" si="65"/>
        <v>1900</v>
      </c>
    </row>
    <row r="4205" spans="16:16" x14ac:dyDescent="0.25">
      <c r="P4205">
        <f t="shared" si="65"/>
        <v>1900</v>
      </c>
    </row>
    <row r="4206" spans="16:16" x14ac:dyDescent="0.25">
      <c r="P4206">
        <f t="shared" si="65"/>
        <v>1900</v>
      </c>
    </row>
    <row r="4207" spans="16:16" x14ac:dyDescent="0.25">
      <c r="P4207">
        <f t="shared" si="65"/>
        <v>1900</v>
      </c>
    </row>
    <row r="4208" spans="16:16" x14ac:dyDescent="0.25">
      <c r="P4208">
        <f t="shared" si="65"/>
        <v>1900</v>
      </c>
    </row>
    <row r="4209" spans="16:16" x14ac:dyDescent="0.25">
      <c r="P4209">
        <f t="shared" si="65"/>
        <v>1900</v>
      </c>
    </row>
    <row r="4210" spans="16:16" x14ac:dyDescent="0.25">
      <c r="P4210">
        <f t="shared" si="65"/>
        <v>1900</v>
      </c>
    </row>
    <row r="4211" spans="16:16" x14ac:dyDescent="0.25">
      <c r="P4211">
        <f t="shared" si="65"/>
        <v>1900</v>
      </c>
    </row>
    <row r="4212" spans="16:16" x14ac:dyDescent="0.25">
      <c r="P4212">
        <f t="shared" si="65"/>
        <v>1900</v>
      </c>
    </row>
    <row r="4213" spans="16:16" x14ac:dyDescent="0.25">
      <c r="P4213">
        <f t="shared" si="65"/>
        <v>1900</v>
      </c>
    </row>
    <row r="4214" spans="16:16" x14ac:dyDescent="0.25">
      <c r="P4214">
        <f t="shared" si="65"/>
        <v>1900</v>
      </c>
    </row>
    <row r="4215" spans="16:16" x14ac:dyDescent="0.25">
      <c r="P4215">
        <f t="shared" si="65"/>
        <v>1900</v>
      </c>
    </row>
    <row r="4216" spans="16:16" x14ac:dyDescent="0.25">
      <c r="P4216">
        <f t="shared" si="65"/>
        <v>1900</v>
      </c>
    </row>
    <row r="4217" spans="16:16" x14ac:dyDescent="0.25">
      <c r="P4217">
        <f t="shared" si="65"/>
        <v>1900</v>
      </c>
    </row>
    <row r="4218" spans="16:16" x14ac:dyDescent="0.25">
      <c r="P4218">
        <f t="shared" si="65"/>
        <v>1900</v>
      </c>
    </row>
    <row r="4219" spans="16:16" x14ac:dyDescent="0.25">
      <c r="P4219">
        <f t="shared" si="65"/>
        <v>1900</v>
      </c>
    </row>
    <row r="4220" spans="16:16" x14ac:dyDescent="0.25">
      <c r="P4220">
        <f t="shared" si="65"/>
        <v>1900</v>
      </c>
    </row>
    <row r="4221" spans="16:16" x14ac:dyDescent="0.25">
      <c r="P4221">
        <f t="shared" si="65"/>
        <v>1900</v>
      </c>
    </row>
    <row r="4222" spans="16:16" x14ac:dyDescent="0.25">
      <c r="P4222">
        <f t="shared" si="65"/>
        <v>1900</v>
      </c>
    </row>
    <row r="4223" spans="16:16" x14ac:dyDescent="0.25">
      <c r="P4223">
        <f t="shared" si="65"/>
        <v>1900</v>
      </c>
    </row>
    <row r="4224" spans="16:16" x14ac:dyDescent="0.25">
      <c r="P4224">
        <f t="shared" si="65"/>
        <v>1900</v>
      </c>
    </row>
    <row r="4225" spans="16:16" x14ac:dyDescent="0.25">
      <c r="P4225">
        <f t="shared" si="65"/>
        <v>1900</v>
      </c>
    </row>
    <row r="4226" spans="16:16" x14ac:dyDescent="0.25">
      <c r="P4226">
        <f t="shared" ref="P4226:P4289" si="66">IFERROR(YEAR(D4226),"")</f>
        <v>1900</v>
      </c>
    </row>
    <row r="4227" spans="16:16" x14ac:dyDescent="0.25">
      <c r="P4227">
        <f t="shared" si="66"/>
        <v>1900</v>
      </c>
    </row>
    <row r="4228" spans="16:16" x14ac:dyDescent="0.25">
      <c r="P4228">
        <f t="shared" si="66"/>
        <v>1900</v>
      </c>
    </row>
    <row r="4229" spans="16:16" x14ac:dyDescent="0.25">
      <c r="P4229">
        <f t="shared" si="66"/>
        <v>1900</v>
      </c>
    </row>
    <row r="4230" spans="16:16" x14ac:dyDescent="0.25">
      <c r="P4230">
        <f t="shared" si="66"/>
        <v>1900</v>
      </c>
    </row>
    <row r="4231" spans="16:16" x14ac:dyDescent="0.25">
      <c r="P4231">
        <f t="shared" si="66"/>
        <v>1900</v>
      </c>
    </row>
    <row r="4232" spans="16:16" x14ac:dyDescent="0.25">
      <c r="P4232">
        <f t="shared" si="66"/>
        <v>1900</v>
      </c>
    </row>
    <row r="4233" spans="16:16" x14ac:dyDescent="0.25">
      <c r="P4233">
        <f t="shared" si="66"/>
        <v>1900</v>
      </c>
    </row>
    <row r="4234" spans="16:16" x14ac:dyDescent="0.25">
      <c r="P4234">
        <f t="shared" si="66"/>
        <v>1900</v>
      </c>
    </row>
    <row r="4235" spans="16:16" x14ac:dyDescent="0.25">
      <c r="P4235">
        <f t="shared" si="66"/>
        <v>1900</v>
      </c>
    </row>
    <row r="4236" spans="16:16" x14ac:dyDescent="0.25">
      <c r="P4236">
        <f t="shared" si="66"/>
        <v>1900</v>
      </c>
    </row>
    <row r="4237" spans="16:16" x14ac:dyDescent="0.25">
      <c r="P4237">
        <f t="shared" si="66"/>
        <v>1900</v>
      </c>
    </row>
    <row r="4238" spans="16:16" x14ac:dyDescent="0.25">
      <c r="P4238">
        <f t="shared" si="66"/>
        <v>1900</v>
      </c>
    </row>
    <row r="4239" spans="16:16" x14ac:dyDescent="0.25">
      <c r="P4239">
        <f t="shared" si="66"/>
        <v>1900</v>
      </c>
    </row>
    <row r="4240" spans="16:16" x14ac:dyDescent="0.25">
      <c r="P4240">
        <f t="shared" si="66"/>
        <v>1900</v>
      </c>
    </row>
    <row r="4241" spans="16:16" x14ac:dyDescent="0.25">
      <c r="P4241">
        <f t="shared" si="66"/>
        <v>1900</v>
      </c>
    </row>
    <row r="4242" spans="16:16" x14ac:dyDescent="0.25">
      <c r="P4242">
        <f t="shared" si="66"/>
        <v>1900</v>
      </c>
    </row>
    <row r="4243" spans="16:16" x14ac:dyDescent="0.25">
      <c r="P4243">
        <f t="shared" si="66"/>
        <v>1900</v>
      </c>
    </row>
    <row r="4244" spans="16:16" x14ac:dyDescent="0.25">
      <c r="P4244">
        <f t="shared" si="66"/>
        <v>1900</v>
      </c>
    </row>
    <row r="4245" spans="16:16" x14ac:dyDescent="0.25">
      <c r="P4245">
        <f t="shared" si="66"/>
        <v>1900</v>
      </c>
    </row>
    <row r="4246" spans="16:16" x14ac:dyDescent="0.25">
      <c r="P4246">
        <f t="shared" si="66"/>
        <v>1900</v>
      </c>
    </row>
    <row r="4247" spans="16:16" x14ac:dyDescent="0.25">
      <c r="P4247">
        <f t="shared" si="66"/>
        <v>1900</v>
      </c>
    </row>
    <row r="4248" spans="16:16" x14ac:dyDescent="0.25">
      <c r="P4248">
        <f t="shared" si="66"/>
        <v>1900</v>
      </c>
    </row>
    <row r="4249" spans="16:16" x14ac:dyDescent="0.25">
      <c r="P4249">
        <f t="shared" si="66"/>
        <v>1900</v>
      </c>
    </row>
    <row r="4250" spans="16:16" x14ac:dyDescent="0.25">
      <c r="P4250">
        <f t="shared" si="66"/>
        <v>1900</v>
      </c>
    </row>
    <row r="4251" spans="16:16" x14ac:dyDescent="0.25">
      <c r="P4251">
        <f t="shared" si="66"/>
        <v>1900</v>
      </c>
    </row>
    <row r="4252" spans="16:16" x14ac:dyDescent="0.25">
      <c r="P4252">
        <f t="shared" si="66"/>
        <v>1900</v>
      </c>
    </row>
    <row r="4253" spans="16:16" x14ac:dyDescent="0.25">
      <c r="P4253">
        <f t="shared" si="66"/>
        <v>1900</v>
      </c>
    </row>
    <row r="4254" spans="16:16" x14ac:dyDescent="0.25">
      <c r="P4254">
        <f t="shared" si="66"/>
        <v>1900</v>
      </c>
    </row>
    <row r="4255" spans="16:16" x14ac:dyDescent="0.25">
      <c r="P4255">
        <f t="shared" si="66"/>
        <v>1900</v>
      </c>
    </row>
    <row r="4256" spans="16:16" x14ac:dyDescent="0.25">
      <c r="P4256">
        <f t="shared" si="66"/>
        <v>1900</v>
      </c>
    </row>
    <row r="4257" spans="16:16" x14ac:dyDescent="0.25">
      <c r="P4257">
        <f t="shared" si="66"/>
        <v>1900</v>
      </c>
    </row>
    <row r="4258" spans="16:16" x14ac:dyDescent="0.25">
      <c r="P4258">
        <f t="shared" si="66"/>
        <v>1900</v>
      </c>
    </row>
    <row r="4259" spans="16:16" x14ac:dyDescent="0.25">
      <c r="P4259">
        <f t="shared" si="66"/>
        <v>1900</v>
      </c>
    </row>
    <row r="4260" spans="16:16" x14ac:dyDescent="0.25">
      <c r="P4260">
        <f t="shared" si="66"/>
        <v>1900</v>
      </c>
    </row>
    <row r="4261" spans="16:16" x14ac:dyDescent="0.25">
      <c r="P4261">
        <f t="shared" si="66"/>
        <v>1900</v>
      </c>
    </row>
    <row r="4262" spans="16:16" x14ac:dyDescent="0.25">
      <c r="P4262">
        <f t="shared" si="66"/>
        <v>1900</v>
      </c>
    </row>
    <row r="4263" spans="16:16" x14ac:dyDescent="0.25">
      <c r="P4263">
        <f t="shared" si="66"/>
        <v>1900</v>
      </c>
    </row>
    <row r="4264" spans="16:16" x14ac:dyDescent="0.25">
      <c r="P4264">
        <f t="shared" si="66"/>
        <v>1900</v>
      </c>
    </row>
    <row r="4265" spans="16:16" x14ac:dyDescent="0.25">
      <c r="P4265">
        <f t="shared" si="66"/>
        <v>1900</v>
      </c>
    </row>
    <row r="4266" spans="16:16" x14ac:dyDescent="0.25">
      <c r="P4266">
        <f t="shared" si="66"/>
        <v>1900</v>
      </c>
    </row>
    <row r="4267" spans="16:16" x14ac:dyDescent="0.25">
      <c r="P4267">
        <f t="shared" si="66"/>
        <v>1900</v>
      </c>
    </row>
    <row r="4268" spans="16:16" x14ac:dyDescent="0.25">
      <c r="P4268">
        <f t="shared" si="66"/>
        <v>1900</v>
      </c>
    </row>
    <row r="4269" spans="16:16" x14ac:dyDescent="0.25">
      <c r="P4269">
        <f t="shared" si="66"/>
        <v>1900</v>
      </c>
    </row>
    <row r="4270" spans="16:16" x14ac:dyDescent="0.25">
      <c r="P4270">
        <f t="shared" si="66"/>
        <v>1900</v>
      </c>
    </row>
    <row r="4271" spans="16:16" x14ac:dyDescent="0.25">
      <c r="P4271">
        <f t="shared" si="66"/>
        <v>1900</v>
      </c>
    </row>
    <row r="4272" spans="16:16" x14ac:dyDescent="0.25">
      <c r="P4272">
        <f t="shared" si="66"/>
        <v>1900</v>
      </c>
    </row>
    <row r="4273" spans="16:16" x14ac:dyDescent="0.25">
      <c r="P4273">
        <f t="shared" si="66"/>
        <v>1900</v>
      </c>
    </row>
    <row r="4274" spans="16:16" x14ac:dyDescent="0.25">
      <c r="P4274">
        <f t="shared" si="66"/>
        <v>1900</v>
      </c>
    </row>
    <row r="4275" spans="16:16" x14ac:dyDescent="0.25">
      <c r="P4275">
        <f t="shared" si="66"/>
        <v>1900</v>
      </c>
    </row>
    <row r="4276" spans="16:16" x14ac:dyDescent="0.25">
      <c r="P4276">
        <f t="shared" si="66"/>
        <v>1900</v>
      </c>
    </row>
    <row r="4277" spans="16:16" x14ac:dyDescent="0.25">
      <c r="P4277">
        <f t="shared" si="66"/>
        <v>1900</v>
      </c>
    </row>
    <row r="4278" spans="16:16" x14ac:dyDescent="0.25">
      <c r="P4278">
        <f t="shared" si="66"/>
        <v>1900</v>
      </c>
    </row>
    <row r="4279" spans="16:16" x14ac:dyDescent="0.25">
      <c r="P4279">
        <f t="shared" si="66"/>
        <v>1900</v>
      </c>
    </row>
    <row r="4280" spans="16:16" x14ac:dyDescent="0.25">
      <c r="P4280">
        <f t="shared" si="66"/>
        <v>1900</v>
      </c>
    </row>
    <row r="4281" spans="16:16" x14ac:dyDescent="0.25">
      <c r="P4281">
        <f t="shared" si="66"/>
        <v>1900</v>
      </c>
    </row>
    <row r="4282" spans="16:16" x14ac:dyDescent="0.25">
      <c r="P4282">
        <f t="shared" si="66"/>
        <v>1900</v>
      </c>
    </row>
    <row r="4283" spans="16:16" x14ac:dyDescent="0.25">
      <c r="P4283">
        <f t="shared" si="66"/>
        <v>1900</v>
      </c>
    </row>
    <row r="4284" spans="16:16" x14ac:dyDescent="0.25">
      <c r="P4284">
        <f t="shared" si="66"/>
        <v>1900</v>
      </c>
    </row>
    <row r="4285" spans="16:16" x14ac:dyDescent="0.25">
      <c r="P4285">
        <f t="shared" si="66"/>
        <v>1900</v>
      </c>
    </row>
    <row r="4286" spans="16:16" x14ac:dyDescent="0.25">
      <c r="P4286">
        <f t="shared" si="66"/>
        <v>1900</v>
      </c>
    </row>
    <row r="4287" spans="16:16" x14ac:dyDescent="0.25">
      <c r="P4287">
        <f t="shared" si="66"/>
        <v>1900</v>
      </c>
    </row>
    <row r="4288" spans="16:16" x14ac:dyDescent="0.25">
      <c r="P4288">
        <f t="shared" si="66"/>
        <v>1900</v>
      </c>
    </row>
    <row r="4289" spans="16:16" x14ac:dyDescent="0.25">
      <c r="P4289">
        <f t="shared" si="66"/>
        <v>1900</v>
      </c>
    </row>
    <row r="4290" spans="16:16" x14ac:dyDescent="0.25">
      <c r="P4290">
        <f t="shared" ref="P4290:P4353" si="67">IFERROR(YEAR(D4290),"")</f>
        <v>1900</v>
      </c>
    </row>
    <row r="4291" spans="16:16" x14ac:dyDescent="0.25">
      <c r="P4291">
        <f t="shared" si="67"/>
        <v>1900</v>
      </c>
    </row>
    <row r="4292" spans="16:16" x14ac:dyDescent="0.25">
      <c r="P4292">
        <f t="shared" si="67"/>
        <v>1900</v>
      </c>
    </row>
    <row r="4293" spans="16:16" x14ac:dyDescent="0.25">
      <c r="P4293">
        <f t="shared" si="67"/>
        <v>1900</v>
      </c>
    </row>
    <row r="4294" spans="16:16" x14ac:dyDescent="0.25">
      <c r="P4294">
        <f t="shared" si="67"/>
        <v>1900</v>
      </c>
    </row>
    <row r="4295" spans="16:16" x14ac:dyDescent="0.25">
      <c r="P4295">
        <f t="shared" si="67"/>
        <v>1900</v>
      </c>
    </row>
    <row r="4296" spans="16:16" x14ac:dyDescent="0.25">
      <c r="P4296">
        <f t="shared" si="67"/>
        <v>1900</v>
      </c>
    </row>
    <row r="4297" spans="16:16" x14ac:dyDescent="0.25">
      <c r="P4297">
        <f t="shared" si="67"/>
        <v>1900</v>
      </c>
    </row>
    <row r="4298" spans="16:16" x14ac:dyDescent="0.25">
      <c r="P4298">
        <f t="shared" si="67"/>
        <v>1900</v>
      </c>
    </row>
    <row r="4299" spans="16:16" x14ac:dyDescent="0.25">
      <c r="P4299">
        <f t="shared" si="67"/>
        <v>1900</v>
      </c>
    </row>
    <row r="4300" spans="16:16" x14ac:dyDescent="0.25">
      <c r="P4300">
        <f t="shared" si="67"/>
        <v>1900</v>
      </c>
    </row>
    <row r="4301" spans="16:16" x14ac:dyDescent="0.25">
      <c r="P4301">
        <f t="shared" si="67"/>
        <v>1900</v>
      </c>
    </row>
    <row r="4302" spans="16:16" x14ac:dyDescent="0.25">
      <c r="P4302">
        <f t="shared" si="67"/>
        <v>1900</v>
      </c>
    </row>
    <row r="4303" spans="16:16" x14ac:dyDescent="0.25">
      <c r="P4303">
        <f t="shared" si="67"/>
        <v>1900</v>
      </c>
    </row>
    <row r="4304" spans="16:16" x14ac:dyDescent="0.25">
      <c r="P4304">
        <f t="shared" si="67"/>
        <v>1900</v>
      </c>
    </row>
    <row r="4305" spans="16:16" x14ac:dyDescent="0.25">
      <c r="P4305">
        <f t="shared" si="67"/>
        <v>1900</v>
      </c>
    </row>
    <row r="4306" spans="16:16" x14ac:dyDescent="0.25">
      <c r="P4306">
        <f t="shared" si="67"/>
        <v>1900</v>
      </c>
    </row>
    <row r="4307" spans="16:16" x14ac:dyDescent="0.25">
      <c r="P4307">
        <f t="shared" si="67"/>
        <v>1900</v>
      </c>
    </row>
    <row r="4308" spans="16:16" x14ac:dyDescent="0.25">
      <c r="P4308">
        <f t="shared" si="67"/>
        <v>1900</v>
      </c>
    </row>
    <row r="4309" spans="16:16" x14ac:dyDescent="0.25">
      <c r="P4309">
        <f t="shared" si="67"/>
        <v>1900</v>
      </c>
    </row>
    <row r="4310" spans="16:16" x14ac:dyDescent="0.25">
      <c r="P4310">
        <f t="shared" si="67"/>
        <v>1900</v>
      </c>
    </row>
    <row r="4311" spans="16:16" x14ac:dyDescent="0.25">
      <c r="P4311">
        <f t="shared" si="67"/>
        <v>1900</v>
      </c>
    </row>
    <row r="4312" spans="16:16" x14ac:dyDescent="0.25">
      <c r="P4312">
        <f t="shared" si="67"/>
        <v>1900</v>
      </c>
    </row>
    <row r="4313" spans="16:16" x14ac:dyDescent="0.25">
      <c r="P4313">
        <f t="shared" si="67"/>
        <v>1900</v>
      </c>
    </row>
    <row r="4314" spans="16:16" x14ac:dyDescent="0.25">
      <c r="P4314">
        <f t="shared" si="67"/>
        <v>1900</v>
      </c>
    </row>
    <row r="4315" spans="16:16" x14ac:dyDescent="0.25">
      <c r="P4315">
        <f t="shared" si="67"/>
        <v>1900</v>
      </c>
    </row>
    <row r="4316" spans="16:16" x14ac:dyDescent="0.25">
      <c r="P4316">
        <f t="shared" si="67"/>
        <v>1900</v>
      </c>
    </row>
    <row r="4317" spans="16:16" x14ac:dyDescent="0.25">
      <c r="P4317">
        <f t="shared" si="67"/>
        <v>1900</v>
      </c>
    </row>
    <row r="4318" spans="16:16" x14ac:dyDescent="0.25">
      <c r="P4318">
        <f t="shared" si="67"/>
        <v>1900</v>
      </c>
    </row>
    <row r="4319" spans="16:16" x14ac:dyDescent="0.25">
      <c r="P4319">
        <f t="shared" si="67"/>
        <v>1900</v>
      </c>
    </row>
    <row r="4320" spans="16:16" x14ac:dyDescent="0.25">
      <c r="P4320">
        <f t="shared" si="67"/>
        <v>1900</v>
      </c>
    </row>
    <row r="4321" spans="16:16" x14ac:dyDescent="0.25">
      <c r="P4321">
        <f t="shared" si="67"/>
        <v>1900</v>
      </c>
    </row>
    <row r="4322" spans="16:16" x14ac:dyDescent="0.25">
      <c r="P4322">
        <f t="shared" si="67"/>
        <v>1900</v>
      </c>
    </row>
    <row r="4323" spans="16:16" x14ac:dyDescent="0.25">
      <c r="P4323">
        <f t="shared" si="67"/>
        <v>1900</v>
      </c>
    </row>
    <row r="4324" spans="16:16" x14ac:dyDescent="0.25">
      <c r="P4324">
        <f t="shared" si="67"/>
        <v>1900</v>
      </c>
    </row>
    <row r="4325" spans="16:16" x14ac:dyDescent="0.25">
      <c r="P4325">
        <f t="shared" si="67"/>
        <v>1900</v>
      </c>
    </row>
    <row r="4326" spans="16:16" x14ac:dyDescent="0.25">
      <c r="P4326">
        <f t="shared" si="67"/>
        <v>1900</v>
      </c>
    </row>
    <row r="4327" spans="16:16" x14ac:dyDescent="0.25">
      <c r="P4327">
        <f t="shared" si="67"/>
        <v>1900</v>
      </c>
    </row>
    <row r="4328" spans="16:16" x14ac:dyDescent="0.25">
      <c r="P4328">
        <f t="shared" si="67"/>
        <v>1900</v>
      </c>
    </row>
    <row r="4329" spans="16:16" x14ac:dyDescent="0.25">
      <c r="P4329">
        <f t="shared" si="67"/>
        <v>1900</v>
      </c>
    </row>
    <row r="4330" spans="16:16" x14ac:dyDescent="0.25">
      <c r="P4330">
        <f t="shared" si="67"/>
        <v>1900</v>
      </c>
    </row>
    <row r="4331" spans="16:16" x14ac:dyDescent="0.25">
      <c r="P4331">
        <f t="shared" si="67"/>
        <v>1900</v>
      </c>
    </row>
    <row r="4332" spans="16:16" x14ac:dyDescent="0.25">
      <c r="P4332">
        <f t="shared" si="67"/>
        <v>1900</v>
      </c>
    </row>
    <row r="4333" spans="16:16" x14ac:dyDescent="0.25">
      <c r="P4333">
        <f t="shared" si="67"/>
        <v>1900</v>
      </c>
    </row>
    <row r="4334" spans="16:16" x14ac:dyDescent="0.25">
      <c r="P4334">
        <f t="shared" si="67"/>
        <v>1900</v>
      </c>
    </row>
    <row r="4335" spans="16:16" x14ac:dyDescent="0.25">
      <c r="P4335">
        <f t="shared" si="67"/>
        <v>1900</v>
      </c>
    </row>
    <row r="4336" spans="16:16" x14ac:dyDescent="0.25">
      <c r="P4336">
        <f t="shared" si="67"/>
        <v>1900</v>
      </c>
    </row>
    <row r="4337" spans="16:16" x14ac:dyDescent="0.25">
      <c r="P4337">
        <f t="shared" si="67"/>
        <v>1900</v>
      </c>
    </row>
    <row r="4338" spans="16:16" x14ac:dyDescent="0.25">
      <c r="P4338">
        <f t="shared" si="67"/>
        <v>1900</v>
      </c>
    </row>
    <row r="4339" spans="16:16" x14ac:dyDescent="0.25">
      <c r="P4339">
        <f t="shared" si="67"/>
        <v>1900</v>
      </c>
    </row>
    <row r="4340" spans="16:16" x14ac:dyDescent="0.25">
      <c r="P4340">
        <f t="shared" si="67"/>
        <v>1900</v>
      </c>
    </row>
    <row r="4341" spans="16:16" x14ac:dyDescent="0.25">
      <c r="P4341">
        <f t="shared" si="67"/>
        <v>1900</v>
      </c>
    </row>
    <row r="4342" spans="16:16" x14ac:dyDescent="0.25">
      <c r="P4342">
        <f t="shared" si="67"/>
        <v>1900</v>
      </c>
    </row>
    <row r="4343" spans="16:16" x14ac:dyDescent="0.25">
      <c r="P4343">
        <f t="shared" si="67"/>
        <v>1900</v>
      </c>
    </row>
    <row r="4344" spans="16:16" x14ac:dyDescent="0.25">
      <c r="P4344">
        <f t="shared" si="67"/>
        <v>1900</v>
      </c>
    </row>
    <row r="4345" spans="16:16" x14ac:dyDescent="0.25">
      <c r="P4345">
        <f t="shared" si="67"/>
        <v>1900</v>
      </c>
    </row>
    <row r="4346" spans="16:16" x14ac:dyDescent="0.25">
      <c r="P4346">
        <f t="shared" si="67"/>
        <v>1900</v>
      </c>
    </row>
    <row r="4347" spans="16:16" x14ac:dyDescent="0.25">
      <c r="P4347">
        <f t="shared" si="67"/>
        <v>1900</v>
      </c>
    </row>
    <row r="4348" spans="16:16" x14ac:dyDescent="0.25">
      <c r="P4348">
        <f t="shared" si="67"/>
        <v>1900</v>
      </c>
    </row>
    <row r="4349" spans="16:16" x14ac:dyDescent="0.25">
      <c r="P4349">
        <f t="shared" si="67"/>
        <v>1900</v>
      </c>
    </row>
    <row r="4350" spans="16:16" x14ac:dyDescent="0.25">
      <c r="P4350">
        <f t="shared" si="67"/>
        <v>1900</v>
      </c>
    </row>
    <row r="4351" spans="16:16" x14ac:dyDescent="0.25">
      <c r="P4351">
        <f t="shared" si="67"/>
        <v>1900</v>
      </c>
    </row>
    <row r="4352" spans="16:16" x14ac:dyDescent="0.25">
      <c r="P4352">
        <f t="shared" si="67"/>
        <v>1900</v>
      </c>
    </row>
    <row r="4353" spans="16:16" x14ac:dyDescent="0.25">
      <c r="P4353">
        <f t="shared" si="67"/>
        <v>1900</v>
      </c>
    </row>
    <row r="4354" spans="16:16" x14ac:dyDescent="0.25">
      <c r="P4354">
        <f t="shared" ref="P4354:P4417" si="68">IFERROR(YEAR(D4354),"")</f>
        <v>1900</v>
      </c>
    </row>
    <row r="4355" spans="16:16" x14ac:dyDescent="0.25">
      <c r="P4355">
        <f t="shared" si="68"/>
        <v>1900</v>
      </c>
    </row>
    <row r="4356" spans="16:16" x14ac:dyDescent="0.25">
      <c r="P4356">
        <f t="shared" si="68"/>
        <v>1900</v>
      </c>
    </row>
    <row r="4357" spans="16:16" x14ac:dyDescent="0.25">
      <c r="P4357">
        <f t="shared" si="68"/>
        <v>1900</v>
      </c>
    </row>
    <row r="4358" spans="16:16" x14ac:dyDescent="0.25">
      <c r="P4358">
        <f t="shared" si="68"/>
        <v>1900</v>
      </c>
    </row>
    <row r="4359" spans="16:16" x14ac:dyDescent="0.25">
      <c r="P4359">
        <f t="shared" si="68"/>
        <v>1900</v>
      </c>
    </row>
    <row r="4360" spans="16:16" x14ac:dyDescent="0.25">
      <c r="P4360">
        <f t="shared" si="68"/>
        <v>1900</v>
      </c>
    </row>
    <row r="4361" spans="16:16" x14ac:dyDescent="0.25">
      <c r="P4361">
        <f t="shared" si="68"/>
        <v>1900</v>
      </c>
    </row>
    <row r="4362" spans="16:16" x14ac:dyDescent="0.25">
      <c r="P4362">
        <f t="shared" si="68"/>
        <v>1900</v>
      </c>
    </row>
    <row r="4363" spans="16:16" x14ac:dyDescent="0.25">
      <c r="P4363">
        <f t="shared" si="68"/>
        <v>1900</v>
      </c>
    </row>
    <row r="4364" spans="16:16" x14ac:dyDescent="0.25">
      <c r="P4364">
        <f t="shared" si="68"/>
        <v>1900</v>
      </c>
    </row>
    <row r="4365" spans="16:16" x14ac:dyDescent="0.25">
      <c r="P4365">
        <f t="shared" si="68"/>
        <v>1900</v>
      </c>
    </row>
    <row r="4366" spans="16:16" x14ac:dyDescent="0.25">
      <c r="P4366">
        <f t="shared" si="68"/>
        <v>1900</v>
      </c>
    </row>
    <row r="4367" spans="16:16" x14ac:dyDescent="0.25">
      <c r="P4367">
        <f t="shared" si="68"/>
        <v>1900</v>
      </c>
    </row>
    <row r="4368" spans="16:16" x14ac:dyDescent="0.25">
      <c r="P4368">
        <f t="shared" si="68"/>
        <v>1900</v>
      </c>
    </row>
    <row r="4369" spans="16:16" x14ac:dyDescent="0.25">
      <c r="P4369">
        <f t="shared" si="68"/>
        <v>1900</v>
      </c>
    </row>
    <row r="4370" spans="16:16" x14ac:dyDescent="0.25">
      <c r="P4370">
        <f t="shared" si="68"/>
        <v>1900</v>
      </c>
    </row>
    <row r="4371" spans="16:16" x14ac:dyDescent="0.25">
      <c r="P4371">
        <f t="shared" si="68"/>
        <v>1900</v>
      </c>
    </row>
    <row r="4372" spans="16:16" x14ac:dyDescent="0.25">
      <c r="P4372">
        <f t="shared" si="68"/>
        <v>1900</v>
      </c>
    </row>
    <row r="4373" spans="16:16" x14ac:dyDescent="0.25">
      <c r="P4373">
        <f t="shared" si="68"/>
        <v>1900</v>
      </c>
    </row>
    <row r="4374" spans="16:16" x14ac:dyDescent="0.25">
      <c r="P4374">
        <f t="shared" si="68"/>
        <v>1900</v>
      </c>
    </row>
    <row r="4375" spans="16:16" x14ac:dyDescent="0.25">
      <c r="P4375">
        <f t="shared" si="68"/>
        <v>1900</v>
      </c>
    </row>
    <row r="4376" spans="16:16" x14ac:dyDescent="0.25">
      <c r="P4376">
        <f t="shared" si="68"/>
        <v>1900</v>
      </c>
    </row>
    <row r="4377" spans="16:16" x14ac:dyDescent="0.25">
      <c r="P4377">
        <f t="shared" si="68"/>
        <v>1900</v>
      </c>
    </row>
    <row r="4378" spans="16:16" x14ac:dyDescent="0.25">
      <c r="P4378">
        <f t="shared" si="68"/>
        <v>1900</v>
      </c>
    </row>
    <row r="4379" spans="16:16" x14ac:dyDescent="0.25">
      <c r="P4379">
        <f t="shared" si="68"/>
        <v>1900</v>
      </c>
    </row>
    <row r="4380" spans="16:16" x14ac:dyDescent="0.25">
      <c r="P4380">
        <f t="shared" si="68"/>
        <v>1900</v>
      </c>
    </row>
    <row r="4381" spans="16:16" x14ac:dyDescent="0.25">
      <c r="P4381">
        <f t="shared" si="68"/>
        <v>1900</v>
      </c>
    </row>
    <row r="4382" spans="16:16" x14ac:dyDescent="0.25">
      <c r="P4382">
        <f t="shared" si="68"/>
        <v>1900</v>
      </c>
    </row>
    <row r="4383" spans="16:16" x14ac:dyDescent="0.25">
      <c r="P4383">
        <f t="shared" si="68"/>
        <v>1900</v>
      </c>
    </row>
    <row r="4384" spans="16:16" x14ac:dyDescent="0.25">
      <c r="P4384">
        <f t="shared" si="68"/>
        <v>1900</v>
      </c>
    </row>
    <row r="4385" spans="16:16" x14ac:dyDescent="0.25">
      <c r="P4385">
        <f t="shared" si="68"/>
        <v>1900</v>
      </c>
    </row>
    <row r="4386" spans="16:16" x14ac:dyDescent="0.25">
      <c r="P4386">
        <f t="shared" si="68"/>
        <v>1900</v>
      </c>
    </row>
    <row r="4387" spans="16:16" x14ac:dyDescent="0.25">
      <c r="P4387">
        <f t="shared" si="68"/>
        <v>1900</v>
      </c>
    </row>
    <row r="4388" spans="16:16" x14ac:dyDescent="0.25">
      <c r="P4388">
        <f t="shared" si="68"/>
        <v>1900</v>
      </c>
    </row>
    <row r="4389" spans="16:16" x14ac:dyDescent="0.25">
      <c r="P4389">
        <f t="shared" si="68"/>
        <v>1900</v>
      </c>
    </row>
    <row r="4390" spans="16:16" x14ac:dyDescent="0.25">
      <c r="P4390">
        <f t="shared" si="68"/>
        <v>1900</v>
      </c>
    </row>
    <row r="4391" spans="16:16" x14ac:dyDescent="0.25">
      <c r="P4391">
        <f t="shared" si="68"/>
        <v>1900</v>
      </c>
    </row>
    <row r="4392" spans="16:16" x14ac:dyDescent="0.25">
      <c r="P4392">
        <f t="shared" si="68"/>
        <v>1900</v>
      </c>
    </row>
    <row r="4393" spans="16:16" x14ac:dyDescent="0.25">
      <c r="P4393">
        <f t="shared" si="68"/>
        <v>1900</v>
      </c>
    </row>
    <row r="4394" spans="16:16" x14ac:dyDescent="0.25">
      <c r="P4394">
        <f t="shared" si="68"/>
        <v>1900</v>
      </c>
    </row>
    <row r="4395" spans="16:16" x14ac:dyDescent="0.25">
      <c r="P4395">
        <f t="shared" si="68"/>
        <v>1900</v>
      </c>
    </row>
    <row r="4396" spans="16:16" x14ac:dyDescent="0.25">
      <c r="P4396">
        <f t="shared" si="68"/>
        <v>1900</v>
      </c>
    </row>
    <row r="4397" spans="16:16" x14ac:dyDescent="0.25">
      <c r="P4397">
        <f t="shared" si="68"/>
        <v>1900</v>
      </c>
    </row>
    <row r="4398" spans="16:16" x14ac:dyDescent="0.25">
      <c r="P4398">
        <f t="shared" si="68"/>
        <v>1900</v>
      </c>
    </row>
    <row r="4399" spans="16:16" x14ac:dyDescent="0.25">
      <c r="P4399">
        <f t="shared" si="68"/>
        <v>1900</v>
      </c>
    </row>
    <row r="4400" spans="16:16" x14ac:dyDescent="0.25">
      <c r="P4400">
        <f t="shared" si="68"/>
        <v>1900</v>
      </c>
    </row>
    <row r="4401" spans="16:16" x14ac:dyDescent="0.25">
      <c r="P4401">
        <f t="shared" si="68"/>
        <v>1900</v>
      </c>
    </row>
    <row r="4402" spans="16:16" x14ac:dyDescent="0.25">
      <c r="P4402">
        <f t="shared" si="68"/>
        <v>1900</v>
      </c>
    </row>
    <row r="4403" spans="16:16" x14ac:dyDescent="0.25">
      <c r="P4403">
        <f t="shared" si="68"/>
        <v>1900</v>
      </c>
    </row>
    <row r="4404" spans="16:16" x14ac:dyDescent="0.25">
      <c r="P4404">
        <f t="shared" si="68"/>
        <v>1900</v>
      </c>
    </row>
    <row r="4405" spans="16:16" x14ac:dyDescent="0.25">
      <c r="P4405">
        <f t="shared" si="68"/>
        <v>1900</v>
      </c>
    </row>
    <row r="4406" spans="16:16" x14ac:dyDescent="0.25">
      <c r="P4406">
        <f t="shared" si="68"/>
        <v>1900</v>
      </c>
    </row>
    <row r="4407" spans="16:16" x14ac:dyDescent="0.25">
      <c r="P4407">
        <f t="shared" si="68"/>
        <v>1900</v>
      </c>
    </row>
    <row r="4408" spans="16:16" x14ac:dyDescent="0.25">
      <c r="P4408">
        <f t="shared" si="68"/>
        <v>1900</v>
      </c>
    </row>
    <row r="4409" spans="16:16" x14ac:dyDescent="0.25">
      <c r="P4409">
        <f t="shared" si="68"/>
        <v>1900</v>
      </c>
    </row>
    <row r="4410" spans="16:16" x14ac:dyDescent="0.25">
      <c r="P4410">
        <f t="shared" si="68"/>
        <v>1900</v>
      </c>
    </row>
    <row r="4411" spans="16:16" x14ac:dyDescent="0.25">
      <c r="P4411">
        <f t="shared" si="68"/>
        <v>1900</v>
      </c>
    </row>
    <row r="4412" spans="16:16" x14ac:dyDescent="0.25">
      <c r="P4412">
        <f t="shared" si="68"/>
        <v>1900</v>
      </c>
    </row>
    <row r="4413" spans="16:16" x14ac:dyDescent="0.25">
      <c r="P4413">
        <f t="shared" si="68"/>
        <v>1900</v>
      </c>
    </row>
    <row r="4414" spans="16:16" x14ac:dyDescent="0.25">
      <c r="P4414">
        <f t="shared" si="68"/>
        <v>1900</v>
      </c>
    </row>
    <row r="4415" spans="16:16" x14ac:dyDescent="0.25">
      <c r="P4415">
        <f t="shared" si="68"/>
        <v>1900</v>
      </c>
    </row>
    <row r="4416" spans="16:16" x14ac:dyDescent="0.25">
      <c r="P4416">
        <f t="shared" si="68"/>
        <v>1900</v>
      </c>
    </row>
    <row r="4417" spans="16:16" x14ac:dyDescent="0.25">
      <c r="P4417">
        <f t="shared" si="68"/>
        <v>1900</v>
      </c>
    </row>
    <row r="4418" spans="16:16" x14ac:dyDescent="0.25">
      <c r="P4418">
        <f t="shared" ref="P4418:P4481" si="69">IFERROR(YEAR(D4418),"")</f>
        <v>1900</v>
      </c>
    </row>
    <row r="4419" spans="16:16" x14ac:dyDescent="0.25">
      <c r="P4419">
        <f t="shared" si="69"/>
        <v>1900</v>
      </c>
    </row>
    <row r="4420" spans="16:16" x14ac:dyDescent="0.25">
      <c r="P4420">
        <f t="shared" si="69"/>
        <v>1900</v>
      </c>
    </row>
    <row r="4421" spans="16:16" x14ac:dyDescent="0.25">
      <c r="P4421">
        <f t="shared" si="69"/>
        <v>1900</v>
      </c>
    </row>
    <row r="4422" spans="16:16" x14ac:dyDescent="0.25">
      <c r="P4422">
        <f t="shared" si="69"/>
        <v>1900</v>
      </c>
    </row>
    <row r="4423" spans="16:16" x14ac:dyDescent="0.25">
      <c r="P4423">
        <f t="shared" si="69"/>
        <v>1900</v>
      </c>
    </row>
    <row r="4424" spans="16:16" x14ac:dyDescent="0.25">
      <c r="P4424">
        <f t="shared" si="69"/>
        <v>1900</v>
      </c>
    </row>
    <row r="4425" spans="16:16" x14ac:dyDescent="0.25">
      <c r="P4425">
        <f t="shared" si="69"/>
        <v>1900</v>
      </c>
    </row>
    <row r="4426" spans="16:16" x14ac:dyDescent="0.25">
      <c r="P4426">
        <f t="shared" si="69"/>
        <v>1900</v>
      </c>
    </row>
    <row r="4427" spans="16:16" x14ac:dyDescent="0.25">
      <c r="P4427">
        <f t="shared" si="69"/>
        <v>1900</v>
      </c>
    </row>
    <row r="4428" spans="16:16" x14ac:dyDescent="0.25">
      <c r="P4428">
        <f t="shared" si="69"/>
        <v>1900</v>
      </c>
    </row>
    <row r="4429" spans="16:16" x14ac:dyDescent="0.25">
      <c r="P4429">
        <f t="shared" si="69"/>
        <v>1900</v>
      </c>
    </row>
    <row r="4430" spans="16:16" x14ac:dyDescent="0.25">
      <c r="P4430">
        <f t="shared" si="69"/>
        <v>1900</v>
      </c>
    </row>
    <row r="4431" spans="16:16" x14ac:dyDescent="0.25">
      <c r="P4431">
        <f t="shared" si="69"/>
        <v>1900</v>
      </c>
    </row>
    <row r="4432" spans="16:16" x14ac:dyDescent="0.25">
      <c r="P4432">
        <f t="shared" si="69"/>
        <v>1900</v>
      </c>
    </row>
    <row r="4433" spans="16:16" x14ac:dyDescent="0.25">
      <c r="P4433">
        <f t="shared" si="69"/>
        <v>1900</v>
      </c>
    </row>
    <row r="4434" spans="16:16" x14ac:dyDescent="0.25">
      <c r="P4434">
        <f t="shared" si="69"/>
        <v>1900</v>
      </c>
    </row>
    <row r="4435" spans="16:16" x14ac:dyDescent="0.25">
      <c r="P4435">
        <f t="shared" si="69"/>
        <v>1900</v>
      </c>
    </row>
    <row r="4436" spans="16:16" x14ac:dyDescent="0.25">
      <c r="P4436">
        <f t="shared" si="69"/>
        <v>1900</v>
      </c>
    </row>
    <row r="4437" spans="16:16" x14ac:dyDescent="0.25">
      <c r="P4437">
        <f t="shared" si="69"/>
        <v>1900</v>
      </c>
    </row>
    <row r="4438" spans="16:16" x14ac:dyDescent="0.25">
      <c r="P4438">
        <f t="shared" si="69"/>
        <v>1900</v>
      </c>
    </row>
    <row r="4439" spans="16:16" x14ac:dyDescent="0.25">
      <c r="P4439">
        <f t="shared" si="69"/>
        <v>1900</v>
      </c>
    </row>
    <row r="4440" spans="16:16" x14ac:dyDescent="0.25">
      <c r="P4440">
        <f t="shared" si="69"/>
        <v>1900</v>
      </c>
    </row>
    <row r="4441" spans="16:16" x14ac:dyDescent="0.25">
      <c r="P4441">
        <f t="shared" si="69"/>
        <v>1900</v>
      </c>
    </row>
    <row r="4442" spans="16:16" x14ac:dyDescent="0.25">
      <c r="P4442">
        <f t="shared" si="69"/>
        <v>1900</v>
      </c>
    </row>
    <row r="4443" spans="16:16" x14ac:dyDescent="0.25">
      <c r="P4443">
        <f t="shared" si="69"/>
        <v>1900</v>
      </c>
    </row>
    <row r="4444" spans="16:16" x14ac:dyDescent="0.25">
      <c r="P4444">
        <f t="shared" si="69"/>
        <v>1900</v>
      </c>
    </row>
    <row r="4445" spans="16:16" x14ac:dyDescent="0.25">
      <c r="P4445">
        <f t="shared" si="69"/>
        <v>1900</v>
      </c>
    </row>
    <row r="4446" spans="16:16" x14ac:dyDescent="0.25">
      <c r="P4446">
        <f t="shared" si="69"/>
        <v>1900</v>
      </c>
    </row>
    <row r="4447" spans="16:16" x14ac:dyDescent="0.25">
      <c r="P4447">
        <f t="shared" si="69"/>
        <v>1900</v>
      </c>
    </row>
    <row r="4448" spans="16:16" x14ac:dyDescent="0.25">
      <c r="P4448">
        <f t="shared" si="69"/>
        <v>1900</v>
      </c>
    </row>
    <row r="4449" spans="16:16" x14ac:dyDescent="0.25">
      <c r="P4449">
        <f t="shared" si="69"/>
        <v>1900</v>
      </c>
    </row>
    <row r="4450" spans="16:16" x14ac:dyDescent="0.25">
      <c r="P4450">
        <f t="shared" si="69"/>
        <v>1900</v>
      </c>
    </row>
    <row r="4451" spans="16:16" x14ac:dyDescent="0.25">
      <c r="P4451">
        <f t="shared" si="69"/>
        <v>1900</v>
      </c>
    </row>
    <row r="4452" spans="16:16" x14ac:dyDescent="0.25">
      <c r="P4452">
        <f t="shared" si="69"/>
        <v>1900</v>
      </c>
    </row>
    <row r="4453" spans="16:16" x14ac:dyDescent="0.25">
      <c r="P4453">
        <f t="shared" si="69"/>
        <v>1900</v>
      </c>
    </row>
    <row r="4454" spans="16:16" x14ac:dyDescent="0.25">
      <c r="P4454">
        <f t="shared" si="69"/>
        <v>1900</v>
      </c>
    </row>
    <row r="4455" spans="16:16" x14ac:dyDescent="0.25">
      <c r="P4455">
        <f t="shared" si="69"/>
        <v>1900</v>
      </c>
    </row>
    <row r="4456" spans="16:16" x14ac:dyDescent="0.25">
      <c r="P4456">
        <f t="shared" si="69"/>
        <v>1900</v>
      </c>
    </row>
    <row r="4457" spans="16:16" x14ac:dyDescent="0.25">
      <c r="P4457">
        <f t="shared" si="69"/>
        <v>1900</v>
      </c>
    </row>
    <row r="4458" spans="16:16" x14ac:dyDescent="0.25">
      <c r="P4458">
        <f t="shared" si="69"/>
        <v>1900</v>
      </c>
    </row>
    <row r="4459" spans="16:16" x14ac:dyDescent="0.25">
      <c r="P4459">
        <f t="shared" si="69"/>
        <v>1900</v>
      </c>
    </row>
    <row r="4460" spans="16:16" x14ac:dyDescent="0.25">
      <c r="P4460">
        <f t="shared" si="69"/>
        <v>1900</v>
      </c>
    </row>
    <row r="4461" spans="16:16" x14ac:dyDescent="0.25">
      <c r="P4461">
        <f t="shared" si="69"/>
        <v>1900</v>
      </c>
    </row>
    <row r="4462" spans="16:16" x14ac:dyDescent="0.25">
      <c r="P4462">
        <f t="shared" si="69"/>
        <v>1900</v>
      </c>
    </row>
    <row r="4463" spans="16:16" x14ac:dyDescent="0.25">
      <c r="P4463">
        <f t="shared" si="69"/>
        <v>1900</v>
      </c>
    </row>
    <row r="4464" spans="16:16" x14ac:dyDescent="0.25">
      <c r="P4464">
        <f t="shared" si="69"/>
        <v>1900</v>
      </c>
    </row>
    <row r="4465" spans="16:16" x14ac:dyDescent="0.25">
      <c r="P4465">
        <f t="shared" si="69"/>
        <v>1900</v>
      </c>
    </row>
    <row r="4466" spans="16:16" x14ac:dyDescent="0.25">
      <c r="P4466">
        <f t="shared" si="69"/>
        <v>1900</v>
      </c>
    </row>
    <row r="4467" spans="16:16" x14ac:dyDescent="0.25">
      <c r="P4467">
        <f t="shared" si="69"/>
        <v>1900</v>
      </c>
    </row>
    <row r="4468" spans="16:16" x14ac:dyDescent="0.25">
      <c r="P4468">
        <f t="shared" si="69"/>
        <v>1900</v>
      </c>
    </row>
    <row r="4469" spans="16:16" x14ac:dyDescent="0.25">
      <c r="P4469">
        <f t="shared" si="69"/>
        <v>1900</v>
      </c>
    </row>
    <row r="4470" spans="16:16" x14ac:dyDescent="0.25">
      <c r="P4470">
        <f t="shared" si="69"/>
        <v>1900</v>
      </c>
    </row>
    <row r="4471" spans="16:16" x14ac:dyDescent="0.25">
      <c r="P4471">
        <f t="shared" si="69"/>
        <v>1900</v>
      </c>
    </row>
    <row r="4472" spans="16:16" x14ac:dyDescent="0.25">
      <c r="P4472">
        <f t="shared" si="69"/>
        <v>1900</v>
      </c>
    </row>
    <row r="4473" spans="16:16" x14ac:dyDescent="0.25">
      <c r="P4473">
        <f t="shared" si="69"/>
        <v>1900</v>
      </c>
    </row>
    <row r="4474" spans="16:16" x14ac:dyDescent="0.25">
      <c r="P4474">
        <f t="shared" si="69"/>
        <v>1900</v>
      </c>
    </row>
    <row r="4475" spans="16:16" x14ac:dyDescent="0.25">
      <c r="P4475">
        <f t="shared" si="69"/>
        <v>1900</v>
      </c>
    </row>
    <row r="4476" spans="16:16" x14ac:dyDescent="0.25">
      <c r="P4476">
        <f t="shared" si="69"/>
        <v>1900</v>
      </c>
    </row>
    <row r="4477" spans="16:16" x14ac:dyDescent="0.25">
      <c r="P4477">
        <f t="shared" si="69"/>
        <v>1900</v>
      </c>
    </row>
    <row r="4478" spans="16:16" x14ac:dyDescent="0.25">
      <c r="P4478">
        <f t="shared" si="69"/>
        <v>1900</v>
      </c>
    </row>
    <row r="4479" spans="16:16" x14ac:dyDescent="0.25">
      <c r="P4479">
        <f t="shared" si="69"/>
        <v>1900</v>
      </c>
    </row>
    <row r="4480" spans="16:16" x14ac:dyDescent="0.25">
      <c r="P4480">
        <f t="shared" si="69"/>
        <v>1900</v>
      </c>
    </row>
    <row r="4481" spans="16:16" x14ac:dyDescent="0.25">
      <c r="P4481">
        <f t="shared" si="69"/>
        <v>1900</v>
      </c>
    </row>
    <row r="4482" spans="16:16" x14ac:dyDescent="0.25">
      <c r="P4482">
        <f t="shared" ref="P4482:P4545" si="70">IFERROR(YEAR(D4482),"")</f>
        <v>1900</v>
      </c>
    </row>
    <row r="4483" spans="16:16" x14ac:dyDescent="0.25">
      <c r="P4483">
        <f t="shared" si="70"/>
        <v>1900</v>
      </c>
    </row>
    <row r="4484" spans="16:16" x14ac:dyDescent="0.25">
      <c r="P4484">
        <f t="shared" si="70"/>
        <v>1900</v>
      </c>
    </row>
    <row r="4485" spans="16:16" x14ac:dyDescent="0.25">
      <c r="P4485">
        <f t="shared" si="70"/>
        <v>1900</v>
      </c>
    </row>
    <row r="4486" spans="16:16" x14ac:dyDescent="0.25">
      <c r="P4486">
        <f t="shared" si="70"/>
        <v>1900</v>
      </c>
    </row>
    <row r="4487" spans="16:16" x14ac:dyDescent="0.25">
      <c r="P4487">
        <f t="shared" si="70"/>
        <v>1900</v>
      </c>
    </row>
    <row r="4488" spans="16:16" x14ac:dyDescent="0.25">
      <c r="P4488">
        <f t="shared" si="70"/>
        <v>1900</v>
      </c>
    </row>
    <row r="4489" spans="16:16" x14ac:dyDescent="0.25">
      <c r="P4489">
        <f t="shared" si="70"/>
        <v>1900</v>
      </c>
    </row>
    <row r="4490" spans="16:16" x14ac:dyDescent="0.25">
      <c r="P4490">
        <f t="shared" si="70"/>
        <v>1900</v>
      </c>
    </row>
    <row r="4491" spans="16:16" x14ac:dyDescent="0.25">
      <c r="P4491">
        <f t="shared" si="70"/>
        <v>1900</v>
      </c>
    </row>
    <row r="4492" spans="16:16" x14ac:dyDescent="0.25">
      <c r="P4492">
        <f t="shared" si="70"/>
        <v>1900</v>
      </c>
    </row>
    <row r="4493" spans="16:16" x14ac:dyDescent="0.25">
      <c r="P4493">
        <f t="shared" si="70"/>
        <v>1900</v>
      </c>
    </row>
    <row r="4494" spans="16:16" x14ac:dyDescent="0.25">
      <c r="P4494">
        <f t="shared" si="70"/>
        <v>1900</v>
      </c>
    </row>
    <row r="4495" spans="16:16" x14ac:dyDescent="0.25">
      <c r="P4495">
        <f t="shared" si="70"/>
        <v>1900</v>
      </c>
    </row>
    <row r="4496" spans="16:16" x14ac:dyDescent="0.25">
      <c r="P4496">
        <f t="shared" si="70"/>
        <v>1900</v>
      </c>
    </row>
    <row r="4497" spans="16:16" x14ac:dyDescent="0.25">
      <c r="P4497">
        <f t="shared" si="70"/>
        <v>1900</v>
      </c>
    </row>
    <row r="4498" spans="16:16" x14ac:dyDescent="0.25">
      <c r="P4498">
        <f t="shared" si="70"/>
        <v>1900</v>
      </c>
    </row>
    <row r="4499" spans="16:16" x14ac:dyDescent="0.25">
      <c r="P4499">
        <f t="shared" si="70"/>
        <v>1900</v>
      </c>
    </row>
    <row r="4500" spans="16:16" x14ac:dyDescent="0.25">
      <c r="P4500">
        <f t="shared" si="70"/>
        <v>1900</v>
      </c>
    </row>
    <row r="4501" spans="16:16" x14ac:dyDescent="0.25">
      <c r="P4501">
        <f t="shared" si="70"/>
        <v>1900</v>
      </c>
    </row>
    <row r="4502" spans="16:16" x14ac:dyDescent="0.25">
      <c r="P4502">
        <f t="shared" si="70"/>
        <v>1900</v>
      </c>
    </row>
    <row r="4503" spans="16:16" x14ac:dyDescent="0.25">
      <c r="P4503">
        <f t="shared" si="70"/>
        <v>1900</v>
      </c>
    </row>
    <row r="4504" spans="16:16" x14ac:dyDescent="0.25">
      <c r="P4504">
        <f t="shared" si="70"/>
        <v>1900</v>
      </c>
    </row>
    <row r="4505" spans="16:16" x14ac:dyDescent="0.25">
      <c r="P4505">
        <f t="shared" si="70"/>
        <v>1900</v>
      </c>
    </row>
    <row r="4506" spans="16:16" x14ac:dyDescent="0.25">
      <c r="P4506">
        <f t="shared" si="70"/>
        <v>1900</v>
      </c>
    </row>
    <row r="4507" spans="16:16" x14ac:dyDescent="0.25">
      <c r="P4507">
        <f t="shared" si="70"/>
        <v>1900</v>
      </c>
    </row>
    <row r="4508" spans="16:16" x14ac:dyDescent="0.25">
      <c r="P4508">
        <f t="shared" si="70"/>
        <v>1900</v>
      </c>
    </row>
    <row r="4509" spans="16:16" x14ac:dyDescent="0.25">
      <c r="P4509">
        <f t="shared" si="70"/>
        <v>1900</v>
      </c>
    </row>
    <row r="4510" spans="16:16" x14ac:dyDescent="0.25">
      <c r="P4510">
        <f t="shared" si="70"/>
        <v>1900</v>
      </c>
    </row>
    <row r="4511" spans="16:16" x14ac:dyDescent="0.25">
      <c r="P4511">
        <f t="shared" si="70"/>
        <v>1900</v>
      </c>
    </row>
    <row r="4512" spans="16:16" x14ac:dyDescent="0.25">
      <c r="P4512">
        <f t="shared" si="70"/>
        <v>1900</v>
      </c>
    </row>
    <row r="4513" spans="16:16" x14ac:dyDescent="0.25">
      <c r="P4513">
        <f t="shared" si="70"/>
        <v>1900</v>
      </c>
    </row>
    <row r="4514" spans="16:16" x14ac:dyDescent="0.25">
      <c r="P4514">
        <f t="shared" si="70"/>
        <v>1900</v>
      </c>
    </row>
    <row r="4515" spans="16:16" x14ac:dyDescent="0.25">
      <c r="P4515">
        <f t="shared" si="70"/>
        <v>1900</v>
      </c>
    </row>
    <row r="4516" spans="16:16" x14ac:dyDescent="0.25">
      <c r="P4516">
        <f t="shared" si="70"/>
        <v>1900</v>
      </c>
    </row>
    <row r="4517" spans="16:16" x14ac:dyDescent="0.25">
      <c r="P4517">
        <f t="shared" si="70"/>
        <v>1900</v>
      </c>
    </row>
    <row r="4518" spans="16:16" x14ac:dyDescent="0.25">
      <c r="P4518">
        <f t="shared" si="70"/>
        <v>1900</v>
      </c>
    </row>
    <row r="4519" spans="16:16" x14ac:dyDescent="0.25">
      <c r="P4519">
        <f t="shared" si="70"/>
        <v>1900</v>
      </c>
    </row>
    <row r="4520" spans="16:16" x14ac:dyDescent="0.25">
      <c r="P4520">
        <f t="shared" si="70"/>
        <v>1900</v>
      </c>
    </row>
    <row r="4521" spans="16:16" x14ac:dyDescent="0.25">
      <c r="P4521">
        <f t="shared" si="70"/>
        <v>1900</v>
      </c>
    </row>
    <row r="4522" spans="16:16" x14ac:dyDescent="0.25">
      <c r="P4522">
        <f t="shared" si="70"/>
        <v>1900</v>
      </c>
    </row>
    <row r="4523" spans="16:16" x14ac:dyDescent="0.25">
      <c r="P4523">
        <f t="shared" si="70"/>
        <v>1900</v>
      </c>
    </row>
    <row r="4524" spans="16:16" x14ac:dyDescent="0.25">
      <c r="P4524">
        <f t="shared" si="70"/>
        <v>1900</v>
      </c>
    </row>
    <row r="4525" spans="16:16" x14ac:dyDescent="0.25">
      <c r="P4525">
        <f t="shared" si="70"/>
        <v>1900</v>
      </c>
    </row>
    <row r="4526" spans="16:16" x14ac:dyDescent="0.25">
      <c r="P4526">
        <f t="shared" si="70"/>
        <v>1900</v>
      </c>
    </row>
    <row r="4527" spans="16:16" x14ac:dyDescent="0.25">
      <c r="P4527">
        <f t="shared" si="70"/>
        <v>1900</v>
      </c>
    </row>
    <row r="4528" spans="16:16" x14ac:dyDescent="0.25">
      <c r="P4528">
        <f t="shared" si="70"/>
        <v>1900</v>
      </c>
    </row>
    <row r="4529" spans="16:16" x14ac:dyDescent="0.25">
      <c r="P4529">
        <f t="shared" si="70"/>
        <v>1900</v>
      </c>
    </row>
    <row r="4530" spans="16:16" x14ac:dyDescent="0.25">
      <c r="P4530">
        <f t="shared" si="70"/>
        <v>1900</v>
      </c>
    </row>
    <row r="4531" spans="16:16" x14ac:dyDescent="0.25">
      <c r="P4531">
        <f t="shared" si="70"/>
        <v>1900</v>
      </c>
    </row>
    <row r="4532" spans="16:16" x14ac:dyDescent="0.25">
      <c r="P4532">
        <f t="shared" si="70"/>
        <v>1900</v>
      </c>
    </row>
    <row r="4533" spans="16:16" x14ac:dyDescent="0.25">
      <c r="P4533">
        <f t="shared" si="70"/>
        <v>1900</v>
      </c>
    </row>
    <row r="4534" spans="16:16" x14ac:dyDescent="0.25">
      <c r="P4534">
        <f t="shared" si="70"/>
        <v>1900</v>
      </c>
    </row>
    <row r="4535" spans="16:16" x14ac:dyDescent="0.25">
      <c r="P4535">
        <f t="shared" si="70"/>
        <v>1900</v>
      </c>
    </row>
    <row r="4536" spans="16:16" x14ac:dyDescent="0.25">
      <c r="P4536">
        <f t="shared" si="70"/>
        <v>1900</v>
      </c>
    </row>
    <row r="4537" spans="16:16" x14ac:dyDescent="0.25">
      <c r="P4537">
        <f t="shared" si="70"/>
        <v>1900</v>
      </c>
    </row>
    <row r="4538" spans="16:16" x14ac:dyDescent="0.25">
      <c r="P4538">
        <f t="shared" si="70"/>
        <v>1900</v>
      </c>
    </row>
    <row r="4539" spans="16:16" x14ac:dyDescent="0.25">
      <c r="P4539">
        <f t="shared" si="70"/>
        <v>1900</v>
      </c>
    </row>
    <row r="4540" spans="16:16" x14ac:dyDescent="0.25">
      <c r="P4540">
        <f t="shared" si="70"/>
        <v>1900</v>
      </c>
    </row>
    <row r="4541" spans="16:16" x14ac:dyDescent="0.25">
      <c r="P4541">
        <f t="shared" si="70"/>
        <v>1900</v>
      </c>
    </row>
    <row r="4542" spans="16:16" x14ac:dyDescent="0.25">
      <c r="P4542">
        <f t="shared" si="70"/>
        <v>1900</v>
      </c>
    </row>
    <row r="4543" spans="16:16" x14ac:dyDescent="0.25">
      <c r="P4543">
        <f t="shared" si="70"/>
        <v>1900</v>
      </c>
    </row>
    <row r="4544" spans="16:16" x14ac:dyDescent="0.25">
      <c r="P4544">
        <f t="shared" si="70"/>
        <v>1900</v>
      </c>
    </row>
    <row r="4545" spans="16:16" x14ac:dyDescent="0.25">
      <c r="P4545">
        <f t="shared" si="70"/>
        <v>1900</v>
      </c>
    </row>
    <row r="4546" spans="16:16" x14ac:dyDescent="0.25">
      <c r="P4546">
        <f t="shared" ref="P4546:P4609" si="71">IFERROR(YEAR(D4546),"")</f>
        <v>1900</v>
      </c>
    </row>
    <row r="4547" spans="16:16" x14ac:dyDescent="0.25">
      <c r="P4547">
        <f t="shared" si="71"/>
        <v>1900</v>
      </c>
    </row>
    <row r="4548" spans="16:16" x14ac:dyDescent="0.25">
      <c r="P4548">
        <f t="shared" si="71"/>
        <v>1900</v>
      </c>
    </row>
    <row r="4549" spans="16:16" x14ac:dyDescent="0.25">
      <c r="P4549">
        <f t="shared" si="71"/>
        <v>1900</v>
      </c>
    </row>
    <row r="4550" spans="16:16" x14ac:dyDescent="0.25">
      <c r="P4550">
        <f t="shared" si="71"/>
        <v>1900</v>
      </c>
    </row>
    <row r="4551" spans="16:16" x14ac:dyDescent="0.25">
      <c r="P4551">
        <f t="shared" si="71"/>
        <v>1900</v>
      </c>
    </row>
    <row r="4552" spans="16:16" x14ac:dyDescent="0.25">
      <c r="P4552">
        <f t="shared" si="71"/>
        <v>1900</v>
      </c>
    </row>
    <row r="4553" spans="16:16" x14ac:dyDescent="0.25">
      <c r="P4553">
        <f t="shared" si="71"/>
        <v>1900</v>
      </c>
    </row>
    <row r="4554" spans="16:16" x14ac:dyDescent="0.25">
      <c r="P4554">
        <f t="shared" si="71"/>
        <v>1900</v>
      </c>
    </row>
    <row r="4555" spans="16:16" x14ac:dyDescent="0.25">
      <c r="P4555">
        <f t="shared" si="71"/>
        <v>1900</v>
      </c>
    </row>
    <row r="4556" spans="16:16" x14ac:dyDescent="0.25">
      <c r="P4556">
        <f t="shared" si="71"/>
        <v>1900</v>
      </c>
    </row>
    <row r="4557" spans="16:16" x14ac:dyDescent="0.25">
      <c r="P4557">
        <f t="shared" si="71"/>
        <v>1900</v>
      </c>
    </row>
    <row r="4558" spans="16:16" x14ac:dyDescent="0.25">
      <c r="P4558">
        <f t="shared" si="71"/>
        <v>1900</v>
      </c>
    </row>
    <row r="4559" spans="16:16" x14ac:dyDescent="0.25">
      <c r="P4559">
        <f t="shared" si="71"/>
        <v>1900</v>
      </c>
    </row>
    <row r="4560" spans="16:16" x14ac:dyDescent="0.25">
      <c r="P4560">
        <f t="shared" si="71"/>
        <v>1900</v>
      </c>
    </row>
    <row r="4561" spans="16:16" x14ac:dyDescent="0.25">
      <c r="P4561">
        <f t="shared" si="71"/>
        <v>1900</v>
      </c>
    </row>
    <row r="4562" spans="16:16" x14ac:dyDescent="0.25">
      <c r="P4562">
        <f t="shared" si="71"/>
        <v>1900</v>
      </c>
    </row>
    <row r="4563" spans="16:16" x14ac:dyDescent="0.25">
      <c r="P4563">
        <f t="shared" si="71"/>
        <v>1900</v>
      </c>
    </row>
    <row r="4564" spans="16:16" x14ac:dyDescent="0.25">
      <c r="P4564">
        <f t="shared" si="71"/>
        <v>1900</v>
      </c>
    </row>
    <row r="4565" spans="16:16" x14ac:dyDescent="0.25">
      <c r="P4565">
        <f t="shared" si="71"/>
        <v>1900</v>
      </c>
    </row>
    <row r="4566" spans="16:16" x14ac:dyDescent="0.25">
      <c r="P4566">
        <f t="shared" si="71"/>
        <v>1900</v>
      </c>
    </row>
    <row r="4567" spans="16:16" x14ac:dyDescent="0.25">
      <c r="P4567">
        <f t="shared" si="71"/>
        <v>1900</v>
      </c>
    </row>
    <row r="4568" spans="16:16" x14ac:dyDescent="0.25">
      <c r="P4568">
        <f t="shared" si="71"/>
        <v>1900</v>
      </c>
    </row>
    <row r="4569" spans="16:16" x14ac:dyDescent="0.25">
      <c r="P4569">
        <f t="shared" si="71"/>
        <v>1900</v>
      </c>
    </row>
    <row r="4570" spans="16:16" x14ac:dyDescent="0.25">
      <c r="P4570">
        <f t="shared" si="71"/>
        <v>1900</v>
      </c>
    </row>
    <row r="4571" spans="16:16" x14ac:dyDescent="0.25">
      <c r="P4571">
        <f t="shared" si="71"/>
        <v>1900</v>
      </c>
    </row>
    <row r="4572" spans="16:16" x14ac:dyDescent="0.25">
      <c r="P4572">
        <f t="shared" si="71"/>
        <v>1900</v>
      </c>
    </row>
    <row r="4573" spans="16:16" x14ac:dyDescent="0.25">
      <c r="P4573">
        <f t="shared" si="71"/>
        <v>1900</v>
      </c>
    </row>
    <row r="4574" spans="16:16" x14ac:dyDescent="0.25">
      <c r="P4574">
        <f t="shared" si="71"/>
        <v>1900</v>
      </c>
    </row>
    <row r="4575" spans="16:16" x14ac:dyDescent="0.25">
      <c r="P4575">
        <f t="shared" si="71"/>
        <v>1900</v>
      </c>
    </row>
    <row r="4576" spans="16:16" x14ac:dyDescent="0.25">
      <c r="P4576">
        <f t="shared" si="71"/>
        <v>1900</v>
      </c>
    </row>
    <row r="4577" spans="16:16" x14ac:dyDescent="0.25">
      <c r="P4577">
        <f t="shared" si="71"/>
        <v>1900</v>
      </c>
    </row>
    <row r="4578" spans="16:16" x14ac:dyDescent="0.25">
      <c r="P4578">
        <f t="shared" si="71"/>
        <v>1900</v>
      </c>
    </row>
    <row r="4579" spans="16:16" x14ac:dyDescent="0.25">
      <c r="P4579">
        <f t="shared" si="71"/>
        <v>1900</v>
      </c>
    </row>
    <row r="4580" spans="16:16" x14ac:dyDescent="0.25">
      <c r="P4580">
        <f t="shared" si="71"/>
        <v>1900</v>
      </c>
    </row>
    <row r="4581" spans="16:16" x14ac:dyDescent="0.25">
      <c r="P4581">
        <f t="shared" si="71"/>
        <v>1900</v>
      </c>
    </row>
    <row r="4582" spans="16:16" x14ac:dyDescent="0.25">
      <c r="P4582">
        <f t="shared" si="71"/>
        <v>1900</v>
      </c>
    </row>
    <row r="4583" spans="16:16" x14ac:dyDescent="0.25">
      <c r="P4583">
        <f t="shared" si="71"/>
        <v>1900</v>
      </c>
    </row>
    <row r="4584" spans="16:16" x14ac:dyDescent="0.25">
      <c r="P4584">
        <f t="shared" si="71"/>
        <v>1900</v>
      </c>
    </row>
    <row r="4585" spans="16:16" x14ac:dyDescent="0.25">
      <c r="P4585">
        <f t="shared" si="71"/>
        <v>1900</v>
      </c>
    </row>
    <row r="4586" spans="16:16" x14ac:dyDescent="0.25">
      <c r="P4586">
        <f t="shared" si="71"/>
        <v>1900</v>
      </c>
    </row>
    <row r="4587" spans="16:16" x14ac:dyDescent="0.25">
      <c r="P4587">
        <f t="shared" si="71"/>
        <v>1900</v>
      </c>
    </row>
    <row r="4588" spans="16:16" x14ac:dyDescent="0.25">
      <c r="P4588">
        <f t="shared" si="71"/>
        <v>1900</v>
      </c>
    </row>
    <row r="4589" spans="16:16" x14ac:dyDescent="0.25">
      <c r="P4589">
        <f t="shared" si="71"/>
        <v>1900</v>
      </c>
    </row>
    <row r="4590" spans="16:16" x14ac:dyDescent="0.25">
      <c r="P4590">
        <f t="shared" si="71"/>
        <v>1900</v>
      </c>
    </row>
    <row r="4591" spans="16:16" x14ac:dyDescent="0.25">
      <c r="P4591">
        <f t="shared" si="71"/>
        <v>1900</v>
      </c>
    </row>
    <row r="4592" spans="16:16" x14ac:dyDescent="0.25">
      <c r="P4592">
        <f t="shared" si="71"/>
        <v>1900</v>
      </c>
    </row>
    <row r="4593" spans="16:16" x14ac:dyDescent="0.25">
      <c r="P4593">
        <f t="shared" si="71"/>
        <v>1900</v>
      </c>
    </row>
    <row r="4594" spans="16:16" x14ac:dyDescent="0.25">
      <c r="P4594">
        <f t="shared" si="71"/>
        <v>1900</v>
      </c>
    </row>
    <row r="4595" spans="16:16" x14ac:dyDescent="0.25">
      <c r="P4595">
        <f t="shared" si="71"/>
        <v>1900</v>
      </c>
    </row>
    <row r="4596" spans="16:16" x14ac:dyDescent="0.25">
      <c r="P4596">
        <f t="shared" si="71"/>
        <v>1900</v>
      </c>
    </row>
    <row r="4597" spans="16:16" x14ac:dyDescent="0.25">
      <c r="P4597">
        <f t="shared" si="71"/>
        <v>1900</v>
      </c>
    </row>
    <row r="4598" spans="16:16" x14ac:dyDescent="0.25">
      <c r="P4598">
        <f t="shared" si="71"/>
        <v>1900</v>
      </c>
    </row>
    <row r="4599" spans="16:16" x14ac:dyDescent="0.25">
      <c r="P4599">
        <f t="shared" si="71"/>
        <v>1900</v>
      </c>
    </row>
    <row r="4600" spans="16:16" x14ac:dyDescent="0.25">
      <c r="P4600">
        <f t="shared" si="71"/>
        <v>1900</v>
      </c>
    </row>
    <row r="4601" spans="16:16" x14ac:dyDescent="0.25">
      <c r="P4601">
        <f t="shared" si="71"/>
        <v>1900</v>
      </c>
    </row>
    <row r="4602" spans="16:16" x14ac:dyDescent="0.25">
      <c r="P4602">
        <f t="shared" si="71"/>
        <v>1900</v>
      </c>
    </row>
    <row r="4603" spans="16:16" x14ac:dyDescent="0.25">
      <c r="P4603">
        <f t="shared" si="71"/>
        <v>1900</v>
      </c>
    </row>
    <row r="4604" spans="16:16" x14ac:dyDescent="0.25">
      <c r="P4604">
        <f t="shared" si="71"/>
        <v>1900</v>
      </c>
    </row>
    <row r="4605" spans="16:16" x14ac:dyDescent="0.25">
      <c r="P4605">
        <f t="shared" si="71"/>
        <v>1900</v>
      </c>
    </row>
    <row r="4606" spans="16:16" x14ac:dyDescent="0.25">
      <c r="P4606">
        <f t="shared" si="71"/>
        <v>1900</v>
      </c>
    </row>
    <row r="4607" spans="16:16" x14ac:dyDescent="0.25">
      <c r="P4607">
        <f t="shared" si="71"/>
        <v>1900</v>
      </c>
    </row>
    <row r="4608" spans="16:16" x14ac:dyDescent="0.25">
      <c r="P4608">
        <f t="shared" si="71"/>
        <v>1900</v>
      </c>
    </row>
    <row r="4609" spans="16:16" x14ac:dyDescent="0.25">
      <c r="P4609">
        <f t="shared" si="71"/>
        <v>1900</v>
      </c>
    </row>
    <row r="4610" spans="16:16" x14ac:dyDescent="0.25">
      <c r="P4610">
        <f t="shared" ref="P4610:P4673" si="72">IFERROR(YEAR(D4610),"")</f>
        <v>1900</v>
      </c>
    </row>
    <row r="4611" spans="16:16" x14ac:dyDescent="0.25">
      <c r="P4611">
        <f t="shared" si="72"/>
        <v>1900</v>
      </c>
    </row>
    <row r="4612" spans="16:16" x14ac:dyDescent="0.25">
      <c r="P4612">
        <f t="shared" si="72"/>
        <v>1900</v>
      </c>
    </row>
    <row r="4613" spans="16:16" x14ac:dyDescent="0.25">
      <c r="P4613">
        <f t="shared" si="72"/>
        <v>1900</v>
      </c>
    </row>
    <row r="4614" spans="16:16" x14ac:dyDescent="0.25">
      <c r="P4614">
        <f t="shared" si="72"/>
        <v>1900</v>
      </c>
    </row>
    <row r="4615" spans="16:16" x14ac:dyDescent="0.25">
      <c r="P4615">
        <f t="shared" si="72"/>
        <v>1900</v>
      </c>
    </row>
    <row r="4616" spans="16:16" x14ac:dyDescent="0.25">
      <c r="P4616">
        <f t="shared" si="72"/>
        <v>1900</v>
      </c>
    </row>
    <row r="4617" spans="16:16" x14ac:dyDescent="0.25">
      <c r="P4617">
        <f t="shared" si="72"/>
        <v>1900</v>
      </c>
    </row>
    <row r="4618" spans="16:16" x14ac:dyDescent="0.25">
      <c r="P4618">
        <f t="shared" si="72"/>
        <v>1900</v>
      </c>
    </row>
    <row r="4619" spans="16:16" x14ac:dyDescent="0.25">
      <c r="P4619">
        <f t="shared" si="72"/>
        <v>1900</v>
      </c>
    </row>
    <row r="4620" spans="16:16" x14ac:dyDescent="0.25">
      <c r="P4620">
        <f t="shared" si="72"/>
        <v>1900</v>
      </c>
    </row>
    <row r="4621" spans="16:16" x14ac:dyDescent="0.25">
      <c r="P4621">
        <f t="shared" si="72"/>
        <v>1900</v>
      </c>
    </row>
    <row r="4622" spans="16:16" x14ac:dyDescent="0.25">
      <c r="P4622">
        <f t="shared" si="72"/>
        <v>1900</v>
      </c>
    </row>
    <row r="4623" spans="16:16" x14ac:dyDescent="0.25">
      <c r="P4623">
        <f t="shared" si="72"/>
        <v>1900</v>
      </c>
    </row>
    <row r="4624" spans="16:16" x14ac:dyDescent="0.25">
      <c r="P4624">
        <f t="shared" si="72"/>
        <v>1900</v>
      </c>
    </row>
    <row r="4625" spans="16:16" x14ac:dyDescent="0.25">
      <c r="P4625">
        <f t="shared" si="72"/>
        <v>1900</v>
      </c>
    </row>
    <row r="4626" spans="16:16" x14ac:dyDescent="0.25">
      <c r="P4626">
        <f t="shared" si="72"/>
        <v>1900</v>
      </c>
    </row>
    <row r="4627" spans="16:16" x14ac:dyDescent="0.25">
      <c r="P4627">
        <f t="shared" si="72"/>
        <v>1900</v>
      </c>
    </row>
    <row r="4628" spans="16:16" x14ac:dyDescent="0.25">
      <c r="P4628">
        <f t="shared" si="72"/>
        <v>1900</v>
      </c>
    </row>
    <row r="4629" spans="16:16" x14ac:dyDescent="0.25">
      <c r="P4629">
        <f t="shared" si="72"/>
        <v>1900</v>
      </c>
    </row>
    <row r="4630" spans="16:16" x14ac:dyDescent="0.25">
      <c r="P4630">
        <f t="shared" si="72"/>
        <v>1900</v>
      </c>
    </row>
    <row r="4631" spans="16:16" x14ac:dyDescent="0.25">
      <c r="P4631">
        <f t="shared" si="72"/>
        <v>1900</v>
      </c>
    </row>
    <row r="4632" spans="16:16" x14ac:dyDescent="0.25">
      <c r="P4632">
        <f t="shared" si="72"/>
        <v>1900</v>
      </c>
    </row>
    <row r="4633" spans="16:16" x14ac:dyDescent="0.25">
      <c r="P4633">
        <f t="shared" si="72"/>
        <v>1900</v>
      </c>
    </row>
    <row r="4634" spans="16:16" x14ac:dyDescent="0.25">
      <c r="P4634">
        <f t="shared" si="72"/>
        <v>1900</v>
      </c>
    </row>
    <row r="4635" spans="16:16" x14ac:dyDescent="0.25">
      <c r="P4635">
        <f t="shared" si="72"/>
        <v>1900</v>
      </c>
    </row>
    <row r="4636" spans="16:16" x14ac:dyDescent="0.25">
      <c r="P4636">
        <f t="shared" si="72"/>
        <v>1900</v>
      </c>
    </row>
    <row r="4637" spans="16:16" x14ac:dyDescent="0.25">
      <c r="P4637">
        <f t="shared" si="72"/>
        <v>1900</v>
      </c>
    </row>
    <row r="4638" spans="16:16" x14ac:dyDescent="0.25">
      <c r="P4638">
        <f t="shared" si="72"/>
        <v>1900</v>
      </c>
    </row>
    <row r="4639" spans="16:16" x14ac:dyDescent="0.25">
      <c r="P4639">
        <f t="shared" si="72"/>
        <v>1900</v>
      </c>
    </row>
    <row r="4640" spans="16:16" x14ac:dyDescent="0.25">
      <c r="P4640">
        <f t="shared" si="72"/>
        <v>1900</v>
      </c>
    </row>
    <row r="4641" spans="16:16" x14ac:dyDescent="0.25">
      <c r="P4641">
        <f t="shared" si="72"/>
        <v>1900</v>
      </c>
    </row>
    <row r="4642" spans="16:16" x14ac:dyDescent="0.25">
      <c r="P4642">
        <f t="shared" si="72"/>
        <v>1900</v>
      </c>
    </row>
    <row r="4643" spans="16:16" x14ac:dyDescent="0.25">
      <c r="P4643">
        <f t="shared" si="72"/>
        <v>1900</v>
      </c>
    </row>
    <row r="4644" spans="16:16" x14ac:dyDescent="0.25">
      <c r="P4644">
        <f t="shared" si="72"/>
        <v>1900</v>
      </c>
    </row>
    <row r="4645" spans="16:16" x14ac:dyDescent="0.25">
      <c r="P4645">
        <f t="shared" si="72"/>
        <v>1900</v>
      </c>
    </row>
    <row r="4646" spans="16:16" x14ac:dyDescent="0.25">
      <c r="P4646">
        <f t="shared" si="72"/>
        <v>1900</v>
      </c>
    </row>
    <row r="4647" spans="16:16" x14ac:dyDescent="0.25">
      <c r="P4647">
        <f t="shared" si="72"/>
        <v>1900</v>
      </c>
    </row>
    <row r="4648" spans="16:16" x14ac:dyDescent="0.25">
      <c r="P4648">
        <f t="shared" si="72"/>
        <v>1900</v>
      </c>
    </row>
    <row r="4649" spans="16:16" x14ac:dyDescent="0.25">
      <c r="P4649">
        <f t="shared" si="72"/>
        <v>1900</v>
      </c>
    </row>
    <row r="4650" spans="16:16" x14ac:dyDescent="0.25">
      <c r="P4650">
        <f t="shared" si="72"/>
        <v>1900</v>
      </c>
    </row>
    <row r="4651" spans="16:16" x14ac:dyDescent="0.25">
      <c r="P4651">
        <f t="shared" si="72"/>
        <v>1900</v>
      </c>
    </row>
    <row r="4652" spans="16:16" x14ac:dyDescent="0.25">
      <c r="P4652">
        <f t="shared" si="72"/>
        <v>1900</v>
      </c>
    </row>
    <row r="4653" spans="16:16" x14ac:dyDescent="0.25">
      <c r="P4653">
        <f t="shared" si="72"/>
        <v>1900</v>
      </c>
    </row>
    <row r="4654" spans="16:16" x14ac:dyDescent="0.25">
      <c r="P4654">
        <f t="shared" si="72"/>
        <v>1900</v>
      </c>
    </row>
    <row r="4655" spans="16:16" x14ac:dyDescent="0.25">
      <c r="P4655">
        <f t="shared" si="72"/>
        <v>1900</v>
      </c>
    </row>
    <row r="4656" spans="16:16" x14ac:dyDescent="0.25">
      <c r="P4656">
        <f t="shared" si="72"/>
        <v>1900</v>
      </c>
    </row>
    <row r="4657" spans="16:16" x14ac:dyDescent="0.25">
      <c r="P4657">
        <f t="shared" si="72"/>
        <v>1900</v>
      </c>
    </row>
    <row r="4658" spans="16:16" x14ac:dyDescent="0.25">
      <c r="P4658">
        <f t="shared" si="72"/>
        <v>1900</v>
      </c>
    </row>
    <row r="4659" spans="16:16" x14ac:dyDescent="0.25">
      <c r="P4659">
        <f t="shared" si="72"/>
        <v>1900</v>
      </c>
    </row>
    <row r="4660" spans="16:16" x14ac:dyDescent="0.25">
      <c r="P4660">
        <f t="shared" si="72"/>
        <v>1900</v>
      </c>
    </row>
    <row r="4661" spans="16:16" x14ac:dyDescent="0.25">
      <c r="P4661">
        <f t="shared" si="72"/>
        <v>1900</v>
      </c>
    </row>
    <row r="4662" spans="16:16" x14ac:dyDescent="0.25">
      <c r="P4662">
        <f t="shared" si="72"/>
        <v>1900</v>
      </c>
    </row>
    <row r="4663" spans="16:16" x14ac:dyDescent="0.25">
      <c r="P4663">
        <f t="shared" si="72"/>
        <v>1900</v>
      </c>
    </row>
    <row r="4664" spans="16:16" x14ac:dyDescent="0.25">
      <c r="P4664">
        <f t="shared" si="72"/>
        <v>1900</v>
      </c>
    </row>
    <row r="4665" spans="16:16" x14ac:dyDescent="0.25">
      <c r="P4665">
        <f t="shared" si="72"/>
        <v>1900</v>
      </c>
    </row>
    <row r="4666" spans="16:16" x14ac:dyDescent="0.25">
      <c r="P4666">
        <f t="shared" si="72"/>
        <v>1900</v>
      </c>
    </row>
    <row r="4667" spans="16:16" x14ac:dyDescent="0.25">
      <c r="P4667">
        <f t="shared" si="72"/>
        <v>1900</v>
      </c>
    </row>
    <row r="4668" spans="16:16" x14ac:dyDescent="0.25">
      <c r="P4668">
        <f t="shared" si="72"/>
        <v>1900</v>
      </c>
    </row>
    <row r="4669" spans="16:16" x14ac:dyDescent="0.25">
      <c r="P4669">
        <f t="shared" si="72"/>
        <v>1900</v>
      </c>
    </row>
    <row r="4670" spans="16:16" x14ac:dyDescent="0.25">
      <c r="P4670">
        <f t="shared" si="72"/>
        <v>1900</v>
      </c>
    </row>
    <row r="4671" spans="16:16" x14ac:dyDescent="0.25">
      <c r="P4671">
        <f t="shared" si="72"/>
        <v>1900</v>
      </c>
    </row>
    <row r="4672" spans="16:16" x14ac:dyDescent="0.25">
      <c r="P4672">
        <f t="shared" si="72"/>
        <v>1900</v>
      </c>
    </row>
    <row r="4673" spans="16:16" x14ac:dyDescent="0.25">
      <c r="P4673">
        <f t="shared" si="72"/>
        <v>1900</v>
      </c>
    </row>
    <row r="4674" spans="16:16" x14ac:dyDescent="0.25">
      <c r="P4674">
        <f t="shared" ref="P4674:P4737" si="73">IFERROR(YEAR(D4674),"")</f>
        <v>1900</v>
      </c>
    </row>
    <row r="4675" spans="16:16" x14ac:dyDescent="0.25">
      <c r="P4675">
        <f t="shared" si="73"/>
        <v>1900</v>
      </c>
    </row>
    <row r="4676" spans="16:16" x14ac:dyDescent="0.25">
      <c r="P4676">
        <f t="shared" si="73"/>
        <v>1900</v>
      </c>
    </row>
    <row r="4677" spans="16:16" x14ac:dyDescent="0.25">
      <c r="P4677">
        <f t="shared" si="73"/>
        <v>1900</v>
      </c>
    </row>
    <row r="4678" spans="16:16" x14ac:dyDescent="0.25">
      <c r="P4678">
        <f t="shared" si="73"/>
        <v>1900</v>
      </c>
    </row>
    <row r="4679" spans="16:16" x14ac:dyDescent="0.25">
      <c r="P4679">
        <f t="shared" si="73"/>
        <v>1900</v>
      </c>
    </row>
    <row r="4680" spans="16:16" x14ac:dyDescent="0.25">
      <c r="P4680">
        <f t="shared" si="73"/>
        <v>1900</v>
      </c>
    </row>
    <row r="4681" spans="16:16" x14ac:dyDescent="0.25">
      <c r="P4681">
        <f t="shared" si="73"/>
        <v>1900</v>
      </c>
    </row>
    <row r="4682" spans="16:16" x14ac:dyDescent="0.25">
      <c r="P4682">
        <f t="shared" si="73"/>
        <v>1900</v>
      </c>
    </row>
    <row r="4683" spans="16:16" x14ac:dyDescent="0.25">
      <c r="P4683">
        <f t="shared" si="73"/>
        <v>1900</v>
      </c>
    </row>
    <row r="4684" spans="16:16" x14ac:dyDescent="0.25">
      <c r="P4684">
        <f t="shared" si="73"/>
        <v>1900</v>
      </c>
    </row>
    <row r="4685" spans="16:16" x14ac:dyDescent="0.25">
      <c r="P4685">
        <f t="shared" si="73"/>
        <v>1900</v>
      </c>
    </row>
    <row r="4686" spans="16:16" x14ac:dyDescent="0.25">
      <c r="P4686">
        <f t="shared" si="73"/>
        <v>1900</v>
      </c>
    </row>
    <row r="4687" spans="16:16" x14ac:dyDescent="0.25">
      <c r="P4687">
        <f t="shared" si="73"/>
        <v>1900</v>
      </c>
    </row>
    <row r="4688" spans="16:16" x14ac:dyDescent="0.25">
      <c r="P4688">
        <f t="shared" si="73"/>
        <v>1900</v>
      </c>
    </row>
    <row r="4689" spans="16:16" x14ac:dyDescent="0.25">
      <c r="P4689">
        <f t="shared" si="73"/>
        <v>1900</v>
      </c>
    </row>
    <row r="4690" spans="16:16" x14ac:dyDescent="0.25">
      <c r="P4690">
        <f t="shared" si="73"/>
        <v>1900</v>
      </c>
    </row>
    <row r="4691" spans="16:16" x14ac:dyDescent="0.25">
      <c r="P4691">
        <f t="shared" si="73"/>
        <v>1900</v>
      </c>
    </row>
    <row r="4692" spans="16:16" x14ac:dyDescent="0.25">
      <c r="P4692">
        <f t="shared" si="73"/>
        <v>1900</v>
      </c>
    </row>
    <row r="4693" spans="16:16" x14ac:dyDescent="0.25">
      <c r="P4693">
        <f t="shared" si="73"/>
        <v>1900</v>
      </c>
    </row>
    <row r="4694" spans="16:16" x14ac:dyDescent="0.25">
      <c r="P4694">
        <f t="shared" si="73"/>
        <v>1900</v>
      </c>
    </row>
    <row r="4695" spans="16:16" x14ac:dyDescent="0.25">
      <c r="P4695">
        <f t="shared" si="73"/>
        <v>1900</v>
      </c>
    </row>
    <row r="4696" spans="16:16" x14ac:dyDescent="0.25">
      <c r="P4696">
        <f t="shared" si="73"/>
        <v>1900</v>
      </c>
    </row>
    <row r="4697" spans="16:16" x14ac:dyDescent="0.25">
      <c r="P4697">
        <f t="shared" si="73"/>
        <v>1900</v>
      </c>
    </row>
    <row r="4698" spans="16:16" x14ac:dyDescent="0.25">
      <c r="P4698">
        <f t="shared" si="73"/>
        <v>1900</v>
      </c>
    </row>
    <row r="4699" spans="16:16" x14ac:dyDescent="0.25">
      <c r="P4699">
        <f t="shared" si="73"/>
        <v>1900</v>
      </c>
    </row>
    <row r="4700" spans="16:16" x14ac:dyDescent="0.25">
      <c r="P4700">
        <f t="shared" si="73"/>
        <v>1900</v>
      </c>
    </row>
    <row r="4701" spans="16:16" x14ac:dyDescent="0.25">
      <c r="P4701">
        <f t="shared" si="73"/>
        <v>1900</v>
      </c>
    </row>
    <row r="4702" spans="16:16" x14ac:dyDescent="0.25">
      <c r="P4702">
        <f t="shared" si="73"/>
        <v>1900</v>
      </c>
    </row>
    <row r="4703" spans="16:16" x14ac:dyDescent="0.25">
      <c r="P4703">
        <f t="shared" si="73"/>
        <v>1900</v>
      </c>
    </row>
    <row r="4704" spans="16:16" x14ac:dyDescent="0.25">
      <c r="P4704">
        <f t="shared" si="73"/>
        <v>1900</v>
      </c>
    </row>
    <row r="4705" spans="16:16" x14ac:dyDescent="0.25">
      <c r="P4705">
        <f t="shared" si="73"/>
        <v>1900</v>
      </c>
    </row>
    <row r="4706" spans="16:16" x14ac:dyDescent="0.25">
      <c r="P4706">
        <f t="shared" si="73"/>
        <v>1900</v>
      </c>
    </row>
    <row r="4707" spans="16:16" x14ac:dyDescent="0.25">
      <c r="P4707">
        <f t="shared" si="73"/>
        <v>1900</v>
      </c>
    </row>
    <row r="4708" spans="16:16" x14ac:dyDescent="0.25">
      <c r="P4708">
        <f t="shared" si="73"/>
        <v>1900</v>
      </c>
    </row>
    <row r="4709" spans="16:16" x14ac:dyDescent="0.25">
      <c r="P4709">
        <f t="shared" si="73"/>
        <v>1900</v>
      </c>
    </row>
    <row r="4710" spans="16:16" x14ac:dyDescent="0.25">
      <c r="P4710">
        <f t="shared" si="73"/>
        <v>1900</v>
      </c>
    </row>
    <row r="4711" spans="16:16" x14ac:dyDescent="0.25">
      <c r="P4711">
        <f t="shared" si="73"/>
        <v>1900</v>
      </c>
    </row>
    <row r="4712" spans="16:16" x14ac:dyDescent="0.25">
      <c r="P4712">
        <f t="shared" si="73"/>
        <v>1900</v>
      </c>
    </row>
    <row r="4713" spans="16:16" x14ac:dyDescent="0.25">
      <c r="P4713">
        <f t="shared" si="73"/>
        <v>1900</v>
      </c>
    </row>
    <row r="4714" spans="16:16" x14ac:dyDescent="0.25">
      <c r="P4714">
        <f t="shared" si="73"/>
        <v>1900</v>
      </c>
    </row>
    <row r="4715" spans="16:16" x14ac:dyDescent="0.25">
      <c r="P4715">
        <f t="shared" si="73"/>
        <v>1900</v>
      </c>
    </row>
    <row r="4716" spans="16:16" x14ac:dyDescent="0.25">
      <c r="P4716">
        <f t="shared" si="73"/>
        <v>1900</v>
      </c>
    </row>
    <row r="4717" spans="16:16" x14ac:dyDescent="0.25">
      <c r="P4717">
        <f t="shared" si="73"/>
        <v>1900</v>
      </c>
    </row>
    <row r="4718" spans="16:16" x14ac:dyDescent="0.25">
      <c r="P4718">
        <f t="shared" si="73"/>
        <v>1900</v>
      </c>
    </row>
    <row r="4719" spans="16:16" x14ac:dyDescent="0.25">
      <c r="P4719">
        <f t="shared" si="73"/>
        <v>1900</v>
      </c>
    </row>
    <row r="4720" spans="16:16" x14ac:dyDescent="0.25">
      <c r="P4720">
        <f t="shared" si="73"/>
        <v>1900</v>
      </c>
    </row>
    <row r="4721" spans="16:16" x14ac:dyDescent="0.25">
      <c r="P4721">
        <f t="shared" si="73"/>
        <v>1900</v>
      </c>
    </row>
    <row r="4722" spans="16:16" x14ac:dyDescent="0.25">
      <c r="P4722">
        <f t="shared" si="73"/>
        <v>1900</v>
      </c>
    </row>
    <row r="4723" spans="16:16" x14ac:dyDescent="0.25">
      <c r="P4723">
        <f t="shared" si="73"/>
        <v>1900</v>
      </c>
    </row>
    <row r="4724" spans="16:16" x14ac:dyDescent="0.25">
      <c r="P4724">
        <f t="shared" si="73"/>
        <v>1900</v>
      </c>
    </row>
    <row r="4725" spans="16:16" x14ac:dyDescent="0.25">
      <c r="P4725">
        <f t="shared" si="73"/>
        <v>1900</v>
      </c>
    </row>
    <row r="4726" spans="16:16" x14ac:dyDescent="0.25">
      <c r="P4726">
        <f t="shared" si="73"/>
        <v>1900</v>
      </c>
    </row>
    <row r="4727" spans="16:16" x14ac:dyDescent="0.25">
      <c r="P4727">
        <f t="shared" si="73"/>
        <v>1900</v>
      </c>
    </row>
    <row r="4728" spans="16:16" x14ac:dyDescent="0.25">
      <c r="P4728">
        <f t="shared" si="73"/>
        <v>1900</v>
      </c>
    </row>
    <row r="4729" spans="16:16" x14ac:dyDescent="0.25">
      <c r="P4729">
        <f t="shared" si="73"/>
        <v>1900</v>
      </c>
    </row>
    <row r="4730" spans="16:16" x14ac:dyDescent="0.25">
      <c r="P4730">
        <f t="shared" si="73"/>
        <v>1900</v>
      </c>
    </row>
    <row r="4731" spans="16:16" x14ac:dyDescent="0.25">
      <c r="P4731">
        <f t="shared" si="73"/>
        <v>1900</v>
      </c>
    </row>
    <row r="4732" spans="16:16" x14ac:dyDescent="0.25">
      <c r="P4732">
        <f t="shared" si="73"/>
        <v>1900</v>
      </c>
    </row>
    <row r="4733" spans="16:16" x14ac:dyDescent="0.25">
      <c r="P4733">
        <f t="shared" si="73"/>
        <v>1900</v>
      </c>
    </row>
    <row r="4734" spans="16:16" x14ac:dyDescent="0.25">
      <c r="P4734">
        <f t="shared" si="73"/>
        <v>1900</v>
      </c>
    </row>
    <row r="4735" spans="16:16" x14ac:dyDescent="0.25">
      <c r="P4735">
        <f t="shared" si="73"/>
        <v>1900</v>
      </c>
    </row>
    <row r="4736" spans="16:16" x14ac:dyDescent="0.25">
      <c r="P4736">
        <f t="shared" si="73"/>
        <v>1900</v>
      </c>
    </row>
    <row r="4737" spans="16:16" x14ac:dyDescent="0.25">
      <c r="P4737">
        <f t="shared" si="73"/>
        <v>1900</v>
      </c>
    </row>
    <row r="4738" spans="16:16" x14ac:dyDescent="0.25">
      <c r="P4738">
        <f t="shared" ref="P4738:P4801" si="74">IFERROR(YEAR(D4738),"")</f>
        <v>1900</v>
      </c>
    </row>
    <row r="4739" spans="16:16" x14ac:dyDescent="0.25">
      <c r="P4739">
        <f t="shared" si="74"/>
        <v>1900</v>
      </c>
    </row>
    <row r="4740" spans="16:16" x14ac:dyDescent="0.25">
      <c r="P4740">
        <f t="shared" si="74"/>
        <v>1900</v>
      </c>
    </row>
    <row r="4741" spans="16:16" x14ac:dyDescent="0.25">
      <c r="P4741">
        <f t="shared" si="74"/>
        <v>1900</v>
      </c>
    </row>
    <row r="4742" spans="16:16" x14ac:dyDescent="0.25">
      <c r="P4742">
        <f t="shared" si="74"/>
        <v>1900</v>
      </c>
    </row>
    <row r="4743" spans="16:16" x14ac:dyDescent="0.25">
      <c r="P4743">
        <f t="shared" si="74"/>
        <v>1900</v>
      </c>
    </row>
    <row r="4744" spans="16:16" x14ac:dyDescent="0.25">
      <c r="P4744">
        <f t="shared" si="74"/>
        <v>1900</v>
      </c>
    </row>
    <row r="4745" spans="16:16" x14ac:dyDescent="0.25">
      <c r="P4745">
        <f t="shared" si="74"/>
        <v>1900</v>
      </c>
    </row>
    <row r="4746" spans="16:16" x14ac:dyDescent="0.25">
      <c r="P4746">
        <f t="shared" si="74"/>
        <v>1900</v>
      </c>
    </row>
    <row r="4747" spans="16:16" x14ac:dyDescent="0.25">
      <c r="P4747">
        <f t="shared" si="74"/>
        <v>1900</v>
      </c>
    </row>
    <row r="4748" spans="16:16" x14ac:dyDescent="0.25">
      <c r="P4748">
        <f t="shared" si="74"/>
        <v>1900</v>
      </c>
    </row>
    <row r="4749" spans="16:16" x14ac:dyDescent="0.25">
      <c r="P4749">
        <f t="shared" si="74"/>
        <v>1900</v>
      </c>
    </row>
    <row r="4750" spans="16:16" x14ac:dyDescent="0.25">
      <c r="P4750">
        <f t="shared" si="74"/>
        <v>1900</v>
      </c>
    </row>
    <row r="4751" spans="16:16" x14ac:dyDescent="0.25">
      <c r="P4751">
        <f t="shared" si="74"/>
        <v>1900</v>
      </c>
    </row>
    <row r="4752" spans="16:16" x14ac:dyDescent="0.25">
      <c r="P4752">
        <f t="shared" si="74"/>
        <v>1900</v>
      </c>
    </row>
    <row r="4753" spans="16:16" x14ac:dyDescent="0.25">
      <c r="P4753">
        <f t="shared" si="74"/>
        <v>1900</v>
      </c>
    </row>
    <row r="4754" spans="16:16" x14ac:dyDescent="0.25">
      <c r="P4754">
        <f t="shared" si="74"/>
        <v>1900</v>
      </c>
    </row>
    <row r="4755" spans="16:16" x14ac:dyDescent="0.25">
      <c r="P4755">
        <f t="shared" si="74"/>
        <v>1900</v>
      </c>
    </row>
    <row r="4756" spans="16:16" x14ac:dyDescent="0.25">
      <c r="P4756">
        <f t="shared" si="74"/>
        <v>1900</v>
      </c>
    </row>
    <row r="4757" spans="16:16" x14ac:dyDescent="0.25">
      <c r="P4757">
        <f t="shared" si="74"/>
        <v>1900</v>
      </c>
    </row>
    <row r="4758" spans="16:16" x14ac:dyDescent="0.25">
      <c r="P4758">
        <f t="shared" si="74"/>
        <v>1900</v>
      </c>
    </row>
    <row r="4759" spans="16:16" x14ac:dyDescent="0.25">
      <c r="P4759">
        <f t="shared" si="74"/>
        <v>1900</v>
      </c>
    </row>
    <row r="4760" spans="16:16" x14ac:dyDescent="0.25">
      <c r="P4760">
        <f t="shared" si="74"/>
        <v>1900</v>
      </c>
    </row>
    <row r="4761" spans="16:16" x14ac:dyDescent="0.25">
      <c r="P4761">
        <f t="shared" si="74"/>
        <v>1900</v>
      </c>
    </row>
    <row r="4762" spans="16:16" x14ac:dyDescent="0.25">
      <c r="P4762">
        <f t="shared" si="74"/>
        <v>1900</v>
      </c>
    </row>
    <row r="4763" spans="16:16" x14ac:dyDescent="0.25">
      <c r="P4763">
        <f t="shared" si="74"/>
        <v>1900</v>
      </c>
    </row>
    <row r="4764" spans="16:16" x14ac:dyDescent="0.25">
      <c r="P4764">
        <f t="shared" si="74"/>
        <v>1900</v>
      </c>
    </row>
    <row r="4765" spans="16:16" x14ac:dyDescent="0.25">
      <c r="P4765">
        <f t="shared" si="74"/>
        <v>1900</v>
      </c>
    </row>
    <row r="4766" spans="16:16" x14ac:dyDescent="0.25">
      <c r="P4766">
        <f t="shared" si="74"/>
        <v>1900</v>
      </c>
    </row>
    <row r="4767" spans="16:16" x14ac:dyDescent="0.25">
      <c r="P4767">
        <f t="shared" si="74"/>
        <v>1900</v>
      </c>
    </row>
    <row r="4768" spans="16:16" x14ac:dyDescent="0.25">
      <c r="P4768">
        <f t="shared" si="74"/>
        <v>1900</v>
      </c>
    </row>
    <row r="4769" spans="16:16" x14ac:dyDescent="0.25">
      <c r="P4769">
        <f t="shared" si="74"/>
        <v>1900</v>
      </c>
    </row>
    <row r="4770" spans="16:16" x14ac:dyDescent="0.25">
      <c r="P4770">
        <f t="shared" si="74"/>
        <v>1900</v>
      </c>
    </row>
    <row r="4771" spans="16:16" x14ac:dyDescent="0.25">
      <c r="P4771">
        <f t="shared" si="74"/>
        <v>1900</v>
      </c>
    </row>
    <row r="4772" spans="16:16" x14ac:dyDescent="0.25">
      <c r="P4772">
        <f t="shared" si="74"/>
        <v>1900</v>
      </c>
    </row>
    <row r="4773" spans="16:16" x14ac:dyDescent="0.25">
      <c r="P4773">
        <f t="shared" si="74"/>
        <v>1900</v>
      </c>
    </row>
    <row r="4774" spans="16:16" x14ac:dyDescent="0.25">
      <c r="P4774">
        <f t="shared" si="74"/>
        <v>1900</v>
      </c>
    </row>
    <row r="4775" spans="16:16" x14ac:dyDescent="0.25">
      <c r="P4775">
        <f t="shared" si="74"/>
        <v>1900</v>
      </c>
    </row>
    <row r="4776" spans="16:16" x14ac:dyDescent="0.25">
      <c r="P4776">
        <f t="shared" si="74"/>
        <v>1900</v>
      </c>
    </row>
    <row r="4777" spans="16:16" x14ac:dyDescent="0.25">
      <c r="P4777">
        <f t="shared" si="74"/>
        <v>1900</v>
      </c>
    </row>
    <row r="4778" spans="16:16" x14ac:dyDescent="0.25">
      <c r="P4778">
        <f t="shared" si="74"/>
        <v>1900</v>
      </c>
    </row>
    <row r="4779" spans="16:16" x14ac:dyDescent="0.25">
      <c r="P4779">
        <f t="shared" si="74"/>
        <v>1900</v>
      </c>
    </row>
    <row r="4780" spans="16:16" x14ac:dyDescent="0.25">
      <c r="P4780">
        <f t="shared" si="74"/>
        <v>1900</v>
      </c>
    </row>
    <row r="4781" spans="16:16" x14ac:dyDescent="0.25">
      <c r="P4781">
        <f t="shared" si="74"/>
        <v>1900</v>
      </c>
    </row>
    <row r="4782" spans="16:16" x14ac:dyDescent="0.25">
      <c r="P4782">
        <f t="shared" si="74"/>
        <v>1900</v>
      </c>
    </row>
    <row r="4783" spans="16:16" x14ac:dyDescent="0.25">
      <c r="P4783">
        <f t="shared" si="74"/>
        <v>1900</v>
      </c>
    </row>
    <row r="4784" spans="16:16" x14ac:dyDescent="0.25">
      <c r="P4784">
        <f t="shared" si="74"/>
        <v>1900</v>
      </c>
    </row>
    <row r="4785" spans="16:16" x14ac:dyDescent="0.25">
      <c r="P4785">
        <f t="shared" si="74"/>
        <v>1900</v>
      </c>
    </row>
    <row r="4786" spans="16:16" x14ac:dyDescent="0.25">
      <c r="P4786">
        <f t="shared" si="74"/>
        <v>1900</v>
      </c>
    </row>
    <row r="4787" spans="16:16" x14ac:dyDescent="0.25">
      <c r="P4787">
        <f t="shared" si="74"/>
        <v>1900</v>
      </c>
    </row>
    <row r="4788" spans="16:16" x14ac:dyDescent="0.25">
      <c r="P4788">
        <f t="shared" si="74"/>
        <v>1900</v>
      </c>
    </row>
    <row r="4789" spans="16:16" x14ac:dyDescent="0.25">
      <c r="P4789">
        <f t="shared" si="74"/>
        <v>1900</v>
      </c>
    </row>
    <row r="4790" spans="16:16" x14ac:dyDescent="0.25">
      <c r="P4790">
        <f t="shared" si="74"/>
        <v>1900</v>
      </c>
    </row>
    <row r="4791" spans="16:16" x14ac:dyDescent="0.25">
      <c r="P4791">
        <f t="shared" si="74"/>
        <v>1900</v>
      </c>
    </row>
    <row r="4792" spans="16:16" x14ac:dyDescent="0.25">
      <c r="P4792">
        <f t="shared" si="74"/>
        <v>1900</v>
      </c>
    </row>
    <row r="4793" spans="16:16" x14ac:dyDescent="0.25">
      <c r="P4793">
        <f t="shared" si="74"/>
        <v>1900</v>
      </c>
    </row>
    <row r="4794" spans="16:16" x14ac:dyDescent="0.25">
      <c r="P4794">
        <f t="shared" si="74"/>
        <v>1900</v>
      </c>
    </row>
    <row r="4795" spans="16:16" x14ac:dyDescent="0.25">
      <c r="P4795">
        <f t="shared" si="74"/>
        <v>1900</v>
      </c>
    </row>
    <row r="4796" spans="16:16" x14ac:dyDescent="0.25">
      <c r="P4796">
        <f t="shared" si="74"/>
        <v>1900</v>
      </c>
    </row>
    <row r="4797" spans="16:16" x14ac:dyDescent="0.25">
      <c r="P4797">
        <f t="shared" si="74"/>
        <v>1900</v>
      </c>
    </row>
    <row r="4798" spans="16:16" x14ac:dyDescent="0.25">
      <c r="P4798">
        <f t="shared" si="74"/>
        <v>1900</v>
      </c>
    </row>
    <row r="4799" spans="16:16" x14ac:dyDescent="0.25">
      <c r="P4799">
        <f t="shared" si="74"/>
        <v>1900</v>
      </c>
    </row>
    <row r="4800" spans="16:16" x14ac:dyDescent="0.25">
      <c r="P4800">
        <f t="shared" si="74"/>
        <v>1900</v>
      </c>
    </row>
    <row r="4801" spans="16:16" x14ac:dyDescent="0.25">
      <c r="P4801">
        <f t="shared" si="74"/>
        <v>1900</v>
      </c>
    </row>
    <row r="4802" spans="16:16" x14ac:dyDescent="0.25">
      <c r="P4802">
        <f t="shared" ref="P4802:P4865" si="75">IFERROR(YEAR(D4802),"")</f>
        <v>1900</v>
      </c>
    </row>
    <row r="4803" spans="16:16" x14ac:dyDescent="0.25">
      <c r="P4803">
        <f t="shared" si="75"/>
        <v>1900</v>
      </c>
    </row>
    <row r="4804" spans="16:16" x14ac:dyDescent="0.25">
      <c r="P4804">
        <f t="shared" si="75"/>
        <v>1900</v>
      </c>
    </row>
    <row r="4805" spans="16:16" x14ac:dyDescent="0.25">
      <c r="P4805">
        <f t="shared" si="75"/>
        <v>1900</v>
      </c>
    </row>
    <row r="4806" spans="16:16" x14ac:dyDescent="0.25">
      <c r="P4806">
        <f t="shared" si="75"/>
        <v>1900</v>
      </c>
    </row>
    <row r="4807" spans="16:16" x14ac:dyDescent="0.25">
      <c r="P4807">
        <f t="shared" si="75"/>
        <v>1900</v>
      </c>
    </row>
    <row r="4808" spans="16:16" x14ac:dyDescent="0.25">
      <c r="P4808">
        <f t="shared" si="75"/>
        <v>1900</v>
      </c>
    </row>
    <row r="4809" spans="16:16" x14ac:dyDescent="0.25">
      <c r="P4809">
        <f t="shared" si="75"/>
        <v>1900</v>
      </c>
    </row>
    <row r="4810" spans="16:16" x14ac:dyDescent="0.25">
      <c r="P4810">
        <f t="shared" si="75"/>
        <v>1900</v>
      </c>
    </row>
    <row r="4811" spans="16:16" x14ac:dyDescent="0.25">
      <c r="P4811">
        <f t="shared" si="75"/>
        <v>1900</v>
      </c>
    </row>
    <row r="4812" spans="16:16" x14ac:dyDescent="0.25">
      <c r="P4812">
        <f t="shared" si="75"/>
        <v>1900</v>
      </c>
    </row>
    <row r="4813" spans="16:16" x14ac:dyDescent="0.25">
      <c r="P4813">
        <f t="shared" si="75"/>
        <v>1900</v>
      </c>
    </row>
    <row r="4814" spans="16:16" x14ac:dyDescent="0.25">
      <c r="P4814">
        <f t="shared" si="75"/>
        <v>1900</v>
      </c>
    </row>
    <row r="4815" spans="16:16" x14ac:dyDescent="0.25">
      <c r="P4815">
        <f t="shared" si="75"/>
        <v>1900</v>
      </c>
    </row>
    <row r="4816" spans="16:16" x14ac:dyDescent="0.25">
      <c r="P4816">
        <f t="shared" si="75"/>
        <v>1900</v>
      </c>
    </row>
    <row r="4817" spans="16:16" x14ac:dyDescent="0.25">
      <c r="P4817">
        <f t="shared" si="75"/>
        <v>1900</v>
      </c>
    </row>
    <row r="4818" spans="16:16" x14ac:dyDescent="0.25">
      <c r="P4818">
        <f t="shared" si="75"/>
        <v>1900</v>
      </c>
    </row>
    <row r="4819" spans="16:16" x14ac:dyDescent="0.25">
      <c r="P4819">
        <f t="shared" si="75"/>
        <v>1900</v>
      </c>
    </row>
    <row r="4820" spans="16:16" x14ac:dyDescent="0.25">
      <c r="P4820">
        <f t="shared" si="75"/>
        <v>1900</v>
      </c>
    </row>
    <row r="4821" spans="16:16" x14ac:dyDescent="0.25">
      <c r="P4821">
        <f t="shared" si="75"/>
        <v>1900</v>
      </c>
    </row>
    <row r="4822" spans="16:16" x14ac:dyDescent="0.25">
      <c r="P4822">
        <f t="shared" si="75"/>
        <v>1900</v>
      </c>
    </row>
    <row r="4823" spans="16:16" x14ac:dyDescent="0.25">
      <c r="P4823">
        <f t="shared" si="75"/>
        <v>1900</v>
      </c>
    </row>
    <row r="4824" spans="16:16" x14ac:dyDescent="0.25">
      <c r="P4824">
        <f t="shared" si="75"/>
        <v>1900</v>
      </c>
    </row>
    <row r="4825" spans="16:16" x14ac:dyDescent="0.25">
      <c r="P4825">
        <f t="shared" si="75"/>
        <v>1900</v>
      </c>
    </row>
    <row r="4826" spans="16:16" x14ac:dyDescent="0.25">
      <c r="P4826">
        <f t="shared" si="75"/>
        <v>1900</v>
      </c>
    </row>
    <row r="4827" spans="16:16" x14ac:dyDescent="0.25">
      <c r="P4827">
        <f t="shared" si="75"/>
        <v>1900</v>
      </c>
    </row>
    <row r="4828" spans="16:16" x14ac:dyDescent="0.25">
      <c r="P4828">
        <f t="shared" si="75"/>
        <v>1900</v>
      </c>
    </row>
    <row r="4829" spans="16:16" x14ac:dyDescent="0.25">
      <c r="P4829">
        <f t="shared" si="75"/>
        <v>1900</v>
      </c>
    </row>
    <row r="4830" spans="16:16" x14ac:dyDescent="0.25">
      <c r="P4830">
        <f t="shared" si="75"/>
        <v>1900</v>
      </c>
    </row>
    <row r="4831" spans="16:16" x14ac:dyDescent="0.25">
      <c r="P4831">
        <f t="shared" si="75"/>
        <v>1900</v>
      </c>
    </row>
    <row r="4832" spans="16:16" x14ac:dyDescent="0.25">
      <c r="P4832">
        <f t="shared" si="75"/>
        <v>1900</v>
      </c>
    </row>
    <row r="4833" spans="16:16" x14ac:dyDescent="0.25">
      <c r="P4833">
        <f t="shared" si="75"/>
        <v>1900</v>
      </c>
    </row>
    <row r="4834" spans="16:16" x14ac:dyDescent="0.25">
      <c r="P4834">
        <f t="shared" si="75"/>
        <v>1900</v>
      </c>
    </row>
    <row r="4835" spans="16:16" x14ac:dyDescent="0.25">
      <c r="P4835">
        <f t="shared" si="75"/>
        <v>1900</v>
      </c>
    </row>
    <row r="4836" spans="16:16" x14ac:dyDescent="0.25">
      <c r="P4836">
        <f t="shared" si="75"/>
        <v>1900</v>
      </c>
    </row>
    <row r="4837" spans="16:16" x14ac:dyDescent="0.25">
      <c r="P4837">
        <f t="shared" si="75"/>
        <v>1900</v>
      </c>
    </row>
    <row r="4838" spans="16:16" x14ac:dyDescent="0.25">
      <c r="P4838">
        <f t="shared" si="75"/>
        <v>1900</v>
      </c>
    </row>
    <row r="4839" spans="16:16" x14ac:dyDescent="0.25">
      <c r="P4839">
        <f t="shared" si="75"/>
        <v>1900</v>
      </c>
    </row>
    <row r="4840" spans="16:16" x14ac:dyDescent="0.25">
      <c r="P4840">
        <f t="shared" si="75"/>
        <v>1900</v>
      </c>
    </row>
    <row r="4841" spans="16:16" x14ac:dyDescent="0.25">
      <c r="P4841">
        <f t="shared" si="75"/>
        <v>1900</v>
      </c>
    </row>
    <row r="4842" spans="16:16" x14ac:dyDescent="0.25">
      <c r="P4842">
        <f t="shared" si="75"/>
        <v>1900</v>
      </c>
    </row>
    <row r="4843" spans="16:16" x14ac:dyDescent="0.25">
      <c r="P4843">
        <f t="shared" si="75"/>
        <v>1900</v>
      </c>
    </row>
    <row r="4844" spans="16:16" x14ac:dyDescent="0.25">
      <c r="P4844">
        <f t="shared" si="75"/>
        <v>1900</v>
      </c>
    </row>
    <row r="4845" spans="16:16" x14ac:dyDescent="0.25">
      <c r="P4845">
        <f t="shared" si="75"/>
        <v>1900</v>
      </c>
    </row>
    <row r="4846" spans="16:16" x14ac:dyDescent="0.25">
      <c r="P4846">
        <f t="shared" si="75"/>
        <v>1900</v>
      </c>
    </row>
    <row r="4847" spans="16:16" x14ac:dyDescent="0.25">
      <c r="P4847">
        <f t="shared" si="75"/>
        <v>1900</v>
      </c>
    </row>
    <row r="4848" spans="16:16" x14ac:dyDescent="0.25">
      <c r="P4848">
        <f t="shared" si="75"/>
        <v>1900</v>
      </c>
    </row>
    <row r="4849" spans="16:16" x14ac:dyDescent="0.25">
      <c r="P4849">
        <f t="shared" si="75"/>
        <v>1900</v>
      </c>
    </row>
    <row r="4850" spans="16:16" x14ac:dyDescent="0.25">
      <c r="P4850">
        <f t="shared" si="75"/>
        <v>1900</v>
      </c>
    </row>
    <row r="4851" spans="16:16" x14ac:dyDescent="0.25">
      <c r="P4851">
        <f t="shared" si="75"/>
        <v>1900</v>
      </c>
    </row>
    <row r="4852" spans="16:16" x14ac:dyDescent="0.25">
      <c r="P4852">
        <f t="shared" si="75"/>
        <v>1900</v>
      </c>
    </row>
    <row r="4853" spans="16:16" x14ac:dyDescent="0.25">
      <c r="P4853">
        <f t="shared" si="75"/>
        <v>1900</v>
      </c>
    </row>
    <row r="4854" spans="16:16" x14ac:dyDescent="0.25">
      <c r="P4854">
        <f t="shared" si="75"/>
        <v>1900</v>
      </c>
    </row>
    <row r="4855" spans="16:16" x14ac:dyDescent="0.25">
      <c r="P4855">
        <f t="shared" si="75"/>
        <v>1900</v>
      </c>
    </row>
    <row r="4856" spans="16:16" x14ac:dyDescent="0.25">
      <c r="P4856">
        <f t="shared" si="75"/>
        <v>1900</v>
      </c>
    </row>
    <row r="4857" spans="16:16" x14ac:dyDescent="0.25">
      <c r="P4857">
        <f t="shared" si="75"/>
        <v>1900</v>
      </c>
    </row>
    <row r="4858" spans="16:16" x14ac:dyDescent="0.25">
      <c r="P4858">
        <f t="shared" si="75"/>
        <v>1900</v>
      </c>
    </row>
    <row r="4859" spans="16:16" x14ac:dyDescent="0.25">
      <c r="P4859">
        <f t="shared" si="75"/>
        <v>1900</v>
      </c>
    </row>
    <row r="4860" spans="16:16" x14ac:dyDescent="0.25">
      <c r="P4860">
        <f t="shared" si="75"/>
        <v>1900</v>
      </c>
    </row>
    <row r="4861" spans="16:16" x14ac:dyDescent="0.25">
      <c r="P4861">
        <f t="shared" si="75"/>
        <v>1900</v>
      </c>
    </row>
    <row r="4862" spans="16:16" x14ac:dyDescent="0.25">
      <c r="P4862">
        <f t="shared" si="75"/>
        <v>1900</v>
      </c>
    </row>
    <row r="4863" spans="16:16" x14ac:dyDescent="0.25">
      <c r="P4863">
        <f t="shared" si="75"/>
        <v>1900</v>
      </c>
    </row>
    <row r="4864" spans="16:16" x14ac:dyDescent="0.25">
      <c r="P4864">
        <f t="shared" si="75"/>
        <v>1900</v>
      </c>
    </row>
    <row r="4865" spans="16:16" x14ac:dyDescent="0.25">
      <c r="P4865">
        <f t="shared" si="75"/>
        <v>1900</v>
      </c>
    </row>
    <row r="4866" spans="16:16" x14ac:dyDescent="0.25">
      <c r="P4866">
        <f t="shared" ref="P4866:P4929" si="76">IFERROR(YEAR(D4866),"")</f>
        <v>1900</v>
      </c>
    </row>
    <row r="4867" spans="16:16" x14ac:dyDescent="0.25">
      <c r="P4867">
        <f t="shared" si="76"/>
        <v>1900</v>
      </c>
    </row>
    <row r="4868" spans="16:16" x14ac:dyDescent="0.25">
      <c r="P4868">
        <f t="shared" si="76"/>
        <v>1900</v>
      </c>
    </row>
    <row r="4869" spans="16:16" x14ac:dyDescent="0.25">
      <c r="P4869">
        <f t="shared" si="76"/>
        <v>1900</v>
      </c>
    </row>
    <row r="4870" spans="16:16" x14ac:dyDescent="0.25">
      <c r="P4870">
        <f t="shared" si="76"/>
        <v>1900</v>
      </c>
    </row>
    <row r="4871" spans="16:16" x14ac:dyDescent="0.25">
      <c r="P4871">
        <f t="shared" si="76"/>
        <v>1900</v>
      </c>
    </row>
    <row r="4872" spans="16:16" x14ac:dyDescent="0.25">
      <c r="P4872">
        <f t="shared" si="76"/>
        <v>1900</v>
      </c>
    </row>
    <row r="4873" spans="16:16" x14ac:dyDescent="0.25">
      <c r="P4873">
        <f t="shared" si="76"/>
        <v>1900</v>
      </c>
    </row>
    <row r="4874" spans="16:16" x14ac:dyDescent="0.25">
      <c r="P4874">
        <f t="shared" si="76"/>
        <v>1900</v>
      </c>
    </row>
    <row r="4875" spans="16:16" x14ac:dyDescent="0.25">
      <c r="P4875">
        <f t="shared" si="76"/>
        <v>1900</v>
      </c>
    </row>
    <row r="4876" spans="16:16" x14ac:dyDescent="0.25">
      <c r="P4876">
        <f t="shared" si="76"/>
        <v>1900</v>
      </c>
    </row>
    <row r="4877" spans="16:16" x14ac:dyDescent="0.25">
      <c r="P4877">
        <f t="shared" si="76"/>
        <v>1900</v>
      </c>
    </row>
    <row r="4878" spans="16:16" x14ac:dyDescent="0.25">
      <c r="P4878">
        <f t="shared" si="76"/>
        <v>1900</v>
      </c>
    </row>
    <row r="4879" spans="16:16" x14ac:dyDescent="0.25">
      <c r="P4879">
        <f t="shared" si="76"/>
        <v>1900</v>
      </c>
    </row>
    <row r="4880" spans="16:16" x14ac:dyDescent="0.25">
      <c r="P4880">
        <f t="shared" si="76"/>
        <v>1900</v>
      </c>
    </row>
    <row r="4881" spans="16:16" x14ac:dyDescent="0.25">
      <c r="P4881">
        <f t="shared" si="76"/>
        <v>1900</v>
      </c>
    </row>
    <row r="4882" spans="16:16" x14ac:dyDescent="0.25">
      <c r="P4882">
        <f t="shared" si="76"/>
        <v>1900</v>
      </c>
    </row>
    <row r="4883" spans="16:16" x14ac:dyDescent="0.25">
      <c r="P4883">
        <f t="shared" si="76"/>
        <v>1900</v>
      </c>
    </row>
    <row r="4884" spans="16:16" x14ac:dyDescent="0.25">
      <c r="P4884">
        <f t="shared" si="76"/>
        <v>1900</v>
      </c>
    </row>
    <row r="4885" spans="16:16" x14ac:dyDescent="0.25">
      <c r="P4885">
        <f t="shared" si="76"/>
        <v>1900</v>
      </c>
    </row>
    <row r="4886" spans="16:16" x14ac:dyDescent="0.25">
      <c r="P4886">
        <f t="shared" si="76"/>
        <v>1900</v>
      </c>
    </row>
    <row r="4887" spans="16:16" x14ac:dyDescent="0.25">
      <c r="P4887">
        <f t="shared" si="76"/>
        <v>1900</v>
      </c>
    </row>
    <row r="4888" spans="16:16" x14ac:dyDescent="0.25">
      <c r="P4888">
        <f t="shared" si="76"/>
        <v>1900</v>
      </c>
    </row>
    <row r="4889" spans="16:16" x14ac:dyDescent="0.25">
      <c r="P4889">
        <f t="shared" si="76"/>
        <v>1900</v>
      </c>
    </row>
    <row r="4890" spans="16:16" x14ac:dyDescent="0.25">
      <c r="P4890">
        <f t="shared" si="76"/>
        <v>1900</v>
      </c>
    </row>
    <row r="4891" spans="16:16" x14ac:dyDescent="0.25">
      <c r="P4891">
        <f t="shared" si="76"/>
        <v>1900</v>
      </c>
    </row>
    <row r="4892" spans="16:16" x14ac:dyDescent="0.25">
      <c r="P4892">
        <f t="shared" si="76"/>
        <v>1900</v>
      </c>
    </row>
    <row r="4893" spans="16:16" x14ac:dyDescent="0.25">
      <c r="P4893">
        <f t="shared" si="76"/>
        <v>1900</v>
      </c>
    </row>
    <row r="4894" spans="16:16" x14ac:dyDescent="0.25">
      <c r="P4894">
        <f t="shared" si="76"/>
        <v>1900</v>
      </c>
    </row>
    <row r="4895" spans="16:16" x14ac:dyDescent="0.25">
      <c r="P4895">
        <f t="shared" si="76"/>
        <v>1900</v>
      </c>
    </row>
    <row r="4896" spans="16:16" x14ac:dyDescent="0.25">
      <c r="P4896">
        <f t="shared" si="76"/>
        <v>1900</v>
      </c>
    </row>
    <row r="4897" spans="16:16" x14ac:dyDescent="0.25">
      <c r="P4897">
        <f t="shared" si="76"/>
        <v>1900</v>
      </c>
    </row>
    <row r="4898" spans="16:16" x14ac:dyDescent="0.25">
      <c r="P4898">
        <f t="shared" si="76"/>
        <v>1900</v>
      </c>
    </row>
    <row r="4899" spans="16:16" x14ac:dyDescent="0.25">
      <c r="P4899">
        <f t="shared" si="76"/>
        <v>1900</v>
      </c>
    </row>
    <row r="4900" spans="16:16" x14ac:dyDescent="0.25">
      <c r="P4900">
        <f t="shared" si="76"/>
        <v>1900</v>
      </c>
    </row>
    <row r="4901" spans="16:16" x14ac:dyDescent="0.25">
      <c r="P4901">
        <f t="shared" si="76"/>
        <v>1900</v>
      </c>
    </row>
    <row r="4902" spans="16:16" x14ac:dyDescent="0.25">
      <c r="P4902">
        <f t="shared" si="76"/>
        <v>1900</v>
      </c>
    </row>
    <row r="4903" spans="16:16" x14ac:dyDescent="0.25">
      <c r="P4903">
        <f t="shared" si="76"/>
        <v>1900</v>
      </c>
    </row>
    <row r="4904" spans="16:16" x14ac:dyDescent="0.25">
      <c r="P4904">
        <f t="shared" si="76"/>
        <v>1900</v>
      </c>
    </row>
    <row r="4905" spans="16:16" x14ac:dyDescent="0.25">
      <c r="P4905">
        <f t="shared" si="76"/>
        <v>1900</v>
      </c>
    </row>
    <row r="4906" spans="16:16" x14ac:dyDescent="0.25">
      <c r="P4906">
        <f t="shared" si="76"/>
        <v>1900</v>
      </c>
    </row>
    <row r="4907" spans="16:16" x14ac:dyDescent="0.25">
      <c r="P4907">
        <f t="shared" si="76"/>
        <v>1900</v>
      </c>
    </row>
    <row r="4908" spans="16:16" x14ac:dyDescent="0.25">
      <c r="P4908">
        <f t="shared" si="76"/>
        <v>1900</v>
      </c>
    </row>
    <row r="4909" spans="16:16" x14ac:dyDescent="0.25">
      <c r="P4909">
        <f t="shared" si="76"/>
        <v>1900</v>
      </c>
    </row>
    <row r="4910" spans="16:16" x14ac:dyDescent="0.25">
      <c r="P4910">
        <f t="shared" si="76"/>
        <v>1900</v>
      </c>
    </row>
    <row r="4911" spans="16:16" x14ac:dyDescent="0.25">
      <c r="P4911">
        <f t="shared" si="76"/>
        <v>1900</v>
      </c>
    </row>
    <row r="4912" spans="16:16" x14ac:dyDescent="0.25">
      <c r="P4912">
        <f t="shared" si="76"/>
        <v>1900</v>
      </c>
    </row>
    <row r="4913" spans="16:16" x14ac:dyDescent="0.25">
      <c r="P4913">
        <f t="shared" si="76"/>
        <v>1900</v>
      </c>
    </row>
    <row r="4914" spans="16:16" x14ac:dyDescent="0.25">
      <c r="P4914">
        <f t="shared" si="76"/>
        <v>1900</v>
      </c>
    </row>
    <row r="4915" spans="16:16" x14ac:dyDescent="0.25">
      <c r="P4915">
        <f t="shared" si="76"/>
        <v>1900</v>
      </c>
    </row>
    <row r="4916" spans="16:16" x14ac:dyDescent="0.25">
      <c r="P4916">
        <f t="shared" si="76"/>
        <v>1900</v>
      </c>
    </row>
    <row r="4917" spans="16:16" x14ac:dyDescent="0.25">
      <c r="P4917">
        <f t="shared" si="76"/>
        <v>1900</v>
      </c>
    </row>
    <row r="4918" spans="16:16" x14ac:dyDescent="0.25">
      <c r="P4918">
        <f t="shared" si="76"/>
        <v>1900</v>
      </c>
    </row>
    <row r="4919" spans="16:16" x14ac:dyDescent="0.25">
      <c r="P4919">
        <f t="shared" si="76"/>
        <v>1900</v>
      </c>
    </row>
    <row r="4920" spans="16:16" x14ac:dyDescent="0.25">
      <c r="P4920">
        <f t="shared" si="76"/>
        <v>1900</v>
      </c>
    </row>
    <row r="4921" spans="16:16" x14ac:dyDescent="0.25">
      <c r="P4921">
        <f t="shared" si="76"/>
        <v>1900</v>
      </c>
    </row>
    <row r="4922" spans="16:16" x14ac:dyDescent="0.25">
      <c r="P4922">
        <f t="shared" si="76"/>
        <v>1900</v>
      </c>
    </row>
    <row r="4923" spans="16:16" x14ac:dyDescent="0.25">
      <c r="P4923">
        <f t="shared" si="76"/>
        <v>1900</v>
      </c>
    </row>
    <row r="4924" spans="16:16" x14ac:dyDescent="0.25">
      <c r="P4924">
        <f t="shared" si="76"/>
        <v>1900</v>
      </c>
    </row>
    <row r="4925" spans="16:16" x14ac:dyDescent="0.25">
      <c r="P4925">
        <f t="shared" si="76"/>
        <v>1900</v>
      </c>
    </row>
    <row r="4926" spans="16:16" x14ac:dyDescent="0.25">
      <c r="P4926">
        <f t="shared" si="76"/>
        <v>1900</v>
      </c>
    </row>
    <row r="4927" spans="16:16" x14ac:dyDescent="0.25">
      <c r="P4927">
        <f t="shared" si="76"/>
        <v>1900</v>
      </c>
    </row>
    <row r="4928" spans="16:16" x14ac:dyDescent="0.25">
      <c r="P4928">
        <f t="shared" si="76"/>
        <v>1900</v>
      </c>
    </row>
    <row r="4929" spans="16:16" x14ac:dyDescent="0.25">
      <c r="P4929">
        <f t="shared" si="76"/>
        <v>1900</v>
      </c>
    </row>
    <row r="4930" spans="16:16" x14ac:dyDescent="0.25">
      <c r="P4930">
        <f t="shared" ref="P4930:P4993" si="77">IFERROR(YEAR(D4930),"")</f>
        <v>1900</v>
      </c>
    </row>
    <row r="4931" spans="16:16" x14ac:dyDescent="0.25">
      <c r="P4931">
        <f t="shared" si="77"/>
        <v>1900</v>
      </c>
    </row>
    <row r="4932" spans="16:16" x14ac:dyDescent="0.25">
      <c r="P4932">
        <f t="shared" si="77"/>
        <v>1900</v>
      </c>
    </row>
    <row r="4933" spans="16:16" x14ac:dyDescent="0.25">
      <c r="P4933">
        <f t="shared" si="77"/>
        <v>1900</v>
      </c>
    </row>
    <row r="4934" spans="16:16" x14ac:dyDescent="0.25">
      <c r="P4934">
        <f t="shared" si="77"/>
        <v>1900</v>
      </c>
    </row>
    <row r="4935" spans="16:16" x14ac:dyDescent="0.25">
      <c r="P4935">
        <f t="shared" si="77"/>
        <v>1900</v>
      </c>
    </row>
    <row r="4936" spans="16:16" x14ac:dyDescent="0.25">
      <c r="P4936">
        <f t="shared" si="77"/>
        <v>1900</v>
      </c>
    </row>
    <row r="4937" spans="16:16" x14ac:dyDescent="0.25">
      <c r="P4937">
        <f t="shared" si="77"/>
        <v>1900</v>
      </c>
    </row>
    <row r="4938" spans="16:16" x14ac:dyDescent="0.25">
      <c r="P4938">
        <f t="shared" si="77"/>
        <v>1900</v>
      </c>
    </row>
    <row r="4939" spans="16:16" x14ac:dyDescent="0.25">
      <c r="P4939">
        <f t="shared" si="77"/>
        <v>1900</v>
      </c>
    </row>
    <row r="4940" spans="16:16" x14ac:dyDescent="0.25">
      <c r="P4940">
        <f t="shared" si="77"/>
        <v>1900</v>
      </c>
    </row>
    <row r="4941" spans="16:16" x14ac:dyDescent="0.25">
      <c r="P4941">
        <f t="shared" si="77"/>
        <v>1900</v>
      </c>
    </row>
    <row r="4942" spans="16:16" x14ac:dyDescent="0.25">
      <c r="P4942">
        <f t="shared" si="77"/>
        <v>1900</v>
      </c>
    </row>
    <row r="4943" spans="16:16" x14ac:dyDescent="0.25">
      <c r="P4943">
        <f t="shared" si="77"/>
        <v>1900</v>
      </c>
    </row>
    <row r="4944" spans="16:16" x14ac:dyDescent="0.25">
      <c r="P4944">
        <f t="shared" si="77"/>
        <v>1900</v>
      </c>
    </row>
    <row r="4945" spans="16:16" x14ac:dyDescent="0.25">
      <c r="P4945">
        <f t="shared" si="77"/>
        <v>1900</v>
      </c>
    </row>
    <row r="4946" spans="16:16" x14ac:dyDescent="0.25">
      <c r="P4946">
        <f t="shared" si="77"/>
        <v>1900</v>
      </c>
    </row>
    <row r="4947" spans="16:16" x14ac:dyDescent="0.25">
      <c r="P4947">
        <f t="shared" si="77"/>
        <v>1900</v>
      </c>
    </row>
    <row r="4948" spans="16:16" x14ac:dyDescent="0.25">
      <c r="P4948">
        <f t="shared" si="77"/>
        <v>1900</v>
      </c>
    </row>
    <row r="4949" spans="16:16" x14ac:dyDescent="0.25">
      <c r="P4949">
        <f t="shared" si="77"/>
        <v>1900</v>
      </c>
    </row>
    <row r="4950" spans="16:16" x14ac:dyDescent="0.25">
      <c r="P4950">
        <f t="shared" si="77"/>
        <v>1900</v>
      </c>
    </row>
    <row r="4951" spans="16:16" x14ac:dyDescent="0.25">
      <c r="P4951">
        <f t="shared" si="77"/>
        <v>1900</v>
      </c>
    </row>
    <row r="4952" spans="16:16" x14ac:dyDescent="0.25">
      <c r="P4952">
        <f t="shared" si="77"/>
        <v>1900</v>
      </c>
    </row>
    <row r="4953" spans="16:16" x14ac:dyDescent="0.25">
      <c r="P4953">
        <f t="shared" si="77"/>
        <v>1900</v>
      </c>
    </row>
    <row r="4954" spans="16:16" x14ac:dyDescent="0.25">
      <c r="P4954">
        <f t="shared" si="77"/>
        <v>1900</v>
      </c>
    </row>
    <row r="4955" spans="16:16" x14ac:dyDescent="0.25">
      <c r="P4955">
        <f t="shared" si="77"/>
        <v>1900</v>
      </c>
    </row>
    <row r="4956" spans="16:16" x14ac:dyDescent="0.25">
      <c r="P4956">
        <f t="shared" si="77"/>
        <v>1900</v>
      </c>
    </row>
    <row r="4957" spans="16:16" x14ac:dyDescent="0.25">
      <c r="P4957">
        <f t="shared" si="77"/>
        <v>1900</v>
      </c>
    </row>
    <row r="4958" spans="16:16" x14ac:dyDescent="0.25">
      <c r="P4958">
        <f t="shared" si="77"/>
        <v>1900</v>
      </c>
    </row>
    <row r="4959" spans="16:16" x14ac:dyDescent="0.25">
      <c r="P4959">
        <f t="shared" si="77"/>
        <v>1900</v>
      </c>
    </row>
    <row r="4960" spans="16:16" x14ac:dyDescent="0.25">
      <c r="P4960">
        <f t="shared" si="77"/>
        <v>1900</v>
      </c>
    </row>
    <row r="4961" spans="16:16" x14ac:dyDescent="0.25">
      <c r="P4961">
        <f t="shared" si="77"/>
        <v>1900</v>
      </c>
    </row>
    <row r="4962" spans="16:16" x14ac:dyDescent="0.25">
      <c r="P4962">
        <f t="shared" si="77"/>
        <v>1900</v>
      </c>
    </row>
    <row r="4963" spans="16:16" x14ac:dyDescent="0.25">
      <c r="P4963">
        <f t="shared" si="77"/>
        <v>1900</v>
      </c>
    </row>
    <row r="4964" spans="16:16" x14ac:dyDescent="0.25">
      <c r="P4964">
        <f t="shared" si="77"/>
        <v>1900</v>
      </c>
    </row>
    <row r="4965" spans="16:16" x14ac:dyDescent="0.25">
      <c r="P4965">
        <f t="shared" si="77"/>
        <v>1900</v>
      </c>
    </row>
    <row r="4966" spans="16:16" x14ac:dyDescent="0.25">
      <c r="P4966">
        <f t="shared" si="77"/>
        <v>1900</v>
      </c>
    </row>
    <row r="4967" spans="16:16" x14ac:dyDescent="0.25">
      <c r="P4967">
        <f t="shared" si="77"/>
        <v>1900</v>
      </c>
    </row>
    <row r="4968" spans="16:16" x14ac:dyDescent="0.25">
      <c r="P4968">
        <f t="shared" si="77"/>
        <v>1900</v>
      </c>
    </row>
    <row r="4969" spans="16:16" x14ac:dyDescent="0.25">
      <c r="P4969">
        <f t="shared" si="77"/>
        <v>1900</v>
      </c>
    </row>
    <row r="4970" spans="16:16" x14ac:dyDescent="0.25">
      <c r="P4970">
        <f t="shared" si="77"/>
        <v>1900</v>
      </c>
    </row>
    <row r="4971" spans="16:16" x14ac:dyDescent="0.25">
      <c r="P4971">
        <f t="shared" si="77"/>
        <v>1900</v>
      </c>
    </row>
    <row r="4972" spans="16:16" x14ac:dyDescent="0.25">
      <c r="P4972">
        <f t="shared" si="77"/>
        <v>1900</v>
      </c>
    </row>
    <row r="4973" spans="16:16" x14ac:dyDescent="0.25">
      <c r="P4973">
        <f t="shared" si="77"/>
        <v>1900</v>
      </c>
    </row>
    <row r="4974" spans="16:16" x14ac:dyDescent="0.25">
      <c r="P4974">
        <f t="shared" si="77"/>
        <v>1900</v>
      </c>
    </row>
    <row r="4975" spans="16:16" x14ac:dyDescent="0.25">
      <c r="P4975">
        <f t="shared" si="77"/>
        <v>1900</v>
      </c>
    </row>
    <row r="4976" spans="16:16" x14ac:dyDescent="0.25">
      <c r="P4976">
        <f t="shared" si="77"/>
        <v>1900</v>
      </c>
    </row>
    <row r="4977" spans="16:16" x14ac:dyDescent="0.25">
      <c r="P4977">
        <f t="shared" si="77"/>
        <v>1900</v>
      </c>
    </row>
    <row r="4978" spans="16:16" x14ac:dyDescent="0.25">
      <c r="P4978">
        <f t="shared" si="77"/>
        <v>1900</v>
      </c>
    </row>
    <row r="4979" spans="16:16" x14ac:dyDescent="0.25">
      <c r="P4979">
        <f t="shared" si="77"/>
        <v>1900</v>
      </c>
    </row>
    <row r="4980" spans="16:16" x14ac:dyDescent="0.25">
      <c r="P4980">
        <f t="shared" si="77"/>
        <v>1900</v>
      </c>
    </row>
    <row r="4981" spans="16:16" x14ac:dyDescent="0.25">
      <c r="P4981">
        <f t="shared" si="77"/>
        <v>1900</v>
      </c>
    </row>
    <row r="4982" spans="16:16" x14ac:dyDescent="0.25">
      <c r="P4982">
        <f t="shared" si="77"/>
        <v>1900</v>
      </c>
    </row>
    <row r="4983" spans="16:16" x14ac:dyDescent="0.25">
      <c r="P4983">
        <f t="shared" si="77"/>
        <v>1900</v>
      </c>
    </row>
    <row r="4984" spans="16:16" x14ac:dyDescent="0.25">
      <c r="P4984">
        <f t="shared" si="77"/>
        <v>1900</v>
      </c>
    </row>
    <row r="4985" spans="16:16" x14ac:dyDescent="0.25">
      <c r="P4985">
        <f t="shared" si="77"/>
        <v>1900</v>
      </c>
    </row>
    <row r="4986" spans="16:16" x14ac:dyDescent="0.25">
      <c r="P4986">
        <f t="shared" si="77"/>
        <v>1900</v>
      </c>
    </row>
    <row r="4987" spans="16:16" x14ac:dyDescent="0.25">
      <c r="P4987">
        <f t="shared" si="77"/>
        <v>1900</v>
      </c>
    </row>
    <row r="4988" spans="16:16" x14ac:dyDescent="0.25">
      <c r="P4988">
        <f t="shared" si="77"/>
        <v>1900</v>
      </c>
    </row>
    <row r="4989" spans="16:16" x14ac:dyDescent="0.25">
      <c r="P4989">
        <f t="shared" si="77"/>
        <v>1900</v>
      </c>
    </row>
    <row r="4990" spans="16:16" x14ac:dyDescent="0.25">
      <c r="P4990">
        <f t="shared" si="77"/>
        <v>1900</v>
      </c>
    </row>
    <row r="4991" spans="16:16" x14ac:dyDescent="0.25">
      <c r="P4991">
        <f t="shared" si="77"/>
        <v>1900</v>
      </c>
    </row>
    <row r="4992" spans="16:16" x14ac:dyDescent="0.25">
      <c r="P4992">
        <f t="shared" si="77"/>
        <v>1900</v>
      </c>
    </row>
    <row r="4993" spans="16:16" x14ac:dyDescent="0.25">
      <c r="P4993">
        <f t="shared" si="77"/>
        <v>1900</v>
      </c>
    </row>
    <row r="4994" spans="16:16" x14ac:dyDescent="0.25">
      <c r="P4994">
        <f t="shared" ref="P4994:P5001" si="78">IFERROR(YEAR(D4994),"")</f>
        <v>1900</v>
      </c>
    </row>
    <row r="4995" spans="16:16" x14ac:dyDescent="0.25">
      <c r="P4995">
        <f t="shared" si="78"/>
        <v>1900</v>
      </c>
    </row>
    <row r="4996" spans="16:16" x14ac:dyDescent="0.25">
      <c r="P4996">
        <f t="shared" si="78"/>
        <v>1900</v>
      </c>
    </row>
    <row r="4997" spans="16:16" x14ac:dyDescent="0.25">
      <c r="P4997">
        <f t="shared" si="78"/>
        <v>1900</v>
      </c>
    </row>
    <row r="4998" spans="16:16" x14ac:dyDescent="0.25">
      <c r="P4998">
        <f t="shared" si="78"/>
        <v>1900</v>
      </c>
    </row>
    <row r="4999" spans="16:16" x14ac:dyDescent="0.25">
      <c r="P4999">
        <f t="shared" si="78"/>
        <v>1900</v>
      </c>
    </row>
    <row r="5000" spans="16:16" x14ac:dyDescent="0.25">
      <c r="P5000">
        <f t="shared" si="78"/>
        <v>1900</v>
      </c>
    </row>
    <row r="5001" spans="16:16" x14ac:dyDescent="0.25">
      <c r="P5001">
        <f t="shared" si="78"/>
        <v>1900</v>
      </c>
    </row>
  </sheetData>
  <autoFilter ref="A3:M3" xr:uid="{00000000-0009-0000-0000-00002A000000}"/>
  <mergeCells count="2">
    <mergeCell ref="A2:N2"/>
    <mergeCell ref="A1:N1"/>
  </mergeCells>
  <pageMargins left="0.75" right="0.75" top="1" bottom="1" header="0.511811023622047" footer="0.511811023622047"/>
  <pageSetup paperSize="9" orientation="portrait" horizontalDpi="300" verticalDpi="30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L3"/>
  <sheetViews>
    <sheetView zoomScaleNormal="100" workbookViewId="0">
      <pane ySplit="3" topLeftCell="A4" activePane="bottomLeft" state="frozen"/>
      <selection pane="bottomLeft" sqref="A1:L1"/>
    </sheetView>
  </sheetViews>
  <sheetFormatPr defaultColWidth="8.7109375" defaultRowHeight="15" x14ac:dyDescent="0.25"/>
  <cols>
    <col min="1" max="1" width="18" customWidth="1"/>
    <col min="2" max="2" width="22" customWidth="1"/>
    <col min="3" max="3" width="16" customWidth="1"/>
    <col min="4" max="4" width="22" customWidth="1"/>
    <col min="5" max="5" width="14" customWidth="1"/>
    <col min="6" max="7" width="16" customWidth="1"/>
    <col min="8" max="8" width="18" customWidth="1"/>
    <col min="9" max="9" width="12" customWidth="1"/>
    <col min="10" max="10" width="20" customWidth="1"/>
    <col min="11" max="11" width="30" customWidth="1"/>
    <col min="12" max="12" width="14" customWidth="1"/>
  </cols>
  <sheetData>
    <row r="1" spans="1:12" ht="21.75" customHeight="1" x14ac:dyDescent="0.25">
      <c r="A1" s="373" t="s">
        <v>418</v>
      </c>
      <c r="B1" s="265"/>
      <c r="C1" s="265"/>
      <c r="D1" s="265"/>
      <c r="E1" s="265"/>
      <c r="F1" s="265"/>
      <c r="G1" s="265"/>
      <c r="H1" s="265"/>
      <c r="I1" s="265"/>
      <c r="J1" s="265"/>
      <c r="K1" s="265"/>
      <c r="L1" s="265"/>
    </row>
    <row r="2" spans="1:12" ht="15" customHeight="1" x14ac:dyDescent="0.25">
      <c r="A2" s="372"/>
      <c r="B2" s="265"/>
      <c r="C2" s="265"/>
      <c r="D2" s="265"/>
      <c r="E2" s="265"/>
      <c r="F2" s="265"/>
      <c r="G2" s="265"/>
      <c r="H2" s="265"/>
      <c r="I2" s="265"/>
      <c r="J2" s="265"/>
      <c r="K2" s="265"/>
      <c r="L2" s="265"/>
    </row>
    <row r="3" spans="1:12" ht="15" customHeight="1" x14ac:dyDescent="0.25">
      <c r="A3" s="109"/>
      <c r="B3" s="109"/>
      <c r="C3" s="109"/>
      <c r="D3" s="109"/>
      <c r="E3" s="109"/>
      <c r="F3" s="109"/>
      <c r="G3" s="109"/>
      <c r="H3" s="109"/>
      <c r="I3" s="109"/>
      <c r="J3" s="109"/>
      <c r="K3" s="109"/>
      <c r="L3" s="109"/>
    </row>
  </sheetData>
  <mergeCells count="2">
    <mergeCell ref="A2:L2"/>
    <mergeCell ref="A1:L1"/>
  </mergeCells>
  <pageMargins left="0.75" right="0.75" top="1" bottom="1" header="0.511811023622047" footer="0.511811023622047"/>
  <pageSetup paperSize="9" orientation="portrait" horizontalDpi="300" verticalDpi="30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tabColor rgb="FF1ABC9C"/>
  </sheetPr>
  <dimension ref="A1:G15"/>
  <sheetViews>
    <sheetView zoomScaleNormal="100" workbookViewId="0">
      <pane xSplit="1" ySplit="3" topLeftCell="B4" activePane="bottomRight" state="frozen"/>
      <selection pane="topRight" activeCell="B1" sqref="B1"/>
      <selection pane="bottomLeft" activeCell="A4" sqref="A4"/>
      <selection pane="bottomRight" sqref="A1:G1"/>
    </sheetView>
  </sheetViews>
  <sheetFormatPr defaultColWidth="8.7109375" defaultRowHeight="15" x14ac:dyDescent="0.25"/>
  <cols>
    <col min="1" max="1" width="14" customWidth="1"/>
    <col min="2" max="2" width="18" customWidth="1"/>
    <col min="3" max="3" width="20" customWidth="1"/>
    <col min="4" max="4" width="16" customWidth="1"/>
    <col min="5" max="5" width="13" customWidth="1"/>
    <col min="6" max="6" width="14" customWidth="1"/>
    <col min="7" max="7" width="16" customWidth="1"/>
  </cols>
  <sheetData>
    <row r="1" spans="1:7" ht="31.5" customHeight="1" x14ac:dyDescent="0.25">
      <c r="A1" s="359" t="s">
        <v>419</v>
      </c>
      <c r="B1" s="265"/>
      <c r="C1" s="265"/>
      <c r="D1" s="265"/>
      <c r="E1" s="265"/>
      <c r="F1" s="265"/>
      <c r="G1" s="265"/>
    </row>
    <row r="2" spans="1:7" ht="19.5" customHeight="1" x14ac:dyDescent="0.25">
      <c r="A2" s="374" t="s">
        <v>420</v>
      </c>
      <c r="B2" s="265"/>
      <c r="C2" s="265"/>
      <c r="D2" s="265"/>
      <c r="E2" s="265"/>
      <c r="F2" s="265"/>
      <c r="G2" s="265"/>
    </row>
    <row r="3" spans="1:7" ht="15" customHeight="1" x14ac:dyDescent="0.25">
      <c r="A3" s="36" t="s">
        <v>14</v>
      </c>
      <c r="B3" s="36" t="s">
        <v>130</v>
      </c>
      <c r="C3" s="36" t="s">
        <v>131</v>
      </c>
      <c r="D3" s="36" t="s">
        <v>421</v>
      </c>
      <c r="E3" s="36" t="s">
        <v>196</v>
      </c>
      <c r="F3" s="36" t="s">
        <v>422</v>
      </c>
      <c r="G3" s="36" t="s">
        <v>13</v>
      </c>
    </row>
    <row r="4" spans="1:7" ht="15" customHeight="1" x14ac:dyDescent="0.25">
      <c r="A4" s="37" t="s">
        <v>133</v>
      </c>
      <c r="B4" s="38">
        <f ca="1">SUMIFS(DB_Savings!$F:$F,DB_Savings!$G:$G,"Agent 01",DB_Savings!$E:$E,TODAY())</f>
        <v>0</v>
      </c>
      <c r="C4" s="38">
        <f ca="1">SUMIFS(DB_Withdrawals!$G:$G,DB_Withdrawals!$J:$J,"Agent 01",DB_Withdrawals!$F:$F,TODAY())</f>
        <v>0</v>
      </c>
      <c r="D4" s="38">
        <f t="shared" ref="D4:D14" ca="1" si="0">B4-C4</f>
        <v>0</v>
      </c>
      <c r="E4" s="39">
        <f ca="1">COUNTIFS(DB_Savings!$G:$G,"Agent 01",DB_Savings!$E:$E,TODAY())+COUNTIFS(DB_Withdrawals!$J:$J,"Agent 01",DB_Withdrawals!$F:$F,TODAY())</f>
        <v>0</v>
      </c>
      <c r="F4" s="38">
        <v>5000</v>
      </c>
      <c r="G4" s="39" t="str">
        <f t="shared" ref="G4:G13" ca="1" si="1">IF(B4&gt;=F4,"✅ Target Met",IF(B4&gt;=F4/2,"⚠️ Below Target","❌ Low"))</f>
        <v>❌ Low</v>
      </c>
    </row>
    <row r="5" spans="1:7" ht="15" customHeight="1" x14ac:dyDescent="0.25">
      <c r="A5" s="41" t="s">
        <v>134</v>
      </c>
      <c r="B5" s="42">
        <f ca="1">SUMIFS(DB_Savings!$F:$F,DB_Savings!$G:$G,"Agent 02",DB_Savings!$E:$E,TODAY())</f>
        <v>0</v>
      </c>
      <c r="C5" s="42">
        <f ca="1">SUMIFS(DB_Withdrawals!$G:$G,DB_Withdrawals!$J:$J,"Agent 02",DB_Withdrawals!$F:$F,TODAY())</f>
        <v>0</v>
      </c>
      <c r="D5" s="42">
        <f t="shared" ca="1" si="0"/>
        <v>0</v>
      </c>
      <c r="E5" s="43">
        <f ca="1">COUNTIFS(DB_Savings!$G:$G,"Agent 02",DB_Savings!$E:$E,TODAY())+COUNTIFS(DB_Withdrawals!$J:$J,"Agent 02",DB_Withdrawals!$F:$F,TODAY())</f>
        <v>0</v>
      </c>
      <c r="F5" s="42">
        <v>5000</v>
      </c>
      <c r="G5" s="43" t="str">
        <f t="shared" ca="1" si="1"/>
        <v>❌ Low</v>
      </c>
    </row>
    <row r="6" spans="1:7" ht="15" customHeight="1" x14ac:dyDescent="0.25">
      <c r="A6" s="37" t="s">
        <v>135</v>
      </c>
      <c r="B6" s="38">
        <f ca="1">SUMIFS(DB_Savings!$F:$F,DB_Savings!$G:$G,"Agent 03",DB_Savings!$E:$E,TODAY())</f>
        <v>0</v>
      </c>
      <c r="C6" s="38">
        <f ca="1">SUMIFS(DB_Withdrawals!$G:$G,DB_Withdrawals!$J:$J,"Agent 03",DB_Withdrawals!$F:$F,TODAY())</f>
        <v>0</v>
      </c>
      <c r="D6" s="38">
        <f t="shared" ca="1" si="0"/>
        <v>0</v>
      </c>
      <c r="E6" s="39">
        <f ca="1">COUNTIFS(DB_Savings!$G:$G,"Agent 03",DB_Savings!$E:$E,TODAY())+COUNTIFS(DB_Withdrawals!$J:$J,"Agent 03",DB_Withdrawals!$F:$F,TODAY())</f>
        <v>0</v>
      </c>
      <c r="F6" s="38">
        <v>5000</v>
      </c>
      <c r="G6" s="39" t="str">
        <f t="shared" ca="1" si="1"/>
        <v>❌ Low</v>
      </c>
    </row>
    <row r="7" spans="1:7" ht="15" customHeight="1" x14ac:dyDescent="0.25">
      <c r="A7" s="41" t="s">
        <v>136</v>
      </c>
      <c r="B7" s="42">
        <f ca="1">SUMIFS(DB_Savings!$F:$F,DB_Savings!$G:$G,"Agent 04",DB_Savings!$E:$E,TODAY())</f>
        <v>0</v>
      </c>
      <c r="C7" s="42">
        <f ca="1">SUMIFS(DB_Withdrawals!$G:$G,DB_Withdrawals!$J:$J,"Agent 04",DB_Withdrawals!$F:$F,TODAY())</f>
        <v>0</v>
      </c>
      <c r="D7" s="42">
        <f t="shared" ca="1" si="0"/>
        <v>0</v>
      </c>
      <c r="E7" s="43">
        <f ca="1">COUNTIFS(DB_Savings!$G:$G,"Agent 04",DB_Savings!$E:$E,TODAY())+COUNTIFS(DB_Withdrawals!$J:$J,"Agent 04",DB_Withdrawals!$F:$F,TODAY())</f>
        <v>0</v>
      </c>
      <c r="F7" s="42">
        <v>5000</v>
      </c>
      <c r="G7" s="43" t="str">
        <f t="shared" ca="1" si="1"/>
        <v>❌ Low</v>
      </c>
    </row>
    <row r="8" spans="1:7" ht="15" customHeight="1" x14ac:dyDescent="0.25">
      <c r="A8" s="37" t="s">
        <v>137</v>
      </c>
      <c r="B8" s="38">
        <f ca="1">SUMIFS(DB_Savings!$F:$F,DB_Savings!$G:$G,"Agent 05",DB_Savings!$E:$E,TODAY())</f>
        <v>0</v>
      </c>
      <c r="C8" s="38">
        <f ca="1">SUMIFS(DB_Withdrawals!$G:$G,DB_Withdrawals!$J:$J,"Agent 05",DB_Withdrawals!$F:$F,TODAY())</f>
        <v>0</v>
      </c>
      <c r="D8" s="38">
        <f t="shared" ca="1" si="0"/>
        <v>0</v>
      </c>
      <c r="E8" s="39">
        <f ca="1">COUNTIFS(DB_Savings!$G:$G,"Agent 05",DB_Savings!$E:$E,TODAY())+COUNTIFS(DB_Withdrawals!$J:$J,"Agent 05",DB_Withdrawals!$F:$F,TODAY())</f>
        <v>0</v>
      </c>
      <c r="F8" s="38">
        <v>5000</v>
      </c>
      <c r="G8" s="39" t="str">
        <f t="shared" ca="1" si="1"/>
        <v>❌ Low</v>
      </c>
    </row>
    <row r="9" spans="1:7" ht="15" customHeight="1" x14ac:dyDescent="0.25">
      <c r="A9" s="41" t="s">
        <v>138</v>
      </c>
      <c r="B9" s="42">
        <f ca="1">SUMIFS(DB_Savings!$F:$F,DB_Savings!$G:$G,"Agent 06",DB_Savings!$E:$E,TODAY())</f>
        <v>0</v>
      </c>
      <c r="C9" s="42">
        <f ca="1">SUMIFS(DB_Withdrawals!$G:$G,DB_Withdrawals!$J:$J,"Agent 06",DB_Withdrawals!$F:$F,TODAY())</f>
        <v>0</v>
      </c>
      <c r="D9" s="42">
        <f t="shared" ca="1" si="0"/>
        <v>0</v>
      </c>
      <c r="E9" s="43">
        <f ca="1">COUNTIFS(DB_Savings!$G:$G,"Agent 06",DB_Savings!$E:$E,TODAY())+COUNTIFS(DB_Withdrawals!$J:$J,"Agent 06",DB_Withdrawals!$F:$F,TODAY())</f>
        <v>0</v>
      </c>
      <c r="F9" s="42">
        <v>5000</v>
      </c>
      <c r="G9" s="43" t="str">
        <f t="shared" ca="1" si="1"/>
        <v>❌ Low</v>
      </c>
    </row>
    <row r="10" spans="1:7" ht="15" customHeight="1" x14ac:dyDescent="0.25">
      <c r="A10" s="37" t="s">
        <v>139</v>
      </c>
      <c r="B10" s="38">
        <f ca="1">SUMIFS(DB_Savings!$F:$F,DB_Savings!$G:$G,"Agent 07",DB_Savings!$E:$E,TODAY())</f>
        <v>0</v>
      </c>
      <c r="C10" s="38">
        <f ca="1">SUMIFS(DB_Withdrawals!$G:$G,DB_Withdrawals!$J:$J,"Agent 07",DB_Withdrawals!$F:$F,TODAY())</f>
        <v>0</v>
      </c>
      <c r="D10" s="38">
        <f t="shared" ca="1" si="0"/>
        <v>0</v>
      </c>
      <c r="E10" s="39">
        <f ca="1">COUNTIFS(DB_Savings!$G:$G,"Agent 07",DB_Savings!$E:$E,TODAY())+COUNTIFS(DB_Withdrawals!$J:$J,"Agent 07",DB_Withdrawals!$F:$F,TODAY())</f>
        <v>0</v>
      </c>
      <c r="F10" s="38">
        <v>5000</v>
      </c>
      <c r="G10" s="39" t="str">
        <f t="shared" ca="1" si="1"/>
        <v>❌ Low</v>
      </c>
    </row>
    <row r="11" spans="1:7" ht="15" customHeight="1" x14ac:dyDescent="0.25">
      <c r="A11" s="41" t="s">
        <v>140</v>
      </c>
      <c r="B11" s="42">
        <f ca="1">SUMIFS(DB_Savings!$F:$F,DB_Savings!$G:$G,"Agent 08",DB_Savings!$E:$E,TODAY())</f>
        <v>0</v>
      </c>
      <c r="C11" s="42">
        <f ca="1">SUMIFS(DB_Withdrawals!$G:$G,DB_Withdrawals!$J:$J,"Agent 08",DB_Withdrawals!$F:$F,TODAY())</f>
        <v>0</v>
      </c>
      <c r="D11" s="42">
        <f t="shared" ca="1" si="0"/>
        <v>0</v>
      </c>
      <c r="E11" s="43">
        <f ca="1">COUNTIFS(DB_Savings!$G:$G,"Agent 08",DB_Savings!$E:$E,TODAY())+COUNTIFS(DB_Withdrawals!$J:$J,"Agent 08",DB_Withdrawals!$F:$F,TODAY())</f>
        <v>0</v>
      </c>
      <c r="F11" s="42">
        <v>5000</v>
      </c>
      <c r="G11" s="43" t="str">
        <f t="shared" ca="1" si="1"/>
        <v>❌ Low</v>
      </c>
    </row>
    <row r="12" spans="1:7" ht="15" customHeight="1" x14ac:dyDescent="0.25">
      <c r="A12" s="37" t="s">
        <v>141</v>
      </c>
      <c r="B12" s="38">
        <f ca="1">SUMIFS(DB_Savings!$F:$F,DB_Savings!$G:$G,"Agent 09",DB_Savings!$E:$E,TODAY())</f>
        <v>0</v>
      </c>
      <c r="C12" s="38">
        <f ca="1">SUMIFS(DB_Withdrawals!$G:$G,DB_Withdrawals!$J:$J,"Agent 09",DB_Withdrawals!$F:$F,TODAY())</f>
        <v>0</v>
      </c>
      <c r="D12" s="38">
        <f t="shared" ca="1" si="0"/>
        <v>0</v>
      </c>
      <c r="E12" s="39">
        <f ca="1">COUNTIFS(DB_Savings!$G:$G,"Agent 09",DB_Savings!$E:$E,TODAY())+COUNTIFS(DB_Withdrawals!$J:$J,"Agent 09",DB_Withdrawals!$F:$F,TODAY())</f>
        <v>0</v>
      </c>
      <c r="F12" s="38">
        <v>5000</v>
      </c>
      <c r="G12" s="39" t="str">
        <f t="shared" ca="1" si="1"/>
        <v>❌ Low</v>
      </c>
    </row>
    <row r="13" spans="1:7" ht="15" customHeight="1" x14ac:dyDescent="0.25">
      <c r="A13" s="41" t="s">
        <v>142</v>
      </c>
      <c r="B13" s="42">
        <f ca="1">SUMIFS(DB_Savings!$F:$F,DB_Savings!$G:$G,"Agent 10",DB_Savings!$E:$E,TODAY())</f>
        <v>0</v>
      </c>
      <c r="C13" s="42">
        <f ca="1">SUMIFS(DB_Withdrawals!$G:$G,DB_Withdrawals!$J:$J,"Agent 10",DB_Withdrawals!$F:$F,TODAY())</f>
        <v>0</v>
      </c>
      <c r="D13" s="42">
        <f t="shared" ca="1" si="0"/>
        <v>0</v>
      </c>
      <c r="E13" s="43">
        <f ca="1">COUNTIFS(DB_Savings!$G:$G,"Agent 10",DB_Savings!$E:$E,TODAY())+COUNTIFS(DB_Withdrawals!$J:$J,"Agent 10",DB_Withdrawals!$F:$F,TODAY())</f>
        <v>0</v>
      </c>
      <c r="F13" s="42">
        <v>5000</v>
      </c>
      <c r="G13" s="43" t="str">
        <f t="shared" ca="1" si="1"/>
        <v>❌ Low</v>
      </c>
    </row>
    <row r="14" spans="1:7" ht="15" customHeight="1" x14ac:dyDescent="0.25">
      <c r="A14" s="45" t="s">
        <v>423</v>
      </c>
      <c r="B14" s="46">
        <f ca="1">SUM(B4:B13)</f>
        <v>0</v>
      </c>
      <c r="C14" s="46">
        <f ca="1">SUM(C4:C13)</f>
        <v>0</v>
      </c>
      <c r="D14" s="46">
        <f t="shared" ca="1" si="0"/>
        <v>0</v>
      </c>
      <c r="E14" s="45">
        <f ca="1">SUM(E4:E13)</f>
        <v>0</v>
      </c>
      <c r="F14" s="45"/>
      <c r="G14" s="45"/>
    </row>
    <row r="15" spans="1:7" ht="7.5" customHeight="1" x14ac:dyDescent="0.25"/>
  </sheetData>
  <mergeCells count="2">
    <mergeCell ref="A2:G2"/>
    <mergeCell ref="A1:G1"/>
  </mergeCells>
  <conditionalFormatting sqref="D4:D13">
    <cfRule type="cellIs" dxfId="1" priority="2" operator="greaterThan">
      <formula>0</formula>
    </cfRule>
    <cfRule type="cellIs" dxfId="0" priority="3" operator="lessThan">
      <formula>0</formula>
    </cfRule>
  </conditionalFormatting>
  <pageMargins left="0.75" right="0.75" top="1" bottom="1" header="0.511811023622047" footer="0.511811023622047"/>
  <pageSetup paperSize="9" orientation="portrait" horizontalDpi="300" verticalDpi="30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tabColor rgb="FF2E86AB"/>
  </sheetPr>
  <dimension ref="A1:H18"/>
  <sheetViews>
    <sheetView zoomScaleNormal="100" workbookViewId="0">
      <pane xSplit="1" ySplit="7" topLeftCell="B8" activePane="bottomRight" state="frozen"/>
      <selection pane="topRight" activeCell="B1" sqref="B1"/>
      <selection pane="bottomLeft" activeCell="A8" sqref="A8"/>
      <selection pane="bottomRight" sqref="A1:H1"/>
    </sheetView>
  </sheetViews>
  <sheetFormatPr defaultColWidth="8.7109375" defaultRowHeight="15" x14ac:dyDescent="0.25"/>
  <cols>
    <col min="1" max="1" width="14" customWidth="1"/>
    <col min="2" max="7" width="13" customWidth="1"/>
    <col min="8" max="8" width="16" customWidth="1"/>
  </cols>
  <sheetData>
    <row r="1" spans="1:8" ht="31.5" customHeight="1" x14ac:dyDescent="0.25">
      <c r="A1" s="375" t="s">
        <v>424</v>
      </c>
      <c r="B1" s="265"/>
      <c r="C1" s="265"/>
      <c r="D1" s="265"/>
      <c r="E1" s="265"/>
      <c r="F1" s="265"/>
      <c r="G1" s="265"/>
      <c r="H1" s="265"/>
    </row>
    <row r="2" spans="1:8" ht="19.5" customHeight="1" x14ac:dyDescent="0.25">
      <c r="A2" s="380" t="str">
        <f ca="1">TEXT(TODAY()-WEEKDAY(TODAY(),2)+1,"DD MMM")&amp;" – "&amp;TEXT(TODAY()-WEEKDAY(TODAY(),2)+7,"DD MMM YYYY")</f>
        <v>20 Apr – 26 Apr 2026</v>
      </c>
      <c r="B2" s="265"/>
      <c r="C2" s="265"/>
      <c r="D2" s="265"/>
      <c r="E2" s="265"/>
      <c r="F2" s="265"/>
      <c r="G2" s="265"/>
      <c r="H2" s="265"/>
    </row>
    <row r="3" spans="1:8" ht="18" customHeight="1" x14ac:dyDescent="0.25">
      <c r="A3" s="323" t="s">
        <v>425</v>
      </c>
      <c r="B3" s="265"/>
      <c r="C3" s="328" t="s">
        <v>175</v>
      </c>
      <c r="D3" s="265"/>
      <c r="E3" s="329" t="s">
        <v>426</v>
      </c>
      <c r="F3" s="265"/>
      <c r="G3" s="351" t="s">
        <v>196</v>
      </c>
      <c r="H3" s="265"/>
    </row>
    <row r="4" spans="1:8" ht="27.75" customHeight="1" x14ac:dyDescent="0.25">
      <c r="A4" s="376">
        <f ca="1">Daily_Balancing!B14</f>
        <v>0</v>
      </c>
      <c r="B4" s="265"/>
      <c r="C4" s="381">
        <f ca="1">Daily_Balancing!C14</f>
        <v>0</v>
      </c>
      <c r="D4" s="265"/>
      <c r="E4" s="378">
        <f ca="1">Daily_Balancing!D14</f>
        <v>0</v>
      </c>
      <c r="F4" s="265"/>
      <c r="G4" s="377">
        <f ca="1">Daily_Balancing!E14</f>
        <v>0</v>
      </c>
      <c r="H4" s="265"/>
    </row>
    <row r="6" spans="1:8" ht="15" customHeight="1" x14ac:dyDescent="0.25">
      <c r="A6" s="379" t="s">
        <v>427</v>
      </c>
      <c r="B6" s="265"/>
      <c r="C6" s="265"/>
      <c r="D6" s="265"/>
      <c r="E6" s="265"/>
      <c r="F6" s="265"/>
      <c r="G6" s="265"/>
      <c r="H6" s="265"/>
    </row>
    <row r="7" spans="1:8" ht="15" customHeight="1" x14ac:dyDescent="0.25">
      <c r="A7" s="36" t="s">
        <v>14</v>
      </c>
      <c r="B7" s="36" t="s">
        <v>428</v>
      </c>
      <c r="C7" s="36" t="s">
        <v>429</v>
      </c>
      <c r="D7" s="36" t="s">
        <v>430</v>
      </c>
      <c r="E7" s="36" t="s">
        <v>431</v>
      </c>
      <c r="F7" s="36" t="s">
        <v>432</v>
      </c>
      <c r="G7" s="36" t="s">
        <v>433</v>
      </c>
      <c r="H7" s="36" t="s">
        <v>434</v>
      </c>
    </row>
    <row r="8" spans="1:8" ht="15" customHeight="1" x14ac:dyDescent="0.25">
      <c r="A8" s="37" t="s">
        <v>133</v>
      </c>
      <c r="B8" s="38">
        <f ca="1">IFERROR(Daily_Balancing!B4/5,0)</f>
        <v>0</v>
      </c>
      <c r="C8" s="38">
        <f ca="1">IFERROR(Daily_Balancing!B4/5,0)</f>
        <v>0</v>
      </c>
      <c r="D8" s="38">
        <f ca="1">IFERROR(Daily_Balancing!B4/5,0)</f>
        <v>0</v>
      </c>
      <c r="E8" s="38">
        <f ca="1">IFERROR(Daily_Balancing!B4/5,0)</f>
        <v>0</v>
      </c>
      <c r="F8" s="38">
        <f ca="1">IFERROR(Daily_Balancing!B4/5,0)</f>
        <v>0</v>
      </c>
      <c r="G8" s="38">
        <f ca="1">IFERROR(Daily_Balancing!B4/5,0)</f>
        <v>0</v>
      </c>
      <c r="H8" s="38">
        <f t="shared" ref="H8:H17" ca="1" si="0">SUM(B8:G8)</f>
        <v>0</v>
      </c>
    </row>
    <row r="9" spans="1:8" ht="15" customHeight="1" x14ac:dyDescent="0.25">
      <c r="A9" s="41" t="s">
        <v>134</v>
      </c>
      <c r="B9" s="42">
        <f ca="1">IFERROR(Daily_Balancing!B5/5,0)</f>
        <v>0</v>
      </c>
      <c r="C9" s="42">
        <f ca="1">IFERROR(Daily_Balancing!B5/5,0)</f>
        <v>0</v>
      </c>
      <c r="D9" s="42">
        <f ca="1">IFERROR(Daily_Balancing!B5/5,0)</f>
        <v>0</v>
      </c>
      <c r="E9" s="42">
        <f ca="1">IFERROR(Daily_Balancing!B5/5,0)</f>
        <v>0</v>
      </c>
      <c r="F9" s="42">
        <f ca="1">IFERROR(Daily_Balancing!B5/5,0)</f>
        <v>0</v>
      </c>
      <c r="G9" s="42">
        <f ca="1">IFERROR(Daily_Balancing!B5/5,0)</f>
        <v>0</v>
      </c>
      <c r="H9" s="42">
        <f t="shared" ca="1" si="0"/>
        <v>0</v>
      </c>
    </row>
    <row r="10" spans="1:8" ht="15" customHeight="1" x14ac:dyDescent="0.25">
      <c r="A10" s="37" t="s">
        <v>135</v>
      </c>
      <c r="B10" s="38">
        <f ca="1">IFERROR(Daily_Balancing!B6/5,0)</f>
        <v>0</v>
      </c>
      <c r="C10" s="38">
        <f ca="1">IFERROR(Daily_Balancing!B6/5,0)</f>
        <v>0</v>
      </c>
      <c r="D10" s="38">
        <f ca="1">IFERROR(Daily_Balancing!B6/5,0)</f>
        <v>0</v>
      </c>
      <c r="E10" s="38">
        <f ca="1">IFERROR(Daily_Balancing!B6/5,0)</f>
        <v>0</v>
      </c>
      <c r="F10" s="38">
        <f ca="1">IFERROR(Daily_Balancing!B6/5,0)</f>
        <v>0</v>
      </c>
      <c r="G10" s="38">
        <f ca="1">IFERROR(Daily_Balancing!B6/5,0)</f>
        <v>0</v>
      </c>
      <c r="H10" s="38">
        <f t="shared" ca="1" si="0"/>
        <v>0</v>
      </c>
    </row>
    <row r="11" spans="1:8" ht="15" customHeight="1" x14ac:dyDescent="0.25">
      <c r="A11" s="41" t="s">
        <v>136</v>
      </c>
      <c r="B11" s="42">
        <f ca="1">IFERROR(Daily_Balancing!B7/5,0)</f>
        <v>0</v>
      </c>
      <c r="C11" s="42">
        <f ca="1">IFERROR(Daily_Balancing!B7/5,0)</f>
        <v>0</v>
      </c>
      <c r="D11" s="42">
        <f ca="1">IFERROR(Daily_Balancing!B7/5,0)</f>
        <v>0</v>
      </c>
      <c r="E11" s="42">
        <f ca="1">IFERROR(Daily_Balancing!B7/5,0)</f>
        <v>0</v>
      </c>
      <c r="F11" s="42">
        <f ca="1">IFERROR(Daily_Balancing!B7/5,0)</f>
        <v>0</v>
      </c>
      <c r="G11" s="42">
        <f ca="1">IFERROR(Daily_Balancing!B7/5,0)</f>
        <v>0</v>
      </c>
      <c r="H11" s="42">
        <f t="shared" ca="1" si="0"/>
        <v>0</v>
      </c>
    </row>
    <row r="12" spans="1:8" ht="15" customHeight="1" x14ac:dyDescent="0.25">
      <c r="A12" s="37" t="s">
        <v>137</v>
      </c>
      <c r="B12" s="38">
        <f ca="1">IFERROR(Daily_Balancing!B8/5,0)</f>
        <v>0</v>
      </c>
      <c r="C12" s="38">
        <f ca="1">IFERROR(Daily_Balancing!B8/5,0)</f>
        <v>0</v>
      </c>
      <c r="D12" s="38">
        <f ca="1">IFERROR(Daily_Balancing!B8/5,0)</f>
        <v>0</v>
      </c>
      <c r="E12" s="38">
        <f ca="1">IFERROR(Daily_Balancing!B8/5,0)</f>
        <v>0</v>
      </c>
      <c r="F12" s="38">
        <f ca="1">IFERROR(Daily_Balancing!B8/5,0)</f>
        <v>0</v>
      </c>
      <c r="G12" s="38">
        <f ca="1">IFERROR(Daily_Balancing!B8/5,0)</f>
        <v>0</v>
      </c>
      <c r="H12" s="38">
        <f t="shared" ca="1" si="0"/>
        <v>0</v>
      </c>
    </row>
    <row r="13" spans="1:8" ht="15" customHeight="1" x14ac:dyDescent="0.25">
      <c r="A13" s="41" t="s">
        <v>138</v>
      </c>
      <c r="B13" s="42">
        <f ca="1">IFERROR(Daily_Balancing!B9/5,0)</f>
        <v>0</v>
      </c>
      <c r="C13" s="42">
        <f ca="1">IFERROR(Daily_Balancing!B9/5,0)</f>
        <v>0</v>
      </c>
      <c r="D13" s="42">
        <f ca="1">IFERROR(Daily_Balancing!B9/5,0)</f>
        <v>0</v>
      </c>
      <c r="E13" s="42">
        <f ca="1">IFERROR(Daily_Balancing!B9/5,0)</f>
        <v>0</v>
      </c>
      <c r="F13" s="42">
        <f ca="1">IFERROR(Daily_Balancing!B9/5,0)</f>
        <v>0</v>
      </c>
      <c r="G13" s="42">
        <f ca="1">IFERROR(Daily_Balancing!B9/5,0)</f>
        <v>0</v>
      </c>
      <c r="H13" s="42">
        <f t="shared" ca="1" si="0"/>
        <v>0</v>
      </c>
    </row>
    <row r="14" spans="1:8" ht="15" customHeight="1" x14ac:dyDescent="0.25">
      <c r="A14" s="37" t="s">
        <v>139</v>
      </c>
      <c r="B14" s="38">
        <f ca="1">IFERROR(Daily_Balancing!B10/5,0)</f>
        <v>0</v>
      </c>
      <c r="C14" s="38">
        <f ca="1">IFERROR(Daily_Balancing!B10/5,0)</f>
        <v>0</v>
      </c>
      <c r="D14" s="38">
        <f ca="1">IFERROR(Daily_Balancing!B10/5,0)</f>
        <v>0</v>
      </c>
      <c r="E14" s="38">
        <f ca="1">IFERROR(Daily_Balancing!B10/5,0)</f>
        <v>0</v>
      </c>
      <c r="F14" s="38">
        <f ca="1">IFERROR(Daily_Balancing!B10/5,0)</f>
        <v>0</v>
      </c>
      <c r="G14" s="38">
        <f ca="1">IFERROR(Daily_Balancing!B10/5,0)</f>
        <v>0</v>
      </c>
      <c r="H14" s="38">
        <f t="shared" ca="1" si="0"/>
        <v>0</v>
      </c>
    </row>
    <row r="15" spans="1:8" ht="15" customHeight="1" x14ac:dyDescent="0.25">
      <c r="A15" s="41" t="s">
        <v>140</v>
      </c>
      <c r="B15" s="42">
        <f ca="1">IFERROR(Daily_Balancing!B11/5,0)</f>
        <v>0</v>
      </c>
      <c r="C15" s="42">
        <f ca="1">IFERROR(Daily_Balancing!B11/5,0)</f>
        <v>0</v>
      </c>
      <c r="D15" s="42">
        <f ca="1">IFERROR(Daily_Balancing!B11/5,0)</f>
        <v>0</v>
      </c>
      <c r="E15" s="42">
        <f ca="1">IFERROR(Daily_Balancing!B11/5,0)</f>
        <v>0</v>
      </c>
      <c r="F15" s="42">
        <f ca="1">IFERROR(Daily_Balancing!B11/5,0)</f>
        <v>0</v>
      </c>
      <c r="G15" s="42">
        <f ca="1">IFERROR(Daily_Balancing!B11/5,0)</f>
        <v>0</v>
      </c>
      <c r="H15" s="42">
        <f t="shared" ca="1" si="0"/>
        <v>0</v>
      </c>
    </row>
    <row r="16" spans="1:8" ht="15" customHeight="1" x14ac:dyDescent="0.25">
      <c r="A16" s="37" t="s">
        <v>141</v>
      </c>
      <c r="B16" s="38">
        <f ca="1">IFERROR(Daily_Balancing!B12/5,0)</f>
        <v>0</v>
      </c>
      <c r="C16" s="38">
        <f ca="1">IFERROR(Daily_Balancing!B12/5,0)</f>
        <v>0</v>
      </c>
      <c r="D16" s="38">
        <f ca="1">IFERROR(Daily_Balancing!B12/5,0)</f>
        <v>0</v>
      </c>
      <c r="E16" s="38">
        <f ca="1">IFERROR(Daily_Balancing!B12/5,0)</f>
        <v>0</v>
      </c>
      <c r="F16" s="38">
        <f ca="1">IFERROR(Daily_Balancing!B12/5,0)</f>
        <v>0</v>
      </c>
      <c r="G16" s="38">
        <f ca="1">IFERROR(Daily_Balancing!B12/5,0)</f>
        <v>0</v>
      </c>
      <c r="H16" s="38">
        <f t="shared" ca="1" si="0"/>
        <v>0</v>
      </c>
    </row>
    <row r="17" spans="1:8" ht="15" customHeight="1" x14ac:dyDescent="0.25">
      <c r="A17" s="41" t="s">
        <v>142</v>
      </c>
      <c r="B17" s="42">
        <f ca="1">IFERROR(Daily_Balancing!B13/5,0)</f>
        <v>0</v>
      </c>
      <c r="C17" s="42">
        <f ca="1">IFERROR(Daily_Balancing!B13/5,0)</f>
        <v>0</v>
      </c>
      <c r="D17" s="42">
        <f ca="1">IFERROR(Daily_Balancing!B13/5,0)</f>
        <v>0</v>
      </c>
      <c r="E17" s="42">
        <f ca="1">IFERROR(Daily_Balancing!B13/5,0)</f>
        <v>0</v>
      </c>
      <c r="F17" s="42">
        <f ca="1">IFERROR(Daily_Balancing!B13/5,0)</f>
        <v>0</v>
      </c>
      <c r="G17" s="42">
        <f ca="1">IFERROR(Daily_Balancing!B13/5,0)</f>
        <v>0</v>
      </c>
      <c r="H17" s="42">
        <f t="shared" ca="1" si="0"/>
        <v>0</v>
      </c>
    </row>
    <row r="18" spans="1:8" ht="15" customHeight="1" x14ac:dyDescent="0.25">
      <c r="A18" s="45" t="s">
        <v>435</v>
      </c>
      <c r="B18" s="46">
        <f t="shared" ref="B18:H18" ca="1" si="1">SUM(B8:B17)</f>
        <v>0</v>
      </c>
      <c r="C18" s="46">
        <f t="shared" ca="1" si="1"/>
        <v>0</v>
      </c>
      <c r="D18" s="46">
        <f t="shared" ca="1" si="1"/>
        <v>0</v>
      </c>
      <c r="E18" s="46">
        <f t="shared" ca="1" si="1"/>
        <v>0</v>
      </c>
      <c r="F18" s="46">
        <f t="shared" ca="1" si="1"/>
        <v>0</v>
      </c>
      <c r="G18" s="46">
        <f t="shared" ca="1" si="1"/>
        <v>0</v>
      </c>
      <c r="H18" s="46">
        <f t="shared" ca="1" si="1"/>
        <v>0</v>
      </c>
    </row>
  </sheetData>
  <mergeCells count="11">
    <mergeCell ref="A4:B4"/>
    <mergeCell ref="G4:H4"/>
    <mergeCell ref="E4:F4"/>
    <mergeCell ref="A6:H6"/>
    <mergeCell ref="A2:H2"/>
    <mergeCell ref="C4:D4"/>
    <mergeCell ref="A1:H1"/>
    <mergeCell ref="C3:D3"/>
    <mergeCell ref="A3:B3"/>
    <mergeCell ref="G3:H3"/>
    <mergeCell ref="E3:F3"/>
  </mergeCells>
  <pageMargins left="0.75" right="0.75" top="1" bottom="1" header="0.511811023622047" footer="0.511811023622047"/>
  <pageSetup paperSize="9" orientation="portrait" horizontalDpi="300" verticalDpi="30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tabColor rgb="FF8E44AD"/>
  </sheetPr>
  <dimension ref="A1:I20"/>
  <sheetViews>
    <sheetView zoomScaleNormal="100" workbookViewId="0">
      <pane xSplit="1" ySplit="7" topLeftCell="B8" activePane="bottomRight" state="frozen"/>
      <selection pane="topRight" activeCell="B1" sqref="B1"/>
      <selection pane="bottomLeft" activeCell="A8" sqref="A8"/>
      <selection pane="bottomRight" sqref="A1:I1"/>
    </sheetView>
  </sheetViews>
  <sheetFormatPr defaultColWidth="8.7109375" defaultRowHeight="15" x14ac:dyDescent="0.25"/>
  <cols>
    <col min="1" max="1" width="10" customWidth="1"/>
    <col min="2" max="3" width="18" customWidth="1"/>
    <col min="4" max="4" width="15" customWidth="1"/>
    <col min="5" max="5" width="12" customWidth="1"/>
    <col min="6" max="6" width="10" customWidth="1"/>
    <col min="7" max="7" width="16" customWidth="1"/>
    <col min="8" max="9" width="10" customWidth="1"/>
  </cols>
  <sheetData>
    <row r="1" spans="1:9" ht="31.5" customHeight="1" x14ac:dyDescent="0.25">
      <c r="A1" s="382" t="s">
        <v>436</v>
      </c>
      <c r="B1" s="265"/>
      <c r="C1" s="265"/>
      <c r="D1" s="265"/>
      <c r="E1" s="265"/>
      <c r="F1" s="265"/>
      <c r="G1" s="265"/>
      <c r="H1" s="265"/>
      <c r="I1" s="265"/>
    </row>
    <row r="2" spans="1:9" ht="19.5" customHeight="1" x14ac:dyDescent="0.25">
      <c r="A2" s="383" t="s">
        <v>437</v>
      </c>
      <c r="B2" s="265"/>
      <c r="C2" s="265"/>
      <c r="D2" s="265"/>
      <c r="E2" s="265"/>
      <c r="F2" s="265"/>
      <c r="G2" s="265"/>
      <c r="H2" s="265"/>
      <c r="I2" s="265"/>
    </row>
    <row r="3" spans="1:9" ht="18" customHeight="1" x14ac:dyDescent="0.25">
      <c r="A3" s="111" t="s">
        <v>199</v>
      </c>
      <c r="B3" s="111" t="s">
        <v>438</v>
      </c>
      <c r="C3" s="111" t="s">
        <v>439</v>
      </c>
      <c r="D3" s="111" t="s">
        <v>440</v>
      </c>
      <c r="E3" s="111" t="s">
        <v>441</v>
      </c>
    </row>
    <row r="4" spans="1:9" ht="31.5" customHeight="1" x14ac:dyDescent="0.25">
      <c r="A4" s="112">
        <f ca="1">Daily_Balancing!B14</f>
        <v>0</v>
      </c>
      <c r="B4" s="112">
        <f ca="1">Daily_Balancing!C14</f>
        <v>0</v>
      </c>
      <c r="C4" s="112">
        <f ca="1">Daily_Balancing!D14</f>
        <v>0</v>
      </c>
      <c r="D4" s="113">
        <f ca="1">COUNTIF(DB_Customers!J2:J2000,"&gt;="&amp;DATE(YEAR(TODAY()),MONTH(TODAY()),1))</f>
        <v>0</v>
      </c>
      <c r="E4" s="113">
        <f>COUNTIF(DB_Loans!K2:K500,"Approved")</f>
        <v>0</v>
      </c>
    </row>
    <row r="6" spans="1:9" ht="15" customHeight="1" x14ac:dyDescent="0.25">
      <c r="A6" s="379" t="s">
        <v>442</v>
      </c>
      <c r="B6" s="265"/>
      <c r="C6" s="265"/>
      <c r="D6" s="265"/>
      <c r="E6" s="265"/>
      <c r="F6" s="265"/>
      <c r="G6" s="265"/>
      <c r="H6" s="265"/>
      <c r="I6" s="265"/>
    </row>
    <row r="7" spans="1:9" ht="15" customHeight="1" x14ac:dyDescent="0.25">
      <c r="A7" s="114" t="s">
        <v>145</v>
      </c>
      <c r="B7" s="114" t="s">
        <v>443</v>
      </c>
      <c r="C7" s="114" t="s">
        <v>444</v>
      </c>
      <c r="D7" s="114" t="s">
        <v>195</v>
      </c>
      <c r="E7" s="114" t="s">
        <v>445</v>
      </c>
      <c r="F7" s="114" t="s">
        <v>446</v>
      </c>
      <c r="G7" s="114" t="s">
        <v>447</v>
      </c>
      <c r="H7" s="114" t="s">
        <v>448</v>
      </c>
      <c r="I7" s="114" t="s">
        <v>449</v>
      </c>
    </row>
    <row r="8" spans="1:9" ht="15" customHeight="1" x14ac:dyDescent="0.25">
      <c r="A8" s="43" t="s">
        <v>147</v>
      </c>
      <c r="B8" s="42">
        <v>107824.22</v>
      </c>
      <c r="C8" s="42">
        <v>37455.75</v>
      </c>
      <c r="D8" s="42">
        <v>70368.47</v>
      </c>
      <c r="E8" s="43">
        <v>8</v>
      </c>
      <c r="F8" s="43">
        <v>12</v>
      </c>
      <c r="G8" s="42">
        <v>2695.61</v>
      </c>
      <c r="H8" s="43" t="s">
        <v>450</v>
      </c>
      <c r="I8" s="43" t="s">
        <v>451</v>
      </c>
    </row>
    <row r="9" spans="1:9" ht="15" customHeight="1" x14ac:dyDescent="0.25">
      <c r="A9" s="39" t="s">
        <v>148</v>
      </c>
      <c r="B9" s="38">
        <v>133790.85</v>
      </c>
      <c r="C9" s="38">
        <v>40398.620000000003</v>
      </c>
      <c r="D9" s="38">
        <v>93392.23</v>
      </c>
      <c r="E9" s="39">
        <v>13</v>
      </c>
      <c r="F9" s="39">
        <v>12</v>
      </c>
      <c r="G9" s="38">
        <v>3344.77</v>
      </c>
      <c r="H9" s="39" t="s">
        <v>452</v>
      </c>
      <c r="I9" s="39" t="s">
        <v>451</v>
      </c>
    </row>
    <row r="10" spans="1:9" ht="15" customHeight="1" x14ac:dyDescent="0.25">
      <c r="A10" s="43" t="s">
        <v>149</v>
      </c>
      <c r="B10" s="42">
        <v>95687.1</v>
      </c>
      <c r="C10" s="42">
        <v>51481.08</v>
      </c>
      <c r="D10" s="42">
        <v>44206.02</v>
      </c>
      <c r="E10" s="43">
        <v>7</v>
      </c>
      <c r="F10" s="43">
        <v>11</v>
      </c>
      <c r="G10" s="42">
        <v>2392.1799999999998</v>
      </c>
      <c r="H10" s="43" t="s">
        <v>453</v>
      </c>
      <c r="I10" s="43" t="s">
        <v>454</v>
      </c>
    </row>
    <row r="11" spans="1:9" ht="15" customHeight="1" x14ac:dyDescent="0.25">
      <c r="A11" s="39" t="s">
        <v>150</v>
      </c>
      <c r="B11" s="38">
        <v>108714.02</v>
      </c>
      <c r="C11" s="38">
        <v>50819.15</v>
      </c>
      <c r="D11" s="38">
        <v>57894.87</v>
      </c>
      <c r="E11" s="39">
        <v>7</v>
      </c>
      <c r="F11" s="39">
        <v>6</v>
      </c>
      <c r="G11" s="38">
        <v>2717.85</v>
      </c>
      <c r="H11" s="39" t="s">
        <v>455</v>
      </c>
      <c r="I11" s="39" t="s">
        <v>451</v>
      </c>
    </row>
    <row r="12" spans="1:9" ht="15" customHeight="1" x14ac:dyDescent="0.25">
      <c r="A12" s="43" t="s">
        <v>151</v>
      </c>
      <c r="B12" s="43"/>
      <c r="C12" s="43"/>
      <c r="D12" s="43"/>
      <c r="E12" s="43"/>
      <c r="F12" s="43"/>
      <c r="G12" s="43"/>
      <c r="H12" s="43">
        <f t="shared" ref="H12:H19" si="0">IFERROR((B12-B11)/ABS(B11),"—")</f>
        <v>-1</v>
      </c>
      <c r="I12" s="43" t="str">
        <f t="shared" ref="I12:I19" si="1">IF(B12&gt;0,IF(B12&gt;=150000,"YES","NO"),"—")</f>
        <v>—</v>
      </c>
    </row>
    <row r="13" spans="1:9" ht="15" customHeight="1" x14ac:dyDescent="0.25">
      <c r="A13" s="39" t="s">
        <v>152</v>
      </c>
      <c r="B13" s="39"/>
      <c r="C13" s="39"/>
      <c r="D13" s="39"/>
      <c r="E13" s="39"/>
      <c r="F13" s="39"/>
      <c r="G13" s="39"/>
      <c r="H13" s="39" t="str">
        <f t="shared" si="0"/>
        <v>—</v>
      </c>
      <c r="I13" s="39" t="str">
        <f t="shared" si="1"/>
        <v>—</v>
      </c>
    </row>
    <row r="14" spans="1:9" ht="15" customHeight="1" x14ac:dyDescent="0.25">
      <c r="A14" s="43" t="s">
        <v>153</v>
      </c>
      <c r="B14" s="43"/>
      <c r="C14" s="43"/>
      <c r="D14" s="43"/>
      <c r="E14" s="43"/>
      <c r="F14" s="43"/>
      <c r="G14" s="43"/>
      <c r="H14" s="43" t="str">
        <f t="shared" si="0"/>
        <v>—</v>
      </c>
      <c r="I14" s="43" t="str">
        <f t="shared" si="1"/>
        <v>—</v>
      </c>
    </row>
    <row r="15" spans="1:9" ht="15" customHeight="1" x14ac:dyDescent="0.25">
      <c r="A15" s="39" t="s">
        <v>154</v>
      </c>
      <c r="B15" s="39"/>
      <c r="C15" s="39"/>
      <c r="D15" s="39"/>
      <c r="E15" s="39"/>
      <c r="F15" s="39"/>
      <c r="G15" s="39"/>
      <c r="H15" s="39" t="str">
        <f t="shared" si="0"/>
        <v>—</v>
      </c>
      <c r="I15" s="39" t="str">
        <f t="shared" si="1"/>
        <v>—</v>
      </c>
    </row>
    <row r="16" spans="1:9" ht="15" customHeight="1" x14ac:dyDescent="0.25">
      <c r="A16" s="43" t="s">
        <v>155</v>
      </c>
      <c r="B16" s="43"/>
      <c r="C16" s="43"/>
      <c r="D16" s="43"/>
      <c r="E16" s="43"/>
      <c r="F16" s="43"/>
      <c r="G16" s="43"/>
      <c r="H16" s="43" t="str">
        <f t="shared" si="0"/>
        <v>—</v>
      </c>
      <c r="I16" s="43" t="str">
        <f t="shared" si="1"/>
        <v>—</v>
      </c>
    </row>
    <row r="17" spans="1:9" ht="15" customHeight="1" x14ac:dyDescent="0.25">
      <c r="A17" s="39" t="s">
        <v>156</v>
      </c>
      <c r="B17" s="39"/>
      <c r="C17" s="39"/>
      <c r="D17" s="39"/>
      <c r="E17" s="39"/>
      <c r="F17" s="39"/>
      <c r="G17" s="39"/>
      <c r="H17" s="39" t="str">
        <f t="shared" si="0"/>
        <v>—</v>
      </c>
      <c r="I17" s="39" t="str">
        <f t="shared" si="1"/>
        <v>—</v>
      </c>
    </row>
    <row r="18" spans="1:9" ht="15" customHeight="1" x14ac:dyDescent="0.25">
      <c r="A18" s="43" t="s">
        <v>157</v>
      </c>
      <c r="B18" s="43"/>
      <c r="C18" s="43"/>
      <c r="D18" s="43"/>
      <c r="E18" s="43"/>
      <c r="F18" s="43"/>
      <c r="G18" s="43"/>
      <c r="H18" s="43" t="str">
        <f t="shared" si="0"/>
        <v>—</v>
      </c>
      <c r="I18" s="43" t="str">
        <f t="shared" si="1"/>
        <v>—</v>
      </c>
    </row>
    <row r="19" spans="1:9" ht="15" customHeight="1" x14ac:dyDescent="0.25">
      <c r="A19" s="39" t="s">
        <v>158</v>
      </c>
      <c r="B19" s="39"/>
      <c r="C19" s="39"/>
      <c r="D19" s="39"/>
      <c r="E19" s="39"/>
      <c r="F19" s="39"/>
      <c r="G19" s="39"/>
      <c r="H19" s="39" t="str">
        <f t="shared" si="0"/>
        <v>—</v>
      </c>
      <c r="I19" s="39" t="str">
        <f t="shared" si="1"/>
        <v>—</v>
      </c>
    </row>
    <row r="20" spans="1:9" ht="15" customHeight="1" x14ac:dyDescent="0.25">
      <c r="A20" s="45" t="s">
        <v>456</v>
      </c>
      <c r="B20" s="46">
        <f t="shared" ref="B20:G20" si="2">SUM(B8:B19)</f>
        <v>446016.19000000006</v>
      </c>
      <c r="C20" s="46">
        <f t="shared" si="2"/>
        <v>180154.6</v>
      </c>
      <c r="D20" s="46">
        <f t="shared" si="2"/>
        <v>265861.59000000003</v>
      </c>
      <c r="E20" s="46">
        <f t="shared" si="2"/>
        <v>35</v>
      </c>
      <c r="F20" s="46">
        <f t="shared" si="2"/>
        <v>41</v>
      </c>
      <c r="G20" s="46">
        <f t="shared" si="2"/>
        <v>11150.41</v>
      </c>
      <c r="H20" s="45"/>
      <c r="I20" s="45"/>
    </row>
  </sheetData>
  <mergeCells count="3">
    <mergeCell ref="A1:I1"/>
    <mergeCell ref="A2:I2"/>
    <mergeCell ref="A6:I6"/>
  </mergeCells>
  <pageMargins left="0.75" right="0.75" top="1" bottom="1" header="0.511811023622047" footer="0.511811023622047"/>
  <pageSetup paperSize="9" orientation="portrait" horizontalDpi="300" verticalDpi="30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dimension ref="A1:N527"/>
  <sheetViews>
    <sheetView showGridLines="0" zoomScaleNormal="100" workbookViewId="0">
      <pane ySplit="9" topLeftCell="A10" activePane="bottomLeft" state="frozen"/>
      <selection pane="bottomLeft"/>
    </sheetView>
  </sheetViews>
  <sheetFormatPr defaultColWidth="8.7109375" defaultRowHeight="15" x14ac:dyDescent="0.25"/>
  <cols>
    <col min="1" max="1" width="3" customWidth="1"/>
    <col min="2" max="2" width="18" customWidth="1"/>
    <col min="3" max="3" width="16" customWidth="1"/>
    <col min="4" max="4" width="20" customWidth="1"/>
    <col min="5" max="5" width="12" customWidth="1"/>
    <col min="6" max="7" width="13" customWidth="1"/>
    <col min="8" max="9" width="12" customWidth="1"/>
    <col min="10" max="11" width="8" customWidth="1"/>
    <col min="12" max="12" width="18" customWidth="1"/>
    <col min="13" max="13" width="16" customWidth="1"/>
    <col min="14" max="14" width="13" customWidth="1"/>
  </cols>
  <sheetData>
    <row r="1" spans="1:14" ht="9.75" customHeight="1" x14ac:dyDescent="0.25"/>
    <row r="2" spans="1:14" ht="36" customHeight="1" x14ac:dyDescent="0.25">
      <c r="A2" s="384" t="s">
        <v>457</v>
      </c>
      <c r="B2" s="265"/>
      <c r="C2" s="265"/>
      <c r="D2" s="265"/>
      <c r="E2" s="265"/>
      <c r="F2" s="265"/>
      <c r="G2" s="265"/>
      <c r="H2" s="265"/>
      <c r="I2" s="265"/>
      <c r="J2" s="265"/>
      <c r="K2" s="265"/>
      <c r="L2" s="265"/>
      <c r="M2" s="265"/>
      <c r="N2" s="265"/>
    </row>
    <row r="3" spans="1:14" ht="18" customHeight="1" x14ac:dyDescent="0.25">
      <c r="A3" s="392" t="s">
        <v>458</v>
      </c>
      <c r="B3" s="265"/>
      <c r="C3" s="265"/>
      <c r="D3" s="265"/>
      <c r="E3" s="265"/>
      <c r="F3" s="265"/>
      <c r="G3" s="265"/>
      <c r="H3" s="265"/>
      <c r="I3" s="265"/>
      <c r="J3" s="265"/>
      <c r="K3" s="265"/>
      <c r="L3" s="265"/>
      <c r="M3" s="265"/>
      <c r="N3" s="265"/>
    </row>
    <row r="4" spans="1:14" ht="3.75" customHeight="1" x14ac:dyDescent="0.25">
      <c r="A4" s="3"/>
      <c r="B4" s="3"/>
      <c r="C4" s="3"/>
      <c r="D4" s="3"/>
      <c r="E4" s="3"/>
      <c r="F4" s="3"/>
      <c r="G4" s="3"/>
      <c r="H4" s="3"/>
      <c r="I4" s="3"/>
      <c r="J4" s="3"/>
      <c r="K4" s="3"/>
      <c r="L4" s="3"/>
      <c r="M4" s="3"/>
      <c r="N4" s="3"/>
    </row>
    <row r="5" spans="1:14" ht="9.75" customHeight="1" x14ac:dyDescent="0.25"/>
    <row r="6" spans="1:14" ht="27.75" customHeight="1" x14ac:dyDescent="0.25">
      <c r="A6" s="321" t="s">
        <v>459</v>
      </c>
      <c r="B6" s="265"/>
      <c r="C6" s="265"/>
      <c r="D6" s="265"/>
      <c r="E6" s="265"/>
      <c r="F6" s="265"/>
      <c r="G6" s="265"/>
      <c r="H6" s="265"/>
      <c r="I6" s="265"/>
      <c r="J6" s="265"/>
      <c r="K6" s="265"/>
      <c r="L6" s="265"/>
      <c r="M6" s="265"/>
      <c r="N6" s="265"/>
    </row>
    <row r="7" spans="1:14" ht="25.5" customHeight="1" x14ac:dyDescent="0.25">
      <c r="B7" s="98" t="s">
        <v>460</v>
      </c>
      <c r="D7" s="385"/>
      <c r="E7" s="386"/>
      <c r="F7" s="386"/>
      <c r="H7" s="98" t="s">
        <v>461</v>
      </c>
      <c r="J7" s="385"/>
      <c r="K7" s="386"/>
      <c r="L7" s="115" t="s">
        <v>462</v>
      </c>
      <c r="M7" s="391"/>
      <c r="N7" s="389"/>
    </row>
    <row r="8" spans="1:14" ht="15.75" customHeight="1" x14ac:dyDescent="0.25">
      <c r="A8" s="390" t="s">
        <v>463</v>
      </c>
      <c r="B8" s="265"/>
      <c r="C8" s="265"/>
      <c r="D8" s="265"/>
      <c r="E8" s="265"/>
      <c r="F8" s="265"/>
      <c r="G8" s="265"/>
      <c r="H8" s="265"/>
      <c r="I8" s="265"/>
      <c r="J8" s="265"/>
      <c r="K8" s="265"/>
      <c r="L8" s="265"/>
      <c r="M8" s="265"/>
      <c r="N8" s="265"/>
    </row>
    <row r="9" spans="1:14" ht="30" customHeight="1" x14ac:dyDescent="0.25">
      <c r="A9" s="116" t="s">
        <v>74</v>
      </c>
      <c r="B9" s="116" t="s">
        <v>75</v>
      </c>
      <c r="C9" s="116" t="s">
        <v>290</v>
      </c>
      <c r="D9" s="116" t="s">
        <v>77</v>
      </c>
      <c r="E9" s="116" t="s">
        <v>464</v>
      </c>
      <c r="F9" s="116" t="s">
        <v>78</v>
      </c>
      <c r="G9" s="116" t="s">
        <v>79</v>
      </c>
      <c r="H9" s="116" t="s">
        <v>14</v>
      </c>
      <c r="I9" s="116" t="s">
        <v>13</v>
      </c>
      <c r="J9" s="116" t="s">
        <v>1</v>
      </c>
      <c r="K9" s="116" t="s">
        <v>145</v>
      </c>
      <c r="L9" s="116" t="s">
        <v>321</v>
      </c>
      <c r="M9" s="116" t="s">
        <v>320</v>
      </c>
      <c r="N9" s="116" t="s">
        <v>465</v>
      </c>
    </row>
    <row r="10" spans="1:14" ht="15.75" customHeight="1" x14ac:dyDescent="0.25">
      <c r="A10" s="117">
        <v>1</v>
      </c>
      <c r="B10" s="118"/>
      <c r="C10" s="118"/>
      <c r="D10" s="118"/>
      <c r="E10" s="118"/>
      <c r="F10" s="118"/>
      <c r="G10" s="118"/>
      <c r="H10" s="118"/>
      <c r="I10" s="118"/>
      <c r="J10" s="118"/>
      <c r="K10" s="118"/>
      <c r="L10" s="118"/>
      <c r="M10" s="118"/>
      <c r="N10" s="118"/>
    </row>
    <row r="11" spans="1:14" ht="15.75" customHeight="1" x14ac:dyDescent="0.25">
      <c r="A11" s="119">
        <v>2</v>
      </c>
      <c r="B11" s="120"/>
      <c r="C11" s="120"/>
      <c r="D11" s="120"/>
      <c r="E11" s="120"/>
      <c r="F11" s="120"/>
      <c r="G11" s="120"/>
      <c r="H11" s="120"/>
      <c r="I11" s="120"/>
      <c r="J11" s="120"/>
      <c r="K11" s="120"/>
      <c r="L11" s="120"/>
      <c r="M11" s="120"/>
      <c r="N11" s="120"/>
    </row>
    <row r="12" spans="1:14" ht="15.75" customHeight="1" x14ac:dyDescent="0.25">
      <c r="A12" s="117">
        <v>3</v>
      </c>
      <c r="B12" s="118"/>
      <c r="C12" s="118"/>
      <c r="D12" s="118"/>
      <c r="E12" s="118"/>
      <c r="F12" s="118"/>
      <c r="G12" s="118"/>
      <c r="H12" s="118"/>
      <c r="I12" s="118"/>
      <c r="J12" s="118"/>
      <c r="K12" s="118"/>
      <c r="L12" s="118"/>
      <c r="M12" s="118"/>
      <c r="N12" s="118"/>
    </row>
    <row r="13" spans="1:14" ht="15.75" customHeight="1" x14ac:dyDescent="0.25">
      <c r="A13" s="119">
        <v>4</v>
      </c>
      <c r="B13" s="120"/>
      <c r="C13" s="120"/>
      <c r="D13" s="120"/>
      <c r="E13" s="120"/>
      <c r="F13" s="120"/>
      <c r="G13" s="120"/>
      <c r="H13" s="120"/>
      <c r="I13" s="120"/>
      <c r="J13" s="120"/>
      <c r="K13" s="120"/>
      <c r="L13" s="120"/>
      <c r="M13" s="120"/>
      <c r="N13" s="120"/>
    </row>
    <row r="14" spans="1:14" ht="15.75" customHeight="1" x14ac:dyDescent="0.25">
      <c r="A14" s="117">
        <v>5</v>
      </c>
      <c r="B14" s="118"/>
      <c r="C14" s="118"/>
      <c r="D14" s="118"/>
      <c r="E14" s="118"/>
      <c r="F14" s="118"/>
      <c r="G14" s="118"/>
      <c r="H14" s="118"/>
      <c r="I14" s="118"/>
      <c r="J14" s="118"/>
      <c r="K14" s="118"/>
      <c r="L14" s="118"/>
      <c r="M14" s="118"/>
      <c r="N14" s="118"/>
    </row>
    <row r="15" spans="1:14" ht="15.75" customHeight="1" x14ac:dyDescent="0.25">
      <c r="A15" s="119">
        <v>6</v>
      </c>
      <c r="B15" s="120"/>
      <c r="C15" s="120"/>
      <c r="D15" s="120"/>
      <c r="E15" s="120"/>
      <c r="F15" s="120"/>
      <c r="G15" s="120"/>
      <c r="H15" s="120"/>
      <c r="I15" s="120"/>
      <c r="J15" s="120"/>
      <c r="K15" s="120"/>
      <c r="L15" s="120"/>
      <c r="M15" s="120"/>
      <c r="N15" s="120"/>
    </row>
    <row r="16" spans="1:14" ht="15.75" customHeight="1" x14ac:dyDescent="0.25">
      <c r="A16" s="117">
        <v>7</v>
      </c>
      <c r="B16" s="118"/>
      <c r="C16" s="118"/>
      <c r="D16" s="118"/>
      <c r="E16" s="118"/>
      <c r="F16" s="118"/>
      <c r="G16" s="118"/>
      <c r="H16" s="118"/>
      <c r="I16" s="118"/>
      <c r="J16" s="118"/>
      <c r="K16" s="118"/>
      <c r="L16" s="118"/>
      <c r="M16" s="118"/>
      <c r="N16" s="118"/>
    </row>
    <row r="17" spans="1:14" ht="15.75" customHeight="1" x14ac:dyDescent="0.25">
      <c r="A17" s="119">
        <v>8</v>
      </c>
      <c r="B17" s="120"/>
      <c r="C17" s="120"/>
      <c r="D17" s="120"/>
      <c r="E17" s="120"/>
      <c r="F17" s="120"/>
      <c r="G17" s="120"/>
      <c r="H17" s="120"/>
      <c r="I17" s="120"/>
      <c r="J17" s="120"/>
      <c r="K17" s="120"/>
      <c r="L17" s="120"/>
      <c r="M17" s="120"/>
      <c r="N17" s="120"/>
    </row>
    <row r="18" spans="1:14" ht="15.75" customHeight="1" x14ac:dyDescent="0.25">
      <c r="A18" s="117">
        <v>9</v>
      </c>
      <c r="B18" s="118"/>
      <c r="C18" s="118"/>
      <c r="D18" s="118"/>
      <c r="E18" s="118"/>
      <c r="F18" s="118"/>
      <c r="G18" s="118"/>
      <c r="H18" s="118"/>
      <c r="I18" s="118"/>
      <c r="J18" s="118"/>
      <c r="K18" s="118"/>
      <c r="L18" s="118"/>
      <c r="M18" s="118"/>
      <c r="N18" s="118"/>
    </row>
    <row r="19" spans="1:14" ht="15.75" customHeight="1" x14ac:dyDescent="0.25">
      <c r="A19" s="119">
        <v>10</v>
      </c>
      <c r="B19" s="120"/>
      <c r="C19" s="120"/>
      <c r="D19" s="120"/>
      <c r="E19" s="120"/>
      <c r="F19" s="120"/>
      <c r="G19" s="120"/>
      <c r="H19" s="120"/>
      <c r="I19" s="120"/>
      <c r="J19" s="120"/>
      <c r="K19" s="120"/>
      <c r="L19" s="120"/>
      <c r="M19" s="120"/>
      <c r="N19" s="120"/>
    </row>
    <row r="20" spans="1:14" ht="15.75" customHeight="1" x14ac:dyDescent="0.25">
      <c r="A20" s="117">
        <v>11</v>
      </c>
      <c r="B20" s="118"/>
      <c r="C20" s="118"/>
      <c r="D20" s="118"/>
      <c r="E20" s="118"/>
      <c r="F20" s="118"/>
      <c r="G20" s="118"/>
      <c r="H20" s="118"/>
      <c r="I20" s="118"/>
      <c r="J20" s="118"/>
      <c r="K20" s="118"/>
      <c r="L20" s="118"/>
      <c r="M20" s="118"/>
      <c r="N20" s="118"/>
    </row>
    <row r="21" spans="1:14" ht="15.75" customHeight="1" x14ac:dyDescent="0.25">
      <c r="A21" s="119">
        <v>12</v>
      </c>
      <c r="B21" s="120"/>
      <c r="C21" s="120"/>
      <c r="D21" s="120"/>
      <c r="E21" s="120"/>
      <c r="F21" s="120"/>
      <c r="G21" s="120"/>
      <c r="H21" s="120"/>
      <c r="I21" s="120"/>
      <c r="J21" s="120"/>
      <c r="K21" s="120"/>
      <c r="L21" s="120"/>
      <c r="M21" s="120"/>
      <c r="N21" s="120"/>
    </row>
    <row r="22" spans="1:14" ht="15.75" customHeight="1" x14ac:dyDescent="0.25">
      <c r="A22" s="117">
        <v>13</v>
      </c>
      <c r="B22" s="118"/>
      <c r="C22" s="118"/>
      <c r="D22" s="118"/>
      <c r="E22" s="118"/>
      <c r="F22" s="118"/>
      <c r="G22" s="118"/>
      <c r="H22" s="118"/>
      <c r="I22" s="118"/>
      <c r="J22" s="118"/>
      <c r="K22" s="118"/>
      <c r="L22" s="118"/>
      <c r="M22" s="118"/>
      <c r="N22" s="118"/>
    </row>
    <row r="23" spans="1:14" ht="15.75" customHeight="1" x14ac:dyDescent="0.25">
      <c r="A23" s="119">
        <v>14</v>
      </c>
      <c r="B23" s="120"/>
      <c r="C23" s="120"/>
      <c r="D23" s="120"/>
      <c r="E23" s="120"/>
      <c r="F23" s="120"/>
      <c r="G23" s="120"/>
      <c r="H23" s="120"/>
      <c r="I23" s="120"/>
      <c r="J23" s="120"/>
      <c r="K23" s="120"/>
      <c r="L23" s="120"/>
      <c r="M23" s="120"/>
      <c r="N23" s="120"/>
    </row>
    <row r="24" spans="1:14" ht="15.75" customHeight="1" x14ac:dyDescent="0.25">
      <c r="A24" s="117">
        <v>15</v>
      </c>
      <c r="B24" s="118"/>
      <c r="C24" s="118"/>
      <c r="D24" s="118"/>
      <c r="E24" s="118"/>
      <c r="F24" s="118"/>
      <c r="G24" s="118"/>
      <c r="H24" s="118"/>
      <c r="I24" s="118"/>
      <c r="J24" s="118"/>
      <c r="K24" s="118"/>
      <c r="L24" s="118"/>
      <c r="M24" s="118"/>
      <c r="N24" s="118"/>
    </row>
    <row r="25" spans="1:14" ht="15.75" customHeight="1" x14ac:dyDescent="0.25">
      <c r="A25" s="119">
        <v>16</v>
      </c>
      <c r="B25" s="120"/>
      <c r="C25" s="120"/>
      <c r="D25" s="120"/>
      <c r="E25" s="120"/>
      <c r="F25" s="120"/>
      <c r="G25" s="120"/>
      <c r="H25" s="120"/>
      <c r="I25" s="120"/>
      <c r="J25" s="120"/>
      <c r="K25" s="120"/>
      <c r="L25" s="120"/>
      <c r="M25" s="120"/>
      <c r="N25" s="120"/>
    </row>
    <row r="26" spans="1:14" ht="15.75" customHeight="1" x14ac:dyDescent="0.25">
      <c r="A26" s="117">
        <v>17</v>
      </c>
      <c r="B26" s="118"/>
      <c r="C26" s="118"/>
      <c r="D26" s="118"/>
      <c r="E26" s="118"/>
      <c r="F26" s="118"/>
      <c r="G26" s="118"/>
      <c r="H26" s="118"/>
      <c r="I26" s="118"/>
      <c r="J26" s="118"/>
      <c r="K26" s="118"/>
      <c r="L26" s="118"/>
      <c r="M26" s="118"/>
      <c r="N26" s="118"/>
    </row>
    <row r="27" spans="1:14" ht="15.75" customHeight="1" x14ac:dyDescent="0.25">
      <c r="A27" s="119">
        <v>18</v>
      </c>
      <c r="B27" s="120"/>
      <c r="C27" s="120"/>
      <c r="D27" s="120"/>
      <c r="E27" s="120"/>
      <c r="F27" s="120"/>
      <c r="G27" s="120"/>
      <c r="H27" s="120"/>
      <c r="I27" s="120"/>
      <c r="J27" s="120"/>
      <c r="K27" s="120"/>
      <c r="L27" s="120"/>
      <c r="M27" s="120"/>
      <c r="N27" s="120"/>
    </row>
    <row r="28" spans="1:14" ht="15.75" customHeight="1" x14ac:dyDescent="0.25">
      <c r="A28" s="117">
        <v>19</v>
      </c>
      <c r="B28" s="118"/>
      <c r="C28" s="118"/>
      <c r="D28" s="118"/>
      <c r="E28" s="118"/>
      <c r="F28" s="118"/>
      <c r="G28" s="118"/>
      <c r="H28" s="118"/>
      <c r="I28" s="118"/>
      <c r="J28" s="118"/>
      <c r="K28" s="118"/>
      <c r="L28" s="118"/>
      <c r="M28" s="118"/>
      <c r="N28" s="118"/>
    </row>
    <row r="29" spans="1:14" ht="15.75" customHeight="1" x14ac:dyDescent="0.25">
      <c r="A29" s="119">
        <v>20</v>
      </c>
      <c r="B29" s="120"/>
      <c r="C29" s="120"/>
      <c r="D29" s="120"/>
      <c r="E29" s="120"/>
      <c r="F29" s="120"/>
      <c r="G29" s="120"/>
      <c r="H29" s="120"/>
      <c r="I29" s="120"/>
      <c r="J29" s="120"/>
      <c r="K29" s="120"/>
      <c r="L29" s="120"/>
      <c r="M29" s="120"/>
      <c r="N29" s="120"/>
    </row>
    <row r="30" spans="1:14" ht="15.75" customHeight="1" x14ac:dyDescent="0.25">
      <c r="A30" s="117">
        <v>21</v>
      </c>
      <c r="B30" s="118"/>
      <c r="C30" s="118"/>
      <c r="D30" s="118"/>
      <c r="E30" s="118"/>
      <c r="F30" s="118"/>
      <c r="G30" s="118"/>
      <c r="H30" s="118"/>
      <c r="I30" s="118"/>
      <c r="J30" s="118"/>
      <c r="K30" s="118"/>
      <c r="L30" s="118"/>
      <c r="M30" s="118"/>
      <c r="N30" s="118"/>
    </row>
    <row r="31" spans="1:14" ht="15.75" customHeight="1" x14ac:dyDescent="0.25">
      <c r="A31" s="119">
        <v>22</v>
      </c>
      <c r="B31" s="120"/>
      <c r="C31" s="120"/>
      <c r="D31" s="120"/>
      <c r="E31" s="120"/>
      <c r="F31" s="120"/>
      <c r="G31" s="120"/>
      <c r="H31" s="120"/>
      <c r="I31" s="120"/>
      <c r="J31" s="120"/>
      <c r="K31" s="120"/>
      <c r="L31" s="120"/>
      <c r="M31" s="120"/>
      <c r="N31" s="120"/>
    </row>
    <row r="32" spans="1:14" ht="15.75" customHeight="1" x14ac:dyDescent="0.25">
      <c r="A32" s="117">
        <v>23</v>
      </c>
      <c r="B32" s="118"/>
      <c r="C32" s="118"/>
      <c r="D32" s="118"/>
      <c r="E32" s="118"/>
      <c r="F32" s="118"/>
      <c r="G32" s="118"/>
      <c r="H32" s="118"/>
      <c r="I32" s="118"/>
      <c r="J32" s="118"/>
      <c r="K32" s="118"/>
      <c r="L32" s="118"/>
      <c r="M32" s="118"/>
      <c r="N32" s="118"/>
    </row>
    <row r="33" spans="1:14" ht="15.75" customHeight="1" x14ac:dyDescent="0.25">
      <c r="A33" s="119">
        <v>24</v>
      </c>
      <c r="B33" s="120"/>
      <c r="C33" s="120"/>
      <c r="D33" s="120"/>
      <c r="E33" s="120"/>
      <c r="F33" s="120"/>
      <c r="G33" s="120"/>
      <c r="H33" s="120"/>
      <c r="I33" s="120"/>
      <c r="J33" s="120"/>
      <c r="K33" s="120"/>
      <c r="L33" s="120"/>
      <c r="M33" s="120"/>
      <c r="N33" s="120"/>
    </row>
    <row r="34" spans="1:14" ht="15.75" customHeight="1" x14ac:dyDescent="0.25">
      <c r="A34" s="117">
        <v>25</v>
      </c>
      <c r="B34" s="118"/>
      <c r="C34" s="118"/>
      <c r="D34" s="118"/>
      <c r="E34" s="118"/>
      <c r="F34" s="118"/>
      <c r="G34" s="118"/>
      <c r="H34" s="118"/>
      <c r="I34" s="118"/>
      <c r="J34" s="118"/>
      <c r="K34" s="118"/>
      <c r="L34" s="118"/>
      <c r="M34" s="118"/>
      <c r="N34" s="118"/>
    </row>
    <row r="35" spans="1:14" ht="15.75" customHeight="1" x14ac:dyDescent="0.25">
      <c r="A35" s="119">
        <v>26</v>
      </c>
      <c r="B35" s="120"/>
      <c r="C35" s="120"/>
      <c r="D35" s="120"/>
      <c r="E35" s="120"/>
      <c r="F35" s="120"/>
      <c r="G35" s="120"/>
      <c r="H35" s="120"/>
      <c r="I35" s="120"/>
      <c r="J35" s="120"/>
      <c r="K35" s="120"/>
      <c r="L35" s="120"/>
      <c r="M35" s="120"/>
      <c r="N35" s="120"/>
    </row>
    <row r="36" spans="1:14" ht="15.75" customHeight="1" x14ac:dyDescent="0.25">
      <c r="A36" s="117">
        <v>27</v>
      </c>
      <c r="B36" s="118"/>
      <c r="C36" s="118"/>
      <c r="D36" s="118"/>
      <c r="E36" s="118"/>
      <c r="F36" s="118"/>
      <c r="G36" s="118"/>
      <c r="H36" s="118"/>
      <c r="I36" s="118"/>
      <c r="J36" s="118"/>
      <c r="K36" s="118"/>
      <c r="L36" s="118"/>
      <c r="M36" s="118"/>
      <c r="N36" s="118"/>
    </row>
    <row r="37" spans="1:14" ht="15.75" customHeight="1" x14ac:dyDescent="0.25">
      <c r="A37" s="119">
        <v>28</v>
      </c>
      <c r="B37" s="120"/>
      <c r="C37" s="120"/>
      <c r="D37" s="120"/>
      <c r="E37" s="120"/>
      <c r="F37" s="120"/>
      <c r="G37" s="120"/>
      <c r="H37" s="120"/>
      <c r="I37" s="120"/>
      <c r="J37" s="120"/>
      <c r="K37" s="120"/>
      <c r="L37" s="120"/>
      <c r="M37" s="120"/>
      <c r="N37" s="120"/>
    </row>
    <row r="38" spans="1:14" ht="15.75" customHeight="1" x14ac:dyDescent="0.25">
      <c r="A38" s="117">
        <v>29</v>
      </c>
      <c r="B38" s="118"/>
      <c r="C38" s="118"/>
      <c r="D38" s="118"/>
      <c r="E38" s="118"/>
      <c r="F38" s="118"/>
      <c r="G38" s="118"/>
      <c r="H38" s="118"/>
      <c r="I38" s="118"/>
      <c r="J38" s="118"/>
      <c r="K38" s="118"/>
      <c r="L38" s="118"/>
      <c r="M38" s="118"/>
      <c r="N38" s="118"/>
    </row>
    <row r="39" spans="1:14" ht="15.75" customHeight="1" x14ac:dyDescent="0.25">
      <c r="A39" s="119">
        <v>30</v>
      </c>
      <c r="B39" s="120"/>
      <c r="C39" s="120"/>
      <c r="D39" s="120"/>
      <c r="E39" s="120"/>
      <c r="F39" s="120"/>
      <c r="G39" s="120"/>
      <c r="H39" s="120"/>
      <c r="I39" s="120"/>
      <c r="J39" s="120"/>
      <c r="K39" s="120"/>
      <c r="L39" s="120"/>
      <c r="M39" s="120"/>
      <c r="N39" s="120"/>
    </row>
    <row r="40" spans="1:14" ht="15.75" customHeight="1" x14ac:dyDescent="0.25">
      <c r="A40" s="117">
        <v>31</v>
      </c>
      <c r="B40" s="118"/>
      <c r="C40" s="118"/>
      <c r="D40" s="118"/>
      <c r="E40" s="118"/>
      <c r="F40" s="118"/>
      <c r="G40" s="118"/>
      <c r="H40" s="118"/>
      <c r="I40" s="118"/>
      <c r="J40" s="118"/>
      <c r="K40" s="118"/>
      <c r="L40" s="118"/>
      <c r="M40" s="118"/>
      <c r="N40" s="118"/>
    </row>
    <row r="41" spans="1:14" ht="15.75" customHeight="1" x14ac:dyDescent="0.25">
      <c r="A41" s="119">
        <v>32</v>
      </c>
      <c r="B41" s="120"/>
      <c r="C41" s="120"/>
      <c r="D41" s="120"/>
      <c r="E41" s="120"/>
      <c r="F41" s="120"/>
      <c r="G41" s="120"/>
      <c r="H41" s="120"/>
      <c r="I41" s="120"/>
      <c r="J41" s="120"/>
      <c r="K41" s="120"/>
      <c r="L41" s="120"/>
      <c r="M41" s="120"/>
      <c r="N41" s="120"/>
    </row>
    <row r="42" spans="1:14" ht="15.75" customHeight="1" x14ac:dyDescent="0.25">
      <c r="A42" s="117">
        <v>33</v>
      </c>
      <c r="B42" s="118"/>
      <c r="C42" s="118"/>
      <c r="D42" s="118"/>
      <c r="E42" s="118"/>
      <c r="F42" s="118"/>
      <c r="G42" s="118"/>
      <c r="H42" s="118"/>
      <c r="I42" s="118"/>
      <c r="J42" s="118"/>
      <c r="K42" s="118"/>
      <c r="L42" s="118"/>
      <c r="M42" s="118"/>
      <c r="N42" s="118"/>
    </row>
    <row r="43" spans="1:14" ht="15.75" customHeight="1" x14ac:dyDescent="0.25">
      <c r="A43" s="119">
        <v>34</v>
      </c>
      <c r="B43" s="120"/>
      <c r="C43" s="120"/>
      <c r="D43" s="120"/>
      <c r="E43" s="120"/>
      <c r="F43" s="120"/>
      <c r="G43" s="120"/>
      <c r="H43" s="120"/>
      <c r="I43" s="120"/>
      <c r="J43" s="120"/>
      <c r="K43" s="120"/>
      <c r="L43" s="120"/>
      <c r="M43" s="120"/>
      <c r="N43" s="120"/>
    </row>
    <row r="44" spans="1:14" ht="15.75" customHeight="1" x14ac:dyDescent="0.25">
      <c r="A44" s="117">
        <v>35</v>
      </c>
      <c r="B44" s="118"/>
      <c r="C44" s="118"/>
      <c r="D44" s="118"/>
      <c r="E44" s="118"/>
      <c r="F44" s="118"/>
      <c r="G44" s="118"/>
      <c r="H44" s="118"/>
      <c r="I44" s="118"/>
      <c r="J44" s="118"/>
      <c r="K44" s="118"/>
      <c r="L44" s="118"/>
      <c r="M44" s="118"/>
      <c r="N44" s="118"/>
    </row>
    <row r="45" spans="1:14" ht="15.75" customHeight="1" x14ac:dyDescent="0.25">
      <c r="A45" s="119">
        <v>36</v>
      </c>
      <c r="B45" s="120"/>
      <c r="C45" s="120"/>
      <c r="D45" s="120"/>
      <c r="E45" s="120"/>
      <c r="F45" s="120"/>
      <c r="G45" s="120"/>
      <c r="H45" s="120"/>
      <c r="I45" s="120"/>
      <c r="J45" s="120"/>
      <c r="K45" s="120"/>
      <c r="L45" s="120"/>
      <c r="M45" s="120"/>
      <c r="N45" s="120"/>
    </row>
    <row r="46" spans="1:14" ht="15.75" customHeight="1" x14ac:dyDescent="0.25">
      <c r="A46" s="117">
        <v>37</v>
      </c>
      <c r="B46" s="118"/>
      <c r="C46" s="118"/>
      <c r="D46" s="118"/>
      <c r="E46" s="118"/>
      <c r="F46" s="118"/>
      <c r="G46" s="118"/>
      <c r="H46" s="118"/>
      <c r="I46" s="118"/>
      <c r="J46" s="118"/>
      <c r="K46" s="118"/>
      <c r="L46" s="118"/>
      <c r="M46" s="118"/>
      <c r="N46" s="118"/>
    </row>
    <row r="47" spans="1:14" ht="15.75" customHeight="1" x14ac:dyDescent="0.25">
      <c r="A47" s="119">
        <v>38</v>
      </c>
      <c r="B47" s="120"/>
      <c r="C47" s="120"/>
      <c r="D47" s="120"/>
      <c r="E47" s="120"/>
      <c r="F47" s="120"/>
      <c r="G47" s="120"/>
      <c r="H47" s="120"/>
      <c r="I47" s="120"/>
      <c r="J47" s="120"/>
      <c r="K47" s="120"/>
      <c r="L47" s="120"/>
      <c r="M47" s="120"/>
      <c r="N47" s="120"/>
    </row>
    <row r="48" spans="1:14" ht="15.75" customHeight="1" x14ac:dyDescent="0.25">
      <c r="A48" s="117">
        <v>39</v>
      </c>
      <c r="B48" s="118"/>
      <c r="C48" s="118"/>
      <c r="D48" s="118"/>
      <c r="E48" s="118"/>
      <c r="F48" s="118"/>
      <c r="G48" s="118"/>
      <c r="H48" s="118"/>
      <c r="I48" s="118"/>
      <c r="J48" s="118"/>
      <c r="K48" s="118"/>
      <c r="L48" s="118"/>
      <c r="M48" s="118"/>
      <c r="N48" s="118"/>
    </row>
    <row r="49" spans="1:14" ht="15.75" customHeight="1" x14ac:dyDescent="0.25">
      <c r="A49" s="119">
        <v>40</v>
      </c>
      <c r="B49" s="120"/>
      <c r="C49" s="120"/>
      <c r="D49" s="120"/>
      <c r="E49" s="120"/>
      <c r="F49" s="120"/>
      <c r="G49" s="120"/>
      <c r="H49" s="120"/>
      <c r="I49" s="120"/>
      <c r="J49" s="120"/>
      <c r="K49" s="120"/>
      <c r="L49" s="120"/>
      <c r="M49" s="120"/>
      <c r="N49" s="120"/>
    </row>
    <row r="50" spans="1:14" ht="15.75" customHeight="1" x14ac:dyDescent="0.25">
      <c r="A50" s="117">
        <v>41</v>
      </c>
      <c r="B50" s="118"/>
      <c r="C50" s="118"/>
      <c r="D50" s="118"/>
      <c r="E50" s="118"/>
      <c r="F50" s="118"/>
      <c r="G50" s="118"/>
      <c r="H50" s="118"/>
      <c r="I50" s="118"/>
      <c r="J50" s="118"/>
      <c r="K50" s="118"/>
      <c r="L50" s="118"/>
      <c r="M50" s="118"/>
      <c r="N50" s="118"/>
    </row>
    <row r="51" spans="1:14" ht="15.75" customHeight="1" x14ac:dyDescent="0.25">
      <c r="A51" s="119">
        <v>42</v>
      </c>
      <c r="B51" s="120"/>
      <c r="C51" s="120"/>
      <c r="D51" s="120"/>
      <c r="E51" s="120"/>
      <c r="F51" s="120"/>
      <c r="G51" s="120"/>
      <c r="H51" s="120"/>
      <c r="I51" s="120"/>
      <c r="J51" s="120"/>
      <c r="K51" s="120"/>
      <c r="L51" s="120"/>
      <c r="M51" s="120"/>
      <c r="N51" s="120"/>
    </row>
    <row r="52" spans="1:14" ht="15.75" customHeight="1" x14ac:dyDescent="0.25">
      <c r="A52" s="117">
        <v>43</v>
      </c>
      <c r="B52" s="118"/>
      <c r="C52" s="118"/>
      <c r="D52" s="118"/>
      <c r="E52" s="118"/>
      <c r="F52" s="118"/>
      <c r="G52" s="118"/>
      <c r="H52" s="118"/>
      <c r="I52" s="118"/>
      <c r="J52" s="118"/>
      <c r="K52" s="118"/>
      <c r="L52" s="118"/>
      <c r="M52" s="118"/>
      <c r="N52" s="118"/>
    </row>
    <row r="53" spans="1:14" ht="15.75" customHeight="1" x14ac:dyDescent="0.25">
      <c r="A53" s="119">
        <v>44</v>
      </c>
      <c r="B53" s="120"/>
      <c r="C53" s="120"/>
      <c r="D53" s="120"/>
      <c r="E53" s="120"/>
      <c r="F53" s="120"/>
      <c r="G53" s="120"/>
      <c r="H53" s="120"/>
      <c r="I53" s="120"/>
      <c r="J53" s="120"/>
      <c r="K53" s="120"/>
      <c r="L53" s="120"/>
      <c r="M53" s="120"/>
      <c r="N53" s="120"/>
    </row>
    <row r="54" spans="1:14" ht="15.75" customHeight="1" x14ac:dyDescent="0.25">
      <c r="A54" s="117">
        <v>45</v>
      </c>
      <c r="B54" s="118"/>
      <c r="C54" s="118"/>
      <c r="D54" s="118"/>
      <c r="E54" s="118"/>
      <c r="F54" s="118"/>
      <c r="G54" s="118"/>
      <c r="H54" s="118"/>
      <c r="I54" s="118"/>
      <c r="J54" s="118"/>
      <c r="K54" s="118"/>
      <c r="L54" s="118"/>
      <c r="M54" s="118"/>
      <c r="N54" s="118"/>
    </row>
    <row r="55" spans="1:14" ht="15.75" customHeight="1" x14ac:dyDescent="0.25">
      <c r="A55" s="119">
        <v>46</v>
      </c>
      <c r="B55" s="120"/>
      <c r="C55" s="120"/>
      <c r="D55" s="120"/>
      <c r="E55" s="120"/>
      <c r="F55" s="120"/>
      <c r="G55" s="120"/>
      <c r="H55" s="120"/>
      <c r="I55" s="120"/>
      <c r="J55" s="120"/>
      <c r="K55" s="120"/>
      <c r="L55" s="120"/>
      <c r="M55" s="120"/>
      <c r="N55" s="120"/>
    </row>
    <row r="56" spans="1:14" ht="15.75" customHeight="1" x14ac:dyDescent="0.25">
      <c r="A56" s="117">
        <v>47</v>
      </c>
      <c r="B56" s="118"/>
      <c r="C56" s="118"/>
      <c r="D56" s="118"/>
      <c r="E56" s="118"/>
      <c r="F56" s="118"/>
      <c r="G56" s="118"/>
      <c r="H56" s="118"/>
      <c r="I56" s="118"/>
      <c r="J56" s="118"/>
      <c r="K56" s="118"/>
      <c r="L56" s="118"/>
      <c r="M56" s="118"/>
      <c r="N56" s="118"/>
    </row>
    <row r="57" spans="1:14" ht="15.75" customHeight="1" x14ac:dyDescent="0.25">
      <c r="A57" s="119">
        <v>48</v>
      </c>
      <c r="B57" s="120"/>
      <c r="C57" s="120"/>
      <c r="D57" s="120"/>
      <c r="E57" s="120"/>
      <c r="F57" s="120"/>
      <c r="G57" s="120"/>
      <c r="H57" s="120"/>
      <c r="I57" s="120"/>
      <c r="J57" s="120"/>
      <c r="K57" s="120"/>
      <c r="L57" s="120"/>
      <c r="M57" s="120"/>
      <c r="N57" s="120"/>
    </row>
    <row r="58" spans="1:14" ht="15.75" customHeight="1" x14ac:dyDescent="0.25">
      <c r="A58" s="117">
        <v>49</v>
      </c>
      <c r="B58" s="118"/>
      <c r="C58" s="118"/>
      <c r="D58" s="118"/>
      <c r="E58" s="118"/>
      <c r="F58" s="118"/>
      <c r="G58" s="118"/>
      <c r="H58" s="118"/>
      <c r="I58" s="118"/>
      <c r="J58" s="118"/>
      <c r="K58" s="118"/>
      <c r="L58" s="118"/>
      <c r="M58" s="118"/>
      <c r="N58" s="118"/>
    </row>
    <row r="59" spans="1:14" ht="15.75" customHeight="1" x14ac:dyDescent="0.25">
      <c r="A59" s="119">
        <v>50</v>
      </c>
      <c r="B59" s="120"/>
      <c r="C59" s="120"/>
      <c r="D59" s="120"/>
      <c r="E59" s="120"/>
      <c r="F59" s="120"/>
      <c r="G59" s="120"/>
      <c r="H59" s="120"/>
      <c r="I59" s="120"/>
      <c r="J59" s="120"/>
      <c r="K59" s="120"/>
      <c r="L59" s="120"/>
      <c r="M59" s="120"/>
      <c r="N59" s="120"/>
    </row>
    <row r="60" spans="1:14" ht="15.75" customHeight="1" x14ac:dyDescent="0.25">
      <c r="A60" s="117">
        <v>51</v>
      </c>
      <c r="B60" s="118"/>
      <c r="C60" s="118"/>
      <c r="D60" s="118"/>
      <c r="E60" s="118"/>
      <c r="F60" s="118"/>
      <c r="G60" s="118"/>
      <c r="H60" s="118"/>
      <c r="I60" s="118"/>
      <c r="J60" s="118"/>
      <c r="K60" s="118"/>
      <c r="L60" s="118"/>
      <c r="M60" s="118"/>
      <c r="N60" s="118"/>
    </row>
    <row r="61" spans="1:14" ht="15.75" customHeight="1" x14ac:dyDescent="0.25">
      <c r="A61" s="119">
        <v>52</v>
      </c>
      <c r="B61" s="120"/>
      <c r="C61" s="120"/>
      <c r="D61" s="120"/>
      <c r="E61" s="120"/>
      <c r="F61" s="120"/>
      <c r="G61" s="120"/>
      <c r="H61" s="120"/>
      <c r="I61" s="120"/>
      <c r="J61" s="120"/>
      <c r="K61" s="120"/>
      <c r="L61" s="120"/>
      <c r="M61" s="120"/>
      <c r="N61" s="120"/>
    </row>
    <row r="62" spans="1:14" ht="15.75" customHeight="1" x14ac:dyDescent="0.25">
      <c r="A62" s="117">
        <v>53</v>
      </c>
      <c r="B62" s="118"/>
      <c r="C62" s="118"/>
      <c r="D62" s="118"/>
      <c r="E62" s="118"/>
      <c r="F62" s="118"/>
      <c r="G62" s="118"/>
      <c r="H62" s="118"/>
      <c r="I62" s="118"/>
      <c r="J62" s="118"/>
      <c r="K62" s="118"/>
      <c r="L62" s="118"/>
      <c r="M62" s="118"/>
      <c r="N62" s="118"/>
    </row>
    <row r="63" spans="1:14" ht="15.75" customHeight="1" x14ac:dyDescent="0.25">
      <c r="A63" s="119">
        <v>54</v>
      </c>
      <c r="B63" s="120"/>
      <c r="C63" s="120"/>
      <c r="D63" s="120"/>
      <c r="E63" s="120"/>
      <c r="F63" s="120"/>
      <c r="G63" s="120"/>
      <c r="H63" s="120"/>
      <c r="I63" s="120"/>
      <c r="J63" s="120"/>
      <c r="K63" s="120"/>
      <c r="L63" s="120"/>
      <c r="M63" s="120"/>
      <c r="N63" s="120"/>
    </row>
    <row r="64" spans="1:14" ht="15.75" customHeight="1" x14ac:dyDescent="0.25">
      <c r="A64" s="117">
        <v>55</v>
      </c>
      <c r="B64" s="118"/>
      <c r="C64" s="118"/>
      <c r="D64" s="118"/>
      <c r="E64" s="118"/>
      <c r="F64" s="118"/>
      <c r="G64" s="118"/>
      <c r="H64" s="118"/>
      <c r="I64" s="118"/>
      <c r="J64" s="118"/>
      <c r="K64" s="118"/>
      <c r="L64" s="118"/>
      <c r="M64" s="118"/>
      <c r="N64" s="118"/>
    </row>
    <row r="65" spans="1:14" ht="15.75" customHeight="1" x14ac:dyDescent="0.25">
      <c r="A65" s="119">
        <v>56</v>
      </c>
      <c r="B65" s="120"/>
      <c r="C65" s="120"/>
      <c r="D65" s="120"/>
      <c r="E65" s="120"/>
      <c r="F65" s="120"/>
      <c r="G65" s="120"/>
      <c r="H65" s="120"/>
      <c r="I65" s="120"/>
      <c r="J65" s="120"/>
      <c r="K65" s="120"/>
      <c r="L65" s="120"/>
      <c r="M65" s="120"/>
      <c r="N65" s="120"/>
    </row>
    <row r="66" spans="1:14" ht="15.75" customHeight="1" x14ac:dyDescent="0.25">
      <c r="A66" s="117">
        <v>57</v>
      </c>
      <c r="B66" s="118"/>
      <c r="C66" s="118"/>
      <c r="D66" s="118"/>
      <c r="E66" s="118"/>
      <c r="F66" s="118"/>
      <c r="G66" s="118"/>
      <c r="H66" s="118"/>
      <c r="I66" s="118"/>
      <c r="J66" s="118"/>
      <c r="K66" s="118"/>
      <c r="L66" s="118"/>
      <c r="M66" s="118"/>
      <c r="N66" s="118"/>
    </row>
    <row r="67" spans="1:14" ht="15.75" customHeight="1" x14ac:dyDescent="0.25">
      <c r="A67" s="119">
        <v>58</v>
      </c>
      <c r="B67" s="120"/>
      <c r="C67" s="120"/>
      <c r="D67" s="120"/>
      <c r="E67" s="120"/>
      <c r="F67" s="120"/>
      <c r="G67" s="120"/>
      <c r="H67" s="120"/>
      <c r="I67" s="120"/>
      <c r="J67" s="120"/>
      <c r="K67" s="120"/>
      <c r="L67" s="120"/>
      <c r="M67" s="120"/>
      <c r="N67" s="120"/>
    </row>
    <row r="68" spans="1:14" ht="15.75" customHeight="1" x14ac:dyDescent="0.25">
      <c r="A68" s="117">
        <v>59</v>
      </c>
      <c r="B68" s="118"/>
      <c r="C68" s="118"/>
      <c r="D68" s="118"/>
      <c r="E68" s="118"/>
      <c r="F68" s="118"/>
      <c r="G68" s="118"/>
      <c r="H68" s="118"/>
      <c r="I68" s="118"/>
      <c r="J68" s="118"/>
      <c r="K68" s="118"/>
      <c r="L68" s="118"/>
      <c r="M68" s="118"/>
      <c r="N68" s="118"/>
    </row>
    <row r="69" spans="1:14" ht="15.75" customHeight="1" x14ac:dyDescent="0.25">
      <c r="A69" s="119">
        <v>60</v>
      </c>
      <c r="B69" s="120"/>
      <c r="C69" s="120"/>
      <c r="D69" s="120"/>
      <c r="E69" s="120"/>
      <c r="F69" s="120"/>
      <c r="G69" s="120"/>
      <c r="H69" s="120"/>
      <c r="I69" s="120"/>
      <c r="J69" s="120"/>
      <c r="K69" s="120"/>
      <c r="L69" s="120"/>
      <c r="M69" s="120"/>
      <c r="N69" s="120"/>
    </row>
    <row r="70" spans="1:14" ht="15.75" customHeight="1" x14ac:dyDescent="0.25">
      <c r="A70" s="117">
        <v>61</v>
      </c>
      <c r="B70" s="118"/>
      <c r="C70" s="118"/>
      <c r="D70" s="118"/>
      <c r="E70" s="118"/>
      <c r="F70" s="118"/>
      <c r="G70" s="118"/>
      <c r="H70" s="118"/>
      <c r="I70" s="118"/>
      <c r="J70" s="118"/>
      <c r="K70" s="118"/>
      <c r="L70" s="118"/>
      <c r="M70" s="118"/>
      <c r="N70" s="118"/>
    </row>
    <row r="71" spans="1:14" ht="15.75" customHeight="1" x14ac:dyDescent="0.25">
      <c r="A71" s="119">
        <v>62</v>
      </c>
      <c r="B71" s="120"/>
      <c r="C71" s="120"/>
      <c r="D71" s="120"/>
      <c r="E71" s="120"/>
      <c r="F71" s="120"/>
      <c r="G71" s="120"/>
      <c r="H71" s="120"/>
      <c r="I71" s="120"/>
      <c r="J71" s="120"/>
      <c r="K71" s="120"/>
      <c r="L71" s="120"/>
      <c r="M71" s="120"/>
      <c r="N71" s="120"/>
    </row>
    <row r="72" spans="1:14" ht="15.75" customHeight="1" x14ac:dyDescent="0.25">
      <c r="A72" s="117">
        <v>63</v>
      </c>
      <c r="B72" s="118"/>
      <c r="C72" s="118"/>
      <c r="D72" s="118"/>
      <c r="E72" s="118"/>
      <c r="F72" s="118"/>
      <c r="G72" s="118"/>
      <c r="H72" s="118"/>
      <c r="I72" s="118"/>
      <c r="J72" s="118"/>
      <c r="K72" s="118"/>
      <c r="L72" s="118"/>
      <c r="M72" s="118"/>
      <c r="N72" s="118"/>
    </row>
    <row r="73" spans="1:14" ht="15.75" customHeight="1" x14ac:dyDescent="0.25">
      <c r="A73" s="119">
        <v>64</v>
      </c>
      <c r="B73" s="120"/>
      <c r="C73" s="120"/>
      <c r="D73" s="120"/>
      <c r="E73" s="120"/>
      <c r="F73" s="120"/>
      <c r="G73" s="120"/>
      <c r="H73" s="120"/>
      <c r="I73" s="120"/>
      <c r="J73" s="120"/>
      <c r="K73" s="120"/>
      <c r="L73" s="120"/>
      <c r="M73" s="120"/>
      <c r="N73" s="120"/>
    </row>
    <row r="74" spans="1:14" ht="15.75" customHeight="1" x14ac:dyDescent="0.25">
      <c r="A74" s="117">
        <v>65</v>
      </c>
      <c r="B74" s="118"/>
      <c r="C74" s="118"/>
      <c r="D74" s="118"/>
      <c r="E74" s="118"/>
      <c r="F74" s="118"/>
      <c r="G74" s="118"/>
      <c r="H74" s="118"/>
      <c r="I74" s="118"/>
      <c r="J74" s="118"/>
      <c r="K74" s="118"/>
      <c r="L74" s="118"/>
      <c r="M74" s="118"/>
      <c r="N74" s="118"/>
    </row>
    <row r="75" spans="1:14" ht="15.75" customHeight="1" x14ac:dyDescent="0.25">
      <c r="A75" s="119">
        <v>66</v>
      </c>
      <c r="B75" s="120"/>
      <c r="C75" s="120"/>
      <c r="D75" s="120"/>
      <c r="E75" s="120"/>
      <c r="F75" s="120"/>
      <c r="G75" s="120"/>
      <c r="H75" s="120"/>
      <c r="I75" s="120"/>
      <c r="J75" s="120"/>
      <c r="K75" s="120"/>
      <c r="L75" s="120"/>
      <c r="M75" s="120"/>
      <c r="N75" s="120"/>
    </row>
    <row r="76" spans="1:14" ht="15.75" customHeight="1" x14ac:dyDescent="0.25">
      <c r="A76" s="117">
        <v>67</v>
      </c>
      <c r="B76" s="118"/>
      <c r="C76" s="118"/>
      <c r="D76" s="118"/>
      <c r="E76" s="118"/>
      <c r="F76" s="118"/>
      <c r="G76" s="118"/>
      <c r="H76" s="118"/>
      <c r="I76" s="118"/>
      <c r="J76" s="118"/>
      <c r="K76" s="118"/>
      <c r="L76" s="118"/>
      <c r="M76" s="118"/>
      <c r="N76" s="118"/>
    </row>
    <row r="77" spans="1:14" ht="15.75" customHeight="1" x14ac:dyDescent="0.25">
      <c r="A77" s="119">
        <v>68</v>
      </c>
      <c r="B77" s="120"/>
      <c r="C77" s="120"/>
      <c r="D77" s="120"/>
      <c r="E77" s="120"/>
      <c r="F77" s="120"/>
      <c r="G77" s="120"/>
      <c r="H77" s="120"/>
      <c r="I77" s="120"/>
      <c r="J77" s="120"/>
      <c r="K77" s="120"/>
      <c r="L77" s="120"/>
      <c r="M77" s="120"/>
      <c r="N77" s="120"/>
    </row>
    <row r="78" spans="1:14" ht="15.75" customHeight="1" x14ac:dyDescent="0.25">
      <c r="A78" s="117">
        <v>69</v>
      </c>
      <c r="B78" s="118"/>
      <c r="C78" s="118"/>
      <c r="D78" s="118"/>
      <c r="E78" s="118"/>
      <c r="F78" s="118"/>
      <c r="G78" s="118"/>
      <c r="H78" s="118"/>
      <c r="I78" s="118"/>
      <c r="J78" s="118"/>
      <c r="K78" s="118"/>
      <c r="L78" s="118"/>
      <c r="M78" s="118"/>
      <c r="N78" s="118"/>
    </row>
    <row r="79" spans="1:14" ht="15.75" customHeight="1" x14ac:dyDescent="0.25">
      <c r="A79" s="119">
        <v>70</v>
      </c>
      <c r="B79" s="120"/>
      <c r="C79" s="120"/>
      <c r="D79" s="120"/>
      <c r="E79" s="120"/>
      <c r="F79" s="120"/>
      <c r="G79" s="120"/>
      <c r="H79" s="120"/>
      <c r="I79" s="120"/>
      <c r="J79" s="120"/>
      <c r="K79" s="120"/>
      <c r="L79" s="120"/>
      <c r="M79" s="120"/>
      <c r="N79" s="120"/>
    </row>
    <row r="80" spans="1:14" ht="15.75" customHeight="1" x14ac:dyDescent="0.25">
      <c r="A80" s="117">
        <v>71</v>
      </c>
      <c r="B80" s="118"/>
      <c r="C80" s="118"/>
      <c r="D80" s="118"/>
      <c r="E80" s="118"/>
      <c r="F80" s="118"/>
      <c r="G80" s="118"/>
      <c r="H80" s="118"/>
      <c r="I80" s="118"/>
      <c r="J80" s="118"/>
      <c r="K80" s="118"/>
      <c r="L80" s="118"/>
      <c r="M80" s="118"/>
      <c r="N80" s="118"/>
    </row>
    <row r="81" spans="1:14" ht="15.75" customHeight="1" x14ac:dyDescent="0.25">
      <c r="A81" s="119">
        <v>72</v>
      </c>
      <c r="B81" s="120"/>
      <c r="C81" s="120"/>
      <c r="D81" s="120"/>
      <c r="E81" s="120"/>
      <c r="F81" s="120"/>
      <c r="G81" s="120"/>
      <c r="H81" s="120"/>
      <c r="I81" s="120"/>
      <c r="J81" s="120"/>
      <c r="K81" s="120"/>
      <c r="L81" s="120"/>
      <c r="M81" s="120"/>
      <c r="N81" s="120"/>
    </row>
    <row r="82" spans="1:14" ht="15.75" customHeight="1" x14ac:dyDescent="0.25">
      <c r="A82" s="117">
        <v>73</v>
      </c>
      <c r="B82" s="118"/>
      <c r="C82" s="118"/>
      <c r="D82" s="118"/>
      <c r="E82" s="118"/>
      <c r="F82" s="118"/>
      <c r="G82" s="118"/>
      <c r="H82" s="118"/>
      <c r="I82" s="118"/>
      <c r="J82" s="118"/>
      <c r="K82" s="118"/>
      <c r="L82" s="118"/>
      <c r="M82" s="118"/>
      <c r="N82" s="118"/>
    </row>
    <row r="83" spans="1:14" ht="15.75" customHeight="1" x14ac:dyDescent="0.25">
      <c r="A83" s="119">
        <v>74</v>
      </c>
      <c r="B83" s="120"/>
      <c r="C83" s="120"/>
      <c r="D83" s="120"/>
      <c r="E83" s="120"/>
      <c r="F83" s="120"/>
      <c r="G83" s="120"/>
      <c r="H83" s="120"/>
      <c r="I83" s="120"/>
      <c r="J83" s="120"/>
      <c r="K83" s="120"/>
      <c r="L83" s="120"/>
      <c r="M83" s="120"/>
      <c r="N83" s="120"/>
    </row>
    <row r="84" spans="1:14" ht="15.75" customHeight="1" x14ac:dyDescent="0.25">
      <c r="A84" s="117">
        <v>75</v>
      </c>
      <c r="B84" s="118"/>
      <c r="C84" s="118"/>
      <c r="D84" s="118"/>
      <c r="E84" s="118"/>
      <c r="F84" s="118"/>
      <c r="G84" s="118"/>
      <c r="H84" s="118"/>
      <c r="I84" s="118"/>
      <c r="J84" s="118"/>
      <c r="K84" s="118"/>
      <c r="L84" s="118"/>
      <c r="M84" s="118"/>
      <c r="N84" s="118"/>
    </row>
    <row r="85" spans="1:14" ht="15.75" customHeight="1" x14ac:dyDescent="0.25">
      <c r="A85" s="119">
        <v>76</v>
      </c>
      <c r="B85" s="120"/>
      <c r="C85" s="120"/>
      <c r="D85" s="120"/>
      <c r="E85" s="120"/>
      <c r="F85" s="120"/>
      <c r="G85" s="120"/>
      <c r="H85" s="120"/>
      <c r="I85" s="120"/>
      <c r="J85" s="120"/>
      <c r="K85" s="120"/>
      <c r="L85" s="120"/>
      <c r="M85" s="120"/>
      <c r="N85" s="120"/>
    </row>
    <row r="86" spans="1:14" ht="15.75" customHeight="1" x14ac:dyDescent="0.25">
      <c r="A86" s="117">
        <v>77</v>
      </c>
      <c r="B86" s="118"/>
      <c r="C86" s="118"/>
      <c r="D86" s="118"/>
      <c r="E86" s="118"/>
      <c r="F86" s="118"/>
      <c r="G86" s="118"/>
      <c r="H86" s="118"/>
      <c r="I86" s="118"/>
      <c r="J86" s="118"/>
      <c r="K86" s="118"/>
      <c r="L86" s="118"/>
      <c r="M86" s="118"/>
      <c r="N86" s="118"/>
    </row>
    <row r="87" spans="1:14" ht="15.75" customHeight="1" x14ac:dyDescent="0.25">
      <c r="A87" s="119">
        <v>78</v>
      </c>
      <c r="B87" s="120"/>
      <c r="C87" s="120"/>
      <c r="D87" s="120"/>
      <c r="E87" s="120"/>
      <c r="F87" s="120"/>
      <c r="G87" s="120"/>
      <c r="H87" s="120"/>
      <c r="I87" s="120"/>
      <c r="J87" s="120"/>
      <c r="K87" s="120"/>
      <c r="L87" s="120"/>
      <c r="M87" s="120"/>
      <c r="N87" s="120"/>
    </row>
    <row r="88" spans="1:14" ht="15.75" customHeight="1" x14ac:dyDescent="0.25">
      <c r="A88" s="117">
        <v>79</v>
      </c>
      <c r="B88" s="118"/>
      <c r="C88" s="118"/>
      <c r="D88" s="118"/>
      <c r="E88" s="118"/>
      <c r="F88" s="118"/>
      <c r="G88" s="118"/>
      <c r="H88" s="118"/>
      <c r="I88" s="118"/>
      <c r="J88" s="118"/>
      <c r="K88" s="118"/>
      <c r="L88" s="118"/>
      <c r="M88" s="118"/>
      <c r="N88" s="118"/>
    </row>
    <row r="89" spans="1:14" ht="15.75" customHeight="1" x14ac:dyDescent="0.25">
      <c r="A89" s="119">
        <v>80</v>
      </c>
      <c r="B89" s="120"/>
      <c r="C89" s="120"/>
      <c r="D89" s="120"/>
      <c r="E89" s="120"/>
      <c r="F89" s="120"/>
      <c r="G89" s="120"/>
      <c r="H89" s="120"/>
      <c r="I89" s="120"/>
      <c r="J89" s="120"/>
      <c r="K89" s="120"/>
      <c r="L89" s="120"/>
      <c r="M89" s="120"/>
      <c r="N89" s="120"/>
    </row>
    <row r="90" spans="1:14" ht="15.75" customHeight="1" x14ac:dyDescent="0.25">
      <c r="A90" s="117">
        <v>81</v>
      </c>
      <c r="B90" s="118"/>
      <c r="C90" s="118"/>
      <c r="D90" s="118"/>
      <c r="E90" s="118"/>
      <c r="F90" s="118"/>
      <c r="G90" s="118"/>
      <c r="H90" s="118"/>
      <c r="I90" s="118"/>
      <c r="J90" s="118"/>
      <c r="K90" s="118"/>
      <c r="L90" s="118"/>
      <c r="M90" s="118"/>
      <c r="N90" s="118"/>
    </row>
    <row r="91" spans="1:14" ht="15.75" customHeight="1" x14ac:dyDescent="0.25">
      <c r="A91" s="119">
        <v>82</v>
      </c>
      <c r="B91" s="120"/>
      <c r="C91" s="120"/>
      <c r="D91" s="120"/>
      <c r="E91" s="120"/>
      <c r="F91" s="120"/>
      <c r="G91" s="120"/>
      <c r="H91" s="120"/>
      <c r="I91" s="120"/>
      <c r="J91" s="120"/>
      <c r="K91" s="120"/>
      <c r="L91" s="120"/>
      <c r="M91" s="120"/>
      <c r="N91" s="120"/>
    </row>
    <row r="92" spans="1:14" ht="15.75" customHeight="1" x14ac:dyDescent="0.25">
      <c r="A92" s="117">
        <v>83</v>
      </c>
      <c r="B92" s="118"/>
      <c r="C92" s="118"/>
      <c r="D92" s="118"/>
      <c r="E92" s="118"/>
      <c r="F92" s="118"/>
      <c r="G92" s="118"/>
      <c r="H92" s="118"/>
      <c r="I92" s="118"/>
      <c r="J92" s="118"/>
      <c r="K92" s="118"/>
      <c r="L92" s="118"/>
      <c r="M92" s="118"/>
      <c r="N92" s="118"/>
    </row>
    <row r="93" spans="1:14" ht="15.75" customHeight="1" x14ac:dyDescent="0.25">
      <c r="A93" s="119">
        <v>84</v>
      </c>
      <c r="B93" s="120"/>
      <c r="C93" s="120"/>
      <c r="D93" s="120"/>
      <c r="E93" s="120"/>
      <c r="F93" s="120"/>
      <c r="G93" s="120"/>
      <c r="H93" s="120"/>
      <c r="I93" s="120"/>
      <c r="J93" s="120"/>
      <c r="K93" s="120"/>
      <c r="L93" s="120"/>
      <c r="M93" s="120"/>
      <c r="N93" s="120"/>
    </row>
    <row r="94" spans="1:14" ht="15.75" customHeight="1" x14ac:dyDescent="0.25">
      <c r="A94" s="117">
        <v>85</v>
      </c>
      <c r="B94" s="118"/>
      <c r="C94" s="118"/>
      <c r="D94" s="118"/>
      <c r="E94" s="118"/>
      <c r="F94" s="118"/>
      <c r="G94" s="118"/>
      <c r="H94" s="118"/>
      <c r="I94" s="118"/>
      <c r="J94" s="118"/>
      <c r="K94" s="118"/>
      <c r="L94" s="118"/>
      <c r="M94" s="118"/>
      <c r="N94" s="118"/>
    </row>
    <row r="95" spans="1:14" ht="15.75" customHeight="1" x14ac:dyDescent="0.25">
      <c r="A95" s="119">
        <v>86</v>
      </c>
      <c r="B95" s="120"/>
      <c r="C95" s="120"/>
      <c r="D95" s="120"/>
      <c r="E95" s="120"/>
      <c r="F95" s="120"/>
      <c r="G95" s="120"/>
      <c r="H95" s="120"/>
      <c r="I95" s="120"/>
      <c r="J95" s="120"/>
      <c r="K95" s="120"/>
      <c r="L95" s="120"/>
      <c r="M95" s="120"/>
      <c r="N95" s="120"/>
    </row>
    <row r="96" spans="1:14" ht="15.75" customHeight="1" x14ac:dyDescent="0.25">
      <c r="A96" s="117">
        <v>87</v>
      </c>
      <c r="B96" s="118"/>
      <c r="C96" s="118"/>
      <c r="D96" s="118"/>
      <c r="E96" s="118"/>
      <c r="F96" s="118"/>
      <c r="G96" s="118"/>
      <c r="H96" s="118"/>
      <c r="I96" s="118"/>
      <c r="J96" s="118"/>
      <c r="K96" s="118"/>
      <c r="L96" s="118"/>
      <c r="M96" s="118"/>
      <c r="N96" s="118"/>
    </row>
    <row r="97" spans="1:14" ht="15.75" customHeight="1" x14ac:dyDescent="0.25">
      <c r="A97" s="119">
        <v>88</v>
      </c>
      <c r="B97" s="120"/>
      <c r="C97" s="120"/>
      <c r="D97" s="120"/>
      <c r="E97" s="120"/>
      <c r="F97" s="120"/>
      <c r="G97" s="120"/>
      <c r="H97" s="120"/>
      <c r="I97" s="120"/>
      <c r="J97" s="120"/>
      <c r="K97" s="120"/>
      <c r="L97" s="120"/>
      <c r="M97" s="120"/>
      <c r="N97" s="120"/>
    </row>
    <row r="98" spans="1:14" ht="15.75" customHeight="1" x14ac:dyDescent="0.25">
      <c r="A98" s="117">
        <v>89</v>
      </c>
      <c r="B98" s="118"/>
      <c r="C98" s="118"/>
      <c r="D98" s="118"/>
      <c r="E98" s="118"/>
      <c r="F98" s="118"/>
      <c r="G98" s="118"/>
      <c r="H98" s="118"/>
      <c r="I98" s="118"/>
      <c r="J98" s="118"/>
      <c r="K98" s="118"/>
      <c r="L98" s="118"/>
      <c r="M98" s="118"/>
      <c r="N98" s="118"/>
    </row>
    <row r="99" spans="1:14" ht="15.75" customHeight="1" x14ac:dyDescent="0.25">
      <c r="A99" s="119">
        <v>90</v>
      </c>
      <c r="B99" s="120"/>
      <c r="C99" s="120"/>
      <c r="D99" s="120"/>
      <c r="E99" s="120"/>
      <c r="F99" s="120"/>
      <c r="G99" s="120"/>
      <c r="H99" s="120"/>
      <c r="I99" s="120"/>
      <c r="J99" s="120"/>
      <c r="K99" s="120"/>
      <c r="L99" s="120"/>
      <c r="M99" s="120"/>
      <c r="N99" s="120"/>
    </row>
    <row r="100" spans="1:14" ht="15.75" customHeight="1" x14ac:dyDescent="0.25">
      <c r="A100" s="117">
        <v>91</v>
      </c>
      <c r="B100" s="118"/>
      <c r="C100" s="118"/>
      <c r="D100" s="118"/>
      <c r="E100" s="118"/>
      <c r="F100" s="118"/>
      <c r="G100" s="118"/>
      <c r="H100" s="118"/>
      <c r="I100" s="118"/>
      <c r="J100" s="118"/>
      <c r="K100" s="118"/>
      <c r="L100" s="118"/>
      <c r="M100" s="118"/>
      <c r="N100" s="118"/>
    </row>
    <row r="101" spans="1:14" ht="15.75" customHeight="1" x14ac:dyDescent="0.25">
      <c r="A101" s="119">
        <v>92</v>
      </c>
      <c r="B101" s="120"/>
      <c r="C101" s="120"/>
      <c r="D101" s="120"/>
      <c r="E101" s="120"/>
      <c r="F101" s="120"/>
      <c r="G101" s="120"/>
      <c r="H101" s="120"/>
      <c r="I101" s="120"/>
      <c r="J101" s="120"/>
      <c r="K101" s="120"/>
      <c r="L101" s="120"/>
      <c r="M101" s="120"/>
      <c r="N101" s="120"/>
    </row>
    <row r="102" spans="1:14" ht="15.75" customHeight="1" x14ac:dyDescent="0.25">
      <c r="A102" s="117">
        <v>93</v>
      </c>
      <c r="B102" s="118"/>
      <c r="C102" s="118"/>
      <c r="D102" s="118"/>
      <c r="E102" s="118"/>
      <c r="F102" s="118"/>
      <c r="G102" s="118"/>
      <c r="H102" s="118"/>
      <c r="I102" s="118"/>
      <c r="J102" s="118"/>
      <c r="K102" s="118"/>
      <c r="L102" s="118"/>
      <c r="M102" s="118"/>
      <c r="N102" s="118"/>
    </row>
    <row r="103" spans="1:14" ht="15.75" customHeight="1" x14ac:dyDescent="0.25">
      <c r="A103" s="119">
        <v>94</v>
      </c>
      <c r="B103" s="120"/>
      <c r="C103" s="120"/>
      <c r="D103" s="120"/>
      <c r="E103" s="120"/>
      <c r="F103" s="120"/>
      <c r="G103" s="120"/>
      <c r="H103" s="120"/>
      <c r="I103" s="120"/>
      <c r="J103" s="120"/>
      <c r="K103" s="120"/>
      <c r="L103" s="120"/>
      <c r="M103" s="120"/>
      <c r="N103" s="120"/>
    </row>
    <row r="104" spans="1:14" ht="15.75" customHeight="1" x14ac:dyDescent="0.25">
      <c r="A104" s="117">
        <v>95</v>
      </c>
      <c r="B104" s="118"/>
      <c r="C104" s="118"/>
      <c r="D104" s="118"/>
      <c r="E104" s="118"/>
      <c r="F104" s="118"/>
      <c r="G104" s="118"/>
      <c r="H104" s="118"/>
      <c r="I104" s="118"/>
      <c r="J104" s="118"/>
      <c r="K104" s="118"/>
      <c r="L104" s="118"/>
      <c r="M104" s="118"/>
      <c r="N104" s="118"/>
    </row>
    <row r="105" spans="1:14" ht="15.75" customHeight="1" x14ac:dyDescent="0.25">
      <c r="A105" s="119">
        <v>96</v>
      </c>
      <c r="B105" s="120"/>
      <c r="C105" s="120"/>
      <c r="D105" s="120"/>
      <c r="E105" s="120"/>
      <c r="F105" s="120"/>
      <c r="G105" s="120"/>
      <c r="H105" s="120"/>
      <c r="I105" s="120"/>
      <c r="J105" s="120"/>
      <c r="K105" s="120"/>
      <c r="L105" s="120"/>
      <c r="M105" s="120"/>
      <c r="N105" s="120"/>
    </row>
    <row r="106" spans="1:14" ht="15.75" customHeight="1" x14ac:dyDescent="0.25">
      <c r="A106" s="117">
        <v>97</v>
      </c>
      <c r="B106" s="118"/>
      <c r="C106" s="118"/>
      <c r="D106" s="118"/>
      <c r="E106" s="118"/>
      <c r="F106" s="118"/>
      <c r="G106" s="118"/>
      <c r="H106" s="118"/>
      <c r="I106" s="118"/>
      <c r="J106" s="118"/>
      <c r="K106" s="118"/>
      <c r="L106" s="118"/>
      <c r="M106" s="118"/>
      <c r="N106" s="118"/>
    </row>
    <row r="107" spans="1:14" ht="15.75" customHeight="1" x14ac:dyDescent="0.25">
      <c r="A107" s="119">
        <v>98</v>
      </c>
      <c r="B107" s="120"/>
      <c r="C107" s="120"/>
      <c r="D107" s="120"/>
      <c r="E107" s="120"/>
      <c r="F107" s="120"/>
      <c r="G107" s="120"/>
      <c r="H107" s="120"/>
      <c r="I107" s="120"/>
      <c r="J107" s="120"/>
      <c r="K107" s="120"/>
      <c r="L107" s="120"/>
      <c r="M107" s="120"/>
      <c r="N107" s="120"/>
    </row>
    <row r="108" spans="1:14" ht="15.75" customHeight="1" x14ac:dyDescent="0.25">
      <c r="A108" s="117">
        <v>99</v>
      </c>
      <c r="B108" s="118"/>
      <c r="C108" s="118"/>
      <c r="D108" s="118"/>
      <c r="E108" s="118"/>
      <c r="F108" s="118"/>
      <c r="G108" s="118"/>
      <c r="H108" s="118"/>
      <c r="I108" s="118"/>
      <c r="J108" s="118"/>
      <c r="K108" s="118"/>
      <c r="L108" s="118"/>
      <c r="M108" s="118"/>
      <c r="N108" s="118"/>
    </row>
    <row r="109" spans="1:14" ht="15.75" customHeight="1" x14ac:dyDescent="0.25">
      <c r="A109" s="119">
        <v>100</v>
      </c>
      <c r="B109" s="120"/>
      <c r="C109" s="120"/>
      <c r="D109" s="120"/>
      <c r="E109" s="120"/>
      <c r="F109" s="120"/>
      <c r="G109" s="120"/>
      <c r="H109" s="120"/>
      <c r="I109" s="120"/>
      <c r="J109" s="120"/>
      <c r="K109" s="120"/>
      <c r="L109" s="120"/>
      <c r="M109" s="120"/>
      <c r="N109" s="120"/>
    </row>
    <row r="110" spans="1:14" ht="15.75" customHeight="1" x14ac:dyDescent="0.25">
      <c r="A110" s="117">
        <v>101</v>
      </c>
      <c r="B110" s="118"/>
      <c r="C110" s="118"/>
      <c r="D110" s="118"/>
      <c r="E110" s="118"/>
      <c r="F110" s="118"/>
      <c r="G110" s="118"/>
      <c r="H110" s="118"/>
      <c r="I110" s="118"/>
      <c r="J110" s="118"/>
      <c r="K110" s="118"/>
      <c r="L110" s="118"/>
      <c r="M110" s="118"/>
      <c r="N110" s="118"/>
    </row>
    <row r="111" spans="1:14" ht="15.75" customHeight="1" x14ac:dyDescent="0.25">
      <c r="A111" s="119">
        <v>102</v>
      </c>
      <c r="B111" s="120"/>
      <c r="C111" s="120"/>
      <c r="D111" s="120"/>
      <c r="E111" s="120"/>
      <c r="F111" s="120"/>
      <c r="G111" s="120"/>
      <c r="H111" s="120"/>
      <c r="I111" s="120"/>
      <c r="J111" s="120"/>
      <c r="K111" s="120"/>
      <c r="L111" s="120"/>
      <c r="M111" s="120"/>
      <c r="N111" s="120"/>
    </row>
    <row r="112" spans="1:14" ht="15.75" customHeight="1" x14ac:dyDescent="0.25">
      <c r="A112" s="117">
        <v>103</v>
      </c>
      <c r="B112" s="118"/>
      <c r="C112" s="118"/>
      <c r="D112" s="118"/>
      <c r="E112" s="118"/>
      <c r="F112" s="118"/>
      <c r="G112" s="118"/>
      <c r="H112" s="118"/>
      <c r="I112" s="118"/>
      <c r="J112" s="118"/>
      <c r="K112" s="118"/>
      <c r="L112" s="118"/>
      <c r="M112" s="118"/>
      <c r="N112" s="118"/>
    </row>
    <row r="113" spans="1:14" ht="15.75" customHeight="1" x14ac:dyDescent="0.25">
      <c r="A113" s="119">
        <v>104</v>
      </c>
      <c r="B113" s="120"/>
      <c r="C113" s="120"/>
      <c r="D113" s="120"/>
      <c r="E113" s="120"/>
      <c r="F113" s="120"/>
      <c r="G113" s="120"/>
      <c r="H113" s="120"/>
      <c r="I113" s="120"/>
      <c r="J113" s="120"/>
      <c r="K113" s="120"/>
      <c r="L113" s="120"/>
      <c r="M113" s="120"/>
      <c r="N113" s="120"/>
    </row>
    <row r="114" spans="1:14" ht="15.75" customHeight="1" x14ac:dyDescent="0.25">
      <c r="A114" s="117">
        <v>105</v>
      </c>
      <c r="B114" s="118"/>
      <c r="C114" s="118"/>
      <c r="D114" s="118"/>
      <c r="E114" s="118"/>
      <c r="F114" s="118"/>
      <c r="G114" s="118"/>
      <c r="H114" s="118"/>
      <c r="I114" s="118"/>
      <c r="J114" s="118"/>
      <c r="K114" s="118"/>
      <c r="L114" s="118"/>
      <c r="M114" s="118"/>
      <c r="N114" s="118"/>
    </row>
    <row r="115" spans="1:14" ht="15.75" customHeight="1" x14ac:dyDescent="0.25">
      <c r="A115" s="119">
        <v>106</v>
      </c>
      <c r="B115" s="120"/>
      <c r="C115" s="120"/>
      <c r="D115" s="120"/>
      <c r="E115" s="120"/>
      <c r="F115" s="120"/>
      <c r="G115" s="120"/>
      <c r="H115" s="120"/>
      <c r="I115" s="120"/>
      <c r="J115" s="120"/>
      <c r="K115" s="120"/>
      <c r="L115" s="120"/>
      <c r="M115" s="120"/>
      <c r="N115" s="120"/>
    </row>
    <row r="116" spans="1:14" ht="15.75" customHeight="1" x14ac:dyDescent="0.25">
      <c r="A116" s="117">
        <v>107</v>
      </c>
      <c r="B116" s="118"/>
      <c r="C116" s="118"/>
      <c r="D116" s="118"/>
      <c r="E116" s="118"/>
      <c r="F116" s="118"/>
      <c r="G116" s="118"/>
      <c r="H116" s="118"/>
      <c r="I116" s="118"/>
      <c r="J116" s="118"/>
      <c r="K116" s="118"/>
      <c r="L116" s="118"/>
      <c r="M116" s="118"/>
      <c r="N116" s="118"/>
    </row>
    <row r="117" spans="1:14" ht="15.75" customHeight="1" x14ac:dyDescent="0.25">
      <c r="A117" s="119">
        <v>108</v>
      </c>
      <c r="B117" s="120"/>
      <c r="C117" s="120"/>
      <c r="D117" s="120"/>
      <c r="E117" s="120"/>
      <c r="F117" s="120"/>
      <c r="G117" s="120"/>
      <c r="H117" s="120"/>
      <c r="I117" s="120"/>
      <c r="J117" s="120"/>
      <c r="K117" s="120"/>
      <c r="L117" s="120"/>
      <c r="M117" s="120"/>
      <c r="N117" s="120"/>
    </row>
    <row r="118" spans="1:14" ht="15.75" customHeight="1" x14ac:dyDescent="0.25">
      <c r="A118" s="117">
        <v>109</v>
      </c>
      <c r="B118" s="118"/>
      <c r="C118" s="118"/>
      <c r="D118" s="118"/>
      <c r="E118" s="118"/>
      <c r="F118" s="118"/>
      <c r="G118" s="118"/>
      <c r="H118" s="118"/>
      <c r="I118" s="118"/>
      <c r="J118" s="118"/>
      <c r="K118" s="118"/>
      <c r="L118" s="118"/>
      <c r="M118" s="118"/>
      <c r="N118" s="118"/>
    </row>
    <row r="119" spans="1:14" ht="15.75" customHeight="1" x14ac:dyDescent="0.25">
      <c r="A119" s="119">
        <v>110</v>
      </c>
      <c r="B119" s="120"/>
      <c r="C119" s="120"/>
      <c r="D119" s="120"/>
      <c r="E119" s="120"/>
      <c r="F119" s="120"/>
      <c r="G119" s="120"/>
      <c r="H119" s="120"/>
      <c r="I119" s="120"/>
      <c r="J119" s="120"/>
      <c r="K119" s="120"/>
      <c r="L119" s="120"/>
      <c r="M119" s="120"/>
      <c r="N119" s="120"/>
    </row>
    <row r="120" spans="1:14" ht="15.75" customHeight="1" x14ac:dyDescent="0.25">
      <c r="A120" s="117">
        <v>111</v>
      </c>
      <c r="B120" s="118"/>
      <c r="C120" s="118"/>
      <c r="D120" s="118"/>
      <c r="E120" s="118"/>
      <c r="F120" s="118"/>
      <c r="G120" s="118"/>
      <c r="H120" s="118"/>
      <c r="I120" s="118"/>
      <c r="J120" s="118"/>
      <c r="K120" s="118"/>
      <c r="L120" s="118"/>
      <c r="M120" s="118"/>
      <c r="N120" s="118"/>
    </row>
    <row r="121" spans="1:14" ht="15.75" customHeight="1" x14ac:dyDescent="0.25">
      <c r="A121" s="119">
        <v>112</v>
      </c>
      <c r="B121" s="120"/>
      <c r="C121" s="120"/>
      <c r="D121" s="120"/>
      <c r="E121" s="120"/>
      <c r="F121" s="120"/>
      <c r="G121" s="120"/>
      <c r="H121" s="120"/>
      <c r="I121" s="120"/>
      <c r="J121" s="120"/>
      <c r="K121" s="120"/>
      <c r="L121" s="120"/>
      <c r="M121" s="120"/>
      <c r="N121" s="120"/>
    </row>
    <row r="122" spans="1:14" ht="15.75" customHeight="1" x14ac:dyDescent="0.25">
      <c r="A122" s="117">
        <v>113</v>
      </c>
      <c r="B122" s="118"/>
      <c r="C122" s="118"/>
      <c r="D122" s="118"/>
      <c r="E122" s="118"/>
      <c r="F122" s="118"/>
      <c r="G122" s="118"/>
      <c r="H122" s="118"/>
      <c r="I122" s="118"/>
      <c r="J122" s="118"/>
      <c r="K122" s="118"/>
      <c r="L122" s="118"/>
      <c r="M122" s="118"/>
      <c r="N122" s="118"/>
    </row>
    <row r="123" spans="1:14" ht="15.75" customHeight="1" x14ac:dyDescent="0.25">
      <c r="A123" s="119">
        <v>114</v>
      </c>
      <c r="B123" s="120"/>
      <c r="C123" s="120"/>
      <c r="D123" s="120"/>
      <c r="E123" s="120"/>
      <c r="F123" s="120"/>
      <c r="G123" s="120"/>
      <c r="H123" s="120"/>
      <c r="I123" s="120"/>
      <c r="J123" s="120"/>
      <c r="K123" s="120"/>
      <c r="L123" s="120"/>
      <c r="M123" s="120"/>
      <c r="N123" s="120"/>
    </row>
    <row r="124" spans="1:14" ht="15.75" customHeight="1" x14ac:dyDescent="0.25">
      <c r="A124" s="117">
        <v>115</v>
      </c>
      <c r="B124" s="118"/>
      <c r="C124" s="118"/>
      <c r="D124" s="118"/>
      <c r="E124" s="118"/>
      <c r="F124" s="118"/>
      <c r="G124" s="118"/>
      <c r="H124" s="118"/>
      <c r="I124" s="118"/>
      <c r="J124" s="118"/>
      <c r="K124" s="118"/>
      <c r="L124" s="118"/>
      <c r="M124" s="118"/>
      <c r="N124" s="118"/>
    </row>
    <row r="125" spans="1:14" ht="15.75" customHeight="1" x14ac:dyDescent="0.25">
      <c r="A125" s="119">
        <v>116</v>
      </c>
      <c r="B125" s="120"/>
      <c r="C125" s="120"/>
      <c r="D125" s="120"/>
      <c r="E125" s="120"/>
      <c r="F125" s="120"/>
      <c r="G125" s="120"/>
      <c r="H125" s="120"/>
      <c r="I125" s="120"/>
      <c r="J125" s="120"/>
      <c r="K125" s="120"/>
      <c r="L125" s="120"/>
      <c r="M125" s="120"/>
      <c r="N125" s="120"/>
    </row>
    <row r="126" spans="1:14" ht="15.75" customHeight="1" x14ac:dyDescent="0.25">
      <c r="A126" s="117">
        <v>117</v>
      </c>
      <c r="B126" s="118"/>
      <c r="C126" s="118"/>
      <c r="D126" s="118"/>
      <c r="E126" s="118"/>
      <c r="F126" s="118"/>
      <c r="G126" s="118"/>
      <c r="H126" s="118"/>
      <c r="I126" s="118"/>
      <c r="J126" s="118"/>
      <c r="K126" s="118"/>
      <c r="L126" s="118"/>
      <c r="M126" s="118"/>
      <c r="N126" s="118"/>
    </row>
    <row r="127" spans="1:14" ht="15.75" customHeight="1" x14ac:dyDescent="0.25">
      <c r="A127" s="119">
        <v>118</v>
      </c>
      <c r="B127" s="120"/>
      <c r="C127" s="120"/>
      <c r="D127" s="120"/>
      <c r="E127" s="120"/>
      <c r="F127" s="120"/>
      <c r="G127" s="120"/>
      <c r="H127" s="120"/>
      <c r="I127" s="120"/>
      <c r="J127" s="120"/>
      <c r="K127" s="120"/>
      <c r="L127" s="120"/>
      <c r="M127" s="120"/>
      <c r="N127" s="120"/>
    </row>
    <row r="128" spans="1:14" ht="15.75" customHeight="1" x14ac:dyDescent="0.25">
      <c r="A128" s="117">
        <v>119</v>
      </c>
      <c r="B128" s="118"/>
      <c r="C128" s="118"/>
      <c r="D128" s="118"/>
      <c r="E128" s="118"/>
      <c r="F128" s="118"/>
      <c r="G128" s="118"/>
      <c r="H128" s="118"/>
      <c r="I128" s="118"/>
      <c r="J128" s="118"/>
      <c r="K128" s="118"/>
      <c r="L128" s="118"/>
      <c r="M128" s="118"/>
      <c r="N128" s="118"/>
    </row>
    <row r="129" spans="1:14" ht="15.75" customHeight="1" x14ac:dyDescent="0.25">
      <c r="A129" s="119">
        <v>120</v>
      </c>
      <c r="B129" s="120"/>
      <c r="C129" s="120"/>
      <c r="D129" s="120"/>
      <c r="E129" s="120"/>
      <c r="F129" s="120"/>
      <c r="G129" s="120"/>
      <c r="H129" s="120"/>
      <c r="I129" s="120"/>
      <c r="J129" s="120"/>
      <c r="K129" s="120"/>
      <c r="L129" s="120"/>
      <c r="M129" s="120"/>
      <c r="N129" s="120"/>
    </row>
    <row r="130" spans="1:14" ht="15.75" customHeight="1" x14ac:dyDescent="0.25">
      <c r="A130" s="117">
        <v>121</v>
      </c>
      <c r="B130" s="118"/>
      <c r="C130" s="118"/>
      <c r="D130" s="118"/>
      <c r="E130" s="118"/>
      <c r="F130" s="118"/>
      <c r="G130" s="118"/>
      <c r="H130" s="118"/>
      <c r="I130" s="118"/>
      <c r="J130" s="118"/>
      <c r="K130" s="118"/>
      <c r="L130" s="118"/>
      <c r="M130" s="118"/>
      <c r="N130" s="118"/>
    </row>
    <row r="131" spans="1:14" ht="15.75" customHeight="1" x14ac:dyDescent="0.25">
      <c r="A131" s="119">
        <v>122</v>
      </c>
      <c r="B131" s="120"/>
      <c r="C131" s="120"/>
      <c r="D131" s="120"/>
      <c r="E131" s="120"/>
      <c r="F131" s="120"/>
      <c r="G131" s="120"/>
      <c r="H131" s="120"/>
      <c r="I131" s="120"/>
      <c r="J131" s="120"/>
      <c r="K131" s="120"/>
      <c r="L131" s="120"/>
      <c r="M131" s="120"/>
      <c r="N131" s="120"/>
    </row>
    <row r="132" spans="1:14" ht="15.75" customHeight="1" x14ac:dyDescent="0.25">
      <c r="A132" s="117">
        <v>123</v>
      </c>
      <c r="B132" s="118"/>
      <c r="C132" s="118"/>
      <c r="D132" s="118"/>
      <c r="E132" s="118"/>
      <c r="F132" s="118"/>
      <c r="G132" s="118"/>
      <c r="H132" s="118"/>
      <c r="I132" s="118"/>
      <c r="J132" s="118"/>
      <c r="K132" s="118"/>
      <c r="L132" s="118"/>
      <c r="M132" s="118"/>
      <c r="N132" s="118"/>
    </row>
    <row r="133" spans="1:14" ht="15.75" customHeight="1" x14ac:dyDescent="0.25">
      <c r="A133" s="119">
        <v>124</v>
      </c>
      <c r="B133" s="120"/>
      <c r="C133" s="120"/>
      <c r="D133" s="120"/>
      <c r="E133" s="120"/>
      <c r="F133" s="120"/>
      <c r="G133" s="120"/>
      <c r="H133" s="120"/>
      <c r="I133" s="120"/>
      <c r="J133" s="120"/>
      <c r="K133" s="120"/>
      <c r="L133" s="120"/>
      <c r="M133" s="120"/>
      <c r="N133" s="120"/>
    </row>
    <row r="134" spans="1:14" ht="15.75" customHeight="1" x14ac:dyDescent="0.25">
      <c r="A134" s="117">
        <v>125</v>
      </c>
      <c r="B134" s="118"/>
      <c r="C134" s="118"/>
      <c r="D134" s="118"/>
      <c r="E134" s="118"/>
      <c r="F134" s="118"/>
      <c r="G134" s="118"/>
      <c r="H134" s="118"/>
      <c r="I134" s="118"/>
      <c r="J134" s="118"/>
      <c r="K134" s="118"/>
      <c r="L134" s="118"/>
      <c r="M134" s="118"/>
      <c r="N134" s="118"/>
    </row>
    <row r="135" spans="1:14" ht="15.75" customHeight="1" x14ac:dyDescent="0.25">
      <c r="A135" s="119">
        <v>126</v>
      </c>
      <c r="B135" s="120"/>
      <c r="C135" s="120"/>
      <c r="D135" s="120"/>
      <c r="E135" s="120"/>
      <c r="F135" s="120"/>
      <c r="G135" s="120"/>
      <c r="H135" s="120"/>
      <c r="I135" s="120"/>
      <c r="J135" s="120"/>
      <c r="K135" s="120"/>
      <c r="L135" s="120"/>
      <c r="M135" s="120"/>
      <c r="N135" s="120"/>
    </row>
    <row r="136" spans="1:14" ht="15.75" customHeight="1" x14ac:dyDescent="0.25">
      <c r="A136" s="117">
        <v>127</v>
      </c>
      <c r="B136" s="118"/>
      <c r="C136" s="118"/>
      <c r="D136" s="118"/>
      <c r="E136" s="118"/>
      <c r="F136" s="118"/>
      <c r="G136" s="118"/>
      <c r="H136" s="118"/>
      <c r="I136" s="118"/>
      <c r="J136" s="118"/>
      <c r="K136" s="118"/>
      <c r="L136" s="118"/>
      <c r="M136" s="118"/>
      <c r="N136" s="118"/>
    </row>
    <row r="137" spans="1:14" ht="15.75" customHeight="1" x14ac:dyDescent="0.25">
      <c r="A137" s="119">
        <v>128</v>
      </c>
      <c r="B137" s="120"/>
      <c r="C137" s="120"/>
      <c r="D137" s="120"/>
      <c r="E137" s="120"/>
      <c r="F137" s="120"/>
      <c r="G137" s="120"/>
      <c r="H137" s="120"/>
      <c r="I137" s="120"/>
      <c r="J137" s="120"/>
      <c r="K137" s="120"/>
      <c r="L137" s="120"/>
      <c r="M137" s="120"/>
      <c r="N137" s="120"/>
    </row>
    <row r="138" spans="1:14" ht="15.75" customHeight="1" x14ac:dyDescent="0.25">
      <c r="A138" s="117">
        <v>129</v>
      </c>
      <c r="B138" s="118"/>
      <c r="C138" s="118"/>
      <c r="D138" s="118"/>
      <c r="E138" s="118"/>
      <c r="F138" s="118"/>
      <c r="G138" s="118"/>
      <c r="H138" s="118"/>
      <c r="I138" s="118"/>
      <c r="J138" s="118"/>
      <c r="K138" s="118"/>
      <c r="L138" s="118"/>
      <c r="M138" s="118"/>
      <c r="N138" s="118"/>
    </row>
    <row r="139" spans="1:14" ht="15.75" customHeight="1" x14ac:dyDescent="0.25">
      <c r="A139" s="119">
        <v>130</v>
      </c>
      <c r="B139" s="120"/>
      <c r="C139" s="120"/>
      <c r="D139" s="120"/>
      <c r="E139" s="120"/>
      <c r="F139" s="120"/>
      <c r="G139" s="120"/>
      <c r="H139" s="120"/>
      <c r="I139" s="120"/>
      <c r="J139" s="120"/>
      <c r="K139" s="120"/>
      <c r="L139" s="120"/>
      <c r="M139" s="120"/>
      <c r="N139" s="120"/>
    </row>
    <row r="140" spans="1:14" ht="15.75" customHeight="1" x14ac:dyDescent="0.25">
      <c r="A140" s="117">
        <v>131</v>
      </c>
      <c r="B140" s="118"/>
      <c r="C140" s="118"/>
      <c r="D140" s="118"/>
      <c r="E140" s="118"/>
      <c r="F140" s="118"/>
      <c r="G140" s="118"/>
      <c r="H140" s="118"/>
      <c r="I140" s="118"/>
      <c r="J140" s="118"/>
      <c r="K140" s="118"/>
      <c r="L140" s="118"/>
      <c r="M140" s="118"/>
      <c r="N140" s="118"/>
    </row>
    <row r="141" spans="1:14" ht="15.75" customHeight="1" x14ac:dyDescent="0.25">
      <c r="A141" s="119">
        <v>132</v>
      </c>
      <c r="B141" s="120"/>
      <c r="C141" s="120"/>
      <c r="D141" s="120"/>
      <c r="E141" s="120"/>
      <c r="F141" s="120"/>
      <c r="G141" s="120"/>
      <c r="H141" s="120"/>
      <c r="I141" s="120"/>
      <c r="J141" s="120"/>
      <c r="K141" s="120"/>
      <c r="L141" s="120"/>
      <c r="M141" s="120"/>
      <c r="N141" s="120"/>
    </row>
    <row r="142" spans="1:14" ht="15.75" customHeight="1" x14ac:dyDescent="0.25">
      <c r="A142" s="117">
        <v>133</v>
      </c>
      <c r="B142" s="118"/>
      <c r="C142" s="118"/>
      <c r="D142" s="118"/>
      <c r="E142" s="118"/>
      <c r="F142" s="118"/>
      <c r="G142" s="118"/>
      <c r="H142" s="118"/>
      <c r="I142" s="118"/>
      <c r="J142" s="118"/>
      <c r="K142" s="118"/>
      <c r="L142" s="118"/>
      <c r="M142" s="118"/>
      <c r="N142" s="118"/>
    </row>
    <row r="143" spans="1:14" ht="15.75" customHeight="1" x14ac:dyDescent="0.25">
      <c r="A143" s="119">
        <v>134</v>
      </c>
      <c r="B143" s="120"/>
      <c r="C143" s="120"/>
      <c r="D143" s="120"/>
      <c r="E143" s="120"/>
      <c r="F143" s="120"/>
      <c r="G143" s="120"/>
      <c r="H143" s="120"/>
      <c r="I143" s="120"/>
      <c r="J143" s="120"/>
      <c r="K143" s="120"/>
      <c r="L143" s="120"/>
      <c r="M143" s="120"/>
      <c r="N143" s="120"/>
    </row>
    <row r="144" spans="1:14" ht="15.75" customHeight="1" x14ac:dyDescent="0.25">
      <c r="A144" s="117">
        <v>135</v>
      </c>
      <c r="B144" s="118"/>
      <c r="C144" s="118"/>
      <c r="D144" s="118"/>
      <c r="E144" s="118"/>
      <c r="F144" s="118"/>
      <c r="G144" s="118"/>
      <c r="H144" s="118"/>
      <c r="I144" s="118"/>
      <c r="J144" s="118"/>
      <c r="K144" s="118"/>
      <c r="L144" s="118"/>
      <c r="M144" s="118"/>
      <c r="N144" s="118"/>
    </row>
    <row r="145" spans="1:14" ht="15.75" customHeight="1" x14ac:dyDescent="0.25">
      <c r="A145" s="119">
        <v>136</v>
      </c>
      <c r="B145" s="120"/>
      <c r="C145" s="120"/>
      <c r="D145" s="120"/>
      <c r="E145" s="120"/>
      <c r="F145" s="120"/>
      <c r="G145" s="120"/>
      <c r="H145" s="120"/>
      <c r="I145" s="120"/>
      <c r="J145" s="120"/>
      <c r="K145" s="120"/>
      <c r="L145" s="120"/>
      <c r="M145" s="120"/>
      <c r="N145" s="120"/>
    </row>
    <row r="146" spans="1:14" ht="15.75" customHeight="1" x14ac:dyDescent="0.25">
      <c r="A146" s="117">
        <v>137</v>
      </c>
      <c r="B146" s="118"/>
      <c r="C146" s="118"/>
      <c r="D146" s="118"/>
      <c r="E146" s="118"/>
      <c r="F146" s="118"/>
      <c r="G146" s="118"/>
      <c r="H146" s="118"/>
      <c r="I146" s="118"/>
      <c r="J146" s="118"/>
      <c r="K146" s="118"/>
      <c r="L146" s="118"/>
      <c r="M146" s="118"/>
      <c r="N146" s="118"/>
    </row>
    <row r="147" spans="1:14" ht="15.75" customHeight="1" x14ac:dyDescent="0.25">
      <c r="A147" s="119">
        <v>138</v>
      </c>
      <c r="B147" s="120"/>
      <c r="C147" s="120"/>
      <c r="D147" s="120"/>
      <c r="E147" s="120"/>
      <c r="F147" s="120"/>
      <c r="G147" s="120"/>
      <c r="H147" s="120"/>
      <c r="I147" s="120"/>
      <c r="J147" s="120"/>
      <c r="K147" s="120"/>
      <c r="L147" s="120"/>
      <c r="M147" s="120"/>
      <c r="N147" s="120"/>
    </row>
    <row r="148" spans="1:14" ht="15.75" customHeight="1" x14ac:dyDescent="0.25">
      <c r="A148" s="117">
        <v>139</v>
      </c>
      <c r="B148" s="118"/>
      <c r="C148" s="118"/>
      <c r="D148" s="118"/>
      <c r="E148" s="118"/>
      <c r="F148" s="118"/>
      <c r="G148" s="118"/>
      <c r="H148" s="118"/>
      <c r="I148" s="118"/>
      <c r="J148" s="118"/>
      <c r="K148" s="118"/>
      <c r="L148" s="118"/>
      <c r="M148" s="118"/>
      <c r="N148" s="118"/>
    </row>
    <row r="149" spans="1:14" ht="15.75" customHeight="1" x14ac:dyDescent="0.25">
      <c r="A149" s="119">
        <v>140</v>
      </c>
      <c r="B149" s="120"/>
      <c r="C149" s="120"/>
      <c r="D149" s="120"/>
      <c r="E149" s="120"/>
      <c r="F149" s="120"/>
      <c r="G149" s="120"/>
      <c r="H149" s="120"/>
      <c r="I149" s="120"/>
      <c r="J149" s="120"/>
      <c r="K149" s="120"/>
      <c r="L149" s="120"/>
      <c r="M149" s="120"/>
      <c r="N149" s="120"/>
    </row>
    <row r="150" spans="1:14" ht="15.75" customHeight="1" x14ac:dyDescent="0.25">
      <c r="A150" s="117">
        <v>141</v>
      </c>
      <c r="B150" s="118"/>
      <c r="C150" s="118"/>
      <c r="D150" s="118"/>
      <c r="E150" s="118"/>
      <c r="F150" s="118"/>
      <c r="G150" s="118"/>
      <c r="H150" s="118"/>
      <c r="I150" s="118"/>
      <c r="J150" s="118"/>
      <c r="K150" s="118"/>
      <c r="L150" s="118"/>
      <c r="M150" s="118"/>
      <c r="N150" s="118"/>
    </row>
    <row r="151" spans="1:14" ht="15.75" customHeight="1" x14ac:dyDescent="0.25">
      <c r="A151" s="119">
        <v>142</v>
      </c>
      <c r="B151" s="120"/>
      <c r="C151" s="120"/>
      <c r="D151" s="120"/>
      <c r="E151" s="120"/>
      <c r="F151" s="120"/>
      <c r="G151" s="120"/>
      <c r="H151" s="120"/>
      <c r="I151" s="120"/>
      <c r="J151" s="120"/>
      <c r="K151" s="120"/>
      <c r="L151" s="120"/>
      <c r="M151" s="120"/>
      <c r="N151" s="120"/>
    </row>
    <row r="152" spans="1:14" ht="15.75" customHeight="1" x14ac:dyDescent="0.25">
      <c r="A152" s="117">
        <v>143</v>
      </c>
      <c r="B152" s="118"/>
      <c r="C152" s="118"/>
      <c r="D152" s="118"/>
      <c r="E152" s="118"/>
      <c r="F152" s="118"/>
      <c r="G152" s="118"/>
      <c r="H152" s="118"/>
      <c r="I152" s="118"/>
      <c r="J152" s="118"/>
      <c r="K152" s="118"/>
      <c r="L152" s="118"/>
      <c r="M152" s="118"/>
      <c r="N152" s="118"/>
    </row>
    <row r="153" spans="1:14" ht="15.75" customHeight="1" x14ac:dyDescent="0.25">
      <c r="A153" s="119">
        <v>144</v>
      </c>
      <c r="B153" s="120"/>
      <c r="C153" s="120"/>
      <c r="D153" s="120"/>
      <c r="E153" s="120"/>
      <c r="F153" s="120"/>
      <c r="G153" s="120"/>
      <c r="H153" s="120"/>
      <c r="I153" s="120"/>
      <c r="J153" s="120"/>
      <c r="K153" s="120"/>
      <c r="L153" s="120"/>
      <c r="M153" s="120"/>
      <c r="N153" s="120"/>
    </row>
    <row r="154" spans="1:14" ht="15.75" customHeight="1" x14ac:dyDescent="0.25">
      <c r="A154" s="117">
        <v>145</v>
      </c>
      <c r="B154" s="118"/>
      <c r="C154" s="118"/>
      <c r="D154" s="118"/>
      <c r="E154" s="118"/>
      <c r="F154" s="118"/>
      <c r="G154" s="118"/>
      <c r="H154" s="118"/>
      <c r="I154" s="118"/>
      <c r="J154" s="118"/>
      <c r="K154" s="118"/>
      <c r="L154" s="118"/>
      <c r="M154" s="118"/>
      <c r="N154" s="118"/>
    </row>
    <row r="155" spans="1:14" ht="15.75" customHeight="1" x14ac:dyDescent="0.25">
      <c r="A155" s="119">
        <v>146</v>
      </c>
      <c r="B155" s="120"/>
      <c r="C155" s="120"/>
      <c r="D155" s="120"/>
      <c r="E155" s="120"/>
      <c r="F155" s="120"/>
      <c r="G155" s="120"/>
      <c r="H155" s="120"/>
      <c r="I155" s="120"/>
      <c r="J155" s="120"/>
      <c r="K155" s="120"/>
      <c r="L155" s="120"/>
      <c r="M155" s="120"/>
      <c r="N155" s="120"/>
    </row>
    <row r="156" spans="1:14" ht="15.75" customHeight="1" x14ac:dyDescent="0.25">
      <c r="A156" s="117">
        <v>147</v>
      </c>
      <c r="B156" s="118"/>
      <c r="C156" s="118"/>
      <c r="D156" s="118"/>
      <c r="E156" s="118"/>
      <c r="F156" s="118"/>
      <c r="G156" s="118"/>
      <c r="H156" s="118"/>
      <c r="I156" s="118"/>
      <c r="J156" s="118"/>
      <c r="K156" s="118"/>
      <c r="L156" s="118"/>
      <c r="M156" s="118"/>
      <c r="N156" s="118"/>
    </row>
    <row r="157" spans="1:14" ht="15.75" customHeight="1" x14ac:dyDescent="0.25">
      <c r="A157" s="119">
        <v>148</v>
      </c>
      <c r="B157" s="120"/>
      <c r="C157" s="120"/>
      <c r="D157" s="120"/>
      <c r="E157" s="120"/>
      <c r="F157" s="120"/>
      <c r="G157" s="120"/>
      <c r="H157" s="120"/>
      <c r="I157" s="120"/>
      <c r="J157" s="120"/>
      <c r="K157" s="120"/>
      <c r="L157" s="120"/>
      <c r="M157" s="120"/>
      <c r="N157" s="120"/>
    </row>
    <row r="158" spans="1:14" ht="15.75" customHeight="1" x14ac:dyDescent="0.25">
      <c r="A158" s="117">
        <v>149</v>
      </c>
      <c r="B158" s="118"/>
      <c r="C158" s="118"/>
      <c r="D158" s="118"/>
      <c r="E158" s="118"/>
      <c r="F158" s="118"/>
      <c r="G158" s="118"/>
      <c r="H158" s="118"/>
      <c r="I158" s="118"/>
      <c r="J158" s="118"/>
      <c r="K158" s="118"/>
      <c r="L158" s="118"/>
      <c r="M158" s="118"/>
      <c r="N158" s="118"/>
    </row>
    <row r="159" spans="1:14" ht="15.75" customHeight="1" x14ac:dyDescent="0.25">
      <c r="A159" s="119">
        <v>150</v>
      </c>
      <c r="B159" s="120"/>
      <c r="C159" s="120"/>
      <c r="D159" s="120"/>
      <c r="E159" s="120"/>
      <c r="F159" s="120"/>
      <c r="G159" s="120"/>
      <c r="H159" s="120"/>
      <c r="I159" s="120"/>
      <c r="J159" s="120"/>
      <c r="K159" s="120"/>
      <c r="L159" s="120"/>
      <c r="M159" s="120"/>
      <c r="N159" s="120"/>
    </row>
    <row r="160" spans="1:14" ht="15.75" customHeight="1" x14ac:dyDescent="0.25">
      <c r="A160" s="117">
        <v>151</v>
      </c>
      <c r="B160" s="118"/>
      <c r="C160" s="118"/>
      <c r="D160" s="118"/>
      <c r="E160" s="118"/>
      <c r="F160" s="118"/>
      <c r="G160" s="118"/>
      <c r="H160" s="118"/>
      <c r="I160" s="118"/>
      <c r="J160" s="118"/>
      <c r="K160" s="118"/>
      <c r="L160" s="118"/>
      <c r="M160" s="118"/>
      <c r="N160" s="118"/>
    </row>
    <row r="161" spans="1:14" ht="15.75" customHeight="1" x14ac:dyDescent="0.25">
      <c r="A161" s="119">
        <v>152</v>
      </c>
      <c r="B161" s="120"/>
      <c r="C161" s="120"/>
      <c r="D161" s="120"/>
      <c r="E161" s="120"/>
      <c r="F161" s="120"/>
      <c r="G161" s="120"/>
      <c r="H161" s="120"/>
      <c r="I161" s="120"/>
      <c r="J161" s="120"/>
      <c r="K161" s="120"/>
      <c r="L161" s="120"/>
      <c r="M161" s="120"/>
      <c r="N161" s="120"/>
    </row>
    <row r="162" spans="1:14" ht="15.75" customHeight="1" x14ac:dyDescent="0.25">
      <c r="A162" s="117">
        <v>153</v>
      </c>
      <c r="B162" s="118"/>
      <c r="C162" s="118"/>
      <c r="D162" s="118"/>
      <c r="E162" s="118"/>
      <c r="F162" s="118"/>
      <c r="G162" s="118"/>
      <c r="H162" s="118"/>
      <c r="I162" s="118"/>
      <c r="J162" s="118"/>
      <c r="K162" s="118"/>
      <c r="L162" s="118"/>
      <c r="M162" s="118"/>
      <c r="N162" s="118"/>
    </row>
    <row r="163" spans="1:14" ht="15.75" customHeight="1" x14ac:dyDescent="0.25">
      <c r="A163" s="119">
        <v>154</v>
      </c>
      <c r="B163" s="120"/>
      <c r="C163" s="120"/>
      <c r="D163" s="120"/>
      <c r="E163" s="120"/>
      <c r="F163" s="120"/>
      <c r="G163" s="120"/>
      <c r="H163" s="120"/>
      <c r="I163" s="120"/>
      <c r="J163" s="120"/>
      <c r="K163" s="120"/>
      <c r="L163" s="120"/>
      <c r="M163" s="120"/>
      <c r="N163" s="120"/>
    </row>
    <row r="164" spans="1:14" ht="15.75" customHeight="1" x14ac:dyDescent="0.25">
      <c r="A164" s="117">
        <v>155</v>
      </c>
      <c r="B164" s="118"/>
      <c r="C164" s="118"/>
      <c r="D164" s="118"/>
      <c r="E164" s="118"/>
      <c r="F164" s="118"/>
      <c r="G164" s="118"/>
      <c r="H164" s="118"/>
      <c r="I164" s="118"/>
      <c r="J164" s="118"/>
      <c r="K164" s="118"/>
      <c r="L164" s="118"/>
      <c r="M164" s="118"/>
      <c r="N164" s="118"/>
    </row>
    <row r="165" spans="1:14" ht="15.75" customHeight="1" x14ac:dyDescent="0.25">
      <c r="A165" s="119">
        <v>156</v>
      </c>
      <c r="B165" s="120"/>
      <c r="C165" s="120"/>
      <c r="D165" s="120"/>
      <c r="E165" s="120"/>
      <c r="F165" s="120"/>
      <c r="G165" s="120"/>
      <c r="H165" s="120"/>
      <c r="I165" s="120"/>
      <c r="J165" s="120"/>
      <c r="K165" s="120"/>
      <c r="L165" s="120"/>
      <c r="M165" s="120"/>
      <c r="N165" s="120"/>
    </row>
    <row r="166" spans="1:14" ht="15.75" customHeight="1" x14ac:dyDescent="0.25">
      <c r="A166" s="117">
        <v>157</v>
      </c>
      <c r="B166" s="118"/>
      <c r="C166" s="118"/>
      <c r="D166" s="118"/>
      <c r="E166" s="118"/>
      <c r="F166" s="118"/>
      <c r="G166" s="118"/>
      <c r="H166" s="118"/>
      <c r="I166" s="118"/>
      <c r="J166" s="118"/>
      <c r="K166" s="118"/>
      <c r="L166" s="118"/>
      <c r="M166" s="118"/>
      <c r="N166" s="118"/>
    </row>
    <row r="167" spans="1:14" ht="15.75" customHeight="1" x14ac:dyDescent="0.25">
      <c r="A167" s="119">
        <v>158</v>
      </c>
      <c r="B167" s="120"/>
      <c r="C167" s="120"/>
      <c r="D167" s="120"/>
      <c r="E167" s="120"/>
      <c r="F167" s="120"/>
      <c r="G167" s="120"/>
      <c r="H167" s="120"/>
      <c r="I167" s="120"/>
      <c r="J167" s="120"/>
      <c r="K167" s="120"/>
      <c r="L167" s="120"/>
      <c r="M167" s="120"/>
      <c r="N167" s="120"/>
    </row>
    <row r="168" spans="1:14" ht="15.75" customHeight="1" x14ac:dyDescent="0.25">
      <c r="A168" s="117">
        <v>159</v>
      </c>
      <c r="B168" s="118"/>
      <c r="C168" s="118"/>
      <c r="D168" s="118"/>
      <c r="E168" s="118"/>
      <c r="F168" s="118"/>
      <c r="G168" s="118"/>
      <c r="H168" s="118"/>
      <c r="I168" s="118"/>
      <c r="J168" s="118"/>
      <c r="K168" s="118"/>
      <c r="L168" s="118"/>
      <c r="M168" s="118"/>
      <c r="N168" s="118"/>
    </row>
    <row r="169" spans="1:14" ht="15.75" customHeight="1" x14ac:dyDescent="0.25">
      <c r="A169" s="119">
        <v>160</v>
      </c>
      <c r="B169" s="120"/>
      <c r="C169" s="120"/>
      <c r="D169" s="120"/>
      <c r="E169" s="120"/>
      <c r="F169" s="120"/>
      <c r="G169" s="120"/>
      <c r="H169" s="120"/>
      <c r="I169" s="120"/>
      <c r="J169" s="120"/>
      <c r="K169" s="120"/>
      <c r="L169" s="120"/>
      <c r="M169" s="120"/>
      <c r="N169" s="120"/>
    </row>
    <row r="170" spans="1:14" ht="15.75" customHeight="1" x14ac:dyDescent="0.25">
      <c r="A170" s="117">
        <v>161</v>
      </c>
      <c r="B170" s="118"/>
      <c r="C170" s="118"/>
      <c r="D170" s="118"/>
      <c r="E170" s="118"/>
      <c r="F170" s="118"/>
      <c r="G170" s="118"/>
      <c r="H170" s="118"/>
      <c r="I170" s="118"/>
      <c r="J170" s="118"/>
      <c r="K170" s="118"/>
      <c r="L170" s="118"/>
      <c r="M170" s="118"/>
      <c r="N170" s="118"/>
    </row>
    <row r="171" spans="1:14" ht="15.75" customHeight="1" x14ac:dyDescent="0.25">
      <c r="A171" s="119">
        <v>162</v>
      </c>
      <c r="B171" s="120"/>
      <c r="C171" s="120"/>
      <c r="D171" s="120"/>
      <c r="E171" s="120"/>
      <c r="F171" s="120"/>
      <c r="G171" s="120"/>
      <c r="H171" s="120"/>
      <c r="I171" s="120"/>
      <c r="J171" s="120"/>
      <c r="K171" s="120"/>
      <c r="L171" s="120"/>
      <c r="M171" s="120"/>
      <c r="N171" s="120"/>
    </row>
    <row r="172" spans="1:14" ht="15.75" customHeight="1" x14ac:dyDescent="0.25">
      <c r="A172" s="117">
        <v>163</v>
      </c>
      <c r="B172" s="118"/>
      <c r="C172" s="118"/>
      <c r="D172" s="118"/>
      <c r="E172" s="118"/>
      <c r="F172" s="118"/>
      <c r="G172" s="118"/>
      <c r="H172" s="118"/>
      <c r="I172" s="118"/>
      <c r="J172" s="118"/>
      <c r="K172" s="118"/>
      <c r="L172" s="118"/>
      <c r="M172" s="118"/>
      <c r="N172" s="118"/>
    </row>
    <row r="173" spans="1:14" ht="15.75" customHeight="1" x14ac:dyDescent="0.25">
      <c r="A173" s="119">
        <v>164</v>
      </c>
      <c r="B173" s="120"/>
      <c r="C173" s="120"/>
      <c r="D173" s="120"/>
      <c r="E173" s="120"/>
      <c r="F173" s="120"/>
      <c r="G173" s="120"/>
      <c r="H173" s="120"/>
      <c r="I173" s="120"/>
      <c r="J173" s="120"/>
      <c r="K173" s="120"/>
      <c r="L173" s="120"/>
      <c r="M173" s="120"/>
      <c r="N173" s="120"/>
    </row>
    <row r="174" spans="1:14" ht="15.75" customHeight="1" x14ac:dyDescent="0.25">
      <c r="A174" s="117">
        <v>165</v>
      </c>
      <c r="B174" s="118"/>
      <c r="C174" s="118"/>
      <c r="D174" s="118"/>
      <c r="E174" s="118"/>
      <c r="F174" s="118"/>
      <c r="G174" s="118"/>
      <c r="H174" s="118"/>
      <c r="I174" s="118"/>
      <c r="J174" s="118"/>
      <c r="K174" s="118"/>
      <c r="L174" s="118"/>
      <c r="M174" s="118"/>
      <c r="N174" s="118"/>
    </row>
    <row r="175" spans="1:14" ht="15.75" customHeight="1" x14ac:dyDescent="0.25">
      <c r="A175" s="119">
        <v>166</v>
      </c>
      <c r="B175" s="120"/>
      <c r="C175" s="120"/>
      <c r="D175" s="120"/>
      <c r="E175" s="120"/>
      <c r="F175" s="120"/>
      <c r="G175" s="120"/>
      <c r="H175" s="120"/>
      <c r="I175" s="120"/>
      <c r="J175" s="120"/>
      <c r="K175" s="120"/>
      <c r="L175" s="120"/>
      <c r="M175" s="120"/>
      <c r="N175" s="120"/>
    </row>
    <row r="176" spans="1:14" ht="15.75" customHeight="1" x14ac:dyDescent="0.25">
      <c r="A176" s="117">
        <v>167</v>
      </c>
      <c r="B176" s="118"/>
      <c r="C176" s="118"/>
      <c r="D176" s="118"/>
      <c r="E176" s="118"/>
      <c r="F176" s="118"/>
      <c r="G176" s="118"/>
      <c r="H176" s="118"/>
      <c r="I176" s="118"/>
      <c r="J176" s="118"/>
      <c r="K176" s="118"/>
      <c r="L176" s="118"/>
      <c r="M176" s="118"/>
      <c r="N176" s="118"/>
    </row>
    <row r="177" spans="1:14" ht="15.75" customHeight="1" x14ac:dyDescent="0.25">
      <c r="A177" s="119">
        <v>168</v>
      </c>
      <c r="B177" s="120"/>
      <c r="C177" s="120"/>
      <c r="D177" s="120"/>
      <c r="E177" s="120"/>
      <c r="F177" s="120"/>
      <c r="G177" s="120"/>
      <c r="H177" s="120"/>
      <c r="I177" s="120"/>
      <c r="J177" s="120"/>
      <c r="K177" s="120"/>
      <c r="L177" s="120"/>
      <c r="M177" s="120"/>
      <c r="N177" s="120"/>
    </row>
    <row r="178" spans="1:14" ht="15.75" customHeight="1" x14ac:dyDescent="0.25">
      <c r="A178" s="117">
        <v>169</v>
      </c>
      <c r="B178" s="118"/>
      <c r="C178" s="118"/>
      <c r="D178" s="118"/>
      <c r="E178" s="118"/>
      <c r="F178" s="118"/>
      <c r="G178" s="118"/>
      <c r="H178" s="118"/>
      <c r="I178" s="118"/>
      <c r="J178" s="118"/>
      <c r="K178" s="118"/>
      <c r="L178" s="118"/>
      <c r="M178" s="118"/>
      <c r="N178" s="118"/>
    </row>
    <row r="179" spans="1:14" ht="15.75" customHeight="1" x14ac:dyDescent="0.25">
      <c r="A179" s="119">
        <v>170</v>
      </c>
      <c r="B179" s="120"/>
      <c r="C179" s="120"/>
      <c r="D179" s="120"/>
      <c r="E179" s="120"/>
      <c r="F179" s="120"/>
      <c r="G179" s="120"/>
      <c r="H179" s="120"/>
      <c r="I179" s="120"/>
      <c r="J179" s="120"/>
      <c r="K179" s="120"/>
      <c r="L179" s="120"/>
      <c r="M179" s="120"/>
      <c r="N179" s="120"/>
    </row>
    <row r="180" spans="1:14" ht="15.75" customHeight="1" x14ac:dyDescent="0.25">
      <c r="A180" s="117">
        <v>171</v>
      </c>
      <c r="B180" s="118"/>
      <c r="C180" s="118"/>
      <c r="D180" s="118"/>
      <c r="E180" s="118"/>
      <c r="F180" s="118"/>
      <c r="G180" s="118"/>
      <c r="H180" s="118"/>
      <c r="I180" s="118"/>
      <c r="J180" s="118"/>
      <c r="K180" s="118"/>
      <c r="L180" s="118"/>
      <c r="M180" s="118"/>
      <c r="N180" s="118"/>
    </row>
    <row r="181" spans="1:14" ht="15.75" customHeight="1" x14ac:dyDescent="0.25">
      <c r="A181" s="119">
        <v>172</v>
      </c>
      <c r="B181" s="120"/>
      <c r="C181" s="120"/>
      <c r="D181" s="120"/>
      <c r="E181" s="120"/>
      <c r="F181" s="120"/>
      <c r="G181" s="120"/>
      <c r="H181" s="120"/>
      <c r="I181" s="120"/>
      <c r="J181" s="120"/>
      <c r="K181" s="120"/>
      <c r="L181" s="120"/>
      <c r="M181" s="120"/>
      <c r="N181" s="120"/>
    </row>
    <row r="182" spans="1:14" ht="15.75" customHeight="1" x14ac:dyDescent="0.25">
      <c r="A182" s="117">
        <v>173</v>
      </c>
      <c r="B182" s="118"/>
      <c r="C182" s="118"/>
      <c r="D182" s="118"/>
      <c r="E182" s="118"/>
      <c r="F182" s="118"/>
      <c r="G182" s="118"/>
      <c r="H182" s="118"/>
      <c r="I182" s="118"/>
      <c r="J182" s="118"/>
      <c r="K182" s="118"/>
      <c r="L182" s="118"/>
      <c r="M182" s="118"/>
      <c r="N182" s="118"/>
    </row>
    <row r="183" spans="1:14" ht="15.75" customHeight="1" x14ac:dyDescent="0.25">
      <c r="A183" s="119">
        <v>174</v>
      </c>
      <c r="B183" s="120"/>
      <c r="C183" s="120"/>
      <c r="D183" s="120"/>
      <c r="E183" s="120"/>
      <c r="F183" s="120"/>
      <c r="G183" s="120"/>
      <c r="H183" s="120"/>
      <c r="I183" s="120"/>
      <c r="J183" s="120"/>
      <c r="K183" s="120"/>
      <c r="L183" s="120"/>
      <c r="M183" s="120"/>
      <c r="N183" s="120"/>
    </row>
    <row r="184" spans="1:14" ht="15.75" customHeight="1" x14ac:dyDescent="0.25">
      <c r="A184" s="117">
        <v>175</v>
      </c>
      <c r="B184" s="118"/>
      <c r="C184" s="118"/>
      <c r="D184" s="118"/>
      <c r="E184" s="118"/>
      <c r="F184" s="118"/>
      <c r="G184" s="118"/>
      <c r="H184" s="118"/>
      <c r="I184" s="118"/>
      <c r="J184" s="118"/>
      <c r="K184" s="118"/>
      <c r="L184" s="118"/>
      <c r="M184" s="118"/>
      <c r="N184" s="118"/>
    </row>
    <row r="185" spans="1:14" ht="15.75" customHeight="1" x14ac:dyDescent="0.25">
      <c r="A185" s="119">
        <v>176</v>
      </c>
      <c r="B185" s="120"/>
      <c r="C185" s="120"/>
      <c r="D185" s="120"/>
      <c r="E185" s="120"/>
      <c r="F185" s="120"/>
      <c r="G185" s="120"/>
      <c r="H185" s="120"/>
      <c r="I185" s="120"/>
      <c r="J185" s="120"/>
      <c r="K185" s="120"/>
      <c r="L185" s="120"/>
      <c r="M185" s="120"/>
      <c r="N185" s="120"/>
    </row>
    <row r="186" spans="1:14" ht="15.75" customHeight="1" x14ac:dyDescent="0.25">
      <c r="A186" s="117">
        <v>177</v>
      </c>
      <c r="B186" s="118"/>
      <c r="C186" s="118"/>
      <c r="D186" s="118"/>
      <c r="E186" s="118"/>
      <c r="F186" s="118"/>
      <c r="G186" s="118"/>
      <c r="H186" s="118"/>
      <c r="I186" s="118"/>
      <c r="J186" s="118"/>
      <c r="K186" s="118"/>
      <c r="L186" s="118"/>
      <c r="M186" s="118"/>
      <c r="N186" s="118"/>
    </row>
    <row r="187" spans="1:14" ht="15.75" customHeight="1" x14ac:dyDescent="0.25">
      <c r="A187" s="119">
        <v>178</v>
      </c>
      <c r="B187" s="120"/>
      <c r="C187" s="120"/>
      <c r="D187" s="120"/>
      <c r="E187" s="120"/>
      <c r="F187" s="120"/>
      <c r="G187" s="120"/>
      <c r="H187" s="120"/>
      <c r="I187" s="120"/>
      <c r="J187" s="120"/>
      <c r="K187" s="120"/>
      <c r="L187" s="120"/>
      <c r="M187" s="120"/>
      <c r="N187" s="120"/>
    </row>
    <row r="188" spans="1:14" ht="15.75" customHeight="1" x14ac:dyDescent="0.25">
      <c r="A188" s="117">
        <v>179</v>
      </c>
      <c r="B188" s="118"/>
      <c r="C188" s="118"/>
      <c r="D188" s="118"/>
      <c r="E188" s="118"/>
      <c r="F188" s="118"/>
      <c r="G188" s="118"/>
      <c r="H188" s="118"/>
      <c r="I188" s="118"/>
      <c r="J188" s="118"/>
      <c r="K188" s="118"/>
      <c r="L188" s="118"/>
      <c r="M188" s="118"/>
      <c r="N188" s="118"/>
    </row>
    <row r="189" spans="1:14" ht="15.75" customHeight="1" x14ac:dyDescent="0.25">
      <c r="A189" s="119">
        <v>180</v>
      </c>
      <c r="B189" s="120"/>
      <c r="C189" s="120"/>
      <c r="D189" s="120"/>
      <c r="E189" s="120"/>
      <c r="F189" s="120"/>
      <c r="G189" s="120"/>
      <c r="H189" s="120"/>
      <c r="I189" s="120"/>
      <c r="J189" s="120"/>
      <c r="K189" s="120"/>
      <c r="L189" s="120"/>
      <c r="M189" s="120"/>
      <c r="N189" s="120"/>
    </row>
    <row r="190" spans="1:14" ht="15.75" customHeight="1" x14ac:dyDescent="0.25">
      <c r="A190" s="117">
        <v>181</v>
      </c>
      <c r="B190" s="118"/>
      <c r="C190" s="118"/>
      <c r="D190" s="118"/>
      <c r="E190" s="118"/>
      <c r="F190" s="118"/>
      <c r="G190" s="118"/>
      <c r="H190" s="118"/>
      <c r="I190" s="118"/>
      <c r="J190" s="118"/>
      <c r="K190" s="118"/>
      <c r="L190" s="118"/>
      <c r="M190" s="118"/>
      <c r="N190" s="118"/>
    </row>
    <row r="191" spans="1:14" ht="15.75" customHeight="1" x14ac:dyDescent="0.25">
      <c r="A191" s="119">
        <v>182</v>
      </c>
      <c r="B191" s="120"/>
      <c r="C191" s="120"/>
      <c r="D191" s="120"/>
      <c r="E191" s="120"/>
      <c r="F191" s="120"/>
      <c r="G191" s="120"/>
      <c r="H191" s="120"/>
      <c r="I191" s="120"/>
      <c r="J191" s="120"/>
      <c r="K191" s="120"/>
      <c r="L191" s="120"/>
      <c r="M191" s="120"/>
      <c r="N191" s="120"/>
    </row>
    <row r="192" spans="1:14" ht="15.75" customHeight="1" x14ac:dyDescent="0.25">
      <c r="A192" s="117">
        <v>183</v>
      </c>
      <c r="B192" s="118"/>
      <c r="C192" s="118"/>
      <c r="D192" s="118"/>
      <c r="E192" s="118"/>
      <c r="F192" s="118"/>
      <c r="G192" s="118"/>
      <c r="H192" s="118"/>
      <c r="I192" s="118"/>
      <c r="J192" s="118"/>
      <c r="K192" s="118"/>
      <c r="L192" s="118"/>
      <c r="M192" s="118"/>
      <c r="N192" s="118"/>
    </row>
    <row r="193" spans="1:14" ht="15.75" customHeight="1" x14ac:dyDescent="0.25">
      <c r="A193" s="119">
        <v>184</v>
      </c>
      <c r="B193" s="120"/>
      <c r="C193" s="120"/>
      <c r="D193" s="120"/>
      <c r="E193" s="120"/>
      <c r="F193" s="120"/>
      <c r="G193" s="120"/>
      <c r="H193" s="120"/>
      <c r="I193" s="120"/>
      <c r="J193" s="120"/>
      <c r="K193" s="120"/>
      <c r="L193" s="120"/>
      <c r="M193" s="120"/>
      <c r="N193" s="120"/>
    </row>
    <row r="194" spans="1:14" ht="15.75" customHeight="1" x14ac:dyDescent="0.25">
      <c r="A194" s="117">
        <v>185</v>
      </c>
      <c r="B194" s="118"/>
      <c r="C194" s="118"/>
      <c r="D194" s="118"/>
      <c r="E194" s="118"/>
      <c r="F194" s="118"/>
      <c r="G194" s="118"/>
      <c r="H194" s="118"/>
      <c r="I194" s="118"/>
      <c r="J194" s="118"/>
      <c r="K194" s="118"/>
      <c r="L194" s="118"/>
      <c r="M194" s="118"/>
      <c r="N194" s="118"/>
    </row>
    <row r="195" spans="1:14" ht="15.75" customHeight="1" x14ac:dyDescent="0.25">
      <c r="A195" s="119">
        <v>186</v>
      </c>
      <c r="B195" s="120"/>
      <c r="C195" s="120"/>
      <c r="D195" s="120"/>
      <c r="E195" s="120"/>
      <c r="F195" s="120"/>
      <c r="G195" s="120"/>
      <c r="H195" s="120"/>
      <c r="I195" s="120"/>
      <c r="J195" s="120"/>
      <c r="K195" s="120"/>
      <c r="L195" s="120"/>
      <c r="M195" s="120"/>
      <c r="N195" s="120"/>
    </row>
    <row r="196" spans="1:14" ht="15.75" customHeight="1" x14ac:dyDescent="0.25">
      <c r="A196" s="117">
        <v>187</v>
      </c>
      <c r="B196" s="118"/>
      <c r="C196" s="118"/>
      <c r="D196" s="118"/>
      <c r="E196" s="118"/>
      <c r="F196" s="118"/>
      <c r="G196" s="118"/>
      <c r="H196" s="118"/>
      <c r="I196" s="118"/>
      <c r="J196" s="118"/>
      <c r="K196" s="118"/>
      <c r="L196" s="118"/>
      <c r="M196" s="118"/>
      <c r="N196" s="118"/>
    </row>
    <row r="197" spans="1:14" ht="15.75" customHeight="1" x14ac:dyDescent="0.25">
      <c r="A197" s="119">
        <v>188</v>
      </c>
      <c r="B197" s="120"/>
      <c r="C197" s="120"/>
      <c r="D197" s="120"/>
      <c r="E197" s="120"/>
      <c r="F197" s="120"/>
      <c r="G197" s="120"/>
      <c r="H197" s="120"/>
      <c r="I197" s="120"/>
      <c r="J197" s="120"/>
      <c r="K197" s="120"/>
      <c r="L197" s="120"/>
      <c r="M197" s="120"/>
      <c r="N197" s="120"/>
    </row>
    <row r="198" spans="1:14" ht="15.75" customHeight="1" x14ac:dyDescent="0.25">
      <c r="A198" s="117">
        <v>189</v>
      </c>
      <c r="B198" s="118"/>
      <c r="C198" s="118"/>
      <c r="D198" s="118"/>
      <c r="E198" s="118"/>
      <c r="F198" s="118"/>
      <c r="G198" s="118"/>
      <c r="H198" s="118"/>
      <c r="I198" s="118"/>
      <c r="J198" s="118"/>
      <c r="K198" s="118"/>
      <c r="L198" s="118"/>
      <c r="M198" s="118"/>
      <c r="N198" s="118"/>
    </row>
    <row r="199" spans="1:14" ht="15.75" customHeight="1" x14ac:dyDescent="0.25">
      <c r="A199" s="119">
        <v>190</v>
      </c>
      <c r="B199" s="120"/>
      <c r="C199" s="120"/>
      <c r="D199" s="120"/>
      <c r="E199" s="120"/>
      <c r="F199" s="120"/>
      <c r="G199" s="120"/>
      <c r="H199" s="120"/>
      <c r="I199" s="120"/>
      <c r="J199" s="120"/>
      <c r="K199" s="120"/>
      <c r="L199" s="120"/>
      <c r="M199" s="120"/>
      <c r="N199" s="120"/>
    </row>
    <row r="200" spans="1:14" ht="15.75" customHeight="1" x14ac:dyDescent="0.25">
      <c r="A200" s="117">
        <v>191</v>
      </c>
      <c r="B200" s="118"/>
      <c r="C200" s="118"/>
      <c r="D200" s="118"/>
      <c r="E200" s="118"/>
      <c r="F200" s="118"/>
      <c r="G200" s="118"/>
      <c r="H200" s="118"/>
      <c r="I200" s="118"/>
      <c r="J200" s="118"/>
      <c r="K200" s="118"/>
      <c r="L200" s="118"/>
      <c r="M200" s="118"/>
      <c r="N200" s="118"/>
    </row>
    <row r="201" spans="1:14" ht="15.75" customHeight="1" x14ac:dyDescent="0.25">
      <c r="A201" s="119">
        <v>192</v>
      </c>
      <c r="B201" s="120"/>
      <c r="C201" s="120"/>
      <c r="D201" s="120"/>
      <c r="E201" s="120"/>
      <c r="F201" s="120"/>
      <c r="G201" s="120"/>
      <c r="H201" s="120"/>
      <c r="I201" s="120"/>
      <c r="J201" s="120"/>
      <c r="K201" s="120"/>
      <c r="L201" s="120"/>
      <c r="M201" s="120"/>
      <c r="N201" s="120"/>
    </row>
    <row r="202" spans="1:14" ht="15.75" customHeight="1" x14ac:dyDescent="0.25">
      <c r="A202" s="117">
        <v>193</v>
      </c>
      <c r="B202" s="118"/>
      <c r="C202" s="118"/>
      <c r="D202" s="118"/>
      <c r="E202" s="118"/>
      <c r="F202" s="118"/>
      <c r="G202" s="118"/>
      <c r="H202" s="118"/>
      <c r="I202" s="118"/>
      <c r="J202" s="118"/>
      <c r="K202" s="118"/>
      <c r="L202" s="118"/>
      <c r="M202" s="118"/>
      <c r="N202" s="118"/>
    </row>
    <row r="203" spans="1:14" ht="15.75" customHeight="1" x14ac:dyDescent="0.25">
      <c r="A203" s="119">
        <v>194</v>
      </c>
      <c r="B203" s="120"/>
      <c r="C203" s="120"/>
      <c r="D203" s="120"/>
      <c r="E203" s="120"/>
      <c r="F203" s="120"/>
      <c r="G203" s="120"/>
      <c r="H203" s="120"/>
      <c r="I203" s="120"/>
      <c r="J203" s="120"/>
      <c r="K203" s="120"/>
      <c r="L203" s="120"/>
      <c r="M203" s="120"/>
      <c r="N203" s="120"/>
    </row>
    <row r="204" spans="1:14" ht="15.75" customHeight="1" x14ac:dyDescent="0.25">
      <c r="A204" s="117">
        <v>195</v>
      </c>
      <c r="B204" s="118"/>
      <c r="C204" s="118"/>
      <c r="D204" s="118"/>
      <c r="E204" s="118"/>
      <c r="F204" s="118"/>
      <c r="G204" s="118"/>
      <c r="H204" s="118"/>
      <c r="I204" s="118"/>
      <c r="J204" s="118"/>
      <c r="K204" s="118"/>
      <c r="L204" s="118"/>
      <c r="M204" s="118"/>
      <c r="N204" s="118"/>
    </row>
    <row r="205" spans="1:14" ht="15.75" customHeight="1" x14ac:dyDescent="0.25">
      <c r="A205" s="119">
        <v>196</v>
      </c>
      <c r="B205" s="120"/>
      <c r="C205" s="120"/>
      <c r="D205" s="120"/>
      <c r="E205" s="120"/>
      <c r="F205" s="120"/>
      <c r="G205" s="120"/>
      <c r="H205" s="120"/>
      <c r="I205" s="120"/>
      <c r="J205" s="120"/>
      <c r="K205" s="120"/>
      <c r="L205" s="120"/>
      <c r="M205" s="120"/>
      <c r="N205" s="120"/>
    </row>
    <row r="206" spans="1:14" ht="15.75" customHeight="1" x14ac:dyDescent="0.25">
      <c r="A206" s="117">
        <v>197</v>
      </c>
      <c r="B206" s="118"/>
      <c r="C206" s="118"/>
      <c r="D206" s="118"/>
      <c r="E206" s="118"/>
      <c r="F206" s="118"/>
      <c r="G206" s="118"/>
      <c r="H206" s="118"/>
      <c r="I206" s="118"/>
      <c r="J206" s="118"/>
      <c r="K206" s="118"/>
      <c r="L206" s="118"/>
      <c r="M206" s="118"/>
      <c r="N206" s="118"/>
    </row>
    <row r="207" spans="1:14" ht="15.75" customHeight="1" x14ac:dyDescent="0.25">
      <c r="A207" s="119">
        <v>198</v>
      </c>
      <c r="B207" s="120"/>
      <c r="C207" s="120"/>
      <c r="D207" s="120"/>
      <c r="E207" s="120"/>
      <c r="F207" s="120"/>
      <c r="G207" s="120"/>
      <c r="H207" s="120"/>
      <c r="I207" s="120"/>
      <c r="J207" s="120"/>
      <c r="K207" s="120"/>
      <c r="L207" s="120"/>
      <c r="M207" s="120"/>
      <c r="N207" s="120"/>
    </row>
    <row r="208" spans="1:14" ht="15.75" customHeight="1" x14ac:dyDescent="0.25">
      <c r="A208" s="117">
        <v>199</v>
      </c>
      <c r="B208" s="118"/>
      <c r="C208" s="118"/>
      <c r="D208" s="118"/>
      <c r="E208" s="118"/>
      <c r="F208" s="118"/>
      <c r="G208" s="118"/>
      <c r="H208" s="118"/>
      <c r="I208" s="118"/>
      <c r="J208" s="118"/>
      <c r="K208" s="118"/>
      <c r="L208" s="118"/>
      <c r="M208" s="118"/>
      <c r="N208" s="118"/>
    </row>
    <row r="209" spans="1:14" ht="15.75" customHeight="1" x14ac:dyDescent="0.25">
      <c r="A209" s="119">
        <v>200</v>
      </c>
      <c r="B209" s="120"/>
      <c r="C209" s="120"/>
      <c r="D209" s="120"/>
      <c r="E209" s="120"/>
      <c r="F209" s="120"/>
      <c r="G209" s="120"/>
      <c r="H209" s="120"/>
      <c r="I209" s="120"/>
      <c r="J209" s="120"/>
      <c r="K209" s="120"/>
      <c r="L209" s="120"/>
      <c r="M209" s="120"/>
      <c r="N209" s="120"/>
    </row>
    <row r="210" spans="1:14" ht="15.75" customHeight="1" x14ac:dyDescent="0.25">
      <c r="A210" s="117">
        <v>201</v>
      </c>
      <c r="B210" s="118"/>
      <c r="C210" s="118"/>
      <c r="D210" s="118"/>
      <c r="E210" s="118"/>
      <c r="F210" s="118"/>
      <c r="G210" s="118"/>
      <c r="H210" s="118"/>
      <c r="I210" s="118"/>
      <c r="J210" s="118"/>
      <c r="K210" s="118"/>
      <c r="L210" s="118"/>
      <c r="M210" s="118"/>
      <c r="N210" s="118"/>
    </row>
    <row r="211" spans="1:14" ht="15.75" customHeight="1" x14ac:dyDescent="0.25">
      <c r="A211" s="119">
        <v>202</v>
      </c>
      <c r="B211" s="120"/>
      <c r="C211" s="120"/>
      <c r="D211" s="120"/>
      <c r="E211" s="120"/>
      <c r="F211" s="120"/>
      <c r="G211" s="120"/>
      <c r="H211" s="120"/>
      <c r="I211" s="120"/>
      <c r="J211" s="120"/>
      <c r="K211" s="120"/>
      <c r="L211" s="120"/>
      <c r="M211" s="120"/>
      <c r="N211" s="120"/>
    </row>
    <row r="212" spans="1:14" ht="15.75" customHeight="1" x14ac:dyDescent="0.25">
      <c r="A212" s="117">
        <v>203</v>
      </c>
      <c r="B212" s="118"/>
      <c r="C212" s="118"/>
      <c r="D212" s="118"/>
      <c r="E212" s="118"/>
      <c r="F212" s="118"/>
      <c r="G212" s="118"/>
      <c r="H212" s="118"/>
      <c r="I212" s="118"/>
      <c r="J212" s="118"/>
      <c r="K212" s="118"/>
      <c r="L212" s="118"/>
      <c r="M212" s="118"/>
      <c r="N212" s="118"/>
    </row>
    <row r="213" spans="1:14" ht="15.75" customHeight="1" x14ac:dyDescent="0.25">
      <c r="A213" s="119">
        <v>204</v>
      </c>
      <c r="B213" s="120"/>
      <c r="C213" s="120"/>
      <c r="D213" s="120"/>
      <c r="E213" s="120"/>
      <c r="F213" s="120"/>
      <c r="G213" s="120"/>
      <c r="H213" s="120"/>
      <c r="I213" s="120"/>
      <c r="J213" s="120"/>
      <c r="K213" s="120"/>
      <c r="L213" s="120"/>
      <c r="M213" s="120"/>
      <c r="N213" s="120"/>
    </row>
    <row r="214" spans="1:14" ht="15.75" customHeight="1" x14ac:dyDescent="0.25">
      <c r="A214" s="117">
        <v>205</v>
      </c>
      <c r="B214" s="118"/>
      <c r="C214" s="118"/>
      <c r="D214" s="118"/>
      <c r="E214" s="118"/>
      <c r="F214" s="118"/>
      <c r="G214" s="118"/>
      <c r="H214" s="118"/>
      <c r="I214" s="118"/>
      <c r="J214" s="118"/>
      <c r="K214" s="118"/>
      <c r="L214" s="118"/>
      <c r="M214" s="118"/>
      <c r="N214" s="118"/>
    </row>
    <row r="215" spans="1:14" ht="15.75" customHeight="1" x14ac:dyDescent="0.25">
      <c r="A215" s="119">
        <v>206</v>
      </c>
      <c r="B215" s="120"/>
      <c r="C215" s="120"/>
      <c r="D215" s="120"/>
      <c r="E215" s="120"/>
      <c r="F215" s="120"/>
      <c r="G215" s="120"/>
      <c r="H215" s="120"/>
      <c r="I215" s="120"/>
      <c r="J215" s="120"/>
      <c r="K215" s="120"/>
      <c r="L215" s="120"/>
      <c r="M215" s="120"/>
      <c r="N215" s="120"/>
    </row>
    <row r="216" spans="1:14" ht="15.75" customHeight="1" x14ac:dyDescent="0.25">
      <c r="A216" s="117">
        <v>207</v>
      </c>
      <c r="B216" s="118"/>
      <c r="C216" s="118"/>
      <c r="D216" s="118"/>
      <c r="E216" s="118"/>
      <c r="F216" s="118"/>
      <c r="G216" s="118"/>
      <c r="H216" s="118"/>
      <c r="I216" s="118"/>
      <c r="J216" s="118"/>
      <c r="K216" s="118"/>
      <c r="L216" s="118"/>
      <c r="M216" s="118"/>
      <c r="N216" s="118"/>
    </row>
    <row r="217" spans="1:14" ht="15.75" customHeight="1" x14ac:dyDescent="0.25">
      <c r="A217" s="119">
        <v>208</v>
      </c>
      <c r="B217" s="120"/>
      <c r="C217" s="120"/>
      <c r="D217" s="120"/>
      <c r="E217" s="120"/>
      <c r="F217" s="120"/>
      <c r="G217" s="120"/>
      <c r="H217" s="120"/>
      <c r="I217" s="120"/>
      <c r="J217" s="120"/>
      <c r="K217" s="120"/>
      <c r="L217" s="120"/>
      <c r="M217" s="120"/>
      <c r="N217" s="120"/>
    </row>
    <row r="218" spans="1:14" ht="15.75" customHeight="1" x14ac:dyDescent="0.25">
      <c r="A218" s="117">
        <v>209</v>
      </c>
      <c r="B218" s="118"/>
      <c r="C218" s="118"/>
      <c r="D218" s="118"/>
      <c r="E218" s="118"/>
      <c r="F218" s="118"/>
      <c r="G218" s="118"/>
      <c r="H218" s="118"/>
      <c r="I218" s="118"/>
      <c r="J218" s="118"/>
      <c r="K218" s="118"/>
      <c r="L218" s="118"/>
      <c r="M218" s="118"/>
      <c r="N218" s="118"/>
    </row>
    <row r="219" spans="1:14" ht="15.75" customHeight="1" x14ac:dyDescent="0.25">
      <c r="A219" s="119">
        <v>210</v>
      </c>
      <c r="B219" s="120"/>
      <c r="C219" s="120"/>
      <c r="D219" s="120"/>
      <c r="E219" s="120"/>
      <c r="F219" s="120"/>
      <c r="G219" s="120"/>
      <c r="H219" s="120"/>
      <c r="I219" s="120"/>
      <c r="J219" s="120"/>
      <c r="K219" s="120"/>
      <c r="L219" s="120"/>
      <c r="M219" s="120"/>
      <c r="N219" s="120"/>
    </row>
    <row r="220" spans="1:14" ht="15.75" customHeight="1" x14ac:dyDescent="0.25">
      <c r="A220" s="117">
        <v>211</v>
      </c>
      <c r="B220" s="118"/>
      <c r="C220" s="118"/>
      <c r="D220" s="118"/>
      <c r="E220" s="118"/>
      <c r="F220" s="118"/>
      <c r="G220" s="118"/>
      <c r="H220" s="118"/>
      <c r="I220" s="118"/>
      <c r="J220" s="118"/>
      <c r="K220" s="118"/>
      <c r="L220" s="118"/>
      <c r="M220" s="118"/>
      <c r="N220" s="118"/>
    </row>
    <row r="221" spans="1:14" ht="15.75" customHeight="1" x14ac:dyDescent="0.25">
      <c r="A221" s="119">
        <v>212</v>
      </c>
      <c r="B221" s="120"/>
      <c r="C221" s="120"/>
      <c r="D221" s="120"/>
      <c r="E221" s="120"/>
      <c r="F221" s="120"/>
      <c r="G221" s="120"/>
      <c r="H221" s="120"/>
      <c r="I221" s="120"/>
      <c r="J221" s="120"/>
      <c r="K221" s="120"/>
      <c r="L221" s="120"/>
      <c r="M221" s="120"/>
      <c r="N221" s="120"/>
    </row>
    <row r="222" spans="1:14" ht="15.75" customHeight="1" x14ac:dyDescent="0.25">
      <c r="A222" s="117">
        <v>213</v>
      </c>
      <c r="B222" s="118"/>
      <c r="C222" s="118"/>
      <c r="D222" s="118"/>
      <c r="E222" s="118"/>
      <c r="F222" s="118"/>
      <c r="G222" s="118"/>
      <c r="H222" s="118"/>
      <c r="I222" s="118"/>
      <c r="J222" s="118"/>
      <c r="K222" s="118"/>
      <c r="L222" s="118"/>
      <c r="M222" s="118"/>
      <c r="N222" s="118"/>
    </row>
    <row r="223" spans="1:14" ht="15.75" customHeight="1" x14ac:dyDescent="0.25">
      <c r="A223" s="119">
        <v>214</v>
      </c>
      <c r="B223" s="120"/>
      <c r="C223" s="120"/>
      <c r="D223" s="120"/>
      <c r="E223" s="120"/>
      <c r="F223" s="120"/>
      <c r="G223" s="120"/>
      <c r="H223" s="120"/>
      <c r="I223" s="120"/>
      <c r="J223" s="120"/>
      <c r="K223" s="120"/>
      <c r="L223" s="120"/>
      <c r="M223" s="120"/>
      <c r="N223" s="120"/>
    </row>
    <row r="224" spans="1:14" ht="15.75" customHeight="1" x14ac:dyDescent="0.25">
      <c r="A224" s="117">
        <v>215</v>
      </c>
      <c r="B224" s="118"/>
      <c r="C224" s="118"/>
      <c r="D224" s="118"/>
      <c r="E224" s="118"/>
      <c r="F224" s="118"/>
      <c r="G224" s="118"/>
      <c r="H224" s="118"/>
      <c r="I224" s="118"/>
      <c r="J224" s="118"/>
      <c r="K224" s="118"/>
      <c r="L224" s="118"/>
      <c r="M224" s="118"/>
      <c r="N224" s="118"/>
    </row>
    <row r="225" spans="1:14" ht="15.75" customHeight="1" x14ac:dyDescent="0.25">
      <c r="A225" s="119">
        <v>216</v>
      </c>
      <c r="B225" s="120"/>
      <c r="C225" s="120"/>
      <c r="D225" s="120"/>
      <c r="E225" s="120"/>
      <c r="F225" s="120"/>
      <c r="G225" s="120"/>
      <c r="H225" s="120"/>
      <c r="I225" s="120"/>
      <c r="J225" s="120"/>
      <c r="K225" s="120"/>
      <c r="L225" s="120"/>
      <c r="M225" s="120"/>
      <c r="N225" s="120"/>
    </row>
    <row r="226" spans="1:14" ht="15.75" customHeight="1" x14ac:dyDescent="0.25">
      <c r="A226" s="117">
        <v>217</v>
      </c>
      <c r="B226" s="118"/>
      <c r="C226" s="118"/>
      <c r="D226" s="118"/>
      <c r="E226" s="118"/>
      <c r="F226" s="118"/>
      <c r="G226" s="118"/>
      <c r="H226" s="118"/>
      <c r="I226" s="118"/>
      <c r="J226" s="118"/>
      <c r="K226" s="118"/>
      <c r="L226" s="118"/>
      <c r="M226" s="118"/>
      <c r="N226" s="118"/>
    </row>
    <row r="227" spans="1:14" ht="15.75" customHeight="1" x14ac:dyDescent="0.25">
      <c r="A227" s="119">
        <v>218</v>
      </c>
      <c r="B227" s="120"/>
      <c r="C227" s="120"/>
      <c r="D227" s="120"/>
      <c r="E227" s="120"/>
      <c r="F227" s="120"/>
      <c r="G227" s="120"/>
      <c r="H227" s="120"/>
      <c r="I227" s="120"/>
      <c r="J227" s="120"/>
      <c r="K227" s="120"/>
      <c r="L227" s="120"/>
      <c r="M227" s="120"/>
      <c r="N227" s="120"/>
    </row>
    <row r="228" spans="1:14" ht="15.75" customHeight="1" x14ac:dyDescent="0.25">
      <c r="A228" s="117">
        <v>219</v>
      </c>
      <c r="B228" s="118"/>
      <c r="C228" s="118"/>
      <c r="D228" s="118"/>
      <c r="E228" s="118"/>
      <c r="F228" s="118"/>
      <c r="G228" s="118"/>
      <c r="H228" s="118"/>
      <c r="I228" s="118"/>
      <c r="J228" s="118"/>
      <c r="K228" s="118"/>
      <c r="L228" s="118"/>
      <c r="M228" s="118"/>
      <c r="N228" s="118"/>
    </row>
    <row r="229" spans="1:14" ht="15.75" customHeight="1" x14ac:dyDescent="0.25">
      <c r="A229" s="119">
        <v>220</v>
      </c>
      <c r="B229" s="120"/>
      <c r="C229" s="120"/>
      <c r="D229" s="120"/>
      <c r="E229" s="120"/>
      <c r="F229" s="120"/>
      <c r="G229" s="120"/>
      <c r="H229" s="120"/>
      <c r="I229" s="120"/>
      <c r="J229" s="120"/>
      <c r="K229" s="120"/>
      <c r="L229" s="120"/>
      <c r="M229" s="120"/>
      <c r="N229" s="120"/>
    </row>
    <row r="230" spans="1:14" ht="15.75" customHeight="1" x14ac:dyDescent="0.25">
      <c r="A230" s="117">
        <v>221</v>
      </c>
      <c r="B230" s="118"/>
      <c r="C230" s="118"/>
      <c r="D230" s="118"/>
      <c r="E230" s="118"/>
      <c r="F230" s="118"/>
      <c r="G230" s="118"/>
      <c r="H230" s="118"/>
      <c r="I230" s="118"/>
      <c r="J230" s="118"/>
      <c r="K230" s="118"/>
      <c r="L230" s="118"/>
      <c r="M230" s="118"/>
      <c r="N230" s="118"/>
    </row>
    <row r="231" spans="1:14" ht="15.75" customHeight="1" x14ac:dyDescent="0.25">
      <c r="A231" s="119">
        <v>222</v>
      </c>
      <c r="B231" s="120"/>
      <c r="C231" s="120"/>
      <c r="D231" s="120"/>
      <c r="E231" s="120"/>
      <c r="F231" s="120"/>
      <c r="G231" s="120"/>
      <c r="H231" s="120"/>
      <c r="I231" s="120"/>
      <c r="J231" s="120"/>
      <c r="K231" s="120"/>
      <c r="L231" s="120"/>
      <c r="M231" s="120"/>
      <c r="N231" s="120"/>
    </row>
    <row r="232" spans="1:14" ht="15.75" customHeight="1" x14ac:dyDescent="0.25">
      <c r="A232" s="117">
        <v>223</v>
      </c>
      <c r="B232" s="118"/>
      <c r="C232" s="118"/>
      <c r="D232" s="118"/>
      <c r="E232" s="118"/>
      <c r="F232" s="118"/>
      <c r="G232" s="118"/>
      <c r="H232" s="118"/>
      <c r="I232" s="118"/>
      <c r="J232" s="118"/>
      <c r="K232" s="118"/>
      <c r="L232" s="118"/>
      <c r="M232" s="118"/>
      <c r="N232" s="118"/>
    </row>
    <row r="233" spans="1:14" ht="15.75" customHeight="1" x14ac:dyDescent="0.25">
      <c r="A233" s="119">
        <v>224</v>
      </c>
      <c r="B233" s="120"/>
      <c r="C233" s="120"/>
      <c r="D233" s="120"/>
      <c r="E233" s="120"/>
      <c r="F233" s="120"/>
      <c r="G233" s="120"/>
      <c r="H233" s="120"/>
      <c r="I233" s="120"/>
      <c r="J233" s="120"/>
      <c r="K233" s="120"/>
      <c r="L233" s="120"/>
      <c r="M233" s="120"/>
      <c r="N233" s="120"/>
    </row>
    <row r="234" spans="1:14" ht="15.75" customHeight="1" x14ac:dyDescent="0.25">
      <c r="A234" s="117">
        <v>225</v>
      </c>
      <c r="B234" s="118"/>
      <c r="C234" s="118"/>
      <c r="D234" s="118"/>
      <c r="E234" s="118"/>
      <c r="F234" s="118"/>
      <c r="G234" s="118"/>
      <c r="H234" s="118"/>
      <c r="I234" s="118"/>
      <c r="J234" s="118"/>
      <c r="K234" s="118"/>
      <c r="L234" s="118"/>
      <c r="M234" s="118"/>
      <c r="N234" s="118"/>
    </row>
    <row r="235" spans="1:14" ht="15.75" customHeight="1" x14ac:dyDescent="0.25">
      <c r="A235" s="119">
        <v>226</v>
      </c>
      <c r="B235" s="120"/>
      <c r="C235" s="120"/>
      <c r="D235" s="120"/>
      <c r="E235" s="120"/>
      <c r="F235" s="120"/>
      <c r="G235" s="120"/>
      <c r="H235" s="120"/>
      <c r="I235" s="120"/>
      <c r="J235" s="120"/>
      <c r="K235" s="120"/>
      <c r="L235" s="120"/>
      <c r="M235" s="120"/>
      <c r="N235" s="120"/>
    </row>
    <row r="236" spans="1:14" ht="15.75" customHeight="1" x14ac:dyDescent="0.25">
      <c r="A236" s="117">
        <v>227</v>
      </c>
      <c r="B236" s="118"/>
      <c r="C236" s="118"/>
      <c r="D236" s="118"/>
      <c r="E236" s="118"/>
      <c r="F236" s="118"/>
      <c r="G236" s="118"/>
      <c r="H236" s="118"/>
      <c r="I236" s="118"/>
      <c r="J236" s="118"/>
      <c r="K236" s="118"/>
      <c r="L236" s="118"/>
      <c r="M236" s="118"/>
      <c r="N236" s="118"/>
    </row>
    <row r="237" spans="1:14" ht="15.75" customHeight="1" x14ac:dyDescent="0.25">
      <c r="A237" s="119">
        <v>228</v>
      </c>
      <c r="B237" s="120"/>
      <c r="C237" s="120"/>
      <c r="D237" s="120"/>
      <c r="E237" s="120"/>
      <c r="F237" s="120"/>
      <c r="G237" s="120"/>
      <c r="H237" s="120"/>
      <c r="I237" s="120"/>
      <c r="J237" s="120"/>
      <c r="K237" s="120"/>
      <c r="L237" s="120"/>
      <c r="M237" s="120"/>
      <c r="N237" s="120"/>
    </row>
    <row r="238" spans="1:14" ht="15.75" customHeight="1" x14ac:dyDescent="0.25">
      <c r="A238" s="117">
        <v>229</v>
      </c>
      <c r="B238" s="118"/>
      <c r="C238" s="118"/>
      <c r="D238" s="118"/>
      <c r="E238" s="118"/>
      <c r="F238" s="118"/>
      <c r="G238" s="118"/>
      <c r="H238" s="118"/>
      <c r="I238" s="118"/>
      <c r="J238" s="118"/>
      <c r="K238" s="118"/>
      <c r="L238" s="118"/>
      <c r="M238" s="118"/>
      <c r="N238" s="118"/>
    </row>
    <row r="239" spans="1:14" ht="15.75" customHeight="1" x14ac:dyDescent="0.25">
      <c r="A239" s="119">
        <v>230</v>
      </c>
      <c r="B239" s="120"/>
      <c r="C239" s="120"/>
      <c r="D239" s="120"/>
      <c r="E239" s="120"/>
      <c r="F239" s="120"/>
      <c r="G239" s="120"/>
      <c r="H239" s="120"/>
      <c r="I239" s="120"/>
      <c r="J239" s="120"/>
      <c r="K239" s="120"/>
      <c r="L239" s="120"/>
      <c r="M239" s="120"/>
      <c r="N239" s="120"/>
    </row>
    <row r="240" spans="1:14" ht="15.75" customHeight="1" x14ac:dyDescent="0.25">
      <c r="A240" s="117">
        <v>231</v>
      </c>
      <c r="B240" s="118"/>
      <c r="C240" s="118"/>
      <c r="D240" s="118"/>
      <c r="E240" s="118"/>
      <c r="F240" s="118"/>
      <c r="G240" s="118"/>
      <c r="H240" s="118"/>
      <c r="I240" s="118"/>
      <c r="J240" s="118"/>
      <c r="K240" s="118"/>
      <c r="L240" s="118"/>
      <c r="M240" s="118"/>
      <c r="N240" s="118"/>
    </row>
    <row r="241" spans="1:14" ht="15.75" customHeight="1" x14ac:dyDescent="0.25">
      <c r="A241" s="119">
        <v>232</v>
      </c>
      <c r="B241" s="120"/>
      <c r="C241" s="120"/>
      <c r="D241" s="120"/>
      <c r="E241" s="120"/>
      <c r="F241" s="120"/>
      <c r="G241" s="120"/>
      <c r="H241" s="120"/>
      <c r="I241" s="120"/>
      <c r="J241" s="120"/>
      <c r="K241" s="120"/>
      <c r="L241" s="120"/>
      <c r="M241" s="120"/>
      <c r="N241" s="120"/>
    </row>
    <row r="242" spans="1:14" ht="15.75" customHeight="1" x14ac:dyDescent="0.25">
      <c r="A242" s="117">
        <v>233</v>
      </c>
      <c r="B242" s="118"/>
      <c r="C242" s="118"/>
      <c r="D242" s="118"/>
      <c r="E242" s="118"/>
      <c r="F242" s="118"/>
      <c r="G242" s="118"/>
      <c r="H242" s="118"/>
      <c r="I242" s="118"/>
      <c r="J242" s="118"/>
      <c r="K242" s="118"/>
      <c r="L242" s="118"/>
      <c r="M242" s="118"/>
      <c r="N242" s="118"/>
    </row>
    <row r="243" spans="1:14" ht="15.75" customHeight="1" x14ac:dyDescent="0.25">
      <c r="A243" s="119">
        <v>234</v>
      </c>
      <c r="B243" s="120"/>
      <c r="C243" s="120"/>
      <c r="D243" s="120"/>
      <c r="E243" s="120"/>
      <c r="F243" s="120"/>
      <c r="G243" s="120"/>
      <c r="H243" s="120"/>
      <c r="I243" s="120"/>
      <c r="J243" s="120"/>
      <c r="K243" s="120"/>
      <c r="L243" s="120"/>
      <c r="M243" s="120"/>
      <c r="N243" s="120"/>
    </row>
    <row r="244" spans="1:14" ht="15.75" customHeight="1" x14ac:dyDescent="0.25">
      <c r="A244" s="117">
        <v>235</v>
      </c>
      <c r="B244" s="118"/>
      <c r="C244" s="118"/>
      <c r="D244" s="118"/>
      <c r="E244" s="118"/>
      <c r="F244" s="118"/>
      <c r="G244" s="118"/>
      <c r="H244" s="118"/>
      <c r="I244" s="118"/>
      <c r="J244" s="118"/>
      <c r="K244" s="118"/>
      <c r="L244" s="118"/>
      <c r="M244" s="118"/>
      <c r="N244" s="118"/>
    </row>
    <row r="245" spans="1:14" ht="15.75" customHeight="1" x14ac:dyDescent="0.25">
      <c r="A245" s="119">
        <v>236</v>
      </c>
      <c r="B245" s="120"/>
      <c r="C245" s="120"/>
      <c r="D245" s="120"/>
      <c r="E245" s="120"/>
      <c r="F245" s="120"/>
      <c r="G245" s="120"/>
      <c r="H245" s="120"/>
      <c r="I245" s="120"/>
      <c r="J245" s="120"/>
      <c r="K245" s="120"/>
      <c r="L245" s="120"/>
      <c r="M245" s="120"/>
      <c r="N245" s="120"/>
    </row>
    <row r="246" spans="1:14" ht="15.75" customHeight="1" x14ac:dyDescent="0.25">
      <c r="A246" s="117">
        <v>237</v>
      </c>
      <c r="B246" s="118"/>
      <c r="C246" s="118"/>
      <c r="D246" s="118"/>
      <c r="E246" s="118"/>
      <c r="F246" s="118"/>
      <c r="G246" s="118"/>
      <c r="H246" s="118"/>
      <c r="I246" s="118"/>
      <c r="J246" s="118"/>
      <c r="K246" s="118"/>
      <c r="L246" s="118"/>
      <c r="M246" s="118"/>
      <c r="N246" s="118"/>
    </row>
    <row r="247" spans="1:14" ht="15.75" customHeight="1" x14ac:dyDescent="0.25">
      <c r="A247" s="119">
        <v>238</v>
      </c>
      <c r="B247" s="120"/>
      <c r="C247" s="120"/>
      <c r="D247" s="120"/>
      <c r="E247" s="120"/>
      <c r="F247" s="120"/>
      <c r="G247" s="120"/>
      <c r="H247" s="120"/>
      <c r="I247" s="120"/>
      <c r="J247" s="120"/>
      <c r="K247" s="120"/>
      <c r="L247" s="120"/>
      <c r="M247" s="120"/>
      <c r="N247" s="120"/>
    </row>
    <row r="248" spans="1:14" ht="15.75" customHeight="1" x14ac:dyDescent="0.25">
      <c r="A248" s="117">
        <v>239</v>
      </c>
      <c r="B248" s="118"/>
      <c r="C248" s="118"/>
      <c r="D248" s="118"/>
      <c r="E248" s="118"/>
      <c r="F248" s="118"/>
      <c r="G248" s="118"/>
      <c r="H248" s="118"/>
      <c r="I248" s="118"/>
      <c r="J248" s="118"/>
      <c r="K248" s="118"/>
      <c r="L248" s="118"/>
      <c r="M248" s="118"/>
      <c r="N248" s="118"/>
    </row>
    <row r="249" spans="1:14" ht="15.75" customHeight="1" x14ac:dyDescent="0.25">
      <c r="A249" s="119">
        <v>240</v>
      </c>
      <c r="B249" s="120"/>
      <c r="C249" s="120"/>
      <c r="D249" s="120"/>
      <c r="E249" s="120"/>
      <c r="F249" s="120"/>
      <c r="G249" s="120"/>
      <c r="H249" s="120"/>
      <c r="I249" s="120"/>
      <c r="J249" s="120"/>
      <c r="K249" s="120"/>
      <c r="L249" s="120"/>
      <c r="M249" s="120"/>
      <c r="N249" s="120"/>
    </row>
    <row r="250" spans="1:14" ht="15.75" customHeight="1" x14ac:dyDescent="0.25">
      <c r="A250" s="117">
        <v>241</v>
      </c>
      <c r="B250" s="118"/>
      <c r="C250" s="118"/>
      <c r="D250" s="118"/>
      <c r="E250" s="118"/>
      <c r="F250" s="118"/>
      <c r="G250" s="118"/>
      <c r="H250" s="118"/>
      <c r="I250" s="118"/>
      <c r="J250" s="118"/>
      <c r="K250" s="118"/>
      <c r="L250" s="118"/>
      <c r="M250" s="118"/>
      <c r="N250" s="118"/>
    </row>
    <row r="251" spans="1:14" ht="15.75" customHeight="1" x14ac:dyDescent="0.25">
      <c r="A251" s="119">
        <v>242</v>
      </c>
      <c r="B251" s="120"/>
      <c r="C251" s="120"/>
      <c r="D251" s="120"/>
      <c r="E251" s="120"/>
      <c r="F251" s="120"/>
      <c r="G251" s="120"/>
      <c r="H251" s="120"/>
      <c r="I251" s="120"/>
      <c r="J251" s="120"/>
      <c r="K251" s="120"/>
      <c r="L251" s="120"/>
      <c r="M251" s="120"/>
      <c r="N251" s="120"/>
    </row>
    <row r="252" spans="1:14" ht="15.75" customHeight="1" x14ac:dyDescent="0.25">
      <c r="A252" s="117">
        <v>243</v>
      </c>
      <c r="B252" s="118"/>
      <c r="C252" s="118"/>
      <c r="D252" s="118"/>
      <c r="E252" s="118"/>
      <c r="F252" s="118"/>
      <c r="G252" s="118"/>
      <c r="H252" s="118"/>
      <c r="I252" s="118"/>
      <c r="J252" s="118"/>
      <c r="K252" s="118"/>
      <c r="L252" s="118"/>
      <c r="M252" s="118"/>
      <c r="N252" s="118"/>
    </row>
    <row r="253" spans="1:14" ht="15.75" customHeight="1" x14ac:dyDescent="0.25">
      <c r="A253" s="119">
        <v>244</v>
      </c>
      <c r="B253" s="120"/>
      <c r="C253" s="120"/>
      <c r="D253" s="120"/>
      <c r="E253" s="120"/>
      <c r="F253" s="120"/>
      <c r="G253" s="120"/>
      <c r="H253" s="120"/>
      <c r="I253" s="120"/>
      <c r="J253" s="120"/>
      <c r="K253" s="120"/>
      <c r="L253" s="120"/>
      <c r="M253" s="120"/>
      <c r="N253" s="120"/>
    </row>
    <row r="254" spans="1:14" ht="15.75" customHeight="1" x14ac:dyDescent="0.25">
      <c r="A254" s="117">
        <v>245</v>
      </c>
      <c r="B254" s="118"/>
      <c r="C254" s="118"/>
      <c r="D254" s="118"/>
      <c r="E254" s="118"/>
      <c r="F254" s="118"/>
      <c r="G254" s="118"/>
      <c r="H254" s="118"/>
      <c r="I254" s="118"/>
      <c r="J254" s="118"/>
      <c r="K254" s="118"/>
      <c r="L254" s="118"/>
      <c r="M254" s="118"/>
      <c r="N254" s="118"/>
    </row>
    <row r="255" spans="1:14" ht="15.75" customHeight="1" x14ac:dyDescent="0.25">
      <c r="A255" s="119">
        <v>246</v>
      </c>
      <c r="B255" s="120"/>
      <c r="C255" s="120"/>
      <c r="D255" s="120"/>
      <c r="E255" s="120"/>
      <c r="F255" s="120"/>
      <c r="G255" s="120"/>
      <c r="H255" s="120"/>
      <c r="I255" s="120"/>
      <c r="J255" s="120"/>
      <c r="K255" s="120"/>
      <c r="L255" s="120"/>
      <c r="M255" s="120"/>
      <c r="N255" s="120"/>
    </row>
    <row r="256" spans="1:14" ht="15.75" customHeight="1" x14ac:dyDescent="0.25">
      <c r="A256" s="117">
        <v>247</v>
      </c>
      <c r="B256" s="118"/>
      <c r="C256" s="118"/>
      <c r="D256" s="118"/>
      <c r="E256" s="118"/>
      <c r="F256" s="118"/>
      <c r="G256" s="118"/>
      <c r="H256" s="118"/>
      <c r="I256" s="118"/>
      <c r="J256" s="118"/>
      <c r="K256" s="118"/>
      <c r="L256" s="118"/>
      <c r="M256" s="118"/>
      <c r="N256" s="118"/>
    </row>
    <row r="257" spans="1:14" ht="15.75" customHeight="1" x14ac:dyDescent="0.25">
      <c r="A257" s="119">
        <v>248</v>
      </c>
      <c r="B257" s="120"/>
      <c r="C257" s="120"/>
      <c r="D257" s="120"/>
      <c r="E257" s="120"/>
      <c r="F257" s="120"/>
      <c r="G257" s="120"/>
      <c r="H257" s="120"/>
      <c r="I257" s="120"/>
      <c r="J257" s="120"/>
      <c r="K257" s="120"/>
      <c r="L257" s="120"/>
      <c r="M257" s="120"/>
      <c r="N257" s="120"/>
    </row>
    <row r="258" spans="1:14" ht="15.75" customHeight="1" x14ac:dyDescent="0.25">
      <c r="A258" s="117">
        <v>249</v>
      </c>
      <c r="B258" s="118"/>
      <c r="C258" s="118"/>
      <c r="D258" s="118"/>
      <c r="E258" s="118"/>
      <c r="F258" s="118"/>
      <c r="G258" s="118"/>
      <c r="H258" s="118"/>
      <c r="I258" s="118"/>
      <c r="J258" s="118"/>
      <c r="K258" s="118"/>
      <c r="L258" s="118"/>
      <c r="M258" s="118"/>
      <c r="N258" s="118"/>
    </row>
    <row r="259" spans="1:14" ht="15.75" customHeight="1" x14ac:dyDescent="0.25">
      <c r="A259" s="119">
        <v>250</v>
      </c>
      <c r="B259" s="120"/>
      <c r="C259" s="120"/>
      <c r="D259" s="120"/>
      <c r="E259" s="120"/>
      <c r="F259" s="120"/>
      <c r="G259" s="120"/>
      <c r="H259" s="120"/>
      <c r="I259" s="120"/>
      <c r="J259" s="120"/>
      <c r="K259" s="120"/>
      <c r="L259" s="120"/>
      <c r="M259" s="120"/>
      <c r="N259" s="120"/>
    </row>
    <row r="260" spans="1:14" ht="15.75" customHeight="1" x14ac:dyDescent="0.25">
      <c r="A260" s="117">
        <v>251</v>
      </c>
      <c r="B260" s="118"/>
      <c r="C260" s="118"/>
      <c r="D260" s="118"/>
      <c r="E260" s="118"/>
      <c r="F260" s="118"/>
      <c r="G260" s="118"/>
      <c r="H260" s="118"/>
      <c r="I260" s="118"/>
      <c r="J260" s="118"/>
      <c r="K260" s="118"/>
      <c r="L260" s="118"/>
      <c r="M260" s="118"/>
      <c r="N260" s="118"/>
    </row>
    <row r="261" spans="1:14" ht="15.75" customHeight="1" x14ac:dyDescent="0.25">
      <c r="A261" s="119">
        <v>252</v>
      </c>
      <c r="B261" s="120"/>
      <c r="C261" s="120"/>
      <c r="D261" s="120"/>
      <c r="E261" s="120"/>
      <c r="F261" s="120"/>
      <c r="G261" s="120"/>
      <c r="H261" s="120"/>
      <c r="I261" s="120"/>
      <c r="J261" s="120"/>
      <c r="K261" s="120"/>
      <c r="L261" s="120"/>
      <c r="M261" s="120"/>
      <c r="N261" s="120"/>
    </row>
    <row r="262" spans="1:14" ht="15.75" customHeight="1" x14ac:dyDescent="0.25">
      <c r="A262" s="117">
        <v>253</v>
      </c>
      <c r="B262" s="118"/>
      <c r="C262" s="118"/>
      <c r="D262" s="118"/>
      <c r="E262" s="118"/>
      <c r="F262" s="118"/>
      <c r="G262" s="118"/>
      <c r="H262" s="118"/>
      <c r="I262" s="118"/>
      <c r="J262" s="118"/>
      <c r="K262" s="118"/>
      <c r="L262" s="118"/>
      <c r="M262" s="118"/>
      <c r="N262" s="118"/>
    </row>
    <row r="263" spans="1:14" ht="15.75" customHeight="1" x14ac:dyDescent="0.25">
      <c r="A263" s="119">
        <v>254</v>
      </c>
      <c r="B263" s="120"/>
      <c r="C263" s="120"/>
      <c r="D263" s="120"/>
      <c r="E263" s="120"/>
      <c r="F263" s="120"/>
      <c r="G263" s="120"/>
      <c r="H263" s="120"/>
      <c r="I263" s="120"/>
      <c r="J263" s="120"/>
      <c r="K263" s="120"/>
      <c r="L263" s="120"/>
      <c r="M263" s="120"/>
      <c r="N263" s="120"/>
    </row>
    <row r="264" spans="1:14" ht="15.75" customHeight="1" x14ac:dyDescent="0.25">
      <c r="A264" s="117">
        <v>255</v>
      </c>
      <c r="B264" s="118"/>
      <c r="C264" s="118"/>
      <c r="D264" s="118"/>
      <c r="E264" s="118"/>
      <c r="F264" s="118"/>
      <c r="G264" s="118"/>
      <c r="H264" s="118"/>
      <c r="I264" s="118"/>
      <c r="J264" s="118"/>
      <c r="K264" s="118"/>
      <c r="L264" s="118"/>
      <c r="M264" s="118"/>
      <c r="N264" s="118"/>
    </row>
    <row r="265" spans="1:14" ht="15.75" customHeight="1" x14ac:dyDescent="0.25">
      <c r="A265" s="119">
        <v>256</v>
      </c>
      <c r="B265" s="120"/>
      <c r="C265" s="120"/>
      <c r="D265" s="120"/>
      <c r="E265" s="120"/>
      <c r="F265" s="120"/>
      <c r="G265" s="120"/>
      <c r="H265" s="120"/>
      <c r="I265" s="120"/>
      <c r="J265" s="120"/>
      <c r="K265" s="120"/>
      <c r="L265" s="120"/>
      <c r="M265" s="120"/>
      <c r="N265" s="120"/>
    </row>
    <row r="266" spans="1:14" ht="15.75" customHeight="1" x14ac:dyDescent="0.25">
      <c r="A266" s="117">
        <v>257</v>
      </c>
      <c r="B266" s="118"/>
      <c r="C266" s="118"/>
      <c r="D266" s="118"/>
      <c r="E266" s="118"/>
      <c r="F266" s="118"/>
      <c r="G266" s="118"/>
      <c r="H266" s="118"/>
      <c r="I266" s="118"/>
      <c r="J266" s="118"/>
      <c r="K266" s="118"/>
      <c r="L266" s="118"/>
      <c r="M266" s="118"/>
      <c r="N266" s="118"/>
    </row>
    <row r="267" spans="1:14" ht="15.75" customHeight="1" x14ac:dyDescent="0.25">
      <c r="A267" s="119">
        <v>258</v>
      </c>
      <c r="B267" s="120"/>
      <c r="C267" s="120"/>
      <c r="D267" s="120"/>
      <c r="E267" s="120"/>
      <c r="F267" s="120"/>
      <c r="G267" s="120"/>
      <c r="H267" s="120"/>
      <c r="I267" s="120"/>
      <c r="J267" s="120"/>
      <c r="K267" s="120"/>
      <c r="L267" s="120"/>
      <c r="M267" s="120"/>
      <c r="N267" s="120"/>
    </row>
    <row r="268" spans="1:14" ht="15.75" customHeight="1" x14ac:dyDescent="0.25">
      <c r="A268" s="117">
        <v>259</v>
      </c>
      <c r="B268" s="118"/>
      <c r="C268" s="118"/>
      <c r="D268" s="118"/>
      <c r="E268" s="118"/>
      <c r="F268" s="118"/>
      <c r="G268" s="118"/>
      <c r="H268" s="118"/>
      <c r="I268" s="118"/>
      <c r="J268" s="118"/>
      <c r="K268" s="118"/>
      <c r="L268" s="118"/>
      <c r="M268" s="118"/>
      <c r="N268" s="118"/>
    </row>
    <row r="269" spans="1:14" ht="15.75" customHeight="1" x14ac:dyDescent="0.25">
      <c r="A269" s="119">
        <v>260</v>
      </c>
      <c r="B269" s="120"/>
      <c r="C269" s="120"/>
      <c r="D269" s="120"/>
      <c r="E269" s="120"/>
      <c r="F269" s="120"/>
      <c r="G269" s="120"/>
      <c r="H269" s="120"/>
      <c r="I269" s="120"/>
      <c r="J269" s="120"/>
      <c r="K269" s="120"/>
      <c r="L269" s="120"/>
      <c r="M269" s="120"/>
      <c r="N269" s="120"/>
    </row>
    <row r="270" spans="1:14" ht="15.75" customHeight="1" x14ac:dyDescent="0.25">
      <c r="A270" s="117">
        <v>261</v>
      </c>
      <c r="B270" s="118"/>
      <c r="C270" s="118"/>
      <c r="D270" s="118"/>
      <c r="E270" s="118"/>
      <c r="F270" s="118"/>
      <c r="G270" s="118"/>
      <c r="H270" s="118"/>
      <c r="I270" s="118"/>
      <c r="J270" s="118"/>
      <c r="K270" s="118"/>
      <c r="L270" s="118"/>
      <c r="M270" s="118"/>
      <c r="N270" s="118"/>
    </row>
    <row r="271" spans="1:14" ht="15.75" customHeight="1" x14ac:dyDescent="0.25">
      <c r="A271" s="119">
        <v>262</v>
      </c>
      <c r="B271" s="120"/>
      <c r="C271" s="120"/>
      <c r="D271" s="120"/>
      <c r="E271" s="120"/>
      <c r="F271" s="120"/>
      <c r="G271" s="120"/>
      <c r="H271" s="120"/>
      <c r="I271" s="120"/>
      <c r="J271" s="120"/>
      <c r="K271" s="120"/>
      <c r="L271" s="120"/>
      <c r="M271" s="120"/>
      <c r="N271" s="120"/>
    </row>
    <row r="272" spans="1:14" ht="15.75" customHeight="1" x14ac:dyDescent="0.25">
      <c r="A272" s="117">
        <v>263</v>
      </c>
      <c r="B272" s="118"/>
      <c r="C272" s="118"/>
      <c r="D272" s="118"/>
      <c r="E272" s="118"/>
      <c r="F272" s="118"/>
      <c r="G272" s="118"/>
      <c r="H272" s="118"/>
      <c r="I272" s="118"/>
      <c r="J272" s="118"/>
      <c r="K272" s="118"/>
      <c r="L272" s="118"/>
      <c r="M272" s="118"/>
      <c r="N272" s="118"/>
    </row>
    <row r="273" spans="1:14" ht="15.75" customHeight="1" x14ac:dyDescent="0.25">
      <c r="A273" s="119">
        <v>264</v>
      </c>
      <c r="B273" s="120"/>
      <c r="C273" s="120"/>
      <c r="D273" s="120"/>
      <c r="E273" s="120"/>
      <c r="F273" s="120"/>
      <c r="G273" s="120"/>
      <c r="H273" s="120"/>
      <c r="I273" s="120"/>
      <c r="J273" s="120"/>
      <c r="K273" s="120"/>
      <c r="L273" s="120"/>
      <c r="M273" s="120"/>
      <c r="N273" s="120"/>
    </row>
    <row r="274" spans="1:14" ht="15.75" customHeight="1" x14ac:dyDescent="0.25">
      <c r="A274" s="117">
        <v>265</v>
      </c>
      <c r="B274" s="118"/>
      <c r="C274" s="118"/>
      <c r="D274" s="118"/>
      <c r="E274" s="118"/>
      <c r="F274" s="118"/>
      <c r="G274" s="118"/>
      <c r="H274" s="118"/>
      <c r="I274" s="118"/>
      <c r="J274" s="118"/>
      <c r="K274" s="118"/>
      <c r="L274" s="118"/>
      <c r="M274" s="118"/>
      <c r="N274" s="118"/>
    </row>
    <row r="275" spans="1:14" ht="15.75" customHeight="1" x14ac:dyDescent="0.25">
      <c r="A275" s="119">
        <v>266</v>
      </c>
      <c r="B275" s="120"/>
      <c r="C275" s="120"/>
      <c r="D275" s="120"/>
      <c r="E275" s="120"/>
      <c r="F275" s="120"/>
      <c r="G275" s="120"/>
      <c r="H275" s="120"/>
      <c r="I275" s="120"/>
      <c r="J275" s="120"/>
      <c r="K275" s="120"/>
      <c r="L275" s="120"/>
      <c r="M275" s="120"/>
      <c r="N275" s="120"/>
    </row>
    <row r="276" spans="1:14" ht="15.75" customHeight="1" x14ac:dyDescent="0.25">
      <c r="A276" s="117">
        <v>267</v>
      </c>
      <c r="B276" s="118"/>
      <c r="C276" s="118"/>
      <c r="D276" s="118"/>
      <c r="E276" s="118"/>
      <c r="F276" s="118"/>
      <c r="G276" s="118"/>
      <c r="H276" s="118"/>
      <c r="I276" s="118"/>
      <c r="J276" s="118"/>
      <c r="K276" s="118"/>
      <c r="L276" s="118"/>
      <c r="M276" s="118"/>
      <c r="N276" s="118"/>
    </row>
    <row r="277" spans="1:14" ht="15.75" customHeight="1" x14ac:dyDescent="0.25">
      <c r="A277" s="119">
        <v>268</v>
      </c>
      <c r="B277" s="120"/>
      <c r="C277" s="120"/>
      <c r="D277" s="120"/>
      <c r="E277" s="120"/>
      <c r="F277" s="120"/>
      <c r="G277" s="120"/>
      <c r="H277" s="120"/>
      <c r="I277" s="120"/>
      <c r="J277" s="120"/>
      <c r="K277" s="120"/>
      <c r="L277" s="120"/>
      <c r="M277" s="120"/>
      <c r="N277" s="120"/>
    </row>
    <row r="278" spans="1:14" ht="15.75" customHeight="1" x14ac:dyDescent="0.25">
      <c r="A278" s="117">
        <v>269</v>
      </c>
      <c r="B278" s="118"/>
      <c r="C278" s="118"/>
      <c r="D278" s="118"/>
      <c r="E278" s="118"/>
      <c r="F278" s="118"/>
      <c r="G278" s="118"/>
      <c r="H278" s="118"/>
      <c r="I278" s="118"/>
      <c r="J278" s="118"/>
      <c r="K278" s="118"/>
      <c r="L278" s="118"/>
      <c r="M278" s="118"/>
      <c r="N278" s="118"/>
    </row>
    <row r="279" spans="1:14" ht="15.75" customHeight="1" x14ac:dyDescent="0.25">
      <c r="A279" s="119">
        <v>270</v>
      </c>
      <c r="B279" s="120"/>
      <c r="C279" s="120"/>
      <c r="D279" s="120"/>
      <c r="E279" s="120"/>
      <c r="F279" s="120"/>
      <c r="G279" s="120"/>
      <c r="H279" s="120"/>
      <c r="I279" s="120"/>
      <c r="J279" s="120"/>
      <c r="K279" s="120"/>
      <c r="L279" s="120"/>
      <c r="M279" s="120"/>
      <c r="N279" s="120"/>
    </row>
    <row r="280" spans="1:14" ht="15.75" customHeight="1" x14ac:dyDescent="0.25">
      <c r="A280" s="117">
        <v>271</v>
      </c>
      <c r="B280" s="118"/>
      <c r="C280" s="118"/>
      <c r="D280" s="118"/>
      <c r="E280" s="118"/>
      <c r="F280" s="118"/>
      <c r="G280" s="118"/>
      <c r="H280" s="118"/>
      <c r="I280" s="118"/>
      <c r="J280" s="118"/>
      <c r="K280" s="118"/>
      <c r="L280" s="118"/>
      <c r="M280" s="118"/>
      <c r="N280" s="118"/>
    </row>
    <row r="281" spans="1:14" ht="15.75" customHeight="1" x14ac:dyDescent="0.25">
      <c r="A281" s="119">
        <v>272</v>
      </c>
      <c r="B281" s="120"/>
      <c r="C281" s="120"/>
      <c r="D281" s="120"/>
      <c r="E281" s="120"/>
      <c r="F281" s="120"/>
      <c r="G281" s="120"/>
      <c r="H281" s="120"/>
      <c r="I281" s="120"/>
      <c r="J281" s="120"/>
      <c r="K281" s="120"/>
      <c r="L281" s="120"/>
      <c r="M281" s="120"/>
      <c r="N281" s="120"/>
    </row>
    <row r="282" spans="1:14" ht="15.75" customHeight="1" x14ac:dyDescent="0.25">
      <c r="A282" s="117">
        <v>273</v>
      </c>
      <c r="B282" s="118"/>
      <c r="C282" s="118"/>
      <c r="D282" s="118"/>
      <c r="E282" s="118"/>
      <c r="F282" s="118"/>
      <c r="G282" s="118"/>
      <c r="H282" s="118"/>
      <c r="I282" s="118"/>
      <c r="J282" s="118"/>
      <c r="K282" s="118"/>
      <c r="L282" s="118"/>
      <c r="M282" s="118"/>
      <c r="N282" s="118"/>
    </row>
    <row r="283" spans="1:14" ht="15.75" customHeight="1" x14ac:dyDescent="0.25">
      <c r="A283" s="119">
        <v>274</v>
      </c>
      <c r="B283" s="120"/>
      <c r="C283" s="120"/>
      <c r="D283" s="120"/>
      <c r="E283" s="120"/>
      <c r="F283" s="120"/>
      <c r="G283" s="120"/>
      <c r="H283" s="120"/>
      <c r="I283" s="120"/>
      <c r="J283" s="120"/>
      <c r="K283" s="120"/>
      <c r="L283" s="120"/>
      <c r="M283" s="120"/>
      <c r="N283" s="120"/>
    </row>
    <row r="284" spans="1:14" ht="15.75" customHeight="1" x14ac:dyDescent="0.25">
      <c r="A284" s="117">
        <v>275</v>
      </c>
      <c r="B284" s="118"/>
      <c r="C284" s="118"/>
      <c r="D284" s="118"/>
      <c r="E284" s="118"/>
      <c r="F284" s="118"/>
      <c r="G284" s="118"/>
      <c r="H284" s="118"/>
      <c r="I284" s="118"/>
      <c r="J284" s="118"/>
      <c r="K284" s="118"/>
      <c r="L284" s="118"/>
      <c r="M284" s="118"/>
      <c r="N284" s="118"/>
    </row>
    <row r="285" spans="1:14" ht="15.75" customHeight="1" x14ac:dyDescent="0.25">
      <c r="A285" s="119">
        <v>276</v>
      </c>
      <c r="B285" s="120"/>
      <c r="C285" s="120"/>
      <c r="D285" s="120"/>
      <c r="E285" s="120"/>
      <c r="F285" s="120"/>
      <c r="G285" s="120"/>
      <c r="H285" s="120"/>
      <c r="I285" s="120"/>
      <c r="J285" s="120"/>
      <c r="K285" s="120"/>
      <c r="L285" s="120"/>
      <c r="M285" s="120"/>
      <c r="N285" s="120"/>
    </row>
    <row r="286" spans="1:14" ht="15.75" customHeight="1" x14ac:dyDescent="0.25">
      <c r="A286" s="117">
        <v>277</v>
      </c>
      <c r="B286" s="118"/>
      <c r="C286" s="118"/>
      <c r="D286" s="118"/>
      <c r="E286" s="118"/>
      <c r="F286" s="118"/>
      <c r="G286" s="118"/>
      <c r="H286" s="118"/>
      <c r="I286" s="118"/>
      <c r="J286" s="118"/>
      <c r="K286" s="118"/>
      <c r="L286" s="118"/>
      <c r="M286" s="118"/>
      <c r="N286" s="118"/>
    </row>
    <row r="287" spans="1:14" ht="15.75" customHeight="1" x14ac:dyDescent="0.25">
      <c r="A287" s="119">
        <v>278</v>
      </c>
      <c r="B287" s="120"/>
      <c r="C287" s="120"/>
      <c r="D287" s="120"/>
      <c r="E287" s="120"/>
      <c r="F287" s="120"/>
      <c r="G287" s="120"/>
      <c r="H287" s="120"/>
      <c r="I287" s="120"/>
      <c r="J287" s="120"/>
      <c r="K287" s="120"/>
      <c r="L287" s="120"/>
      <c r="M287" s="120"/>
      <c r="N287" s="120"/>
    </row>
    <row r="288" spans="1:14" ht="15.75" customHeight="1" x14ac:dyDescent="0.25">
      <c r="A288" s="117">
        <v>279</v>
      </c>
      <c r="B288" s="118"/>
      <c r="C288" s="118"/>
      <c r="D288" s="118"/>
      <c r="E288" s="118"/>
      <c r="F288" s="118"/>
      <c r="G288" s="118"/>
      <c r="H288" s="118"/>
      <c r="I288" s="118"/>
      <c r="J288" s="118"/>
      <c r="K288" s="118"/>
      <c r="L288" s="118"/>
      <c r="M288" s="118"/>
      <c r="N288" s="118"/>
    </row>
    <row r="289" spans="1:14" ht="15.75" customHeight="1" x14ac:dyDescent="0.25">
      <c r="A289" s="119">
        <v>280</v>
      </c>
      <c r="B289" s="120"/>
      <c r="C289" s="120"/>
      <c r="D289" s="120"/>
      <c r="E289" s="120"/>
      <c r="F289" s="120"/>
      <c r="G289" s="120"/>
      <c r="H289" s="120"/>
      <c r="I289" s="120"/>
      <c r="J289" s="120"/>
      <c r="K289" s="120"/>
      <c r="L289" s="120"/>
      <c r="M289" s="120"/>
      <c r="N289" s="120"/>
    </row>
    <row r="290" spans="1:14" ht="15.75" customHeight="1" x14ac:dyDescent="0.25">
      <c r="A290" s="117">
        <v>281</v>
      </c>
      <c r="B290" s="118"/>
      <c r="C290" s="118"/>
      <c r="D290" s="118"/>
      <c r="E290" s="118"/>
      <c r="F290" s="118"/>
      <c r="G290" s="118"/>
      <c r="H290" s="118"/>
      <c r="I290" s="118"/>
      <c r="J290" s="118"/>
      <c r="K290" s="118"/>
      <c r="L290" s="118"/>
      <c r="M290" s="118"/>
      <c r="N290" s="118"/>
    </row>
    <row r="291" spans="1:14" ht="15.75" customHeight="1" x14ac:dyDescent="0.25">
      <c r="A291" s="119">
        <v>282</v>
      </c>
      <c r="B291" s="120"/>
      <c r="C291" s="120"/>
      <c r="D291" s="120"/>
      <c r="E291" s="120"/>
      <c r="F291" s="120"/>
      <c r="G291" s="120"/>
      <c r="H291" s="120"/>
      <c r="I291" s="120"/>
      <c r="J291" s="120"/>
      <c r="K291" s="120"/>
      <c r="L291" s="120"/>
      <c r="M291" s="120"/>
      <c r="N291" s="120"/>
    </row>
    <row r="292" spans="1:14" ht="15.75" customHeight="1" x14ac:dyDescent="0.25">
      <c r="A292" s="117">
        <v>283</v>
      </c>
      <c r="B292" s="118"/>
      <c r="C292" s="118"/>
      <c r="D292" s="118"/>
      <c r="E292" s="118"/>
      <c r="F292" s="118"/>
      <c r="G292" s="118"/>
      <c r="H292" s="118"/>
      <c r="I292" s="118"/>
      <c r="J292" s="118"/>
      <c r="K292" s="118"/>
      <c r="L292" s="118"/>
      <c r="M292" s="118"/>
      <c r="N292" s="118"/>
    </row>
    <row r="293" spans="1:14" ht="15.75" customHeight="1" x14ac:dyDescent="0.25">
      <c r="A293" s="119">
        <v>284</v>
      </c>
      <c r="B293" s="120"/>
      <c r="C293" s="120"/>
      <c r="D293" s="120"/>
      <c r="E293" s="120"/>
      <c r="F293" s="120"/>
      <c r="G293" s="120"/>
      <c r="H293" s="120"/>
      <c r="I293" s="120"/>
      <c r="J293" s="120"/>
      <c r="K293" s="120"/>
      <c r="L293" s="120"/>
      <c r="M293" s="120"/>
      <c r="N293" s="120"/>
    </row>
    <row r="294" spans="1:14" ht="15.75" customHeight="1" x14ac:dyDescent="0.25">
      <c r="A294" s="117">
        <v>285</v>
      </c>
      <c r="B294" s="118"/>
      <c r="C294" s="118"/>
      <c r="D294" s="118"/>
      <c r="E294" s="118"/>
      <c r="F294" s="118"/>
      <c r="G294" s="118"/>
      <c r="H294" s="118"/>
      <c r="I294" s="118"/>
      <c r="J294" s="118"/>
      <c r="K294" s="118"/>
      <c r="L294" s="118"/>
      <c r="M294" s="118"/>
      <c r="N294" s="118"/>
    </row>
    <row r="295" spans="1:14" ht="15.75" customHeight="1" x14ac:dyDescent="0.25">
      <c r="A295" s="119">
        <v>286</v>
      </c>
      <c r="B295" s="120"/>
      <c r="C295" s="120"/>
      <c r="D295" s="120"/>
      <c r="E295" s="120"/>
      <c r="F295" s="120"/>
      <c r="G295" s="120"/>
      <c r="H295" s="120"/>
      <c r="I295" s="120"/>
      <c r="J295" s="120"/>
      <c r="K295" s="120"/>
      <c r="L295" s="120"/>
      <c r="M295" s="120"/>
      <c r="N295" s="120"/>
    </row>
    <row r="296" spans="1:14" ht="15.75" customHeight="1" x14ac:dyDescent="0.25">
      <c r="A296" s="117">
        <v>287</v>
      </c>
      <c r="B296" s="118"/>
      <c r="C296" s="118"/>
      <c r="D296" s="118"/>
      <c r="E296" s="118"/>
      <c r="F296" s="118"/>
      <c r="G296" s="118"/>
      <c r="H296" s="118"/>
      <c r="I296" s="118"/>
      <c r="J296" s="118"/>
      <c r="K296" s="118"/>
      <c r="L296" s="118"/>
      <c r="M296" s="118"/>
      <c r="N296" s="118"/>
    </row>
    <row r="297" spans="1:14" ht="15.75" customHeight="1" x14ac:dyDescent="0.25">
      <c r="A297" s="119">
        <v>288</v>
      </c>
      <c r="B297" s="120"/>
      <c r="C297" s="120"/>
      <c r="D297" s="120"/>
      <c r="E297" s="120"/>
      <c r="F297" s="120"/>
      <c r="G297" s="120"/>
      <c r="H297" s="120"/>
      <c r="I297" s="120"/>
      <c r="J297" s="120"/>
      <c r="K297" s="120"/>
      <c r="L297" s="120"/>
      <c r="M297" s="120"/>
      <c r="N297" s="120"/>
    </row>
    <row r="298" spans="1:14" ht="15.75" customHeight="1" x14ac:dyDescent="0.25">
      <c r="A298" s="117">
        <v>289</v>
      </c>
      <c r="B298" s="118"/>
      <c r="C298" s="118"/>
      <c r="D298" s="118"/>
      <c r="E298" s="118"/>
      <c r="F298" s="118"/>
      <c r="G298" s="118"/>
      <c r="H298" s="118"/>
      <c r="I298" s="118"/>
      <c r="J298" s="118"/>
      <c r="K298" s="118"/>
      <c r="L298" s="118"/>
      <c r="M298" s="118"/>
      <c r="N298" s="118"/>
    </row>
    <row r="299" spans="1:14" ht="15.75" customHeight="1" x14ac:dyDescent="0.25">
      <c r="A299" s="119">
        <v>290</v>
      </c>
      <c r="B299" s="120"/>
      <c r="C299" s="120"/>
      <c r="D299" s="120"/>
      <c r="E299" s="120"/>
      <c r="F299" s="120"/>
      <c r="G299" s="120"/>
      <c r="H299" s="120"/>
      <c r="I299" s="120"/>
      <c r="J299" s="120"/>
      <c r="K299" s="120"/>
      <c r="L299" s="120"/>
      <c r="M299" s="120"/>
      <c r="N299" s="120"/>
    </row>
    <row r="300" spans="1:14" ht="15.75" customHeight="1" x14ac:dyDescent="0.25">
      <c r="A300" s="117">
        <v>291</v>
      </c>
      <c r="B300" s="118"/>
      <c r="C300" s="118"/>
      <c r="D300" s="118"/>
      <c r="E300" s="118"/>
      <c r="F300" s="118"/>
      <c r="G300" s="118"/>
      <c r="H300" s="118"/>
      <c r="I300" s="118"/>
      <c r="J300" s="118"/>
      <c r="K300" s="118"/>
      <c r="L300" s="118"/>
      <c r="M300" s="118"/>
      <c r="N300" s="118"/>
    </row>
    <row r="301" spans="1:14" ht="15.75" customHeight="1" x14ac:dyDescent="0.25">
      <c r="A301" s="119">
        <v>292</v>
      </c>
      <c r="B301" s="120"/>
      <c r="C301" s="120"/>
      <c r="D301" s="120"/>
      <c r="E301" s="120"/>
      <c r="F301" s="120"/>
      <c r="G301" s="120"/>
      <c r="H301" s="120"/>
      <c r="I301" s="120"/>
      <c r="J301" s="120"/>
      <c r="K301" s="120"/>
      <c r="L301" s="120"/>
      <c r="M301" s="120"/>
      <c r="N301" s="120"/>
    </row>
    <row r="302" spans="1:14" ht="15.75" customHeight="1" x14ac:dyDescent="0.25">
      <c r="A302" s="117">
        <v>293</v>
      </c>
      <c r="B302" s="118"/>
      <c r="C302" s="118"/>
      <c r="D302" s="118"/>
      <c r="E302" s="118"/>
      <c r="F302" s="118"/>
      <c r="G302" s="118"/>
      <c r="H302" s="118"/>
      <c r="I302" s="118"/>
      <c r="J302" s="118"/>
      <c r="K302" s="118"/>
      <c r="L302" s="118"/>
      <c r="M302" s="118"/>
      <c r="N302" s="118"/>
    </row>
    <row r="303" spans="1:14" ht="15.75" customHeight="1" x14ac:dyDescent="0.25">
      <c r="A303" s="119">
        <v>294</v>
      </c>
      <c r="B303" s="120"/>
      <c r="C303" s="120"/>
      <c r="D303" s="120"/>
      <c r="E303" s="120"/>
      <c r="F303" s="120"/>
      <c r="G303" s="120"/>
      <c r="H303" s="120"/>
      <c r="I303" s="120"/>
      <c r="J303" s="120"/>
      <c r="K303" s="120"/>
      <c r="L303" s="120"/>
      <c r="M303" s="120"/>
      <c r="N303" s="120"/>
    </row>
    <row r="304" spans="1:14" ht="15.75" customHeight="1" x14ac:dyDescent="0.25">
      <c r="A304" s="117">
        <v>295</v>
      </c>
      <c r="B304" s="118"/>
      <c r="C304" s="118"/>
      <c r="D304" s="118"/>
      <c r="E304" s="118"/>
      <c r="F304" s="118"/>
      <c r="G304" s="118"/>
      <c r="H304" s="118"/>
      <c r="I304" s="118"/>
      <c r="J304" s="118"/>
      <c r="K304" s="118"/>
      <c r="L304" s="118"/>
      <c r="M304" s="118"/>
      <c r="N304" s="118"/>
    </row>
    <row r="305" spans="1:14" ht="15.75" customHeight="1" x14ac:dyDescent="0.25">
      <c r="A305" s="119">
        <v>296</v>
      </c>
      <c r="B305" s="120"/>
      <c r="C305" s="120"/>
      <c r="D305" s="120"/>
      <c r="E305" s="120"/>
      <c r="F305" s="120"/>
      <c r="G305" s="120"/>
      <c r="H305" s="120"/>
      <c r="I305" s="120"/>
      <c r="J305" s="120"/>
      <c r="K305" s="120"/>
      <c r="L305" s="120"/>
      <c r="M305" s="120"/>
      <c r="N305" s="120"/>
    </row>
    <row r="306" spans="1:14" ht="15.75" customHeight="1" x14ac:dyDescent="0.25">
      <c r="A306" s="117">
        <v>297</v>
      </c>
      <c r="B306" s="118"/>
      <c r="C306" s="118"/>
      <c r="D306" s="118"/>
      <c r="E306" s="118"/>
      <c r="F306" s="118"/>
      <c r="G306" s="118"/>
      <c r="H306" s="118"/>
      <c r="I306" s="118"/>
      <c r="J306" s="118"/>
      <c r="K306" s="118"/>
      <c r="L306" s="118"/>
      <c r="M306" s="118"/>
      <c r="N306" s="118"/>
    </row>
    <row r="307" spans="1:14" ht="15.75" customHeight="1" x14ac:dyDescent="0.25">
      <c r="A307" s="119">
        <v>298</v>
      </c>
      <c r="B307" s="120"/>
      <c r="C307" s="120"/>
      <c r="D307" s="120"/>
      <c r="E307" s="120"/>
      <c r="F307" s="120"/>
      <c r="G307" s="120"/>
      <c r="H307" s="120"/>
      <c r="I307" s="120"/>
      <c r="J307" s="120"/>
      <c r="K307" s="120"/>
      <c r="L307" s="120"/>
      <c r="M307" s="120"/>
      <c r="N307" s="120"/>
    </row>
    <row r="308" spans="1:14" ht="15.75" customHeight="1" x14ac:dyDescent="0.25">
      <c r="A308" s="117">
        <v>299</v>
      </c>
      <c r="B308" s="118"/>
      <c r="C308" s="118"/>
      <c r="D308" s="118"/>
      <c r="E308" s="118"/>
      <c r="F308" s="118"/>
      <c r="G308" s="118"/>
      <c r="H308" s="118"/>
      <c r="I308" s="118"/>
      <c r="J308" s="118"/>
      <c r="K308" s="118"/>
      <c r="L308" s="118"/>
      <c r="M308" s="118"/>
      <c r="N308" s="118"/>
    </row>
    <row r="309" spans="1:14" ht="15.75" customHeight="1" x14ac:dyDescent="0.25">
      <c r="A309" s="119">
        <v>300</v>
      </c>
      <c r="B309" s="120"/>
      <c r="C309" s="120"/>
      <c r="D309" s="120"/>
      <c r="E309" s="120"/>
      <c r="F309" s="120"/>
      <c r="G309" s="120"/>
      <c r="H309" s="120"/>
      <c r="I309" s="120"/>
      <c r="J309" s="120"/>
      <c r="K309" s="120"/>
      <c r="L309" s="120"/>
      <c r="M309" s="120"/>
      <c r="N309" s="120"/>
    </row>
    <row r="310" spans="1:14" ht="15.75" customHeight="1" x14ac:dyDescent="0.25">
      <c r="A310" s="117">
        <v>301</v>
      </c>
      <c r="B310" s="118"/>
      <c r="C310" s="118"/>
      <c r="D310" s="118"/>
      <c r="E310" s="118"/>
      <c r="F310" s="118"/>
      <c r="G310" s="118"/>
      <c r="H310" s="118"/>
      <c r="I310" s="118"/>
      <c r="J310" s="118"/>
      <c r="K310" s="118"/>
      <c r="L310" s="118"/>
      <c r="M310" s="118"/>
      <c r="N310" s="118"/>
    </row>
    <row r="311" spans="1:14" ht="15.75" customHeight="1" x14ac:dyDescent="0.25">
      <c r="A311" s="119">
        <v>302</v>
      </c>
      <c r="B311" s="120"/>
      <c r="C311" s="120"/>
      <c r="D311" s="120"/>
      <c r="E311" s="120"/>
      <c r="F311" s="120"/>
      <c r="G311" s="120"/>
      <c r="H311" s="120"/>
      <c r="I311" s="120"/>
      <c r="J311" s="120"/>
      <c r="K311" s="120"/>
      <c r="L311" s="120"/>
      <c r="M311" s="120"/>
      <c r="N311" s="120"/>
    </row>
    <row r="312" spans="1:14" ht="15.75" customHeight="1" x14ac:dyDescent="0.25">
      <c r="A312" s="117">
        <v>303</v>
      </c>
      <c r="B312" s="118"/>
      <c r="C312" s="118"/>
      <c r="D312" s="118"/>
      <c r="E312" s="118"/>
      <c r="F312" s="118"/>
      <c r="G312" s="118"/>
      <c r="H312" s="118"/>
      <c r="I312" s="118"/>
      <c r="J312" s="118"/>
      <c r="K312" s="118"/>
      <c r="L312" s="118"/>
      <c r="M312" s="118"/>
      <c r="N312" s="118"/>
    </row>
    <row r="313" spans="1:14" ht="15.75" customHeight="1" x14ac:dyDescent="0.25">
      <c r="A313" s="119">
        <v>304</v>
      </c>
      <c r="B313" s="120"/>
      <c r="C313" s="120"/>
      <c r="D313" s="120"/>
      <c r="E313" s="120"/>
      <c r="F313" s="120"/>
      <c r="G313" s="120"/>
      <c r="H313" s="120"/>
      <c r="I313" s="120"/>
      <c r="J313" s="120"/>
      <c r="K313" s="120"/>
      <c r="L313" s="120"/>
      <c r="M313" s="120"/>
      <c r="N313" s="120"/>
    </row>
    <row r="314" spans="1:14" ht="15.75" customHeight="1" x14ac:dyDescent="0.25">
      <c r="A314" s="117">
        <v>305</v>
      </c>
      <c r="B314" s="118"/>
      <c r="C314" s="118"/>
      <c r="D314" s="118"/>
      <c r="E314" s="118"/>
      <c r="F314" s="118"/>
      <c r="G314" s="118"/>
      <c r="H314" s="118"/>
      <c r="I314" s="118"/>
      <c r="J314" s="118"/>
      <c r="K314" s="118"/>
      <c r="L314" s="118"/>
      <c r="M314" s="118"/>
      <c r="N314" s="118"/>
    </row>
    <row r="315" spans="1:14" ht="15.75" customHeight="1" x14ac:dyDescent="0.25">
      <c r="A315" s="119">
        <v>306</v>
      </c>
      <c r="B315" s="120"/>
      <c r="C315" s="120"/>
      <c r="D315" s="120"/>
      <c r="E315" s="120"/>
      <c r="F315" s="120"/>
      <c r="G315" s="120"/>
      <c r="H315" s="120"/>
      <c r="I315" s="120"/>
      <c r="J315" s="120"/>
      <c r="K315" s="120"/>
      <c r="L315" s="120"/>
      <c r="M315" s="120"/>
      <c r="N315" s="120"/>
    </row>
    <row r="316" spans="1:14" ht="15.75" customHeight="1" x14ac:dyDescent="0.25">
      <c r="A316" s="117">
        <v>307</v>
      </c>
      <c r="B316" s="118"/>
      <c r="C316" s="118"/>
      <c r="D316" s="118"/>
      <c r="E316" s="118"/>
      <c r="F316" s="118"/>
      <c r="G316" s="118"/>
      <c r="H316" s="118"/>
      <c r="I316" s="118"/>
      <c r="J316" s="118"/>
      <c r="K316" s="118"/>
      <c r="L316" s="118"/>
      <c r="M316" s="118"/>
      <c r="N316" s="118"/>
    </row>
    <row r="317" spans="1:14" ht="15.75" customHeight="1" x14ac:dyDescent="0.25">
      <c r="A317" s="119">
        <v>308</v>
      </c>
      <c r="B317" s="120"/>
      <c r="C317" s="120"/>
      <c r="D317" s="120"/>
      <c r="E317" s="120"/>
      <c r="F317" s="120"/>
      <c r="G317" s="120"/>
      <c r="H317" s="120"/>
      <c r="I317" s="120"/>
      <c r="J317" s="120"/>
      <c r="K317" s="120"/>
      <c r="L317" s="120"/>
      <c r="M317" s="120"/>
      <c r="N317" s="120"/>
    </row>
    <row r="318" spans="1:14" ht="15.75" customHeight="1" x14ac:dyDescent="0.25">
      <c r="A318" s="117">
        <v>309</v>
      </c>
      <c r="B318" s="118"/>
      <c r="C318" s="118"/>
      <c r="D318" s="118"/>
      <c r="E318" s="118"/>
      <c r="F318" s="118"/>
      <c r="G318" s="118"/>
      <c r="H318" s="118"/>
      <c r="I318" s="118"/>
      <c r="J318" s="118"/>
      <c r="K318" s="118"/>
      <c r="L318" s="118"/>
      <c r="M318" s="118"/>
      <c r="N318" s="118"/>
    </row>
    <row r="319" spans="1:14" ht="15.75" customHeight="1" x14ac:dyDescent="0.25">
      <c r="A319" s="119">
        <v>310</v>
      </c>
      <c r="B319" s="120"/>
      <c r="C319" s="120"/>
      <c r="D319" s="120"/>
      <c r="E319" s="120"/>
      <c r="F319" s="120"/>
      <c r="G319" s="120"/>
      <c r="H319" s="120"/>
      <c r="I319" s="120"/>
      <c r="J319" s="120"/>
      <c r="K319" s="120"/>
      <c r="L319" s="120"/>
      <c r="M319" s="120"/>
      <c r="N319" s="120"/>
    </row>
    <row r="320" spans="1:14" ht="15.75" customHeight="1" x14ac:dyDescent="0.25">
      <c r="A320" s="117">
        <v>311</v>
      </c>
      <c r="B320" s="118"/>
      <c r="C320" s="118"/>
      <c r="D320" s="118"/>
      <c r="E320" s="118"/>
      <c r="F320" s="118"/>
      <c r="G320" s="118"/>
      <c r="H320" s="118"/>
      <c r="I320" s="118"/>
      <c r="J320" s="118"/>
      <c r="K320" s="118"/>
      <c r="L320" s="118"/>
      <c r="M320" s="118"/>
      <c r="N320" s="118"/>
    </row>
    <row r="321" spans="1:14" ht="15.75" customHeight="1" x14ac:dyDescent="0.25">
      <c r="A321" s="119">
        <v>312</v>
      </c>
      <c r="B321" s="120"/>
      <c r="C321" s="120"/>
      <c r="D321" s="120"/>
      <c r="E321" s="120"/>
      <c r="F321" s="120"/>
      <c r="G321" s="120"/>
      <c r="H321" s="120"/>
      <c r="I321" s="120"/>
      <c r="J321" s="120"/>
      <c r="K321" s="120"/>
      <c r="L321" s="120"/>
      <c r="M321" s="120"/>
      <c r="N321" s="120"/>
    </row>
    <row r="322" spans="1:14" ht="15.75" customHeight="1" x14ac:dyDescent="0.25">
      <c r="A322" s="117">
        <v>313</v>
      </c>
      <c r="B322" s="118"/>
      <c r="C322" s="118"/>
      <c r="D322" s="118"/>
      <c r="E322" s="118"/>
      <c r="F322" s="118"/>
      <c r="G322" s="118"/>
      <c r="H322" s="118"/>
      <c r="I322" s="118"/>
      <c r="J322" s="118"/>
      <c r="K322" s="118"/>
      <c r="L322" s="118"/>
      <c r="M322" s="118"/>
      <c r="N322" s="118"/>
    </row>
    <row r="323" spans="1:14" ht="15.75" customHeight="1" x14ac:dyDescent="0.25">
      <c r="A323" s="119">
        <v>314</v>
      </c>
      <c r="B323" s="120"/>
      <c r="C323" s="120"/>
      <c r="D323" s="120"/>
      <c r="E323" s="120"/>
      <c r="F323" s="120"/>
      <c r="G323" s="120"/>
      <c r="H323" s="120"/>
      <c r="I323" s="120"/>
      <c r="J323" s="120"/>
      <c r="K323" s="120"/>
      <c r="L323" s="120"/>
      <c r="M323" s="120"/>
      <c r="N323" s="120"/>
    </row>
    <row r="324" spans="1:14" ht="15.75" customHeight="1" x14ac:dyDescent="0.25">
      <c r="A324" s="117">
        <v>315</v>
      </c>
      <c r="B324" s="118"/>
      <c r="C324" s="118"/>
      <c r="D324" s="118"/>
      <c r="E324" s="118"/>
      <c r="F324" s="118"/>
      <c r="G324" s="118"/>
      <c r="H324" s="118"/>
      <c r="I324" s="118"/>
      <c r="J324" s="118"/>
      <c r="K324" s="118"/>
      <c r="L324" s="118"/>
      <c r="M324" s="118"/>
      <c r="N324" s="118"/>
    </row>
    <row r="325" spans="1:14" ht="15.75" customHeight="1" x14ac:dyDescent="0.25">
      <c r="A325" s="119">
        <v>316</v>
      </c>
      <c r="B325" s="120"/>
      <c r="C325" s="120"/>
      <c r="D325" s="120"/>
      <c r="E325" s="120"/>
      <c r="F325" s="120"/>
      <c r="G325" s="120"/>
      <c r="H325" s="120"/>
      <c r="I325" s="120"/>
      <c r="J325" s="120"/>
      <c r="K325" s="120"/>
      <c r="L325" s="120"/>
      <c r="M325" s="120"/>
      <c r="N325" s="120"/>
    </row>
    <row r="326" spans="1:14" ht="15.75" customHeight="1" x14ac:dyDescent="0.25">
      <c r="A326" s="117">
        <v>317</v>
      </c>
      <c r="B326" s="118"/>
      <c r="C326" s="118"/>
      <c r="D326" s="118"/>
      <c r="E326" s="118"/>
      <c r="F326" s="118"/>
      <c r="G326" s="118"/>
      <c r="H326" s="118"/>
      <c r="I326" s="118"/>
      <c r="J326" s="118"/>
      <c r="K326" s="118"/>
      <c r="L326" s="118"/>
      <c r="M326" s="118"/>
      <c r="N326" s="118"/>
    </row>
    <row r="327" spans="1:14" ht="15.75" customHeight="1" x14ac:dyDescent="0.25">
      <c r="A327" s="119">
        <v>318</v>
      </c>
      <c r="B327" s="120"/>
      <c r="C327" s="120"/>
      <c r="D327" s="120"/>
      <c r="E327" s="120"/>
      <c r="F327" s="120"/>
      <c r="G327" s="120"/>
      <c r="H327" s="120"/>
      <c r="I327" s="120"/>
      <c r="J327" s="120"/>
      <c r="K327" s="120"/>
      <c r="L327" s="120"/>
      <c r="M327" s="120"/>
      <c r="N327" s="120"/>
    </row>
    <row r="328" spans="1:14" ht="15.75" customHeight="1" x14ac:dyDescent="0.25">
      <c r="A328" s="117">
        <v>319</v>
      </c>
      <c r="B328" s="118"/>
      <c r="C328" s="118"/>
      <c r="D328" s="118"/>
      <c r="E328" s="118"/>
      <c r="F328" s="118"/>
      <c r="G328" s="118"/>
      <c r="H328" s="118"/>
      <c r="I328" s="118"/>
      <c r="J328" s="118"/>
      <c r="K328" s="118"/>
      <c r="L328" s="118"/>
      <c r="M328" s="118"/>
      <c r="N328" s="118"/>
    </row>
    <row r="329" spans="1:14" ht="15.75" customHeight="1" x14ac:dyDescent="0.25">
      <c r="A329" s="119">
        <v>320</v>
      </c>
      <c r="B329" s="120"/>
      <c r="C329" s="120"/>
      <c r="D329" s="120"/>
      <c r="E329" s="120"/>
      <c r="F329" s="120"/>
      <c r="G329" s="120"/>
      <c r="H329" s="120"/>
      <c r="I329" s="120"/>
      <c r="J329" s="120"/>
      <c r="K329" s="120"/>
      <c r="L329" s="120"/>
      <c r="M329" s="120"/>
      <c r="N329" s="120"/>
    </row>
    <row r="330" spans="1:14" ht="15.75" customHeight="1" x14ac:dyDescent="0.25">
      <c r="A330" s="117">
        <v>321</v>
      </c>
      <c r="B330" s="118"/>
      <c r="C330" s="118"/>
      <c r="D330" s="118"/>
      <c r="E330" s="118"/>
      <c r="F330" s="118"/>
      <c r="G330" s="118"/>
      <c r="H330" s="118"/>
      <c r="I330" s="118"/>
      <c r="J330" s="118"/>
      <c r="K330" s="118"/>
      <c r="L330" s="118"/>
      <c r="M330" s="118"/>
      <c r="N330" s="118"/>
    </row>
    <row r="331" spans="1:14" ht="15.75" customHeight="1" x14ac:dyDescent="0.25">
      <c r="A331" s="119">
        <v>322</v>
      </c>
      <c r="B331" s="120"/>
      <c r="C331" s="120"/>
      <c r="D331" s="120"/>
      <c r="E331" s="120"/>
      <c r="F331" s="120"/>
      <c r="G331" s="120"/>
      <c r="H331" s="120"/>
      <c r="I331" s="120"/>
      <c r="J331" s="120"/>
      <c r="K331" s="120"/>
      <c r="L331" s="120"/>
      <c r="M331" s="120"/>
      <c r="N331" s="120"/>
    </row>
    <row r="332" spans="1:14" ht="15.75" customHeight="1" x14ac:dyDescent="0.25">
      <c r="A332" s="117">
        <v>323</v>
      </c>
      <c r="B332" s="118"/>
      <c r="C332" s="118"/>
      <c r="D332" s="118"/>
      <c r="E332" s="118"/>
      <c r="F332" s="118"/>
      <c r="G332" s="118"/>
      <c r="H332" s="118"/>
      <c r="I332" s="118"/>
      <c r="J332" s="118"/>
      <c r="K332" s="118"/>
      <c r="L332" s="118"/>
      <c r="M332" s="118"/>
      <c r="N332" s="118"/>
    </row>
    <row r="333" spans="1:14" ht="15.75" customHeight="1" x14ac:dyDescent="0.25">
      <c r="A333" s="119">
        <v>324</v>
      </c>
      <c r="B333" s="120"/>
      <c r="C333" s="120"/>
      <c r="D333" s="120"/>
      <c r="E333" s="120"/>
      <c r="F333" s="120"/>
      <c r="G333" s="120"/>
      <c r="H333" s="120"/>
      <c r="I333" s="120"/>
      <c r="J333" s="120"/>
      <c r="K333" s="120"/>
      <c r="L333" s="120"/>
      <c r="M333" s="120"/>
      <c r="N333" s="120"/>
    </row>
    <row r="334" spans="1:14" ht="15.75" customHeight="1" x14ac:dyDescent="0.25">
      <c r="A334" s="117">
        <v>325</v>
      </c>
      <c r="B334" s="118"/>
      <c r="C334" s="118"/>
      <c r="D334" s="118"/>
      <c r="E334" s="118"/>
      <c r="F334" s="118"/>
      <c r="G334" s="118"/>
      <c r="H334" s="118"/>
      <c r="I334" s="118"/>
      <c r="J334" s="118"/>
      <c r="K334" s="118"/>
      <c r="L334" s="118"/>
      <c r="M334" s="118"/>
      <c r="N334" s="118"/>
    </row>
    <row r="335" spans="1:14" ht="15.75" customHeight="1" x14ac:dyDescent="0.25">
      <c r="A335" s="119">
        <v>326</v>
      </c>
      <c r="B335" s="120"/>
      <c r="C335" s="120"/>
      <c r="D335" s="120"/>
      <c r="E335" s="120"/>
      <c r="F335" s="120"/>
      <c r="G335" s="120"/>
      <c r="H335" s="120"/>
      <c r="I335" s="120"/>
      <c r="J335" s="120"/>
      <c r="K335" s="120"/>
      <c r="L335" s="120"/>
      <c r="M335" s="120"/>
      <c r="N335" s="120"/>
    </row>
    <row r="336" spans="1:14" ht="15.75" customHeight="1" x14ac:dyDescent="0.25">
      <c r="A336" s="117">
        <v>327</v>
      </c>
      <c r="B336" s="118"/>
      <c r="C336" s="118"/>
      <c r="D336" s="118"/>
      <c r="E336" s="118"/>
      <c r="F336" s="118"/>
      <c r="G336" s="118"/>
      <c r="H336" s="118"/>
      <c r="I336" s="118"/>
      <c r="J336" s="118"/>
      <c r="K336" s="118"/>
      <c r="L336" s="118"/>
      <c r="M336" s="118"/>
      <c r="N336" s="118"/>
    </row>
    <row r="337" spans="1:14" ht="15.75" customHeight="1" x14ac:dyDescent="0.25">
      <c r="A337" s="119">
        <v>328</v>
      </c>
      <c r="B337" s="120"/>
      <c r="C337" s="120"/>
      <c r="D337" s="120"/>
      <c r="E337" s="120"/>
      <c r="F337" s="120"/>
      <c r="G337" s="120"/>
      <c r="H337" s="120"/>
      <c r="I337" s="120"/>
      <c r="J337" s="120"/>
      <c r="K337" s="120"/>
      <c r="L337" s="120"/>
      <c r="M337" s="120"/>
      <c r="N337" s="120"/>
    </row>
    <row r="338" spans="1:14" ht="15.75" customHeight="1" x14ac:dyDescent="0.25">
      <c r="A338" s="117">
        <v>329</v>
      </c>
      <c r="B338" s="118"/>
      <c r="C338" s="118"/>
      <c r="D338" s="118"/>
      <c r="E338" s="118"/>
      <c r="F338" s="118"/>
      <c r="G338" s="118"/>
      <c r="H338" s="118"/>
      <c r="I338" s="118"/>
      <c r="J338" s="118"/>
      <c r="K338" s="118"/>
      <c r="L338" s="118"/>
      <c r="M338" s="118"/>
      <c r="N338" s="118"/>
    </row>
    <row r="339" spans="1:14" ht="15.75" customHeight="1" x14ac:dyDescent="0.25">
      <c r="A339" s="119">
        <v>330</v>
      </c>
      <c r="B339" s="120"/>
      <c r="C339" s="120"/>
      <c r="D339" s="120"/>
      <c r="E339" s="120"/>
      <c r="F339" s="120"/>
      <c r="G339" s="120"/>
      <c r="H339" s="120"/>
      <c r="I339" s="120"/>
      <c r="J339" s="120"/>
      <c r="K339" s="120"/>
      <c r="L339" s="120"/>
      <c r="M339" s="120"/>
      <c r="N339" s="120"/>
    </row>
    <row r="340" spans="1:14" ht="15.75" customHeight="1" x14ac:dyDescent="0.25">
      <c r="A340" s="117">
        <v>331</v>
      </c>
      <c r="B340" s="118"/>
      <c r="C340" s="118"/>
      <c r="D340" s="118"/>
      <c r="E340" s="118"/>
      <c r="F340" s="118"/>
      <c r="G340" s="118"/>
      <c r="H340" s="118"/>
      <c r="I340" s="118"/>
      <c r="J340" s="118"/>
      <c r="K340" s="118"/>
      <c r="L340" s="118"/>
      <c r="M340" s="118"/>
      <c r="N340" s="118"/>
    </row>
    <row r="341" spans="1:14" ht="15.75" customHeight="1" x14ac:dyDescent="0.25">
      <c r="A341" s="119">
        <v>332</v>
      </c>
      <c r="B341" s="120"/>
      <c r="C341" s="120"/>
      <c r="D341" s="120"/>
      <c r="E341" s="120"/>
      <c r="F341" s="120"/>
      <c r="G341" s="120"/>
      <c r="H341" s="120"/>
      <c r="I341" s="120"/>
      <c r="J341" s="120"/>
      <c r="K341" s="120"/>
      <c r="L341" s="120"/>
      <c r="M341" s="120"/>
      <c r="N341" s="120"/>
    </row>
    <row r="342" spans="1:14" ht="15.75" customHeight="1" x14ac:dyDescent="0.25">
      <c r="A342" s="117">
        <v>333</v>
      </c>
      <c r="B342" s="118"/>
      <c r="C342" s="118"/>
      <c r="D342" s="118"/>
      <c r="E342" s="118"/>
      <c r="F342" s="118"/>
      <c r="G342" s="118"/>
      <c r="H342" s="118"/>
      <c r="I342" s="118"/>
      <c r="J342" s="118"/>
      <c r="K342" s="118"/>
      <c r="L342" s="118"/>
      <c r="M342" s="118"/>
      <c r="N342" s="118"/>
    </row>
    <row r="343" spans="1:14" ht="15.75" customHeight="1" x14ac:dyDescent="0.25">
      <c r="A343" s="119">
        <v>334</v>
      </c>
      <c r="B343" s="120"/>
      <c r="C343" s="120"/>
      <c r="D343" s="120"/>
      <c r="E343" s="120"/>
      <c r="F343" s="120"/>
      <c r="G343" s="120"/>
      <c r="H343" s="120"/>
      <c r="I343" s="120"/>
      <c r="J343" s="120"/>
      <c r="K343" s="120"/>
      <c r="L343" s="120"/>
      <c r="M343" s="120"/>
      <c r="N343" s="120"/>
    </row>
    <row r="344" spans="1:14" ht="15.75" customHeight="1" x14ac:dyDescent="0.25">
      <c r="A344" s="117">
        <v>335</v>
      </c>
      <c r="B344" s="118"/>
      <c r="C344" s="118"/>
      <c r="D344" s="118"/>
      <c r="E344" s="118"/>
      <c r="F344" s="118"/>
      <c r="G344" s="118"/>
      <c r="H344" s="118"/>
      <c r="I344" s="118"/>
      <c r="J344" s="118"/>
      <c r="K344" s="118"/>
      <c r="L344" s="118"/>
      <c r="M344" s="118"/>
      <c r="N344" s="118"/>
    </row>
    <row r="345" spans="1:14" ht="15.75" customHeight="1" x14ac:dyDescent="0.25">
      <c r="A345" s="119">
        <v>336</v>
      </c>
      <c r="B345" s="120"/>
      <c r="C345" s="120"/>
      <c r="D345" s="120"/>
      <c r="E345" s="120"/>
      <c r="F345" s="120"/>
      <c r="G345" s="120"/>
      <c r="H345" s="120"/>
      <c r="I345" s="120"/>
      <c r="J345" s="120"/>
      <c r="K345" s="120"/>
      <c r="L345" s="120"/>
      <c r="M345" s="120"/>
      <c r="N345" s="120"/>
    </row>
    <row r="346" spans="1:14" ht="15.75" customHeight="1" x14ac:dyDescent="0.25">
      <c r="A346" s="117">
        <v>337</v>
      </c>
      <c r="B346" s="118"/>
      <c r="C346" s="118"/>
      <c r="D346" s="118"/>
      <c r="E346" s="118"/>
      <c r="F346" s="118"/>
      <c r="G346" s="118"/>
      <c r="H346" s="118"/>
      <c r="I346" s="118"/>
      <c r="J346" s="118"/>
      <c r="K346" s="118"/>
      <c r="L346" s="118"/>
      <c r="M346" s="118"/>
      <c r="N346" s="118"/>
    </row>
    <row r="347" spans="1:14" ht="15.75" customHeight="1" x14ac:dyDescent="0.25">
      <c r="A347" s="119">
        <v>338</v>
      </c>
      <c r="B347" s="120"/>
      <c r="C347" s="120"/>
      <c r="D347" s="120"/>
      <c r="E347" s="120"/>
      <c r="F347" s="120"/>
      <c r="G347" s="120"/>
      <c r="H347" s="120"/>
      <c r="I347" s="120"/>
      <c r="J347" s="120"/>
      <c r="K347" s="120"/>
      <c r="L347" s="120"/>
      <c r="M347" s="120"/>
      <c r="N347" s="120"/>
    </row>
    <row r="348" spans="1:14" ht="15.75" customHeight="1" x14ac:dyDescent="0.25">
      <c r="A348" s="117">
        <v>339</v>
      </c>
      <c r="B348" s="118"/>
      <c r="C348" s="118"/>
      <c r="D348" s="118"/>
      <c r="E348" s="118"/>
      <c r="F348" s="118"/>
      <c r="G348" s="118"/>
      <c r="H348" s="118"/>
      <c r="I348" s="118"/>
      <c r="J348" s="118"/>
      <c r="K348" s="118"/>
      <c r="L348" s="118"/>
      <c r="M348" s="118"/>
      <c r="N348" s="118"/>
    </row>
    <row r="349" spans="1:14" ht="15.75" customHeight="1" x14ac:dyDescent="0.25">
      <c r="A349" s="119">
        <v>340</v>
      </c>
      <c r="B349" s="120"/>
      <c r="C349" s="120"/>
      <c r="D349" s="120"/>
      <c r="E349" s="120"/>
      <c r="F349" s="120"/>
      <c r="G349" s="120"/>
      <c r="H349" s="120"/>
      <c r="I349" s="120"/>
      <c r="J349" s="120"/>
      <c r="K349" s="120"/>
      <c r="L349" s="120"/>
      <c r="M349" s="120"/>
      <c r="N349" s="120"/>
    </row>
    <row r="350" spans="1:14" ht="15.75" customHeight="1" x14ac:dyDescent="0.25">
      <c r="A350" s="117">
        <v>341</v>
      </c>
      <c r="B350" s="118"/>
      <c r="C350" s="118"/>
      <c r="D350" s="118"/>
      <c r="E350" s="118"/>
      <c r="F350" s="118"/>
      <c r="G350" s="118"/>
      <c r="H350" s="118"/>
      <c r="I350" s="118"/>
      <c r="J350" s="118"/>
      <c r="K350" s="118"/>
      <c r="L350" s="118"/>
      <c r="M350" s="118"/>
      <c r="N350" s="118"/>
    </row>
    <row r="351" spans="1:14" ht="15.75" customHeight="1" x14ac:dyDescent="0.25">
      <c r="A351" s="119">
        <v>342</v>
      </c>
      <c r="B351" s="120"/>
      <c r="C351" s="120"/>
      <c r="D351" s="120"/>
      <c r="E351" s="120"/>
      <c r="F351" s="120"/>
      <c r="G351" s="120"/>
      <c r="H351" s="120"/>
      <c r="I351" s="120"/>
      <c r="J351" s="120"/>
      <c r="K351" s="120"/>
      <c r="L351" s="120"/>
      <c r="M351" s="120"/>
      <c r="N351" s="120"/>
    </row>
    <row r="352" spans="1:14" ht="15.75" customHeight="1" x14ac:dyDescent="0.25">
      <c r="A352" s="117">
        <v>343</v>
      </c>
      <c r="B352" s="118"/>
      <c r="C352" s="118"/>
      <c r="D352" s="118"/>
      <c r="E352" s="118"/>
      <c r="F352" s="118"/>
      <c r="G352" s="118"/>
      <c r="H352" s="118"/>
      <c r="I352" s="118"/>
      <c r="J352" s="118"/>
      <c r="K352" s="118"/>
      <c r="L352" s="118"/>
      <c r="M352" s="118"/>
      <c r="N352" s="118"/>
    </row>
    <row r="353" spans="1:14" ht="15.75" customHeight="1" x14ac:dyDescent="0.25">
      <c r="A353" s="119">
        <v>344</v>
      </c>
      <c r="B353" s="120"/>
      <c r="C353" s="120"/>
      <c r="D353" s="120"/>
      <c r="E353" s="120"/>
      <c r="F353" s="120"/>
      <c r="G353" s="120"/>
      <c r="H353" s="120"/>
      <c r="I353" s="120"/>
      <c r="J353" s="120"/>
      <c r="K353" s="120"/>
      <c r="L353" s="120"/>
      <c r="M353" s="120"/>
      <c r="N353" s="120"/>
    </row>
    <row r="354" spans="1:14" ht="15.75" customHeight="1" x14ac:dyDescent="0.25">
      <c r="A354" s="117">
        <v>345</v>
      </c>
      <c r="B354" s="118"/>
      <c r="C354" s="118"/>
      <c r="D354" s="118"/>
      <c r="E354" s="118"/>
      <c r="F354" s="118"/>
      <c r="G354" s="118"/>
      <c r="H354" s="118"/>
      <c r="I354" s="118"/>
      <c r="J354" s="118"/>
      <c r="K354" s="118"/>
      <c r="L354" s="118"/>
      <c r="M354" s="118"/>
      <c r="N354" s="118"/>
    </row>
    <row r="355" spans="1:14" ht="15.75" customHeight="1" x14ac:dyDescent="0.25">
      <c r="A355" s="119">
        <v>346</v>
      </c>
      <c r="B355" s="120"/>
      <c r="C355" s="120"/>
      <c r="D355" s="120"/>
      <c r="E355" s="120"/>
      <c r="F355" s="120"/>
      <c r="G355" s="120"/>
      <c r="H355" s="120"/>
      <c r="I355" s="120"/>
      <c r="J355" s="120"/>
      <c r="K355" s="120"/>
      <c r="L355" s="120"/>
      <c r="M355" s="120"/>
      <c r="N355" s="120"/>
    </row>
    <row r="356" spans="1:14" ht="15.75" customHeight="1" x14ac:dyDescent="0.25">
      <c r="A356" s="117">
        <v>347</v>
      </c>
      <c r="B356" s="118"/>
      <c r="C356" s="118"/>
      <c r="D356" s="118"/>
      <c r="E356" s="118"/>
      <c r="F356" s="118"/>
      <c r="G356" s="118"/>
      <c r="H356" s="118"/>
      <c r="I356" s="118"/>
      <c r="J356" s="118"/>
      <c r="K356" s="118"/>
      <c r="L356" s="118"/>
      <c r="M356" s="118"/>
      <c r="N356" s="118"/>
    </row>
    <row r="357" spans="1:14" ht="15.75" customHeight="1" x14ac:dyDescent="0.25">
      <c r="A357" s="119">
        <v>348</v>
      </c>
      <c r="B357" s="120"/>
      <c r="C357" s="120"/>
      <c r="D357" s="120"/>
      <c r="E357" s="120"/>
      <c r="F357" s="120"/>
      <c r="G357" s="120"/>
      <c r="H357" s="120"/>
      <c r="I357" s="120"/>
      <c r="J357" s="120"/>
      <c r="K357" s="120"/>
      <c r="L357" s="120"/>
      <c r="M357" s="120"/>
      <c r="N357" s="120"/>
    </row>
    <row r="358" spans="1:14" ht="15.75" customHeight="1" x14ac:dyDescent="0.25">
      <c r="A358" s="117">
        <v>349</v>
      </c>
      <c r="B358" s="118"/>
      <c r="C358" s="118"/>
      <c r="D358" s="118"/>
      <c r="E358" s="118"/>
      <c r="F358" s="118"/>
      <c r="G358" s="118"/>
      <c r="H358" s="118"/>
      <c r="I358" s="118"/>
      <c r="J358" s="118"/>
      <c r="K358" s="118"/>
      <c r="L358" s="118"/>
      <c r="M358" s="118"/>
      <c r="N358" s="118"/>
    </row>
    <row r="359" spans="1:14" ht="15.75" customHeight="1" x14ac:dyDescent="0.25">
      <c r="A359" s="119">
        <v>350</v>
      </c>
      <c r="B359" s="120"/>
      <c r="C359" s="120"/>
      <c r="D359" s="120"/>
      <c r="E359" s="120"/>
      <c r="F359" s="120"/>
      <c r="G359" s="120"/>
      <c r="H359" s="120"/>
      <c r="I359" s="120"/>
      <c r="J359" s="120"/>
      <c r="K359" s="120"/>
      <c r="L359" s="120"/>
      <c r="M359" s="120"/>
      <c r="N359" s="120"/>
    </row>
    <row r="360" spans="1:14" ht="15.75" customHeight="1" x14ac:dyDescent="0.25">
      <c r="A360" s="117">
        <v>351</v>
      </c>
      <c r="B360" s="118"/>
      <c r="C360" s="118"/>
      <c r="D360" s="118"/>
      <c r="E360" s="118"/>
      <c r="F360" s="118"/>
      <c r="G360" s="118"/>
      <c r="H360" s="118"/>
      <c r="I360" s="118"/>
      <c r="J360" s="118"/>
      <c r="K360" s="118"/>
      <c r="L360" s="118"/>
      <c r="M360" s="118"/>
      <c r="N360" s="118"/>
    </row>
    <row r="361" spans="1:14" ht="15.75" customHeight="1" x14ac:dyDescent="0.25">
      <c r="A361" s="119">
        <v>352</v>
      </c>
      <c r="B361" s="120"/>
      <c r="C361" s="120"/>
      <c r="D361" s="120"/>
      <c r="E361" s="120"/>
      <c r="F361" s="120"/>
      <c r="G361" s="120"/>
      <c r="H361" s="120"/>
      <c r="I361" s="120"/>
      <c r="J361" s="120"/>
      <c r="K361" s="120"/>
      <c r="L361" s="120"/>
      <c r="M361" s="120"/>
      <c r="N361" s="120"/>
    </row>
    <row r="362" spans="1:14" ht="15.75" customHeight="1" x14ac:dyDescent="0.25">
      <c r="A362" s="117">
        <v>353</v>
      </c>
      <c r="B362" s="118"/>
      <c r="C362" s="118"/>
      <c r="D362" s="118"/>
      <c r="E362" s="118"/>
      <c r="F362" s="118"/>
      <c r="G362" s="118"/>
      <c r="H362" s="118"/>
      <c r="I362" s="118"/>
      <c r="J362" s="118"/>
      <c r="K362" s="118"/>
      <c r="L362" s="118"/>
      <c r="M362" s="118"/>
      <c r="N362" s="118"/>
    </row>
    <row r="363" spans="1:14" ht="15.75" customHeight="1" x14ac:dyDescent="0.25">
      <c r="A363" s="119">
        <v>354</v>
      </c>
      <c r="B363" s="120"/>
      <c r="C363" s="120"/>
      <c r="D363" s="120"/>
      <c r="E363" s="120"/>
      <c r="F363" s="120"/>
      <c r="G363" s="120"/>
      <c r="H363" s="120"/>
      <c r="I363" s="120"/>
      <c r="J363" s="120"/>
      <c r="K363" s="120"/>
      <c r="L363" s="120"/>
      <c r="M363" s="120"/>
      <c r="N363" s="120"/>
    </row>
    <row r="364" spans="1:14" ht="15.75" customHeight="1" x14ac:dyDescent="0.25">
      <c r="A364" s="117">
        <v>355</v>
      </c>
      <c r="B364" s="118"/>
      <c r="C364" s="118"/>
      <c r="D364" s="118"/>
      <c r="E364" s="118"/>
      <c r="F364" s="118"/>
      <c r="G364" s="118"/>
      <c r="H364" s="118"/>
      <c r="I364" s="118"/>
      <c r="J364" s="118"/>
      <c r="K364" s="118"/>
      <c r="L364" s="118"/>
      <c r="M364" s="118"/>
      <c r="N364" s="118"/>
    </row>
    <row r="365" spans="1:14" ht="15.75" customHeight="1" x14ac:dyDescent="0.25">
      <c r="A365" s="119">
        <v>356</v>
      </c>
      <c r="B365" s="120"/>
      <c r="C365" s="120"/>
      <c r="D365" s="120"/>
      <c r="E365" s="120"/>
      <c r="F365" s="120"/>
      <c r="G365" s="120"/>
      <c r="H365" s="120"/>
      <c r="I365" s="120"/>
      <c r="J365" s="120"/>
      <c r="K365" s="120"/>
      <c r="L365" s="120"/>
      <c r="M365" s="120"/>
      <c r="N365" s="120"/>
    </row>
    <row r="366" spans="1:14" ht="15.75" customHeight="1" x14ac:dyDescent="0.25">
      <c r="A366" s="117">
        <v>357</v>
      </c>
      <c r="B366" s="118"/>
      <c r="C366" s="118"/>
      <c r="D366" s="118"/>
      <c r="E366" s="118"/>
      <c r="F366" s="118"/>
      <c r="G366" s="118"/>
      <c r="H366" s="118"/>
      <c r="I366" s="118"/>
      <c r="J366" s="118"/>
      <c r="K366" s="118"/>
      <c r="L366" s="118"/>
      <c r="M366" s="118"/>
      <c r="N366" s="118"/>
    </row>
    <row r="367" spans="1:14" ht="15.75" customHeight="1" x14ac:dyDescent="0.25">
      <c r="A367" s="119">
        <v>358</v>
      </c>
      <c r="B367" s="120"/>
      <c r="C367" s="120"/>
      <c r="D367" s="120"/>
      <c r="E367" s="120"/>
      <c r="F367" s="120"/>
      <c r="G367" s="120"/>
      <c r="H367" s="120"/>
      <c r="I367" s="120"/>
      <c r="J367" s="120"/>
      <c r="K367" s="120"/>
      <c r="L367" s="120"/>
      <c r="M367" s="120"/>
      <c r="N367" s="120"/>
    </row>
    <row r="368" spans="1:14" ht="15.75" customHeight="1" x14ac:dyDescent="0.25">
      <c r="A368" s="117">
        <v>359</v>
      </c>
      <c r="B368" s="118"/>
      <c r="C368" s="118"/>
      <c r="D368" s="118"/>
      <c r="E368" s="118"/>
      <c r="F368" s="118"/>
      <c r="G368" s="118"/>
      <c r="H368" s="118"/>
      <c r="I368" s="118"/>
      <c r="J368" s="118"/>
      <c r="K368" s="118"/>
      <c r="L368" s="118"/>
      <c r="M368" s="118"/>
      <c r="N368" s="118"/>
    </row>
    <row r="369" spans="1:14" ht="15.75" customHeight="1" x14ac:dyDescent="0.25">
      <c r="A369" s="119">
        <v>360</v>
      </c>
      <c r="B369" s="120"/>
      <c r="C369" s="120"/>
      <c r="D369" s="120"/>
      <c r="E369" s="120"/>
      <c r="F369" s="120"/>
      <c r="G369" s="120"/>
      <c r="H369" s="120"/>
      <c r="I369" s="120"/>
      <c r="J369" s="120"/>
      <c r="K369" s="120"/>
      <c r="L369" s="120"/>
      <c r="M369" s="120"/>
      <c r="N369" s="120"/>
    </row>
    <row r="370" spans="1:14" ht="15.75" customHeight="1" x14ac:dyDescent="0.25">
      <c r="A370" s="117">
        <v>361</v>
      </c>
      <c r="B370" s="118"/>
      <c r="C370" s="118"/>
      <c r="D370" s="118"/>
      <c r="E370" s="118"/>
      <c r="F370" s="118"/>
      <c r="G370" s="118"/>
      <c r="H370" s="118"/>
      <c r="I370" s="118"/>
      <c r="J370" s="118"/>
      <c r="K370" s="118"/>
      <c r="L370" s="118"/>
      <c r="M370" s="118"/>
      <c r="N370" s="118"/>
    </row>
    <row r="371" spans="1:14" ht="15.75" customHeight="1" x14ac:dyDescent="0.25">
      <c r="A371" s="119">
        <v>362</v>
      </c>
      <c r="B371" s="120"/>
      <c r="C371" s="120"/>
      <c r="D371" s="120"/>
      <c r="E371" s="120"/>
      <c r="F371" s="120"/>
      <c r="G371" s="120"/>
      <c r="H371" s="120"/>
      <c r="I371" s="120"/>
      <c r="J371" s="120"/>
      <c r="K371" s="120"/>
      <c r="L371" s="120"/>
      <c r="M371" s="120"/>
      <c r="N371" s="120"/>
    </row>
    <row r="372" spans="1:14" ht="15.75" customHeight="1" x14ac:dyDescent="0.25">
      <c r="A372" s="117">
        <v>363</v>
      </c>
      <c r="B372" s="118"/>
      <c r="C372" s="118"/>
      <c r="D372" s="118"/>
      <c r="E372" s="118"/>
      <c r="F372" s="118"/>
      <c r="G372" s="118"/>
      <c r="H372" s="118"/>
      <c r="I372" s="118"/>
      <c r="J372" s="118"/>
      <c r="K372" s="118"/>
      <c r="L372" s="118"/>
      <c r="M372" s="118"/>
      <c r="N372" s="118"/>
    </row>
    <row r="373" spans="1:14" ht="15.75" customHeight="1" x14ac:dyDescent="0.25">
      <c r="A373" s="119">
        <v>364</v>
      </c>
      <c r="B373" s="120"/>
      <c r="C373" s="120"/>
      <c r="D373" s="120"/>
      <c r="E373" s="120"/>
      <c r="F373" s="120"/>
      <c r="G373" s="120"/>
      <c r="H373" s="120"/>
      <c r="I373" s="120"/>
      <c r="J373" s="120"/>
      <c r="K373" s="120"/>
      <c r="L373" s="120"/>
      <c r="M373" s="120"/>
      <c r="N373" s="120"/>
    </row>
    <row r="374" spans="1:14" ht="15.75" customHeight="1" x14ac:dyDescent="0.25">
      <c r="A374" s="117">
        <v>365</v>
      </c>
      <c r="B374" s="118"/>
      <c r="C374" s="118"/>
      <c r="D374" s="118"/>
      <c r="E374" s="118"/>
      <c r="F374" s="118"/>
      <c r="G374" s="118"/>
      <c r="H374" s="118"/>
      <c r="I374" s="118"/>
      <c r="J374" s="118"/>
      <c r="K374" s="118"/>
      <c r="L374" s="118"/>
      <c r="M374" s="118"/>
      <c r="N374" s="118"/>
    </row>
    <row r="375" spans="1:14" ht="15.75" customHeight="1" x14ac:dyDescent="0.25">
      <c r="A375" s="119">
        <v>366</v>
      </c>
      <c r="B375" s="120"/>
      <c r="C375" s="120"/>
      <c r="D375" s="120"/>
      <c r="E375" s="120"/>
      <c r="F375" s="120"/>
      <c r="G375" s="120"/>
      <c r="H375" s="120"/>
      <c r="I375" s="120"/>
      <c r="J375" s="120"/>
      <c r="K375" s="120"/>
      <c r="L375" s="120"/>
      <c r="M375" s="120"/>
      <c r="N375" s="120"/>
    </row>
    <row r="376" spans="1:14" ht="15.75" customHeight="1" x14ac:dyDescent="0.25">
      <c r="A376" s="117">
        <v>367</v>
      </c>
      <c r="B376" s="118"/>
      <c r="C376" s="118"/>
      <c r="D376" s="118"/>
      <c r="E376" s="118"/>
      <c r="F376" s="118"/>
      <c r="G376" s="118"/>
      <c r="H376" s="118"/>
      <c r="I376" s="118"/>
      <c r="J376" s="118"/>
      <c r="K376" s="118"/>
      <c r="L376" s="118"/>
      <c r="M376" s="118"/>
      <c r="N376" s="118"/>
    </row>
    <row r="377" spans="1:14" ht="15.75" customHeight="1" x14ac:dyDescent="0.25">
      <c r="A377" s="119">
        <v>368</v>
      </c>
      <c r="B377" s="120"/>
      <c r="C377" s="120"/>
      <c r="D377" s="120"/>
      <c r="E377" s="120"/>
      <c r="F377" s="120"/>
      <c r="G377" s="120"/>
      <c r="H377" s="120"/>
      <c r="I377" s="120"/>
      <c r="J377" s="120"/>
      <c r="K377" s="120"/>
      <c r="L377" s="120"/>
      <c r="M377" s="120"/>
      <c r="N377" s="120"/>
    </row>
    <row r="378" spans="1:14" ht="15.75" customHeight="1" x14ac:dyDescent="0.25">
      <c r="A378" s="117">
        <v>369</v>
      </c>
      <c r="B378" s="118"/>
      <c r="C378" s="118"/>
      <c r="D378" s="118"/>
      <c r="E378" s="118"/>
      <c r="F378" s="118"/>
      <c r="G378" s="118"/>
      <c r="H378" s="118"/>
      <c r="I378" s="118"/>
      <c r="J378" s="118"/>
      <c r="K378" s="118"/>
      <c r="L378" s="118"/>
      <c r="M378" s="118"/>
      <c r="N378" s="118"/>
    </row>
    <row r="379" spans="1:14" ht="15.75" customHeight="1" x14ac:dyDescent="0.25">
      <c r="A379" s="119">
        <v>370</v>
      </c>
      <c r="B379" s="120"/>
      <c r="C379" s="120"/>
      <c r="D379" s="120"/>
      <c r="E379" s="120"/>
      <c r="F379" s="120"/>
      <c r="G379" s="120"/>
      <c r="H379" s="120"/>
      <c r="I379" s="120"/>
      <c r="J379" s="120"/>
      <c r="K379" s="120"/>
      <c r="L379" s="120"/>
      <c r="M379" s="120"/>
      <c r="N379" s="120"/>
    </row>
    <row r="380" spans="1:14" ht="15.75" customHeight="1" x14ac:dyDescent="0.25">
      <c r="A380" s="117">
        <v>371</v>
      </c>
      <c r="B380" s="118"/>
      <c r="C380" s="118"/>
      <c r="D380" s="118"/>
      <c r="E380" s="118"/>
      <c r="F380" s="118"/>
      <c r="G380" s="118"/>
      <c r="H380" s="118"/>
      <c r="I380" s="118"/>
      <c r="J380" s="118"/>
      <c r="K380" s="118"/>
      <c r="L380" s="118"/>
      <c r="M380" s="118"/>
      <c r="N380" s="118"/>
    </row>
    <row r="381" spans="1:14" ht="15.75" customHeight="1" x14ac:dyDescent="0.25">
      <c r="A381" s="119">
        <v>372</v>
      </c>
      <c r="B381" s="120"/>
      <c r="C381" s="120"/>
      <c r="D381" s="120"/>
      <c r="E381" s="120"/>
      <c r="F381" s="120"/>
      <c r="G381" s="120"/>
      <c r="H381" s="120"/>
      <c r="I381" s="120"/>
      <c r="J381" s="120"/>
      <c r="K381" s="120"/>
      <c r="L381" s="120"/>
      <c r="M381" s="120"/>
      <c r="N381" s="120"/>
    </row>
    <row r="382" spans="1:14" ht="15.75" customHeight="1" x14ac:dyDescent="0.25">
      <c r="A382" s="117">
        <v>373</v>
      </c>
      <c r="B382" s="118"/>
      <c r="C382" s="118"/>
      <c r="D382" s="118"/>
      <c r="E382" s="118"/>
      <c r="F382" s="118"/>
      <c r="G382" s="118"/>
      <c r="H382" s="118"/>
      <c r="I382" s="118"/>
      <c r="J382" s="118"/>
      <c r="K382" s="118"/>
      <c r="L382" s="118"/>
      <c r="M382" s="118"/>
      <c r="N382" s="118"/>
    </row>
    <row r="383" spans="1:14" ht="15.75" customHeight="1" x14ac:dyDescent="0.25">
      <c r="A383" s="119">
        <v>374</v>
      </c>
      <c r="B383" s="120"/>
      <c r="C383" s="120"/>
      <c r="D383" s="120"/>
      <c r="E383" s="120"/>
      <c r="F383" s="120"/>
      <c r="G383" s="120"/>
      <c r="H383" s="120"/>
      <c r="I383" s="120"/>
      <c r="J383" s="120"/>
      <c r="K383" s="120"/>
      <c r="L383" s="120"/>
      <c r="M383" s="120"/>
      <c r="N383" s="120"/>
    </row>
    <row r="384" spans="1:14" ht="15.75" customHeight="1" x14ac:dyDescent="0.25">
      <c r="A384" s="117">
        <v>375</v>
      </c>
      <c r="B384" s="118"/>
      <c r="C384" s="118"/>
      <c r="D384" s="118"/>
      <c r="E384" s="118"/>
      <c r="F384" s="118"/>
      <c r="G384" s="118"/>
      <c r="H384" s="118"/>
      <c r="I384" s="118"/>
      <c r="J384" s="118"/>
      <c r="K384" s="118"/>
      <c r="L384" s="118"/>
      <c r="M384" s="118"/>
      <c r="N384" s="118"/>
    </row>
    <row r="385" spans="1:14" ht="15.75" customHeight="1" x14ac:dyDescent="0.25">
      <c r="A385" s="119">
        <v>376</v>
      </c>
      <c r="B385" s="120"/>
      <c r="C385" s="120"/>
      <c r="D385" s="120"/>
      <c r="E385" s="120"/>
      <c r="F385" s="120"/>
      <c r="G385" s="120"/>
      <c r="H385" s="120"/>
      <c r="I385" s="120"/>
      <c r="J385" s="120"/>
      <c r="K385" s="120"/>
      <c r="L385" s="120"/>
      <c r="M385" s="120"/>
      <c r="N385" s="120"/>
    </row>
    <row r="386" spans="1:14" ht="15.75" customHeight="1" x14ac:dyDescent="0.25">
      <c r="A386" s="117">
        <v>377</v>
      </c>
      <c r="B386" s="118"/>
      <c r="C386" s="118"/>
      <c r="D386" s="118"/>
      <c r="E386" s="118"/>
      <c r="F386" s="118"/>
      <c r="G386" s="118"/>
      <c r="H386" s="118"/>
      <c r="I386" s="118"/>
      <c r="J386" s="118"/>
      <c r="K386" s="118"/>
      <c r="L386" s="118"/>
      <c r="M386" s="118"/>
      <c r="N386" s="118"/>
    </row>
    <row r="387" spans="1:14" ht="15.75" customHeight="1" x14ac:dyDescent="0.25">
      <c r="A387" s="119">
        <v>378</v>
      </c>
      <c r="B387" s="120"/>
      <c r="C387" s="120"/>
      <c r="D387" s="120"/>
      <c r="E387" s="120"/>
      <c r="F387" s="120"/>
      <c r="G387" s="120"/>
      <c r="H387" s="120"/>
      <c r="I387" s="120"/>
      <c r="J387" s="120"/>
      <c r="K387" s="120"/>
      <c r="L387" s="120"/>
      <c r="M387" s="120"/>
      <c r="N387" s="120"/>
    </row>
    <row r="388" spans="1:14" ht="15.75" customHeight="1" x14ac:dyDescent="0.25">
      <c r="A388" s="117">
        <v>379</v>
      </c>
      <c r="B388" s="118"/>
      <c r="C388" s="118"/>
      <c r="D388" s="118"/>
      <c r="E388" s="118"/>
      <c r="F388" s="118"/>
      <c r="G388" s="118"/>
      <c r="H388" s="118"/>
      <c r="I388" s="118"/>
      <c r="J388" s="118"/>
      <c r="K388" s="118"/>
      <c r="L388" s="118"/>
      <c r="M388" s="118"/>
      <c r="N388" s="118"/>
    </row>
    <row r="389" spans="1:14" ht="15.75" customHeight="1" x14ac:dyDescent="0.25">
      <c r="A389" s="119">
        <v>380</v>
      </c>
      <c r="B389" s="120"/>
      <c r="C389" s="120"/>
      <c r="D389" s="120"/>
      <c r="E389" s="120"/>
      <c r="F389" s="120"/>
      <c r="G389" s="120"/>
      <c r="H389" s="120"/>
      <c r="I389" s="120"/>
      <c r="J389" s="120"/>
      <c r="K389" s="120"/>
      <c r="L389" s="120"/>
      <c r="M389" s="120"/>
      <c r="N389" s="120"/>
    </row>
    <row r="390" spans="1:14" ht="15.75" customHeight="1" x14ac:dyDescent="0.25">
      <c r="A390" s="117">
        <v>381</v>
      </c>
      <c r="B390" s="118"/>
      <c r="C390" s="118"/>
      <c r="D390" s="118"/>
      <c r="E390" s="118"/>
      <c r="F390" s="118"/>
      <c r="G390" s="118"/>
      <c r="H390" s="118"/>
      <c r="I390" s="118"/>
      <c r="J390" s="118"/>
      <c r="K390" s="118"/>
      <c r="L390" s="118"/>
      <c r="M390" s="118"/>
      <c r="N390" s="118"/>
    </row>
    <row r="391" spans="1:14" ht="15.75" customHeight="1" x14ac:dyDescent="0.25">
      <c r="A391" s="119">
        <v>382</v>
      </c>
      <c r="B391" s="120"/>
      <c r="C391" s="120"/>
      <c r="D391" s="120"/>
      <c r="E391" s="120"/>
      <c r="F391" s="120"/>
      <c r="G391" s="120"/>
      <c r="H391" s="120"/>
      <c r="I391" s="120"/>
      <c r="J391" s="120"/>
      <c r="K391" s="120"/>
      <c r="L391" s="120"/>
      <c r="M391" s="120"/>
      <c r="N391" s="120"/>
    </row>
    <row r="392" spans="1:14" ht="15.75" customHeight="1" x14ac:dyDescent="0.25">
      <c r="A392" s="117">
        <v>383</v>
      </c>
      <c r="B392" s="118"/>
      <c r="C392" s="118"/>
      <c r="D392" s="118"/>
      <c r="E392" s="118"/>
      <c r="F392" s="118"/>
      <c r="G392" s="118"/>
      <c r="H392" s="118"/>
      <c r="I392" s="118"/>
      <c r="J392" s="118"/>
      <c r="K392" s="118"/>
      <c r="L392" s="118"/>
      <c r="M392" s="118"/>
      <c r="N392" s="118"/>
    </row>
    <row r="393" spans="1:14" ht="15.75" customHeight="1" x14ac:dyDescent="0.25">
      <c r="A393" s="119">
        <v>384</v>
      </c>
      <c r="B393" s="120"/>
      <c r="C393" s="120"/>
      <c r="D393" s="120"/>
      <c r="E393" s="120"/>
      <c r="F393" s="120"/>
      <c r="G393" s="120"/>
      <c r="H393" s="120"/>
      <c r="I393" s="120"/>
      <c r="J393" s="120"/>
      <c r="K393" s="120"/>
      <c r="L393" s="120"/>
      <c r="M393" s="120"/>
      <c r="N393" s="120"/>
    </row>
    <row r="394" spans="1:14" ht="15.75" customHeight="1" x14ac:dyDescent="0.25">
      <c r="A394" s="117">
        <v>385</v>
      </c>
      <c r="B394" s="118"/>
      <c r="C394" s="118"/>
      <c r="D394" s="118"/>
      <c r="E394" s="118"/>
      <c r="F394" s="118"/>
      <c r="G394" s="118"/>
      <c r="H394" s="118"/>
      <c r="I394" s="118"/>
      <c r="J394" s="118"/>
      <c r="K394" s="118"/>
      <c r="L394" s="118"/>
      <c r="M394" s="118"/>
      <c r="N394" s="118"/>
    </row>
    <row r="395" spans="1:14" ht="15.75" customHeight="1" x14ac:dyDescent="0.25">
      <c r="A395" s="119">
        <v>386</v>
      </c>
      <c r="B395" s="120"/>
      <c r="C395" s="120"/>
      <c r="D395" s="120"/>
      <c r="E395" s="120"/>
      <c r="F395" s="120"/>
      <c r="G395" s="120"/>
      <c r="H395" s="120"/>
      <c r="I395" s="120"/>
      <c r="J395" s="120"/>
      <c r="K395" s="120"/>
      <c r="L395" s="120"/>
      <c r="M395" s="120"/>
      <c r="N395" s="120"/>
    </row>
    <row r="396" spans="1:14" ht="15.75" customHeight="1" x14ac:dyDescent="0.25">
      <c r="A396" s="117">
        <v>387</v>
      </c>
      <c r="B396" s="118"/>
      <c r="C396" s="118"/>
      <c r="D396" s="118"/>
      <c r="E396" s="118"/>
      <c r="F396" s="118"/>
      <c r="G396" s="118"/>
      <c r="H396" s="118"/>
      <c r="I396" s="118"/>
      <c r="J396" s="118"/>
      <c r="K396" s="118"/>
      <c r="L396" s="118"/>
      <c r="M396" s="118"/>
      <c r="N396" s="118"/>
    </row>
    <row r="397" spans="1:14" ht="15.75" customHeight="1" x14ac:dyDescent="0.25">
      <c r="A397" s="119">
        <v>388</v>
      </c>
      <c r="B397" s="120"/>
      <c r="C397" s="120"/>
      <c r="D397" s="120"/>
      <c r="E397" s="120"/>
      <c r="F397" s="120"/>
      <c r="G397" s="120"/>
      <c r="H397" s="120"/>
      <c r="I397" s="120"/>
      <c r="J397" s="120"/>
      <c r="K397" s="120"/>
      <c r="L397" s="120"/>
      <c r="M397" s="120"/>
      <c r="N397" s="120"/>
    </row>
    <row r="398" spans="1:14" ht="15.75" customHeight="1" x14ac:dyDescent="0.25">
      <c r="A398" s="117">
        <v>389</v>
      </c>
      <c r="B398" s="118"/>
      <c r="C398" s="118"/>
      <c r="D398" s="118"/>
      <c r="E398" s="118"/>
      <c r="F398" s="118"/>
      <c r="G398" s="118"/>
      <c r="H398" s="118"/>
      <c r="I398" s="118"/>
      <c r="J398" s="118"/>
      <c r="K398" s="118"/>
      <c r="L398" s="118"/>
      <c r="M398" s="118"/>
      <c r="N398" s="118"/>
    </row>
    <row r="399" spans="1:14" ht="15.75" customHeight="1" x14ac:dyDescent="0.25">
      <c r="A399" s="119">
        <v>390</v>
      </c>
      <c r="B399" s="120"/>
      <c r="C399" s="120"/>
      <c r="D399" s="120"/>
      <c r="E399" s="120"/>
      <c r="F399" s="120"/>
      <c r="G399" s="120"/>
      <c r="H399" s="120"/>
      <c r="I399" s="120"/>
      <c r="J399" s="120"/>
      <c r="K399" s="120"/>
      <c r="L399" s="120"/>
      <c r="M399" s="120"/>
      <c r="N399" s="120"/>
    </row>
    <row r="400" spans="1:14" ht="15.75" customHeight="1" x14ac:dyDescent="0.25">
      <c r="A400" s="117">
        <v>391</v>
      </c>
      <c r="B400" s="118"/>
      <c r="C400" s="118"/>
      <c r="D400" s="118"/>
      <c r="E400" s="118"/>
      <c r="F400" s="118"/>
      <c r="G400" s="118"/>
      <c r="H400" s="118"/>
      <c r="I400" s="118"/>
      <c r="J400" s="118"/>
      <c r="K400" s="118"/>
      <c r="L400" s="118"/>
      <c r="M400" s="118"/>
      <c r="N400" s="118"/>
    </row>
    <row r="401" spans="1:14" ht="15.75" customHeight="1" x14ac:dyDescent="0.25">
      <c r="A401" s="119">
        <v>392</v>
      </c>
      <c r="B401" s="120"/>
      <c r="C401" s="120"/>
      <c r="D401" s="120"/>
      <c r="E401" s="120"/>
      <c r="F401" s="120"/>
      <c r="G401" s="120"/>
      <c r="H401" s="120"/>
      <c r="I401" s="120"/>
      <c r="J401" s="120"/>
      <c r="K401" s="120"/>
      <c r="L401" s="120"/>
      <c r="M401" s="120"/>
      <c r="N401" s="120"/>
    </row>
    <row r="402" spans="1:14" ht="15.75" customHeight="1" x14ac:dyDescent="0.25">
      <c r="A402" s="117">
        <v>393</v>
      </c>
      <c r="B402" s="118"/>
      <c r="C402" s="118"/>
      <c r="D402" s="118"/>
      <c r="E402" s="118"/>
      <c r="F402" s="118"/>
      <c r="G402" s="118"/>
      <c r="H402" s="118"/>
      <c r="I402" s="118"/>
      <c r="J402" s="118"/>
      <c r="K402" s="118"/>
      <c r="L402" s="118"/>
      <c r="M402" s="118"/>
      <c r="N402" s="118"/>
    </row>
    <row r="403" spans="1:14" ht="15.75" customHeight="1" x14ac:dyDescent="0.25">
      <c r="A403" s="119">
        <v>394</v>
      </c>
      <c r="B403" s="120"/>
      <c r="C403" s="120"/>
      <c r="D403" s="120"/>
      <c r="E403" s="120"/>
      <c r="F403" s="120"/>
      <c r="G403" s="120"/>
      <c r="H403" s="120"/>
      <c r="I403" s="120"/>
      <c r="J403" s="120"/>
      <c r="K403" s="120"/>
      <c r="L403" s="120"/>
      <c r="M403" s="120"/>
      <c r="N403" s="120"/>
    </row>
    <row r="404" spans="1:14" ht="15.75" customHeight="1" x14ac:dyDescent="0.25">
      <c r="A404" s="117">
        <v>395</v>
      </c>
      <c r="B404" s="118"/>
      <c r="C404" s="118"/>
      <c r="D404" s="118"/>
      <c r="E404" s="118"/>
      <c r="F404" s="118"/>
      <c r="G404" s="118"/>
      <c r="H404" s="118"/>
      <c r="I404" s="118"/>
      <c r="J404" s="118"/>
      <c r="K404" s="118"/>
      <c r="L404" s="118"/>
      <c r="M404" s="118"/>
      <c r="N404" s="118"/>
    </row>
    <row r="405" spans="1:14" ht="15.75" customHeight="1" x14ac:dyDescent="0.25">
      <c r="A405" s="119">
        <v>396</v>
      </c>
      <c r="B405" s="120"/>
      <c r="C405" s="120"/>
      <c r="D405" s="120"/>
      <c r="E405" s="120"/>
      <c r="F405" s="120"/>
      <c r="G405" s="120"/>
      <c r="H405" s="120"/>
      <c r="I405" s="120"/>
      <c r="J405" s="120"/>
      <c r="K405" s="120"/>
      <c r="L405" s="120"/>
      <c r="M405" s="120"/>
      <c r="N405" s="120"/>
    </row>
    <row r="406" spans="1:14" ht="15.75" customHeight="1" x14ac:dyDescent="0.25">
      <c r="A406" s="117">
        <v>397</v>
      </c>
      <c r="B406" s="118"/>
      <c r="C406" s="118"/>
      <c r="D406" s="118"/>
      <c r="E406" s="118"/>
      <c r="F406" s="118"/>
      <c r="G406" s="118"/>
      <c r="H406" s="118"/>
      <c r="I406" s="118"/>
      <c r="J406" s="118"/>
      <c r="K406" s="118"/>
      <c r="L406" s="118"/>
      <c r="M406" s="118"/>
      <c r="N406" s="118"/>
    </row>
    <row r="407" spans="1:14" ht="15.75" customHeight="1" x14ac:dyDescent="0.25">
      <c r="A407" s="119">
        <v>398</v>
      </c>
      <c r="B407" s="120"/>
      <c r="C407" s="120"/>
      <c r="D407" s="120"/>
      <c r="E407" s="120"/>
      <c r="F407" s="120"/>
      <c r="G407" s="120"/>
      <c r="H407" s="120"/>
      <c r="I407" s="120"/>
      <c r="J407" s="120"/>
      <c r="K407" s="120"/>
      <c r="L407" s="120"/>
      <c r="M407" s="120"/>
      <c r="N407" s="120"/>
    </row>
    <row r="408" spans="1:14" ht="15.75" customHeight="1" x14ac:dyDescent="0.25">
      <c r="A408" s="117">
        <v>399</v>
      </c>
      <c r="B408" s="118"/>
      <c r="C408" s="118"/>
      <c r="D408" s="118"/>
      <c r="E408" s="118"/>
      <c r="F408" s="118"/>
      <c r="G408" s="118"/>
      <c r="H408" s="118"/>
      <c r="I408" s="118"/>
      <c r="J408" s="118"/>
      <c r="K408" s="118"/>
      <c r="L408" s="118"/>
      <c r="M408" s="118"/>
      <c r="N408" s="118"/>
    </row>
    <row r="409" spans="1:14" ht="15.75" customHeight="1" x14ac:dyDescent="0.25">
      <c r="A409" s="119">
        <v>400</v>
      </c>
      <c r="B409" s="120"/>
      <c r="C409" s="120"/>
      <c r="D409" s="120"/>
      <c r="E409" s="120"/>
      <c r="F409" s="120"/>
      <c r="G409" s="120"/>
      <c r="H409" s="120"/>
      <c r="I409" s="120"/>
      <c r="J409" s="120"/>
      <c r="K409" s="120"/>
      <c r="L409" s="120"/>
      <c r="M409" s="120"/>
      <c r="N409" s="120"/>
    </row>
    <row r="410" spans="1:14" ht="15.75" customHeight="1" x14ac:dyDescent="0.25">
      <c r="A410" s="117">
        <v>401</v>
      </c>
      <c r="B410" s="118"/>
      <c r="C410" s="118"/>
      <c r="D410" s="118"/>
      <c r="E410" s="118"/>
      <c r="F410" s="118"/>
      <c r="G410" s="118"/>
      <c r="H410" s="118"/>
      <c r="I410" s="118"/>
      <c r="J410" s="118"/>
      <c r="K410" s="118"/>
      <c r="L410" s="118"/>
      <c r="M410" s="118"/>
      <c r="N410" s="118"/>
    </row>
    <row r="411" spans="1:14" ht="15.75" customHeight="1" x14ac:dyDescent="0.25">
      <c r="A411" s="119">
        <v>402</v>
      </c>
      <c r="B411" s="120"/>
      <c r="C411" s="120"/>
      <c r="D411" s="120"/>
      <c r="E411" s="120"/>
      <c r="F411" s="120"/>
      <c r="G411" s="120"/>
      <c r="H411" s="120"/>
      <c r="I411" s="120"/>
      <c r="J411" s="120"/>
      <c r="K411" s="120"/>
      <c r="L411" s="120"/>
      <c r="M411" s="120"/>
      <c r="N411" s="120"/>
    </row>
    <row r="412" spans="1:14" ht="15.75" customHeight="1" x14ac:dyDescent="0.25">
      <c r="A412" s="117">
        <v>403</v>
      </c>
      <c r="B412" s="118"/>
      <c r="C412" s="118"/>
      <c r="D412" s="118"/>
      <c r="E412" s="118"/>
      <c r="F412" s="118"/>
      <c r="G412" s="118"/>
      <c r="H412" s="118"/>
      <c r="I412" s="118"/>
      <c r="J412" s="118"/>
      <c r="K412" s="118"/>
      <c r="L412" s="118"/>
      <c r="M412" s="118"/>
      <c r="N412" s="118"/>
    </row>
    <row r="413" spans="1:14" ht="15.75" customHeight="1" x14ac:dyDescent="0.25">
      <c r="A413" s="119">
        <v>404</v>
      </c>
      <c r="B413" s="120"/>
      <c r="C413" s="120"/>
      <c r="D413" s="120"/>
      <c r="E413" s="120"/>
      <c r="F413" s="120"/>
      <c r="G413" s="120"/>
      <c r="H413" s="120"/>
      <c r="I413" s="120"/>
      <c r="J413" s="120"/>
      <c r="K413" s="120"/>
      <c r="L413" s="120"/>
      <c r="M413" s="120"/>
      <c r="N413" s="120"/>
    </row>
    <row r="414" spans="1:14" ht="15.75" customHeight="1" x14ac:dyDescent="0.25">
      <c r="A414" s="117">
        <v>405</v>
      </c>
      <c r="B414" s="118"/>
      <c r="C414" s="118"/>
      <c r="D414" s="118"/>
      <c r="E414" s="118"/>
      <c r="F414" s="118"/>
      <c r="G414" s="118"/>
      <c r="H414" s="118"/>
      <c r="I414" s="118"/>
      <c r="J414" s="118"/>
      <c r="K414" s="118"/>
      <c r="L414" s="118"/>
      <c r="M414" s="118"/>
      <c r="N414" s="118"/>
    </row>
    <row r="415" spans="1:14" ht="15.75" customHeight="1" x14ac:dyDescent="0.25">
      <c r="A415" s="119">
        <v>406</v>
      </c>
      <c r="B415" s="120"/>
      <c r="C415" s="120"/>
      <c r="D415" s="120"/>
      <c r="E415" s="120"/>
      <c r="F415" s="120"/>
      <c r="G415" s="120"/>
      <c r="H415" s="120"/>
      <c r="I415" s="120"/>
      <c r="J415" s="120"/>
      <c r="K415" s="120"/>
      <c r="L415" s="120"/>
      <c r="M415" s="120"/>
      <c r="N415" s="120"/>
    </row>
    <row r="416" spans="1:14" ht="15.75" customHeight="1" x14ac:dyDescent="0.25">
      <c r="A416" s="117">
        <v>407</v>
      </c>
      <c r="B416" s="118"/>
      <c r="C416" s="118"/>
      <c r="D416" s="118"/>
      <c r="E416" s="118"/>
      <c r="F416" s="118"/>
      <c r="G416" s="118"/>
      <c r="H416" s="118"/>
      <c r="I416" s="118"/>
      <c r="J416" s="118"/>
      <c r="K416" s="118"/>
      <c r="L416" s="118"/>
      <c r="M416" s="118"/>
      <c r="N416" s="118"/>
    </row>
    <row r="417" spans="1:14" ht="15.75" customHeight="1" x14ac:dyDescent="0.25">
      <c r="A417" s="119">
        <v>408</v>
      </c>
      <c r="B417" s="120"/>
      <c r="C417" s="120"/>
      <c r="D417" s="120"/>
      <c r="E417" s="120"/>
      <c r="F417" s="120"/>
      <c r="G417" s="120"/>
      <c r="H417" s="120"/>
      <c r="I417" s="120"/>
      <c r="J417" s="120"/>
      <c r="K417" s="120"/>
      <c r="L417" s="120"/>
      <c r="M417" s="120"/>
      <c r="N417" s="120"/>
    </row>
    <row r="418" spans="1:14" ht="15.75" customHeight="1" x14ac:dyDescent="0.25">
      <c r="A418" s="117">
        <v>409</v>
      </c>
      <c r="B418" s="118"/>
      <c r="C418" s="118"/>
      <c r="D418" s="118"/>
      <c r="E418" s="118"/>
      <c r="F418" s="118"/>
      <c r="G418" s="118"/>
      <c r="H418" s="118"/>
      <c r="I418" s="118"/>
      <c r="J418" s="118"/>
      <c r="K418" s="118"/>
      <c r="L418" s="118"/>
      <c r="M418" s="118"/>
      <c r="N418" s="118"/>
    </row>
    <row r="419" spans="1:14" ht="15.75" customHeight="1" x14ac:dyDescent="0.25">
      <c r="A419" s="119">
        <v>410</v>
      </c>
      <c r="B419" s="120"/>
      <c r="C419" s="120"/>
      <c r="D419" s="120"/>
      <c r="E419" s="120"/>
      <c r="F419" s="120"/>
      <c r="G419" s="120"/>
      <c r="H419" s="120"/>
      <c r="I419" s="120"/>
      <c r="J419" s="120"/>
      <c r="K419" s="120"/>
      <c r="L419" s="120"/>
      <c r="M419" s="120"/>
      <c r="N419" s="120"/>
    </row>
    <row r="420" spans="1:14" ht="15.75" customHeight="1" x14ac:dyDescent="0.25">
      <c r="A420" s="117">
        <v>411</v>
      </c>
      <c r="B420" s="118"/>
      <c r="C420" s="118"/>
      <c r="D420" s="118"/>
      <c r="E420" s="118"/>
      <c r="F420" s="118"/>
      <c r="G420" s="118"/>
      <c r="H420" s="118"/>
      <c r="I420" s="118"/>
      <c r="J420" s="118"/>
      <c r="K420" s="118"/>
      <c r="L420" s="118"/>
      <c r="M420" s="118"/>
      <c r="N420" s="118"/>
    </row>
    <row r="421" spans="1:14" ht="15.75" customHeight="1" x14ac:dyDescent="0.25">
      <c r="A421" s="119">
        <v>412</v>
      </c>
      <c r="B421" s="120"/>
      <c r="C421" s="120"/>
      <c r="D421" s="120"/>
      <c r="E421" s="120"/>
      <c r="F421" s="120"/>
      <c r="G421" s="120"/>
      <c r="H421" s="120"/>
      <c r="I421" s="120"/>
      <c r="J421" s="120"/>
      <c r="K421" s="120"/>
      <c r="L421" s="120"/>
      <c r="M421" s="120"/>
      <c r="N421" s="120"/>
    </row>
    <row r="422" spans="1:14" ht="15.75" customHeight="1" x14ac:dyDescent="0.25">
      <c r="A422" s="117">
        <v>413</v>
      </c>
      <c r="B422" s="118"/>
      <c r="C422" s="118"/>
      <c r="D422" s="118"/>
      <c r="E422" s="118"/>
      <c r="F422" s="118"/>
      <c r="G422" s="118"/>
      <c r="H422" s="118"/>
      <c r="I422" s="118"/>
      <c r="J422" s="118"/>
      <c r="K422" s="118"/>
      <c r="L422" s="118"/>
      <c r="M422" s="118"/>
      <c r="N422" s="118"/>
    </row>
    <row r="423" spans="1:14" ht="15.75" customHeight="1" x14ac:dyDescent="0.25">
      <c r="A423" s="119">
        <v>414</v>
      </c>
      <c r="B423" s="120"/>
      <c r="C423" s="120"/>
      <c r="D423" s="120"/>
      <c r="E423" s="120"/>
      <c r="F423" s="120"/>
      <c r="G423" s="120"/>
      <c r="H423" s="120"/>
      <c r="I423" s="120"/>
      <c r="J423" s="120"/>
      <c r="K423" s="120"/>
      <c r="L423" s="120"/>
      <c r="M423" s="120"/>
      <c r="N423" s="120"/>
    </row>
    <row r="424" spans="1:14" ht="15.75" customHeight="1" x14ac:dyDescent="0.25">
      <c r="A424" s="117">
        <v>415</v>
      </c>
      <c r="B424" s="118"/>
      <c r="C424" s="118"/>
      <c r="D424" s="118"/>
      <c r="E424" s="118"/>
      <c r="F424" s="118"/>
      <c r="G424" s="118"/>
      <c r="H424" s="118"/>
      <c r="I424" s="118"/>
      <c r="J424" s="118"/>
      <c r="K424" s="118"/>
      <c r="L424" s="118"/>
      <c r="M424" s="118"/>
      <c r="N424" s="118"/>
    </row>
    <row r="425" spans="1:14" ht="15.75" customHeight="1" x14ac:dyDescent="0.25">
      <c r="A425" s="119">
        <v>416</v>
      </c>
      <c r="B425" s="120"/>
      <c r="C425" s="120"/>
      <c r="D425" s="120"/>
      <c r="E425" s="120"/>
      <c r="F425" s="120"/>
      <c r="G425" s="120"/>
      <c r="H425" s="120"/>
      <c r="I425" s="120"/>
      <c r="J425" s="120"/>
      <c r="K425" s="120"/>
      <c r="L425" s="120"/>
      <c r="M425" s="120"/>
      <c r="N425" s="120"/>
    </row>
    <row r="426" spans="1:14" ht="15.75" customHeight="1" x14ac:dyDescent="0.25">
      <c r="A426" s="117">
        <v>417</v>
      </c>
      <c r="B426" s="118"/>
      <c r="C426" s="118"/>
      <c r="D426" s="118"/>
      <c r="E426" s="118"/>
      <c r="F426" s="118"/>
      <c r="G426" s="118"/>
      <c r="H426" s="118"/>
      <c r="I426" s="118"/>
      <c r="J426" s="118"/>
      <c r="K426" s="118"/>
      <c r="L426" s="118"/>
      <c r="M426" s="118"/>
      <c r="N426" s="118"/>
    </row>
    <row r="427" spans="1:14" ht="15.75" customHeight="1" x14ac:dyDescent="0.25">
      <c r="A427" s="119">
        <v>418</v>
      </c>
      <c r="B427" s="120"/>
      <c r="C427" s="120"/>
      <c r="D427" s="120"/>
      <c r="E427" s="120"/>
      <c r="F427" s="120"/>
      <c r="G427" s="120"/>
      <c r="H427" s="120"/>
      <c r="I427" s="120"/>
      <c r="J427" s="120"/>
      <c r="K427" s="120"/>
      <c r="L427" s="120"/>
      <c r="M427" s="120"/>
      <c r="N427" s="120"/>
    </row>
    <row r="428" spans="1:14" ht="15.75" customHeight="1" x14ac:dyDescent="0.25">
      <c r="A428" s="117">
        <v>419</v>
      </c>
      <c r="B428" s="118"/>
      <c r="C428" s="118"/>
      <c r="D428" s="118"/>
      <c r="E428" s="118"/>
      <c r="F428" s="118"/>
      <c r="G428" s="118"/>
      <c r="H428" s="118"/>
      <c r="I428" s="118"/>
      <c r="J428" s="118"/>
      <c r="K428" s="118"/>
      <c r="L428" s="118"/>
      <c r="M428" s="118"/>
      <c r="N428" s="118"/>
    </row>
    <row r="429" spans="1:14" ht="15.75" customHeight="1" x14ac:dyDescent="0.25">
      <c r="A429" s="119">
        <v>420</v>
      </c>
      <c r="B429" s="120"/>
      <c r="C429" s="120"/>
      <c r="D429" s="120"/>
      <c r="E429" s="120"/>
      <c r="F429" s="120"/>
      <c r="G429" s="120"/>
      <c r="H429" s="120"/>
      <c r="I429" s="120"/>
      <c r="J429" s="120"/>
      <c r="K429" s="120"/>
      <c r="L429" s="120"/>
      <c r="M429" s="120"/>
      <c r="N429" s="120"/>
    </row>
    <row r="430" spans="1:14" ht="15.75" customHeight="1" x14ac:dyDescent="0.25">
      <c r="A430" s="117">
        <v>421</v>
      </c>
      <c r="B430" s="118"/>
      <c r="C430" s="118"/>
      <c r="D430" s="118"/>
      <c r="E430" s="118"/>
      <c r="F430" s="118"/>
      <c r="G430" s="118"/>
      <c r="H430" s="118"/>
      <c r="I430" s="118"/>
      <c r="J430" s="118"/>
      <c r="K430" s="118"/>
      <c r="L430" s="118"/>
      <c r="M430" s="118"/>
      <c r="N430" s="118"/>
    </row>
    <row r="431" spans="1:14" ht="15.75" customHeight="1" x14ac:dyDescent="0.25">
      <c r="A431" s="119">
        <v>422</v>
      </c>
      <c r="B431" s="120"/>
      <c r="C431" s="120"/>
      <c r="D431" s="120"/>
      <c r="E431" s="120"/>
      <c r="F431" s="120"/>
      <c r="G431" s="120"/>
      <c r="H431" s="120"/>
      <c r="I431" s="120"/>
      <c r="J431" s="120"/>
      <c r="K431" s="120"/>
      <c r="L431" s="120"/>
      <c r="M431" s="120"/>
      <c r="N431" s="120"/>
    </row>
    <row r="432" spans="1:14" ht="15.75" customHeight="1" x14ac:dyDescent="0.25">
      <c r="A432" s="117">
        <v>423</v>
      </c>
      <c r="B432" s="118"/>
      <c r="C432" s="118"/>
      <c r="D432" s="118"/>
      <c r="E432" s="118"/>
      <c r="F432" s="118"/>
      <c r="G432" s="118"/>
      <c r="H432" s="118"/>
      <c r="I432" s="118"/>
      <c r="J432" s="118"/>
      <c r="K432" s="118"/>
      <c r="L432" s="118"/>
      <c r="M432" s="118"/>
      <c r="N432" s="118"/>
    </row>
    <row r="433" spans="1:14" ht="15.75" customHeight="1" x14ac:dyDescent="0.25">
      <c r="A433" s="119">
        <v>424</v>
      </c>
      <c r="B433" s="120"/>
      <c r="C433" s="120"/>
      <c r="D433" s="120"/>
      <c r="E433" s="120"/>
      <c r="F433" s="120"/>
      <c r="G433" s="120"/>
      <c r="H433" s="120"/>
      <c r="I433" s="120"/>
      <c r="J433" s="120"/>
      <c r="K433" s="120"/>
      <c r="L433" s="120"/>
      <c r="M433" s="120"/>
      <c r="N433" s="120"/>
    </row>
    <row r="434" spans="1:14" ht="15.75" customHeight="1" x14ac:dyDescent="0.25">
      <c r="A434" s="117">
        <v>425</v>
      </c>
      <c r="B434" s="118"/>
      <c r="C434" s="118"/>
      <c r="D434" s="118"/>
      <c r="E434" s="118"/>
      <c r="F434" s="118"/>
      <c r="G434" s="118"/>
      <c r="H434" s="118"/>
      <c r="I434" s="118"/>
      <c r="J434" s="118"/>
      <c r="K434" s="118"/>
      <c r="L434" s="118"/>
      <c r="M434" s="118"/>
      <c r="N434" s="118"/>
    </row>
    <row r="435" spans="1:14" ht="15.75" customHeight="1" x14ac:dyDescent="0.25">
      <c r="A435" s="119">
        <v>426</v>
      </c>
      <c r="B435" s="120"/>
      <c r="C435" s="120"/>
      <c r="D435" s="120"/>
      <c r="E435" s="120"/>
      <c r="F435" s="120"/>
      <c r="G435" s="120"/>
      <c r="H435" s="120"/>
      <c r="I435" s="120"/>
      <c r="J435" s="120"/>
      <c r="K435" s="120"/>
      <c r="L435" s="120"/>
      <c r="M435" s="120"/>
      <c r="N435" s="120"/>
    </row>
    <row r="436" spans="1:14" ht="15.75" customHeight="1" x14ac:dyDescent="0.25">
      <c r="A436" s="117">
        <v>427</v>
      </c>
      <c r="B436" s="118"/>
      <c r="C436" s="118"/>
      <c r="D436" s="118"/>
      <c r="E436" s="118"/>
      <c r="F436" s="118"/>
      <c r="G436" s="118"/>
      <c r="H436" s="118"/>
      <c r="I436" s="118"/>
      <c r="J436" s="118"/>
      <c r="K436" s="118"/>
      <c r="L436" s="118"/>
      <c r="M436" s="118"/>
      <c r="N436" s="118"/>
    </row>
    <row r="437" spans="1:14" ht="15.75" customHeight="1" x14ac:dyDescent="0.25">
      <c r="A437" s="119">
        <v>428</v>
      </c>
      <c r="B437" s="120"/>
      <c r="C437" s="120"/>
      <c r="D437" s="120"/>
      <c r="E437" s="120"/>
      <c r="F437" s="120"/>
      <c r="G437" s="120"/>
      <c r="H437" s="120"/>
      <c r="I437" s="120"/>
      <c r="J437" s="120"/>
      <c r="K437" s="120"/>
      <c r="L437" s="120"/>
      <c r="M437" s="120"/>
      <c r="N437" s="120"/>
    </row>
    <row r="438" spans="1:14" ht="15.75" customHeight="1" x14ac:dyDescent="0.25">
      <c r="A438" s="117">
        <v>429</v>
      </c>
      <c r="B438" s="118"/>
      <c r="C438" s="118"/>
      <c r="D438" s="118"/>
      <c r="E438" s="118"/>
      <c r="F438" s="118"/>
      <c r="G438" s="118"/>
      <c r="H438" s="118"/>
      <c r="I438" s="118"/>
      <c r="J438" s="118"/>
      <c r="K438" s="118"/>
      <c r="L438" s="118"/>
      <c r="M438" s="118"/>
      <c r="N438" s="118"/>
    </row>
    <row r="439" spans="1:14" ht="15.75" customHeight="1" x14ac:dyDescent="0.25">
      <c r="A439" s="119">
        <v>430</v>
      </c>
      <c r="B439" s="120"/>
      <c r="C439" s="120"/>
      <c r="D439" s="120"/>
      <c r="E439" s="120"/>
      <c r="F439" s="120"/>
      <c r="G439" s="120"/>
      <c r="H439" s="120"/>
      <c r="I439" s="120"/>
      <c r="J439" s="120"/>
      <c r="K439" s="120"/>
      <c r="L439" s="120"/>
      <c r="M439" s="120"/>
      <c r="N439" s="120"/>
    </row>
    <row r="440" spans="1:14" ht="15.75" customHeight="1" x14ac:dyDescent="0.25">
      <c r="A440" s="117">
        <v>431</v>
      </c>
      <c r="B440" s="118"/>
      <c r="C440" s="118"/>
      <c r="D440" s="118"/>
      <c r="E440" s="118"/>
      <c r="F440" s="118"/>
      <c r="G440" s="118"/>
      <c r="H440" s="118"/>
      <c r="I440" s="118"/>
      <c r="J440" s="118"/>
      <c r="K440" s="118"/>
      <c r="L440" s="118"/>
      <c r="M440" s="118"/>
      <c r="N440" s="118"/>
    </row>
    <row r="441" spans="1:14" ht="15.75" customHeight="1" x14ac:dyDescent="0.25">
      <c r="A441" s="119">
        <v>432</v>
      </c>
      <c r="B441" s="120"/>
      <c r="C441" s="120"/>
      <c r="D441" s="120"/>
      <c r="E441" s="120"/>
      <c r="F441" s="120"/>
      <c r="G441" s="120"/>
      <c r="H441" s="120"/>
      <c r="I441" s="120"/>
      <c r="J441" s="120"/>
      <c r="K441" s="120"/>
      <c r="L441" s="120"/>
      <c r="M441" s="120"/>
      <c r="N441" s="120"/>
    </row>
    <row r="442" spans="1:14" ht="15.75" customHeight="1" x14ac:dyDescent="0.25">
      <c r="A442" s="117">
        <v>433</v>
      </c>
      <c r="B442" s="118"/>
      <c r="C442" s="118"/>
      <c r="D442" s="118"/>
      <c r="E442" s="118"/>
      <c r="F442" s="118"/>
      <c r="G442" s="118"/>
      <c r="H442" s="118"/>
      <c r="I442" s="118"/>
      <c r="J442" s="118"/>
      <c r="K442" s="118"/>
      <c r="L442" s="118"/>
      <c r="M442" s="118"/>
      <c r="N442" s="118"/>
    </row>
    <row r="443" spans="1:14" ht="15.75" customHeight="1" x14ac:dyDescent="0.25">
      <c r="A443" s="119">
        <v>434</v>
      </c>
      <c r="B443" s="120"/>
      <c r="C443" s="120"/>
      <c r="D443" s="120"/>
      <c r="E443" s="120"/>
      <c r="F443" s="120"/>
      <c r="G443" s="120"/>
      <c r="H443" s="120"/>
      <c r="I443" s="120"/>
      <c r="J443" s="120"/>
      <c r="K443" s="120"/>
      <c r="L443" s="120"/>
      <c r="M443" s="120"/>
      <c r="N443" s="120"/>
    </row>
    <row r="444" spans="1:14" ht="15.75" customHeight="1" x14ac:dyDescent="0.25">
      <c r="A444" s="117">
        <v>435</v>
      </c>
      <c r="B444" s="118"/>
      <c r="C444" s="118"/>
      <c r="D444" s="118"/>
      <c r="E444" s="118"/>
      <c r="F444" s="118"/>
      <c r="G444" s="118"/>
      <c r="H444" s="118"/>
      <c r="I444" s="118"/>
      <c r="J444" s="118"/>
      <c r="K444" s="118"/>
      <c r="L444" s="118"/>
      <c r="M444" s="118"/>
      <c r="N444" s="118"/>
    </row>
    <row r="445" spans="1:14" ht="15.75" customHeight="1" x14ac:dyDescent="0.25">
      <c r="A445" s="119">
        <v>436</v>
      </c>
      <c r="B445" s="120"/>
      <c r="C445" s="120"/>
      <c r="D445" s="120"/>
      <c r="E445" s="120"/>
      <c r="F445" s="120"/>
      <c r="G445" s="120"/>
      <c r="H445" s="120"/>
      <c r="I445" s="120"/>
      <c r="J445" s="120"/>
      <c r="K445" s="120"/>
      <c r="L445" s="120"/>
      <c r="M445" s="120"/>
      <c r="N445" s="120"/>
    </row>
    <row r="446" spans="1:14" ht="15.75" customHeight="1" x14ac:dyDescent="0.25">
      <c r="A446" s="117">
        <v>437</v>
      </c>
      <c r="B446" s="118"/>
      <c r="C446" s="118"/>
      <c r="D446" s="118"/>
      <c r="E446" s="118"/>
      <c r="F446" s="118"/>
      <c r="G446" s="118"/>
      <c r="H446" s="118"/>
      <c r="I446" s="118"/>
      <c r="J446" s="118"/>
      <c r="K446" s="118"/>
      <c r="L446" s="118"/>
      <c r="M446" s="118"/>
      <c r="N446" s="118"/>
    </row>
    <row r="447" spans="1:14" ht="15.75" customHeight="1" x14ac:dyDescent="0.25">
      <c r="A447" s="119">
        <v>438</v>
      </c>
      <c r="B447" s="120"/>
      <c r="C447" s="120"/>
      <c r="D447" s="120"/>
      <c r="E447" s="120"/>
      <c r="F447" s="120"/>
      <c r="G447" s="120"/>
      <c r="H447" s="120"/>
      <c r="I447" s="120"/>
      <c r="J447" s="120"/>
      <c r="K447" s="120"/>
      <c r="L447" s="120"/>
      <c r="M447" s="120"/>
      <c r="N447" s="120"/>
    </row>
    <row r="448" spans="1:14" ht="15.75" customHeight="1" x14ac:dyDescent="0.25">
      <c r="A448" s="117">
        <v>439</v>
      </c>
      <c r="B448" s="118"/>
      <c r="C448" s="118"/>
      <c r="D448" s="118"/>
      <c r="E448" s="118"/>
      <c r="F448" s="118"/>
      <c r="G448" s="118"/>
      <c r="H448" s="118"/>
      <c r="I448" s="118"/>
      <c r="J448" s="118"/>
      <c r="K448" s="118"/>
      <c r="L448" s="118"/>
      <c r="M448" s="118"/>
      <c r="N448" s="118"/>
    </row>
    <row r="449" spans="1:14" ht="15.75" customHeight="1" x14ac:dyDescent="0.25">
      <c r="A449" s="119">
        <v>440</v>
      </c>
      <c r="B449" s="120"/>
      <c r="C449" s="120"/>
      <c r="D449" s="120"/>
      <c r="E449" s="120"/>
      <c r="F449" s="120"/>
      <c r="G449" s="120"/>
      <c r="H449" s="120"/>
      <c r="I449" s="120"/>
      <c r="J449" s="120"/>
      <c r="K449" s="120"/>
      <c r="L449" s="120"/>
      <c r="M449" s="120"/>
      <c r="N449" s="120"/>
    </row>
    <row r="450" spans="1:14" ht="15.75" customHeight="1" x14ac:dyDescent="0.25">
      <c r="A450" s="117">
        <v>441</v>
      </c>
      <c r="B450" s="118"/>
      <c r="C450" s="118"/>
      <c r="D450" s="118"/>
      <c r="E450" s="118"/>
      <c r="F450" s="118"/>
      <c r="G450" s="118"/>
      <c r="H450" s="118"/>
      <c r="I450" s="118"/>
      <c r="J450" s="118"/>
      <c r="K450" s="118"/>
      <c r="L450" s="118"/>
      <c r="M450" s="118"/>
      <c r="N450" s="118"/>
    </row>
    <row r="451" spans="1:14" ht="15.75" customHeight="1" x14ac:dyDescent="0.25">
      <c r="A451" s="119">
        <v>442</v>
      </c>
      <c r="B451" s="120"/>
      <c r="C451" s="120"/>
      <c r="D451" s="120"/>
      <c r="E451" s="120"/>
      <c r="F451" s="120"/>
      <c r="G451" s="120"/>
      <c r="H451" s="120"/>
      <c r="I451" s="120"/>
      <c r="J451" s="120"/>
      <c r="K451" s="120"/>
      <c r="L451" s="120"/>
      <c r="M451" s="120"/>
      <c r="N451" s="120"/>
    </row>
    <row r="452" spans="1:14" ht="15.75" customHeight="1" x14ac:dyDescent="0.25">
      <c r="A452" s="117">
        <v>443</v>
      </c>
      <c r="B452" s="118"/>
      <c r="C452" s="118"/>
      <c r="D452" s="118"/>
      <c r="E452" s="118"/>
      <c r="F452" s="118"/>
      <c r="G452" s="118"/>
      <c r="H452" s="118"/>
      <c r="I452" s="118"/>
      <c r="J452" s="118"/>
      <c r="K452" s="118"/>
      <c r="L452" s="118"/>
      <c r="M452" s="118"/>
      <c r="N452" s="118"/>
    </row>
    <row r="453" spans="1:14" ht="15.75" customHeight="1" x14ac:dyDescent="0.25">
      <c r="A453" s="119">
        <v>444</v>
      </c>
      <c r="B453" s="120"/>
      <c r="C453" s="120"/>
      <c r="D453" s="120"/>
      <c r="E453" s="120"/>
      <c r="F453" s="120"/>
      <c r="G453" s="120"/>
      <c r="H453" s="120"/>
      <c r="I453" s="120"/>
      <c r="J453" s="120"/>
      <c r="K453" s="120"/>
      <c r="L453" s="120"/>
      <c r="M453" s="120"/>
      <c r="N453" s="120"/>
    </row>
    <row r="454" spans="1:14" ht="15.75" customHeight="1" x14ac:dyDescent="0.25">
      <c r="A454" s="117">
        <v>445</v>
      </c>
      <c r="B454" s="118"/>
      <c r="C454" s="118"/>
      <c r="D454" s="118"/>
      <c r="E454" s="118"/>
      <c r="F454" s="118"/>
      <c r="G454" s="118"/>
      <c r="H454" s="118"/>
      <c r="I454" s="118"/>
      <c r="J454" s="118"/>
      <c r="K454" s="118"/>
      <c r="L454" s="118"/>
      <c r="M454" s="118"/>
      <c r="N454" s="118"/>
    </row>
    <row r="455" spans="1:14" ht="15.75" customHeight="1" x14ac:dyDescent="0.25">
      <c r="A455" s="119">
        <v>446</v>
      </c>
      <c r="B455" s="120"/>
      <c r="C455" s="120"/>
      <c r="D455" s="120"/>
      <c r="E455" s="120"/>
      <c r="F455" s="120"/>
      <c r="G455" s="120"/>
      <c r="H455" s="120"/>
      <c r="I455" s="120"/>
      <c r="J455" s="120"/>
      <c r="K455" s="120"/>
      <c r="L455" s="120"/>
      <c r="M455" s="120"/>
      <c r="N455" s="120"/>
    </row>
    <row r="456" spans="1:14" ht="15.75" customHeight="1" x14ac:dyDescent="0.25">
      <c r="A456" s="117">
        <v>447</v>
      </c>
      <c r="B456" s="118"/>
      <c r="C456" s="118"/>
      <c r="D456" s="118"/>
      <c r="E456" s="118"/>
      <c r="F456" s="118"/>
      <c r="G456" s="118"/>
      <c r="H456" s="118"/>
      <c r="I456" s="118"/>
      <c r="J456" s="118"/>
      <c r="K456" s="118"/>
      <c r="L456" s="118"/>
      <c r="M456" s="118"/>
      <c r="N456" s="118"/>
    </row>
    <row r="457" spans="1:14" ht="15.75" customHeight="1" x14ac:dyDescent="0.25">
      <c r="A457" s="119">
        <v>448</v>
      </c>
      <c r="B457" s="120"/>
      <c r="C457" s="120"/>
      <c r="D457" s="120"/>
      <c r="E457" s="120"/>
      <c r="F457" s="120"/>
      <c r="G457" s="120"/>
      <c r="H457" s="120"/>
      <c r="I457" s="120"/>
      <c r="J457" s="120"/>
      <c r="K457" s="120"/>
      <c r="L457" s="120"/>
      <c r="M457" s="120"/>
      <c r="N457" s="120"/>
    </row>
    <row r="458" spans="1:14" ht="15.75" customHeight="1" x14ac:dyDescent="0.25">
      <c r="A458" s="117">
        <v>449</v>
      </c>
      <c r="B458" s="118"/>
      <c r="C458" s="118"/>
      <c r="D458" s="118"/>
      <c r="E458" s="118"/>
      <c r="F458" s="118"/>
      <c r="G458" s="118"/>
      <c r="H458" s="118"/>
      <c r="I458" s="118"/>
      <c r="J458" s="118"/>
      <c r="K458" s="118"/>
      <c r="L458" s="118"/>
      <c r="M458" s="118"/>
      <c r="N458" s="118"/>
    </row>
    <row r="459" spans="1:14" ht="15.75" customHeight="1" x14ac:dyDescent="0.25">
      <c r="A459" s="119">
        <v>450</v>
      </c>
      <c r="B459" s="120"/>
      <c r="C459" s="120"/>
      <c r="D459" s="120"/>
      <c r="E459" s="120"/>
      <c r="F459" s="120"/>
      <c r="G459" s="120"/>
      <c r="H459" s="120"/>
      <c r="I459" s="120"/>
      <c r="J459" s="120"/>
      <c r="K459" s="120"/>
      <c r="L459" s="120"/>
      <c r="M459" s="120"/>
      <c r="N459" s="120"/>
    </row>
    <row r="460" spans="1:14" ht="15.75" customHeight="1" x14ac:dyDescent="0.25">
      <c r="A460" s="117">
        <v>451</v>
      </c>
      <c r="B460" s="118"/>
      <c r="C460" s="118"/>
      <c r="D460" s="118"/>
      <c r="E460" s="118"/>
      <c r="F460" s="118"/>
      <c r="G460" s="118"/>
      <c r="H460" s="118"/>
      <c r="I460" s="118"/>
      <c r="J460" s="118"/>
      <c r="K460" s="118"/>
      <c r="L460" s="118"/>
      <c r="M460" s="118"/>
      <c r="N460" s="118"/>
    </row>
    <row r="461" spans="1:14" ht="15.75" customHeight="1" x14ac:dyDescent="0.25">
      <c r="A461" s="119">
        <v>452</v>
      </c>
      <c r="B461" s="120"/>
      <c r="C461" s="120"/>
      <c r="D461" s="120"/>
      <c r="E461" s="120"/>
      <c r="F461" s="120"/>
      <c r="G461" s="120"/>
      <c r="H461" s="120"/>
      <c r="I461" s="120"/>
      <c r="J461" s="120"/>
      <c r="K461" s="120"/>
      <c r="L461" s="120"/>
      <c r="M461" s="120"/>
      <c r="N461" s="120"/>
    </row>
    <row r="462" spans="1:14" ht="15.75" customHeight="1" x14ac:dyDescent="0.25">
      <c r="A462" s="117">
        <v>453</v>
      </c>
      <c r="B462" s="118"/>
      <c r="C462" s="118"/>
      <c r="D462" s="118"/>
      <c r="E462" s="118"/>
      <c r="F462" s="118"/>
      <c r="G462" s="118"/>
      <c r="H462" s="118"/>
      <c r="I462" s="118"/>
      <c r="J462" s="118"/>
      <c r="K462" s="118"/>
      <c r="L462" s="118"/>
      <c r="M462" s="118"/>
      <c r="N462" s="118"/>
    </row>
    <row r="463" spans="1:14" ht="15.75" customHeight="1" x14ac:dyDescent="0.25">
      <c r="A463" s="119">
        <v>454</v>
      </c>
      <c r="B463" s="120"/>
      <c r="C463" s="120"/>
      <c r="D463" s="120"/>
      <c r="E463" s="120"/>
      <c r="F463" s="120"/>
      <c r="G463" s="120"/>
      <c r="H463" s="120"/>
      <c r="I463" s="120"/>
      <c r="J463" s="120"/>
      <c r="K463" s="120"/>
      <c r="L463" s="120"/>
      <c r="M463" s="120"/>
      <c r="N463" s="120"/>
    </row>
    <row r="464" spans="1:14" ht="15.75" customHeight="1" x14ac:dyDescent="0.25">
      <c r="A464" s="117">
        <v>455</v>
      </c>
      <c r="B464" s="118"/>
      <c r="C464" s="118"/>
      <c r="D464" s="118"/>
      <c r="E464" s="118"/>
      <c r="F464" s="118"/>
      <c r="G464" s="118"/>
      <c r="H464" s="118"/>
      <c r="I464" s="118"/>
      <c r="J464" s="118"/>
      <c r="K464" s="118"/>
      <c r="L464" s="118"/>
      <c r="M464" s="118"/>
      <c r="N464" s="118"/>
    </row>
    <row r="465" spans="1:14" ht="15.75" customHeight="1" x14ac:dyDescent="0.25">
      <c r="A465" s="119">
        <v>456</v>
      </c>
      <c r="B465" s="120"/>
      <c r="C465" s="120"/>
      <c r="D465" s="120"/>
      <c r="E465" s="120"/>
      <c r="F465" s="120"/>
      <c r="G465" s="120"/>
      <c r="H465" s="120"/>
      <c r="I465" s="120"/>
      <c r="J465" s="120"/>
      <c r="K465" s="120"/>
      <c r="L465" s="120"/>
      <c r="M465" s="120"/>
      <c r="N465" s="120"/>
    </row>
    <row r="466" spans="1:14" ht="15.75" customHeight="1" x14ac:dyDescent="0.25">
      <c r="A466" s="117">
        <v>457</v>
      </c>
      <c r="B466" s="118"/>
      <c r="C466" s="118"/>
      <c r="D466" s="118"/>
      <c r="E466" s="118"/>
      <c r="F466" s="118"/>
      <c r="G466" s="118"/>
      <c r="H466" s="118"/>
      <c r="I466" s="118"/>
      <c r="J466" s="118"/>
      <c r="K466" s="118"/>
      <c r="L466" s="118"/>
      <c r="M466" s="118"/>
      <c r="N466" s="118"/>
    </row>
    <row r="467" spans="1:14" ht="15.75" customHeight="1" x14ac:dyDescent="0.25">
      <c r="A467" s="119">
        <v>458</v>
      </c>
      <c r="B467" s="120"/>
      <c r="C467" s="120"/>
      <c r="D467" s="120"/>
      <c r="E467" s="120"/>
      <c r="F467" s="120"/>
      <c r="G467" s="120"/>
      <c r="H467" s="120"/>
      <c r="I467" s="120"/>
      <c r="J467" s="120"/>
      <c r="K467" s="120"/>
      <c r="L467" s="120"/>
      <c r="M467" s="120"/>
      <c r="N467" s="120"/>
    </row>
    <row r="468" spans="1:14" ht="15.75" customHeight="1" x14ac:dyDescent="0.25">
      <c r="A468" s="117">
        <v>459</v>
      </c>
      <c r="B468" s="118"/>
      <c r="C468" s="118"/>
      <c r="D468" s="118"/>
      <c r="E468" s="118"/>
      <c r="F468" s="118"/>
      <c r="G468" s="118"/>
      <c r="H468" s="118"/>
      <c r="I468" s="118"/>
      <c r="J468" s="118"/>
      <c r="K468" s="118"/>
      <c r="L468" s="118"/>
      <c r="M468" s="118"/>
      <c r="N468" s="118"/>
    </row>
    <row r="469" spans="1:14" ht="15.75" customHeight="1" x14ac:dyDescent="0.25">
      <c r="A469" s="119">
        <v>460</v>
      </c>
      <c r="B469" s="120"/>
      <c r="C469" s="120"/>
      <c r="D469" s="120"/>
      <c r="E469" s="120"/>
      <c r="F469" s="120"/>
      <c r="G469" s="120"/>
      <c r="H469" s="120"/>
      <c r="I469" s="120"/>
      <c r="J469" s="120"/>
      <c r="K469" s="120"/>
      <c r="L469" s="120"/>
      <c r="M469" s="120"/>
      <c r="N469" s="120"/>
    </row>
    <row r="470" spans="1:14" ht="15.75" customHeight="1" x14ac:dyDescent="0.25">
      <c r="A470" s="117">
        <v>461</v>
      </c>
      <c r="B470" s="118"/>
      <c r="C470" s="118"/>
      <c r="D470" s="118"/>
      <c r="E470" s="118"/>
      <c r="F470" s="118"/>
      <c r="G470" s="118"/>
      <c r="H470" s="118"/>
      <c r="I470" s="118"/>
      <c r="J470" s="118"/>
      <c r="K470" s="118"/>
      <c r="L470" s="118"/>
      <c r="M470" s="118"/>
      <c r="N470" s="118"/>
    </row>
    <row r="471" spans="1:14" ht="15.75" customHeight="1" x14ac:dyDescent="0.25">
      <c r="A471" s="119">
        <v>462</v>
      </c>
      <c r="B471" s="120"/>
      <c r="C471" s="120"/>
      <c r="D471" s="120"/>
      <c r="E471" s="120"/>
      <c r="F471" s="120"/>
      <c r="G471" s="120"/>
      <c r="H471" s="120"/>
      <c r="I471" s="120"/>
      <c r="J471" s="120"/>
      <c r="K471" s="120"/>
      <c r="L471" s="120"/>
      <c r="M471" s="120"/>
      <c r="N471" s="120"/>
    </row>
    <row r="472" spans="1:14" ht="15.75" customHeight="1" x14ac:dyDescent="0.25">
      <c r="A472" s="117">
        <v>463</v>
      </c>
      <c r="B472" s="118"/>
      <c r="C472" s="118"/>
      <c r="D472" s="118"/>
      <c r="E472" s="118"/>
      <c r="F472" s="118"/>
      <c r="G472" s="118"/>
      <c r="H472" s="118"/>
      <c r="I472" s="118"/>
      <c r="J472" s="118"/>
      <c r="K472" s="118"/>
      <c r="L472" s="118"/>
      <c r="M472" s="118"/>
      <c r="N472" s="118"/>
    </row>
    <row r="473" spans="1:14" ht="15.75" customHeight="1" x14ac:dyDescent="0.25">
      <c r="A473" s="119">
        <v>464</v>
      </c>
      <c r="B473" s="120"/>
      <c r="C473" s="120"/>
      <c r="D473" s="120"/>
      <c r="E473" s="120"/>
      <c r="F473" s="120"/>
      <c r="G473" s="120"/>
      <c r="H473" s="120"/>
      <c r="I473" s="120"/>
      <c r="J473" s="120"/>
      <c r="K473" s="120"/>
      <c r="L473" s="120"/>
      <c r="M473" s="120"/>
      <c r="N473" s="120"/>
    </row>
    <row r="474" spans="1:14" ht="15.75" customHeight="1" x14ac:dyDescent="0.25">
      <c r="A474" s="117">
        <v>465</v>
      </c>
      <c r="B474" s="118"/>
      <c r="C474" s="118"/>
      <c r="D474" s="118"/>
      <c r="E474" s="118"/>
      <c r="F474" s="118"/>
      <c r="G474" s="118"/>
      <c r="H474" s="118"/>
      <c r="I474" s="118"/>
      <c r="J474" s="118"/>
      <c r="K474" s="118"/>
      <c r="L474" s="118"/>
      <c r="M474" s="118"/>
      <c r="N474" s="118"/>
    </row>
    <row r="475" spans="1:14" ht="15.75" customHeight="1" x14ac:dyDescent="0.25">
      <c r="A475" s="119">
        <v>466</v>
      </c>
      <c r="B475" s="120"/>
      <c r="C475" s="120"/>
      <c r="D475" s="120"/>
      <c r="E475" s="120"/>
      <c r="F475" s="120"/>
      <c r="G475" s="120"/>
      <c r="H475" s="120"/>
      <c r="I475" s="120"/>
      <c r="J475" s="120"/>
      <c r="K475" s="120"/>
      <c r="L475" s="120"/>
      <c r="M475" s="120"/>
      <c r="N475" s="120"/>
    </row>
    <row r="476" spans="1:14" ht="15.75" customHeight="1" x14ac:dyDescent="0.25">
      <c r="A476" s="117">
        <v>467</v>
      </c>
      <c r="B476" s="118"/>
      <c r="C476" s="118"/>
      <c r="D476" s="118"/>
      <c r="E476" s="118"/>
      <c r="F476" s="118"/>
      <c r="G476" s="118"/>
      <c r="H476" s="118"/>
      <c r="I476" s="118"/>
      <c r="J476" s="118"/>
      <c r="K476" s="118"/>
      <c r="L476" s="118"/>
      <c r="M476" s="118"/>
      <c r="N476" s="118"/>
    </row>
    <row r="477" spans="1:14" ht="15.75" customHeight="1" x14ac:dyDescent="0.25">
      <c r="A477" s="119">
        <v>468</v>
      </c>
      <c r="B477" s="120"/>
      <c r="C477" s="120"/>
      <c r="D477" s="120"/>
      <c r="E477" s="120"/>
      <c r="F477" s="120"/>
      <c r="G477" s="120"/>
      <c r="H477" s="120"/>
      <c r="I477" s="120"/>
      <c r="J477" s="120"/>
      <c r="K477" s="120"/>
      <c r="L477" s="120"/>
      <c r="M477" s="120"/>
      <c r="N477" s="120"/>
    </row>
    <row r="478" spans="1:14" ht="15.75" customHeight="1" x14ac:dyDescent="0.25">
      <c r="A478" s="117">
        <v>469</v>
      </c>
      <c r="B478" s="118"/>
      <c r="C478" s="118"/>
      <c r="D478" s="118"/>
      <c r="E478" s="118"/>
      <c r="F478" s="118"/>
      <c r="G478" s="118"/>
      <c r="H478" s="118"/>
      <c r="I478" s="118"/>
      <c r="J478" s="118"/>
      <c r="K478" s="118"/>
      <c r="L478" s="118"/>
      <c r="M478" s="118"/>
      <c r="N478" s="118"/>
    </row>
    <row r="479" spans="1:14" ht="15.75" customHeight="1" x14ac:dyDescent="0.25">
      <c r="A479" s="119">
        <v>470</v>
      </c>
      <c r="B479" s="120"/>
      <c r="C479" s="120"/>
      <c r="D479" s="120"/>
      <c r="E479" s="120"/>
      <c r="F479" s="120"/>
      <c r="G479" s="120"/>
      <c r="H479" s="120"/>
      <c r="I479" s="120"/>
      <c r="J479" s="120"/>
      <c r="K479" s="120"/>
      <c r="L479" s="120"/>
      <c r="M479" s="120"/>
      <c r="N479" s="120"/>
    </row>
    <row r="480" spans="1:14" ht="15.75" customHeight="1" x14ac:dyDescent="0.25">
      <c r="A480" s="117">
        <v>471</v>
      </c>
      <c r="B480" s="118"/>
      <c r="C480" s="118"/>
      <c r="D480" s="118"/>
      <c r="E480" s="118"/>
      <c r="F480" s="118"/>
      <c r="G480" s="118"/>
      <c r="H480" s="118"/>
      <c r="I480" s="118"/>
      <c r="J480" s="118"/>
      <c r="K480" s="118"/>
      <c r="L480" s="118"/>
      <c r="M480" s="118"/>
      <c r="N480" s="118"/>
    </row>
    <row r="481" spans="1:14" ht="15.75" customHeight="1" x14ac:dyDescent="0.25">
      <c r="A481" s="119">
        <v>472</v>
      </c>
      <c r="B481" s="120"/>
      <c r="C481" s="120"/>
      <c r="D481" s="120"/>
      <c r="E481" s="120"/>
      <c r="F481" s="120"/>
      <c r="G481" s="120"/>
      <c r="H481" s="120"/>
      <c r="I481" s="120"/>
      <c r="J481" s="120"/>
      <c r="K481" s="120"/>
      <c r="L481" s="120"/>
      <c r="M481" s="120"/>
      <c r="N481" s="120"/>
    </row>
    <row r="482" spans="1:14" ht="15.75" customHeight="1" x14ac:dyDescent="0.25">
      <c r="A482" s="117">
        <v>473</v>
      </c>
      <c r="B482" s="118"/>
      <c r="C482" s="118"/>
      <c r="D482" s="118"/>
      <c r="E482" s="118"/>
      <c r="F482" s="118"/>
      <c r="G482" s="118"/>
      <c r="H482" s="118"/>
      <c r="I482" s="118"/>
      <c r="J482" s="118"/>
      <c r="K482" s="118"/>
      <c r="L482" s="118"/>
      <c r="M482" s="118"/>
      <c r="N482" s="118"/>
    </row>
    <row r="483" spans="1:14" ht="15.75" customHeight="1" x14ac:dyDescent="0.25">
      <c r="A483" s="119">
        <v>474</v>
      </c>
      <c r="B483" s="120"/>
      <c r="C483" s="120"/>
      <c r="D483" s="120"/>
      <c r="E483" s="120"/>
      <c r="F483" s="120"/>
      <c r="G483" s="120"/>
      <c r="H483" s="120"/>
      <c r="I483" s="120"/>
      <c r="J483" s="120"/>
      <c r="K483" s="120"/>
      <c r="L483" s="120"/>
      <c r="M483" s="120"/>
      <c r="N483" s="120"/>
    </row>
    <row r="484" spans="1:14" ht="15.75" customHeight="1" x14ac:dyDescent="0.25">
      <c r="A484" s="117">
        <v>475</v>
      </c>
      <c r="B484" s="118"/>
      <c r="C484" s="118"/>
      <c r="D484" s="118"/>
      <c r="E484" s="118"/>
      <c r="F484" s="118"/>
      <c r="G484" s="118"/>
      <c r="H484" s="118"/>
      <c r="I484" s="118"/>
      <c r="J484" s="118"/>
      <c r="K484" s="118"/>
      <c r="L484" s="118"/>
      <c r="M484" s="118"/>
      <c r="N484" s="118"/>
    </row>
    <row r="485" spans="1:14" ht="15.75" customHeight="1" x14ac:dyDescent="0.25">
      <c r="A485" s="119">
        <v>476</v>
      </c>
      <c r="B485" s="120"/>
      <c r="C485" s="120"/>
      <c r="D485" s="120"/>
      <c r="E485" s="120"/>
      <c r="F485" s="120"/>
      <c r="G485" s="120"/>
      <c r="H485" s="120"/>
      <c r="I485" s="120"/>
      <c r="J485" s="120"/>
      <c r="K485" s="120"/>
      <c r="L485" s="120"/>
      <c r="M485" s="120"/>
      <c r="N485" s="120"/>
    </row>
    <row r="486" spans="1:14" ht="15.75" customHeight="1" x14ac:dyDescent="0.25">
      <c r="A486" s="117">
        <v>477</v>
      </c>
      <c r="B486" s="118"/>
      <c r="C486" s="118"/>
      <c r="D486" s="118"/>
      <c r="E486" s="118"/>
      <c r="F486" s="118"/>
      <c r="G486" s="118"/>
      <c r="H486" s="118"/>
      <c r="I486" s="118"/>
      <c r="J486" s="118"/>
      <c r="K486" s="118"/>
      <c r="L486" s="118"/>
      <c r="M486" s="118"/>
      <c r="N486" s="118"/>
    </row>
    <row r="487" spans="1:14" ht="15.75" customHeight="1" x14ac:dyDescent="0.25">
      <c r="A487" s="119">
        <v>478</v>
      </c>
      <c r="B487" s="120"/>
      <c r="C487" s="120"/>
      <c r="D487" s="120"/>
      <c r="E487" s="120"/>
      <c r="F487" s="120"/>
      <c r="G487" s="120"/>
      <c r="H487" s="120"/>
      <c r="I487" s="120"/>
      <c r="J487" s="120"/>
      <c r="K487" s="120"/>
      <c r="L487" s="120"/>
      <c r="M487" s="120"/>
      <c r="N487" s="120"/>
    </row>
    <row r="488" spans="1:14" ht="15.75" customHeight="1" x14ac:dyDescent="0.25">
      <c r="A488" s="117">
        <v>479</v>
      </c>
      <c r="B488" s="118"/>
      <c r="C488" s="118"/>
      <c r="D488" s="118"/>
      <c r="E488" s="118"/>
      <c r="F488" s="118"/>
      <c r="G488" s="118"/>
      <c r="H488" s="118"/>
      <c r="I488" s="118"/>
      <c r="J488" s="118"/>
      <c r="K488" s="118"/>
      <c r="L488" s="118"/>
      <c r="M488" s="118"/>
      <c r="N488" s="118"/>
    </row>
    <row r="489" spans="1:14" ht="15.75" customHeight="1" x14ac:dyDescent="0.25">
      <c r="A489" s="119">
        <v>480</v>
      </c>
      <c r="B489" s="120"/>
      <c r="C489" s="120"/>
      <c r="D489" s="120"/>
      <c r="E489" s="120"/>
      <c r="F489" s="120"/>
      <c r="G489" s="120"/>
      <c r="H489" s="120"/>
      <c r="I489" s="120"/>
      <c r="J489" s="120"/>
      <c r="K489" s="120"/>
      <c r="L489" s="120"/>
      <c r="M489" s="120"/>
      <c r="N489" s="120"/>
    </row>
    <row r="490" spans="1:14" ht="15.75" customHeight="1" x14ac:dyDescent="0.25">
      <c r="A490" s="117">
        <v>481</v>
      </c>
      <c r="B490" s="118"/>
      <c r="C490" s="118"/>
      <c r="D490" s="118"/>
      <c r="E490" s="118"/>
      <c r="F490" s="118"/>
      <c r="G490" s="118"/>
      <c r="H490" s="118"/>
      <c r="I490" s="118"/>
      <c r="J490" s="118"/>
      <c r="K490" s="118"/>
      <c r="L490" s="118"/>
      <c r="M490" s="118"/>
      <c r="N490" s="118"/>
    </row>
    <row r="491" spans="1:14" ht="15.75" customHeight="1" x14ac:dyDescent="0.25">
      <c r="A491" s="119">
        <v>482</v>
      </c>
      <c r="B491" s="120"/>
      <c r="C491" s="120"/>
      <c r="D491" s="120"/>
      <c r="E491" s="120"/>
      <c r="F491" s="120"/>
      <c r="G491" s="120"/>
      <c r="H491" s="120"/>
      <c r="I491" s="120"/>
      <c r="J491" s="120"/>
      <c r="K491" s="120"/>
      <c r="L491" s="120"/>
      <c r="M491" s="120"/>
      <c r="N491" s="120"/>
    </row>
    <row r="492" spans="1:14" ht="15.75" customHeight="1" x14ac:dyDescent="0.25">
      <c r="A492" s="117">
        <v>483</v>
      </c>
      <c r="B492" s="118"/>
      <c r="C492" s="118"/>
      <c r="D492" s="118"/>
      <c r="E492" s="118"/>
      <c r="F492" s="118"/>
      <c r="G492" s="118"/>
      <c r="H492" s="118"/>
      <c r="I492" s="118"/>
      <c r="J492" s="118"/>
      <c r="K492" s="118"/>
      <c r="L492" s="118"/>
      <c r="M492" s="118"/>
      <c r="N492" s="118"/>
    </row>
    <row r="493" spans="1:14" ht="15.75" customHeight="1" x14ac:dyDescent="0.25">
      <c r="A493" s="119">
        <v>484</v>
      </c>
      <c r="B493" s="120"/>
      <c r="C493" s="120"/>
      <c r="D493" s="120"/>
      <c r="E493" s="120"/>
      <c r="F493" s="120"/>
      <c r="G493" s="120"/>
      <c r="H493" s="120"/>
      <c r="I493" s="120"/>
      <c r="J493" s="120"/>
      <c r="K493" s="120"/>
      <c r="L493" s="120"/>
      <c r="M493" s="120"/>
      <c r="N493" s="120"/>
    </row>
    <row r="494" spans="1:14" ht="15.75" customHeight="1" x14ac:dyDescent="0.25">
      <c r="A494" s="117">
        <v>485</v>
      </c>
      <c r="B494" s="118"/>
      <c r="C494" s="118"/>
      <c r="D494" s="118"/>
      <c r="E494" s="118"/>
      <c r="F494" s="118"/>
      <c r="G494" s="118"/>
      <c r="H494" s="118"/>
      <c r="I494" s="118"/>
      <c r="J494" s="118"/>
      <c r="K494" s="118"/>
      <c r="L494" s="118"/>
      <c r="M494" s="118"/>
      <c r="N494" s="118"/>
    </row>
    <row r="495" spans="1:14" ht="15.75" customHeight="1" x14ac:dyDescent="0.25">
      <c r="A495" s="119">
        <v>486</v>
      </c>
      <c r="B495" s="120"/>
      <c r="C495" s="120"/>
      <c r="D495" s="120"/>
      <c r="E495" s="120"/>
      <c r="F495" s="120"/>
      <c r="G495" s="120"/>
      <c r="H495" s="120"/>
      <c r="I495" s="120"/>
      <c r="J495" s="120"/>
      <c r="K495" s="120"/>
      <c r="L495" s="120"/>
      <c r="M495" s="120"/>
      <c r="N495" s="120"/>
    </row>
    <row r="496" spans="1:14" ht="15.75" customHeight="1" x14ac:dyDescent="0.25">
      <c r="A496" s="117">
        <v>487</v>
      </c>
      <c r="B496" s="118"/>
      <c r="C496" s="118"/>
      <c r="D496" s="118"/>
      <c r="E496" s="118"/>
      <c r="F496" s="118"/>
      <c r="G496" s="118"/>
      <c r="H496" s="118"/>
      <c r="I496" s="118"/>
      <c r="J496" s="118"/>
      <c r="K496" s="118"/>
      <c r="L496" s="118"/>
      <c r="M496" s="118"/>
      <c r="N496" s="118"/>
    </row>
    <row r="497" spans="1:14" ht="15.75" customHeight="1" x14ac:dyDescent="0.25">
      <c r="A497" s="119">
        <v>488</v>
      </c>
      <c r="B497" s="120"/>
      <c r="C497" s="120"/>
      <c r="D497" s="120"/>
      <c r="E497" s="120"/>
      <c r="F497" s="120"/>
      <c r="G497" s="120"/>
      <c r="H497" s="120"/>
      <c r="I497" s="120"/>
      <c r="J497" s="120"/>
      <c r="K497" s="120"/>
      <c r="L497" s="120"/>
      <c r="M497" s="120"/>
      <c r="N497" s="120"/>
    </row>
    <row r="498" spans="1:14" ht="15.75" customHeight="1" x14ac:dyDescent="0.25">
      <c r="A498" s="117">
        <v>489</v>
      </c>
      <c r="B498" s="118"/>
      <c r="C498" s="118"/>
      <c r="D498" s="118"/>
      <c r="E498" s="118"/>
      <c r="F498" s="118"/>
      <c r="G498" s="118"/>
      <c r="H498" s="118"/>
      <c r="I498" s="118"/>
      <c r="J498" s="118"/>
      <c r="K498" s="118"/>
      <c r="L498" s="118"/>
      <c r="M498" s="118"/>
      <c r="N498" s="118"/>
    </row>
    <row r="499" spans="1:14" ht="15.75" customHeight="1" x14ac:dyDescent="0.25">
      <c r="A499" s="119">
        <v>490</v>
      </c>
      <c r="B499" s="120"/>
      <c r="C499" s="120"/>
      <c r="D499" s="120"/>
      <c r="E499" s="120"/>
      <c r="F499" s="120"/>
      <c r="G499" s="120"/>
      <c r="H499" s="120"/>
      <c r="I499" s="120"/>
      <c r="J499" s="120"/>
      <c r="K499" s="120"/>
      <c r="L499" s="120"/>
      <c r="M499" s="120"/>
      <c r="N499" s="120"/>
    </row>
    <row r="500" spans="1:14" ht="15.75" customHeight="1" x14ac:dyDescent="0.25">
      <c r="A500" s="117">
        <v>491</v>
      </c>
      <c r="B500" s="118"/>
      <c r="C500" s="118"/>
      <c r="D500" s="118"/>
      <c r="E500" s="118"/>
      <c r="F500" s="118"/>
      <c r="G500" s="118"/>
      <c r="H500" s="118"/>
      <c r="I500" s="118"/>
      <c r="J500" s="118"/>
      <c r="K500" s="118"/>
      <c r="L500" s="118"/>
      <c r="M500" s="118"/>
      <c r="N500" s="118"/>
    </row>
    <row r="501" spans="1:14" ht="15.75" customHeight="1" x14ac:dyDescent="0.25">
      <c r="A501" s="119">
        <v>492</v>
      </c>
      <c r="B501" s="120"/>
      <c r="C501" s="120"/>
      <c r="D501" s="120"/>
      <c r="E501" s="120"/>
      <c r="F501" s="120"/>
      <c r="G501" s="120"/>
      <c r="H501" s="120"/>
      <c r="I501" s="120"/>
      <c r="J501" s="120"/>
      <c r="K501" s="120"/>
      <c r="L501" s="120"/>
      <c r="M501" s="120"/>
      <c r="N501" s="120"/>
    </row>
    <row r="502" spans="1:14" ht="15.75" customHeight="1" x14ac:dyDescent="0.25">
      <c r="A502" s="117">
        <v>493</v>
      </c>
      <c r="B502" s="118"/>
      <c r="C502" s="118"/>
      <c r="D502" s="118"/>
      <c r="E502" s="118"/>
      <c r="F502" s="118"/>
      <c r="G502" s="118"/>
      <c r="H502" s="118"/>
      <c r="I502" s="118"/>
      <c r="J502" s="118"/>
      <c r="K502" s="118"/>
      <c r="L502" s="118"/>
      <c r="M502" s="118"/>
      <c r="N502" s="118"/>
    </row>
    <row r="503" spans="1:14" ht="15.75" customHeight="1" x14ac:dyDescent="0.25">
      <c r="A503" s="119">
        <v>494</v>
      </c>
      <c r="B503" s="120"/>
      <c r="C503" s="120"/>
      <c r="D503" s="120"/>
      <c r="E503" s="120"/>
      <c r="F503" s="120"/>
      <c r="G503" s="120"/>
      <c r="H503" s="120"/>
      <c r="I503" s="120"/>
      <c r="J503" s="120"/>
      <c r="K503" s="120"/>
      <c r="L503" s="120"/>
      <c r="M503" s="120"/>
      <c r="N503" s="120"/>
    </row>
    <row r="504" spans="1:14" ht="15.75" customHeight="1" x14ac:dyDescent="0.25">
      <c r="A504" s="117">
        <v>495</v>
      </c>
      <c r="B504" s="118"/>
      <c r="C504" s="118"/>
      <c r="D504" s="118"/>
      <c r="E504" s="118"/>
      <c r="F504" s="118"/>
      <c r="G504" s="118"/>
      <c r="H504" s="118"/>
      <c r="I504" s="118"/>
      <c r="J504" s="118"/>
      <c r="K504" s="118"/>
      <c r="L504" s="118"/>
      <c r="M504" s="118"/>
      <c r="N504" s="118"/>
    </row>
    <row r="505" spans="1:14" ht="15.75" customHeight="1" x14ac:dyDescent="0.25">
      <c r="A505" s="119">
        <v>496</v>
      </c>
      <c r="B505" s="120"/>
      <c r="C505" s="120"/>
      <c r="D505" s="120"/>
      <c r="E505" s="120"/>
      <c r="F505" s="120"/>
      <c r="G505" s="120"/>
      <c r="H505" s="120"/>
      <c r="I505" s="120"/>
      <c r="J505" s="120"/>
      <c r="K505" s="120"/>
      <c r="L505" s="120"/>
      <c r="M505" s="120"/>
      <c r="N505" s="120"/>
    </row>
    <row r="506" spans="1:14" ht="15.75" customHeight="1" x14ac:dyDescent="0.25">
      <c r="A506" s="117">
        <v>497</v>
      </c>
      <c r="B506" s="118"/>
      <c r="C506" s="118"/>
      <c r="D506" s="118"/>
      <c r="E506" s="118"/>
      <c r="F506" s="118"/>
      <c r="G506" s="118"/>
      <c r="H506" s="118"/>
      <c r="I506" s="118"/>
      <c r="J506" s="118"/>
      <c r="K506" s="118"/>
      <c r="L506" s="118"/>
      <c r="M506" s="118"/>
      <c r="N506" s="118"/>
    </row>
    <row r="507" spans="1:14" ht="15.75" customHeight="1" x14ac:dyDescent="0.25">
      <c r="A507" s="119">
        <v>498</v>
      </c>
      <c r="B507" s="120"/>
      <c r="C507" s="120"/>
      <c r="D507" s="120"/>
      <c r="E507" s="120"/>
      <c r="F507" s="120"/>
      <c r="G507" s="120"/>
      <c r="H507" s="120"/>
      <c r="I507" s="120"/>
      <c r="J507" s="120"/>
      <c r="K507" s="120"/>
      <c r="L507" s="120"/>
      <c r="M507" s="120"/>
      <c r="N507" s="120"/>
    </row>
    <row r="508" spans="1:14" ht="15.75" customHeight="1" x14ac:dyDescent="0.25">
      <c r="A508" s="117">
        <v>499</v>
      </c>
      <c r="B508" s="118"/>
      <c r="C508" s="118"/>
      <c r="D508" s="118"/>
      <c r="E508" s="118"/>
      <c r="F508" s="118"/>
      <c r="G508" s="118"/>
      <c r="H508" s="118"/>
      <c r="I508" s="118"/>
      <c r="J508" s="118"/>
      <c r="K508" s="118"/>
      <c r="L508" s="118"/>
      <c r="M508" s="118"/>
      <c r="N508" s="118"/>
    </row>
    <row r="509" spans="1:14" ht="15.75" customHeight="1" x14ac:dyDescent="0.25">
      <c r="A509" s="119">
        <v>500</v>
      </c>
      <c r="B509" s="120"/>
      <c r="C509" s="120"/>
      <c r="D509" s="120"/>
      <c r="E509" s="120"/>
      <c r="F509" s="120"/>
      <c r="G509" s="120"/>
      <c r="H509" s="120"/>
      <c r="I509" s="120"/>
      <c r="J509" s="120"/>
      <c r="K509" s="120"/>
      <c r="L509" s="120"/>
      <c r="M509" s="120"/>
      <c r="N509" s="120"/>
    </row>
    <row r="511" spans="1:14" ht="3" customHeight="1" x14ac:dyDescent="0.25">
      <c r="A511" s="65"/>
      <c r="B511" s="65"/>
      <c r="C511" s="65"/>
      <c r="D511" s="65"/>
      <c r="E511" s="65"/>
      <c r="F511" s="65"/>
      <c r="G511" s="65"/>
      <c r="H511" s="65"/>
      <c r="I511" s="65"/>
      <c r="J511" s="65"/>
      <c r="K511" s="65"/>
      <c r="L511" s="65"/>
      <c r="M511" s="65"/>
      <c r="N511" s="65"/>
    </row>
    <row r="512" spans="1:14" ht="25.5" customHeight="1" x14ac:dyDescent="0.25">
      <c r="A512" s="379" t="s">
        <v>466</v>
      </c>
      <c r="B512" s="265"/>
      <c r="C512" s="265"/>
      <c r="D512" s="265"/>
      <c r="E512" s="265"/>
      <c r="F512" s="265"/>
      <c r="G512" s="265"/>
      <c r="H512" s="265"/>
      <c r="I512" s="265"/>
      <c r="J512" s="265"/>
      <c r="K512" s="265"/>
      <c r="L512" s="265"/>
      <c r="M512" s="265"/>
      <c r="N512" s="265"/>
    </row>
    <row r="513" spans="1:14" ht="19.5" customHeight="1" x14ac:dyDescent="0.25">
      <c r="B513" s="115" t="s">
        <v>467</v>
      </c>
      <c r="F513" s="388">
        <f>COUNTA(B10:B509)</f>
        <v>0</v>
      </c>
      <c r="G513" s="386"/>
      <c r="H513" s="386"/>
      <c r="I513" s="386"/>
      <c r="J513" s="389"/>
    </row>
    <row r="514" spans="1:14" ht="19.5" customHeight="1" x14ac:dyDescent="0.25">
      <c r="B514" s="115" t="s">
        <v>468</v>
      </c>
      <c r="F514" s="388">
        <f>SUMIF(E10:E509,"Savings",G10:G509)</f>
        <v>0</v>
      </c>
      <c r="G514" s="386"/>
      <c r="H514" s="386"/>
      <c r="I514" s="386"/>
      <c r="J514" s="389"/>
    </row>
    <row r="515" spans="1:14" ht="19.5" customHeight="1" x14ac:dyDescent="0.25">
      <c r="B515" s="115" t="s">
        <v>469</v>
      </c>
      <c r="F515" s="388">
        <f>SUMIF(E10:E509,"Withdrawal",G10:G509)</f>
        <v>0</v>
      </c>
      <c r="G515" s="386"/>
      <c r="H515" s="386"/>
      <c r="I515" s="386"/>
      <c r="J515" s="389"/>
    </row>
    <row r="516" spans="1:14" ht="19.5" customHeight="1" x14ac:dyDescent="0.25">
      <c r="B516" s="115" t="s">
        <v>470</v>
      </c>
      <c r="F516" s="388">
        <f>SUMIF(E10:E509,"Loan",G10:G509)</f>
        <v>0</v>
      </c>
      <c r="G516" s="386"/>
      <c r="H516" s="386"/>
      <c r="I516" s="386"/>
      <c r="J516" s="389"/>
    </row>
    <row r="517" spans="1:14" ht="19.5" customHeight="1" x14ac:dyDescent="0.25">
      <c r="B517" s="115" t="s">
        <v>471</v>
      </c>
      <c r="F517" s="388" t="e">
        <f>SUMPRODUCT((B10:B509&lt;&gt;"")/COUNTIF(IF(C10:C509="","x",C10:C509),IF(C10:C509="","x",C10:C509)))</f>
        <v>#VALUE!</v>
      </c>
      <c r="G517" s="386"/>
      <c r="H517" s="386"/>
      <c r="I517" s="386"/>
      <c r="J517" s="389"/>
    </row>
    <row r="518" spans="1:14" ht="19.5" customHeight="1" x14ac:dyDescent="0.25">
      <c r="B518" s="115" t="s">
        <v>472</v>
      </c>
      <c r="F518" s="388" t="str">
        <f>IFERROR(TEXT(MAX(F10:F509),"DD MMM YYYY"),"No records yet")</f>
        <v>00 Jan 1900</v>
      </c>
      <c r="G518" s="386"/>
      <c r="H518" s="386"/>
      <c r="I518" s="386"/>
      <c r="J518" s="389"/>
    </row>
    <row r="520" spans="1:14" ht="3" customHeight="1" x14ac:dyDescent="0.25">
      <c r="A520" s="121"/>
      <c r="B520" s="121"/>
      <c r="C520" s="121"/>
      <c r="D520" s="121"/>
      <c r="E520" s="121"/>
      <c r="F520" s="121"/>
      <c r="G520" s="121"/>
      <c r="H520" s="121"/>
      <c r="I520" s="121"/>
      <c r="J520" s="121"/>
      <c r="K520" s="121"/>
      <c r="L520" s="121"/>
      <c r="M520" s="121"/>
      <c r="N520" s="121"/>
    </row>
    <row r="521" spans="1:14" ht="24" customHeight="1" x14ac:dyDescent="0.25">
      <c r="A521" s="393" t="s">
        <v>473</v>
      </c>
      <c r="B521" s="265"/>
      <c r="C521" s="265"/>
      <c r="D521" s="265"/>
      <c r="E521" s="265"/>
      <c r="F521" s="265"/>
      <c r="G521" s="265"/>
      <c r="H521" s="265"/>
      <c r="I521" s="265"/>
      <c r="J521" s="265"/>
      <c r="K521" s="265"/>
      <c r="L521" s="265"/>
      <c r="M521" s="265"/>
      <c r="N521" s="265"/>
    </row>
    <row r="522" spans="1:14" ht="15.75" customHeight="1" x14ac:dyDescent="0.25">
      <c r="B522" s="387" t="s">
        <v>474</v>
      </c>
      <c r="C522" s="265"/>
      <c r="D522" s="265"/>
      <c r="E522" s="265"/>
      <c r="F522" s="265"/>
      <c r="G522" s="265"/>
      <c r="H522" s="265"/>
      <c r="I522" s="265"/>
      <c r="J522" s="265"/>
      <c r="K522" s="265"/>
      <c r="L522" s="265"/>
      <c r="M522" s="265"/>
      <c r="N522" s="265"/>
    </row>
    <row r="523" spans="1:14" ht="15.75" customHeight="1" x14ac:dyDescent="0.25">
      <c r="B523" s="387" t="s">
        <v>475</v>
      </c>
      <c r="C523" s="265"/>
      <c r="D523" s="265"/>
      <c r="E523" s="265"/>
      <c r="F523" s="265"/>
      <c r="G523" s="265"/>
      <c r="H523" s="265"/>
      <c r="I523" s="265"/>
      <c r="J523" s="265"/>
      <c r="K523" s="265"/>
      <c r="L523" s="265"/>
      <c r="M523" s="265"/>
      <c r="N523" s="265"/>
    </row>
    <row r="524" spans="1:14" ht="15.75" customHeight="1" x14ac:dyDescent="0.25">
      <c r="B524" s="387" t="s">
        <v>476</v>
      </c>
      <c r="C524" s="265"/>
      <c r="D524" s="265"/>
      <c r="E524" s="265"/>
      <c r="F524" s="265"/>
      <c r="G524" s="265"/>
      <c r="H524" s="265"/>
      <c r="I524" s="265"/>
      <c r="J524" s="265"/>
      <c r="K524" s="265"/>
      <c r="L524" s="265"/>
      <c r="M524" s="265"/>
      <c r="N524" s="265"/>
    </row>
    <row r="525" spans="1:14" ht="15.75" customHeight="1" x14ac:dyDescent="0.25">
      <c r="B525" s="387" t="s">
        <v>477</v>
      </c>
      <c r="C525" s="265"/>
      <c r="D525" s="265"/>
      <c r="E525" s="265"/>
      <c r="F525" s="265"/>
      <c r="G525" s="265"/>
      <c r="H525" s="265"/>
      <c r="I525" s="265"/>
      <c r="J525" s="265"/>
      <c r="K525" s="265"/>
      <c r="L525" s="265"/>
      <c r="M525" s="265"/>
      <c r="N525" s="265"/>
    </row>
    <row r="526" spans="1:14" ht="15.75" customHeight="1" x14ac:dyDescent="0.25">
      <c r="B526" s="387" t="s">
        <v>478</v>
      </c>
      <c r="C526" s="265"/>
      <c r="D526" s="265"/>
      <c r="E526" s="265"/>
      <c r="F526" s="265"/>
      <c r="G526" s="265"/>
      <c r="H526" s="265"/>
      <c r="I526" s="265"/>
      <c r="J526" s="265"/>
      <c r="K526" s="265"/>
      <c r="L526" s="265"/>
      <c r="M526" s="265"/>
      <c r="N526" s="265"/>
    </row>
    <row r="527" spans="1:14" ht="15.75" customHeight="1" x14ac:dyDescent="0.25">
      <c r="B527" s="387" t="s">
        <v>479</v>
      </c>
      <c r="C527" s="265"/>
      <c r="D527" s="265"/>
      <c r="E527" s="265"/>
      <c r="F527" s="265"/>
      <c r="G527" s="265"/>
      <c r="H527" s="265"/>
      <c r="I527" s="265"/>
      <c r="J527" s="265"/>
      <c r="K527" s="265"/>
      <c r="L527" s="265"/>
      <c r="M527" s="265"/>
      <c r="N527" s="265"/>
    </row>
  </sheetData>
  <sheetProtection password="9074" sheet="1"/>
  <mergeCells count="21">
    <mergeCell ref="B527:N527"/>
    <mergeCell ref="B526:N526"/>
    <mergeCell ref="B522:N522"/>
    <mergeCell ref="M7:N7"/>
    <mergeCell ref="A3:N3"/>
    <mergeCell ref="F513:J513"/>
    <mergeCell ref="A512:N512"/>
    <mergeCell ref="B525:N525"/>
    <mergeCell ref="F517:J517"/>
    <mergeCell ref="A521:N521"/>
    <mergeCell ref="F516:J516"/>
    <mergeCell ref="D7:F7"/>
    <mergeCell ref="A2:N2"/>
    <mergeCell ref="J7:K7"/>
    <mergeCell ref="B524:N524"/>
    <mergeCell ref="F518:J518"/>
    <mergeCell ref="A8:N8"/>
    <mergeCell ref="B523:N523"/>
    <mergeCell ref="F515:J515"/>
    <mergeCell ref="F514:J514"/>
    <mergeCell ref="A6:N6"/>
  </mergeCells>
  <pageMargins left="0.75" right="0.75" top="1" bottom="1" header="0.511811023622047" footer="0.511811023622047"/>
  <pageSetup paperSize="9" orientation="portrait" horizontalDpi="300" verticalDpi="30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tabColor rgb="FF2E86AB"/>
  </sheetPr>
  <dimension ref="A1:Q140"/>
  <sheetViews>
    <sheetView showGridLines="0" zoomScaleNormal="100" workbookViewId="0"/>
  </sheetViews>
  <sheetFormatPr defaultColWidth="8.7109375" defaultRowHeight="15" x14ac:dyDescent="0.25"/>
  <cols>
    <col min="1" max="1" width="3" customWidth="1"/>
    <col min="2" max="2" width="20" customWidth="1"/>
    <col min="3" max="3" width="14" customWidth="1"/>
    <col min="4" max="5" width="10" customWidth="1"/>
    <col min="6" max="6" width="18" customWidth="1"/>
    <col min="7" max="7" width="12" customWidth="1"/>
    <col min="8" max="8" width="24" customWidth="1"/>
    <col min="9" max="17" width="13" customWidth="1"/>
  </cols>
  <sheetData>
    <row r="1" spans="1:17" ht="9.75" customHeight="1" x14ac:dyDescent="0.25"/>
    <row r="2" spans="1:17" ht="36" customHeight="1" x14ac:dyDescent="0.25">
      <c r="A2" s="359" t="s">
        <v>480</v>
      </c>
      <c r="B2" s="265"/>
      <c r="C2" s="265"/>
      <c r="D2" s="265"/>
      <c r="E2" s="265"/>
      <c r="F2" s="265"/>
      <c r="G2" s="265"/>
      <c r="H2" s="265"/>
      <c r="I2" s="265"/>
      <c r="J2" s="265"/>
      <c r="K2" s="265"/>
      <c r="L2" s="265"/>
      <c r="M2" s="265"/>
      <c r="N2" s="265"/>
      <c r="O2" s="265"/>
      <c r="P2" s="265"/>
      <c r="Q2" s="265"/>
    </row>
    <row r="3" spans="1:17" ht="18" customHeight="1" x14ac:dyDescent="0.25">
      <c r="A3" s="392" t="s">
        <v>481</v>
      </c>
      <c r="B3" s="265"/>
      <c r="C3" s="265"/>
      <c r="D3" s="265"/>
      <c r="E3" s="265"/>
      <c r="F3" s="265"/>
      <c r="G3" s="265"/>
      <c r="H3" s="265"/>
      <c r="I3" s="265"/>
      <c r="J3" s="265"/>
      <c r="K3" s="265"/>
      <c r="L3" s="265"/>
      <c r="M3" s="265"/>
      <c r="N3" s="265"/>
      <c r="O3" s="265"/>
      <c r="P3" s="265"/>
      <c r="Q3" s="265"/>
    </row>
    <row r="4" spans="1:17" ht="3.75" customHeight="1" x14ac:dyDescent="0.25">
      <c r="A4" s="3"/>
      <c r="B4" s="3"/>
      <c r="C4" s="3"/>
      <c r="D4" s="3"/>
      <c r="E4" s="3"/>
      <c r="F4" s="3"/>
      <c r="G4" s="3"/>
      <c r="H4" s="3"/>
      <c r="I4" s="3"/>
      <c r="J4" s="3"/>
      <c r="K4" s="3"/>
      <c r="L4" s="3"/>
      <c r="M4" s="3"/>
      <c r="N4" s="3"/>
      <c r="O4" s="3"/>
      <c r="P4" s="3"/>
      <c r="Q4" s="3"/>
    </row>
    <row r="5" spans="1:17" ht="9.75" customHeight="1" x14ac:dyDescent="0.25"/>
    <row r="6" spans="1:17" ht="24" customHeight="1" x14ac:dyDescent="0.25">
      <c r="A6" s="403" t="s">
        <v>482</v>
      </c>
      <c r="B6" s="265"/>
      <c r="C6" s="265"/>
      <c r="D6" s="265"/>
      <c r="E6" s="265"/>
      <c r="F6" s="265"/>
      <c r="G6" s="265"/>
      <c r="H6" s="265"/>
      <c r="I6" s="265"/>
      <c r="J6" s="265"/>
      <c r="K6" s="265"/>
      <c r="L6" s="265"/>
      <c r="M6" s="265"/>
      <c r="N6" s="265"/>
      <c r="O6" s="265"/>
      <c r="P6" s="265"/>
      <c r="Q6" s="265"/>
    </row>
    <row r="7" spans="1:17" ht="19.5" customHeight="1" x14ac:dyDescent="0.25">
      <c r="B7" s="115" t="s">
        <v>483</v>
      </c>
      <c r="D7" s="396" t="s">
        <v>484</v>
      </c>
      <c r="E7" s="386"/>
      <c r="F7" s="386"/>
      <c r="G7" s="386"/>
      <c r="H7" s="386"/>
      <c r="I7" s="386"/>
      <c r="J7" s="386"/>
      <c r="K7" s="386"/>
      <c r="L7" s="389"/>
    </row>
    <row r="8" spans="1:17" ht="19.5" customHeight="1" x14ac:dyDescent="0.25">
      <c r="B8" s="115" t="s">
        <v>485</v>
      </c>
      <c r="D8" s="396" t="s">
        <v>486</v>
      </c>
      <c r="E8" s="386"/>
      <c r="F8" s="386"/>
      <c r="G8" s="386"/>
      <c r="H8" s="386"/>
      <c r="I8" s="386"/>
      <c r="J8" s="386"/>
      <c r="K8" s="386"/>
      <c r="L8" s="389"/>
    </row>
    <row r="9" spans="1:17" ht="19.5" customHeight="1" x14ac:dyDescent="0.25">
      <c r="B9" s="115" t="s">
        <v>487</v>
      </c>
      <c r="D9" s="396" t="s">
        <v>486</v>
      </c>
      <c r="E9" s="386"/>
      <c r="F9" s="386"/>
      <c r="G9" s="386"/>
      <c r="H9" s="386"/>
      <c r="I9" s="386"/>
      <c r="J9" s="386"/>
      <c r="K9" s="386"/>
      <c r="L9" s="389"/>
    </row>
    <row r="10" spans="1:17" ht="19.5" customHeight="1" x14ac:dyDescent="0.25">
      <c r="B10" s="115" t="s">
        <v>488</v>
      </c>
      <c r="D10" s="396">
        <f>COUNTA(DB_Savings!B4:B500)+COUNTA(DB_Withdrawals!B4:B500)+COUNTA(DB_Loans!A4:A500)</f>
        <v>0</v>
      </c>
      <c r="E10" s="386"/>
      <c r="F10" s="386"/>
      <c r="G10" s="386"/>
      <c r="H10" s="386"/>
      <c r="I10" s="386"/>
      <c r="J10" s="386"/>
      <c r="K10" s="386"/>
      <c r="L10" s="389"/>
    </row>
    <row r="11" spans="1:17" ht="19.5" customHeight="1" x14ac:dyDescent="0.25">
      <c r="B11" s="115" t="s">
        <v>489</v>
      </c>
      <c r="D11" s="396" t="s">
        <v>490</v>
      </c>
      <c r="E11" s="386"/>
      <c r="F11" s="386"/>
      <c r="G11" s="386"/>
      <c r="H11" s="386"/>
      <c r="I11" s="386"/>
      <c r="J11" s="386"/>
      <c r="K11" s="386"/>
      <c r="L11" s="389"/>
    </row>
    <row r="12" spans="1:17" ht="19.5" customHeight="1" x14ac:dyDescent="0.25">
      <c r="B12" s="115" t="s">
        <v>491</v>
      </c>
      <c r="D12" s="396" t="s">
        <v>492</v>
      </c>
      <c r="E12" s="386"/>
      <c r="F12" s="386"/>
      <c r="G12" s="386"/>
      <c r="H12" s="386"/>
      <c r="I12" s="386"/>
      <c r="J12" s="386"/>
      <c r="K12" s="386"/>
      <c r="L12" s="389"/>
    </row>
    <row r="13" spans="1:17" ht="12" customHeight="1" x14ac:dyDescent="0.25"/>
    <row r="14" spans="1:17" ht="3" customHeight="1" x14ac:dyDescent="0.25">
      <c r="A14" s="65"/>
      <c r="B14" s="65"/>
      <c r="C14" s="65"/>
      <c r="D14" s="65"/>
      <c r="E14" s="65"/>
      <c r="F14" s="65"/>
      <c r="G14" s="65"/>
      <c r="H14" s="65"/>
      <c r="I14" s="65"/>
      <c r="J14" s="65"/>
      <c r="K14" s="65"/>
      <c r="L14" s="65"/>
      <c r="M14" s="65"/>
      <c r="N14" s="65"/>
      <c r="O14" s="65"/>
      <c r="P14" s="65"/>
      <c r="Q14" s="65"/>
    </row>
    <row r="15" spans="1:17" ht="25.5" customHeight="1" x14ac:dyDescent="0.25">
      <c r="A15" s="379" t="s">
        <v>493</v>
      </c>
      <c r="B15" s="265"/>
      <c r="C15" s="265"/>
      <c r="D15" s="265"/>
      <c r="E15" s="265"/>
      <c r="F15" s="265"/>
      <c r="G15" s="265"/>
      <c r="H15" s="265"/>
      <c r="I15" s="265"/>
      <c r="J15" s="265"/>
      <c r="K15" s="265"/>
      <c r="L15" s="265"/>
      <c r="M15" s="265"/>
      <c r="N15" s="265"/>
      <c r="O15" s="265"/>
      <c r="P15" s="265"/>
      <c r="Q15" s="265"/>
    </row>
    <row r="16" spans="1:17" ht="19.5" customHeight="1" x14ac:dyDescent="0.25">
      <c r="B16" s="115" t="s">
        <v>494</v>
      </c>
      <c r="D16" s="396" t="s">
        <v>495</v>
      </c>
      <c r="E16" s="386"/>
      <c r="F16" s="386"/>
      <c r="G16" s="386"/>
      <c r="H16" s="386"/>
      <c r="I16" s="386"/>
      <c r="J16" s="386"/>
      <c r="K16" s="386"/>
      <c r="L16" s="386"/>
      <c r="M16" s="386"/>
      <c r="N16" s="386"/>
      <c r="O16" s="386"/>
      <c r="P16" s="386"/>
      <c r="Q16" s="389"/>
    </row>
    <row r="17" spans="1:17" ht="19.5" customHeight="1" x14ac:dyDescent="0.25">
      <c r="B17" s="115" t="s">
        <v>496</v>
      </c>
      <c r="D17" s="396" t="s">
        <v>497</v>
      </c>
      <c r="E17" s="386"/>
      <c r="F17" s="386"/>
      <c r="G17" s="386"/>
      <c r="H17" s="386"/>
      <c r="I17" s="386"/>
      <c r="J17" s="386"/>
      <c r="K17" s="386"/>
      <c r="L17" s="386"/>
      <c r="M17" s="386"/>
      <c r="N17" s="386"/>
      <c r="O17" s="386"/>
      <c r="P17" s="386"/>
      <c r="Q17" s="389"/>
    </row>
    <row r="18" spans="1:17" ht="19.5" customHeight="1" x14ac:dyDescent="0.25">
      <c r="B18" s="115" t="s">
        <v>498</v>
      </c>
      <c r="D18" s="396" t="s">
        <v>499</v>
      </c>
      <c r="E18" s="386"/>
      <c r="F18" s="386"/>
      <c r="G18" s="386"/>
      <c r="H18" s="386"/>
      <c r="I18" s="386"/>
      <c r="J18" s="386"/>
      <c r="K18" s="386"/>
      <c r="L18" s="386"/>
      <c r="M18" s="386"/>
      <c r="N18" s="386"/>
      <c r="O18" s="386"/>
      <c r="P18" s="386"/>
      <c r="Q18" s="389"/>
    </row>
    <row r="19" spans="1:17" ht="19.5" customHeight="1" x14ac:dyDescent="0.25">
      <c r="B19" s="115" t="s">
        <v>500</v>
      </c>
      <c r="D19" s="396" t="s">
        <v>501</v>
      </c>
      <c r="E19" s="386"/>
      <c r="F19" s="386"/>
      <c r="G19" s="386"/>
      <c r="H19" s="386"/>
      <c r="I19" s="386"/>
      <c r="J19" s="386"/>
      <c r="K19" s="386"/>
      <c r="L19" s="386"/>
      <c r="M19" s="386"/>
      <c r="N19" s="386"/>
      <c r="O19" s="386"/>
      <c r="P19" s="386"/>
      <c r="Q19" s="389"/>
    </row>
    <row r="20" spans="1:17" ht="19.5" customHeight="1" x14ac:dyDescent="0.25">
      <c r="B20" s="115" t="s">
        <v>502</v>
      </c>
      <c r="D20" s="396" t="s">
        <v>503</v>
      </c>
      <c r="E20" s="386"/>
      <c r="F20" s="386"/>
      <c r="G20" s="386"/>
      <c r="H20" s="386"/>
      <c r="I20" s="386"/>
      <c r="J20" s="386"/>
      <c r="K20" s="386"/>
      <c r="L20" s="386"/>
      <c r="M20" s="386"/>
      <c r="N20" s="386"/>
      <c r="O20" s="386"/>
      <c r="P20" s="386"/>
      <c r="Q20" s="389"/>
    </row>
    <row r="21" spans="1:17" ht="19.5" customHeight="1" x14ac:dyDescent="0.25">
      <c r="B21" s="115" t="s">
        <v>504</v>
      </c>
      <c r="D21" s="396" t="s">
        <v>505</v>
      </c>
      <c r="E21" s="386"/>
      <c r="F21" s="386"/>
      <c r="G21" s="386"/>
      <c r="H21" s="386"/>
      <c r="I21" s="386"/>
      <c r="J21" s="386"/>
      <c r="K21" s="386"/>
      <c r="L21" s="386"/>
      <c r="M21" s="386"/>
      <c r="N21" s="386"/>
      <c r="O21" s="386"/>
      <c r="P21" s="386"/>
      <c r="Q21" s="389"/>
    </row>
    <row r="22" spans="1:17" ht="19.5" customHeight="1" x14ac:dyDescent="0.25">
      <c r="B22" s="115" t="s">
        <v>60</v>
      </c>
      <c r="D22" s="396" t="s">
        <v>61</v>
      </c>
      <c r="E22" s="386"/>
      <c r="F22" s="386"/>
      <c r="G22" s="386"/>
      <c r="H22" s="386"/>
      <c r="I22" s="386"/>
      <c r="J22" s="386"/>
      <c r="K22" s="386"/>
      <c r="L22" s="386"/>
      <c r="M22" s="386"/>
      <c r="N22" s="386"/>
      <c r="O22" s="386"/>
      <c r="P22" s="386"/>
      <c r="Q22" s="389"/>
    </row>
    <row r="23" spans="1:17" ht="19.5" customHeight="1" x14ac:dyDescent="0.25">
      <c r="B23" s="115" t="s">
        <v>62</v>
      </c>
      <c r="D23" s="396" t="s">
        <v>506</v>
      </c>
      <c r="E23" s="386"/>
      <c r="F23" s="386"/>
      <c r="G23" s="386"/>
      <c r="H23" s="386"/>
      <c r="I23" s="386"/>
      <c r="J23" s="386"/>
      <c r="K23" s="386"/>
      <c r="L23" s="386"/>
      <c r="M23" s="386"/>
      <c r="N23" s="386"/>
      <c r="O23" s="386"/>
      <c r="P23" s="386"/>
      <c r="Q23" s="389"/>
    </row>
    <row r="24" spans="1:17" ht="19.5" customHeight="1" x14ac:dyDescent="0.25">
      <c r="B24" s="115" t="s">
        <v>64</v>
      </c>
      <c r="D24" s="396" t="s">
        <v>507</v>
      </c>
      <c r="E24" s="386"/>
      <c r="F24" s="386"/>
      <c r="G24" s="386"/>
      <c r="H24" s="386"/>
      <c r="I24" s="386"/>
      <c r="J24" s="386"/>
      <c r="K24" s="386"/>
      <c r="L24" s="386"/>
      <c r="M24" s="386"/>
      <c r="N24" s="386"/>
      <c r="O24" s="386"/>
      <c r="P24" s="386"/>
      <c r="Q24" s="389"/>
    </row>
    <row r="25" spans="1:17" ht="19.5" customHeight="1" x14ac:dyDescent="0.25">
      <c r="B25" s="115" t="s">
        <v>508</v>
      </c>
      <c r="D25" s="396" t="s">
        <v>509</v>
      </c>
      <c r="E25" s="386"/>
      <c r="F25" s="386"/>
      <c r="G25" s="386"/>
      <c r="H25" s="386"/>
      <c r="I25" s="386"/>
      <c r="J25" s="386"/>
      <c r="K25" s="386"/>
      <c r="L25" s="386"/>
      <c r="M25" s="386"/>
      <c r="N25" s="386"/>
      <c r="O25" s="386"/>
      <c r="P25" s="386"/>
      <c r="Q25" s="389"/>
    </row>
    <row r="26" spans="1:17" ht="19.5" customHeight="1" x14ac:dyDescent="0.25">
      <c r="B26" s="115" t="s">
        <v>510</v>
      </c>
      <c r="D26" s="396" t="s">
        <v>511</v>
      </c>
      <c r="E26" s="386"/>
      <c r="F26" s="386"/>
      <c r="G26" s="386"/>
      <c r="H26" s="386"/>
      <c r="I26" s="386"/>
      <c r="J26" s="386"/>
      <c r="K26" s="386"/>
      <c r="L26" s="386"/>
      <c r="M26" s="386"/>
      <c r="N26" s="386"/>
      <c r="O26" s="386"/>
      <c r="P26" s="386"/>
      <c r="Q26" s="389"/>
    </row>
    <row r="27" spans="1:17" ht="19.5" customHeight="1" x14ac:dyDescent="0.25">
      <c r="B27" s="115" t="s">
        <v>512</v>
      </c>
      <c r="D27" s="396" t="s">
        <v>513</v>
      </c>
      <c r="E27" s="386"/>
      <c r="F27" s="386"/>
      <c r="G27" s="386"/>
      <c r="H27" s="386"/>
      <c r="I27" s="386"/>
      <c r="J27" s="386"/>
      <c r="K27" s="386"/>
      <c r="L27" s="386"/>
      <c r="M27" s="386"/>
      <c r="N27" s="386"/>
      <c r="O27" s="386"/>
      <c r="P27" s="386"/>
      <c r="Q27" s="389"/>
    </row>
    <row r="28" spans="1:17" ht="19.5" customHeight="1" x14ac:dyDescent="0.25">
      <c r="B28" s="115" t="s">
        <v>514</v>
      </c>
      <c r="D28" s="396" t="s">
        <v>515</v>
      </c>
      <c r="E28" s="386"/>
      <c r="F28" s="386"/>
      <c r="G28" s="386"/>
      <c r="H28" s="386"/>
      <c r="I28" s="386"/>
      <c r="J28" s="386"/>
      <c r="K28" s="386"/>
      <c r="L28" s="386"/>
      <c r="M28" s="386"/>
      <c r="N28" s="386"/>
      <c r="O28" s="386"/>
      <c r="P28" s="386"/>
      <c r="Q28" s="389"/>
    </row>
    <row r="29" spans="1:17" ht="19.5" customHeight="1" x14ac:dyDescent="0.25">
      <c r="B29" s="115" t="s">
        <v>516</v>
      </c>
      <c r="D29" s="396" t="s">
        <v>517</v>
      </c>
      <c r="E29" s="386"/>
      <c r="F29" s="386"/>
      <c r="G29" s="386"/>
      <c r="H29" s="386"/>
      <c r="I29" s="386"/>
      <c r="J29" s="386"/>
      <c r="K29" s="386"/>
      <c r="L29" s="386"/>
      <c r="M29" s="386"/>
      <c r="N29" s="386"/>
      <c r="O29" s="386"/>
      <c r="P29" s="386"/>
      <c r="Q29" s="389"/>
    </row>
    <row r="30" spans="1:17" ht="13.5" customHeight="1" x14ac:dyDescent="0.25"/>
    <row r="31" spans="1:17" ht="3" customHeight="1" x14ac:dyDescent="0.25">
      <c r="A31" s="65"/>
      <c r="B31" s="65"/>
      <c r="C31" s="65"/>
      <c r="D31" s="65"/>
      <c r="E31" s="65"/>
      <c r="F31" s="65"/>
      <c r="G31" s="65"/>
      <c r="H31" s="65"/>
      <c r="I31" s="65"/>
      <c r="J31" s="65"/>
      <c r="K31" s="65"/>
      <c r="L31" s="65"/>
      <c r="M31" s="65"/>
      <c r="N31" s="65"/>
      <c r="O31" s="65"/>
      <c r="P31" s="65"/>
      <c r="Q31" s="65"/>
    </row>
    <row r="32" spans="1:17" ht="25.5" customHeight="1" x14ac:dyDescent="0.25">
      <c r="A32" s="379" t="s">
        <v>518</v>
      </c>
      <c r="B32" s="265"/>
      <c r="C32" s="265"/>
      <c r="D32" s="265"/>
      <c r="E32" s="265"/>
      <c r="F32" s="265"/>
      <c r="G32" s="265"/>
      <c r="H32" s="265"/>
      <c r="I32" s="265"/>
      <c r="J32" s="265"/>
      <c r="K32" s="265"/>
      <c r="L32" s="265"/>
      <c r="M32" s="265"/>
      <c r="N32" s="265"/>
      <c r="O32" s="265"/>
      <c r="P32" s="265"/>
      <c r="Q32" s="265"/>
    </row>
    <row r="33" spans="1:17" ht="7.5" customHeight="1" x14ac:dyDescent="0.25"/>
    <row r="34" spans="1:17" ht="43.5" customHeight="1" x14ac:dyDescent="0.25">
      <c r="B34" s="402" t="s">
        <v>519</v>
      </c>
      <c r="C34" s="386"/>
      <c r="D34" s="386"/>
      <c r="E34" s="386"/>
      <c r="F34" s="386"/>
      <c r="G34" s="389"/>
    </row>
    <row r="35" spans="1:17" ht="15.75" customHeight="1" x14ac:dyDescent="0.25">
      <c r="B35" s="401" t="s">
        <v>520</v>
      </c>
      <c r="C35" s="265"/>
      <c r="D35" s="265"/>
      <c r="E35" s="265"/>
      <c r="F35" s="265"/>
      <c r="G35" s="265"/>
    </row>
    <row r="36" spans="1:17" ht="9.75" customHeight="1" x14ac:dyDescent="0.25"/>
    <row r="37" spans="1:17" ht="43.5" customHeight="1" x14ac:dyDescent="0.25">
      <c r="B37" s="404" t="s">
        <v>521</v>
      </c>
      <c r="C37" s="386"/>
      <c r="D37" s="386"/>
      <c r="E37" s="386"/>
      <c r="F37" s="386"/>
      <c r="G37" s="389"/>
    </row>
    <row r="38" spans="1:17" ht="15.75" customHeight="1" x14ac:dyDescent="0.25">
      <c r="B38" s="401" t="s">
        <v>522</v>
      </c>
      <c r="C38" s="265"/>
      <c r="D38" s="265"/>
      <c r="E38" s="265"/>
      <c r="F38" s="265"/>
      <c r="G38" s="265"/>
    </row>
    <row r="39" spans="1:17" ht="9.75" customHeight="1" x14ac:dyDescent="0.25"/>
    <row r="40" spans="1:17" ht="43.5" customHeight="1" x14ac:dyDescent="0.25">
      <c r="B40" s="406" t="s">
        <v>523</v>
      </c>
      <c r="C40" s="386"/>
      <c r="D40" s="386"/>
      <c r="E40" s="386"/>
      <c r="F40" s="386"/>
      <c r="G40" s="389"/>
    </row>
    <row r="41" spans="1:17" ht="15.75" customHeight="1" x14ac:dyDescent="0.25">
      <c r="B41" s="400" t="s">
        <v>524</v>
      </c>
      <c r="C41" s="265"/>
      <c r="D41" s="265"/>
      <c r="E41" s="265"/>
      <c r="F41" s="265"/>
      <c r="G41" s="265"/>
    </row>
    <row r="42" spans="1:17" ht="13.5" customHeight="1" x14ac:dyDescent="0.25"/>
    <row r="43" spans="1:17" ht="3" customHeight="1" x14ac:dyDescent="0.25">
      <c r="A43" s="65"/>
      <c r="B43" s="65"/>
      <c r="C43" s="65"/>
      <c r="D43" s="65"/>
      <c r="E43" s="65"/>
      <c r="F43" s="65"/>
      <c r="G43" s="65"/>
      <c r="H43" s="65"/>
      <c r="I43" s="65"/>
      <c r="J43" s="65"/>
      <c r="K43" s="65"/>
      <c r="L43" s="65"/>
      <c r="M43" s="65"/>
      <c r="N43" s="65"/>
      <c r="O43" s="65"/>
      <c r="P43" s="65"/>
      <c r="Q43" s="65"/>
    </row>
    <row r="44" spans="1:17" ht="25.5" customHeight="1" x14ac:dyDescent="0.25">
      <c r="A44" s="379" t="s">
        <v>525</v>
      </c>
      <c r="B44" s="265"/>
      <c r="C44" s="265"/>
      <c r="D44" s="265"/>
      <c r="E44" s="265"/>
      <c r="F44" s="265"/>
      <c r="G44" s="265"/>
      <c r="H44" s="265"/>
      <c r="I44" s="265"/>
      <c r="J44" s="265"/>
      <c r="K44" s="265"/>
      <c r="L44" s="265"/>
      <c r="M44" s="265"/>
      <c r="N44" s="265"/>
      <c r="O44" s="265"/>
      <c r="P44" s="265"/>
      <c r="Q44" s="265"/>
    </row>
    <row r="45" spans="1:17" ht="24" customHeight="1" x14ac:dyDescent="0.25">
      <c r="B45" s="405" t="s">
        <v>526</v>
      </c>
      <c r="C45" s="265"/>
      <c r="D45" s="265"/>
      <c r="E45" s="265"/>
      <c r="F45" s="265"/>
      <c r="G45" s="265"/>
      <c r="H45" s="265"/>
      <c r="I45" s="265"/>
      <c r="J45" s="265"/>
      <c r="K45" s="265"/>
      <c r="L45" s="265"/>
      <c r="M45" s="265"/>
      <c r="N45" s="265"/>
      <c r="O45" s="265"/>
      <c r="P45" s="265"/>
      <c r="Q45" s="265"/>
    </row>
    <row r="46" spans="1:17" ht="15.75" customHeight="1" x14ac:dyDescent="0.25">
      <c r="C46" s="395" t="s">
        <v>527</v>
      </c>
      <c r="D46" s="265"/>
      <c r="E46" s="265"/>
      <c r="F46" s="265"/>
      <c r="G46" s="265"/>
      <c r="H46" s="265"/>
      <c r="I46" s="265"/>
      <c r="J46" s="265"/>
      <c r="K46" s="265"/>
      <c r="L46" s="265"/>
      <c r="M46" s="265"/>
      <c r="N46" s="265"/>
      <c r="O46" s="265"/>
      <c r="P46" s="265"/>
      <c r="Q46" s="265"/>
    </row>
    <row r="47" spans="1:17" ht="15.75" customHeight="1" x14ac:dyDescent="0.25">
      <c r="C47" s="395" t="s">
        <v>528</v>
      </c>
      <c r="D47" s="265"/>
      <c r="E47" s="265"/>
      <c r="F47" s="265"/>
      <c r="G47" s="265"/>
      <c r="H47" s="265"/>
      <c r="I47" s="265"/>
      <c r="J47" s="265"/>
      <c r="K47" s="265"/>
      <c r="L47" s="265"/>
      <c r="M47" s="265"/>
      <c r="N47" s="265"/>
      <c r="O47" s="265"/>
      <c r="P47" s="265"/>
      <c r="Q47" s="265"/>
    </row>
    <row r="48" spans="1:17" ht="15.75" customHeight="1" x14ac:dyDescent="0.25">
      <c r="C48" s="395" t="s">
        <v>529</v>
      </c>
      <c r="D48" s="265"/>
      <c r="E48" s="265"/>
      <c r="F48" s="265"/>
      <c r="G48" s="265"/>
      <c r="H48" s="265"/>
      <c r="I48" s="265"/>
      <c r="J48" s="265"/>
      <c r="K48" s="265"/>
      <c r="L48" s="265"/>
      <c r="M48" s="265"/>
      <c r="N48" s="265"/>
      <c r="O48" s="265"/>
      <c r="P48" s="265"/>
      <c r="Q48" s="265"/>
    </row>
    <row r="49" spans="2:17" ht="15.75" customHeight="1" x14ac:dyDescent="0.25">
      <c r="C49" s="395" t="s">
        <v>530</v>
      </c>
      <c r="D49" s="265"/>
      <c r="E49" s="265"/>
      <c r="F49" s="265"/>
      <c r="G49" s="265"/>
      <c r="H49" s="265"/>
      <c r="I49" s="265"/>
      <c r="J49" s="265"/>
      <c r="K49" s="265"/>
      <c r="L49" s="265"/>
      <c r="M49" s="265"/>
      <c r="N49" s="265"/>
      <c r="O49" s="265"/>
      <c r="P49" s="265"/>
      <c r="Q49" s="265"/>
    </row>
    <row r="50" spans="2:17" ht="15.75" customHeight="1" x14ac:dyDescent="0.25">
      <c r="C50" s="395" t="s">
        <v>531</v>
      </c>
      <c r="D50" s="265"/>
      <c r="E50" s="265"/>
      <c r="F50" s="265"/>
      <c r="G50" s="265"/>
      <c r="H50" s="265"/>
      <c r="I50" s="265"/>
      <c r="J50" s="265"/>
      <c r="K50" s="265"/>
      <c r="L50" s="265"/>
      <c r="M50" s="265"/>
      <c r="N50" s="265"/>
      <c r="O50" s="265"/>
      <c r="P50" s="265"/>
      <c r="Q50" s="265"/>
    </row>
    <row r="51" spans="2:17" ht="15.75" customHeight="1" x14ac:dyDescent="0.25">
      <c r="C51" s="395" t="s">
        <v>532</v>
      </c>
      <c r="D51" s="265"/>
      <c r="E51" s="265"/>
      <c r="F51" s="265"/>
      <c r="G51" s="265"/>
      <c r="H51" s="265"/>
      <c r="I51" s="265"/>
      <c r="J51" s="265"/>
      <c r="K51" s="265"/>
      <c r="L51" s="265"/>
      <c r="M51" s="265"/>
      <c r="N51" s="265"/>
      <c r="O51" s="265"/>
      <c r="P51" s="265"/>
      <c r="Q51" s="265"/>
    </row>
    <row r="52" spans="2:17" ht="7.5" customHeight="1" x14ac:dyDescent="0.25"/>
    <row r="53" spans="2:17" ht="24" customHeight="1" x14ac:dyDescent="0.25">
      <c r="B53" s="398" t="s">
        <v>533</v>
      </c>
      <c r="C53" s="265"/>
      <c r="D53" s="265"/>
      <c r="E53" s="265"/>
      <c r="F53" s="265"/>
      <c r="G53" s="265"/>
      <c r="H53" s="265"/>
      <c r="I53" s="265"/>
      <c r="J53" s="265"/>
      <c r="K53" s="265"/>
      <c r="L53" s="265"/>
      <c r="M53" s="265"/>
      <c r="N53" s="265"/>
      <c r="O53" s="265"/>
      <c r="P53" s="265"/>
      <c r="Q53" s="265"/>
    </row>
    <row r="54" spans="2:17" ht="15.75" customHeight="1" x14ac:dyDescent="0.25">
      <c r="C54" s="395" t="s">
        <v>534</v>
      </c>
      <c r="D54" s="265"/>
      <c r="E54" s="265"/>
      <c r="F54" s="265"/>
      <c r="G54" s="265"/>
      <c r="H54" s="265"/>
      <c r="I54" s="265"/>
      <c r="J54" s="265"/>
      <c r="K54" s="265"/>
      <c r="L54" s="265"/>
      <c r="M54" s="265"/>
      <c r="N54" s="265"/>
      <c r="O54" s="265"/>
      <c r="P54" s="265"/>
      <c r="Q54" s="265"/>
    </row>
    <row r="55" spans="2:17" ht="15.75" customHeight="1" x14ac:dyDescent="0.25">
      <c r="C55" s="395" t="s">
        <v>535</v>
      </c>
      <c r="D55" s="265"/>
      <c r="E55" s="265"/>
      <c r="F55" s="265"/>
      <c r="G55" s="265"/>
      <c r="H55" s="265"/>
      <c r="I55" s="265"/>
      <c r="J55" s="265"/>
      <c r="K55" s="265"/>
      <c r="L55" s="265"/>
      <c r="M55" s="265"/>
      <c r="N55" s="265"/>
      <c r="O55" s="265"/>
      <c r="P55" s="265"/>
      <c r="Q55" s="265"/>
    </row>
    <row r="56" spans="2:17" ht="15.75" customHeight="1" x14ac:dyDescent="0.25">
      <c r="C56" s="395" t="s">
        <v>536</v>
      </c>
      <c r="D56" s="265"/>
      <c r="E56" s="265"/>
      <c r="F56" s="265"/>
      <c r="G56" s="265"/>
      <c r="H56" s="265"/>
      <c r="I56" s="265"/>
      <c r="J56" s="265"/>
      <c r="K56" s="265"/>
      <c r="L56" s="265"/>
      <c r="M56" s="265"/>
      <c r="N56" s="265"/>
      <c r="O56" s="265"/>
      <c r="P56" s="265"/>
      <c r="Q56" s="265"/>
    </row>
    <row r="57" spans="2:17" ht="15.75" customHeight="1" x14ac:dyDescent="0.25">
      <c r="C57" s="395" t="s">
        <v>537</v>
      </c>
      <c r="D57" s="265"/>
      <c r="E57" s="265"/>
      <c r="F57" s="265"/>
      <c r="G57" s="265"/>
      <c r="H57" s="265"/>
      <c r="I57" s="265"/>
      <c r="J57" s="265"/>
      <c r="K57" s="265"/>
      <c r="L57" s="265"/>
      <c r="M57" s="265"/>
      <c r="N57" s="265"/>
      <c r="O57" s="265"/>
      <c r="P57" s="265"/>
      <c r="Q57" s="265"/>
    </row>
    <row r="58" spans="2:17" ht="15.75" customHeight="1" x14ac:dyDescent="0.25">
      <c r="C58" s="395" t="s">
        <v>538</v>
      </c>
      <c r="D58" s="265"/>
      <c r="E58" s="265"/>
      <c r="F58" s="265"/>
      <c r="G58" s="265"/>
      <c r="H58" s="265"/>
      <c r="I58" s="265"/>
      <c r="J58" s="265"/>
      <c r="K58" s="265"/>
      <c r="L58" s="265"/>
      <c r="M58" s="265"/>
      <c r="N58" s="265"/>
      <c r="O58" s="265"/>
      <c r="P58" s="265"/>
      <c r="Q58" s="265"/>
    </row>
    <row r="59" spans="2:17" ht="7.5" customHeight="1" x14ac:dyDescent="0.25"/>
    <row r="60" spans="2:17" ht="24" customHeight="1" x14ac:dyDescent="0.25">
      <c r="B60" s="399" t="s">
        <v>539</v>
      </c>
      <c r="C60" s="265"/>
      <c r="D60" s="265"/>
      <c r="E60" s="265"/>
      <c r="F60" s="265"/>
      <c r="G60" s="265"/>
      <c r="H60" s="265"/>
      <c r="I60" s="265"/>
      <c r="J60" s="265"/>
      <c r="K60" s="265"/>
      <c r="L60" s="265"/>
      <c r="M60" s="265"/>
      <c r="N60" s="265"/>
      <c r="O60" s="265"/>
      <c r="P60" s="265"/>
      <c r="Q60" s="265"/>
    </row>
    <row r="61" spans="2:17" ht="15.75" customHeight="1" x14ac:dyDescent="0.25">
      <c r="C61" s="395" t="s">
        <v>540</v>
      </c>
      <c r="D61" s="265"/>
      <c r="E61" s="265"/>
      <c r="F61" s="265"/>
      <c r="G61" s="265"/>
      <c r="H61" s="265"/>
      <c r="I61" s="265"/>
      <c r="J61" s="265"/>
      <c r="K61" s="265"/>
      <c r="L61" s="265"/>
      <c r="M61" s="265"/>
      <c r="N61" s="265"/>
      <c r="O61" s="265"/>
      <c r="P61" s="265"/>
      <c r="Q61" s="265"/>
    </row>
    <row r="62" spans="2:17" ht="15.75" customHeight="1" x14ac:dyDescent="0.25">
      <c r="C62" s="395" t="s">
        <v>541</v>
      </c>
      <c r="D62" s="265"/>
      <c r="E62" s="265"/>
      <c r="F62" s="265"/>
      <c r="G62" s="265"/>
      <c r="H62" s="265"/>
      <c r="I62" s="265"/>
      <c r="J62" s="265"/>
      <c r="K62" s="265"/>
      <c r="L62" s="265"/>
      <c r="M62" s="265"/>
      <c r="N62" s="265"/>
      <c r="O62" s="265"/>
      <c r="P62" s="265"/>
      <c r="Q62" s="265"/>
    </row>
    <row r="63" spans="2:17" ht="15.75" customHeight="1" x14ac:dyDescent="0.25">
      <c r="C63" s="395" t="s">
        <v>542</v>
      </c>
      <c r="D63" s="265"/>
      <c r="E63" s="265"/>
      <c r="F63" s="265"/>
      <c r="G63" s="265"/>
      <c r="H63" s="265"/>
      <c r="I63" s="265"/>
      <c r="J63" s="265"/>
      <c r="K63" s="265"/>
      <c r="L63" s="265"/>
      <c r="M63" s="265"/>
      <c r="N63" s="265"/>
      <c r="O63" s="265"/>
      <c r="P63" s="265"/>
      <c r="Q63" s="265"/>
    </row>
    <row r="64" spans="2:17" ht="15.75" customHeight="1" x14ac:dyDescent="0.25">
      <c r="C64" s="395" t="s">
        <v>543</v>
      </c>
      <c r="D64" s="265"/>
      <c r="E64" s="265"/>
      <c r="F64" s="265"/>
      <c r="G64" s="265"/>
      <c r="H64" s="265"/>
      <c r="I64" s="265"/>
      <c r="J64" s="265"/>
      <c r="K64" s="265"/>
      <c r="L64" s="265"/>
      <c r="M64" s="265"/>
      <c r="N64" s="265"/>
      <c r="O64" s="265"/>
      <c r="P64" s="265"/>
      <c r="Q64" s="265"/>
    </row>
    <row r="65" spans="1:17" ht="15.75" customHeight="1" x14ac:dyDescent="0.25">
      <c r="C65" s="395" t="s">
        <v>544</v>
      </c>
      <c r="D65" s="265"/>
      <c r="E65" s="265"/>
      <c r="F65" s="265"/>
      <c r="G65" s="265"/>
      <c r="H65" s="265"/>
      <c r="I65" s="265"/>
      <c r="J65" s="265"/>
      <c r="K65" s="265"/>
      <c r="L65" s="265"/>
      <c r="M65" s="265"/>
      <c r="N65" s="265"/>
      <c r="O65" s="265"/>
      <c r="P65" s="265"/>
      <c r="Q65" s="265"/>
    </row>
    <row r="66" spans="1:17" ht="7.5" customHeight="1" x14ac:dyDescent="0.25"/>
    <row r="67" spans="1:17" ht="3" customHeight="1" x14ac:dyDescent="0.25">
      <c r="A67" s="65"/>
      <c r="B67" s="65"/>
      <c r="C67" s="65"/>
      <c r="D67" s="65"/>
      <c r="E67" s="65"/>
      <c r="F67" s="65"/>
      <c r="G67" s="65"/>
      <c r="H67" s="65"/>
      <c r="I67" s="65"/>
      <c r="J67" s="65"/>
      <c r="K67" s="65"/>
      <c r="L67" s="65"/>
      <c r="M67" s="65"/>
      <c r="N67" s="65"/>
      <c r="O67" s="65"/>
      <c r="P67" s="65"/>
      <c r="Q67" s="65"/>
    </row>
    <row r="68" spans="1:17" ht="25.5" customHeight="1" x14ac:dyDescent="0.25">
      <c r="A68" s="379" t="s">
        <v>545</v>
      </c>
      <c r="B68" s="265"/>
      <c r="C68" s="265"/>
      <c r="D68" s="265"/>
      <c r="E68" s="265"/>
      <c r="F68" s="265"/>
      <c r="G68" s="265"/>
      <c r="H68" s="265"/>
      <c r="I68" s="265"/>
      <c r="J68" s="265"/>
      <c r="K68" s="265"/>
      <c r="L68" s="265"/>
      <c r="M68" s="265"/>
      <c r="N68" s="265"/>
      <c r="O68" s="265"/>
      <c r="P68" s="265"/>
      <c r="Q68" s="265"/>
    </row>
    <row r="69" spans="1:17" ht="19.5" customHeight="1" x14ac:dyDescent="0.25">
      <c r="B69" s="115" t="s">
        <v>546</v>
      </c>
      <c r="D69" s="397" t="s">
        <v>547</v>
      </c>
      <c r="E69" s="265"/>
      <c r="F69" s="265"/>
      <c r="G69" s="265"/>
      <c r="H69" s="265"/>
      <c r="I69" s="265"/>
      <c r="J69" s="265"/>
      <c r="K69" s="265"/>
      <c r="L69" s="265"/>
      <c r="M69" s="265"/>
      <c r="N69" s="265"/>
      <c r="O69" s="265"/>
      <c r="P69" s="265"/>
      <c r="Q69" s="265"/>
    </row>
    <row r="70" spans="1:17" ht="19.5" customHeight="1" x14ac:dyDescent="0.25">
      <c r="B70" s="115" t="s">
        <v>548</v>
      </c>
      <c r="D70" s="397" t="s">
        <v>547</v>
      </c>
      <c r="E70" s="265"/>
      <c r="F70" s="265"/>
      <c r="G70" s="265"/>
      <c r="H70" s="265"/>
      <c r="I70" s="265"/>
      <c r="J70" s="265"/>
      <c r="K70" s="265"/>
      <c r="L70" s="265"/>
      <c r="M70" s="265"/>
      <c r="N70" s="265"/>
      <c r="O70" s="265"/>
      <c r="P70" s="265"/>
      <c r="Q70" s="265"/>
    </row>
    <row r="71" spans="1:17" ht="19.5" customHeight="1" x14ac:dyDescent="0.25">
      <c r="B71" s="115" t="s">
        <v>549</v>
      </c>
      <c r="D71" s="397" t="s">
        <v>550</v>
      </c>
      <c r="E71" s="265"/>
      <c r="F71" s="265"/>
      <c r="G71" s="265"/>
      <c r="H71" s="265"/>
      <c r="I71" s="265"/>
      <c r="J71" s="265"/>
      <c r="K71" s="265"/>
      <c r="L71" s="265"/>
      <c r="M71" s="265"/>
      <c r="N71" s="265"/>
      <c r="O71" s="265"/>
      <c r="P71" s="265"/>
      <c r="Q71" s="265"/>
    </row>
    <row r="72" spans="1:17" ht="19.5" customHeight="1" x14ac:dyDescent="0.25">
      <c r="B72" s="115" t="s">
        <v>551</v>
      </c>
      <c r="D72" s="397" t="s">
        <v>552</v>
      </c>
      <c r="E72" s="265"/>
      <c r="F72" s="265"/>
      <c r="G72" s="265"/>
      <c r="H72" s="265"/>
      <c r="I72" s="265"/>
      <c r="J72" s="265"/>
      <c r="K72" s="265"/>
      <c r="L72" s="265"/>
      <c r="M72" s="265"/>
      <c r="N72" s="265"/>
      <c r="O72" s="265"/>
      <c r="P72" s="265"/>
      <c r="Q72" s="265"/>
    </row>
    <row r="73" spans="1:17" ht="19.5" customHeight="1" x14ac:dyDescent="0.25">
      <c r="B73" s="115" t="s">
        <v>553</v>
      </c>
      <c r="D73" s="397" t="s">
        <v>554</v>
      </c>
      <c r="E73" s="265"/>
      <c r="F73" s="265"/>
      <c r="G73" s="265"/>
      <c r="H73" s="265"/>
      <c r="I73" s="265"/>
      <c r="J73" s="265"/>
      <c r="K73" s="265"/>
      <c r="L73" s="265"/>
      <c r="M73" s="265"/>
      <c r="N73" s="265"/>
      <c r="O73" s="265"/>
      <c r="P73" s="265"/>
      <c r="Q73" s="265"/>
    </row>
    <row r="74" spans="1:17" ht="19.5" customHeight="1" x14ac:dyDescent="0.25">
      <c r="B74" s="115" t="s">
        <v>555</v>
      </c>
      <c r="D74" s="397" t="s">
        <v>556</v>
      </c>
      <c r="E74" s="265"/>
      <c r="F74" s="265"/>
      <c r="G74" s="265"/>
      <c r="H74" s="265"/>
      <c r="I74" s="265"/>
      <c r="J74" s="265"/>
      <c r="K74" s="265"/>
      <c r="L74" s="265"/>
      <c r="M74" s="265"/>
      <c r="N74" s="265"/>
      <c r="O74" s="265"/>
      <c r="P74" s="265"/>
      <c r="Q74" s="265"/>
    </row>
    <row r="75" spans="1:17" ht="12" customHeight="1" x14ac:dyDescent="0.25"/>
    <row r="76" spans="1:17" ht="3" customHeight="1" x14ac:dyDescent="0.25">
      <c r="A76" s="65"/>
      <c r="B76" s="65"/>
      <c r="C76" s="65"/>
      <c r="D76" s="65"/>
      <c r="E76" s="65"/>
      <c r="F76" s="65"/>
      <c r="G76" s="65"/>
      <c r="H76" s="65"/>
      <c r="I76" s="65"/>
      <c r="J76" s="65"/>
      <c r="K76" s="65"/>
      <c r="L76" s="65"/>
      <c r="M76" s="65"/>
      <c r="N76" s="65"/>
      <c r="O76" s="65"/>
      <c r="P76" s="65"/>
      <c r="Q76" s="65"/>
    </row>
    <row r="77" spans="1:17" ht="25.5" customHeight="1" x14ac:dyDescent="0.25">
      <c r="A77" s="379" t="s">
        <v>557</v>
      </c>
      <c r="B77" s="265"/>
      <c r="C77" s="265"/>
      <c r="D77" s="265"/>
      <c r="E77" s="265"/>
      <c r="F77" s="265"/>
      <c r="G77" s="265"/>
      <c r="H77" s="265"/>
      <c r="I77" s="265"/>
      <c r="J77" s="265"/>
      <c r="K77" s="265"/>
      <c r="L77" s="265"/>
      <c r="M77" s="265"/>
      <c r="N77" s="265"/>
      <c r="O77" s="265"/>
      <c r="P77" s="265"/>
      <c r="Q77" s="265"/>
    </row>
    <row r="78" spans="1:17" ht="21.75" customHeight="1" x14ac:dyDescent="0.25">
      <c r="B78" s="122" t="s">
        <v>558</v>
      </c>
      <c r="C78" s="122" t="s">
        <v>559</v>
      </c>
      <c r="D78" s="122" t="s">
        <v>13</v>
      </c>
      <c r="E78" s="122" t="s">
        <v>560</v>
      </c>
      <c r="F78" s="122" t="s">
        <v>561</v>
      </c>
      <c r="G78" s="122" t="s">
        <v>562</v>
      </c>
      <c r="H78" s="122" t="s">
        <v>321</v>
      </c>
    </row>
    <row r="79" spans="1:17" ht="15.75" customHeight="1" x14ac:dyDescent="0.25">
      <c r="B79" s="123"/>
      <c r="C79" s="123"/>
      <c r="D79" s="123"/>
      <c r="E79" s="123"/>
      <c r="F79" s="123"/>
      <c r="G79" s="123"/>
      <c r="H79" s="123"/>
    </row>
    <row r="80" spans="1:17" ht="15.75" customHeight="1" x14ac:dyDescent="0.25">
      <c r="B80" s="124"/>
      <c r="C80" s="124"/>
      <c r="D80" s="124"/>
      <c r="E80" s="124"/>
      <c r="F80" s="124"/>
      <c r="G80" s="124"/>
      <c r="H80" s="124"/>
    </row>
    <row r="81" spans="2:8" ht="15.75" customHeight="1" x14ac:dyDescent="0.25">
      <c r="B81" s="123"/>
      <c r="C81" s="123"/>
      <c r="D81" s="123"/>
      <c r="E81" s="123"/>
      <c r="F81" s="123"/>
      <c r="G81" s="123"/>
      <c r="H81" s="123"/>
    </row>
    <row r="82" spans="2:8" ht="15.75" customHeight="1" x14ac:dyDescent="0.25">
      <c r="B82" s="124"/>
      <c r="C82" s="124"/>
      <c r="D82" s="124"/>
      <c r="E82" s="124"/>
      <c r="F82" s="124"/>
      <c r="G82" s="124"/>
      <c r="H82" s="124"/>
    </row>
    <row r="83" spans="2:8" ht="15.75" customHeight="1" x14ac:dyDescent="0.25">
      <c r="B83" s="123"/>
      <c r="C83" s="123"/>
      <c r="D83" s="123"/>
      <c r="E83" s="123"/>
      <c r="F83" s="123"/>
      <c r="G83" s="123"/>
      <c r="H83" s="123"/>
    </row>
    <row r="84" spans="2:8" ht="15.75" customHeight="1" x14ac:dyDescent="0.25">
      <c r="B84" s="124"/>
      <c r="C84" s="124"/>
      <c r="D84" s="124"/>
      <c r="E84" s="124"/>
      <c r="F84" s="124"/>
      <c r="G84" s="124"/>
      <c r="H84" s="124"/>
    </row>
    <row r="85" spans="2:8" ht="15.75" customHeight="1" x14ac:dyDescent="0.25">
      <c r="B85" s="123"/>
      <c r="C85" s="123"/>
      <c r="D85" s="123"/>
      <c r="E85" s="123"/>
      <c r="F85" s="123"/>
      <c r="G85" s="123"/>
      <c r="H85" s="123"/>
    </row>
    <row r="86" spans="2:8" ht="15.75" customHeight="1" x14ac:dyDescent="0.25">
      <c r="B86" s="124"/>
      <c r="C86" s="124"/>
      <c r="D86" s="124"/>
      <c r="E86" s="124"/>
      <c r="F86" s="124"/>
      <c r="G86" s="124"/>
      <c r="H86" s="124"/>
    </row>
    <row r="87" spans="2:8" ht="15.75" customHeight="1" x14ac:dyDescent="0.25">
      <c r="B87" s="123"/>
      <c r="C87" s="123"/>
      <c r="D87" s="123"/>
      <c r="E87" s="123"/>
      <c r="F87" s="123"/>
      <c r="G87" s="123"/>
      <c r="H87" s="123"/>
    </row>
    <row r="88" spans="2:8" ht="15.75" customHeight="1" x14ac:dyDescent="0.25">
      <c r="B88" s="124"/>
      <c r="C88" s="124"/>
      <c r="D88" s="124"/>
      <c r="E88" s="124"/>
      <c r="F88" s="124"/>
      <c r="G88" s="124"/>
      <c r="H88" s="124"/>
    </row>
    <row r="89" spans="2:8" ht="15.75" customHeight="1" x14ac:dyDescent="0.25">
      <c r="B89" s="123"/>
      <c r="C89" s="123"/>
      <c r="D89" s="123"/>
      <c r="E89" s="123"/>
      <c r="F89" s="123"/>
      <c r="G89" s="123"/>
      <c r="H89" s="123"/>
    </row>
    <row r="90" spans="2:8" ht="15.75" customHeight="1" x14ac:dyDescent="0.25">
      <c r="B90" s="124"/>
      <c r="C90" s="124"/>
      <c r="D90" s="124"/>
      <c r="E90" s="124"/>
      <c r="F90" s="124"/>
      <c r="G90" s="124"/>
      <c r="H90" s="124"/>
    </row>
    <row r="91" spans="2:8" ht="15.75" customHeight="1" x14ac:dyDescent="0.25">
      <c r="B91" s="123"/>
      <c r="C91" s="123"/>
      <c r="D91" s="123"/>
      <c r="E91" s="123"/>
      <c r="F91" s="123"/>
      <c r="G91" s="123"/>
      <c r="H91" s="123"/>
    </row>
    <row r="92" spans="2:8" ht="15.75" customHeight="1" x14ac:dyDescent="0.25">
      <c r="B92" s="124"/>
      <c r="C92" s="124"/>
      <c r="D92" s="124"/>
      <c r="E92" s="124"/>
      <c r="F92" s="124"/>
      <c r="G92" s="124"/>
      <c r="H92" s="124"/>
    </row>
    <row r="93" spans="2:8" ht="15.75" customHeight="1" x14ac:dyDescent="0.25">
      <c r="B93" s="123"/>
      <c r="C93" s="123"/>
      <c r="D93" s="123"/>
      <c r="E93" s="123"/>
      <c r="F93" s="123"/>
      <c r="G93" s="123"/>
      <c r="H93" s="123"/>
    </row>
    <row r="94" spans="2:8" ht="15.75" customHeight="1" x14ac:dyDescent="0.25">
      <c r="B94" s="124"/>
      <c r="C94" s="124"/>
      <c r="D94" s="124"/>
      <c r="E94" s="124"/>
      <c r="F94" s="124"/>
      <c r="G94" s="124"/>
      <c r="H94" s="124"/>
    </row>
    <row r="95" spans="2:8" ht="15.75" customHeight="1" x14ac:dyDescent="0.25">
      <c r="B95" s="123"/>
      <c r="C95" s="123"/>
      <c r="D95" s="123"/>
      <c r="E95" s="123"/>
      <c r="F95" s="123"/>
      <c r="G95" s="123"/>
      <c r="H95" s="123"/>
    </row>
    <row r="96" spans="2:8" ht="15.75" customHeight="1" x14ac:dyDescent="0.25">
      <c r="B96" s="124"/>
      <c r="C96" s="124"/>
      <c r="D96" s="124"/>
      <c r="E96" s="124"/>
      <c r="F96" s="124"/>
      <c r="G96" s="124"/>
      <c r="H96" s="124"/>
    </row>
    <row r="97" spans="2:8" ht="15.75" customHeight="1" x14ac:dyDescent="0.25">
      <c r="B97" s="123"/>
      <c r="C97" s="123"/>
      <c r="D97" s="123"/>
      <c r="E97" s="123"/>
      <c r="F97" s="123"/>
      <c r="G97" s="123"/>
      <c r="H97" s="123"/>
    </row>
    <row r="98" spans="2:8" ht="15.75" customHeight="1" x14ac:dyDescent="0.25">
      <c r="B98" s="124"/>
      <c r="C98" s="124"/>
      <c r="D98" s="124"/>
      <c r="E98" s="124"/>
      <c r="F98" s="124"/>
      <c r="G98" s="124"/>
      <c r="H98" s="124"/>
    </row>
    <row r="99" spans="2:8" ht="15.75" customHeight="1" x14ac:dyDescent="0.25">
      <c r="B99" s="123"/>
      <c r="C99" s="123"/>
      <c r="D99" s="123"/>
      <c r="E99" s="123"/>
      <c r="F99" s="123"/>
      <c r="G99" s="123"/>
      <c r="H99" s="123"/>
    </row>
    <row r="100" spans="2:8" ht="15.75" customHeight="1" x14ac:dyDescent="0.25">
      <c r="B100" s="124"/>
      <c r="C100" s="124"/>
      <c r="D100" s="124"/>
      <c r="E100" s="124"/>
      <c r="F100" s="124"/>
      <c r="G100" s="124"/>
      <c r="H100" s="124"/>
    </row>
    <row r="101" spans="2:8" ht="15.75" customHeight="1" x14ac:dyDescent="0.25">
      <c r="B101" s="123"/>
      <c r="C101" s="123"/>
      <c r="D101" s="123"/>
      <c r="E101" s="123"/>
      <c r="F101" s="123"/>
      <c r="G101" s="123"/>
      <c r="H101" s="123"/>
    </row>
    <row r="102" spans="2:8" ht="15.75" customHeight="1" x14ac:dyDescent="0.25">
      <c r="B102" s="124"/>
      <c r="C102" s="124"/>
      <c r="D102" s="124"/>
      <c r="E102" s="124"/>
      <c r="F102" s="124"/>
      <c r="G102" s="124"/>
      <c r="H102" s="124"/>
    </row>
    <row r="103" spans="2:8" ht="15.75" customHeight="1" x14ac:dyDescent="0.25">
      <c r="B103" s="123"/>
      <c r="C103" s="123"/>
      <c r="D103" s="123"/>
      <c r="E103" s="123"/>
      <c r="F103" s="123"/>
      <c r="G103" s="123"/>
      <c r="H103" s="123"/>
    </row>
    <row r="104" spans="2:8" ht="15.75" customHeight="1" x14ac:dyDescent="0.25">
      <c r="B104" s="124"/>
      <c r="C104" s="124"/>
      <c r="D104" s="124"/>
      <c r="E104" s="124"/>
      <c r="F104" s="124"/>
      <c r="G104" s="124"/>
      <c r="H104" s="124"/>
    </row>
    <row r="105" spans="2:8" ht="15.75" customHeight="1" x14ac:dyDescent="0.25">
      <c r="B105" s="123"/>
      <c r="C105" s="123"/>
      <c r="D105" s="123"/>
      <c r="E105" s="123"/>
      <c r="F105" s="123"/>
      <c r="G105" s="123"/>
      <c r="H105" s="123"/>
    </row>
    <row r="106" spans="2:8" ht="15.75" customHeight="1" x14ac:dyDescent="0.25">
      <c r="B106" s="124"/>
      <c r="C106" s="124"/>
      <c r="D106" s="124"/>
      <c r="E106" s="124"/>
      <c r="F106" s="124"/>
      <c r="G106" s="124"/>
      <c r="H106" s="124"/>
    </row>
    <row r="107" spans="2:8" ht="15.75" customHeight="1" x14ac:dyDescent="0.25">
      <c r="B107" s="123"/>
      <c r="C107" s="123"/>
      <c r="D107" s="123"/>
      <c r="E107" s="123"/>
      <c r="F107" s="123"/>
      <c r="G107" s="123"/>
      <c r="H107" s="123"/>
    </row>
    <row r="108" spans="2:8" ht="15.75" customHeight="1" x14ac:dyDescent="0.25">
      <c r="B108" s="124"/>
      <c r="C108" s="124"/>
      <c r="D108" s="124"/>
      <c r="E108" s="124"/>
      <c r="F108" s="124"/>
      <c r="G108" s="124"/>
      <c r="H108" s="124"/>
    </row>
    <row r="109" spans="2:8" ht="15.75" customHeight="1" x14ac:dyDescent="0.25">
      <c r="B109" s="123"/>
      <c r="C109" s="123"/>
      <c r="D109" s="123"/>
      <c r="E109" s="123"/>
      <c r="F109" s="123"/>
      <c r="G109" s="123"/>
      <c r="H109" s="123"/>
    </row>
    <row r="110" spans="2:8" ht="15.75" customHeight="1" x14ac:dyDescent="0.25">
      <c r="B110" s="124"/>
      <c r="C110" s="124"/>
      <c r="D110" s="124"/>
      <c r="E110" s="124"/>
      <c r="F110" s="124"/>
      <c r="G110" s="124"/>
      <c r="H110" s="124"/>
    </row>
    <row r="111" spans="2:8" ht="15.75" customHeight="1" x14ac:dyDescent="0.25">
      <c r="B111" s="123"/>
      <c r="C111" s="123"/>
      <c r="D111" s="123"/>
      <c r="E111" s="123"/>
      <c r="F111" s="123"/>
      <c r="G111" s="123"/>
      <c r="H111" s="123"/>
    </row>
    <row r="112" spans="2:8" ht="15.75" customHeight="1" x14ac:dyDescent="0.25">
      <c r="B112" s="124"/>
      <c r="C112" s="124"/>
      <c r="D112" s="124"/>
      <c r="E112" s="124"/>
      <c r="F112" s="124"/>
      <c r="G112" s="124"/>
      <c r="H112" s="124"/>
    </row>
    <row r="113" spans="2:8" ht="15.75" customHeight="1" x14ac:dyDescent="0.25">
      <c r="B113" s="123"/>
      <c r="C113" s="123"/>
      <c r="D113" s="123"/>
      <c r="E113" s="123"/>
      <c r="F113" s="123"/>
      <c r="G113" s="123"/>
      <c r="H113" s="123"/>
    </row>
    <row r="114" spans="2:8" ht="15.75" customHeight="1" x14ac:dyDescent="0.25">
      <c r="B114" s="124"/>
      <c r="C114" s="124"/>
      <c r="D114" s="124"/>
      <c r="E114" s="124"/>
      <c r="F114" s="124"/>
      <c r="G114" s="124"/>
      <c r="H114" s="124"/>
    </row>
    <row r="115" spans="2:8" ht="15.75" customHeight="1" x14ac:dyDescent="0.25">
      <c r="B115" s="123"/>
      <c r="C115" s="123"/>
      <c r="D115" s="123"/>
      <c r="E115" s="123"/>
      <c r="F115" s="123"/>
      <c r="G115" s="123"/>
      <c r="H115" s="123"/>
    </row>
    <row r="116" spans="2:8" ht="15.75" customHeight="1" x14ac:dyDescent="0.25">
      <c r="B116" s="124"/>
      <c r="C116" s="124"/>
      <c r="D116" s="124"/>
      <c r="E116" s="124"/>
      <c r="F116" s="124"/>
      <c r="G116" s="124"/>
      <c r="H116" s="124"/>
    </row>
    <row r="117" spans="2:8" ht="15.75" customHeight="1" x14ac:dyDescent="0.25">
      <c r="B117" s="123"/>
      <c r="C117" s="123"/>
      <c r="D117" s="123"/>
      <c r="E117" s="123"/>
      <c r="F117" s="123"/>
      <c r="G117" s="123"/>
      <c r="H117" s="123"/>
    </row>
    <row r="118" spans="2:8" ht="15.75" customHeight="1" x14ac:dyDescent="0.25">
      <c r="B118" s="124"/>
      <c r="C118" s="124"/>
      <c r="D118" s="124"/>
      <c r="E118" s="124"/>
      <c r="F118" s="124"/>
      <c r="G118" s="124"/>
      <c r="H118" s="124"/>
    </row>
    <row r="119" spans="2:8" ht="15.75" customHeight="1" x14ac:dyDescent="0.25">
      <c r="B119" s="123"/>
      <c r="C119" s="123"/>
      <c r="D119" s="123"/>
      <c r="E119" s="123"/>
      <c r="F119" s="123"/>
      <c r="G119" s="123"/>
      <c r="H119" s="123"/>
    </row>
    <row r="120" spans="2:8" ht="15.75" customHeight="1" x14ac:dyDescent="0.25">
      <c r="B120" s="124"/>
      <c r="C120" s="124"/>
      <c r="D120" s="124"/>
      <c r="E120" s="124"/>
      <c r="F120" s="124"/>
      <c r="G120" s="124"/>
      <c r="H120" s="124"/>
    </row>
    <row r="121" spans="2:8" ht="15.75" customHeight="1" x14ac:dyDescent="0.25">
      <c r="B121" s="123"/>
      <c r="C121" s="123"/>
      <c r="D121" s="123"/>
      <c r="E121" s="123"/>
      <c r="F121" s="123"/>
      <c r="G121" s="123"/>
      <c r="H121" s="123"/>
    </row>
    <row r="122" spans="2:8" ht="15.75" customHeight="1" x14ac:dyDescent="0.25">
      <c r="B122" s="124"/>
      <c r="C122" s="124"/>
      <c r="D122" s="124"/>
      <c r="E122" s="124"/>
      <c r="F122" s="124"/>
      <c r="G122" s="124"/>
      <c r="H122" s="124"/>
    </row>
    <row r="123" spans="2:8" ht="15.75" customHeight="1" x14ac:dyDescent="0.25">
      <c r="B123" s="123"/>
      <c r="C123" s="123"/>
      <c r="D123" s="123"/>
      <c r="E123" s="123"/>
      <c r="F123" s="123"/>
      <c r="G123" s="123"/>
      <c r="H123" s="123"/>
    </row>
    <row r="124" spans="2:8" ht="15.75" customHeight="1" x14ac:dyDescent="0.25">
      <c r="B124" s="124"/>
      <c r="C124" s="124"/>
      <c r="D124" s="124"/>
      <c r="E124" s="124"/>
      <c r="F124" s="124"/>
      <c r="G124" s="124"/>
      <c r="H124" s="124"/>
    </row>
    <row r="125" spans="2:8" ht="15.75" customHeight="1" x14ac:dyDescent="0.25">
      <c r="B125" s="123"/>
      <c r="C125" s="123"/>
      <c r="D125" s="123"/>
      <c r="E125" s="123"/>
      <c r="F125" s="123"/>
      <c r="G125" s="123"/>
      <c r="H125" s="123"/>
    </row>
    <row r="126" spans="2:8" ht="15.75" customHeight="1" x14ac:dyDescent="0.25">
      <c r="B126" s="124"/>
      <c r="C126" s="124"/>
      <c r="D126" s="124"/>
      <c r="E126" s="124"/>
      <c r="F126" s="124"/>
      <c r="G126" s="124"/>
      <c r="H126" s="124"/>
    </row>
    <row r="127" spans="2:8" ht="15.75" customHeight="1" x14ac:dyDescent="0.25">
      <c r="B127" s="123"/>
      <c r="C127" s="123"/>
      <c r="D127" s="123"/>
      <c r="E127" s="123"/>
      <c r="F127" s="123"/>
      <c r="G127" s="123"/>
      <c r="H127" s="123"/>
    </row>
    <row r="128" spans="2:8" ht="15.75" customHeight="1" x14ac:dyDescent="0.25">
      <c r="B128" s="124"/>
      <c r="C128" s="124"/>
      <c r="D128" s="124"/>
      <c r="E128" s="124"/>
      <c r="F128" s="124"/>
      <c r="G128" s="124"/>
      <c r="H128" s="124"/>
    </row>
    <row r="130" spans="1:17" ht="3" customHeight="1" x14ac:dyDescent="0.25">
      <c r="A130" s="121"/>
      <c r="B130" s="121"/>
      <c r="C130" s="121"/>
      <c r="D130" s="121"/>
      <c r="E130" s="121"/>
      <c r="F130" s="121"/>
      <c r="G130" s="121"/>
      <c r="H130" s="121"/>
      <c r="I130" s="121"/>
      <c r="J130" s="121"/>
      <c r="K130" s="121"/>
      <c r="L130" s="121"/>
      <c r="M130" s="121"/>
      <c r="N130" s="121"/>
      <c r="O130" s="121"/>
      <c r="P130" s="121"/>
      <c r="Q130" s="121"/>
    </row>
    <row r="131" spans="1:17" ht="24" customHeight="1" x14ac:dyDescent="0.25">
      <c r="A131" s="393" t="s">
        <v>563</v>
      </c>
      <c r="B131" s="265"/>
      <c r="C131" s="265"/>
      <c r="D131" s="265"/>
      <c r="E131" s="265"/>
      <c r="F131" s="265"/>
      <c r="G131" s="265"/>
      <c r="H131" s="265"/>
      <c r="I131" s="265"/>
      <c r="J131" s="265"/>
      <c r="K131" s="265"/>
      <c r="L131" s="265"/>
      <c r="M131" s="265"/>
      <c r="N131" s="265"/>
      <c r="O131" s="265"/>
      <c r="P131" s="265"/>
      <c r="Q131" s="265"/>
    </row>
    <row r="132" spans="1:17" ht="19.5" customHeight="1" x14ac:dyDescent="0.25">
      <c r="B132" s="115" t="s">
        <v>564</v>
      </c>
      <c r="D132" s="395" t="s">
        <v>565</v>
      </c>
      <c r="E132" s="265"/>
      <c r="F132" s="265"/>
      <c r="G132" s="265"/>
      <c r="H132" s="265"/>
      <c r="I132" s="265"/>
      <c r="J132" s="265"/>
      <c r="K132" s="265"/>
      <c r="L132" s="265"/>
      <c r="M132" s="265"/>
      <c r="N132" s="265"/>
      <c r="O132" s="265"/>
      <c r="P132" s="265"/>
      <c r="Q132" s="265"/>
    </row>
    <row r="133" spans="1:17" ht="19.5" customHeight="1" x14ac:dyDescent="0.25">
      <c r="B133" s="115" t="s">
        <v>566</v>
      </c>
      <c r="D133" s="395" t="s">
        <v>567</v>
      </c>
      <c r="E133" s="265"/>
      <c r="F133" s="265"/>
      <c r="G133" s="265"/>
      <c r="H133" s="265"/>
      <c r="I133" s="265"/>
      <c r="J133" s="265"/>
      <c r="K133" s="265"/>
      <c r="L133" s="265"/>
      <c r="M133" s="265"/>
      <c r="N133" s="265"/>
      <c r="O133" s="265"/>
      <c r="P133" s="265"/>
      <c r="Q133" s="265"/>
    </row>
    <row r="134" spans="1:17" ht="19.5" customHeight="1" x14ac:dyDescent="0.25">
      <c r="B134" s="115" t="s">
        <v>568</v>
      </c>
      <c r="D134" s="395" t="s">
        <v>569</v>
      </c>
      <c r="E134" s="265"/>
      <c r="F134" s="265"/>
      <c r="G134" s="265"/>
      <c r="H134" s="265"/>
      <c r="I134" s="265"/>
      <c r="J134" s="265"/>
      <c r="K134" s="265"/>
      <c r="L134" s="265"/>
      <c r="M134" s="265"/>
      <c r="N134" s="265"/>
      <c r="O134" s="265"/>
      <c r="P134" s="265"/>
      <c r="Q134" s="265"/>
    </row>
    <row r="135" spans="1:17" ht="19.5" customHeight="1" x14ac:dyDescent="0.25">
      <c r="B135" s="115" t="s">
        <v>570</v>
      </c>
      <c r="D135" s="395" t="s">
        <v>571</v>
      </c>
      <c r="E135" s="265"/>
      <c r="F135" s="265"/>
      <c r="G135" s="265"/>
      <c r="H135" s="265"/>
      <c r="I135" s="265"/>
      <c r="J135" s="265"/>
      <c r="K135" s="265"/>
      <c r="L135" s="265"/>
      <c r="M135" s="265"/>
      <c r="N135" s="265"/>
      <c r="O135" s="265"/>
      <c r="P135" s="265"/>
      <c r="Q135" s="265"/>
    </row>
    <row r="136" spans="1:17" ht="19.5" customHeight="1" x14ac:dyDescent="0.25">
      <c r="B136" s="115" t="s">
        <v>572</v>
      </c>
      <c r="D136" s="395" t="s">
        <v>573</v>
      </c>
      <c r="E136" s="265"/>
      <c r="F136" s="265"/>
      <c r="G136" s="265"/>
      <c r="H136" s="265"/>
      <c r="I136" s="265"/>
      <c r="J136" s="265"/>
      <c r="K136" s="265"/>
      <c r="L136" s="265"/>
      <c r="M136" s="265"/>
      <c r="N136" s="265"/>
      <c r="O136" s="265"/>
      <c r="P136" s="265"/>
      <c r="Q136" s="265"/>
    </row>
    <row r="137" spans="1:17" ht="19.5" customHeight="1" x14ac:dyDescent="0.25">
      <c r="B137" s="115" t="s">
        <v>574</v>
      </c>
      <c r="D137" s="395" t="s">
        <v>575</v>
      </c>
      <c r="E137" s="265"/>
      <c r="F137" s="265"/>
      <c r="G137" s="265"/>
      <c r="H137" s="265"/>
      <c r="I137" s="265"/>
      <c r="J137" s="265"/>
      <c r="K137" s="265"/>
      <c r="L137" s="265"/>
      <c r="M137" s="265"/>
      <c r="N137" s="265"/>
      <c r="O137" s="265"/>
      <c r="P137" s="265"/>
      <c r="Q137" s="265"/>
    </row>
    <row r="138" spans="1:17" ht="19.5" customHeight="1" x14ac:dyDescent="0.25">
      <c r="B138" s="115" t="s">
        <v>576</v>
      </c>
      <c r="D138" s="395" t="s">
        <v>577</v>
      </c>
      <c r="E138" s="265"/>
      <c r="F138" s="265"/>
      <c r="G138" s="265"/>
      <c r="H138" s="265"/>
      <c r="I138" s="265"/>
      <c r="J138" s="265"/>
      <c r="K138" s="265"/>
      <c r="L138" s="265"/>
      <c r="M138" s="265"/>
      <c r="N138" s="265"/>
      <c r="O138" s="265"/>
      <c r="P138" s="265"/>
      <c r="Q138" s="265"/>
    </row>
    <row r="139" spans="1:17" ht="7.5" customHeight="1" x14ac:dyDescent="0.25"/>
    <row r="140" spans="1:17" ht="19.5" customHeight="1" x14ac:dyDescent="0.25">
      <c r="A140" s="394" t="s">
        <v>578</v>
      </c>
      <c r="B140" s="265"/>
      <c r="C140" s="265"/>
      <c r="D140" s="265"/>
      <c r="E140" s="265"/>
      <c r="F140" s="265"/>
      <c r="G140" s="265"/>
      <c r="H140" s="265"/>
      <c r="I140" s="265"/>
      <c r="J140" s="265"/>
      <c r="K140" s="265"/>
      <c r="L140" s="265"/>
      <c r="M140" s="265"/>
      <c r="N140" s="265"/>
      <c r="O140" s="265"/>
      <c r="P140" s="265"/>
      <c r="Q140" s="265"/>
    </row>
  </sheetData>
  <mergeCells count="68">
    <mergeCell ref="D11:L11"/>
    <mergeCell ref="C63:Q63"/>
    <mergeCell ref="C65:Q65"/>
    <mergeCell ref="C47:Q47"/>
    <mergeCell ref="A68:Q68"/>
    <mergeCell ref="D70:Q70"/>
    <mergeCell ref="D135:Q135"/>
    <mergeCell ref="D134:Q134"/>
    <mergeCell ref="D69:Q69"/>
    <mergeCell ref="A77:Q77"/>
    <mergeCell ref="A15:Q15"/>
    <mergeCell ref="C56:Q56"/>
    <mergeCell ref="D22:Q22"/>
    <mergeCell ref="B38:G38"/>
    <mergeCell ref="C61:Q61"/>
    <mergeCell ref="C54:Q54"/>
    <mergeCell ref="C50:Q50"/>
    <mergeCell ref="D20:Q20"/>
    <mergeCell ref="A44:Q44"/>
    <mergeCell ref="D26:Q26"/>
    <mergeCell ref="D7:L7"/>
    <mergeCell ref="B34:G34"/>
    <mergeCell ref="A6:Q6"/>
    <mergeCell ref="C51:Q51"/>
    <mergeCell ref="C46:Q46"/>
    <mergeCell ref="D21:Q21"/>
    <mergeCell ref="B37:G37"/>
    <mergeCell ref="B45:Q45"/>
    <mergeCell ref="B40:G40"/>
    <mergeCell ref="D27:Q27"/>
    <mergeCell ref="D9:L9"/>
    <mergeCell ref="D12:L12"/>
    <mergeCell ref="D8:L8"/>
    <mergeCell ref="C48:Q48"/>
    <mergeCell ref="D17:Q17"/>
    <mergeCell ref="D19:Q19"/>
    <mergeCell ref="A2:Q2"/>
    <mergeCell ref="C49:Q49"/>
    <mergeCell ref="D28:Q28"/>
    <mergeCell ref="D137:Q137"/>
    <mergeCell ref="A32:Q32"/>
    <mergeCell ref="D18:Q18"/>
    <mergeCell ref="D71:Q71"/>
    <mergeCell ref="D10:L10"/>
    <mergeCell ref="D74:Q74"/>
    <mergeCell ref="B60:Q60"/>
    <mergeCell ref="C62:Q62"/>
    <mergeCell ref="D24:Q24"/>
    <mergeCell ref="D23:Q23"/>
    <mergeCell ref="A3:Q3"/>
    <mergeCell ref="D16:Q16"/>
    <mergeCell ref="B41:G41"/>
    <mergeCell ref="A140:Q140"/>
    <mergeCell ref="C58:Q58"/>
    <mergeCell ref="D25:Q25"/>
    <mergeCell ref="A131:Q131"/>
    <mergeCell ref="D73:Q73"/>
    <mergeCell ref="B53:Q53"/>
    <mergeCell ref="D133:Q133"/>
    <mergeCell ref="D29:Q29"/>
    <mergeCell ref="D132:Q132"/>
    <mergeCell ref="C64:Q64"/>
    <mergeCell ref="D72:Q72"/>
    <mergeCell ref="C57:Q57"/>
    <mergeCell ref="B35:G35"/>
    <mergeCell ref="D138:Q138"/>
    <mergeCell ref="C55:Q55"/>
    <mergeCell ref="D136:Q136"/>
  </mergeCells>
  <pageMargins left="0.75" right="0.75" top="1" bottom="1" header="0.511811023622047" footer="0.511811023622047"/>
  <pageSetup paperSize="9" orientation="portrait"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tabColor rgb="FF2E86AB"/>
  </sheetPr>
  <dimension ref="A1:J13"/>
  <sheetViews>
    <sheetView zoomScaleNormal="100" workbookViewId="0">
      <pane ySplit="3" topLeftCell="A4" activePane="bottomLeft" state="frozen"/>
      <selection pane="bottomLeft"/>
    </sheetView>
  </sheetViews>
  <sheetFormatPr defaultColWidth="8.7109375" defaultRowHeight="15" x14ac:dyDescent="0.25"/>
  <cols>
    <col min="1" max="1" width="14" customWidth="1"/>
    <col min="2" max="2" width="20" customWidth="1"/>
    <col min="3" max="3" width="12" customWidth="1"/>
    <col min="4" max="4" width="28" customWidth="1"/>
    <col min="5" max="5" width="15" customWidth="1"/>
    <col min="6" max="7" width="18" customWidth="1"/>
    <col min="8" max="8" width="16" customWidth="1"/>
    <col min="9" max="9" width="23.5703125" customWidth="1"/>
    <col min="10" max="10" width="18" customWidth="1"/>
  </cols>
  <sheetData>
    <row r="1" spans="1:10" ht="31.5" customHeight="1" x14ac:dyDescent="0.25">
      <c r="A1" s="359" t="s">
        <v>579</v>
      </c>
      <c r="B1" s="265"/>
      <c r="C1" s="265"/>
      <c r="D1" s="265"/>
    </row>
    <row r="2" spans="1:10" ht="19.5" customHeight="1" x14ac:dyDescent="0.25">
      <c r="A2" s="407" t="s">
        <v>580</v>
      </c>
      <c r="B2" s="265"/>
      <c r="C2" s="265"/>
      <c r="D2" s="265"/>
    </row>
    <row r="3" spans="1:10" ht="15" customHeight="1" x14ac:dyDescent="0.25">
      <c r="A3" s="125" t="s">
        <v>581</v>
      </c>
      <c r="B3" s="125" t="s">
        <v>582</v>
      </c>
      <c r="C3" s="125" t="s">
        <v>13</v>
      </c>
      <c r="D3" s="125" t="s">
        <v>583</v>
      </c>
      <c r="E3" s="125" t="s">
        <v>584</v>
      </c>
      <c r="F3" s="125" t="s">
        <v>585</v>
      </c>
      <c r="G3" s="125" t="s">
        <v>586</v>
      </c>
      <c r="H3" s="125" t="s">
        <v>587</v>
      </c>
      <c r="I3" s="97" t="s">
        <v>588</v>
      </c>
      <c r="J3" s="111" t="s">
        <v>589</v>
      </c>
    </row>
    <row r="4" spans="1:10" ht="15" customHeight="1" x14ac:dyDescent="0.25">
      <c r="A4" s="39" t="s">
        <v>590</v>
      </c>
      <c r="B4" s="39" t="s">
        <v>133</v>
      </c>
      <c r="C4" s="39" t="s">
        <v>591</v>
      </c>
      <c r="D4" s="39" t="s">
        <v>592</v>
      </c>
      <c r="E4" t="s">
        <v>593</v>
      </c>
      <c r="H4">
        <v>10</v>
      </c>
      <c r="I4" s="126" t="s">
        <v>594</v>
      </c>
      <c r="J4" s="110" t="s">
        <v>595</v>
      </c>
    </row>
    <row r="5" spans="1:10" ht="15" customHeight="1" x14ac:dyDescent="0.25">
      <c r="A5" s="43" t="s">
        <v>596</v>
      </c>
      <c r="B5" s="43" t="s">
        <v>134</v>
      </c>
      <c r="C5" s="43" t="s">
        <v>591</v>
      </c>
      <c r="D5" s="43" t="s">
        <v>597</v>
      </c>
      <c r="E5" t="s">
        <v>598</v>
      </c>
      <c r="H5">
        <v>10</v>
      </c>
      <c r="I5" s="126" t="s">
        <v>599</v>
      </c>
      <c r="J5" s="110" t="s">
        <v>600</v>
      </c>
    </row>
    <row r="6" spans="1:10" ht="15" customHeight="1" x14ac:dyDescent="0.25">
      <c r="A6" s="39" t="s">
        <v>601</v>
      </c>
      <c r="B6" s="39" t="s">
        <v>135</v>
      </c>
      <c r="C6" s="39" t="s">
        <v>591</v>
      </c>
      <c r="D6" s="39" t="s">
        <v>602</v>
      </c>
      <c r="E6" t="s">
        <v>603</v>
      </c>
      <c r="H6">
        <v>10</v>
      </c>
      <c r="I6" s="126" t="s">
        <v>604</v>
      </c>
      <c r="J6" s="110" t="s">
        <v>605</v>
      </c>
    </row>
    <row r="7" spans="1:10" ht="15" customHeight="1" x14ac:dyDescent="0.25">
      <c r="A7" s="43" t="s">
        <v>606</v>
      </c>
      <c r="B7" s="43" t="s">
        <v>136</v>
      </c>
      <c r="C7" s="43" t="s">
        <v>591</v>
      </c>
      <c r="D7" s="43" t="s">
        <v>607</v>
      </c>
      <c r="E7" t="s">
        <v>608</v>
      </c>
      <c r="H7">
        <v>10</v>
      </c>
      <c r="I7" s="126" t="s">
        <v>609</v>
      </c>
      <c r="J7" s="110" t="s">
        <v>610</v>
      </c>
    </row>
    <row r="8" spans="1:10" ht="15" customHeight="1" x14ac:dyDescent="0.25">
      <c r="A8" s="39" t="s">
        <v>611</v>
      </c>
      <c r="B8" s="39" t="s">
        <v>137</v>
      </c>
      <c r="C8" s="39" t="s">
        <v>591</v>
      </c>
      <c r="D8" s="39" t="s">
        <v>612</v>
      </c>
      <c r="E8" t="s">
        <v>613</v>
      </c>
      <c r="H8">
        <v>10</v>
      </c>
      <c r="I8" s="126" t="s">
        <v>614</v>
      </c>
      <c r="J8" s="110" t="s">
        <v>615</v>
      </c>
    </row>
    <row r="9" spans="1:10" ht="15" customHeight="1" x14ac:dyDescent="0.25">
      <c r="A9" s="43" t="s">
        <v>616</v>
      </c>
      <c r="B9" s="43" t="s">
        <v>138</v>
      </c>
      <c r="C9" s="43" t="s">
        <v>591</v>
      </c>
      <c r="D9" s="43" t="s">
        <v>617</v>
      </c>
      <c r="E9" t="s">
        <v>618</v>
      </c>
      <c r="H9">
        <v>10</v>
      </c>
      <c r="I9" s="126" t="s">
        <v>619</v>
      </c>
      <c r="J9" s="110" t="s">
        <v>620</v>
      </c>
    </row>
    <row r="10" spans="1:10" ht="15" customHeight="1" x14ac:dyDescent="0.25">
      <c r="A10" s="39" t="s">
        <v>621</v>
      </c>
      <c r="B10" s="39" t="s">
        <v>139</v>
      </c>
      <c r="C10" s="39" t="s">
        <v>591</v>
      </c>
      <c r="D10" s="39" t="s">
        <v>622</v>
      </c>
      <c r="E10" t="s">
        <v>623</v>
      </c>
      <c r="H10">
        <v>10</v>
      </c>
      <c r="I10" s="126" t="s">
        <v>624</v>
      </c>
      <c r="J10" s="110" t="s">
        <v>625</v>
      </c>
    </row>
    <row r="11" spans="1:10" ht="15" customHeight="1" x14ac:dyDescent="0.25">
      <c r="A11" s="43" t="s">
        <v>626</v>
      </c>
      <c r="B11" s="43" t="s">
        <v>140</v>
      </c>
      <c r="C11" s="43" t="s">
        <v>591</v>
      </c>
      <c r="D11" s="43" t="s">
        <v>627</v>
      </c>
      <c r="E11" t="s">
        <v>628</v>
      </c>
      <c r="H11">
        <v>10</v>
      </c>
      <c r="I11" s="126" t="s">
        <v>629</v>
      </c>
      <c r="J11" s="110" t="s">
        <v>630</v>
      </c>
    </row>
    <row r="12" spans="1:10" ht="15" customHeight="1" x14ac:dyDescent="0.25">
      <c r="A12" s="39" t="s">
        <v>631</v>
      </c>
      <c r="B12" s="39" t="s">
        <v>141</v>
      </c>
      <c r="C12" s="39" t="s">
        <v>591</v>
      </c>
      <c r="D12" s="39" t="s">
        <v>632</v>
      </c>
      <c r="E12" t="s">
        <v>633</v>
      </c>
      <c r="H12">
        <v>10</v>
      </c>
      <c r="I12" s="126" t="s">
        <v>634</v>
      </c>
      <c r="J12" s="110" t="s">
        <v>635</v>
      </c>
    </row>
    <row r="13" spans="1:10" ht="15" customHeight="1" x14ac:dyDescent="0.25">
      <c r="A13" s="43" t="s">
        <v>636</v>
      </c>
      <c r="B13" s="43" t="s">
        <v>142</v>
      </c>
      <c r="C13" s="43" t="s">
        <v>591</v>
      </c>
      <c r="D13" s="43" t="s">
        <v>637</v>
      </c>
      <c r="E13" t="s">
        <v>638</v>
      </c>
      <c r="H13">
        <v>10</v>
      </c>
      <c r="I13" s="126" t="s">
        <v>639</v>
      </c>
      <c r="J13" s="110" t="s">
        <v>640</v>
      </c>
    </row>
  </sheetData>
  <mergeCells count="2">
    <mergeCell ref="A1:D1"/>
    <mergeCell ref="A2:D2"/>
  </mergeCells>
  <pageMargins left="0.75" right="0.75" top="1" bottom="1" header="0.511811023622047" footer="0.511811023622047"/>
  <pageSetup paperSize="9" orientation="portrait" horizontalDpi="300" verticalDpi="30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A1:E28"/>
  <sheetViews>
    <sheetView zoomScaleNormal="100" workbookViewId="0"/>
  </sheetViews>
  <sheetFormatPr defaultColWidth="8.7109375" defaultRowHeight="15" x14ac:dyDescent="0.25"/>
  <cols>
    <col min="1" max="1" width="22" customWidth="1"/>
    <col min="2" max="2" width="55" customWidth="1"/>
    <col min="3" max="5" width="18" customWidth="1"/>
  </cols>
  <sheetData>
    <row r="1" spans="1:3" ht="31.5" customHeight="1" x14ac:dyDescent="0.25">
      <c r="A1" s="408" t="s">
        <v>641</v>
      </c>
      <c r="B1" s="265"/>
      <c r="C1" s="265"/>
    </row>
    <row r="3" spans="1:3" ht="15" customHeight="1" x14ac:dyDescent="0.25">
      <c r="A3" s="127" t="s">
        <v>642</v>
      </c>
      <c r="B3" s="128" t="s">
        <v>643</v>
      </c>
    </row>
    <row r="4" spans="1:3" ht="15" customHeight="1" x14ac:dyDescent="0.25">
      <c r="A4" s="127" t="s">
        <v>60</v>
      </c>
      <c r="B4" s="128" t="s">
        <v>644</v>
      </c>
    </row>
    <row r="5" spans="1:3" ht="15" customHeight="1" x14ac:dyDescent="0.25">
      <c r="A5" s="127" t="s">
        <v>62</v>
      </c>
      <c r="B5" s="128" t="s">
        <v>63</v>
      </c>
    </row>
    <row r="6" spans="1:3" ht="15" customHeight="1" x14ac:dyDescent="0.25">
      <c r="A6" s="127" t="s">
        <v>645</v>
      </c>
      <c r="B6" s="128" t="s">
        <v>646</v>
      </c>
    </row>
    <row r="7" spans="1:3" ht="15" customHeight="1" x14ac:dyDescent="0.25">
      <c r="A7" s="127" t="s">
        <v>647</v>
      </c>
      <c r="B7" s="128" t="s">
        <v>648</v>
      </c>
    </row>
    <row r="8" spans="1:3" ht="15" customHeight="1" x14ac:dyDescent="0.25">
      <c r="A8" s="127" t="s">
        <v>66</v>
      </c>
      <c r="B8" s="128">
        <v>10</v>
      </c>
    </row>
    <row r="9" spans="1:3" ht="15" customHeight="1" x14ac:dyDescent="0.25">
      <c r="A9" s="127" t="s">
        <v>649</v>
      </c>
      <c r="B9" s="128">
        <v>10</v>
      </c>
    </row>
    <row r="10" spans="1:3" ht="15" customHeight="1" x14ac:dyDescent="0.25">
      <c r="A10" s="127" t="s">
        <v>650</v>
      </c>
      <c r="B10" s="128" t="s">
        <v>651</v>
      </c>
    </row>
    <row r="11" spans="1:3" ht="15" customHeight="1" x14ac:dyDescent="0.25">
      <c r="A11" s="127" t="s">
        <v>652</v>
      </c>
      <c r="B11" s="128" t="s">
        <v>653</v>
      </c>
    </row>
    <row r="12" spans="1:3" ht="15" customHeight="1" x14ac:dyDescent="0.25">
      <c r="A12" s="127" t="s">
        <v>654</v>
      </c>
      <c r="B12" s="128" t="s">
        <v>655</v>
      </c>
    </row>
    <row r="13" spans="1:3" ht="15" customHeight="1" x14ac:dyDescent="0.25">
      <c r="A13" s="127" t="s">
        <v>656</v>
      </c>
      <c r="B13" s="128" t="s">
        <v>657</v>
      </c>
    </row>
    <row r="14" spans="1:3" ht="15" customHeight="1" x14ac:dyDescent="0.25">
      <c r="A14" s="127" t="s">
        <v>658</v>
      </c>
      <c r="B14" s="128" t="s">
        <v>659</v>
      </c>
    </row>
    <row r="17" spans="1:5" ht="15" customHeight="1" x14ac:dyDescent="0.25">
      <c r="A17" s="409" t="s">
        <v>660</v>
      </c>
      <c r="B17" s="265"/>
      <c r="C17" s="265"/>
      <c r="D17" s="265"/>
      <c r="E17" s="265"/>
    </row>
    <row r="18" spans="1:5" ht="15" customHeight="1" x14ac:dyDescent="0.25">
      <c r="A18" s="111" t="s">
        <v>661</v>
      </c>
      <c r="B18" s="111" t="s">
        <v>662</v>
      </c>
      <c r="C18" s="111" t="s">
        <v>663</v>
      </c>
      <c r="D18" s="111" t="s">
        <v>13</v>
      </c>
      <c r="E18" s="111" t="s">
        <v>15</v>
      </c>
    </row>
    <row r="19" spans="1:5" ht="15" customHeight="1" x14ac:dyDescent="0.25">
      <c r="A19" s="129" t="s">
        <v>133</v>
      </c>
      <c r="B19" s="129" t="s">
        <v>594</v>
      </c>
      <c r="C19" s="129" t="s">
        <v>595</v>
      </c>
      <c r="D19" s="129" t="s">
        <v>591</v>
      </c>
      <c r="E19" s="129" t="s">
        <v>664</v>
      </c>
    </row>
    <row r="20" spans="1:5" ht="15" customHeight="1" x14ac:dyDescent="0.25">
      <c r="A20" s="130" t="s">
        <v>134</v>
      </c>
      <c r="B20" s="130" t="s">
        <v>599</v>
      </c>
      <c r="C20" s="130" t="s">
        <v>600</v>
      </c>
      <c r="D20" s="130" t="s">
        <v>591</v>
      </c>
      <c r="E20" s="130" t="s">
        <v>664</v>
      </c>
    </row>
    <row r="21" spans="1:5" ht="15" customHeight="1" x14ac:dyDescent="0.25">
      <c r="A21" s="129" t="s">
        <v>135</v>
      </c>
      <c r="B21" s="129" t="s">
        <v>604</v>
      </c>
      <c r="C21" s="129" t="s">
        <v>605</v>
      </c>
      <c r="D21" s="129" t="s">
        <v>591</v>
      </c>
      <c r="E21" s="129" t="s">
        <v>664</v>
      </c>
    </row>
    <row r="22" spans="1:5" ht="15" customHeight="1" x14ac:dyDescent="0.25">
      <c r="A22" s="130" t="s">
        <v>136</v>
      </c>
      <c r="B22" s="130" t="s">
        <v>609</v>
      </c>
      <c r="C22" s="130" t="s">
        <v>610</v>
      </c>
      <c r="D22" s="130" t="s">
        <v>591</v>
      </c>
      <c r="E22" s="130" t="s">
        <v>664</v>
      </c>
    </row>
    <row r="23" spans="1:5" ht="15" customHeight="1" x14ac:dyDescent="0.25">
      <c r="A23" s="129" t="s">
        <v>137</v>
      </c>
      <c r="B23" s="129" t="s">
        <v>614</v>
      </c>
      <c r="C23" s="129" t="s">
        <v>615</v>
      </c>
      <c r="D23" s="129" t="s">
        <v>591</v>
      </c>
      <c r="E23" s="129" t="s">
        <v>664</v>
      </c>
    </row>
    <row r="24" spans="1:5" ht="15" customHeight="1" x14ac:dyDescent="0.25">
      <c r="A24" s="130" t="s">
        <v>138</v>
      </c>
      <c r="B24" s="130" t="s">
        <v>619</v>
      </c>
      <c r="C24" s="130" t="s">
        <v>620</v>
      </c>
      <c r="D24" s="130" t="s">
        <v>591</v>
      </c>
      <c r="E24" s="130" t="s">
        <v>664</v>
      </c>
    </row>
    <row r="25" spans="1:5" ht="15" customHeight="1" x14ac:dyDescent="0.25">
      <c r="A25" s="129" t="s">
        <v>139</v>
      </c>
      <c r="B25" s="129" t="s">
        <v>624</v>
      </c>
      <c r="C25" s="129" t="s">
        <v>625</v>
      </c>
      <c r="D25" s="129" t="s">
        <v>591</v>
      </c>
      <c r="E25" s="129" t="s">
        <v>664</v>
      </c>
    </row>
    <row r="26" spans="1:5" ht="15" customHeight="1" x14ac:dyDescent="0.25">
      <c r="A26" s="130" t="s">
        <v>140</v>
      </c>
      <c r="B26" s="130" t="s">
        <v>629</v>
      </c>
      <c r="C26" s="130" t="s">
        <v>630</v>
      </c>
      <c r="D26" s="130" t="s">
        <v>591</v>
      </c>
      <c r="E26" s="130" t="s">
        <v>664</v>
      </c>
    </row>
    <row r="27" spans="1:5" ht="15" customHeight="1" x14ac:dyDescent="0.25">
      <c r="A27" s="129" t="s">
        <v>141</v>
      </c>
      <c r="B27" s="129" t="s">
        <v>634</v>
      </c>
      <c r="C27" s="129" t="s">
        <v>635</v>
      </c>
      <c r="D27" s="129" t="s">
        <v>591</v>
      </c>
      <c r="E27" s="129" t="s">
        <v>664</v>
      </c>
    </row>
    <row r="28" spans="1:5" ht="15" customHeight="1" x14ac:dyDescent="0.25">
      <c r="A28" s="130" t="s">
        <v>142</v>
      </c>
      <c r="B28" s="130" t="s">
        <v>639</v>
      </c>
      <c r="C28" s="130" t="s">
        <v>640</v>
      </c>
      <c r="D28" s="130" t="s">
        <v>591</v>
      </c>
      <c r="E28" s="130" t="s">
        <v>664</v>
      </c>
    </row>
  </sheetData>
  <mergeCells count="2">
    <mergeCell ref="A1:C1"/>
    <mergeCell ref="A17:E17"/>
  </mergeCells>
  <pageMargins left="0.75" right="0.75" top="1" bottom="1" header="0.511811023622047" footer="0.511811023622047"/>
  <pageSetup paperSize="9" orientation="portrait" horizontalDpi="300" verticalDpi="30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tabColor rgb="FF1A252F"/>
  </sheetPr>
  <dimension ref="A1:G5"/>
  <sheetViews>
    <sheetView zoomScaleNormal="100" workbookViewId="0">
      <pane ySplit="2" topLeftCell="A3"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60" customWidth="1"/>
    <col min="5" max="5" width="14" customWidth="1"/>
    <col min="6" max="6" width="22" customWidth="1"/>
    <col min="7" max="7" width="16" customWidth="1"/>
  </cols>
  <sheetData>
    <row r="1" spans="1:7" ht="31.5" customHeight="1" x14ac:dyDescent="0.25">
      <c r="A1" s="410" t="s">
        <v>665</v>
      </c>
      <c r="B1" s="265"/>
      <c r="C1" s="265"/>
      <c r="D1" s="265"/>
    </row>
    <row r="2" spans="1:7" ht="15" customHeight="1" x14ac:dyDescent="0.25">
      <c r="A2" s="36"/>
      <c r="B2" s="36"/>
      <c r="C2" s="36"/>
      <c r="D2" s="36"/>
      <c r="E2" s="101"/>
      <c r="F2" s="101"/>
      <c r="G2" s="101"/>
    </row>
    <row r="3" spans="1:7" ht="15" customHeight="1" x14ac:dyDescent="0.25">
      <c r="A3" s="37"/>
      <c r="B3" s="37"/>
      <c r="C3" s="37"/>
      <c r="D3" s="37"/>
    </row>
    <row r="4" spans="1:7" ht="15" customHeight="1" x14ac:dyDescent="0.25">
      <c r="A4" s="41"/>
      <c r="B4" s="41"/>
      <c r="C4" s="41"/>
      <c r="D4" s="41"/>
    </row>
    <row r="5" spans="1:7" ht="15" customHeight="1" x14ac:dyDescent="0.25">
      <c r="A5" s="37"/>
      <c r="B5" s="37"/>
      <c r="C5" s="37"/>
      <c r="D5" s="37"/>
    </row>
  </sheetData>
  <mergeCells count="1">
    <mergeCell ref="A1:D1"/>
  </mergeCells>
  <pageMargins left="0.75" right="0.75" top="1" bottom="1" header="0.511811023622047" footer="0.511811023622047"/>
  <pageSetup paperSize="9" orientation="portrait" horizontalDpi="300" verticalDpi="30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tabColor rgb="FF1A252F"/>
  </sheetPr>
  <dimension ref="A1:A967"/>
  <sheetViews>
    <sheetView topLeftCell="B1" zoomScaleNormal="100" workbookViewId="0">
      <selection activeCell="L402" sqref="L402"/>
    </sheetView>
  </sheetViews>
  <sheetFormatPr defaultColWidth="8.7109375" defaultRowHeight="15" x14ac:dyDescent="0.25"/>
  <cols>
    <col min="1" max="1" width="120" customWidth="1"/>
  </cols>
  <sheetData>
    <row r="1" spans="1:1" ht="27.75" customHeight="1" x14ac:dyDescent="0.25">
      <c r="A1" s="259" t="s">
        <v>666</v>
      </c>
    </row>
    <row r="2" spans="1:1" ht="34.5" customHeight="1" x14ac:dyDescent="0.25">
      <c r="A2" s="260" t="s">
        <v>667</v>
      </c>
    </row>
    <row r="3" spans="1:1" x14ac:dyDescent="0.25">
      <c r="A3" s="261"/>
    </row>
    <row r="4" spans="1:1" ht="15" customHeight="1" x14ac:dyDescent="0.25">
      <c r="A4" s="262" t="s">
        <v>668</v>
      </c>
    </row>
    <row r="5" spans="1:1" ht="15" customHeight="1" x14ac:dyDescent="0.25">
      <c r="A5" s="263" t="s">
        <v>669</v>
      </c>
    </row>
    <row r="6" spans="1:1" ht="15" customHeight="1" x14ac:dyDescent="0.25">
      <c r="A6" s="263" t="s">
        <v>670</v>
      </c>
    </row>
    <row r="7" spans="1:1" ht="15" customHeight="1" x14ac:dyDescent="0.25">
      <c r="A7" s="263" t="s">
        <v>671</v>
      </c>
    </row>
    <row r="8" spans="1:1" ht="15" customHeight="1" x14ac:dyDescent="0.25">
      <c r="A8" s="263" t="s">
        <v>672</v>
      </c>
    </row>
    <row r="9" spans="1:1" ht="15" customHeight="1" x14ac:dyDescent="0.25">
      <c r="A9" s="263" t="s">
        <v>673</v>
      </c>
    </row>
    <row r="10" spans="1:1" ht="15" customHeight="1" x14ac:dyDescent="0.25">
      <c r="A10" s="263" t="s">
        <v>674</v>
      </c>
    </row>
    <row r="11" spans="1:1" ht="15" customHeight="1" x14ac:dyDescent="0.25">
      <c r="A11" s="263" t="s">
        <v>675</v>
      </c>
    </row>
    <row r="12" spans="1:1" ht="15" customHeight="1" x14ac:dyDescent="0.25">
      <c r="A12" s="263" t="s">
        <v>676</v>
      </c>
    </row>
    <row r="13" spans="1:1" ht="15" customHeight="1" x14ac:dyDescent="0.25">
      <c r="A13" s="263" t="s">
        <v>677</v>
      </c>
    </row>
    <row r="14" spans="1:1" ht="15" customHeight="1" x14ac:dyDescent="0.25">
      <c r="A14" s="263" t="s">
        <v>678</v>
      </c>
    </row>
    <row r="15" spans="1:1" ht="15" customHeight="1" x14ac:dyDescent="0.25">
      <c r="A15" s="263" t="s">
        <v>679</v>
      </c>
    </row>
    <row r="16" spans="1:1" ht="15" customHeight="1" x14ac:dyDescent="0.25">
      <c r="A16" s="263" t="s">
        <v>680</v>
      </c>
    </row>
    <row r="17" spans="1:1" ht="15" customHeight="1" x14ac:dyDescent="0.25">
      <c r="A17" s="263"/>
    </row>
    <row r="18" spans="1:1" ht="15" customHeight="1" x14ac:dyDescent="0.25">
      <c r="A18" s="263" t="s">
        <v>681</v>
      </c>
    </row>
    <row r="19" spans="1:1" ht="15" customHeight="1" x14ac:dyDescent="0.25">
      <c r="A19" s="263" t="s">
        <v>682</v>
      </c>
    </row>
    <row r="20" spans="1:1" ht="15" customHeight="1" x14ac:dyDescent="0.25">
      <c r="A20" s="263" t="s">
        <v>683</v>
      </c>
    </row>
    <row r="21" spans="1:1" ht="15" customHeight="1" x14ac:dyDescent="0.25">
      <c r="A21" s="263" t="s">
        <v>684</v>
      </c>
    </row>
    <row r="22" spans="1:1" ht="15" customHeight="1" x14ac:dyDescent="0.25">
      <c r="A22" s="263" t="s">
        <v>685</v>
      </c>
    </row>
    <row r="23" spans="1:1" ht="15" customHeight="1" x14ac:dyDescent="0.25">
      <c r="A23" s="263" t="s">
        <v>686</v>
      </c>
    </row>
    <row r="24" spans="1:1" ht="15" customHeight="1" x14ac:dyDescent="0.25">
      <c r="A24" s="263" t="s">
        <v>687</v>
      </c>
    </row>
    <row r="25" spans="1:1" ht="15" customHeight="1" x14ac:dyDescent="0.25">
      <c r="A25" s="263" t="s">
        <v>688</v>
      </c>
    </row>
    <row r="26" spans="1:1" ht="15" customHeight="1" x14ac:dyDescent="0.25">
      <c r="A26" s="263" t="s">
        <v>689</v>
      </c>
    </row>
    <row r="27" spans="1:1" ht="15" customHeight="1" x14ac:dyDescent="0.25">
      <c r="A27" s="263" t="s">
        <v>690</v>
      </c>
    </row>
    <row r="28" spans="1:1" ht="15" customHeight="1" x14ac:dyDescent="0.25">
      <c r="A28" s="263" t="s">
        <v>691</v>
      </c>
    </row>
    <row r="29" spans="1:1" ht="15" customHeight="1" x14ac:dyDescent="0.25">
      <c r="A29" s="263" t="s">
        <v>692</v>
      </c>
    </row>
    <row r="30" spans="1:1" ht="15" customHeight="1" x14ac:dyDescent="0.25">
      <c r="A30" s="263" t="s">
        <v>693</v>
      </c>
    </row>
    <row r="31" spans="1:1" ht="15" customHeight="1" x14ac:dyDescent="0.25">
      <c r="A31" s="263" t="s">
        <v>694</v>
      </c>
    </row>
    <row r="32" spans="1:1" ht="15" customHeight="1" x14ac:dyDescent="0.25">
      <c r="A32" s="263" t="s">
        <v>695</v>
      </c>
    </row>
    <row r="33" spans="1:1" ht="15" customHeight="1" x14ac:dyDescent="0.25">
      <c r="A33" s="263" t="s">
        <v>696</v>
      </c>
    </row>
    <row r="34" spans="1:1" ht="15" customHeight="1" x14ac:dyDescent="0.25">
      <c r="A34" s="263" t="s">
        <v>677</v>
      </c>
    </row>
    <row r="35" spans="1:1" ht="15" customHeight="1" x14ac:dyDescent="0.25">
      <c r="A35" s="263" t="s">
        <v>697</v>
      </c>
    </row>
    <row r="36" spans="1:1" ht="15" customHeight="1" x14ac:dyDescent="0.25">
      <c r="A36" s="263" t="s">
        <v>698</v>
      </c>
    </row>
    <row r="37" spans="1:1" ht="15" customHeight="1" x14ac:dyDescent="0.25">
      <c r="A37" s="263" t="s">
        <v>677</v>
      </c>
    </row>
    <row r="38" spans="1:1" ht="15" customHeight="1" x14ac:dyDescent="0.25">
      <c r="A38" s="263" t="s">
        <v>699</v>
      </c>
    </row>
    <row r="39" spans="1:1" ht="15" customHeight="1" x14ac:dyDescent="0.25">
      <c r="A39" s="263" t="s">
        <v>700</v>
      </c>
    </row>
    <row r="40" spans="1:1" ht="15" customHeight="1" x14ac:dyDescent="0.25">
      <c r="A40" s="263" t="s">
        <v>701</v>
      </c>
    </row>
    <row r="41" spans="1:1" ht="15" customHeight="1" x14ac:dyDescent="0.25">
      <c r="A41" s="263" t="s">
        <v>702</v>
      </c>
    </row>
    <row r="42" spans="1:1" ht="15" customHeight="1" x14ac:dyDescent="0.25">
      <c r="A42" s="263" t="s">
        <v>677</v>
      </c>
    </row>
    <row r="43" spans="1:1" ht="15" customHeight="1" x14ac:dyDescent="0.25">
      <c r="A43" s="263" t="s">
        <v>703</v>
      </c>
    </row>
    <row r="44" spans="1:1" ht="15" customHeight="1" x14ac:dyDescent="0.25">
      <c r="A44" s="263" t="s">
        <v>704</v>
      </c>
    </row>
    <row r="45" spans="1:1" ht="15" customHeight="1" x14ac:dyDescent="0.25">
      <c r="A45" s="263" t="s">
        <v>705</v>
      </c>
    </row>
    <row r="46" spans="1:1" ht="15" customHeight="1" x14ac:dyDescent="0.25">
      <c r="A46" s="263" t="s">
        <v>706</v>
      </c>
    </row>
    <row r="47" spans="1:1" ht="15" customHeight="1" x14ac:dyDescent="0.25">
      <c r="A47" s="263" t="s">
        <v>707</v>
      </c>
    </row>
    <row r="48" spans="1:1" ht="15" customHeight="1" x14ac:dyDescent="0.25">
      <c r="A48" s="263" t="s">
        <v>708</v>
      </c>
    </row>
    <row r="49" spans="1:1" ht="15" customHeight="1" x14ac:dyDescent="0.25">
      <c r="A49" s="263" t="s">
        <v>709</v>
      </c>
    </row>
    <row r="50" spans="1:1" ht="15" customHeight="1" x14ac:dyDescent="0.25">
      <c r="A50" s="263" t="s">
        <v>710</v>
      </c>
    </row>
    <row r="51" spans="1:1" ht="15" customHeight="1" x14ac:dyDescent="0.25">
      <c r="A51" s="263" t="s">
        <v>711</v>
      </c>
    </row>
    <row r="52" spans="1:1" ht="15" customHeight="1" x14ac:dyDescent="0.25">
      <c r="A52" s="263" t="s">
        <v>712</v>
      </c>
    </row>
    <row r="53" spans="1:1" ht="15" customHeight="1" x14ac:dyDescent="0.25">
      <c r="A53" s="263" t="s">
        <v>713</v>
      </c>
    </row>
    <row r="54" spans="1:1" ht="15" customHeight="1" x14ac:dyDescent="0.25">
      <c r="A54" s="263" t="s">
        <v>714</v>
      </c>
    </row>
    <row r="55" spans="1:1" ht="15" customHeight="1" x14ac:dyDescent="0.25">
      <c r="A55" s="263" t="s">
        <v>715</v>
      </c>
    </row>
    <row r="56" spans="1:1" ht="15" customHeight="1" x14ac:dyDescent="0.25">
      <c r="A56" s="263" t="s">
        <v>716</v>
      </c>
    </row>
    <row r="57" spans="1:1" ht="15" customHeight="1" x14ac:dyDescent="0.25">
      <c r="A57" s="263" t="s">
        <v>717</v>
      </c>
    </row>
    <row r="58" spans="1:1" ht="15" customHeight="1" x14ac:dyDescent="0.25">
      <c r="A58" s="263" t="s">
        <v>718</v>
      </c>
    </row>
    <row r="59" spans="1:1" ht="15" customHeight="1" x14ac:dyDescent="0.25">
      <c r="A59" s="263" t="s">
        <v>719</v>
      </c>
    </row>
    <row r="60" spans="1:1" ht="15" customHeight="1" x14ac:dyDescent="0.25">
      <c r="A60" s="263" t="s">
        <v>720</v>
      </c>
    </row>
    <row r="61" spans="1:1" ht="15" customHeight="1" x14ac:dyDescent="0.25">
      <c r="A61" s="263" t="s">
        <v>721</v>
      </c>
    </row>
    <row r="62" spans="1:1" ht="15" customHeight="1" x14ac:dyDescent="0.25">
      <c r="A62" s="263" t="s">
        <v>722</v>
      </c>
    </row>
    <row r="63" spans="1:1" ht="15" customHeight="1" x14ac:dyDescent="0.25">
      <c r="A63" s="263" t="s">
        <v>723</v>
      </c>
    </row>
    <row r="64" spans="1:1" ht="15" customHeight="1" x14ac:dyDescent="0.25">
      <c r="A64" s="263" t="s">
        <v>724</v>
      </c>
    </row>
    <row r="65" spans="1:1" ht="15" customHeight="1" x14ac:dyDescent="0.25">
      <c r="A65" s="263" t="s">
        <v>725</v>
      </c>
    </row>
    <row r="66" spans="1:1" ht="15" customHeight="1" x14ac:dyDescent="0.25">
      <c r="A66" s="263" t="s">
        <v>726</v>
      </c>
    </row>
    <row r="67" spans="1:1" ht="15" customHeight="1" x14ac:dyDescent="0.25">
      <c r="A67" s="263" t="s">
        <v>727</v>
      </c>
    </row>
    <row r="68" spans="1:1" ht="15" customHeight="1" x14ac:dyDescent="0.25">
      <c r="A68" s="263" t="s">
        <v>728</v>
      </c>
    </row>
    <row r="69" spans="1:1" ht="15" customHeight="1" x14ac:dyDescent="0.25">
      <c r="A69" s="263" t="s">
        <v>729</v>
      </c>
    </row>
    <row r="70" spans="1:1" ht="15" customHeight="1" x14ac:dyDescent="0.25">
      <c r="A70" s="263" t="s">
        <v>730</v>
      </c>
    </row>
    <row r="71" spans="1:1" ht="15" customHeight="1" x14ac:dyDescent="0.25">
      <c r="A71" s="263" t="s">
        <v>731</v>
      </c>
    </row>
    <row r="72" spans="1:1" ht="15" customHeight="1" x14ac:dyDescent="0.25">
      <c r="A72" s="263" t="s">
        <v>732</v>
      </c>
    </row>
    <row r="73" spans="1:1" ht="15" customHeight="1" x14ac:dyDescent="0.25">
      <c r="A73" s="263" t="s">
        <v>733</v>
      </c>
    </row>
    <row r="74" spans="1:1" ht="15" customHeight="1" x14ac:dyDescent="0.25">
      <c r="A74" s="263" t="s">
        <v>734</v>
      </c>
    </row>
    <row r="75" spans="1:1" ht="15" customHeight="1" x14ac:dyDescent="0.25">
      <c r="A75" s="263" t="s">
        <v>735</v>
      </c>
    </row>
    <row r="76" spans="1:1" ht="15" customHeight="1" x14ac:dyDescent="0.25">
      <c r="A76" s="263" t="s">
        <v>736</v>
      </c>
    </row>
    <row r="77" spans="1:1" ht="15" customHeight="1" x14ac:dyDescent="0.25">
      <c r="A77" s="263" t="s">
        <v>737</v>
      </c>
    </row>
    <row r="78" spans="1:1" ht="15" customHeight="1" x14ac:dyDescent="0.25">
      <c r="A78" s="263" t="s">
        <v>738</v>
      </c>
    </row>
    <row r="79" spans="1:1" ht="15" customHeight="1" x14ac:dyDescent="0.25">
      <c r="A79" s="263" t="s">
        <v>739</v>
      </c>
    </row>
    <row r="80" spans="1:1" ht="15" customHeight="1" x14ac:dyDescent="0.25">
      <c r="A80" s="263" t="s">
        <v>740</v>
      </c>
    </row>
    <row r="81" spans="1:1" ht="15" customHeight="1" x14ac:dyDescent="0.25">
      <c r="A81" s="263" t="s">
        <v>741</v>
      </c>
    </row>
    <row r="82" spans="1:1" ht="15" customHeight="1" x14ac:dyDescent="0.25">
      <c r="A82" s="263" t="s">
        <v>742</v>
      </c>
    </row>
    <row r="83" spans="1:1" ht="15" customHeight="1" x14ac:dyDescent="0.25">
      <c r="A83" s="263" t="s">
        <v>743</v>
      </c>
    </row>
    <row r="84" spans="1:1" ht="15" customHeight="1" x14ac:dyDescent="0.25">
      <c r="A84" s="263" t="s">
        <v>744</v>
      </c>
    </row>
    <row r="85" spans="1:1" ht="15" customHeight="1" x14ac:dyDescent="0.25">
      <c r="A85" s="263" t="s">
        <v>745</v>
      </c>
    </row>
    <row r="86" spans="1:1" ht="15" customHeight="1" x14ac:dyDescent="0.25">
      <c r="A86" s="263" t="s">
        <v>746</v>
      </c>
    </row>
    <row r="87" spans="1:1" ht="15" customHeight="1" x14ac:dyDescent="0.25">
      <c r="A87" s="263" t="s">
        <v>747</v>
      </c>
    </row>
    <row r="88" spans="1:1" ht="15" customHeight="1" x14ac:dyDescent="0.25">
      <c r="A88" s="263" t="s">
        <v>748</v>
      </c>
    </row>
    <row r="89" spans="1:1" ht="15" customHeight="1" x14ac:dyDescent="0.25">
      <c r="A89" s="263" t="s">
        <v>749</v>
      </c>
    </row>
    <row r="90" spans="1:1" ht="15" customHeight="1" x14ac:dyDescent="0.25">
      <c r="A90" s="263" t="s">
        <v>746</v>
      </c>
    </row>
    <row r="91" spans="1:1" ht="15" customHeight="1" x14ac:dyDescent="0.25">
      <c r="A91" s="263" t="s">
        <v>750</v>
      </c>
    </row>
    <row r="92" spans="1:1" ht="15" customHeight="1" x14ac:dyDescent="0.25">
      <c r="A92" s="263" t="s">
        <v>751</v>
      </c>
    </row>
    <row r="93" spans="1:1" ht="15" customHeight="1" x14ac:dyDescent="0.25">
      <c r="A93" s="263"/>
    </row>
    <row r="94" spans="1:1" ht="15" customHeight="1" x14ac:dyDescent="0.25">
      <c r="A94" s="263" t="s">
        <v>752</v>
      </c>
    </row>
    <row r="95" spans="1:1" ht="15" customHeight="1" x14ac:dyDescent="0.25">
      <c r="A95" s="263" t="s">
        <v>753</v>
      </c>
    </row>
    <row r="96" spans="1:1" ht="15" customHeight="1" x14ac:dyDescent="0.25">
      <c r="A96" s="263" t="s">
        <v>745</v>
      </c>
    </row>
    <row r="97" spans="1:1" ht="15" customHeight="1" x14ac:dyDescent="0.25">
      <c r="A97" s="263" t="s">
        <v>751</v>
      </c>
    </row>
    <row r="98" spans="1:1" ht="15" customHeight="1" x14ac:dyDescent="0.25">
      <c r="A98" s="263"/>
    </row>
    <row r="99" spans="1:1" ht="15" customHeight="1" x14ac:dyDescent="0.25">
      <c r="A99" s="263" t="s">
        <v>754</v>
      </c>
    </row>
    <row r="100" spans="1:1" ht="15" customHeight="1" x14ac:dyDescent="0.25">
      <c r="A100" s="263" t="s">
        <v>755</v>
      </c>
    </row>
    <row r="101" spans="1:1" ht="15" customHeight="1" x14ac:dyDescent="0.25">
      <c r="A101" s="263" t="s">
        <v>756</v>
      </c>
    </row>
    <row r="102" spans="1:1" ht="15" customHeight="1" x14ac:dyDescent="0.25">
      <c r="A102" s="263" t="s">
        <v>757</v>
      </c>
    </row>
    <row r="103" spans="1:1" ht="15" customHeight="1" x14ac:dyDescent="0.25">
      <c r="A103" s="263" t="s">
        <v>758</v>
      </c>
    </row>
    <row r="104" spans="1:1" ht="15" customHeight="1" x14ac:dyDescent="0.25">
      <c r="A104" s="263" t="s">
        <v>759</v>
      </c>
    </row>
    <row r="105" spans="1:1" ht="15" customHeight="1" x14ac:dyDescent="0.25">
      <c r="A105" s="263" t="s">
        <v>677</v>
      </c>
    </row>
    <row r="106" spans="1:1" ht="15" customHeight="1" x14ac:dyDescent="0.25">
      <c r="A106" s="263" t="s">
        <v>751</v>
      </c>
    </row>
    <row r="107" spans="1:1" ht="15" customHeight="1" x14ac:dyDescent="0.25">
      <c r="A107" s="263"/>
    </row>
    <row r="108" spans="1:1" ht="15" customHeight="1" x14ac:dyDescent="0.25">
      <c r="A108" s="263" t="s">
        <v>760</v>
      </c>
    </row>
    <row r="109" spans="1:1" ht="15" customHeight="1" x14ac:dyDescent="0.25">
      <c r="A109" s="263" t="s">
        <v>761</v>
      </c>
    </row>
    <row r="110" spans="1:1" ht="15" customHeight="1" x14ac:dyDescent="0.25">
      <c r="A110" s="263" t="s">
        <v>762</v>
      </c>
    </row>
    <row r="111" spans="1:1" ht="15" customHeight="1" x14ac:dyDescent="0.25">
      <c r="A111" s="263" t="s">
        <v>751</v>
      </c>
    </row>
    <row r="112" spans="1:1" ht="15" customHeight="1" x14ac:dyDescent="0.25">
      <c r="A112" s="263"/>
    </row>
    <row r="113" spans="1:1" ht="15" customHeight="1" x14ac:dyDescent="0.25">
      <c r="A113" s="263" t="s">
        <v>763</v>
      </c>
    </row>
    <row r="114" spans="1:1" ht="15" customHeight="1" x14ac:dyDescent="0.25">
      <c r="A114" s="263" t="s">
        <v>764</v>
      </c>
    </row>
    <row r="115" spans="1:1" ht="15" customHeight="1" x14ac:dyDescent="0.25">
      <c r="A115" s="263" t="s">
        <v>765</v>
      </c>
    </row>
    <row r="116" spans="1:1" ht="15" customHeight="1" x14ac:dyDescent="0.25">
      <c r="A116" s="263" t="s">
        <v>751</v>
      </c>
    </row>
    <row r="117" spans="1:1" ht="15" customHeight="1" x14ac:dyDescent="0.25">
      <c r="A117" s="263"/>
    </row>
    <row r="118" spans="1:1" ht="15" customHeight="1" x14ac:dyDescent="0.25">
      <c r="A118" s="263" t="s">
        <v>766</v>
      </c>
    </row>
    <row r="119" spans="1:1" ht="15" customHeight="1" x14ac:dyDescent="0.25">
      <c r="A119" s="263" t="s">
        <v>767</v>
      </c>
    </row>
    <row r="120" spans="1:1" ht="15" customHeight="1" x14ac:dyDescent="0.25">
      <c r="A120" s="263" t="s">
        <v>768</v>
      </c>
    </row>
    <row r="121" spans="1:1" ht="15" customHeight="1" x14ac:dyDescent="0.25">
      <c r="A121" s="263" t="s">
        <v>751</v>
      </c>
    </row>
    <row r="122" spans="1:1" ht="15" customHeight="1" x14ac:dyDescent="0.25">
      <c r="A122" s="132"/>
    </row>
    <row r="123" spans="1:1" ht="15" customHeight="1" x14ac:dyDescent="0.25">
      <c r="A123" s="132"/>
    </row>
    <row r="124" spans="1:1" ht="15" customHeight="1" x14ac:dyDescent="0.25">
      <c r="A124" s="132"/>
    </row>
    <row r="125" spans="1:1" ht="15" customHeight="1" x14ac:dyDescent="0.25">
      <c r="A125" s="132"/>
    </row>
    <row r="126" spans="1:1" ht="15" customHeight="1" x14ac:dyDescent="0.25">
      <c r="A126" s="132"/>
    </row>
    <row r="127" spans="1:1" ht="15" customHeight="1" x14ac:dyDescent="0.25">
      <c r="A127" s="132"/>
    </row>
    <row r="128" spans="1:1" ht="15" customHeight="1" x14ac:dyDescent="0.25">
      <c r="A128" s="132"/>
    </row>
    <row r="129" spans="1:1" ht="15" customHeight="1" x14ac:dyDescent="0.25">
      <c r="A129" s="132"/>
    </row>
    <row r="130" spans="1:1" ht="15" customHeight="1" x14ac:dyDescent="0.25">
      <c r="A130" s="132"/>
    </row>
    <row r="131" spans="1:1" ht="15" customHeight="1" x14ac:dyDescent="0.25">
      <c r="A131" s="132"/>
    </row>
    <row r="132" spans="1:1" ht="15" customHeight="1" x14ac:dyDescent="0.25">
      <c r="A132" s="132"/>
    </row>
    <row r="133" spans="1:1" ht="15" customHeight="1" x14ac:dyDescent="0.25">
      <c r="A133" s="132"/>
    </row>
    <row r="134" spans="1:1" ht="15" customHeight="1" x14ac:dyDescent="0.25">
      <c r="A134" s="132"/>
    </row>
    <row r="135" spans="1:1" ht="15" customHeight="1" x14ac:dyDescent="0.25">
      <c r="A135" s="132"/>
    </row>
    <row r="136" spans="1:1" ht="15" customHeight="1" x14ac:dyDescent="0.25">
      <c r="A136" s="132"/>
    </row>
    <row r="137" spans="1:1" ht="15" customHeight="1" x14ac:dyDescent="0.25">
      <c r="A137" s="132"/>
    </row>
    <row r="138" spans="1:1" ht="15" customHeight="1" x14ac:dyDescent="0.25">
      <c r="A138" s="132"/>
    </row>
    <row r="139" spans="1:1" ht="15" customHeight="1" x14ac:dyDescent="0.25">
      <c r="A139" s="132"/>
    </row>
    <row r="140" spans="1:1" ht="15" customHeight="1" x14ac:dyDescent="0.25">
      <c r="A140" s="132"/>
    </row>
    <row r="141" spans="1:1" ht="15" customHeight="1" x14ac:dyDescent="0.25">
      <c r="A141" s="132"/>
    </row>
    <row r="142" spans="1:1" ht="15" customHeight="1" x14ac:dyDescent="0.25">
      <c r="A142" s="132"/>
    </row>
    <row r="143" spans="1:1" ht="15" customHeight="1" x14ac:dyDescent="0.25">
      <c r="A143" s="132"/>
    </row>
    <row r="144" spans="1:1" ht="15" customHeight="1" x14ac:dyDescent="0.25">
      <c r="A144" s="132"/>
    </row>
    <row r="145" spans="1:1" ht="15" customHeight="1" x14ac:dyDescent="0.25">
      <c r="A145" s="132"/>
    </row>
    <row r="146" spans="1:1" ht="15" customHeight="1" x14ac:dyDescent="0.25">
      <c r="A146" s="132"/>
    </row>
    <row r="147" spans="1:1" ht="15" customHeight="1" x14ac:dyDescent="0.25">
      <c r="A147" s="132"/>
    </row>
    <row r="148" spans="1:1" ht="15" customHeight="1" x14ac:dyDescent="0.25">
      <c r="A148" s="132"/>
    </row>
    <row r="149" spans="1:1" ht="15" customHeight="1" x14ac:dyDescent="0.25">
      <c r="A149" s="132"/>
    </row>
    <row r="150" spans="1:1" ht="15" customHeight="1" x14ac:dyDescent="0.25">
      <c r="A150" s="132"/>
    </row>
    <row r="151" spans="1:1" ht="15" customHeight="1" x14ac:dyDescent="0.25">
      <c r="A151" s="132"/>
    </row>
    <row r="152" spans="1:1" ht="15" customHeight="1" x14ac:dyDescent="0.25">
      <c r="A152" s="132"/>
    </row>
    <row r="153" spans="1:1" ht="15" customHeight="1" x14ac:dyDescent="0.25">
      <c r="A153" s="132"/>
    </row>
    <row r="154" spans="1:1" ht="15" customHeight="1" x14ac:dyDescent="0.25">
      <c r="A154" s="131"/>
    </row>
    <row r="155" spans="1:1" ht="15" customHeight="1" x14ac:dyDescent="0.25">
      <c r="A155" s="131"/>
    </row>
    <row r="156" spans="1:1" ht="15" customHeight="1" x14ac:dyDescent="0.25">
      <c r="A156" s="131"/>
    </row>
    <row r="157" spans="1:1" ht="15" customHeight="1" x14ac:dyDescent="0.25">
      <c r="A157" s="131"/>
    </row>
    <row r="158" spans="1:1" ht="15" customHeight="1" x14ac:dyDescent="0.25">
      <c r="A158" s="131"/>
    </row>
    <row r="159" spans="1:1" ht="15" customHeight="1" x14ac:dyDescent="0.25">
      <c r="A159" s="131"/>
    </row>
    <row r="160" spans="1:1" ht="15" customHeight="1" x14ac:dyDescent="0.25">
      <c r="A160" s="131"/>
    </row>
    <row r="161" spans="1:1" ht="15" customHeight="1" x14ac:dyDescent="0.25">
      <c r="A161" s="131"/>
    </row>
    <row r="162" spans="1:1" ht="15" customHeight="1" x14ac:dyDescent="0.25">
      <c r="A162" s="131"/>
    </row>
    <row r="163" spans="1:1" ht="15" customHeight="1" x14ac:dyDescent="0.25">
      <c r="A163" s="131"/>
    </row>
    <row r="164" spans="1:1" ht="15" customHeight="1" x14ac:dyDescent="0.25">
      <c r="A164" s="131"/>
    </row>
    <row r="165" spans="1:1" ht="15" customHeight="1" x14ac:dyDescent="0.25">
      <c r="A165" s="131"/>
    </row>
    <row r="166" spans="1:1" ht="15" customHeight="1" x14ac:dyDescent="0.25">
      <c r="A166" s="131"/>
    </row>
    <row r="167" spans="1:1" ht="15" customHeight="1" x14ac:dyDescent="0.25">
      <c r="A167" s="131"/>
    </row>
    <row r="168" spans="1:1" ht="15" customHeight="1" x14ac:dyDescent="0.25">
      <c r="A168" s="131"/>
    </row>
    <row r="169" spans="1:1" ht="15" customHeight="1" x14ac:dyDescent="0.25">
      <c r="A169" s="131"/>
    </row>
    <row r="170" spans="1:1" ht="15" customHeight="1" x14ac:dyDescent="0.25">
      <c r="A170" s="131"/>
    </row>
    <row r="171" spans="1:1" ht="15" customHeight="1" x14ac:dyDescent="0.25">
      <c r="A171" s="131"/>
    </row>
    <row r="172" spans="1:1" ht="15" customHeight="1" x14ac:dyDescent="0.25">
      <c r="A172" s="131"/>
    </row>
    <row r="173" spans="1:1" ht="15" customHeight="1" x14ac:dyDescent="0.25">
      <c r="A173" s="131"/>
    </row>
    <row r="174" spans="1:1" ht="15" customHeight="1" x14ac:dyDescent="0.25">
      <c r="A174" s="131"/>
    </row>
    <row r="175" spans="1:1" ht="15" customHeight="1" x14ac:dyDescent="0.25">
      <c r="A175" s="131"/>
    </row>
    <row r="176" spans="1:1" ht="15" customHeight="1" x14ac:dyDescent="0.25">
      <c r="A176" s="131"/>
    </row>
    <row r="177" spans="1:1" ht="15" customHeight="1" x14ac:dyDescent="0.25">
      <c r="A177" s="131"/>
    </row>
    <row r="178" spans="1:1" ht="15" customHeight="1" x14ac:dyDescent="0.25">
      <c r="A178" s="131"/>
    </row>
    <row r="179" spans="1:1" ht="15" customHeight="1" x14ac:dyDescent="0.25">
      <c r="A179" s="131"/>
    </row>
    <row r="180" spans="1:1" ht="15" customHeight="1" x14ac:dyDescent="0.25">
      <c r="A180" s="131"/>
    </row>
    <row r="181" spans="1:1" ht="15" customHeight="1" x14ac:dyDescent="0.25">
      <c r="A181" s="131"/>
    </row>
    <row r="182" spans="1:1" ht="15" customHeight="1" x14ac:dyDescent="0.25">
      <c r="A182" s="131"/>
    </row>
    <row r="183" spans="1:1" ht="15" customHeight="1" x14ac:dyDescent="0.25">
      <c r="A183" s="131"/>
    </row>
    <row r="184" spans="1:1" ht="15" customHeight="1" x14ac:dyDescent="0.25">
      <c r="A184" s="131"/>
    </row>
    <row r="185" spans="1:1" ht="15" customHeight="1" x14ac:dyDescent="0.25">
      <c r="A185" s="131"/>
    </row>
    <row r="186" spans="1:1" ht="15" customHeight="1" x14ac:dyDescent="0.25">
      <c r="A186" s="131"/>
    </row>
    <row r="187" spans="1:1" ht="15" customHeight="1" x14ac:dyDescent="0.25">
      <c r="A187" s="131"/>
    </row>
    <row r="188" spans="1:1" ht="15" customHeight="1" x14ac:dyDescent="0.25">
      <c r="A188" s="131"/>
    </row>
    <row r="189" spans="1:1" ht="15" customHeight="1" x14ac:dyDescent="0.25">
      <c r="A189" s="131"/>
    </row>
    <row r="190" spans="1:1" ht="15" customHeight="1" x14ac:dyDescent="0.25">
      <c r="A190" s="131"/>
    </row>
    <row r="191" spans="1:1" ht="15" customHeight="1" x14ac:dyDescent="0.25">
      <c r="A191" s="131"/>
    </row>
    <row r="192" spans="1:1" ht="15" customHeight="1" x14ac:dyDescent="0.25">
      <c r="A192" s="131"/>
    </row>
    <row r="193" spans="1:1" ht="15" customHeight="1" x14ac:dyDescent="0.25">
      <c r="A193" s="131"/>
    </row>
    <row r="194" spans="1:1" ht="15" customHeight="1" x14ac:dyDescent="0.25">
      <c r="A194" s="131"/>
    </row>
    <row r="195" spans="1:1" ht="15" customHeight="1" x14ac:dyDescent="0.25">
      <c r="A195" s="131"/>
    </row>
    <row r="196" spans="1:1" ht="15" customHeight="1" x14ac:dyDescent="0.25">
      <c r="A196" s="131"/>
    </row>
    <row r="197" spans="1:1" ht="15" customHeight="1" x14ac:dyDescent="0.25">
      <c r="A197" s="131"/>
    </row>
    <row r="198" spans="1:1" ht="15" customHeight="1" x14ac:dyDescent="0.25">
      <c r="A198" s="131"/>
    </row>
    <row r="199" spans="1:1" ht="15" customHeight="1" x14ac:dyDescent="0.25">
      <c r="A199" s="131"/>
    </row>
    <row r="200" spans="1:1" ht="15" customHeight="1" x14ac:dyDescent="0.25">
      <c r="A200" s="131"/>
    </row>
    <row r="201" spans="1:1" ht="15" customHeight="1" x14ac:dyDescent="0.25">
      <c r="A201" s="131"/>
    </row>
    <row r="202" spans="1:1" ht="15" customHeight="1" x14ac:dyDescent="0.25">
      <c r="A202" s="131"/>
    </row>
    <row r="203" spans="1:1" ht="15" customHeight="1" x14ac:dyDescent="0.25">
      <c r="A203" s="131"/>
    </row>
    <row r="204" spans="1:1" ht="15" customHeight="1" x14ac:dyDescent="0.25">
      <c r="A204" s="131"/>
    </row>
    <row r="205" spans="1:1" ht="15" customHeight="1" x14ac:dyDescent="0.25">
      <c r="A205" s="131"/>
    </row>
    <row r="206" spans="1:1" ht="15" customHeight="1" x14ac:dyDescent="0.25">
      <c r="A206" s="131"/>
    </row>
    <row r="207" spans="1:1" ht="15" customHeight="1" x14ac:dyDescent="0.25">
      <c r="A207" s="131"/>
    </row>
    <row r="208" spans="1:1" ht="15" customHeight="1" x14ac:dyDescent="0.25">
      <c r="A208" s="131"/>
    </row>
    <row r="209" spans="1:1" ht="15" customHeight="1" x14ac:dyDescent="0.25">
      <c r="A209" s="131"/>
    </row>
    <row r="210" spans="1:1" ht="15" customHeight="1" x14ac:dyDescent="0.25">
      <c r="A210" s="131"/>
    </row>
    <row r="211" spans="1:1" ht="15" customHeight="1" x14ac:dyDescent="0.25">
      <c r="A211" s="131"/>
    </row>
    <row r="212" spans="1:1" ht="15" customHeight="1" x14ac:dyDescent="0.25">
      <c r="A212" s="131"/>
    </row>
    <row r="213" spans="1:1" ht="15" customHeight="1" x14ac:dyDescent="0.25">
      <c r="A213" s="131"/>
    </row>
    <row r="214" spans="1:1" ht="15" customHeight="1" x14ac:dyDescent="0.25">
      <c r="A214" s="131"/>
    </row>
    <row r="215" spans="1:1" ht="15" customHeight="1" x14ac:dyDescent="0.25">
      <c r="A215" s="131"/>
    </row>
    <row r="216" spans="1:1" ht="15" customHeight="1" x14ac:dyDescent="0.25">
      <c r="A216" s="131"/>
    </row>
    <row r="217" spans="1:1" ht="15" customHeight="1" x14ac:dyDescent="0.25">
      <c r="A217" s="131"/>
    </row>
    <row r="218" spans="1:1" ht="15" customHeight="1" x14ac:dyDescent="0.25">
      <c r="A218" s="131"/>
    </row>
    <row r="219" spans="1:1" ht="15" customHeight="1" x14ac:dyDescent="0.25">
      <c r="A219" s="131"/>
    </row>
    <row r="220" spans="1:1" ht="15" customHeight="1" x14ac:dyDescent="0.25">
      <c r="A220" s="131"/>
    </row>
    <row r="221" spans="1:1" ht="15" customHeight="1" x14ac:dyDescent="0.25">
      <c r="A221" s="131"/>
    </row>
    <row r="222" spans="1:1" ht="15" customHeight="1" x14ac:dyDescent="0.25">
      <c r="A222" s="131"/>
    </row>
    <row r="223" spans="1:1" ht="15" customHeight="1" x14ac:dyDescent="0.25">
      <c r="A223" s="131"/>
    </row>
    <row r="224" spans="1:1" ht="15" customHeight="1" x14ac:dyDescent="0.25">
      <c r="A224" s="131"/>
    </row>
    <row r="225" spans="1:1" ht="15" customHeight="1" x14ac:dyDescent="0.25">
      <c r="A225" s="131"/>
    </row>
    <row r="226" spans="1:1" ht="15" customHeight="1" x14ac:dyDescent="0.25">
      <c r="A226" s="131"/>
    </row>
    <row r="227" spans="1:1" ht="15" customHeight="1" x14ac:dyDescent="0.25">
      <c r="A227" s="131"/>
    </row>
    <row r="228" spans="1:1" ht="15" customHeight="1" x14ac:dyDescent="0.25">
      <c r="A228" s="131"/>
    </row>
    <row r="229" spans="1:1" ht="15" customHeight="1" x14ac:dyDescent="0.25">
      <c r="A229" s="131"/>
    </row>
    <row r="230" spans="1:1" ht="15" customHeight="1" x14ac:dyDescent="0.25">
      <c r="A230" s="131"/>
    </row>
    <row r="231" spans="1:1" ht="15" customHeight="1" x14ac:dyDescent="0.25">
      <c r="A231" s="131"/>
    </row>
    <row r="232" spans="1:1" ht="15" customHeight="1" x14ac:dyDescent="0.25">
      <c r="A232" s="131"/>
    </row>
    <row r="233" spans="1:1" ht="15" customHeight="1" x14ac:dyDescent="0.25">
      <c r="A233" s="131"/>
    </row>
    <row r="234" spans="1:1" ht="15" customHeight="1" x14ac:dyDescent="0.25">
      <c r="A234" s="131"/>
    </row>
    <row r="235" spans="1:1" ht="15" customHeight="1" x14ac:dyDescent="0.25">
      <c r="A235" s="131"/>
    </row>
    <row r="236" spans="1:1" ht="15" customHeight="1" x14ac:dyDescent="0.25">
      <c r="A236" s="131"/>
    </row>
    <row r="237" spans="1:1" ht="15" customHeight="1" x14ac:dyDescent="0.25">
      <c r="A237" s="131"/>
    </row>
    <row r="238" spans="1:1" ht="15" customHeight="1" x14ac:dyDescent="0.25">
      <c r="A238" s="131"/>
    </row>
    <row r="239" spans="1:1" ht="15" customHeight="1" x14ac:dyDescent="0.25">
      <c r="A239" s="131"/>
    </row>
    <row r="240" spans="1:1" ht="15" customHeight="1" x14ac:dyDescent="0.25">
      <c r="A240" s="131"/>
    </row>
    <row r="241" spans="1:1" ht="15" customHeight="1" x14ac:dyDescent="0.25">
      <c r="A241" s="131"/>
    </row>
    <row r="242" spans="1:1" ht="15" customHeight="1" x14ac:dyDescent="0.25">
      <c r="A242" s="131"/>
    </row>
    <row r="243" spans="1:1" ht="15" customHeight="1" x14ac:dyDescent="0.25">
      <c r="A243" s="131"/>
    </row>
    <row r="244" spans="1:1" ht="15" customHeight="1" x14ac:dyDescent="0.25">
      <c r="A244" s="131"/>
    </row>
    <row r="245" spans="1:1" ht="15" customHeight="1" x14ac:dyDescent="0.25">
      <c r="A245" s="131"/>
    </row>
    <row r="246" spans="1:1" ht="15" customHeight="1" x14ac:dyDescent="0.25">
      <c r="A246" s="131"/>
    </row>
    <row r="247" spans="1:1" ht="15" customHeight="1" x14ac:dyDescent="0.25">
      <c r="A247" s="131"/>
    </row>
    <row r="248" spans="1:1" ht="15" customHeight="1" x14ac:dyDescent="0.25">
      <c r="A248" s="131"/>
    </row>
    <row r="249" spans="1:1" ht="15" customHeight="1" x14ac:dyDescent="0.25">
      <c r="A249" s="131"/>
    </row>
    <row r="250" spans="1:1" ht="15" customHeight="1" x14ac:dyDescent="0.25">
      <c r="A250" s="131"/>
    </row>
    <row r="251" spans="1:1" ht="15" customHeight="1" x14ac:dyDescent="0.25">
      <c r="A251" s="131"/>
    </row>
    <row r="252" spans="1:1" ht="15" customHeight="1" x14ac:dyDescent="0.25">
      <c r="A252" s="131"/>
    </row>
    <row r="253" spans="1:1" ht="15" customHeight="1" x14ac:dyDescent="0.25">
      <c r="A253" s="131"/>
    </row>
    <row r="254" spans="1:1" ht="15" customHeight="1" x14ac:dyDescent="0.25">
      <c r="A254" s="131"/>
    </row>
    <row r="255" spans="1:1" ht="15" customHeight="1" x14ac:dyDescent="0.25">
      <c r="A255" s="131"/>
    </row>
    <row r="256" spans="1:1" ht="15" customHeight="1" x14ac:dyDescent="0.25">
      <c r="A256" s="131"/>
    </row>
    <row r="257" spans="1:1" ht="15" customHeight="1" x14ac:dyDescent="0.25">
      <c r="A257" s="131"/>
    </row>
    <row r="258" spans="1:1" ht="15" customHeight="1" x14ac:dyDescent="0.25">
      <c r="A258" s="131"/>
    </row>
    <row r="259" spans="1:1" ht="15" customHeight="1" x14ac:dyDescent="0.25">
      <c r="A259" s="131"/>
    </row>
    <row r="260" spans="1:1" ht="15" customHeight="1" x14ac:dyDescent="0.25">
      <c r="A260" s="131"/>
    </row>
    <row r="261" spans="1:1" ht="15" customHeight="1" x14ac:dyDescent="0.25">
      <c r="A261" s="131"/>
    </row>
    <row r="262" spans="1:1" ht="15" customHeight="1" x14ac:dyDescent="0.25">
      <c r="A262" s="131"/>
    </row>
    <row r="263" spans="1:1" ht="15" customHeight="1" x14ac:dyDescent="0.25">
      <c r="A263" s="131"/>
    </row>
    <row r="264" spans="1:1" ht="15" customHeight="1" x14ac:dyDescent="0.25">
      <c r="A264" s="131"/>
    </row>
    <row r="265" spans="1:1" ht="15" customHeight="1" x14ac:dyDescent="0.25">
      <c r="A265" s="131"/>
    </row>
    <row r="266" spans="1:1" ht="15" customHeight="1" x14ac:dyDescent="0.25">
      <c r="A266" s="131"/>
    </row>
    <row r="267" spans="1:1" ht="15" customHeight="1" x14ac:dyDescent="0.25">
      <c r="A267" s="131"/>
    </row>
    <row r="268" spans="1:1" ht="15" customHeight="1" x14ac:dyDescent="0.25">
      <c r="A268" s="131"/>
    </row>
    <row r="269" spans="1:1" ht="15" customHeight="1" x14ac:dyDescent="0.25">
      <c r="A269" s="131"/>
    </row>
    <row r="270" spans="1:1" ht="15" customHeight="1" x14ac:dyDescent="0.25">
      <c r="A270" s="131"/>
    </row>
    <row r="271" spans="1:1" ht="15" customHeight="1" x14ac:dyDescent="0.25">
      <c r="A271" s="131"/>
    </row>
    <row r="272" spans="1:1" ht="15" customHeight="1" x14ac:dyDescent="0.25">
      <c r="A272" s="131"/>
    </row>
    <row r="273" spans="1:1" ht="15" customHeight="1" x14ac:dyDescent="0.25">
      <c r="A273" s="131"/>
    </row>
    <row r="274" spans="1:1" ht="15" customHeight="1" x14ac:dyDescent="0.25">
      <c r="A274" s="131"/>
    </row>
    <row r="275" spans="1:1" ht="15" customHeight="1" x14ac:dyDescent="0.25">
      <c r="A275" s="131"/>
    </row>
    <row r="276" spans="1:1" ht="15" customHeight="1" x14ac:dyDescent="0.25">
      <c r="A276" s="131"/>
    </row>
    <row r="277" spans="1:1" ht="15" customHeight="1" x14ac:dyDescent="0.25">
      <c r="A277" s="131"/>
    </row>
    <row r="278" spans="1:1" ht="15" customHeight="1" x14ac:dyDescent="0.25">
      <c r="A278" s="131"/>
    </row>
    <row r="279" spans="1:1" ht="15" customHeight="1" x14ac:dyDescent="0.25">
      <c r="A279" s="131"/>
    </row>
    <row r="280" spans="1:1" ht="15" customHeight="1" x14ac:dyDescent="0.25">
      <c r="A280" s="131"/>
    </row>
    <row r="281" spans="1:1" ht="15" customHeight="1" x14ac:dyDescent="0.25">
      <c r="A281" s="131"/>
    </row>
    <row r="282" spans="1:1" ht="15" customHeight="1" x14ac:dyDescent="0.25">
      <c r="A282" s="131"/>
    </row>
    <row r="283" spans="1:1" ht="15" customHeight="1" x14ac:dyDescent="0.25">
      <c r="A283" s="131"/>
    </row>
    <row r="284" spans="1:1" ht="15" customHeight="1" x14ac:dyDescent="0.25">
      <c r="A284" s="131"/>
    </row>
    <row r="285" spans="1:1" ht="15" customHeight="1" x14ac:dyDescent="0.25">
      <c r="A285" s="131"/>
    </row>
    <row r="286" spans="1:1" ht="15" customHeight="1" x14ac:dyDescent="0.25">
      <c r="A286" s="131"/>
    </row>
    <row r="287" spans="1:1" ht="15" customHeight="1" x14ac:dyDescent="0.25">
      <c r="A287" s="131"/>
    </row>
    <row r="288" spans="1:1" ht="15" customHeight="1" x14ac:dyDescent="0.25">
      <c r="A288" s="131"/>
    </row>
    <row r="289" spans="1:1" ht="15" customHeight="1" x14ac:dyDescent="0.25">
      <c r="A289" s="131"/>
    </row>
    <row r="290" spans="1:1" ht="15" customHeight="1" x14ac:dyDescent="0.25">
      <c r="A290" s="131"/>
    </row>
    <row r="291" spans="1:1" ht="15" customHeight="1" x14ac:dyDescent="0.25">
      <c r="A291" s="131"/>
    </row>
    <row r="292" spans="1:1" ht="15" customHeight="1" x14ac:dyDescent="0.25">
      <c r="A292" s="131"/>
    </row>
    <row r="293" spans="1:1" ht="15" customHeight="1" x14ac:dyDescent="0.25">
      <c r="A293" s="131"/>
    </row>
    <row r="294" spans="1:1" ht="15" customHeight="1" x14ac:dyDescent="0.25">
      <c r="A294" s="131"/>
    </row>
    <row r="295" spans="1:1" ht="15" customHeight="1" x14ac:dyDescent="0.25">
      <c r="A295" s="131"/>
    </row>
    <row r="296" spans="1:1" ht="15" customHeight="1" x14ac:dyDescent="0.25">
      <c r="A296" s="131"/>
    </row>
    <row r="297" spans="1:1" ht="15" customHeight="1" x14ac:dyDescent="0.25">
      <c r="A297" s="131"/>
    </row>
    <row r="298" spans="1:1" ht="15" customHeight="1" x14ac:dyDescent="0.25">
      <c r="A298" s="131"/>
    </row>
    <row r="299" spans="1:1" ht="15" customHeight="1" x14ac:dyDescent="0.25">
      <c r="A299" s="131"/>
    </row>
    <row r="300" spans="1:1" ht="15" customHeight="1" x14ac:dyDescent="0.25">
      <c r="A300" s="131"/>
    </row>
    <row r="301" spans="1:1" ht="15" customHeight="1" x14ac:dyDescent="0.25">
      <c r="A301" s="131" t="s">
        <v>769</v>
      </c>
    </row>
    <row r="302" spans="1:1" ht="15" customHeight="1" x14ac:dyDescent="0.25">
      <c r="A302" s="131" t="s">
        <v>751</v>
      </c>
    </row>
    <row r="303" spans="1:1" ht="15" customHeight="1" x14ac:dyDescent="0.25">
      <c r="A303" s="131"/>
    </row>
    <row r="304" spans="1:1" ht="15" customHeight="1" x14ac:dyDescent="0.25">
      <c r="A304" s="131" t="s">
        <v>770</v>
      </c>
    </row>
    <row r="305" spans="1:1" ht="15" customHeight="1" x14ac:dyDescent="0.25">
      <c r="A305" s="131"/>
    </row>
    <row r="306" spans="1:1" ht="15" customHeight="1" x14ac:dyDescent="0.25">
      <c r="A306" s="131" t="s">
        <v>771</v>
      </c>
    </row>
    <row r="307" spans="1:1" ht="15" customHeight="1" x14ac:dyDescent="0.25">
      <c r="A307" s="131" t="s">
        <v>772</v>
      </c>
    </row>
    <row r="308" spans="1:1" ht="15" customHeight="1" x14ac:dyDescent="0.25">
      <c r="A308" s="131" t="s">
        <v>773</v>
      </c>
    </row>
    <row r="309" spans="1:1" ht="15" customHeight="1" x14ac:dyDescent="0.25">
      <c r="A309" s="131" t="s">
        <v>774</v>
      </c>
    </row>
    <row r="310" spans="1:1" ht="15" customHeight="1" x14ac:dyDescent="0.25">
      <c r="A310" s="131" t="s">
        <v>775</v>
      </c>
    </row>
    <row r="311" spans="1:1" ht="15" customHeight="1" x14ac:dyDescent="0.25">
      <c r="A311" s="131" t="s">
        <v>776</v>
      </c>
    </row>
    <row r="312" spans="1:1" ht="15" customHeight="1" x14ac:dyDescent="0.25">
      <c r="A312" s="131" t="s">
        <v>777</v>
      </c>
    </row>
    <row r="313" spans="1:1" ht="15" customHeight="1" x14ac:dyDescent="0.25">
      <c r="A313" s="131" t="s">
        <v>778</v>
      </c>
    </row>
    <row r="314" spans="1:1" ht="15" customHeight="1" x14ac:dyDescent="0.25">
      <c r="A314" s="131" t="s">
        <v>779</v>
      </c>
    </row>
    <row r="315" spans="1:1" ht="15" customHeight="1" x14ac:dyDescent="0.25">
      <c r="A315" s="131" t="s">
        <v>780</v>
      </c>
    </row>
    <row r="316" spans="1:1" ht="15" customHeight="1" x14ac:dyDescent="0.25">
      <c r="A316" s="131" t="s">
        <v>751</v>
      </c>
    </row>
    <row r="317" spans="1:1" ht="15" customHeight="1" x14ac:dyDescent="0.25">
      <c r="A317" s="131"/>
    </row>
    <row r="319" spans="1:1" ht="15" customHeight="1" x14ac:dyDescent="0.25">
      <c r="A319" t="s">
        <v>781</v>
      </c>
    </row>
    <row r="320" spans="1:1" ht="15" customHeight="1" x14ac:dyDescent="0.25">
      <c r="A320" t="s">
        <v>782</v>
      </c>
    </row>
    <row r="321" spans="1:1" ht="15" customHeight="1" x14ac:dyDescent="0.25">
      <c r="A321" t="s">
        <v>783</v>
      </c>
    </row>
    <row r="322" spans="1:1" ht="15" customHeight="1" x14ac:dyDescent="0.25">
      <c r="A322" t="s">
        <v>781</v>
      </c>
    </row>
    <row r="324" spans="1:1" ht="15" customHeight="1" x14ac:dyDescent="0.25">
      <c r="A324" t="s">
        <v>784</v>
      </c>
    </row>
    <row r="325" spans="1:1" ht="15" customHeight="1" x14ac:dyDescent="0.25">
      <c r="A325" t="s">
        <v>785</v>
      </c>
    </row>
    <row r="326" spans="1:1" ht="15" customHeight="1" x14ac:dyDescent="0.25">
      <c r="A326" t="s">
        <v>786</v>
      </c>
    </row>
    <row r="327" spans="1:1" ht="15" customHeight="1" x14ac:dyDescent="0.25">
      <c r="A327" t="s">
        <v>787</v>
      </c>
    </row>
    <row r="328" spans="1:1" ht="15" customHeight="1" x14ac:dyDescent="0.25">
      <c r="A328" t="s">
        <v>788</v>
      </c>
    </row>
    <row r="329" spans="1:1" ht="15" customHeight="1" x14ac:dyDescent="0.25">
      <c r="A329" t="s">
        <v>789</v>
      </c>
    </row>
    <row r="330" spans="1:1" ht="15" customHeight="1" x14ac:dyDescent="0.25">
      <c r="A330" t="s">
        <v>790</v>
      </c>
    </row>
    <row r="331" spans="1:1" ht="15" customHeight="1" x14ac:dyDescent="0.25">
      <c r="A331" t="s">
        <v>791</v>
      </c>
    </row>
    <row r="332" spans="1:1" ht="15" customHeight="1" x14ac:dyDescent="0.25">
      <c r="A332" t="s">
        <v>792</v>
      </c>
    </row>
    <row r="333" spans="1:1" ht="15" customHeight="1" x14ac:dyDescent="0.25">
      <c r="A333" t="s">
        <v>793</v>
      </c>
    </row>
    <row r="334" spans="1:1" ht="15" customHeight="1" x14ac:dyDescent="0.25">
      <c r="A334" t="s">
        <v>794</v>
      </c>
    </row>
    <row r="335" spans="1:1" ht="15" customHeight="1" x14ac:dyDescent="0.25">
      <c r="A335" t="s">
        <v>680</v>
      </c>
    </row>
    <row r="337" spans="1:1" ht="15" customHeight="1" x14ac:dyDescent="0.25">
      <c r="A337" t="s">
        <v>795</v>
      </c>
    </row>
    <row r="338" spans="1:1" ht="15" customHeight="1" x14ac:dyDescent="0.25">
      <c r="A338" t="s">
        <v>787</v>
      </c>
    </row>
    <row r="339" spans="1:1" ht="15" customHeight="1" x14ac:dyDescent="0.25">
      <c r="A339" t="s">
        <v>788</v>
      </c>
    </row>
    <row r="340" spans="1:1" ht="15" customHeight="1" x14ac:dyDescent="0.25">
      <c r="A340" t="s">
        <v>796</v>
      </c>
    </row>
    <row r="341" spans="1:1" ht="15" customHeight="1" x14ac:dyDescent="0.25">
      <c r="A341" t="s">
        <v>790</v>
      </c>
    </row>
    <row r="342" spans="1:1" ht="15" customHeight="1" x14ac:dyDescent="0.25">
      <c r="A342" t="s">
        <v>791</v>
      </c>
    </row>
    <row r="343" spans="1:1" ht="15" customHeight="1" x14ac:dyDescent="0.25">
      <c r="A343" t="s">
        <v>797</v>
      </c>
    </row>
    <row r="344" spans="1:1" ht="15" customHeight="1" x14ac:dyDescent="0.25">
      <c r="A344" t="s">
        <v>793</v>
      </c>
    </row>
    <row r="345" spans="1:1" ht="15" customHeight="1" x14ac:dyDescent="0.25">
      <c r="A345" t="s">
        <v>798</v>
      </c>
    </row>
    <row r="346" spans="1:1" ht="15" customHeight="1" x14ac:dyDescent="0.25">
      <c r="A346" t="s">
        <v>680</v>
      </c>
    </row>
    <row r="348" spans="1:1" ht="15" customHeight="1" x14ac:dyDescent="0.25">
      <c r="A348" t="s">
        <v>799</v>
      </c>
    </row>
    <row r="349" spans="1:1" ht="15" customHeight="1" x14ac:dyDescent="0.25">
      <c r="A349" t="s">
        <v>800</v>
      </c>
    </row>
    <row r="350" spans="1:1" ht="15" customHeight="1" x14ac:dyDescent="0.25">
      <c r="A350" t="s">
        <v>801</v>
      </c>
    </row>
    <row r="351" spans="1:1" ht="15" customHeight="1" x14ac:dyDescent="0.25">
      <c r="A351" t="s">
        <v>802</v>
      </c>
    </row>
    <row r="352" spans="1:1" ht="15" customHeight="1" x14ac:dyDescent="0.25">
      <c r="A352" t="s">
        <v>787</v>
      </c>
    </row>
    <row r="353" spans="1:1" ht="15" customHeight="1" x14ac:dyDescent="0.25">
      <c r="A353" t="s">
        <v>788</v>
      </c>
    </row>
    <row r="354" spans="1:1" ht="15" customHeight="1" x14ac:dyDescent="0.25">
      <c r="A354" t="s">
        <v>789</v>
      </c>
    </row>
    <row r="356" spans="1:1" ht="15" customHeight="1" x14ac:dyDescent="0.25">
      <c r="A356" t="s">
        <v>803</v>
      </c>
    </row>
    <row r="357" spans="1:1" ht="15" customHeight="1" x14ac:dyDescent="0.25">
      <c r="A357" t="s">
        <v>804</v>
      </c>
    </row>
    <row r="358" spans="1:1" ht="15" customHeight="1" x14ac:dyDescent="0.25">
      <c r="A358" t="s">
        <v>805</v>
      </c>
    </row>
    <row r="359" spans="1:1" ht="15" customHeight="1" x14ac:dyDescent="0.25">
      <c r="A359" t="s">
        <v>806</v>
      </c>
    </row>
    <row r="360" spans="1:1" ht="15" customHeight="1" x14ac:dyDescent="0.25">
      <c r="A360" t="s">
        <v>807</v>
      </c>
    </row>
    <row r="361" spans="1:1" ht="15" customHeight="1" x14ac:dyDescent="0.25">
      <c r="A361" t="s">
        <v>808</v>
      </c>
    </row>
    <row r="362" spans="1:1" ht="15" customHeight="1" x14ac:dyDescent="0.25">
      <c r="A362" t="s">
        <v>809</v>
      </c>
    </row>
    <row r="363" spans="1:1" ht="15" customHeight="1" x14ac:dyDescent="0.25">
      <c r="A363" t="s">
        <v>810</v>
      </c>
    </row>
    <row r="364" spans="1:1" ht="15" customHeight="1" x14ac:dyDescent="0.25">
      <c r="A364" t="s">
        <v>811</v>
      </c>
    </row>
    <row r="366" spans="1:1" ht="15" customHeight="1" x14ac:dyDescent="0.25">
      <c r="A366" t="s">
        <v>812</v>
      </c>
    </row>
    <row r="367" spans="1:1" ht="15" customHeight="1" x14ac:dyDescent="0.25">
      <c r="A367" t="s">
        <v>813</v>
      </c>
    </row>
    <row r="368" spans="1:1" ht="15" customHeight="1" x14ac:dyDescent="0.25">
      <c r="A368" t="s">
        <v>814</v>
      </c>
    </row>
    <row r="369" spans="1:1" ht="15" customHeight="1" x14ac:dyDescent="0.25">
      <c r="A369" t="s">
        <v>815</v>
      </c>
    </row>
    <row r="371" spans="1:1" ht="15" customHeight="1" x14ac:dyDescent="0.25">
      <c r="A371" t="s">
        <v>790</v>
      </c>
    </row>
    <row r="372" spans="1:1" ht="15" customHeight="1" x14ac:dyDescent="0.25">
      <c r="A372" t="s">
        <v>816</v>
      </c>
    </row>
    <row r="373" spans="1:1" ht="15" customHeight="1" x14ac:dyDescent="0.25">
      <c r="A373" t="s">
        <v>817</v>
      </c>
    </row>
    <row r="375" spans="1:1" ht="15" customHeight="1" x14ac:dyDescent="0.25">
      <c r="A375" t="s">
        <v>818</v>
      </c>
    </row>
    <row r="376" spans="1:1" ht="15" customHeight="1" x14ac:dyDescent="0.25">
      <c r="A376" t="s">
        <v>819</v>
      </c>
    </row>
    <row r="377" spans="1:1" ht="15" customHeight="1" x14ac:dyDescent="0.25">
      <c r="A377" t="s">
        <v>820</v>
      </c>
    </row>
    <row r="378" spans="1:1" ht="15" customHeight="1" x14ac:dyDescent="0.25">
      <c r="A378" t="s">
        <v>821</v>
      </c>
    </row>
    <row r="380" spans="1:1" ht="15" customHeight="1" x14ac:dyDescent="0.25">
      <c r="A380" t="s">
        <v>822</v>
      </c>
    </row>
    <row r="381" spans="1:1" ht="15" customHeight="1" x14ac:dyDescent="0.25">
      <c r="A381" t="s">
        <v>823</v>
      </c>
    </row>
    <row r="382" spans="1:1" ht="15" customHeight="1" x14ac:dyDescent="0.25">
      <c r="A382" t="s">
        <v>824</v>
      </c>
    </row>
    <row r="383" spans="1:1" ht="15" customHeight="1" x14ac:dyDescent="0.25">
      <c r="A383" t="s">
        <v>825</v>
      </c>
    </row>
    <row r="384" spans="1:1" ht="15" customHeight="1" x14ac:dyDescent="0.25">
      <c r="A384" t="s">
        <v>826</v>
      </c>
    </row>
    <row r="385" spans="1:1" ht="15" customHeight="1" x14ac:dyDescent="0.25">
      <c r="A385" t="s">
        <v>827</v>
      </c>
    </row>
    <row r="386" spans="1:1" ht="15" customHeight="1" x14ac:dyDescent="0.25">
      <c r="A386" t="s">
        <v>828</v>
      </c>
    </row>
    <row r="387" spans="1:1" ht="15" customHeight="1" x14ac:dyDescent="0.25">
      <c r="A387" t="s">
        <v>829</v>
      </c>
    </row>
    <row r="388" spans="1:1" ht="15" customHeight="1" x14ac:dyDescent="0.25">
      <c r="A388" t="s">
        <v>830</v>
      </c>
    </row>
    <row r="389" spans="1:1" ht="15" customHeight="1" x14ac:dyDescent="0.25">
      <c r="A389" t="s">
        <v>831</v>
      </c>
    </row>
    <row r="390" spans="1:1" ht="15" customHeight="1" x14ac:dyDescent="0.25">
      <c r="A390" t="s">
        <v>832</v>
      </c>
    </row>
    <row r="392" spans="1:1" ht="15" customHeight="1" x14ac:dyDescent="0.25">
      <c r="A392" t="s">
        <v>833</v>
      </c>
    </row>
    <row r="393" spans="1:1" ht="15" customHeight="1" x14ac:dyDescent="0.25">
      <c r="A393" t="s">
        <v>834</v>
      </c>
    </row>
    <row r="394" spans="1:1" ht="15" customHeight="1" x14ac:dyDescent="0.25">
      <c r="A394" t="s">
        <v>835</v>
      </c>
    </row>
    <row r="395" spans="1:1" ht="15" customHeight="1" x14ac:dyDescent="0.25">
      <c r="A395" t="s">
        <v>836</v>
      </c>
    </row>
    <row r="396" spans="1:1" ht="15" customHeight="1" x14ac:dyDescent="0.25">
      <c r="A396" t="s">
        <v>837</v>
      </c>
    </row>
    <row r="397" spans="1:1" ht="15" customHeight="1" x14ac:dyDescent="0.25">
      <c r="A397" t="s">
        <v>677</v>
      </c>
    </row>
    <row r="399" spans="1:1" ht="15" customHeight="1" x14ac:dyDescent="0.25">
      <c r="A399" t="s">
        <v>838</v>
      </c>
    </row>
    <row r="400" spans="1:1" ht="15" customHeight="1" x14ac:dyDescent="0.25">
      <c r="A400" t="s">
        <v>839</v>
      </c>
    </row>
    <row r="401" spans="1:1" ht="15" customHeight="1" x14ac:dyDescent="0.25">
      <c r="A401" t="s">
        <v>840</v>
      </c>
    </row>
    <row r="402" spans="1:1" ht="15" customHeight="1" x14ac:dyDescent="0.25">
      <c r="A402" t="s">
        <v>841</v>
      </c>
    </row>
    <row r="403" spans="1:1" ht="15" customHeight="1" x14ac:dyDescent="0.25">
      <c r="A403" t="s">
        <v>842</v>
      </c>
    </row>
    <row r="404" spans="1:1" ht="15" customHeight="1" x14ac:dyDescent="0.25">
      <c r="A404" t="s">
        <v>840</v>
      </c>
    </row>
    <row r="405" spans="1:1" ht="15" customHeight="1" x14ac:dyDescent="0.25">
      <c r="A405" t="s">
        <v>677</v>
      </c>
    </row>
    <row r="407" spans="1:1" ht="15" customHeight="1" x14ac:dyDescent="0.25">
      <c r="A407" t="s">
        <v>843</v>
      </c>
    </row>
    <row r="408" spans="1:1" ht="15" customHeight="1" x14ac:dyDescent="0.25">
      <c r="A408" t="s">
        <v>844</v>
      </c>
    </row>
    <row r="409" spans="1:1" ht="15" customHeight="1" x14ac:dyDescent="0.25">
      <c r="A409" t="s">
        <v>845</v>
      </c>
    </row>
    <row r="410" spans="1:1" ht="15" customHeight="1" x14ac:dyDescent="0.25">
      <c r="A410" t="s">
        <v>846</v>
      </c>
    </row>
    <row r="411" spans="1:1" ht="15" customHeight="1" x14ac:dyDescent="0.25">
      <c r="A411" t="s">
        <v>847</v>
      </c>
    </row>
    <row r="412" spans="1:1" ht="15" customHeight="1" x14ac:dyDescent="0.25">
      <c r="A412" t="s">
        <v>848</v>
      </c>
    </row>
    <row r="413" spans="1:1" ht="15" customHeight="1" x14ac:dyDescent="0.25">
      <c r="A413" t="s">
        <v>849</v>
      </c>
    </row>
    <row r="414" spans="1:1" ht="15" customHeight="1" x14ac:dyDescent="0.25">
      <c r="A414" t="s">
        <v>850</v>
      </c>
    </row>
    <row r="415" spans="1:1" ht="15" customHeight="1" x14ac:dyDescent="0.25">
      <c r="A415" t="s">
        <v>851</v>
      </c>
    </row>
    <row r="416" spans="1:1" ht="15" customHeight="1" x14ac:dyDescent="0.25">
      <c r="A416" t="s">
        <v>852</v>
      </c>
    </row>
    <row r="417" spans="1:1" ht="15" customHeight="1" x14ac:dyDescent="0.25">
      <c r="A417" t="s">
        <v>853</v>
      </c>
    </row>
    <row r="418" spans="1:1" ht="15" customHeight="1" x14ac:dyDescent="0.25">
      <c r="A418" t="s">
        <v>854</v>
      </c>
    </row>
    <row r="419" spans="1:1" ht="15" customHeight="1" x14ac:dyDescent="0.25">
      <c r="A419" t="s">
        <v>855</v>
      </c>
    </row>
    <row r="420" spans="1:1" ht="15" customHeight="1" x14ac:dyDescent="0.25">
      <c r="A420" t="s">
        <v>856</v>
      </c>
    </row>
    <row r="421" spans="1:1" ht="15" customHeight="1" x14ac:dyDescent="0.25">
      <c r="A421" t="s">
        <v>857</v>
      </c>
    </row>
    <row r="422" spans="1:1" ht="15" customHeight="1" x14ac:dyDescent="0.25">
      <c r="A422" t="s">
        <v>858</v>
      </c>
    </row>
    <row r="424" spans="1:1" ht="15" customHeight="1" x14ac:dyDescent="0.25">
      <c r="A424" t="s">
        <v>859</v>
      </c>
    </row>
    <row r="425" spans="1:1" ht="15" customHeight="1" x14ac:dyDescent="0.25">
      <c r="A425" t="s">
        <v>860</v>
      </c>
    </row>
    <row r="427" spans="1:1" ht="15" customHeight="1" x14ac:dyDescent="0.25">
      <c r="A427" t="s">
        <v>861</v>
      </c>
    </row>
    <row r="428" spans="1:1" ht="15" customHeight="1" x14ac:dyDescent="0.25">
      <c r="A428" t="s">
        <v>862</v>
      </c>
    </row>
    <row r="429" spans="1:1" ht="15" customHeight="1" x14ac:dyDescent="0.25">
      <c r="A429" t="s">
        <v>863</v>
      </c>
    </row>
    <row r="431" spans="1:1" ht="15" customHeight="1" x14ac:dyDescent="0.25">
      <c r="A431" t="s">
        <v>864</v>
      </c>
    </row>
    <row r="432" spans="1:1" ht="15" customHeight="1" x14ac:dyDescent="0.25">
      <c r="A432" t="s">
        <v>865</v>
      </c>
    </row>
    <row r="433" spans="1:1" ht="15" customHeight="1" x14ac:dyDescent="0.25">
      <c r="A433" t="s">
        <v>866</v>
      </c>
    </row>
    <row r="434" spans="1:1" ht="15" customHeight="1" x14ac:dyDescent="0.25">
      <c r="A434" t="s">
        <v>867</v>
      </c>
    </row>
    <row r="435" spans="1:1" ht="15" customHeight="1" x14ac:dyDescent="0.25">
      <c r="A435" t="s">
        <v>868</v>
      </c>
    </row>
    <row r="436" spans="1:1" ht="15" customHeight="1" x14ac:dyDescent="0.25">
      <c r="A436" t="s">
        <v>751</v>
      </c>
    </row>
    <row r="438" spans="1:1" ht="15" customHeight="1" x14ac:dyDescent="0.25">
      <c r="A438" t="s">
        <v>869</v>
      </c>
    </row>
    <row r="439" spans="1:1" ht="15" customHeight="1" x14ac:dyDescent="0.25">
      <c r="A439" t="s">
        <v>870</v>
      </c>
    </row>
    <row r="440" spans="1:1" ht="15" customHeight="1" x14ac:dyDescent="0.25">
      <c r="A440" t="s">
        <v>871</v>
      </c>
    </row>
    <row r="441" spans="1:1" ht="15" customHeight="1" x14ac:dyDescent="0.25">
      <c r="A441" t="s">
        <v>872</v>
      </c>
    </row>
    <row r="442" spans="1:1" ht="15" customHeight="1" x14ac:dyDescent="0.25">
      <c r="A442" t="s">
        <v>873</v>
      </c>
    </row>
    <row r="444" spans="1:1" ht="15" customHeight="1" x14ac:dyDescent="0.25">
      <c r="A444" t="s">
        <v>874</v>
      </c>
    </row>
    <row r="445" spans="1:1" ht="15" customHeight="1" x14ac:dyDescent="0.25">
      <c r="A445" t="s">
        <v>875</v>
      </c>
    </row>
    <row r="446" spans="1:1" ht="15" customHeight="1" x14ac:dyDescent="0.25">
      <c r="A446" t="s">
        <v>876</v>
      </c>
    </row>
    <row r="447" spans="1:1" ht="15" customHeight="1" x14ac:dyDescent="0.25">
      <c r="A447" t="s">
        <v>877</v>
      </c>
    </row>
    <row r="448" spans="1:1" ht="15" customHeight="1" x14ac:dyDescent="0.25">
      <c r="A448" t="s">
        <v>878</v>
      </c>
    </row>
    <row r="449" spans="1:1" ht="15" customHeight="1" x14ac:dyDescent="0.25">
      <c r="A449" t="s">
        <v>879</v>
      </c>
    </row>
    <row r="450" spans="1:1" ht="15" customHeight="1" x14ac:dyDescent="0.25">
      <c r="A450" t="s">
        <v>880</v>
      </c>
    </row>
    <row r="452" spans="1:1" ht="15" customHeight="1" x14ac:dyDescent="0.25">
      <c r="A452" t="s">
        <v>881</v>
      </c>
    </row>
    <row r="453" spans="1:1" ht="15" customHeight="1" x14ac:dyDescent="0.25">
      <c r="A453" t="s">
        <v>882</v>
      </c>
    </row>
    <row r="454" spans="1:1" ht="15" customHeight="1" x14ac:dyDescent="0.25">
      <c r="A454" t="s">
        <v>883</v>
      </c>
    </row>
    <row r="455" spans="1:1" ht="15" customHeight="1" x14ac:dyDescent="0.25">
      <c r="A455" t="s">
        <v>677</v>
      </c>
    </row>
    <row r="456" spans="1:1" ht="15" customHeight="1" x14ac:dyDescent="0.25">
      <c r="A456" t="s">
        <v>884</v>
      </c>
    </row>
    <row r="457" spans="1:1" ht="15" customHeight="1" x14ac:dyDescent="0.25">
      <c r="A457" t="s">
        <v>885</v>
      </c>
    </row>
    <row r="458" spans="1:1" ht="15" customHeight="1" x14ac:dyDescent="0.25">
      <c r="A458" t="s">
        <v>677</v>
      </c>
    </row>
    <row r="460" spans="1:1" ht="15" customHeight="1" x14ac:dyDescent="0.25">
      <c r="A460" t="s">
        <v>886</v>
      </c>
    </row>
    <row r="461" spans="1:1" ht="15" customHeight="1" x14ac:dyDescent="0.25">
      <c r="A461" t="s">
        <v>789</v>
      </c>
    </row>
    <row r="462" spans="1:1" ht="15" customHeight="1" x14ac:dyDescent="0.25">
      <c r="A462" t="s">
        <v>887</v>
      </c>
    </row>
    <row r="463" spans="1:1" ht="15" customHeight="1" x14ac:dyDescent="0.25">
      <c r="A463" t="s">
        <v>888</v>
      </c>
    </row>
    <row r="464" spans="1:1" ht="15" customHeight="1" x14ac:dyDescent="0.25">
      <c r="A464" t="s">
        <v>889</v>
      </c>
    </row>
    <row r="465" spans="1:1" ht="15" customHeight="1" x14ac:dyDescent="0.25">
      <c r="A465" t="s">
        <v>890</v>
      </c>
    </row>
    <row r="466" spans="1:1" ht="15" customHeight="1" x14ac:dyDescent="0.25">
      <c r="A466" t="s">
        <v>891</v>
      </c>
    </row>
    <row r="467" spans="1:1" ht="15" customHeight="1" x14ac:dyDescent="0.25">
      <c r="A467" t="s">
        <v>837</v>
      </c>
    </row>
    <row r="468" spans="1:1" ht="15" customHeight="1" x14ac:dyDescent="0.25">
      <c r="A468" t="s">
        <v>677</v>
      </c>
    </row>
    <row r="470" spans="1:1" ht="15" customHeight="1" x14ac:dyDescent="0.25">
      <c r="A470" t="s">
        <v>892</v>
      </c>
    </row>
    <row r="471" spans="1:1" ht="15" customHeight="1" x14ac:dyDescent="0.25">
      <c r="A471" t="s">
        <v>893</v>
      </c>
    </row>
    <row r="472" spans="1:1" ht="15" customHeight="1" x14ac:dyDescent="0.25">
      <c r="A472" t="s">
        <v>894</v>
      </c>
    </row>
    <row r="474" spans="1:1" ht="15" customHeight="1" x14ac:dyDescent="0.25">
      <c r="A474" t="s">
        <v>895</v>
      </c>
    </row>
    <row r="475" spans="1:1" ht="15" customHeight="1" x14ac:dyDescent="0.25">
      <c r="A475" t="s">
        <v>896</v>
      </c>
    </row>
    <row r="477" spans="1:1" ht="15" customHeight="1" x14ac:dyDescent="0.25">
      <c r="A477" t="s">
        <v>897</v>
      </c>
    </row>
    <row r="478" spans="1:1" ht="15" customHeight="1" x14ac:dyDescent="0.25">
      <c r="A478" t="s">
        <v>898</v>
      </c>
    </row>
    <row r="479" spans="1:1" ht="15" customHeight="1" x14ac:dyDescent="0.25">
      <c r="A479" t="s">
        <v>899</v>
      </c>
    </row>
    <row r="480" spans="1:1" ht="15" customHeight="1" x14ac:dyDescent="0.25">
      <c r="A480" t="s">
        <v>900</v>
      </c>
    </row>
    <row r="481" spans="1:1" ht="15" customHeight="1" x14ac:dyDescent="0.25">
      <c r="A481" t="s">
        <v>901</v>
      </c>
    </row>
    <row r="482" spans="1:1" ht="15" customHeight="1" x14ac:dyDescent="0.25">
      <c r="A482" t="s">
        <v>902</v>
      </c>
    </row>
    <row r="483" spans="1:1" ht="15" customHeight="1" x14ac:dyDescent="0.25">
      <c r="A483" t="s">
        <v>903</v>
      </c>
    </row>
    <row r="484" spans="1:1" ht="15" customHeight="1" x14ac:dyDescent="0.25">
      <c r="A484" t="s">
        <v>904</v>
      </c>
    </row>
    <row r="485" spans="1:1" ht="15" customHeight="1" x14ac:dyDescent="0.25">
      <c r="A485" t="s">
        <v>905</v>
      </c>
    </row>
    <row r="486" spans="1:1" ht="15" customHeight="1" x14ac:dyDescent="0.25">
      <c r="A486" t="s">
        <v>906</v>
      </c>
    </row>
    <row r="487" spans="1:1" ht="15" customHeight="1" x14ac:dyDescent="0.25">
      <c r="A487" t="s">
        <v>907</v>
      </c>
    </row>
    <row r="488" spans="1:1" ht="15" customHeight="1" x14ac:dyDescent="0.25">
      <c r="A488" t="s">
        <v>908</v>
      </c>
    </row>
    <row r="489" spans="1:1" ht="15" customHeight="1" x14ac:dyDescent="0.25">
      <c r="A489" t="s">
        <v>909</v>
      </c>
    </row>
    <row r="490" spans="1:1" ht="15" customHeight="1" x14ac:dyDescent="0.25">
      <c r="A490" t="s">
        <v>910</v>
      </c>
    </row>
    <row r="491" spans="1:1" ht="15" customHeight="1" x14ac:dyDescent="0.25">
      <c r="A491" t="s">
        <v>911</v>
      </c>
    </row>
    <row r="492" spans="1:1" ht="15" customHeight="1" x14ac:dyDescent="0.25">
      <c r="A492" t="s">
        <v>912</v>
      </c>
    </row>
    <row r="494" spans="1:1" ht="15" customHeight="1" x14ac:dyDescent="0.25">
      <c r="A494" t="s">
        <v>913</v>
      </c>
    </row>
    <row r="495" spans="1:1" ht="15" customHeight="1" x14ac:dyDescent="0.25">
      <c r="A495" t="s">
        <v>914</v>
      </c>
    </row>
    <row r="496" spans="1:1" ht="15" customHeight="1" x14ac:dyDescent="0.25">
      <c r="A496" t="s">
        <v>915</v>
      </c>
    </row>
    <row r="498" spans="1:1" ht="15" customHeight="1" x14ac:dyDescent="0.25">
      <c r="A498" t="s">
        <v>916</v>
      </c>
    </row>
    <row r="499" spans="1:1" ht="15" customHeight="1" x14ac:dyDescent="0.25">
      <c r="A499" t="s">
        <v>917</v>
      </c>
    </row>
    <row r="500" spans="1:1" ht="15" customHeight="1" x14ac:dyDescent="0.25">
      <c r="A500" t="s">
        <v>918</v>
      </c>
    </row>
    <row r="501" spans="1:1" ht="15" customHeight="1" x14ac:dyDescent="0.25">
      <c r="A501" t="s">
        <v>919</v>
      </c>
    </row>
    <row r="502" spans="1:1" ht="15" customHeight="1" x14ac:dyDescent="0.25">
      <c r="A502" t="s">
        <v>920</v>
      </c>
    </row>
    <row r="503" spans="1:1" ht="15" customHeight="1" x14ac:dyDescent="0.25">
      <c r="A503" t="s">
        <v>921</v>
      </c>
    </row>
    <row r="504" spans="1:1" ht="15" customHeight="1" x14ac:dyDescent="0.25">
      <c r="A504" t="s">
        <v>922</v>
      </c>
    </row>
    <row r="506" spans="1:1" ht="15" customHeight="1" x14ac:dyDescent="0.25">
      <c r="A506" t="s">
        <v>923</v>
      </c>
    </row>
    <row r="507" spans="1:1" ht="15" customHeight="1" x14ac:dyDescent="0.25">
      <c r="A507" t="s">
        <v>924</v>
      </c>
    </row>
    <row r="508" spans="1:1" ht="15" customHeight="1" x14ac:dyDescent="0.25">
      <c r="A508" t="s">
        <v>925</v>
      </c>
    </row>
    <row r="509" spans="1:1" ht="15" customHeight="1" x14ac:dyDescent="0.25">
      <c r="A509" t="s">
        <v>926</v>
      </c>
    </row>
    <row r="510" spans="1:1" ht="15" customHeight="1" x14ac:dyDescent="0.25">
      <c r="A510" t="s">
        <v>751</v>
      </c>
    </row>
    <row r="512" spans="1:1" ht="15" customHeight="1" x14ac:dyDescent="0.25">
      <c r="A512" t="s">
        <v>927</v>
      </c>
    </row>
    <row r="513" spans="1:1" ht="15" customHeight="1" x14ac:dyDescent="0.25">
      <c r="A513" t="s">
        <v>928</v>
      </c>
    </row>
    <row r="514" spans="1:1" ht="15" customHeight="1" x14ac:dyDescent="0.25">
      <c r="A514" t="s">
        <v>929</v>
      </c>
    </row>
    <row r="515" spans="1:1" ht="15" customHeight="1" x14ac:dyDescent="0.25">
      <c r="A515" t="s">
        <v>930</v>
      </c>
    </row>
    <row r="516" spans="1:1" ht="15" customHeight="1" x14ac:dyDescent="0.25">
      <c r="A516" t="s">
        <v>931</v>
      </c>
    </row>
    <row r="517" spans="1:1" ht="15" customHeight="1" x14ac:dyDescent="0.25">
      <c r="A517" t="s">
        <v>932</v>
      </c>
    </row>
    <row r="518" spans="1:1" ht="15" customHeight="1" x14ac:dyDescent="0.25">
      <c r="A518" t="s">
        <v>933</v>
      </c>
    </row>
    <row r="519" spans="1:1" ht="15" customHeight="1" x14ac:dyDescent="0.25">
      <c r="A519" t="s">
        <v>934</v>
      </c>
    </row>
    <row r="520" spans="1:1" ht="15" customHeight="1" x14ac:dyDescent="0.25">
      <c r="A520" t="s">
        <v>935</v>
      </c>
    </row>
    <row r="521" spans="1:1" ht="15" customHeight="1" x14ac:dyDescent="0.25">
      <c r="A521" t="s">
        <v>936</v>
      </c>
    </row>
    <row r="522" spans="1:1" ht="15" customHeight="1" x14ac:dyDescent="0.25">
      <c r="A522" t="s">
        <v>937</v>
      </c>
    </row>
    <row r="523" spans="1:1" ht="15" customHeight="1" x14ac:dyDescent="0.25">
      <c r="A523" t="s">
        <v>938</v>
      </c>
    </row>
    <row r="524" spans="1:1" ht="15" customHeight="1" x14ac:dyDescent="0.25">
      <c r="A524" t="s">
        <v>939</v>
      </c>
    </row>
    <row r="525" spans="1:1" ht="15" customHeight="1" x14ac:dyDescent="0.25">
      <c r="A525" t="s">
        <v>809</v>
      </c>
    </row>
    <row r="526" spans="1:1" ht="15" customHeight="1" x14ac:dyDescent="0.25">
      <c r="A526" t="s">
        <v>841</v>
      </c>
    </row>
    <row r="527" spans="1:1" ht="15" customHeight="1" x14ac:dyDescent="0.25">
      <c r="A527" t="s">
        <v>940</v>
      </c>
    </row>
    <row r="528" spans="1:1" ht="15" customHeight="1" x14ac:dyDescent="0.25">
      <c r="A528" t="s">
        <v>941</v>
      </c>
    </row>
    <row r="529" spans="1:1" ht="15" customHeight="1" x14ac:dyDescent="0.25">
      <c r="A529" t="s">
        <v>942</v>
      </c>
    </row>
    <row r="530" spans="1:1" ht="15" customHeight="1" x14ac:dyDescent="0.25">
      <c r="A530" t="s">
        <v>943</v>
      </c>
    </row>
    <row r="531" spans="1:1" ht="15" customHeight="1" x14ac:dyDescent="0.25">
      <c r="A531" t="s">
        <v>677</v>
      </c>
    </row>
    <row r="532" spans="1:1" ht="15" customHeight="1" x14ac:dyDescent="0.25">
      <c r="A532" t="s">
        <v>680</v>
      </c>
    </row>
    <row r="534" spans="1:1" ht="15" customHeight="1" x14ac:dyDescent="0.25">
      <c r="A534" t="s">
        <v>944</v>
      </c>
    </row>
    <row r="535" spans="1:1" ht="15" customHeight="1" x14ac:dyDescent="0.25">
      <c r="A535" t="s">
        <v>945</v>
      </c>
    </row>
    <row r="536" spans="1:1" ht="15" customHeight="1" x14ac:dyDescent="0.25">
      <c r="A536" t="s">
        <v>946</v>
      </c>
    </row>
    <row r="537" spans="1:1" ht="15" customHeight="1" x14ac:dyDescent="0.25">
      <c r="A537" t="s">
        <v>947</v>
      </c>
    </row>
    <row r="538" spans="1:1" ht="15" customHeight="1" x14ac:dyDescent="0.25">
      <c r="A538" t="s">
        <v>948</v>
      </c>
    </row>
    <row r="539" spans="1:1" ht="15" customHeight="1" x14ac:dyDescent="0.25">
      <c r="A539" t="s">
        <v>949</v>
      </c>
    </row>
    <row r="540" spans="1:1" ht="15" customHeight="1" x14ac:dyDescent="0.25">
      <c r="A540" t="s">
        <v>950</v>
      </c>
    </row>
    <row r="541" spans="1:1" ht="15" customHeight="1" x14ac:dyDescent="0.25">
      <c r="A541" t="s">
        <v>951</v>
      </c>
    </row>
    <row r="543" spans="1:1" ht="15" customHeight="1" x14ac:dyDescent="0.25">
      <c r="A543" t="s">
        <v>952</v>
      </c>
    </row>
    <row r="544" spans="1:1" ht="15" customHeight="1" x14ac:dyDescent="0.25">
      <c r="A544" t="s">
        <v>953</v>
      </c>
    </row>
    <row r="545" spans="1:1" ht="15" customHeight="1" x14ac:dyDescent="0.25">
      <c r="A545" t="s">
        <v>802</v>
      </c>
    </row>
    <row r="546" spans="1:1" ht="15" customHeight="1" x14ac:dyDescent="0.25">
      <c r="A546" t="s">
        <v>787</v>
      </c>
    </row>
    <row r="547" spans="1:1" ht="15" customHeight="1" x14ac:dyDescent="0.25">
      <c r="A547" t="s">
        <v>954</v>
      </c>
    </row>
    <row r="548" spans="1:1" ht="15" customHeight="1" x14ac:dyDescent="0.25">
      <c r="A548" t="s">
        <v>955</v>
      </c>
    </row>
    <row r="550" spans="1:1" ht="15" customHeight="1" x14ac:dyDescent="0.25">
      <c r="A550" t="s">
        <v>956</v>
      </c>
    </row>
    <row r="551" spans="1:1" ht="15" customHeight="1" x14ac:dyDescent="0.25">
      <c r="A551" t="s">
        <v>957</v>
      </c>
    </row>
    <row r="552" spans="1:1" ht="15" customHeight="1" x14ac:dyDescent="0.25">
      <c r="A552" t="s">
        <v>958</v>
      </c>
    </row>
    <row r="554" spans="1:1" ht="15" customHeight="1" x14ac:dyDescent="0.25">
      <c r="A554" t="s">
        <v>959</v>
      </c>
    </row>
    <row r="555" spans="1:1" ht="15" customHeight="1" x14ac:dyDescent="0.25">
      <c r="A555" t="s">
        <v>960</v>
      </c>
    </row>
    <row r="556" spans="1:1" ht="15" customHeight="1" x14ac:dyDescent="0.25">
      <c r="A556" t="s">
        <v>961</v>
      </c>
    </row>
    <row r="557" spans="1:1" ht="15" customHeight="1" x14ac:dyDescent="0.25">
      <c r="A557" t="s">
        <v>962</v>
      </c>
    </row>
    <row r="558" spans="1:1" ht="15" customHeight="1" x14ac:dyDescent="0.25">
      <c r="A558" t="s">
        <v>963</v>
      </c>
    </row>
    <row r="559" spans="1:1" ht="15" customHeight="1" x14ac:dyDescent="0.25">
      <c r="A559" t="s">
        <v>841</v>
      </c>
    </row>
    <row r="560" spans="1:1" ht="15" customHeight="1" x14ac:dyDescent="0.25">
      <c r="A560" t="s">
        <v>964</v>
      </c>
    </row>
    <row r="561" spans="1:1" ht="15" customHeight="1" x14ac:dyDescent="0.25">
      <c r="A561" t="s">
        <v>965</v>
      </c>
    </row>
    <row r="562" spans="1:1" ht="15" customHeight="1" x14ac:dyDescent="0.25">
      <c r="A562" t="s">
        <v>966</v>
      </c>
    </row>
    <row r="563" spans="1:1" ht="15" customHeight="1" x14ac:dyDescent="0.25">
      <c r="A563" t="s">
        <v>967</v>
      </c>
    </row>
    <row r="564" spans="1:1" ht="15" customHeight="1" x14ac:dyDescent="0.25">
      <c r="A564" t="s">
        <v>968</v>
      </c>
    </row>
    <row r="565" spans="1:1" ht="15" customHeight="1" x14ac:dyDescent="0.25">
      <c r="A565" t="s">
        <v>935</v>
      </c>
    </row>
    <row r="566" spans="1:1" ht="15" customHeight="1" x14ac:dyDescent="0.25">
      <c r="A566" t="s">
        <v>969</v>
      </c>
    </row>
    <row r="567" spans="1:1" ht="15" customHeight="1" x14ac:dyDescent="0.25">
      <c r="A567" t="s">
        <v>970</v>
      </c>
    </row>
    <row r="568" spans="1:1" ht="15" customHeight="1" x14ac:dyDescent="0.25">
      <c r="A568" t="s">
        <v>971</v>
      </c>
    </row>
    <row r="569" spans="1:1" ht="15" customHeight="1" x14ac:dyDescent="0.25">
      <c r="A569" t="s">
        <v>809</v>
      </c>
    </row>
    <row r="570" spans="1:1" ht="15" customHeight="1" x14ac:dyDescent="0.25">
      <c r="A570" t="s">
        <v>677</v>
      </c>
    </row>
    <row r="572" spans="1:1" ht="15" customHeight="1" x14ac:dyDescent="0.25">
      <c r="A572" t="s">
        <v>972</v>
      </c>
    </row>
    <row r="573" spans="1:1" ht="15" customHeight="1" x14ac:dyDescent="0.25">
      <c r="A573" t="s">
        <v>973</v>
      </c>
    </row>
    <row r="574" spans="1:1" ht="15" customHeight="1" x14ac:dyDescent="0.25">
      <c r="A574" t="s">
        <v>974</v>
      </c>
    </row>
    <row r="575" spans="1:1" ht="15" customHeight="1" x14ac:dyDescent="0.25">
      <c r="A575" t="s">
        <v>975</v>
      </c>
    </row>
    <row r="576" spans="1:1" ht="15" customHeight="1" x14ac:dyDescent="0.25">
      <c r="A576" t="s">
        <v>976</v>
      </c>
    </row>
    <row r="577" spans="1:1" ht="15" customHeight="1" x14ac:dyDescent="0.25">
      <c r="A577" t="s">
        <v>977</v>
      </c>
    </row>
    <row r="578" spans="1:1" ht="15" customHeight="1" x14ac:dyDescent="0.25">
      <c r="A578" t="s">
        <v>978</v>
      </c>
    </row>
    <row r="579" spans="1:1" ht="15" customHeight="1" x14ac:dyDescent="0.25">
      <c r="A579" t="s">
        <v>979</v>
      </c>
    </row>
    <row r="581" spans="1:1" ht="15" customHeight="1" x14ac:dyDescent="0.25">
      <c r="A581" t="s">
        <v>980</v>
      </c>
    </row>
    <row r="582" spans="1:1" ht="15" customHeight="1" x14ac:dyDescent="0.25">
      <c r="A582" t="s">
        <v>981</v>
      </c>
    </row>
    <row r="583" spans="1:1" ht="15" customHeight="1" x14ac:dyDescent="0.25">
      <c r="A583" t="s">
        <v>982</v>
      </c>
    </row>
    <row r="584" spans="1:1" ht="15" customHeight="1" x14ac:dyDescent="0.25">
      <c r="A584" t="s">
        <v>983</v>
      </c>
    </row>
    <row r="585" spans="1:1" ht="15" customHeight="1" x14ac:dyDescent="0.25">
      <c r="A585" t="s">
        <v>984</v>
      </c>
    </row>
    <row r="586" spans="1:1" ht="15" customHeight="1" x14ac:dyDescent="0.25">
      <c r="A586" t="s">
        <v>985</v>
      </c>
    </row>
    <row r="587" spans="1:1" ht="15" customHeight="1" x14ac:dyDescent="0.25">
      <c r="A587" t="s">
        <v>986</v>
      </c>
    </row>
    <row r="588" spans="1:1" ht="15" customHeight="1" x14ac:dyDescent="0.25">
      <c r="A588" t="s">
        <v>987</v>
      </c>
    </row>
    <row r="589" spans="1:1" ht="15" customHeight="1" x14ac:dyDescent="0.25">
      <c r="A589" t="s">
        <v>988</v>
      </c>
    </row>
    <row r="590" spans="1:1" ht="15" customHeight="1" x14ac:dyDescent="0.25">
      <c r="A590" t="s">
        <v>989</v>
      </c>
    </row>
    <row r="592" spans="1:1" ht="15" customHeight="1" x14ac:dyDescent="0.25">
      <c r="A592" t="s">
        <v>990</v>
      </c>
    </row>
    <row r="593" spans="1:1" ht="15" customHeight="1" x14ac:dyDescent="0.25">
      <c r="A593" t="s">
        <v>991</v>
      </c>
    </row>
    <row r="594" spans="1:1" ht="15" customHeight="1" x14ac:dyDescent="0.25">
      <c r="A594" t="s">
        <v>992</v>
      </c>
    </row>
    <row r="595" spans="1:1" ht="15" customHeight="1" x14ac:dyDescent="0.25">
      <c r="A595" t="s">
        <v>993</v>
      </c>
    </row>
    <row r="596" spans="1:1" ht="15" customHeight="1" x14ac:dyDescent="0.25">
      <c r="A596" t="s">
        <v>994</v>
      </c>
    </row>
    <row r="597" spans="1:1" ht="15" customHeight="1" x14ac:dyDescent="0.25">
      <c r="A597" t="s">
        <v>995</v>
      </c>
    </row>
    <row r="598" spans="1:1" ht="15" customHeight="1" x14ac:dyDescent="0.25">
      <c r="A598" t="s">
        <v>677</v>
      </c>
    </row>
    <row r="599" spans="1:1" ht="15" customHeight="1" x14ac:dyDescent="0.25">
      <c r="A599" t="s">
        <v>996</v>
      </c>
    </row>
    <row r="601" spans="1:1" ht="15" customHeight="1" x14ac:dyDescent="0.25">
      <c r="A601" t="s">
        <v>997</v>
      </c>
    </row>
    <row r="602" spans="1:1" ht="15" customHeight="1" x14ac:dyDescent="0.25">
      <c r="A602" t="s">
        <v>998</v>
      </c>
    </row>
    <row r="603" spans="1:1" ht="15" customHeight="1" x14ac:dyDescent="0.25">
      <c r="A603" t="s">
        <v>999</v>
      </c>
    </row>
    <row r="604" spans="1:1" ht="15" customHeight="1" x14ac:dyDescent="0.25">
      <c r="A604" t="s">
        <v>1000</v>
      </c>
    </row>
    <row r="605" spans="1:1" ht="15" customHeight="1" x14ac:dyDescent="0.25">
      <c r="A605" t="s">
        <v>1001</v>
      </c>
    </row>
    <row r="607" spans="1:1" ht="15" customHeight="1" x14ac:dyDescent="0.25">
      <c r="A607" t="s">
        <v>1002</v>
      </c>
    </row>
    <row r="608" spans="1:1" ht="15" customHeight="1" x14ac:dyDescent="0.25">
      <c r="A608" t="s">
        <v>1003</v>
      </c>
    </row>
    <row r="609" spans="1:1" ht="15" customHeight="1" x14ac:dyDescent="0.25">
      <c r="A609" t="s">
        <v>1004</v>
      </c>
    </row>
    <row r="611" spans="1:1" ht="15" customHeight="1" x14ac:dyDescent="0.25">
      <c r="A611" t="s">
        <v>1005</v>
      </c>
    </row>
    <row r="612" spans="1:1" ht="15" customHeight="1" x14ac:dyDescent="0.25">
      <c r="A612" t="s">
        <v>1006</v>
      </c>
    </row>
    <row r="613" spans="1:1" ht="15" customHeight="1" x14ac:dyDescent="0.25">
      <c r="A613" t="s">
        <v>1007</v>
      </c>
    </row>
    <row r="614" spans="1:1" ht="15" customHeight="1" x14ac:dyDescent="0.25">
      <c r="A614" t="s">
        <v>1008</v>
      </c>
    </row>
    <row r="615" spans="1:1" ht="15" customHeight="1" x14ac:dyDescent="0.25">
      <c r="A615" t="s">
        <v>1009</v>
      </c>
    </row>
    <row r="616" spans="1:1" ht="15" customHeight="1" x14ac:dyDescent="0.25">
      <c r="A616" t="s">
        <v>1010</v>
      </c>
    </row>
    <row r="617" spans="1:1" ht="15" customHeight="1" x14ac:dyDescent="0.25">
      <c r="A617" t="s">
        <v>1011</v>
      </c>
    </row>
    <row r="618" spans="1:1" ht="15" customHeight="1" x14ac:dyDescent="0.25">
      <c r="A618" t="s">
        <v>1012</v>
      </c>
    </row>
    <row r="619" spans="1:1" ht="15" customHeight="1" x14ac:dyDescent="0.25">
      <c r="A619" t="s">
        <v>1013</v>
      </c>
    </row>
    <row r="620" spans="1:1" ht="15" customHeight="1" x14ac:dyDescent="0.25">
      <c r="A620" t="s">
        <v>1014</v>
      </c>
    </row>
    <row r="621" spans="1:1" ht="15" customHeight="1" x14ac:dyDescent="0.25">
      <c r="A621" t="s">
        <v>1015</v>
      </c>
    </row>
    <row r="622" spans="1:1" ht="15" customHeight="1" x14ac:dyDescent="0.25">
      <c r="A622" t="s">
        <v>1016</v>
      </c>
    </row>
    <row r="624" spans="1:1" ht="15" customHeight="1" x14ac:dyDescent="0.25">
      <c r="A624" t="s">
        <v>1017</v>
      </c>
    </row>
    <row r="625" spans="1:1" ht="15" customHeight="1" x14ac:dyDescent="0.25">
      <c r="A625" t="s">
        <v>1018</v>
      </c>
    </row>
    <row r="626" spans="1:1" ht="15" customHeight="1" x14ac:dyDescent="0.25">
      <c r="A626" t="s">
        <v>1019</v>
      </c>
    </row>
    <row r="627" spans="1:1" ht="15" customHeight="1" x14ac:dyDescent="0.25">
      <c r="A627" t="s">
        <v>1020</v>
      </c>
    </row>
    <row r="628" spans="1:1" ht="15" customHeight="1" x14ac:dyDescent="0.25">
      <c r="A628" t="s">
        <v>1021</v>
      </c>
    </row>
    <row r="629" spans="1:1" ht="15" customHeight="1" x14ac:dyDescent="0.25">
      <c r="A629" t="s">
        <v>1022</v>
      </c>
    </row>
    <row r="630" spans="1:1" ht="15" customHeight="1" x14ac:dyDescent="0.25">
      <c r="A630" t="s">
        <v>1023</v>
      </c>
    </row>
    <row r="631" spans="1:1" ht="15" customHeight="1" x14ac:dyDescent="0.25">
      <c r="A631" t="s">
        <v>1024</v>
      </c>
    </row>
    <row r="632" spans="1:1" ht="15" customHeight="1" x14ac:dyDescent="0.25">
      <c r="A632" t="s">
        <v>1025</v>
      </c>
    </row>
    <row r="633" spans="1:1" ht="15" customHeight="1" x14ac:dyDescent="0.25">
      <c r="A633" t="s">
        <v>1026</v>
      </c>
    </row>
    <row r="634" spans="1:1" ht="15" customHeight="1" x14ac:dyDescent="0.25">
      <c r="A634" t="s">
        <v>1027</v>
      </c>
    </row>
    <row r="635" spans="1:1" ht="15" customHeight="1" x14ac:dyDescent="0.25">
      <c r="A635" t="s">
        <v>1028</v>
      </c>
    </row>
    <row r="636" spans="1:1" ht="15" customHeight="1" x14ac:dyDescent="0.25">
      <c r="A636" t="s">
        <v>1029</v>
      </c>
    </row>
    <row r="637" spans="1:1" ht="15" customHeight="1" x14ac:dyDescent="0.25">
      <c r="A637" t="s">
        <v>1030</v>
      </c>
    </row>
    <row r="638" spans="1:1" ht="15" customHeight="1" x14ac:dyDescent="0.25">
      <c r="A638" t="s">
        <v>1031</v>
      </c>
    </row>
    <row r="639" spans="1:1" ht="15" customHeight="1" x14ac:dyDescent="0.25">
      <c r="A639" t="s">
        <v>1032</v>
      </c>
    </row>
    <row r="640" spans="1:1" ht="15" customHeight="1" x14ac:dyDescent="0.25">
      <c r="A640" t="s">
        <v>1033</v>
      </c>
    </row>
    <row r="641" spans="1:1" ht="15" customHeight="1" x14ac:dyDescent="0.25">
      <c r="A641" t="s">
        <v>1021</v>
      </c>
    </row>
    <row r="642" spans="1:1" ht="15" customHeight="1" x14ac:dyDescent="0.25">
      <c r="A642" t="s">
        <v>1034</v>
      </c>
    </row>
    <row r="643" spans="1:1" ht="15" customHeight="1" x14ac:dyDescent="0.25">
      <c r="A643" t="s">
        <v>1023</v>
      </c>
    </row>
    <row r="644" spans="1:1" ht="15" customHeight="1" x14ac:dyDescent="0.25">
      <c r="A644" t="s">
        <v>1024</v>
      </c>
    </row>
    <row r="645" spans="1:1" ht="15" customHeight="1" x14ac:dyDescent="0.25">
      <c r="A645" t="s">
        <v>1025</v>
      </c>
    </row>
    <row r="646" spans="1:1" ht="15" customHeight="1" x14ac:dyDescent="0.25">
      <c r="A646" t="s">
        <v>1035</v>
      </c>
    </row>
    <row r="647" spans="1:1" ht="15" customHeight="1" x14ac:dyDescent="0.25">
      <c r="A647" t="s">
        <v>1027</v>
      </c>
    </row>
    <row r="648" spans="1:1" ht="15" customHeight="1" x14ac:dyDescent="0.25">
      <c r="A648" t="s">
        <v>1036</v>
      </c>
    </row>
    <row r="649" spans="1:1" ht="15" customHeight="1" x14ac:dyDescent="0.25">
      <c r="A649" t="s">
        <v>1029</v>
      </c>
    </row>
    <row r="650" spans="1:1" ht="15" customHeight="1" x14ac:dyDescent="0.25">
      <c r="A650" t="s">
        <v>1037</v>
      </c>
    </row>
    <row r="651" spans="1:1" ht="15" customHeight="1" x14ac:dyDescent="0.25">
      <c r="A651" t="s">
        <v>1031</v>
      </c>
    </row>
    <row r="652" spans="1:1" ht="15" customHeight="1" x14ac:dyDescent="0.25">
      <c r="A652" t="s">
        <v>677</v>
      </c>
    </row>
    <row r="654" spans="1:1" ht="15" customHeight="1" x14ac:dyDescent="0.25">
      <c r="A654" t="s">
        <v>1038</v>
      </c>
    </row>
    <row r="655" spans="1:1" ht="15" customHeight="1" x14ac:dyDescent="0.25">
      <c r="A655" t="s">
        <v>1039</v>
      </c>
    </row>
    <row r="656" spans="1:1" ht="15" customHeight="1" x14ac:dyDescent="0.25">
      <c r="A656" t="s">
        <v>1040</v>
      </c>
    </row>
    <row r="657" spans="1:1" ht="15" customHeight="1" x14ac:dyDescent="0.25">
      <c r="A657" t="s">
        <v>1041</v>
      </c>
    </row>
    <row r="658" spans="1:1" ht="15" customHeight="1" x14ac:dyDescent="0.25">
      <c r="A658" t="s">
        <v>1042</v>
      </c>
    </row>
    <row r="659" spans="1:1" ht="15" customHeight="1" x14ac:dyDescent="0.25">
      <c r="A659" t="s">
        <v>1043</v>
      </c>
    </row>
    <row r="660" spans="1:1" ht="15" customHeight="1" x14ac:dyDescent="0.25">
      <c r="A660" t="s">
        <v>1044</v>
      </c>
    </row>
    <row r="661" spans="1:1" ht="15" customHeight="1" x14ac:dyDescent="0.25">
      <c r="A661" t="s">
        <v>1045</v>
      </c>
    </row>
    <row r="662" spans="1:1" ht="15" customHeight="1" x14ac:dyDescent="0.25">
      <c r="A662" t="s">
        <v>1046</v>
      </c>
    </row>
    <row r="663" spans="1:1" ht="15" customHeight="1" x14ac:dyDescent="0.25">
      <c r="A663" t="s">
        <v>1047</v>
      </c>
    </row>
    <row r="665" spans="1:1" ht="15" customHeight="1" x14ac:dyDescent="0.25">
      <c r="A665" t="s">
        <v>1048</v>
      </c>
    </row>
    <row r="666" spans="1:1" ht="15" customHeight="1" x14ac:dyDescent="0.25">
      <c r="A666" t="s">
        <v>1049</v>
      </c>
    </row>
    <row r="667" spans="1:1" ht="15" customHeight="1" x14ac:dyDescent="0.25">
      <c r="A667" t="s">
        <v>1050</v>
      </c>
    </row>
    <row r="668" spans="1:1" ht="15" customHeight="1" x14ac:dyDescent="0.25">
      <c r="A668" t="s">
        <v>1051</v>
      </c>
    </row>
    <row r="669" spans="1:1" ht="15" customHeight="1" x14ac:dyDescent="0.25">
      <c r="A669" t="s">
        <v>1052</v>
      </c>
    </row>
    <row r="670" spans="1:1" ht="15" customHeight="1" x14ac:dyDescent="0.25">
      <c r="A670" t="s">
        <v>1053</v>
      </c>
    </row>
    <row r="671" spans="1:1" ht="15" customHeight="1" x14ac:dyDescent="0.25">
      <c r="A671" t="s">
        <v>1054</v>
      </c>
    </row>
    <row r="672" spans="1:1" ht="15" customHeight="1" x14ac:dyDescent="0.25">
      <c r="A672" t="s">
        <v>1055</v>
      </c>
    </row>
    <row r="673" spans="1:1" ht="15" customHeight="1" x14ac:dyDescent="0.25">
      <c r="A673" t="s">
        <v>751</v>
      </c>
    </row>
    <row r="675" spans="1:1" ht="15" customHeight="1" x14ac:dyDescent="0.25">
      <c r="A675" t="s">
        <v>1056</v>
      </c>
    </row>
    <row r="676" spans="1:1" ht="15" customHeight="1" x14ac:dyDescent="0.25">
      <c r="A676" t="s">
        <v>1057</v>
      </c>
    </row>
    <row r="677" spans="1:1" ht="15" customHeight="1" x14ac:dyDescent="0.25">
      <c r="A677" t="s">
        <v>1058</v>
      </c>
    </row>
    <row r="678" spans="1:1" ht="15" customHeight="1" x14ac:dyDescent="0.25">
      <c r="A678" t="s">
        <v>1059</v>
      </c>
    </row>
    <row r="679" spans="1:1" ht="15" customHeight="1" x14ac:dyDescent="0.25">
      <c r="A679" t="s">
        <v>1060</v>
      </c>
    </row>
    <row r="680" spans="1:1" ht="15" customHeight="1" x14ac:dyDescent="0.25">
      <c r="A680" t="s">
        <v>1061</v>
      </c>
    </row>
    <row r="681" spans="1:1" ht="15" customHeight="1" x14ac:dyDescent="0.25">
      <c r="A681" t="s">
        <v>787</v>
      </c>
    </row>
    <row r="682" spans="1:1" ht="15" customHeight="1" x14ac:dyDescent="0.25">
      <c r="A682" t="s">
        <v>788</v>
      </c>
    </row>
    <row r="683" spans="1:1" ht="15" customHeight="1" x14ac:dyDescent="0.25">
      <c r="A683" t="s">
        <v>796</v>
      </c>
    </row>
    <row r="684" spans="1:1" ht="15" customHeight="1" x14ac:dyDescent="0.25">
      <c r="A684" t="s">
        <v>790</v>
      </c>
    </row>
    <row r="685" spans="1:1" ht="15" customHeight="1" x14ac:dyDescent="0.25">
      <c r="A685" t="s">
        <v>816</v>
      </c>
    </row>
    <row r="686" spans="1:1" ht="15" customHeight="1" x14ac:dyDescent="0.25">
      <c r="A686" t="s">
        <v>1062</v>
      </c>
    </row>
    <row r="687" spans="1:1" ht="15" customHeight="1" x14ac:dyDescent="0.25">
      <c r="A687" t="s">
        <v>1063</v>
      </c>
    </row>
    <row r="688" spans="1:1" ht="15" customHeight="1" x14ac:dyDescent="0.25">
      <c r="A688" t="s">
        <v>677</v>
      </c>
    </row>
    <row r="689" spans="1:1" ht="15" customHeight="1" x14ac:dyDescent="0.25">
      <c r="A689" t="s">
        <v>1064</v>
      </c>
    </row>
    <row r="690" spans="1:1" ht="15" customHeight="1" x14ac:dyDescent="0.25">
      <c r="A690" t="s">
        <v>793</v>
      </c>
    </row>
    <row r="691" spans="1:1" ht="15" customHeight="1" x14ac:dyDescent="0.25">
      <c r="A691" t="s">
        <v>819</v>
      </c>
    </row>
    <row r="692" spans="1:1" ht="15" customHeight="1" x14ac:dyDescent="0.25">
      <c r="A692" t="s">
        <v>1065</v>
      </c>
    </row>
    <row r="693" spans="1:1" ht="15" customHeight="1" x14ac:dyDescent="0.25">
      <c r="A693" t="s">
        <v>1066</v>
      </c>
    </row>
    <row r="694" spans="1:1" ht="15" customHeight="1" x14ac:dyDescent="0.25">
      <c r="A694" t="s">
        <v>1067</v>
      </c>
    </row>
    <row r="695" spans="1:1" ht="15" customHeight="1" x14ac:dyDescent="0.25">
      <c r="A695" t="s">
        <v>1068</v>
      </c>
    </row>
    <row r="696" spans="1:1" ht="15" customHeight="1" x14ac:dyDescent="0.25">
      <c r="A696" t="s">
        <v>1069</v>
      </c>
    </row>
    <row r="697" spans="1:1" ht="15" customHeight="1" x14ac:dyDescent="0.25">
      <c r="A697" t="s">
        <v>1070</v>
      </c>
    </row>
    <row r="698" spans="1:1" ht="15" customHeight="1" x14ac:dyDescent="0.25">
      <c r="A698" t="s">
        <v>1071</v>
      </c>
    </row>
    <row r="699" spans="1:1" ht="15" customHeight="1" x14ac:dyDescent="0.25">
      <c r="A699" t="s">
        <v>751</v>
      </c>
    </row>
    <row r="701" spans="1:1" ht="15" customHeight="1" x14ac:dyDescent="0.25">
      <c r="A701" t="s">
        <v>1072</v>
      </c>
    </row>
    <row r="702" spans="1:1" ht="15" customHeight="1" x14ac:dyDescent="0.25">
      <c r="A702" t="s">
        <v>1073</v>
      </c>
    </row>
    <row r="703" spans="1:1" ht="15" customHeight="1" x14ac:dyDescent="0.25">
      <c r="A703" t="s">
        <v>1074</v>
      </c>
    </row>
    <row r="704" spans="1:1" ht="15" customHeight="1" x14ac:dyDescent="0.25">
      <c r="A704" t="s">
        <v>1075</v>
      </c>
    </row>
    <row r="705" spans="1:1" ht="15" customHeight="1" x14ac:dyDescent="0.25">
      <c r="A705" t="s">
        <v>1076</v>
      </c>
    </row>
    <row r="706" spans="1:1" ht="15" customHeight="1" x14ac:dyDescent="0.25">
      <c r="A706" t="s">
        <v>1077</v>
      </c>
    </row>
    <row r="707" spans="1:1" ht="15" customHeight="1" x14ac:dyDescent="0.25">
      <c r="A707" t="s">
        <v>1078</v>
      </c>
    </row>
    <row r="708" spans="1:1" ht="15" customHeight="1" x14ac:dyDescent="0.25">
      <c r="A708" t="s">
        <v>781</v>
      </c>
    </row>
    <row r="711" spans="1:1" ht="15" customHeight="1" x14ac:dyDescent="0.25">
      <c r="A711" s="133" t="s">
        <v>1079</v>
      </c>
    </row>
    <row r="712" spans="1:1" ht="15" customHeight="1" x14ac:dyDescent="0.25">
      <c r="A712" s="134" t="s">
        <v>1080</v>
      </c>
    </row>
    <row r="713" spans="1:1" ht="15" customHeight="1" x14ac:dyDescent="0.25">
      <c r="A713" s="134" t="s">
        <v>1081</v>
      </c>
    </row>
    <row r="714" spans="1:1" ht="15" customHeight="1" x14ac:dyDescent="0.25">
      <c r="A714" s="134" t="s">
        <v>1082</v>
      </c>
    </row>
    <row r="715" spans="1:1" ht="15" customHeight="1" x14ac:dyDescent="0.25">
      <c r="A715" s="134" t="s">
        <v>1083</v>
      </c>
    </row>
    <row r="716" spans="1:1" ht="15" customHeight="1" x14ac:dyDescent="0.25">
      <c r="A716" s="134" t="s">
        <v>1084</v>
      </c>
    </row>
    <row r="717" spans="1:1" ht="15" customHeight="1" x14ac:dyDescent="0.25">
      <c r="A717" s="134" t="s">
        <v>1085</v>
      </c>
    </row>
    <row r="718" spans="1:1" ht="15" customHeight="1" x14ac:dyDescent="0.25">
      <c r="A718" s="134" t="s">
        <v>1081</v>
      </c>
    </row>
    <row r="719" spans="1:1" ht="15" customHeight="1" x14ac:dyDescent="0.25">
      <c r="A719" s="134"/>
    </row>
    <row r="720" spans="1:1" ht="15" customHeight="1" x14ac:dyDescent="0.25">
      <c r="A720" s="134" t="s">
        <v>1086</v>
      </c>
    </row>
    <row r="721" spans="1:1" ht="15" customHeight="1" x14ac:dyDescent="0.25">
      <c r="A721" s="134" t="s">
        <v>1087</v>
      </c>
    </row>
    <row r="722" spans="1:1" ht="15" customHeight="1" x14ac:dyDescent="0.25">
      <c r="A722" s="134" t="s">
        <v>1088</v>
      </c>
    </row>
    <row r="723" spans="1:1" ht="15" customHeight="1" x14ac:dyDescent="0.25">
      <c r="A723" s="134" t="s">
        <v>1089</v>
      </c>
    </row>
    <row r="724" spans="1:1" ht="15" customHeight="1" x14ac:dyDescent="0.25">
      <c r="A724" s="134" t="s">
        <v>1090</v>
      </c>
    </row>
    <row r="725" spans="1:1" ht="15" customHeight="1" x14ac:dyDescent="0.25">
      <c r="A725" s="134" t="s">
        <v>1091</v>
      </c>
    </row>
    <row r="726" spans="1:1" ht="15" customHeight="1" x14ac:dyDescent="0.25">
      <c r="A726" s="134"/>
    </row>
    <row r="727" spans="1:1" ht="15" customHeight="1" x14ac:dyDescent="0.25">
      <c r="A727" s="134" t="s">
        <v>684</v>
      </c>
    </row>
    <row r="728" spans="1:1" ht="15" customHeight="1" x14ac:dyDescent="0.25">
      <c r="A728" s="134"/>
    </row>
    <row r="729" spans="1:1" ht="15" customHeight="1" x14ac:dyDescent="0.25">
      <c r="A729" s="134" t="s">
        <v>1092</v>
      </c>
    </row>
    <row r="730" spans="1:1" ht="15" customHeight="1" x14ac:dyDescent="0.25">
      <c r="A730" s="134" t="s">
        <v>1093</v>
      </c>
    </row>
    <row r="731" spans="1:1" ht="15" customHeight="1" x14ac:dyDescent="0.25">
      <c r="A731" s="134" t="s">
        <v>1094</v>
      </c>
    </row>
    <row r="732" spans="1:1" ht="15" customHeight="1" x14ac:dyDescent="0.25">
      <c r="A732" s="134"/>
    </row>
    <row r="733" spans="1:1" ht="15" customHeight="1" x14ac:dyDescent="0.25">
      <c r="A733" s="134" t="s">
        <v>1095</v>
      </c>
    </row>
    <row r="734" spans="1:1" ht="15" customHeight="1" x14ac:dyDescent="0.25">
      <c r="A734" s="134" t="s">
        <v>1096</v>
      </c>
    </row>
    <row r="735" spans="1:1" ht="15" customHeight="1" x14ac:dyDescent="0.25">
      <c r="A735" s="134" t="s">
        <v>1097</v>
      </c>
    </row>
    <row r="736" spans="1:1" ht="15" customHeight="1" x14ac:dyDescent="0.25">
      <c r="A736" s="134"/>
    </row>
    <row r="737" spans="1:1" ht="15" customHeight="1" x14ac:dyDescent="0.25">
      <c r="A737" s="134" t="s">
        <v>1098</v>
      </c>
    </row>
    <row r="738" spans="1:1" ht="15" customHeight="1" x14ac:dyDescent="0.25">
      <c r="A738" s="134" t="s">
        <v>1099</v>
      </c>
    </row>
    <row r="739" spans="1:1" ht="15" customHeight="1" x14ac:dyDescent="0.25">
      <c r="A739" s="134" t="s">
        <v>1100</v>
      </c>
    </row>
    <row r="740" spans="1:1" ht="15" customHeight="1" x14ac:dyDescent="0.25">
      <c r="A740" s="134"/>
    </row>
    <row r="741" spans="1:1" ht="15" customHeight="1" x14ac:dyDescent="0.25">
      <c r="A741" s="134" t="s">
        <v>1101</v>
      </c>
    </row>
    <row r="742" spans="1:1" ht="15" customHeight="1" x14ac:dyDescent="0.25">
      <c r="A742" s="134" t="s">
        <v>1102</v>
      </c>
    </row>
    <row r="743" spans="1:1" ht="15" customHeight="1" x14ac:dyDescent="0.25">
      <c r="A743" s="134" t="s">
        <v>1103</v>
      </c>
    </row>
    <row r="744" spans="1:1" ht="15" customHeight="1" x14ac:dyDescent="0.25">
      <c r="A744" s="134" t="s">
        <v>1104</v>
      </c>
    </row>
    <row r="745" spans="1:1" ht="15" customHeight="1" x14ac:dyDescent="0.25">
      <c r="A745" s="134" t="s">
        <v>1105</v>
      </c>
    </row>
    <row r="746" spans="1:1" ht="15" customHeight="1" x14ac:dyDescent="0.25">
      <c r="A746" s="134" t="s">
        <v>1106</v>
      </c>
    </row>
    <row r="747" spans="1:1" ht="15" customHeight="1" x14ac:dyDescent="0.25">
      <c r="A747" s="134" t="s">
        <v>1107</v>
      </c>
    </row>
    <row r="748" spans="1:1" ht="15" customHeight="1" x14ac:dyDescent="0.25">
      <c r="A748" s="134" t="s">
        <v>809</v>
      </c>
    </row>
    <row r="749" spans="1:1" ht="15" customHeight="1" x14ac:dyDescent="0.25">
      <c r="A749" s="134" t="s">
        <v>1108</v>
      </c>
    </row>
    <row r="750" spans="1:1" ht="15" customHeight="1" x14ac:dyDescent="0.25">
      <c r="A750" s="134"/>
    </row>
    <row r="751" spans="1:1" ht="15" customHeight="1" x14ac:dyDescent="0.25">
      <c r="A751" s="134" t="s">
        <v>1109</v>
      </c>
    </row>
    <row r="752" spans="1:1" ht="15" customHeight="1" x14ac:dyDescent="0.25">
      <c r="A752" s="134" t="s">
        <v>1110</v>
      </c>
    </row>
    <row r="753" spans="1:1" ht="15" customHeight="1" x14ac:dyDescent="0.25">
      <c r="A753" s="134" t="s">
        <v>1111</v>
      </c>
    </row>
    <row r="754" spans="1:1" ht="15" customHeight="1" x14ac:dyDescent="0.25">
      <c r="A754" s="134" t="s">
        <v>1112</v>
      </c>
    </row>
    <row r="755" spans="1:1" ht="15" customHeight="1" x14ac:dyDescent="0.25">
      <c r="A755" s="134" t="s">
        <v>1113</v>
      </c>
    </row>
    <row r="756" spans="1:1" ht="15" customHeight="1" x14ac:dyDescent="0.25">
      <c r="A756" s="134" t="s">
        <v>1114</v>
      </c>
    </row>
    <row r="757" spans="1:1" ht="15" customHeight="1" x14ac:dyDescent="0.25">
      <c r="A757" s="134" t="s">
        <v>677</v>
      </c>
    </row>
    <row r="758" spans="1:1" ht="15" customHeight="1" x14ac:dyDescent="0.25">
      <c r="A758" s="134"/>
    </row>
    <row r="759" spans="1:1" ht="15" customHeight="1" x14ac:dyDescent="0.25">
      <c r="A759" s="134" t="s">
        <v>1115</v>
      </c>
    </row>
    <row r="760" spans="1:1" ht="15" customHeight="1" x14ac:dyDescent="0.25">
      <c r="A760" s="134" t="s">
        <v>1116</v>
      </c>
    </row>
    <row r="761" spans="1:1" ht="15" customHeight="1" x14ac:dyDescent="0.25">
      <c r="A761" s="134" t="s">
        <v>1117</v>
      </c>
    </row>
    <row r="762" spans="1:1" ht="15" customHeight="1" x14ac:dyDescent="0.25">
      <c r="A762" s="134" t="s">
        <v>1118</v>
      </c>
    </row>
    <row r="763" spans="1:1" ht="15" customHeight="1" x14ac:dyDescent="0.25">
      <c r="A763" s="134" t="s">
        <v>1119</v>
      </c>
    </row>
    <row r="764" spans="1:1" ht="15" customHeight="1" x14ac:dyDescent="0.25">
      <c r="A764" s="134" t="s">
        <v>1120</v>
      </c>
    </row>
    <row r="765" spans="1:1" ht="15" customHeight="1" x14ac:dyDescent="0.25">
      <c r="A765" s="134" t="s">
        <v>1121</v>
      </c>
    </row>
    <row r="766" spans="1:1" ht="15" customHeight="1" x14ac:dyDescent="0.25">
      <c r="A766" s="134" t="s">
        <v>1122</v>
      </c>
    </row>
    <row r="767" spans="1:1" ht="15" customHeight="1" x14ac:dyDescent="0.25">
      <c r="A767" s="134" t="s">
        <v>1123</v>
      </c>
    </row>
    <row r="768" spans="1:1" ht="15" customHeight="1" x14ac:dyDescent="0.25">
      <c r="A768" s="134" t="s">
        <v>1124</v>
      </c>
    </row>
    <row r="769" spans="1:1" ht="15" customHeight="1" x14ac:dyDescent="0.25">
      <c r="A769" s="134" t="s">
        <v>1125</v>
      </c>
    </row>
    <row r="770" spans="1:1" ht="15" customHeight="1" x14ac:dyDescent="0.25">
      <c r="A770" s="134" t="s">
        <v>1126</v>
      </c>
    </row>
    <row r="771" spans="1:1" ht="15" customHeight="1" x14ac:dyDescent="0.25">
      <c r="A771" s="134" t="s">
        <v>1127</v>
      </c>
    </row>
    <row r="772" spans="1:1" ht="15" customHeight="1" x14ac:dyDescent="0.25">
      <c r="A772" s="134" t="s">
        <v>1128</v>
      </c>
    </row>
    <row r="773" spans="1:1" ht="15" customHeight="1" x14ac:dyDescent="0.25">
      <c r="A773" s="134" t="s">
        <v>1129</v>
      </c>
    </row>
    <row r="774" spans="1:1" ht="15" customHeight="1" x14ac:dyDescent="0.25">
      <c r="A774" s="134" t="s">
        <v>1130</v>
      </c>
    </row>
    <row r="775" spans="1:1" ht="15" customHeight="1" x14ac:dyDescent="0.25">
      <c r="A775" s="134"/>
    </row>
    <row r="776" spans="1:1" ht="15" customHeight="1" x14ac:dyDescent="0.25">
      <c r="A776" s="134" t="s">
        <v>1131</v>
      </c>
    </row>
    <row r="777" spans="1:1" ht="15" customHeight="1" x14ac:dyDescent="0.25">
      <c r="A777" s="134" t="s">
        <v>1132</v>
      </c>
    </row>
    <row r="778" spans="1:1" ht="15" customHeight="1" x14ac:dyDescent="0.25">
      <c r="A778" s="134" t="s">
        <v>1133</v>
      </c>
    </row>
    <row r="779" spans="1:1" ht="15" customHeight="1" x14ac:dyDescent="0.25">
      <c r="A779" s="134"/>
    </row>
    <row r="780" spans="1:1" ht="15" customHeight="1" x14ac:dyDescent="0.25">
      <c r="A780" s="134" t="s">
        <v>1134</v>
      </c>
    </row>
    <row r="781" spans="1:1" ht="15" customHeight="1" x14ac:dyDescent="0.25">
      <c r="A781" s="134" t="s">
        <v>1135</v>
      </c>
    </row>
    <row r="782" spans="1:1" ht="15" customHeight="1" x14ac:dyDescent="0.25">
      <c r="A782" s="134" t="s">
        <v>1136</v>
      </c>
    </row>
    <row r="783" spans="1:1" ht="15" customHeight="1" x14ac:dyDescent="0.25">
      <c r="A783" s="134" t="s">
        <v>1137</v>
      </c>
    </row>
    <row r="784" spans="1:1" ht="15" customHeight="1" x14ac:dyDescent="0.25">
      <c r="A784" s="134" t="s">
        <v>1138</v>
      </c>
    </row>
    <row r="785" spans="1:1" ht="15" customHeight="1" x14ac:dyDescent="0.25">
      <c r="A785" s="134" t="s">
        <v>1139</v>
      </c>
    </row>
    <row r="786" spans="1:1" ht="15" customHeight="1" x14ac:dyDescent="0.25">
      <c r="A786" s="134" t="s">
        <v>1140</v>
      </c>
    </row>
    <row r="787" spans="1:1" ht="15" customHeight="1" x14ac:dyDescent="0.25">
      <c r="A787" s="134"/>
    </row>
    <row r="788" spans="1:1" ht="15" customHeight="1" x14ac:dyDescent="0.25">
      <c r="A788" s="134" t="s">
        <v>1141</v>
      </c>
    </row>
    <row r="789" spans="1:1" ht="15" customHeight="1" x14ac:dyDescent="0.25">
      <c r="A789" s="134" t="s">
        <v>1142</v>
      </c>
    </row>
    <row r="790" spans="1:1" ht="15" customHeight="1" x14ac:dyDescent="0.25">
      <c r="A790" s="134" t="s">
        <v>1143</v>
      </c>
    </row>
    <row r="791" spans="1:1" ht="15" customHeight="1" x14ac:dyDescent="0.25">
      <c r="A791" s="134" t="s">
        <v>1144</v>
      </c>
    </row>
    <row r="792" spans="1:1" ht="15" customHeight="1" x14ac:dyDescent="0.25">
      <c r="A792" s="134" t="s">
        <v>1145</v>
      </c>
    </row>
    <row r="793" spans="1:1" ht="15" customHeight="1" x14ac:dyDescent="0.25">
      <c r="A793" s="134" t="s">
        <v>1146</v>
      </c>
    </row>
    <row r="794" spans="1:1" ht="15" customHeight="1" x14ac:dyDescent="0.25">
      <c r="A794" s="134" t="s">
        <v>1147</v>
      </c>
    </row>
    <row r="795" spans="1:1" ht="15" customHeight="1" x14ac:dyDescent="0.25">
      <c r="A795" s="134" t="s">
        <v>1148</v>
      </c>
    </row>
    <row r="796" spans="1:1" ht="15" customHeight="1" x14ac:dyDescent="0.25">
      <c r="A796" s="134"/>
    </row>
    <row r="797" spans="1:1" ht="15" customHeight="1" x14ac:dyDescent="0.25">
      <c r="A797" s="134" t="s">
        <v>1149</v>
      </c>
    </row>
    <row r="798" spans="1:1" ht="15" customHeight="1" x14ac:dyDescent="0.25">
      <c r="A798" s="134" t="s">
        <v>772</v>
      </c>
    </row>
    <row r="799" spans="1:1" ht="15" customHeight="1" x14ac:dyDescent="0.25">
      <c r="A799" s="134" t="s">
        <v>1150</v>
      </c>
    </row>
    <row r="800" spans="1:1" ht="15" customHeight="1" x14ac:dyDescent="0.25">
      <c r="A800" s="134" t="s">
        <v>1151</v>
      </c>
    </row>
    <row r="801" spans="1:1" ht="15" customHeight="1" x14ac:dyDescent="0.25">
      <c r="A801" s="134" t="s">
        <v>731</v>
      </c>
    </row>
    <row r="802" spans="1:1" ht="15" customHeight="1" x14ac:dyDescent="0.25">
      <c r="A802" s="134" t="s">
        <v>732</v>
      </c>
    </row>
    <row r="803" spans="1:1" ht="15" customHeight="1" x14ac:dyDescent="0.25">
      <c r="A803" s="134" t="s">
        <v>1152</v>
      </c>
    </row>
    <row r="804" spans="1:1" ht="15" customHeight="1" x14ac:dyDescent="0.25">
      <c r="A804" s="134" t="s">
        <v>1153</v>
      </c>
    </row>
    <row r="805" spans="1:1" ht="15" customHeight="1" x14ac:dyDescent="0.25">
      <c r="A805" s="134" t="s">
        <v>1154</v>
      </c>
    </row>
    <row r="806" spans="1:1" ht="15" customHeight="1" x14ac:dyDescent="0.25">
      <c r="A806" s="134" t="s">
        <v>1155</v>
      </c>
    </row>
    <row r="807" spans="1:1" ht="15" customHeight="1" x14ac:dyDescent="0.25">
      <c r="A807" s="134" t="s">
        <v>1156</v>
      </c>
    </row>
    <row r="808" spans="1:1" ht="15" customHeight="1" x14ac:dyDescent="0.25">
      <c r="A808" s="134" t="s">
        <v>684</v>
      </c>
    </row>
    <row r="809" spans="1:1" ht="15" customHeight="1" x14ac:dyDescent="0.25">
      <c r="A809" s="134"/>
    </row>
    <row r="810" spans="1:1" ht="15" customHeight="1" x14ac:dyDescent="0.25">
      <c r="A810" s="134" t="s">
        <v>1157</v>
      </c>
    </row>
    <row r="811" spans="1:1" ht="15" customHeight="1" x14ac:dyDescent="0.25">
      <c r="A811" s="134" t="s">
        <v>1158</v>
      </c>
    </row>
    <row r="812" spans="1:1" ht="15" customHeight="1" x14ac:dyDescent="0.25">
      <c r="A812" s="134"/>
    </row>
    <row r="813" spans="1:1" ht="15" customHeight="1" x14ac:dyDescent="0.25">
      <c r="A813" s="134" t="s">
        <v>1159</v>
      </c>
    </row>
    <row r="814" spans="1:1" ht="15" customHeight="1" x14ac:dyDescent="0.25">
      <c r="A814" s="134" t="s">
        <v>748</v>
      </c>
    </row>
    <row r="815" spans="1:1" ht="15" customHeight="1" x14ac:dyDescent="0.25">
      <c r="A815" s="134"/>
    </row>
    <row r="816" spans="1:1" ht="15" customHeight="1" x14ac:dyDescent="0.25">
      <c r="A816" s="134" t="s">
        <v>749</v>
      </c>
    </row>
    <row r="817" spans="1:1" ht="15" customHeight="1" x14ac:dyDescent="0.25">
      <c r="A817" s="134" t="s">
        <v>1160</v>
      </c>
    </row>
    <row r="818" spans="1:1" ht="15" customHeight="1" x14ac:dyDescent="0.25">
      <c r="A818" s="134" t="s">
        <v>751</v>
      </c>
    </row>
    <row r="819" spans="1:1" x14ac:dyDescent="0.25">
      <c r="A819" t="s">
        <v>781</v>
      </c>
    </row>
    <row r="820" spans="1:1" x14ac:dyDescent="0.25">
      <c r="A820" t="s">
        <v>1161</v>
      </c>
    </row>
    <row r="821" spans="1:1" x14ac:dyDescent="0.25">
      <c r="A821" t="s">
        <v>1162</v>
      </c>
    </row>
    <row r="822" spans="1:1" x14ac:dyDescent="0.25">
      <c r="A822" t="s">
        <v>781</v>
      </c>
    </row>
    <row r="823" spans="1:1" x14ac:dyDescent="0.25">
      <c r="A823" t="s">
        <v>1163</v>
      </c>
    </row>
    <row r="824" spans="1:1" x14ac:dyDescent="0.25">
      <c r="A824" t="s">
        <v>1164</v>
      </c>
    </row>
    <row r="825" spans="1:1" x14ac:dyDescent="0.25">
      <c r="A825" t="s">
        <v>1165</v>
      </c>
    </row>
    <row r="826" spans="1:1" x14ac:dyDescent="0.25">
      <c r="A826" t="s">
        <v>1163</v>
      </c>
    </row>
    <row r="827" spans="1:1" x14ac:dyDescent="0.25">
      <c r="A827" t="s">
        <v>1166</v>
      </c>
    </row>
    <row r="828" spans="1:1" x14ac:dyDescent="0.25">
      <c r="A828" t="s">
        <v>1167</v>
      </c>
    </row>
    <row r="829" spans="1:1" x14ac:dyDescent="0.25">
      <c r="A829" t="s">
        <v>1168</v>
      </c>
    </row>
    <row r="830" spans="1:1" x14ac:dyDescent="0.25">
      <c r="A830" t="s">
        <v>1169</v>
      </c>
    </row>
    <row r="831" spans="1:1" x14ac:dyDescent="0.25">
      <c r="A831" t="s">
        <v>1170</v>
      </c>
    </row>
    <row r="832" spans="1:1" x14ac:dyDescent="0.25">
      <c r="A832" t="s">
        <v>1171</v>
      </c>
    </row>
    <row r="833" spans="1:1" x14ac:dyDescent="0.25">
      <c r="A833" t="s">
        <v>1172</v>
      </c>
    </row>
    <row r="834" spans="1:1" x14ac:dyDescent="0.25">
      <c r="A834" t="s">
        <v>1173</v>
      </c>
    </row>
    <row r="835" spans="1:1" x14ac:dyDescent="0.25">
      <c r="A835" t="s">
        <v>1163</v>
      </c>
    </row>
    <row r="836" spans="1:1" x14ac:dyDescent="0.25">
      <c r="A836" t="s">
        <v>1174</v>
      </c>
    </row>
    <row r="837" spans="1:1" x14ac:dyDescent="0.25">
      <c r="A837" t="s">
        <v>1175</v>
      </c>
    </row>
    <row r="838" spans="1:1" x14ac:dyDescent="0.25">
      <c r="A838" t="s">
        <v>1163</v>
      </c>
    </row>
    <row r="839" spans="1:1" x14ac:dyDescent="0.25">
      <c r="A839" t="s">
        <v>1176</v>
      </c>
    </row>
    <row r="840" spans="1:1" x14ac:dyDescent="0.25">
      <c r="A840" t="s">
        <v>1177</v>
      </c>
    </row>
    <row r="841" spans="1:1" x14ac:dyDescent="0.25">
      <c r="A841" t="s">
        <v>1178</v>
      </c>
    </row>
    <row r="842" spans="1:1" x14ac:dyDescent="0.25">
      <c r="A842" t="s">
        <v>1179</v>
      </c>
    </row>
    <row r="843" spans="1:1" x14ac:dyDescent="0.25">
      <c r="A843" t="s">
        <v>1180</v>
      </c>
    </row>
    <row r="844" spans="1:1" x14ac:dyDescent="0.25">
      <c r="A844" t="s">
        <v>1181</v>
      </c>
    </row>
    <row r="845" spans="1:1" x14ac:dyDescent="0.25">
      <c r="A845" t="s">
        <v>1182</v>
      </c>
    </row>
    <row r="846" spans="1:1" x14ac:dyDescent="0.25">
      <c r="A846" t="s">
        <v>1183</v>
      </c>
    </row>
    <row r="847" spans="1:1" x14ac:dyDescent="0.25">
      <c r="A847" t="s">
        <v>1184</v>
      </c>
    </row>
    <row r="848" spans="1:1" x14ac:dyDescent="0.25">
      <c r="A848" t="s">
        <v>1185</v>
      </c>
    </row>
    <row r="849" spans="1:1" x14ac:dyDescent="0.25">
      <c r="A849" t="s">
        <v>1186</v>
      </c>
    </row>
    <row r="850" spans="1:1" x14ac:dyDescent="0.25">
      <c r="A850" t="s">
        <v>1187</v>
      </c>
    </row>
    <row r="851" spans="1:1" x14ac:dyDescent="0.25">
      <c r="A851" t="s">
        <v>1173</v>
      </c>
    </row>
    <row r="852" spans="1:1" x14ac:dyDescent="0.25">
      <c r="A852" t="s">
        <v>1163</v>
      </c>
    </row>
    <row r="853" spans="1:1" x14ac:dyDescent="0.25">
      <c r="A853" t="s">
        <v>1188</v>
      </c>
    </row>
    <row r="854" spans="1:1" x14ac:dyDescent="0.25">
      <c r="A854" t="s">
        <v>1189</v>
      </c>
    </row>
    <row r="855" spans="1:1" x14ac:dyDescent="0.25">
      <c r="A855" t="s">
        <v>953</v>
      </c>
    </row>
    <row r="856" spans="1:1" x14ac:dyDescent="0.25">
      <c r="A856" t="s">
        <v>787</v>
      </c>
    </row>
    <row r="857" spans="1:1" x14ac:dyDescent="0.25">
      <c r="A857" t="s">
        <v>804</v>
      </c>
    </row>
    <row r="858" spans="1:1" x14ac:dyDescent="0.25">
      <c r="A858" t="s">
        <v>805</v>
      </c>
    </row>
    <row r="859" spans="1:1" x14ac:dyDescent="0.25">
      <c r="A859" t="s">
        <v>1190</v>
      </c>
    </row>
    <row r="860" spans="1:1" x14ac:dyDescent="0.25">
      <c r="A860" t="s">
        <v>1191</v>
      </c>
    </row>
    <row r="861" spans="1:1" x14ac:dyDescent="0.25">
      <c r="A861" t="s">
        <v>1192</v>
      </c>
    </row>
    <row r="862" spans="1:1" x14ac:dyDescent="0.25">
      <c r="A862" t="s">
        <v>1193</v>
      </c>
    </row>
    <row r="863" spans="1:1" x14ac:dyDescent="0.25">
      <c r="A863" t="s">
        <v>1194</v>
      </c>
    </row>
    <row r="864" spans="1:1" x14ac:dyDescent="0.25">
      <c r="A864" t="s">
        <v>1195</v>
      </c>
    </row>
    <row r="865" spans="1:1" x14ac:dyDescent="0.25">
      <c r="A865" t="s">
        <v>1196</v>
      </c>
    </row>
    <row r="866" spans="1:1" x14ac:dyDescent="0.25">
      <c r="A866" t="s">
        <v>1197</v>
      </c>
    </row>
    <row r="867" spans="1:1" x14ac:dyDescent="0.25">
      <c r="A867" t="s">
        <v>1198</v>
      </c>
    </row>
    <row r="868" spans="1:1" x14ac:dyDescent="0.25">
      <c r="A868" t="s">
        <v>1199</v>
      </c>
    </row>
    <row r="869" spans="1:1" x14ac:dyDescent="0.25">
      <c r="A869" t="s">
        <v>1200</v>
      </c>
    </row>
    <row r="870" spans="1:1" x14ac:dyDescent="0.25">
      <c r="A870" t="s">
        <v>1201</v>
      </c>
    </row>
    <row r="871" spans="1:1" x14ac:dyDescent="0.25">
      <c r="A871" t="s">
        <v>1202</v>
      </c>
    </row>
    <row r="872" spans="1:1" x14ac:dyDescent="0.25">
      <c r="A872" t="s">
        <v>1203</v>
      </c>
    </row>
    <row r="873" spans="1:1" x14ac:dyDescent="0.25">
      <c r="A873" t="s">
        <v>1204</v>
      </c>
    </row>
    <row r="874" spans="1:1" x14ac:dyDescent="0.25">
      <c r="A874" t="s">
        <v>1205</v>
      </c>
    </row>
    <row r="875" spans="1:1" x14ac:dyDescent="0.25">
      <c r="A875" t="s">
        <v>1206</v>
      </c>
    </row>
    <row r="876" spans="1:1" x14ac:dyDescent="0.25">
      <c r="A876" t="s">
        <v>1207</v>
      </c>
    </row>
    <row r="877" spans="1:1" x14ac:dyDescent="0.25">
      <c r="A877" t="s">
        <v>1208</v>
      </c>
    </row>
    <row r="878" spans="1:1" x14ac:dyDescent="0.25">
      <c r="A878" t="s">
        <v>1209</v>
      </c>
    </row>
    <row r="879" spans="1:1" x14ac:dyDescent="0.25">
      <c r="A879" t="s">
        <v>1210</v>
      </c>
    </row>
    <row r="880" spans="1:1" x14ac:dyDescent="0.25">
      <c r="A880" t="s">
        <v>1211</v>
      </c>
    </row>
    <row r="881" spans="1:1" x14ac:dyDescent="0.25">
      <c r="A881" t="s">
        <v>1212</v>
      </c>
    </row>
    <row r="882" spans="1:1" x14ac:dyDescent="0.25">
      <c r="A882" t="s">
        <v>1213</v>
      </c>
    </row>
    <row r="883" spans="1:1" x14ac:dyDescent="0.25">
      <c r="A883" t="s">
        <v>1214</v>
      </c>
    </row>
    <row r="884" spans="1:1" x14ac:dyDescent="0.25">
      <c r="A884" t="s">
        <v>1215</v>
      </c>
    </row>
    <row r="885" spans="1:1" x14ac:dyDescent="0.25">
      <c r="A885" t="s">
        <v>1216</v>
      </c>
    </row>
    <row r="886" spans="1:1" x14ac:dyDescent="0.25">
      <c r="A886" t="s">
        <v>1217</v>
      </c>
    </row>
    <row r="887" spans="1:1" x14ac:dyDescent="0.25">
      <c r="A887" t="s">
        <v>1218</v>
      </c>
    </row>
    <row r="888" spans="1:1" x14ac:dyDescent="0.25">
      <c r="A888" t="s">
        <v>1219</v>
      </c>
    </row>
    <row r="889" spans="1:1" x14ac:dyDescent="0.25">
      <c r="A889" t="s">
        <v>1220</v>
      </c>
    </row>
    <row r="890" spans="1:1" x14ac:dyDescent="0.25">
      <c r="A890" t="s">
        <v>1221</v>
      </c>
    </row>
    <row r="891" spans="1:1" x14ac:dyDescent="0.25">
      <c r="A891" t="s">
        <v>1222</v>
      </c>
    </row>
    <row r="892" spans="1:1" x14ac:dyDescent="0.25">
      <c r="A892" t="s">
        <v>1223</v>
      </c>
    </row>
    <row r="893" spans="1:1" x14ac:dyDescent="0.25">
      <c r="A893" t="s">
        <v>1224</v>
      </c>
    </row>
    <row r="894" spans="1:1" x14ac:dyDescent="0.25">
      <c r="A894" t="s">
        <v>1225</v>
      </c>
    </row>
    <row r="895" spans="1:1" x14ac:dyDescent="0.25">
      <c r="A895" t="s">
        <v>810</v>
      </c>
    </row>
    <row r="896" spans="1:1" x14ac:dyDescent="0.25">
      <c r="A896" t="s">
        <v>751</v>
      </c>
    </row>
    <row r="898" spans="1:1" x14ac:dyDescent="0.25">
      <c r="A898" t="s">
        <v>1226</v>
      </c>
    </row>
    <row r="899" spans="1:1" x14ac:dyDescent="0.25">
      <c r="A899" t="s">
        <v>1227</v>
      </c>
    </row>
    <row r="900" spans="1:1" x14ac:dyDescent="0.25">
      <c r="A900" t="s">
        <v>1228</v>
      </c>
    </row>
    <row r="901" spans="1:1" x14ac:dyDescent="0.25">
      <c r="A901" t="s">
        <v>1229</v>
      </c>
    </row>
    <row r="902" spans="1:1" x14ac:dyDescent="0.25">
      <c r="A902" t="s">
        <v>1230</v>
      </c>
    </row>
    <row r="903" spans="1:1" x14ac:dyDescent="0.25">
      <c r="A903" t="s">
        <v>1231</v>
      </c>
    </row>
    <row r="904" spans="1:1" x14ac:dyDescent="0.25">
      <c r="A904" t="s">
        <v>1232</v>
      </c>
    </row>
    <row r="905" spans="1:1" x14ac:dyDescent="0.25">
      <c r="A905" t="s">
        <v>1233</v>
      </c>
    </row>
    <row r="906" spans="1:1" x14ac:dyDescent="0.25">
      <c r="A906" t="s">
        <v>1234</v>
      </c>
    </row>
    <row r="907" spans="1:1" x14ac:dyDescent="0.25">
      <c r="A907" t="s">
        <v>1235</v>
      </c>
    </row>
    <row r="908" spans="1:1" x14ac:dyDescent="0.25">
      <c r="A908" t="s">
        <v>1236</v>
      </c>
    </row>
    <row r="909" spans="1:1" x14ac:dyDescent="0.25">
      <c r="A909" t="s">
        <v>1237</v>
      </c>
    </row>
    <row r="910" spans="1:1" x14ac:dyDescent="0.25">
      <c r="A910" t="s">
        <v>1238</v>
      </c>
    </row>
    <row r="911" spans="1:1" x14ac:dyDescent="0.25">
      <c r="A911" t="s">
        <v>751</v>
      </c>
    </row>
    <row r="913" spans="1:1" x14ac:dyDescent="0.25">
      <c r="A913" t="s">
        <v>1239</v>
      </c>
    </row>
    <row r="914" spans="1:1" x14ac:dyDescent="0.25">
      <c r="A914" t="s">
        <v>1240</v>
      </c>
    </row>
    <row r="915" spans="1:1" x14ac:dyDescent="0.25">
      <c r="A915" t="s">
        <v>1241</v>
      </c>
    </row>
    <row r="916" spans="1:1" x14ac:dyDescent="0.25">
      <c r="A916" t="s">
        <v>1242</v>
      </c>
    </row>
    <row r="917" spans="1:1" x14ac:dyDescent="0.25">
      <c r="A917" t="s">
        <v>1243</v>
      </c>
    </row>
    <row r="918" spans="1:1" x14ac:dyDescent="0.25">
      <c r="A918" t="s">
        <v>1244</v>
      </c>
    </row>
    <row r="919" spans="1:1" x14ac:dyDescent="0.25">
      <c r="A919" t="s">
        <v>1245</v>
      </c>
    </row>
    <row r="920" spans="1:1" x14ac:dyDescent="0.25">
      <c r="A920" t="s">
        <v>1246</v>
      </c>
    </row>
    <row r="921" spans="1:1" x14ac:dyDescent="0.25">
      <c r="A921" t="s">
        <v>1247</v>
      </c>
    </row>
    <row r="922" spans="1:1" x14ac:dyDescent="0.25">
      <c r="A922" t="s">
        <v>1248</v>
      </c>
    </row>
    <row r="923" spans="1:1" x14ac:dyDescent="0.25">
      <c r="A923" t="s">
        <v>1249</v>
      </c>
    </row>
    <row r="924" spans="1:1" x14ac:dyDescent="0.25">
      <c r="A924" t="s">
        <v>1250</v>
      </c>
    </row>
    <row r="925" spans="1:1" x14ac:dyDescent="0.25">
      <c r="A925" t="s">
        <v>1251</v>
      </c>
    </row>
    <row r="926" spans="1:1" x14ac:dyDescent="0.25">
      <c r="A926" t="s">
        <v>1252</v>
      </c>
    </row>
    <row r="927" spans="1:1" x14ac:dyDescent="0.25">
      <c r="A927" t="s">
        <v>751</v>
      </c>
    </row>
    <row r="929" spans="1:1" x14ac:dyDescent="0.25">
      <c r="A929" t="s">
        <v>1253</v>
      </c>
    </row>
    <row r="930" spans="1:1" x14ac:dyDescent="0.25">
      <c r="A930" t="s">
        <v>1254</v>
      </c>
    </row>
    <row r="931" spans="1:1" x14ac:dyDescent="0.25">
      <c r="A931" t="s">
        <v>787</v>
      </c>
    </row>
    <row r="932" spans="1:1" x14ac:dyDescent="0.25">
      <c r="A932" t="s">
        <v>788</v>
      </c>
    </row>
    <row r="933" spans="1:1" x14ac:dyDescent="0.25">
      <c r="A933" t="s">
        <v>1255</v>
      </c>
    </row>
    <row r="934" spans="1:1" x14ac:dyDescent="0.25">
      <c r="A934" t="s">
        <v>1256</v>
      </c>
    </row>
    <row r="935" spans="1:1" x14ac:dyDescent="0.25">
      <c r="A935" t="s">
        <v>1257</v>
      </c>
    </row>
    <row r="936" spans="1:1" x14ac:dyDescent="0.25">
      <c r="A936" t="s">
        <v>1258</v>
      </c>
    </row>
    <row r="937" spans="1:1" x14ac:dyDescent="0.25">
      <c r="A937" t="s">
        <v>796</v>
      </c>
    </row>
    <row r="938" spans="1:1" x14ac:dyDescent="0.25">
      <c r="A938" t="s">
        <v>804</v>
      </c>
    </row>
    <row r="939" spans="1:1" x14ac:dyDescent="0.25">
      <c r="A939" t="s">
        <v>1259</v>
      </c>
    </row>
    <row r="940" spans="1:1" x14ac:dyDescent="0.25">
      <c r="A940" t="s">
        <v>1260</v>
      </c>
    </row>
    <row r="941" spans="1:1" x14ac:dyDescent="0.25">
      <c r="A941" t="s">
        <v>1261</v>
      </c>
    </row>
    <row r="942" spans="1:1" x14ac:dyDescent="0.25">
      <c r="A942" t="s">
        <v>1262</v>
      </c>
    </row>
    <row r="943" spans="1:1" x14ac:dyDescent="0.25">
      <c r="A943" t="s">
        <v>1263</v>
      </c>
    </row>
    <row r="944" spans="1:1" x14ac:dyDescent="0.25">
      <c r="A944" t="s">
        <v>1264</v>
      </c>
    </row>
    <row r="945" spans="1:1" x14ac:dyDescent="0.25">
      <c r="A945" t="s">
        <v>1265</v>
      </c>
    </row>
    <row r="946" spans="1:1" x14ac:dyDescent="0.25">
      <c r="A946" t="s">
        <v>809</v>
      </c>
    </row>
    <row r="947" spans="1:1" x14ac:dyDescent="0.25">
      <c r="A947" t="s">
        <v>810</v>
      </c>
    </row>
    <row r="948" spans="1:1" x14ac:dyDescent="0.25">
      <c r="A948" t="s">
        <v>1266</v>
      </c>
    </row>
    <row r="949" spans="1:1" x14ac:dyDescent="0.25">
      <c r="A949" t="s">
        <v>1267</v>
      </c>
    </row>
    <row r="950" spans="1:1" x14ac:dyDescent="0.25">
      <c r="A950" t="s">
        <v>1268</v>
      </c>
    </row>
    <row r="951" spans="1:1" x14ac:dyDescent="0.25">
      <c r="A951" t="s">
        <v>1269</v>
      </c>
    </row>
    <row r="952" spans="1:1" x14ac:dyDescent="0.25">
      <c r="A952" t="s">
        <v>1270</v>
      </c>
    </row>
    <row r="953" spans="1:1" x14ac:dyDescent="0.25">
      <c r="A953" t="s">
        <v>1271</v>
      </c>
    </row>
    <row r="954" spans="1:1" x14ac:dyDescent="0.25">
      <c r="A954" t="s">
        <v>1272</v>
      </c>
    </row>
    <row r="955" spans="1:1" x14ac:dyDescent="0.25">
      <c r="A955" t="s">
        <v>1273</v>
      </c>
    </row>
    <row r="956" spans="1:1" x14ac:dyDescent="0.25">
      <c r="A956" t="s">
        <v>1274</v>
      </c>
    </row>
    <row r="957" spans="1:1" x14ac:dyDescent="0.25">
      <c r="A957" t="s">
        <v>751</v>
      </c>
    </row>
    <row r="958" spans="1:1" x14ac:dyDescent="0.25">
      <c r="A958" t="s">
        <v>781</v>
      </c>
    </row>
    <row r="959" spans="1:1" x14ac:dyDescent="0.25">
      <c r="A959" t="s">
        <v>1275</v>
      </c>
    </row>
    <row r="960" spans="1:1" x14ac:dyDescent="0.25">
      <c r="A960" t="s">
        <v>1276</v>
      </c>
    </row>
    <row r="961" spans="1:1" x14ac:dyDescent="0.25">
      <c r="A961" t="s">
        <v>1277</v>
      </c>
    </row>
    <row r="962" spans="1:1" x14ac:dyDescent="0.25">
      <c r="A962" t="s">
        <v>1278</v>
      </c>
    </row>
    <row r="963" spans="1:1" x14ac:dyDescent="0.25">
      <c r="A963" t="s">
        <v>1279</v>
      </c>
    </row>
    <row r="964" spans="1:1" x14ac:dyDescent="0.25">
      <c r="A964" t="s">
        <v>1280</v>
      </c>
    </row>
    <row r="965" spans="1:1" x14ac:dyDescent="0.25">
      <c r="A965" t="s">
        <v>1281</v>
      </c>
    </row>
    <row r="966" spans="1:1" x14ac:dyDescent="0.25">
      <c r="A966" t="s">
        <v>1282</v>
      </c>
    </row>
    <row r="967" spans="1:1" x14ac:dyDescent="0.25">
      <c r="A967" t="s">
        <v>781</v>
      </c>
    </row>
  </sheetData>
  <pageMargins left="0.75" right="0.75" top="1" bottom="1" header="0.511811023622047" footer="0.511811023622047"/>
  <pageSetup paperSize="9" orientation="portrait" horizontalDpi="300" verticalDpi="30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tabColor rgb="FF7B1FA2"/>
  </sheetPr>
  <dimension ref="A1:M36"/>
  <sheetViews>
    <sheetView zoomScaleNormal="100" workbookViewId="0">
      <selection sqref="A1:M1"/>
    </sheetView>
  </sheetViews>
  <sheetFormatPr defaultColWidth="8.7109375" defaultRowHeight="15" x14ac:dyDescent="0.25"/>
  <cols>
    <col min="1" max="1" width="12" customWidth="1"/>
    <col min="2" max="2" width="14" customWidth="1"/>
    <col min="3" max="3" width="16" customWidth="1"/>
    <col min="4" max="4" width="12" customWidth="1"/>
    <col min="5" max="5" width="10" customWidth="1"/>
    <col min="6" max="6" width="13" customWidth="1"/>
    <col min="7" max="7" width="12" customWidth="1"/>
    <col min="8" max="8" width="16" customWidth="1"/>
    <col min="9" max="11" width="14" customWidth="1"/>
    <col min="12" max="12" width="36" customWidth="1"/>
  </cols>
  <sheetData>
    <row r="1" spans="1:13" ht="42" customHeight="1" x14ac:dyDescent="0.25">
      <c r="A1" s="413" t="s">
        <v>1283</v>
      </c>
      <c r="B1" s="265"/>
      <c r="C1" s="265"/>
      <c r="D1" s="265"/>
      <c r="E1" s="265"/>
      <c r="F1" s="265"/>
      <c r="G1" s="265"/>
      <c r="H1" s="265"/>
      <c r="I1" s="265"/>
      <c r="J1" s="265"/>
      <c r="K1" s="265"/>
      <c r="L1" s="265"/>
      <c r="M1" s="265"/>
    </row>
    <row r="2" spans="1:13" ht="21.75" customHeight="1" x14ac:dyDescent="0.25">
      <c r="A2" s="415" t="s">
        <v>1284</v>
      </c>
      <c r="B2" s="265"/>
      <c r="C2" s="265"/>
      <c r="D2" s="265"/>
      <c r="E2" s="265"/>
      <c r="F2" s="265"/>
      <c r="G2" s="265"/>
      <c r="H2" s="265"/>
      <c r="I2" s="265"/>
      <c r="J2" s="265"/>
      <c r="K2" s="265"/>
      <c r="L2" s="265"/>
      <c r="M2" s="265"/>
    </row>
    <row r="3" spans="1:13" ht="19.5" customHeight="1" x14ac:dyDescent="0.25">
      <c r="A3" s="414" t="s">
        <v>1285</v>
      </c>
      <c r="B3" s="265"/>
      <c r="C3" s="265"/>
      <c r="D3" s="265"/>
      <c r="E3" s="265"/>
      <c r="F3" s="265"/>
      <c r="G3" s="265"/>
      <c r="H3" s="265"/>
      <c r="I3" s="265"/>
      <c r="J3" s="265"/>
      <c r="K3" s="265"/>
      <c r="L3" s="265"/>
      <c r="M3" s="265"/>
    </row>
    <row r="4" spans="1:13" ht="18" customHeight="1" x14ac:dyDescent="0.25">
      <c r="A4" s="135" t="s">
        <v>1286</v>
      </c>
      <c r="C4" s="136" t="s">
        <v>1287</v>
      </c>
      <c r="E4" s="137" t="s">
        <v>1288</v>
      </c>
      <c r="G4" s="138" t="s">
        <v>1289</v>
      </c>
      <c r="I4" s="139" t="s">
        <v>1290</v>
      </c>
      <c r="K4" s="140" t="s">
        <v>1291</v>
      </c>
    </row>
    <row r="5" spans="1:13" ht="27.75" customHeight="1" x14ac:dyDescent="0.25">
      <c r="A5" s="141">
        <f>SUMIF(DB_Customers!K:K,"Active",DB_Customers!N:N)</f>
        <v>0</v>
      </c>
      <c r="C5" s="142">
        <f ca="1">IFERROR((Monthly_Balancing!B4-Monthly_Balancing!B3)/ABS(Monthly_Balancing!B3),0)</f>
        <v>0</v>
      </c>
      <c r="E5" s="143">
        <f>IFERROR(COUNTIF(DB_Loans!K:K,"Pending")/MAX(1,COUNTA(DB_Loans!A:A)-3)*100,0)</f>
        <v>0</v>
      </c>
      <c r="G5" s="144" t="str">
        <f ca="1">IFERROR(INDEX(Daily_Balancing!A4:A13,MATCH(MAX(Daily_Balancing!B4:B13),Daily_Balancing!B4:B13,0)),"N/A")</f>
        <v>Agent 01</v>
      </c>
      <c r="I5" s="141">
        <f>IFERROR(SUM(DB_Savings!F4:F2000)-SUM(DB_Withdrawals!G4:G2000),0)</f>
        <v>0</v>
      </c>
      <c r="K5" s="141">
        <f>IFERROR(SUMIF(DB_Loans!K:K,"Approved",DB_Loans!I:I),0)</f>
        <v>0</v>
      </c>
    </row>
    <row r="7" spans="1:13" ht="19.5" customHeight="1" x14ac:dyDescent="0.25">
      <c r="A7" s="412" t="s">
        <v>1292</v>
      </c>
      <c r="B7" s="265"/>
      <c r="C7" s="265"/>
      <c r="D7" s="265"/>
      <c r="E7" s="265"/>
      <c r="F7" s="265"/>
      <c r="G7" s="265"/>
      <c r="H7" s="265"/>
      <c r="I7" s="265"/>
      <c r="J7" s="265"/>
      <c r="K7" s="265"/>
      <c r="L7" s="265"/>
    </row>
    <row r="8" spans="1:13" ht="15" customHeight="1" x14ac:dyDescent="0.25">
      <c r="A8" s="145" t="s">
        <v>14</v>
      </c>
      <c r="B8" s="145" t="s">
        <v>199</v>
      </c>
      <c r="C8" s="145" t="s">
        <v>438</v>
      </c>
      <c r="D8" s="145" t="s">
        <v>178</v>
      </c>
      <c r="E8" s="145" t="s">
        <v>1293</v>
      </c>
      <c r="F8" s="145" t="s">
        <v>1294</v>
      </c>
      <c r="G8" s="145" t="s">
        <v>173</v>
      </c>
      <c r="H8" s="145" t="s">
        <v>1295</v>
      </c>
      <c r="I8" s="145" t="s">
        <v>1296</v>
      </c>
      <c r="J8" s="145" t="s">
        <v>1297</v>
      </c>
      <c r="K8" s="145" t="s">
        <v>1298</v>
      </c>
      <c r="L8" s="145" t="s">
        <v>1299</v>
      </c>
    </row>
    <row r="9" spans="1:13" ht="15" customHeight="1" x14ac:dyDescent="0.25">
      <c r="A9" s="146" t="s">
        <v>133</v>
      </c>
      <c r="B9" s="147">
        <f ca="1">SUMIFS(DB_Savings!$F:$F,DB_Savings!$G:$G,"Agent 01",DB_Savings!$E:$E,"&gt;="&amp;DATE(YEAR(TODAY()),MONTH(TODAY()),1))</f>
        <v>0</v>
      </c>
      <c r="C9" s="147">
        <f ca="1">SUMIFS(DB_Withdrawals!$G:$G,DB_Withdrawals!$J:$J,"Agent 01",DB_Withdrawals!$F:$F,"&gt;="&amp;DATE(YEAR(TODAY()),MONTH(TODAY()),1))</f>
        <v>0</v>
      </c>
      <c r="D9" s="147">
        <f t="shared" ref="D9:D18" ca="1" si="0">B9-C9</f>
        <v>0</v>
      </c>
      <c r="E9" s="148">
        <f ca="1">COUNTIFS(DB_Savings!$G:$G,"Agent 01",DB_Savings!$E:$E,"&gt;="&amp;DATE(YEAR(TODAY()),MONTH(TODAY()),1))</f>
        <v>0</v>
      </c>
      <c r="F9" s="147">
        <f t="shared" ref="F9:F18" ca="1" si="1">IFERROR(B9/MAX(1,E9),0)</f>
        <v>0</v>
      </c>
      <c r="G9" s="149">
        <f ca="1">IFERROR((B9-Monthly_Balancing!B8)/MAX(1,ABS(Monthly_Balancing!B8)),0)</f>
        <v>-1</v>
      </c>
      <c r="H9" s="150" t="str">
        <f t="shared" ref="H9:H18" ca="1" si="2">IF(G9&gt;=0.1,"🟢 HIGH",IF(G9&gt;=0,"🟡 STABLE",IF(G9&gt;=-0.1,"🟠 DECLINE","🔴 CRITICAL")))</f>
        <v>🔴 CRITICAL</v>
      </c>
      <c r="I9" s="150" t="str">
        <f t="shared" ref="I9:I18" ca="1" si="3">IF(E9=0,"⚠️ NO TX",IF(ABS(G9)&gt;0.5,"🚨 ANOMALY","✅ NORMAL"))</f>
        <v>⚠️ NO TX</v>
      </c>
      <c r="J9" s="147">
        <f t="shared" ref="J9:J18" ca="1" si="4">IFERROR(B9/MAX(1,DAY(TODAY()))*7,0)</f>
        <v>0</v>
      </c>
      <c r="K9" s="151">
        <f ca="1">IFERROR(B9/MAX(1,Daily_Balancing!F4)*100,0)</f>
        <v>0</v>
      </c>
      <c r="L9" s="152" t="str">
        <f t="shared" ref="L9:L18" ca="1" si="5">IF(G9&gt;=0.1,"Excellent — sustain",IF(G9&gt;=0,"Stable — push 10%",IF(G9&gt;=-0.1,"Review accounts",IF(E9=0,"URGENT: No activity today","ALERT: Critical decline"))))</f>
        <v>URGENT: No activity today</v>
      </c>
    </row>
    <row r="10" spans="1:13" ht="15" customHeight="1" x14ac:dyDescent="0.25">
      <c r="A10" s="153" t="s">
        <v>134</v>
      </c>
      <c r="B10" s="154">
        <f ca="1">SUMIFS(DB_Savings!$F:$F,DB_Savings!$G:$G,"Agent 02",DB_Savings!$E:$E,"&gt;="&amp;DATE(YEAR(TODAY()),MONTH(TODAY()),1))</f>
        <v>0</v>
      </c>
      <c r="C10" s="154">
        <f ca="1">SUMIFS(DB_Withdrawals!$G:$G,DB_Withdrawals!$J:$J,"Agent 02",DB_Withdrawals!$F:$F,"&gt;="&amp;DATE(YEAR(TODAY()),MONTH(TODAY()),1))</f>
        <v>0</v>
      </c>
      <c r="D10" s="154">
        <f t="shared" ca="1" si="0"/>
        <v>0</v>
      </c>
      <c r="E10" s="155">
        <f ca="1">COUNTIFS(DB_Savings!$G:$G,"Agent 02",DB_Savings!$E:$E,"&gt;="&amp;DATE(YEAR(TODAY()),MONTH(TODAY()),1))</f>
        <v>0</v>
      </c>
      <c r="F10" s="154">
        <f t="shared" ca="1" si="1"/>
        <v>0</v>
      </c>
      <c r="G10" s="156">
        <f ca="1">IFERROR((B10-Monthly_Balancing!B9)/MAX(1,ABS(Monthly_Balancing!B9)),0)</f>
        <v>-1</v>
      </c>
      <c r="H10" s="157" t="str">
        <f t="shared" ca="1" si="2"/>
        <v>🔴 CRITICAL</v>
      </c>
      <c r="I10" s="157" t="str">
        <f t="shared" ca="1" si="3"/>
        <v>⚠️ NO TX</v>
      </c>
      <c r="J10" s="154">
        <f t="shared" ca="1" si="4"/>
        <v>0</v>
      </c>
      <c r="K10" s="158">
        <f ca="1">IFERROR(B10/MAX(1,Daily_Balancing!F5)*100,0)</f>
        <v>0</v>
      </c>
      <c r="L10" s="152" t="str">
        <f t="shared" ca="1" si="5"/>
        <v>URGENT: No activity today</v>
      </c>
    </row>
    <row r="11" spans="1:13" ht="15" customHeight="1" x14ac:dyDescent="0.25">
      <c r="A11" s="146" t="s">
        <v>135</v>
      </c>
      <c r="B11" s="147">
        <f ca="1">SUMIFS(DB_Savings!$F:$F,DB_Savings!$G:$G,"Agent 03",DB_Savings!$E:$E,"&gt;="&amp;DATE(YEAR(TODAY()),MONTH(TODAY()),1))</f>
        <v>0</v>
      </c>
      <c r="C11" s="147">
        <f ca="1">SUMIFS(DB_Withdrawals!$G:$G,DB_Withdrawals!$J:$J,"Agent 03",DB_Withdrawals!$F:$F,"&gt;="&amp;DATE(YEAR(TODAY()),MONTH(TODAY()),1))</f>
        <v>0</v>
      </c>
      <c r="D11" s="147">
        <f t="shared" ca="1" si="0"/>
        <v>0</v>
      </c>
      <c r="E11" s="148">
        <f ca="1">COUNTIFS(DB_Savings!$G:$G,"Agent 03",DB_Savings!$E:$E,"&gt;="&amp;DATE(YEAR(TODAY()),MONTH(TODAY()),1))</f>
        <v>0</v>
      </c>
      <c r="F11" s="147">
        <f t="shared" ca="1" si="1"/>
        <v>0</v>
      </c>
      <c r="G11" s="149">
        <f ca="1">IFERROR((B11-Monthly_Balancing!B10)/MAX(1,ABS(Monthly_Balancing!B10)),0)</f>
        <v>-1</v>
      </c>
      <c r="H11" s="150" t="str">
        <f t="shared" ca="1" si="2"/>
        <v>🔴 CRITICAL</v>
      </c>
      <c r="I11" s="150" t="str">
        <f t="shared" ca="1" si="3"/>
        <v>⚠️ NO TX</v>
      </c>
      <c r="J11" s="147">
        <f t="shared" ca="1" si="4"/>
        <v>0</v>
      </c>
      <c r="K11" s="151">
        <f ca="1">IFERROR(B11/MAX(1,Daily_Balancing!F6)*100,0)</f>
        <v>0</v>
      </c>
      <c r="L11" s="152" t="str">
        <f t="shared" ca="1" si="5"/>
        <v>URGENT: No activity today</v>
      </c>
    </row>
    <row r="12" spans="1:13" ht="15" customHeight="1" x14ac:dyDescent="0.25">
      <c r="A12" s="153" t="s">
        <v>136</v>
      </c>
      <c r="B12" s="154">
        <f ca="1">SUMIFS(DB_Savings!$F:$F,DB_Savings!$G:$G,"Agent 04",DB_Savings!$E:$E,"&gt;="&amp;DATE(YEAR(TODAY()),MONTH(TODAY()),1))</f>
        <v>0</v>
      </c>
      <c r="C12" s="154">
        <f ca="1">SUMIFS(DB_Withdrawals!$G:$G,DB_Withdrawals!$J:$J,"Agent 04",DB_Withdrawals!$F:$F,"&gt;="&amp;DATE(YEAR(TODAY()),MONTH(TODAY()),1))</f>
        <v>0</v>
      </c>
      <c r="D12" s="154">
        <f t="shared" ca="1" si="0"/>
        <v>0</v>
      </c>
      <c r="E12" s="155">
        <f ca="1">COUNTIFS(DB_Savings!$G:$G,"Agent 04",DB_Savings!$E:$E,"&gt;="&amp;DATE(YEAR(TODAY()),MONTH(TODAY()),1))</f>
        <v>0</v>
      </c>
      <c r="F12" s="154">
        <f t="shared" ca="1" si="1"/>
        <v>0</v>
      </c>
      <c r="G12" s="156">
        <f ca="1">IFERROR((B12-Monthly_Balancing!B11)/MAX(1,ABS(Monthly_Balancing!B11)),0)</f>
        <v>-1</v>
      </c>
      <c r="H12" s="157" t="str">
        <f t="shared" ca="1" si="2"/>
        <v>🔴 CRITICAL</v>
      </c>
      <c r="I12" s="157" t="str">
        <f t="shared" ca="1" si="3"/>
        <v>⚠️ NO TX</v>
      </c>
      <c r="J12" s="154">
        <f t="shared" ca="1" si="4"/>
        <v>0</v>
      </c>
      <c r="K12" s="158">
        <f ca="1">IFERROR(B12/MAX(1,Daily_Balancing!F7)*100,0)</f>
        <v>0</v>
      </c>
      <c r="L12" s="152" t="str">
        <f t="shared" ca="1" si="5"/>
        <v>URGENT: No activity today</v>
      </c>
    </row>
    <row r="13" spans="1:13" ht="15" customHeight="1" x14ac:dyDescent="0.25">
      <c r="A13" s="146" t="s">
        <v>137</v>
      </c>
      <c r="B13" s="147">
        <f ca="1">SUMIFS(DB_Savings!$F:$F,DB_Savings!$G:$G,"Agent 05",DB_Savings!$E:$E,"&gt;="&amp;DATE(YEAR(TODAY()),MONTH(TODAY()),1))</f>
        <v>0</v>
      </c>
      <c r="C13" s="147">
        <f ca="1">SUMIFS(DB_Withdrawals!$G:$G,DB_Withdrawals!$J:$J,"Agent 05",DB_Withdrawals!$F:$F,"&gt;="&amp;DATE(YEAR(TODAY()),MONTH(TODAY()),1))</f>
        <v>0</v>
      </c>
      <c r="D13" s="147">
        <f t="shared" ca="1" si="0"/>
        <v>0</v>
      </c>
      <c r="E13" s="148">
        <f ca="1">COUNTIFS(DB_Savings!$G:$G,"Agent 05",DB_Savings!$E:$E,"&gt;="&amp;DATE(YEAR(TODAY()),MONTH(TODAY()),1))</f>
        <v>0</v>
      </c>
      <c r="F13" s="147">
        <f t="shared" ca="1" si="1"/>
        <v>0</v>
      </c>
      <c r="G13" s="149">
        <f ca="1">IFERROR((B13-Monthly_Balancing!B12)/MAX(1,ABS(Monthly_Balancing!B12)),0)</f>
        <v>0</v>
      </c>
      <c r="H13" s="150" t="str">
        <f t="shared" ca="1" si="2"/>
        <v>🟡 STABLE</v>
      </c>
      <c r="I13" s="150" t="str">
        <f t="shared" ca="1" si="3"/>
        <v>⚠️ NO TX</v>
      </c>
      <c r="J13" s="147">
        <f t="shared" ca="1" si="4"/>
        <v>0</v>
      </c>
      <c r="K13" s="151">
        <f ca="1">IFERROR(B13/MAX(1,Daily_Balancing!F8)*100,0)</f>
        <v>0</v>
      </c>
      <c r="L13" s="152" t="str">
        <f t="shared" ca="1" si="5"/>
        <v>Stable — push 10%</v>
      </c>
    </row>
    <row r="14" spans="1:13" ht="15" customHeight="1" x14ac:dyDescent="0.25">
      <c r="A14" s="153" t="s">
        <v>138</v>
      </c>
      <c r="B14" s="154">
        <f ca="1">SUMIFS(DB_Savings!$F:$F,DB_Savings!$G:$G,"Agent 06",DB_Savings!$E:$E,"&gt;="&amp;DATE(YEAR(TODAY()),MONTH(TODAY()),1))</f>
        <v>0</v>
      </c>
      <c r="C14" s="154">
        <f ca="1">SUMIFS(DB_Withdrawals!$G:$G,DB_Withdrawals!$J:$J,"Agent 06",DB_Withdrawals!$F:$F,"&gt;="&amp;DATE(YEAR(TODAY()),MONTH(TODAY()),1))</f>
        <v>0</v>
      </c>
      <c r="D14" s="154">
        <f t="shared" ca="1" si="0"/>
        <v>0</v>
      </c>
      <c r="E14" s="155">
        <f ca="1">COUNTIFS(DB_Savings!$G:$G,"Agent 06",DB_Savings!$E:$E,"&gt;="&amp;DATE(YEAR(TODAY()),MONTH(TODAY()),1))</f>
        <v>0</v>
      </c>
      <c r="F14" s="154">
        <f t="shared" ca="1" si="1"/>
        <v>0</v>
      </c>
      <c r="G14" s="156">
        <f ca="1">IFERROR((B14-Monthly_Balancing!B13)/MAX(1,ABS(Monthly_Balancing!B13)),0)</f>
        <v>0</v>
      </c>
      <c r="H14" s="157" t="str">
        <f t="shared" ca="1" si="2"/>
        <v>🟡 STABLE</v>
      </c>
      <c r="I14" s="157" t="str">
        <f t="shared" ca="1" si="3"/>
        <v>⚠️ NO TX</v>
      </c>
      <c r="J14" s="154">
        <f t="shared" ca="1" si="4"/>
        <v>0</v>
      </c>
      <c r="K14" s="158">
        <f ca="1">IFERROR(B14/MAX(1,Daily_Balancing!F9)*100,0)</f>
        <v>0</v>
      </c>
      <c r="L14" s="152" t="str">
        <f t="shared" ca="1" si="5"/>
        <v>Stable — push 10%</v>
      </c>
    </row>
    <row r="15" spans="1:13" ht="15" customHeight="1" x14ac:dyDescent="0.25">
      <c r="A15" s="146" t="s">
        <v>139</v>
      </c>
      <c r="B15" s="147">
        <f ca="1">SUMIFS(DB_Savings!$F:$F,DB_Savings!$G:$G,"Agent 07",DB_Savings!$E:$E,"&gt;="&amp;DATE(YEAR(TODAY()),MONTH(TODAY()),1))</f>
        <v>0</v>
      </c>
      <c r="C15" s="147">
        <f ca="1">SUMIFS(DB_Withdrawals!$G:$G,DB_Withdrawals!$J:$J,"Agent 07",DB_Withdrawals!$F:$F,"&gt;="&amp;DATE(YEAR(TODAY()),MONTH(TODAY()),1))</f>
        <v>0</v>
      </c>
      <c r="D15" s="147">
        <f t="shared" ca="1" si="0"/>
        <v>0</v>
      </c>
      <c r="E15" s="148">
        <f ca="1">COUNTIFS(DB_Savings!$G:$G,"Agent 07",DB_Savings!$E:$E,"&gt;="&amp;DATE(YEAR(TODAY()),MONTH(TODAY()),1))</f>
        <v>0</v>
      </c>
      <c r="F15" s="147">
        <f t="shared" ca="1" si="1"/>
        <v>0</v>
      </c>
      <c r="G15" s="149">
        <f ca="1">IFERROR((B15-Monthly_Balancing!B14)/MAX(1,ABS(Monthly_Balancing!B14)),0)</f>
        <v>0</v>
      </c>
      <c r="H15" s="150" t="str">
        <f t="shared" ca="1" si="2"/>
        <v>🟡 STABLE</v>
      </c>
      <c r="I15" s="150" t="str">
        <f t="shared" ca="1" si="3"/>
        <v>⚠️ NO TX</v>
      </c>
      <c r="J15" s="147">
        <f t="shared" ca="1" si="4"/>
        <v>0</v>
      </c>
      <c r="K15" s="151">
        <f ca="1">IFERROR(B15/MAX(1,Daily_Balancing!F10)*100,0)</f>
        <v>0</v>
      </c>
      <c r="L15" s="152" t="str">
        <f t="shared" ca="1" si="5"/>
        <v>Stable — push 10%</v>
      </c>
    </row>
    <row r="16" spans="1:13" ht="15" customHeight="1" x14ac:dyDescent="0.25">
      <c r="A16" s="153" t="s">
        <v>140</v>
      </c>
      <c r="B16" s="154">
        <f ca="1">SUMIFS(DB_Savings!$F:$F,DB_Savings!$G:$G,"Agent 08",DB_Savings!$E:$E,"&gt;="&amp;DATE(YEAR(TODAY()),MONTH(TODAY()),1))</f>
        <v>0</v>
      </c>
      <c r="C16" s="154">
        <f ca="1">SUMIFS(DB_Withdrawals!$G:$G,DB_Withdrawals!$J:$J,"Agent 08",DB_Withdrawals!$F:$F,"&gt;="&amp;DATE(YEAR(TODAY()),MONTH(TODAY()),1))</f>
        <v>0</v>
      </c>
      <c r="D16" s="154">
        <f t="shared" ca="1" si="0"/>
        <v>0</v>
      </c>
      <c r="E16" s="155">
        <f ca="1">COUNTIFS(DB_Savings!$G:$G,"Agent 08",DB_Savings!$E:$E,"&gt;="&amp;DATE(YEAR(TODAY()),MONTH(TODAY()),1))</f>
        <v>0</v>
      </c>
      <c r="F16" s="154">
        <f t="shared" ca="1" si="1"/>
        <v>0</v>
      </c>
      <c r="G16" s="156">
        <f ca="1">IFERROR((B16-Monthly_Balancing!B15)/MAX(1,ABS(Monthly_Balancing!B15)),0)</f>
        <v>0</v>
      </c>
      <c r="H16" s="157" t="str">
        <f t="shared" ca="1" si="2"/>
        <v>🟡 STABLE</v>
      </c>
      <c r="I16" s="157" t="str">
        <f t="shared" ca="1" si="3"/>
        <v>⚠️ NO TX</v>
      </c>
      <c r="J16" s="154">
        <f t="shared" ca="1" si="4"/>
        <v>0</v>
      </c>
      <c r="K16" s="158">
        <f ca="1">IFERROR(B16/MAX(1,Daily_Balancing!F11)*100,0)</f>
        <v>0</v>
      </c>
      <c r="L16" s="152" t="str">
        <f t="shared" ca="1" si="5"/>
        <v>Stable — push 10%</v>
      </c>
    </row>
    <row r="17" spans="1:12" ht="15" customHeight="1" x14ac:dyDescent="0.25">
      <c r="A17" s="146" t="s">
        <v>141</v>
      </c>
      <c r="B17" s="147">
        <f ca="1">SUMIFS(DB_Savings!$F:$F,DB_Savings!$G:$G,"Agent 09",DB_Savings!$E:$E,"&gt;="&amp;DATE(YEAR(TODAY()),MONTH(TODAY()),1))</f>
        <v>0</v>
      </c>
      <c r="C17" s="147">
        <f ca="1">SUMIFS(DB_Withdrawals!$G:$G,DB_Withdrawals!$J:$J,"Agent 09",DB_Withdrawals!$F:$F,"&gt;="&amp;DATE(YEAR(TODAY()),MONTH(TODAY()),1))</f>
        <v>0</v>
      </c>
      <c r="D17" s="147">
        <f t="shared" ca="1" si="0"/>
        <v>0</v>
      </c>
      <c r="E17" s="148">
        <f ca="1">COUNTIFS(DB_Savings!$G:$G,"Agent 09",DB_Savings!$E:$E,"&gt;="&amp;DATE(YEAR(TODAY()),MONTH(TODAY()),1))</f>
        <v>0</v>
      </c>
      <c r="F17" s="147">
        <f t="shared" ca="1" si="1"/>
        <v>0</v>
      </c>
      <c r="G17" s="149">
        <f ca="1">IFERROR((B17-Monthly_Balancing!B16)/MAX(1,ABS(Monthly_Balancing!B16)),0)</f>
        <v>0</v>
      </c>
      <c r="H17" s="150" t="str">
        <f t="shared" ca="1" si="2"/>
        <v>🟡 STABLE</v>
      </c>
      <c r="I17" s="150" t="str">
        <f t="shared" ca="1" si="3"/>
        <v>⚠️ NO TX</v>
      </c>
      <c r="J17" s="147">
        <f t="shared" ca="1" si="4"/>
        <v>0</v>
      </c>
      <c r="K17" s="151">
        <f ca="1">IFERROR(B17/MAX(1,Daily_Balancing!F12)*100,0)</f>
        <v>0</v>
      </c>
      <c r="L17" s="152" t="str">
        <f t="shared" ca="1" si="5"/>
        <v>Stable — push 10%</v>
      </c>
    </row>
    <row r="18" spans="1:12" ht="15" customHeight="1" x14ac:dyDescent="0.25">
      <c r="A18" s="153" t="s">
        <v>142</v>
      </c>
      <c r="B18" s="154">
        <f ca="1">SUMIFS(DB_Savings!$F:$F,DB_Savings!$G:$G,"Agent 10",DB_Savings!$E:$E,"&gt;="&amp;DATE(YEAR(TODAY()),MONTH(TODAY()),1))</f>
        <v>0</v>
      </c>
      <c r="C18" s="154">
        <f ca="1">SUMIFS(DB_Withdrawals!$G:$G,DB_Withdrawals!$J:$J,"Agent 10",DB_Withdrawals!$F:$F,"&gt;="&amp;DATE(YEAR(TODAY()),MONTH(TODAY()),1))</f>
        <v>0</v>
      </c>
      <c r="D18" s="154">
        <f t="shared" ca="1" si="0"/>
        <v>0</v>
      </c>
      <c r="E18" s="155">
        <f ca="1">COUNTIFS(DB_Savings!$G:$G,"Agent 10",DB_Savings!$E:$E,"&gt;="&amp;DATE(YEAR(TODAY()),MONTH(TODAY()),1))</f>
        <v>0</v>
      </c>
      <c r="F18" s="154">
        <f t="shared" ca="1" si="1"/>
        <v>0</v>
      </c>
      <c r="G18" s="156">
        <f ca="1">IFERROR((B18-Monthly_Balancing!B17)/MAX(1,ABS(Monthly_Balancing!B17)),0)</f>
        <v>0</v>
      </c>
      <c r="H18" s="157" t="str">
        <f t="shared" ca="1" si="2"/>
        <v>🟡 STABLE</v>
      </c>
      <c r="I18" s="157" t="str">
        <f t="shared" ca="1" si="3"/>
        <v>⚠️ NO TX</v>
      </c>
      <c r="J18" s="154">
        <f t="shared" ca="1" si="4"/>
        <v>0</v>
      </c>
      <c r="K18" s="158">
        <f ca="1">IFERROR(B18/MAX(1,Daily_Balancing!F13)*100,0)</f>
        <v>0</v>
      </c>
      <c r="L18" s="152" t="str">
        <f t="shared" ca="1" si="5"/>
        <v>Stable — push 10%</v>
      </c>
    </row>
    <row r="19" spans="1:12" ht="15" customHeight="1" x14ac:dyDescent="0.25">
      <c r="A19" s="159" t="s">
        <v>143</v>
      </c>
      <c r="B19" s="160">
        <f ca="1">SUM(B9:B18)</f>
        <v>0</v>
      </c>
      <c r="C19" s="160">
        <f ca="1">SUM(C9:C18)</f>
        <v>0</v>
      </c>
      <c r="D19" s="160">
        <f ca="1">SUM(D9:D18)</f>
        <v>0</v>
      </c>
      <c r="E19" s="161">
        <f ca="1">SUM(E9:E18)</f>
        <v>0</v>
      </c>
      <c r="J19" s="160">
        <f ca="1">SUM(J9:J18)</f>
        <v>0</v>
      </c>
    </row>
    <row r="21" spans="1:12" ht="15" customHeight="1" x14ac:dyDescent="0.25">
      <c r="A21" s="414" t="s">
        <v>1300</v>
      </c>
      <c r="B21" s="265"/>
      <c r="C21" s="265"/>
      <c r="D21" s="265"/>
      <c r="E21" s="265"/>
      <c r="F21" s="265"/>
      <c r="G21" s="265"/>
      <c r="H21" s="265"/>
      <c r="I21" s="265"/>
      <c r="J21" s="265"/>
      <c r="K21" s="265"/>
      <c r="L21" s="265"/>
    </row>
    <row r="22" spans="1:12" ht="21.75" customHeight="1" x14ac:dyDescent="0.25">
      <c r="A22" s="162" t="s">
        <v>145</v>
      </c>
      <c r="B22" s="162" t="s">
        <v>1301</v>
      </c>
      <c r="C22" s="162" t="s">
        <v>1302</v>
      </c>
      <c r="D22" s="162" t="s">
        <v>1303</v>
      </c>
      <c r="E22" s="162" t="s">
        <v>1304</v>
      </c>
      <c r="F22" s="162" t="s">
        <v>440</v>
      </c>
      <c r="G22" s="162" t="s">
        <v>1305</v>
      </c>
    </row>
    <row r="23" spans="1:12" ht="15" customHeight="1" x14ac:dyDescent="0.25">
      <c r="A23" s="163" t="s">
        <v>1306</v>
      </c>
      <c r="B23" s="164">
        <f ca="1">IFERROR(AVERAGE(Monthly_Balancing!B8:B11)*(1+1*MAX(0.02,IFERROR(AVERAGE(AI_Intelligence!G9:G18),0.05))),0)</f>
        <v>113734.12845000002</v>
      </c>
      <c r="C23" s="164">
        <f>IFERROR(AVERAGE(Monthly_Balancing!C8:C11)*(1+1*0.03),0)</f>
        <v>46389.809500000003</v>
      </c>
      <c r="D23" s="164">
        <f t="shared" ref="D23:D28" ca="1" si="6">B23-C23</f>
        <v>67344.318950000015</v>
      </c>
      <c r="E23" s="164">
        <f t="shared" ref="E23:E28" ca="1" si="7">B23*0.025</f>
        <v>2843.3532112500006</v>
      </c>
      <c r="F23" s="165">
        <f>ROUND(IFERROR(AVERAGE(Monthly_Balancing!E8:E11)*(1+0.05*1),0),0)</f>
        <v>9</v>
      </c>
      <c r="G23" s="166" t="s">
        <v>1307</v>
      </c>
    </row>
    <row r="24" spans="1:12" ht="15" customHeight="1" x14ac:dyDescent="0.25">
      <c r="A24" s="167" t="s">
        <v>1308</v>
      </c>
      <c r="B24" s="168">
        <f ca="1">IFERROR(AVERAGE(Monthly_Balancing!B8:B11)*(1+2*MAX(0.02,IFERROR(AVERAGE(AI_Intelligence!G9:G18),0.05))),0)</f>
        <v>115964.20940000002</v>
      </c>
      <c r="C24" s="168">
        <f>IFERROR(AVERAGE(Monthly_Balancing!C8:C11)*(1+2*0.03),0)</f>
        <v>47740.969000000005</v>
      </c>
      <c r="D24" s="168">
        <f t="shared" ca="1" si="6"/>
        <v>68223.24040000001</v>
      </c>
      <c r="E24" s="168">
        <f t="shared" ca="1" si="7"/>
        <v>2899.1052350000009</v>
      </c>
      <c r="F24" s="169">
        <f>ROUND(IFERROR(AVERAGE(Monthly_Balancing!E8:E11)*(1+0.05*2),0),0)</f>
        <v>10</v>
      </c>
      <c r="G24" s="170" t="s">
        <v>1309</v>
      </c>
    </row>
    <row r="25" spans="1:12" ht="15" customHeight="1" x14ac:dyDescent="0.25">
      <c r="A25" s="163" t="s">
        <v>1310</v>
      </c>
      <c r="B25" s="164">
        <f ca="1">IFERROR(AVERAGE(Monthly_Balancing!B8:B11)*(1+3*MAX(0.02,IFERROR(AVERAGE(AI_Intelligence!G9:G18),0.05))),0)</f>
        <v>118194.29035000002</v>
      </c>
      <c r="C25" s="164">
        <f>IFERROR(AVERAGE(Monthly_Balancing!C8:C11)*(1+3*0.03),0)</f>
        <v>49092.128500000006</v>
      </c>
      <c r="D25" s="164">
        <f t="shared" ca="1" si="6"/>
        <v>69102.161850000019</v>
      </c>
      <c r="E25" s="164">
        <f t="shared" ca="1" si="7"/>
        <v>2954.8572587500007</v>
      </c>
      <c r="F25" s="165">
        <f>ROUND(IFERROR(AVERAGE(Monthly_Balancing!E8:E11)*(1+0.05*3),0),0)</f>
        <v>10</v>
      </c>
      <c r="G25" s="166" t="s">
        <v>1311</v>
      </c>
    </row>
    <row r="26" spans="1:12" ht="15" customHeight="1" x14ac:dyDescent="0.25">
      <c r="A26" s="167" t="s">
        <v>1312</v>
      </c>
      <c r="B26" s="168">
        <f ca="1">IFERROR(AVERAGE(Monthly_Balancing!B8:B11)*(1+4*MAX(0.02,IFERROR(AVERAGE(AI_Intelligence!G9:G18),0.05))),0)</f>
        <v>120424.37130000003</v>
      </c>
      <c r="C26" s="168">
        <f>IFERROR(AVERAGE(Monthly_Balancing!C8:C11)*(1+4*0.03),0)</f>
        <v>50443.288000000008</v>
      </c>
      <c r="D26" s="168">
        <f t="shared" ca="1" si="6"/>
        <v>69981.083300000028</v>
      </c>
      <c r="E26" s="168">
        <f t="shared" ca="1" si="7"/>
        <v>3010.609282500001</v>
      </c>
      <c r="F26" s="169">
        <f>ROUND(IFERROR(AVERAGE(Monthly_Balancing!E8:E11)*(1+0.05*4),0),0)</f>
        <v>11</v>
      </c>
      <c r="G26" s="170" t="s">
        <v>1313</v>
      </c>
    </row>
    <row r="27" spans="1:12" ht="15" customHeight="1" x14ac:dyDescent="0.25">
      <c r="A27" s="163" t="s">
        <v>1314</v>
      </c>
      <c r="B27" s="164">
        <f ca="1">IFERROR(AVERAGE(Monthly_Balancing!B8:B11)*(1+5*MAX(0.02,IFERROR(AVERAGE(AI_Intelligence!G9:G18),0.05))),0)</f>
        <v>122654.45225000003</v>
      </c>
      <c r="C27" s="164">
        <f>IFERROR(AVERAGE(Monthly_Balancing!C8:C11)*(1+5*0.03),0)</f>
        <v>51794.447499999995</v>
      </c>
      <c r="D27" s="164">
        <f t="shared" ca="1" si="6"/>
        <v>70860.004750000036</v>
      </c>
      <c r="E27" s="164">
        <f t="shared" ca="1" si="7"/>
        <v>3066.3613062500008</v>
      </c>
      <c r="F27" s="165">
        <f>ROUND(IFERROR(AVERAGE(Monthly_Balancing!E8:E11)*(1+0.05*5),0),0)</f>
        <v>11</v>
      </c>
      <c r="G27" s="166" t="s">
        <v>1315</v>
      </c>
    </row>
    <row r="28" spans="1:12" ht="15" customHeight="1" x14ac:dyDescent="0.25">
      <c r="A28" s="167" t="s">
        <v>1316</v>
      </c>
      <c r="B28" s="168">
        <f ca="1">IFERROR(AVERAGE(Monthly_Balancing!B8:B11)*(1+6*MAX(0.02,IFERROR(AVERAGE(AI_Intelligence!G9:G18),0.05))),0)</f>
        <v>124884.53320000003</v>
      </c>
      <c r="C28" s="168">
        <f>IFERROR(AVERAGE(Monthly_Balancing!C8:C11)*(1+6*0.03),0)</f>
        <v>53145.606999999996</v>
      </c>
      <c r="D28" s="168">
        <f t="shared" ca="1" si="6"/>
        <v>71738.926200000045</v>
      </c>
      <c r="E28" s="168">
        <f t="shared" ca="1" si="7"/>
        <v>3122.113330000001</v>
      </c>
      <c r="F28" s="169">
        <f>ROUND(IFERROR(AVERAGE(Monthly_Balancing!E8:E11)*(1+0.05*6),0),0)</f>
        <v>11</v>
      </c>
      <c r="G28" s="170" t="s">
        <v>1317</v>
      </c>
    </row>
    <row r="30" spans="1:12" ht="15" customHeight="1" x14ac:dyDescent="0.25">
      <c r="A30" s="411" t="s">
        <v>1318</v>
      </c>
      <c r="B30" s="265"/>
      <c r="C30" s="265"/>
      <c r="D30" s="265"/>
      <c r="E30" s="265"/>
      <c r="F30" s="265"/>
      <c r="G30" s="265"/>
      <c r="H30" s="265"/>
      <c r="I30" s="265"/>
      <c r="J30" s="265"/>
      <c r="K30" s="265"/>
      <c r="L30" s="265"/>
    </row>
    <row r="31" spans="1:12" ht="34.5" customHeight="1" x14ac:dyDescent="0.25">
      <c r="A31" s="171" t="s">
        <v>1319</v>
      </c>
      <c r="B31" s="172">
        <f>COUNTIFS(DB_Customers!K:K,"Active")</f>
        <v>0</v>
      </c>
      <c r="C31" s="173" t="str">
        <f t="shared" ref="C31:C36" si="8">IF(B31&gt;0,IF(B31&gt;=100,"🏆 TARGET MET","⚠️ NEEDS ATTENTION"),"✅ CLEAR")</f>
        <v>✅ CLEAR</v>
      </c>
    </row>
    <row r="32" spans="1:12" ht="34.5" customHeight="1" x14ac:dyDescent="0.25">
      <c r="A32" s="174" t="s">
        <v>1320</v>
      </c>
      <c r="B32" s="175">
        <f ca="1">COUNTIF(Daily_Balancing!G4:G13,"❌ Low")</f>
        <v>10</v>
      </c>
      <c r="C32" s="176" t="str">
        <f t="shared" ca="1" si="8"/>
        <v>⚠️ NEEDS ATTENTION</v>
      </c>
    </row>
    <row r="33" spans="1:3" ht="34.5" customHeight="1" x14ac:dyDescent="0.25">
      <c r="A33" s="171" t="s">
        <v>1321</v>
      </c>
      <c r="B33" s="172">
        <f>COUNTIF(DB_Loans!K:K,"Pending")</f>
        <v>0</v>
      </c>
      <c r="C33" s="173" t="str">
        <f t="shared" si="8"/>
        <v>✅ CLEAR</v>
      </c>
    </row>
    <row r="34" spans="1:3" ht="34.5" customHeight="1" x14ac:dyDescent="0.25">
      <c r="A34" s="174" t="s">
        <v>1322</v>
      </c>
      <c r="B34" s="175">
        <f>COUNTIF(DB_Savings!H4:H2000,"Blocked")</f>
        <v>0</v>
      </c>
      <c r="C34" s="176" t="str">
        <f t="shared" si="8"/>
        <v>✅ CLEAR</v>
      </c>
    </row>
    <row r="35" spans="1:3" ht="34.5" customHeight="1" x14ac:dyDescent="0.25">
      <c r="A35" s="171" t="s">
        <v>1323</v>
      </c>
      <c r="B35" s="172">
        <f>COUNTIFS(DB_Customers!N4:N1002,"&lt;10",DB_Customers!A4:A1002,"&lt;&gt;")</f>
        <v>0</v>
      </c>
      <c r="C35" s="173" t="str">
        <f t="shared" si="8"/>
        <v>✅ CLEAR</v>
      </c>
    </row>
    <row r="36" spans="1:3" ht="34.5" customHeight="1" x14ac:dyDescent="0.25">
      <c r="A36" s="174" t="s">
        <v>1324</v>
      </c>
      <c r="B36" s="175">
        <f>IFERROR(Manager_Dashboard!B4/Manager_Dashboard!F4*100,0)</f>
        <v>0</v>
      </c>
      <c r="C36" s="176" t="str">
        <f t="shared" si="8"/>
        <v>✅ CLEAR</v>
      </c>
    </row>
  </sheetData>
  <mergeCells count="6">
    <mergeCell ref="A30:L30"/>
    <mergeCell ref="A7:L7"/>
    <mergeCell ref="A1:M1"/>
    <mergeCell ref="A3:M3"/>
    <mergeCell ref="A21:L21"/>
    <mergeCell ref="A2:M2"/>
  </mergeCells>
  <pageMargins left="0.75" right="0.75" top="1" bottom="1" header="0.511811023622047" footer="0.511811023622047"/>
  <pageSetup paperSize="9" orientation="portrait" horizontalDpi="300" verticalDpi="30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tabColor rgb="FF00695C"/>
  </sheetPr>
  <dimension ref="A1:K30"/>
  <sheetViews>
    <sheetView zoomScaleNormal="100" workbookViewId="0">
      <selection sqref="A1:K1"/>
    </sheetView>
  </sheetViews>
  <sheetFormatPr defaultColWidth="8.7109375" defaultRowHeight="15" x14ac:dyDescent="0.25"/>
  <cols>
    <col min="1" max="1" width="14" customWidth="1"/>
    <col min="2" max="2" width="16" customWidth="1"/>
    <col min="3" max="3" width="18" customWidth="1"/>
    <col min="4" max="5" width="14" customWidth="1"/>
    <col min="6" max="6" width="13" customWidth="1"/>
    <col min="7" max="7" width="15" customWidth="1"/>
    <col min="8" max="8" width="12" customWidth="1"/>
    <col min="9" max="9" width="13" customWidth="1"/>
  </cols>
  <sheetData>
    <row r="1" spans="1:11" ht="39.75" customHeight="1" x14ac:dyDescent="0.25">
      <c r="A1" s="417" t="s">
        <v>1325</v>
      </c>
      <c r="B1" s="265"/>
      <c r="C1" s="265"/>
      <c r="D1" s="265"/>
      <c r="E1" s="265"/>
      <c r="F1" s="265"/>
      <c r="G1" s="265"/>
      <c r="H1" s="265"/>
      <c r="I1" s="265"/>
      <c r="J1" s="265"/>
      <c r="K1" s="265"/>
    </row>
    <row r="2" spans="1:11" ht="19.5" customHeight="1" x14ac:dyDescent="0.25">
      <c r="A2" s="416" t="str">
        <f ca="1">TEXT(TODAY(),"YYYY")&amp;" Full Year Summary  |  Auto-generated from Live Data  |  Developed by Frank Abban, IT Consultant"</f>
        <v>2026 Full Year Summary  |  Auto-generated from Live Data  |  Developed by Frank Abban, IT Consultant</v>
      </c>
      <c r="B2" s="265"/>
      <c r="C2" s="265"/>
      <c r="D2" s="265"/>
      <c r="E2" s="265"/>
      <c r="F2" s="265"/>
      <c r="G2" s="265"/>
      <c r="H2" s="265"/>
      <c r="I2" s="265"/>
      <c r="J2" s="265"/>
      <c r="K2" s="265"/>
    </row>
    <row r="3" spans="1:11" ht="17.25" customHeight="1" x14ac:dyDescent="0.25">
      <c r="A3" s="177" t="s">
        <v>1326</v>
      </c>
      <c r="B3" s="178">
        <f ca="1">YEAR(TODAY())</f>
        <v>2026</v>
      </c>
    </row>
    <row r="5" spans="1:11" ht="15" customHeight="1" x14ac:dyDescent="0.25">
      <c r="A5" s="179" t="s">
        <v>145</v>
      </c>
      <c r="B5" s="179" t="s">
        <v>130</v>
      </c>
      <c r="C5" s="179" t="s">
        <v>131</v>
      </c>
      <c r="D5" s="179" t="s">
        <v>421</v>
      </c>
      <c r="E5" s="179" t="s">
        <v>440</v>
      </c>
      <c r="F5" s="179" t="s">
        <v>441</v>
      </c>
      <c r="G5" s="179" t="s">
        <v>1304</v>
      </c>
      <c r="H5" s="179" t="s">
        <v>173</v>
      </c>
      <c r="I5" s="179" t="s">
        <v>449</v>
      </c>
    </row>
    <row r="6" spans="1:11" ht="15" customHeight="1" x14ac:dyDescent="0.25">
      <c r="A6" s="180" t="s">
        <v>1327</v>
      </c>
      <c r="B6" s="181">
        <f>IFERROR(Monthly_Balancing!B8,0)</f>
        <v>107824.22</v>
      </c>
      <c r="C6" s="181">
        <f>IFERROR(Monthly_Balancing!C8,0)</f>
        <v>37455.75</v>
      </c>
      <c r="D6" s="181">
        <f>IFERROR(Monthly_Balancing!D8,0)</f>
        <v>70368.47</v>
      </c>
      <c r="E6" s="182">
        <f>IFERROR(Monthly_Balancing!E8,0)</f>
        <v>8</v>
      </c>
      <c r="F6" s="182">
        <f>IFERROR(Monthly_Balancing!F8,0)</f>
        <v>12</v>
      </c>
      <c r="G6" s="181">
        <f>IFERROR(Monthly_Balancing!G8,0)</f>
        <v>2695.61</v>
      </c>
      <c r="H6" s="183" t="str">
        <f>IFERROR(Monthly_Balancing!H8,"—")</f>
        <v>-4.6%</v>
      </c>
      <c r="I6" s="183" t="str">
        <f>IFERROR(IF(Monthly_Balancing!I8="YES","✅ YES","❌ NO"),"—")</f>
        <v>✅ YES</v>
      </c>
    </row>
    <row r="7" spans="1:11" ht="15" customHeight="1" x14ac:dyDescent="0.25">
      <c r="A7" s="167" t="s">
        <v>1328</v>
      </c>
      <c r="B7" s="168">
        <f>IFERROR(Monthly_Balancing!B9,0)</f>
        <v>133790.85</v>
      </c>
      <c r="C7" s="168">
        <f>IFERROR(Monthly_Balancing!C9,0)</f>
        <v>40398.620000000003</v>
      </c>
      <c r="D7" s="168">
        <f>IFERROR(Monthly_Balancing!D9,0)</f>
        <v>93392.23</v>
      </c>
      <c r="E7" s="169">
        <f>IFERROR(Monthly_Balancing!E9,0)</f>
        <v>13</v>
      </c>
      <c r="F7" s="169">
        <f>IFERROR(Monthly_Balancing!F9,0)</f>
        <v>12</v>
      </c>
      <c r="G7" s="168">
        <f>IFERROR(Monthly_Balancing!G9,0)</f>
        <v>3344.77</v>
      </c>
      <c r="H7" s="170" t="str">
        <f>IFERROR(Monthly_Balancing!H9,"—")</f>
        <v>6.6%</v>
      </c>
      <c r="I7" s="170" t="str">
        <f>IFERROR(IF(Monthly_Balancing!I9="YES","✅ YES","❌ NO"),"—")</f>
        <v>✅ YES</v>
      </c>
    </row>
    <row r="8" spans="1:11" ht="15" customHeight="1" x14ac:dyDescent="0.25">
      <c r="A8" s="180" t="s">
        <v>1329</v>
      </c>
      <c r="B8" s="181">
        <f>IFERROR(Monthly_Balancing!B10,0)</f>
        <v>95687.1</v>
      </c>
      <c r="C8" s="181">
        <f>IFERROR(Monthly_Balancing!C10,0)</f>
        <v>51481.08</v>
      </c>
      <c r="D8" s="181">
        <f>IFERROR(Monthly_Balancing!D10,0)</f>
        <v>44206.02</v>
      </c>
      <c r="E8" s="182">
        <f>IFERROR(Monthly_Balancing!E10,0)</f>
        <v>7</v>
      </c>
      <c r="F8" s="182">
        <f>IFERROR(Monthly_Balancing!F10,0)</f>
        <v>11</v>
      </c>
      <c r="G8" s="181">
        <f>IFERROR(Monthly_Balancing!G10,0)</f>
        <v>2392.1799999999998</v>
      </c>
      <c r="H8" s="183" t="str">
        <f>IFERROR(Monthly_Balancing!H10,"—")</f>
        <v>-0.7%</v>
      </c>
      <c r="I8" s="183" t="str">
        <f>IFERROR(IF(Monthly_Balancing!I10="YES","✅ YES","❌ NO"),"—")</f>
        <v>❌ NO</v>
      </c>
    </row>
    <row r="9" spans="1:11" ht="15" customHeight="1" x14ac:dyDescent="0.25">
      <c r="A9" s="167" t="s">
        <v>1330</v>
      </c>
      <c r="B9" s="168">
        <f>IFERROR(Monthly_Balancing!B11,0)</f>
        <v>108714.02</v>
      </c>
      <c r="C9" s="168">
        <f>IFERROR(Monthly_Balancing!C11,0)</f>
        <v>50819.15</v>
      </c>
      <c r="D9" s="168">
        <f>IFERROR(Monthly_Balancing!D11,0)</f>
        <v>57894.87</v>
      </c>
      <c r="E9" s="169">
        <f>IFERROR(Monthly_Balancing!E11,0)</f>
        <v>7</v>
      </c>
      <c r="F9" s="169">
        <f>IFERROR(Monthly_Balancing!F11,0)</f>
        <v>6</v>
      </c>
      <c r="G9" s="168">
        <f>IFERROR(Monthly_Balancing!G11,0)</f>
        <v>2717.85</v>
      </c>
      <c r="H9" s="170" t="str">
        <f>IFERROR(Monthly_Balancing!H11,"—")</f>
        <v>-0.9%</v>
      </c>
      <c r="I9" s="170" t="str">
        <f>IFERROR(IF(Monthly_Balancing!I11="YES","✅ YES","❌ NO"),"—")</f>
        <v>✅ YES</v>
      </c>
    </row>
    <row r="10" spans="1:11" ht="15" customHeight="1" x14ac:dyDescent="0.25">
      <c r="A10" s="180" t="s">
        <v>151</v>
      </c>
      <c r="B10" s="181">
        <f>IFERROR(Monthly_Balancing!B12,0)</f>
        <v>0</v>
      </c>
      <c r="C10" s="181">
        <f>IFERROR(Monthly_Balancing!C12,0)</f>
        <v>0</v>
      </c>
      <c r="D10" s="181">
        <f>IFERROR(Monthly_Balancing!D12,0)</f>
        <v>0</v>
      </c>
      <c r="E10" s="182">
        <f>IFERROR(Monthly_Balancing!E12,0)</f>
        <v>0</v>
      </c>
      <c r="F10" s="182">
        <f>IFERROR(Monthly_Balancing!F12,0)</f>
        <v>0</v>
      </c>
      <c r="G10" s="181">
        <f>IFERROR(Monthly_Balancing!G12,0)</f>
        <v>0</v>
      </c>
      <c r="H10" s="183">
        <f>IFERROR(Monthly_Balancing!H12,"—")</f>
        <v>-1</v>
      </c>
      <c r="I10" s="183" t="str">
        <f>IFERROR(IF(Monthly_Balancing!I12="YES","✅ YES","❌ NO"),"—")</f>
        <v>❌ NO</v>
      </c>
    </row>
    <row r="11" spans="1:11" ht="15" customHeight="1" x14ac:dyDescent="0.25">
      <c r="A11" s="167" t="s">
        <v>1331</v>
      </c>
      <c r="B11" s="168">
        <f>IFERROR(Monthly_Balancing!B13,0)</f>
        <v>0</v>
      </c>
      <c r="C11" s="168">
        <f>IFERROR(Monthly_Balancing!C13,0)</f>
        <v>0</v>
      </c>
      <c r="D11" s="168">
        <f>IFERROR(Monthly_Balancing!D13,0)</f>
        <v>0</v>
      </c>
      <c r="E11" s="169">
        <f>IFERROR(Monthly_Balancing!E13,0)</f>
        <v>0</v>
      </c>
      <c r="F11" s="169">
        <f>IFERROR(Monthly_Balancing!F13,0)</f>
        <v>0</v>
      </c>
      <c r="G11" s="168">
        <f>IFERROR(Monthly_Balancing!G13,0)</f>
        <v>0</v>
      </c>
      <c r="H11" s="170" t="str">
        <f>IFERROR(Monthly_Balancing!H13,"—")</f>
        <v>—</v>
      </c>
      <c r="I11" s="170" t="str">
        <f>IFERROR(IF(Monthly_Balancing!I13="YES","✅ YES","❌ NO"),"—")</f>
        <v>❌ NO</v>
      </c>
    </row>
    <row r="12" spans="1:11" ht="15" customHeight="1" x14ac:dyDescent="0.25">
      <c r="A12" s="180" t="s">
        <v>1332</v>
      </c>
      <c r="B12" s="181">
        <f>IFERROR(Monthly_Balancing!B14,0)</f>
        <v>0</v>
      </c>
      <c r="C12" s="181">
        <f>IFERROR(Monthly_Balancing!C14,0)</f>
        <v>0</v>
      </c>
      <c r="D12" s="181">
        <f>IFERROR(Monthly_Balancing!D14,0)</f>
        <v>0</v>
      </c>
      <c r="E12" s="182">
        <f>IFERROR(Monthly_Balancing!E14,0)</f>
        <v>0</v>
      </c>
      <c r="F12" s="182">
        <f>IFERROR(Monthly_Balancing!F14,0)</f>
        <v>0</v>
      </c>
      <c r="G12" s="181">
        <f>IFERROR(Monthly_Balancing!G14,0)</f>
        <v>0</v>
      </c>
      <c r="H12" s="183" t="str">
        <f>IFERROR(Monthly_Balancing!H14,"—")</f>
        <v>—</v>
      </c>
      <c r="I12" s="183" t="str">
        <f>IFERROR(IF(Monthly_Balancing!I14="YES","✅ YES","❌ NO"),"—")</f>
        <v>❌ NO</v>
      </c>
    </row>
    <row r="13" spans="1:11" ht="15" customHeight="1" x14ac:dyDescent="0.25">
      <c r="A13" s="167" t="s">
        <v>1333</v>
      </c>
      <c r="B13" s="168">
        <f>IFERROR(Monthly_Balancing!B15,0)</f>
        <v>0</v>
      </c>
      <c r="C13" s="168">
        <f>IFERROR(Monthly_Balancing!C15,0)</f>
        <v>0</v>
      </c>
      <c r="D13" s="168">
        <f>IFERROR(Monthly_Balancing!D15,0)</f>
        <v>0</v>
      </c>
      <c r="E13" s="169">
        <f>IFERROR(Monthly_Balancing!E15,0)</f>
        <v>0</v>
      </c>
      <c r="F13" s="169">
        <f>IFERROR(Monthly_Balancing!F15,0)</f>
        <v>0</v>
      </c>
      <c r="G13" s="168">
        <f>IFERROR(Monthly_Balancing!G15,0)</f>
        <v>0</v>
      </c>
      <c r="H13" s="170" t="str">
        <f>IFERROR(Monthly_Balancing!H15,"—")</f>
        <v>—</v>
      </c>
      <c r="I13" s="170" t="str">
        <f>IFERROR(IF(Monthly_Balancing!I15="YES","✅ YES","❌ NO"),"—")</f>
        <v>❌ NO</v>
      </c>
    </row>
    <row r="14" spans="1:11" ht="15" customHeight="1" x14ac:dyDescent="0.25">
      <c r="A14" s="180" t="s">
        <v>1334</v>
      </c>
      <c r="B14" s="181">
        <f>IFERROR(Monthly_Balancing!B16,0)</f>
        <v>0</v>
      </c>
      <c r="C14" s="181">
        <f>IFERROR(Monthly_Balancing!C16,0)</f>
        <v>0</v>
      </c>
      <c r="D14" s="181">
        <f>IFERROR(Monthly_Balancing!D16,0)</f>
        <v>0</v>
      </c>
      <c r="E14" s="182">
        <f>IFERROR(Monthly_Balancing!E16,0)</f>
        <v>0</v>
      </c>
      <c r="F14" s="182">
        <f>IFERROR(Monthly_Balancing!F16,0)</f>
        <v>0</v>
      </c>
      <c r="G14" s="181">
        <f>IFERROR(Monthly_Balancing!G16,0)</f>
        <v>0</v>
      </c>
      <c r="H14" s="183" t="str">
        <f>IFERROR(Monthly_Balancing!H16,"—")</f>
        <v>—</v>
      </c>
      <c r="I14" s="183" t="str">
        <f>IFERROR(IF(Monthly_Balancing!I16="YES","✅ YES","❌ NO"),"—")</f>
        <v>❌ NO</v>
      </c>
    </row>
    <row r="15" spans="1:11" ht="15" customHeight="1" x14ac:dyDescent="0.25">
      <c r="A15" s="167" t="s">
        <v>1335</v>
      </c>
      <c r="B15" s="168">
        <f>IFERROR(Monthly_Balancing!B17,0)</f>
        <v>0</v>
      </c>
      <c r="C15" s="168">
        <f>IFERROR(Monthly_Balancing!C17,0)</f>
        <v>0</v>
      </c>
      <c r="D15" s="168">
        <f>IFERROR(Monthly_Balancing!D17,0)</f>
        <v>0</v>
      </c>
      <c r="E15" s="169">
        <f>IFERROR(Monthly_Balancing!E17,0)</f>
        <v>0</v>
      </c>
      <c r="F15" s="169">
        <f>IFERROR(Monthly_Balancing!F17,0)</f>
        <v>0</v>
      </c>
      <c r="G15" s="168">
        <f>IFERROR(Monthly_Balancing!G17,0)</f>
        <v>0</v>
      </c>
      <c r="H15" s="170" t="str">
        <f>IFERROR(Monthly_Balancing!H17,"—")</f>
        <v>—</v>
      </c>
      <c r="I15" s="170" t="str">
        <f>IFERROR(IF(Monthly_Balancing!I17="YES","✅ YES","❌ NO"),"—")</f>
        <v>❌ NO</v>
      </c>
    </row>
    <row r="16" spans="1:11" ht="15" customHeight="1" x14ac:dyDescent="0.25">
      <c r="A16" s="180" t="s">
        <v>1336</v>
      </c>
      <c r="B16" s="181">
        <f>IFERROR(Monthly_Balancing!B18,0)</f>
        <v>0</v>
      </c>
      <c r="C16" s="181">
        <f>IFERROR(Monthly_Balancing!C18,0)</f>
        <v>0</v>
      </c>
      <c r="D16" s="181">
        <f>IFERROR(Monthly_Balancing!D18,0)</f>
        <v>0</v>
      </c>
      <c r="E16" s="182">
        <f>IFERROR(Monthly_Balancing!E18,0)</f>
        <v>0</v>
      </c>
      <c r="F16" s="182">
        <f>IFERROR(Monthly_Balancing!F18,0)</f>
        <v>0</v>
      </c>
      <c r="G16" s="181">
        <f>IFERROR(Monthly_Balancing!G18,0)</f>
        <v>0</v>
      </c>
      <c r="H16" s="183" t="str">
        <f>IFERROR(Monthly_Balancing!H18,"—")</f>
        <v>—</v>
      </c>
      <c r="I16" s="183" t="str">
        <f>IFERROR(IF(Monthly_Balancing!I18="YES","✅ YES","❌ NO"),"—")</f>
        <v>❌ NO</v>
      </c>
    </row>
    <row r="17" spans="1:11" ht="15" customHeight="1" x14ac:dyDescent="0.25">
      <c r="A17" s="167" t="s">
        <v>1337</v>
      </c>
      <c r="B17" s="168">
        <f>IFERROR(Monthly_Balancing!B19,0)</f>
        <v>0</v>
      </c>
      <c r="C17" s="168">
        <f>IFERROR(Monthly_Balancing!C19,0)</f>
        <v>0</v>
      </c>
      <c r="D17" s="168">
        <f>IFERROR(Monthly_Balancing!D19,0)</f>
        <v>0</v>
      </c>
      <c r="E17" s="169">
        <f>IFERROR(Monthly_Balancing!E19,0)</f>
        <v>0</v>
      </c>
      <c r="F17" s="169">
        <f>IFERROR(Monthly_Balancing!F19,0)</f>
        <v>0</v>
      </c>
      <c r="G17" s="168">
        <f>IFERROR(Monthly_Balancing!G19,0)</f>
        <v>0</v>
      </c>
      <c r="H17" s="170" t="str">
        <f>IFERROR(Monthly_Balancing!H19,"—")</f>
        <v>—</v>
      </c>
      <c r="I17" s="170" t="str">
        <f>IFERROR(IF(Monthly_Balancing!I19="YES","✅ YES","❌ NO"),"—")</f>
        <v>❌ NO</v>
      </c>
    </row>
    <row r="18" spans="1:11" ht="15" customHeight="1" x14ac:dyDescent="0.25">
      <c r="A18" s="184" t="s">
        <v>456</v>
      </c>
      <c r="B18" s="185">
        <f t="shared" ref="B18:G18" si="0">SUM(B6:B17)</f>
        <v>446016.19000000006</v>
      </c>
      <c r="C18" s="185">
        <f t="shared" si="0"/>
        <v>180154.6</v>
      </c>
      <c r="D18" s="185">
        <f t="shared" si="0"/>
        <v>265861.59000000003</v>
      </c>
      <c r="E18" s="186">
        <f t="shared" si="0"/>
        <v>35</v>
      </c>
      <c r="F18" s="186">
        <f t="shared" si="0"/>
        <v>41</v>
      </c>
      <c r="G18" s="185">
        <f t="shared" si="0"/>
        <v>11150.41</v>
      </c>
    </row>
    <row r="20" spans="1:11" ht="15" customHeight="1" x14ac:dyDescent="0.25">
      <c r="A20" s="419" t="s">
        <v>1338</v>
      </c>
      <c r="B20" s="265"/>
      <c r="C20" s="265"/>
      <c r="D20" s="265"/>
      <c r="E20" s="265"/>
      <c r="F20" s="265"/>
      <c r="G20" s="265"/>
      <c r="H20" s="265"/>
      <c r="I20" s="265"/>
      <c r="J20" s="265"/>
      <c r="K20" s="265"/>
    </row>
    <row r="21" spans="1:11" ht="23.25" customHeight="1" x14ac:dyDescent="0.25">
      <c r="A21" s="187" t="s">
        <v>1339</v>
      </c>
      <c r="B21" s="188">
        <f>B18</f>
        <v>446016.19000000006</v>
      </c>
      <c r="C21" s="189" t="s">
        <v>1340</v>
      </c>
    </row>
    <row r="22" spans="1:11" ht="34.5" customHeight="1" x14ac:dyDescent="0.25">
      <c r="A22" s="190" t="s">
        <v>1341</v>
      </c>
      <c r="B22" s="191">
        <f>C18</f>
        <v>180154.6</v>
      </c>
      <c r="C22" s="192" t="s">
        <v>1340</v>
      </c>
    </row>
    <row r="23" spans="1:11" ht="23.25" customHeight="1" x14ac:dyDescent="0.25">
      <c r="A23" s="187" t="s">
        <v>1342</v>
      </c>
      <c r="B23" s="188">
        <f>D18</f>
        <v>265861.59000000003</v>
      </c>
      <c r="C23" s="189" t="s">
        <v>1340</v>
      </c>
    </row>
    <row r="24" spans="1:11" ht="23.25" customHeight="1" x14ac:dyDescent="0.25">
      <c r="A24" s="190" t="s">
        <v>1343</v>
      </c>
      <c r="B24" s="191">
        <f>G18</f>
        <v>11150.41</v>
      </c>
      <c r="C24" s="192" t="s">
        <v>1340</v>
      </c>
    </row>
    <row r="25" spans="1:11" ht="23.25" customHeight="1" x14ac:dyDescent="0.25">
      <c r="A25" s="187" t="s">
        <v>1344</v>
      </c>
      <c r="B25" s="193">
        <f>E18</f>
        <v>35</v>
      </c>
      <c r="C25" s="189" t="s">
        <v>1340</v>
      </c>
    </row>
    <row r="26" spans="1:11" ht="23.25" customHeight="1" x14ac:dyDescent="0.25">
      <c r="A26" s="190" t="s">
        <v>1345</v>
      </c>
      <c r="B26" s="191">
        <f>IFERROR(B18/12,0)</f>
        <v>37168.015833333338</v>
      </c>
      <c r="C26" s="192" t="s">
        <v>1340</v>
      </c>
    </row>
    <row r="27" spans="1:11" ht="23.25" customHeight="1" x14ac:dyDescent="0.25">
      <c r="A27" s="187" t="s">
        <v>1346</v>
      </c>
      <c r="B27" s="194">
        <f>IFERROR((Monthly_Balancing!B11-Monthly_Balancing!B8)/ABS(Monthly_Balancing!B8),0)</f>
        <v>8.2523203042878766E-3</v>
      </c>
      <c r="C27" s="189" t="s">
        <v>1340</v>
      </c>
    </row>
    <row r="28" spans="1:11" ht="34.5" customHeight="1" x14ac:dyDescent="0.25">
      <c r="A28" s="190" t="s">
        <v>1347</v>
      </c>
      <c r="B28" s="195" t="str">
        <f>IFERROR(INDEX(A6:A17,MATCH(MAX(B6:B17),B6:B17,0)),"N/A")</f>
        <v>February</v>
      </c>
      <c r="C28" s="192" t="s">
        <v>1340</v>
      </c>
    </row>
    <row r="30" spans="1:11" ht="15" customHeight="1" x14ac:dyDescent="0.25">
      <c r="A30" s="418" t="s">
        <v>1348</v>
      </c>
      <c r="B30" s="265"/>
      <c r="C30" s="265"/>
      <c r="D30" s="265"/>
      <c r="E30" s="265"/>
      <c r="F30" s="265"/>
      <c r="G30" s="265"/>
      <c r="H30" s="265"/>
      <c r="I30" s="265"/>
      <c r="J30" s="265"/>
      <c r="K30" s="265"/>
    </row>
  </sheetData>
  <mergeCells count="4">
    <mergeCell ref="A2:K2"/>
    <mergeCell ref="A1:K1"/>
    <mergeCell ref="A30:K30"/>
    <mergeCell ref="A20:K20"/>
  </mergeCells>
  <pageMargins left="0.75" right="0.75" top="1" bottom="1" header="0.511811023622047" footer="0.511811023622047"/>
  <pageSetup paperSize="9" orientation="portrait" horizontalDpi="300" verticalDpi="30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dimension ref="A1:E12"/>
  <sheetViews>
    <sheetView zoomScaleNormal="100" workbookViewId="0">
      <selection sqref="A1:E1"/>
    </sheetView>
  </sheetViews>
  <sheetFormatPr defaultColWidth="8.7109375" defaultRowHeight="15" x14ac:dyDescent="0.25"/>
  <cols>
    <col min="1" max="1" width="10" customWidth="1"/>
    <col min="2" max="2" width="20" customWidth="1"/>
    <col min="3" max="3" width="25" customWidth="1"/>
    <col min="4" max="4" width="55" customWidth="1"/>
    <col min="5" max="5" width="20" customWidth="1"/>
  </cols>
  <sheetData>
    <row r="1" spans="1:5" ht="45" customHeight="1" x14ac:dyDescent="0.25">
      <c r="A1" s="295" t="s">
        <v>1349</v>
      </c>
      <c r="B1" s="265"/>
      <c r="C1" s="265"/>
      <c r="D1" s="265"/>
      <c r="E1" s="265"/>
    </row>
    <row r="2" spans="1:5" ht="18" customHeight="1" x14ac:dyDescent="0.25">
      <c r="A2" s="12" t="s">
        <v>74</v>
      </c>
      <c r="B2" s="12" t="s">
        <v>78</v>
      </c>
      <c r="C2" s="12" t="s">
        <v>1350</v>
      </c>
      <c r="D2" s="12" t="s">
        <v>1351</v>
      </c>
      <c r="E2" s="12" t="s">
        <v>1352</v>
      </c>
    </row>
    <row r="3" spans="1:5" ht="39.75" customHeight="1" x14ac:dyDescent="0.25">
      <c r="A3" s="196">
        <v>1</v>
      </c>
      <c r="B3" s="1" t="s">
        <v>1353</v>
      </c>
      <c r="C3" s="197" t="s">
        <v>1354</v>
      </c>
      <c r="D3" s="198" t="s">
        <v>1355</v>
      </c>
      <c r="E3" s="196" t="s">
        <v>1356</v>
      </c>
    </row>
    <row r="4" spans="1:5" ht="39.75" customHeight="1" x14ac:dyDescent="0.25">
      <c r="A4" s="196">
        <v>2</v>
      </c>
      <c r="B4" s="1" t="s">
        <v>1353</v>
      </c>
      <c r="C4" s="197" t="s">
        <v>1357</v>
      </c>
      <c r="D4" s="198" t="s">
        <v>1358</v>
      </c>
      <c r="E4" s="196" t="s">
        <v>1356</v>
      </c>
    </row>
    <row r="5" spans="1:5" ht="39.75" customHeight="1" x14ac:dyDescent="0.25">
      <c r="A5" s="196">
        <v>3</v>
      </c>
      <c r="B5" s="1" t="s">
        <v>1353</v>
      </c>
      <c r="C5" s="197" t="s">
        <v>1359</v>
      </c>
      <c r="D5" s="198" t="s">
        <v>1360</v>
      </c>
      <c r="E5" s="196" t="s">
        <v>1356</v>
      </c>
    </row>
    <row r="6" spans="1:5" ht="39.75" customHeight="1" x14ac:dyDescent="0.25">
      <c r="A6" s="196">
        <v>4</v>
      </c>
      <c r="B6" s="1" t="s">
        <v>1353</v>
      </c>
      <c r="C6" s="197" t="s">
        <v>1361</v>
      </c>
      <c r="D6" s="198" t="s">
        <v>1362</v>
      </c>
      <c r="E6" s="196" t="s">
        <v>1356</v>
      </c>
    </row>
    <row r="7" spans="1:5" ht="39.75" customHeight="1" x14ac:dyDescent="0.25">
      <c r="A7" s="196">
        <v>5</v>
      </c>
      <c r="B7" s="1" t="s">
        <v>1353</v>
      </c>
      <c r="C7" s="197" t="s">
        <v>1363</v>
      </c>
      <c r="D7" s="198" t="s">
        <v>1364</v>
      </c>
      <c r="E7" s="196" t="s">
        <v>1356</v>
      </c>
    </row>
    <row r="8" spans="1:5" ht="39.75" customHeight="1" x14ac:dyDescent="0.25">
      <c r="A8" s="196">
        <v>6</v>
      </c>
      <c r="B8" s="1" t="s">
        <v>1353</v>
      </c>
      <c r="C8" s="197" t="s">
        <v>1365</v>
      </c>
      <c r="D8" s="198" t="s">
        <v>1366</v>
      </c>
      <c r="E8" s="196" t="s">
        <v>1356</v>
      </c>
    </row>
    <row r="9" spans="1:5" ht="39.75" customHeight="1" x14ac:dyDescent="0.25">
      <c r="A9" s="196">
        <v>7</v>
      </c>
      <c r="B9" s="1" t="s">
        <v>1353</v>
      </c>
      <c r="C9" s="197" t="s">
        <v>1367</v>
      </c>
      <c r="D9" s="198" t="s">
        <v>1368</v>
      </c>
      <c r="E9" s="196" t="s">
        <v>1356</v>
      </c>
    </row>
    <row r="10" spans="1:5" ht="39.75" customHeight="1" x14ac:dyDescent="0.25">
      <c r="A10" s="196">
        <v>8</v>
      </c>
      <c r="B10" s="1" t="s">
        <v>1353</v>
      </c>
      <c r="C10" s="197" t="s">
        <v>1369</v>
      </c>
      <c r="D10" s="198" t="s">
        <v>1370</v>
      </c>
      <c r="E10" s="196" t="s">
        <v>1356</v>
      </c>
    </row>
    <row r="11" spans="1:5" ht="39.75" customHeight="1" x14ac:dyDescent="0.25">
      <c r="A11" s="196">
        <v>9</v>
      </c>
      <c r="B11" s="1" t="s">
        <v>1353</v>
      </c>
      <c r="C11" s="197" t="s">
        <v>1371</v>
      </c>
      <c r="D11" s="198" t="s">
        <v>1372</v>
      </c>
      <c r="E11" s="196" t="s">
        <v>1356</v>
      </c>
    </row>
    <row r="12" spans="1:5" ht="39.75" customHeight="1" x14ac:dyDescent="0.25">
      <c r="A12" s="196">
        <v>10</v>
      </c>
      <c r="B12" s="1" t="s">
        <v>1353</v>
      </c>
      <c r="C12" s="197" t="s">
        <v>58</v>
      </c>
      <c r="D12" s="198" t="s">
        <v>1373</v>
      </c>
      <c r="E12" s="196" t="s">
        <v>1356</v>
      </c>
    </row>
  </sheetData>
  <mergeCells count="1">
    <mergeCell ref="A1:E1"/>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1</vt:i4>
      </vt:variant>
    </vt:vector>
  </HeadingPairs>
  <TitlesOfParts>
    <vt:vector size="57" baseType="lpstr">
      <vt:lpstr>DEVELOPER</vt:lpstr>
      <vt:lpstr>ACKNOWLEDGEMENT</vt:lpstr>
      <vt:lpstr>📅 Year Control</vt:lpstr>
      <vt:lpstr>🔧 Dynamic Hub</vt:lpstr>
      <vt:lpstr>🧮 TimeCalc</vt:lpstr>
      <vt:lpstr>📊 Multi-Year Dashboard</vt:lpstr>
      <vt:lpstr>Manager_Dashboard</vt:lpstr>
      <vt:lpstr>Account_Opening</vt:lpstr>
      <vt:lpstr>Customer Account Database</vt:lpstr>
      <vt:lpstr>Agent01_Savings</vt:lpstr>
      <vt:lpstr>Agent01_Withdrawals</vt:lpstr>
      <vt:lpstr>Agent01_Loans</vt:lpstr>
      <vt:lpstr>Agent02_Savings</vt:lpstr>
      <vt:lpstr>Agent02_Withdrawals</vt:lpstr>
      <vt:lpstr>Agent02_Loans</vt:lpstr>
      <vt:lpstr>Agent03_Savings</vt:lpstr>
      <vt:lpstr>Agent03_Withdrawals</vt:lpstr>
      <vt:lpstr>Agent03_Loans</vt:lpstr>
      <vt:lpstr>Agent04_Savings</vt:lpstr>
      <vt:lpstr>Agent04_Withdrawals</vt:lpstr>
      <vt:lpstr>Agent04_Loans</vt:lpstr>
      <vt:lpstr>Agent05_Savings</vt:lpstr>
      <vt:lpstr>Agent05_Withdrawals</vt:lpstr>
      <vt:lpstr>Agent05_Loans</vt:lpstr>
      <vt:lpstr>Agent06_Savings</vt:lpstr>
      <vt:lpstr>Agent06_Withdrawals</vt:lpstr>
      <vt:lpstr>Agent06_Loans</vt:lpstr>
      <vt:lpstr>Agent07_Savings</vt:lpstr>
      <vt:lpstr>Agent07_Withdrawals</vt:lpstr>
      <vt:lpstr>Agent07_Loans</vt:lpstr>
      <vt:lpstr>Agent08_Savings</vt:lpstr>
      <vt:lpstr>Agent08_Withdrawals</vt:lpstr>
      <vt:lpstr>Agent08_Loans</vt:lpstr>
      <vt:lpstr>Agent09_Savings</vt:lpstr>
      <vt:lpstr>Agent09_Withdrawals</vt:lpstr>
      <vt:lpstr>Agent09_Loans</vt:lpstr>
      <vt:lpstr>Agent10_Savings</vt:lpstr>
      <vt:lpstr>Agent10_Withdrawals</vt:lpstr>
      <vt:lpstr>Agent10_Loans</vt:lpstr>
      <vt:lpstr>DB_Customers</vt:lpstr>
      <vt:lpstr>DB_Savings</vt:lpstr>
      <vt:lpstr>DB_Withdrawals</vt:lpstr>
      <vt:lpstr>DB_Loans</vt:lpstr>
      <vt:lpstr>DB_Corrections</vt:lpstr>
      <vt:lpstr>Daily_Balancing</vt:lpstr>
      <vt:lpstr>Weekly_Balancing</vt:lpstr>
      <vt:lpstr>Monthly_Balancing</vt:lpstr>
      <vt:lpstr>MASTER_DATABASE</vt:lpstr>
      <vt:lpstr>CLOUD_SYNC</vt:lpstr>
      <vt:lpstr>DB_Agents</vt:lpstr>
      <vt:lpstr>System_Config</vt:lpstr>
      <vt:lpstr>Audit_Log</vt:lpstr>
      <vt:lpstr>VBA_Macros</vt:lpstr>
      <vt:lpstr>AI_Intelligence</vt:lpstr>
      <vt:lpstr>Annual_Report</vt:lpstr>
      <vt:lpstr>📋 ChangeLog</vt:lpstr>
      <vt:lpstr>SelectedYear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SAMICIOUS MICROFINANCE V2</dc:title>
  <dc:creator>SAMICIOUS MICROFINANCE</dc:creator>
  <cp:lastModifiedBy>FRANK ABBAN</cp:lastModifiedBy>
  <cp:revision>9</cp:revision>
  <dcterms:created xsi:type="dcterms:W3CDTF">2026-04-13T03:15:26Z</dcterms:created>
  <dcterms:modified xsi:type="dcterms:W3CDTF">2026-04-24T14:56:41Z</dcterms:modified>
  <dc:language>en-US</dc:language>
</cp:coreProperties>
</file>